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3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4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metadata.xml" ContentType="application/vnd.openxmlformats-officedocument.spreadsheetml.sheetMetadata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5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https://teams.nwnatural.com/sites/rrcomp/Control Documentation/WA.GS.G EE Program/2026-2027 Biennial CPA_UG-xxxxxx_6.1.25/"/>
    </mc:Choice>
  </mc:AlternateContent>
  <xr:revisionPtr revIDLastSave="0" documentId="13_ncr:1_{1DF0D37C-7639-4136-820B-29EC53DE1ED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6" r:id="rId1"/>
    <sheet name="Summary-Therms" sheetId="5" r:id="rId2"/>
    <sheet name="Summary-Peak Day" sheetId="10" r:id="rId3"/>
    <sheet name="Summary-Peak Hour" sheetId="9" r:id="rId4"/>
    <sheet name="Supply Curve" sheetId="8" r:id="rId5"/>
    <sheet name="Annual Therms" sheetId="2" r:id="rId6"/>
    <sheet name="Peak Hour" sheetId="3" r:id="rId7"/>
    <sheet name="Peak Day" sheetId="4" r:id="rId8"/>
    <sheet name="Income Groups" sheetId="13" r:id="rId9"/>
    <sheet name="Peak Factors" sheetId="1" r:id="rId10"/>
  </sheets>
  <definedNames>
    <definedName name="ExternalData_1" localSheetId="5" hidden="1">'Annual Therms'!$A$1:$AR$1541</definedName>
    <definedName name="ExternalData_2" localSheetId="6" hidden="1">'Peak Hour'!$A$1:$AR$1541</definedName>
    <definedName name="ExternalData_2" localSheetId="4" hidden="1">'Supply Curve'!$N$3:$P$330</definedName>
    <definedName name="ExternalData_3" localSheetId="7" hidden="1">'Peak Day'!$A$1:$AR$1541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4" i="8" l="1"/>
  <c r="Q5" i="8"/>
  <c r="Q6" i="8"/>
  <c r="Q7" i="8"/>
  <c r="Q8" i="8"/>
  <c r="Q9" i="8"/>
  <c r="Q10" i="8"/>
  <c r="Q11" i="8"/>
  <c r="Q12" i="8"/>
  <c r="Q13" i="8"/>
  <c r="Q14" i="8"/>
  <c r="Q15" i="8"/>
  <c r="Q16" i="8"/>
  <c r="Q17" i="8"/>
  <c r="Q18" i="8"/>
  <c r="Q19" i="8"/>
  <c r="Q20" i="8"/>
  <c r="Q21" i="8"/>
  <c r="Q22" i="8"/>
  <c r="Q23" i="8"/>
  <c r="Q24" i="8"/>
  <c r="Q25" i="8"/>
  <c r="Q26" i="8"/>
  <c r="Q27" i="8"/>
  <c r="Q28" i="8"/>
  <c r="Q29" i="8"/>
  <c r="Q30" i="8"/>
  <c r="Q31" i="8"/>
  <c r="Q32" i="8"/>
  <c r="Q33" i="8"/>
  <c r="Q34" i="8"/>
  <c r="Q35" i="8"/>
  <c r="Q36" i="8"/>
  <c r="Q37" i="8"/>
  <c r="Q38" i="8"/>
  <c r="Q39" i="8"/>
  <c r="Q40" i="8"/>
  <c r="Q41" i="8"/>
  <c r="Q42" i="8"/>
  <c r="Q43" i="8"/>
  <c r="Q44" i="8"/>
  <c r="Q45" i="8"/>
  <c r="Q46" i="8"/>
  <c r="Q47" i="8"/>
  <c r="Q48" i="8"/>
  <c r="Q49" i="8"/>
  <c r="Q50" i="8"/>
  <c r="Q51" i="8"/>
  <c r="Q52" i="8"/>
  <c r="Q53" i="8"/>
  <c r="Q54" i="8"/>
  <c r="Q55" i="8"/>
  <c r="Q56" i="8"/>
  <c r="Q57" i="8"/>
  <c r="Q58" i="8"/>
  <c r="Q59" i="8"/>
  <c r="Q60" i="8"/>
  <c r="Q61" i="8"/>
  <c r="Q62" i="8"/>
  <c r="Q63" i="8"/>
  <c r="Q64" i="8"/>
  <c r="Q65" i="8"/>
  <c r="Q66" i="8"/>
  <c r="Q67" i="8"/>
  <c r="Q68" i="8"/>
  <c r="Q69" i="8"/>
  <c r="Q70" i="8"/>
  <c r="Q71" i="8"/>
  <c r="Q72" i="8"/>
  <c r="Q73" i="8"/>
  <c r="Q74" i="8"/>
  <c r="Q75" i="8"/>
  <c r="Q76" i="8"/>
  <c r="Q77" i="8"/>
  <c r="Q78" i="8"/>
  <c r="Q79" i="8"/>
  <c r="Q80" i="8"/>
  <c r="Q81" i="8"/>
  <c r="Q82" i="8"/>
  <c r="Q83" i="8"/>
  <c r="Q84" i="8"/>
  <c r="Q85" i="8"/>
  <c r="Q86" i="8"/>
  <c r="Q87" i="8"/>
  <c r="Q88" i="8"/>
  <c r="Q89" i="8"/>
  <c r="Q90" i="8"/>
  <c r="Q91" i="8"/>
  <c r="Q92" i="8"/>
  <c r="Q93" i="8"/>
  <c r="Q94" i="8"/>
  <c r="Q95" i="8"/>
  <c r="Q96" i="8"/>
  <c r="Q97" i="8"/>
  <c r="Q98" i="8"/>
  <c r="Q99" i="8"/>
  <c r="Q100" i="8"/>
  <c r="Q101" i="8"/>
  <c r="Q102" i="8"/>
  <c r="Q103" i="8"/>
  <c r="Q104" i="8"/>
  <c r="Q105" i="8"/>
  <c r="Q106" i="8"/>
  <c r="Q107" i="8"/>
  <c r="Q108" i="8"/>
  <c r="Q109" i="8"/>
  <c r="Q110" i="8"/>
  <c r="Q111" i="8"/>
  <c r="Q112" i="8"/>
  <c r="Q113" i="8"/>
  <c r="Q114" i="8"/>
  <c r="Q115" i="8"/>
  <c r="Q116" i="8"/>
  <c r="Q117" i="8"/>
  <c r="Q118" i="8"/>
  <c r="Q119" i="8"/>
  <c r="Q120" i="8"/>
  <c r="Q121" i="8"/>
  <c r="Q122" i="8"/>
  <c r="Q123" i="8"/>
  <c r="Q124" i="8"/>
  <c r="Q125" i="8"/>
  <c r="Q126" i="8"/>
  <c r="Q127" i="8"/>
  <c r="Q128" i="8"/>
  <c r="Q129" i="8"/>
  <c r="Q130" i="8"/>
  <c r="Q131" i="8"/>
  <c r="Q132" i="8"/>
  <c r="Q133" i="8"/>
  <c r="Q134" i="8"/>
  <c r="Q135" i="8"/>
  <c r="Q136" i="8"/>
  <c r="Q137" i="8"/>
  <c r="Q138" i="8"/>
  <c r="Q139" i="8"/>
  <c r="Q140" i="8"/>
  <c r="Q141" i="8"/>
  <c r="Q142" i="8"/>
  <c r="Q143" i="8"/>
  <c r="Q144" i="8"/>
  <c r="Q145" i="8"/>
  <c r="Q146" i="8"/>
  <c r="Q147" i="8"/>
  <c r="Q148" i="8"/>
  <c r="Q149" i="8"/>
  <c r="Q150" i="8"/>
  <c r="Q151" i="8"/>
  <c r="Q152" i="8"/>
  <c r="Q153" i="8"/>
  <c r="Q154" i="8"/>
  <c r="Q155" i="8"/>
  <c r="Q156" i="8"/>
  <c r="Q157" i="8"/>
  <c r="Q158" i="8"/>
  <c r="Q159" i="8"/>
  <c r="Q160" i="8"/>
  <c r="Q161" i="8"/>
  <c r="Q162" i="8"/>
  <c r="Q163" i="8"/>
  <c r="Q164" i="8"/>
  <c r="Q165" i="8"/>
  <c r="Q166" i="8"/>
  <c r="Q167" i="8"/>
  <c r="Q168" i="8"/>
  <c r="Q169" i="8"/>
  <c r="Q170" i="8"/>
  <c r="Q171" i="8"/>
  <c r="Q172" i="8"/>
  <c r="Q173" i="8"/>
  <c r="Q174" i="8"/>
  <c r="Q175" i="8"/>
  <c r="Q176" i="8"/>
  <c r="Q177" i="8"/>
  <c r="Q178" i="8"/>
  <c r="Q179" i="8"/>
  <c r="Q180" i="8"/>
  <c r="Q181" i="8"/>
  <c r="Q182" i="8"/>
  <c r="Q183" i="8"/>
  <c r="Q184" i="8"/>
  <c r="Q185" i="8"/>
  <c r="Q186" i="8"/>
  <c r="Q187" i="8"/>
  <c r="Q188" i="8"/>
  <c r="Q189" i="8"/>
  <c r="Q190" i="8"/>
  <c r="Q191" i="8"/>
  <c r="Q192" i="8"/>
  <c r="Q193" i="8"/>
  <c r="Q194" i="8"/>
  <c r="Q195" i="8"/>
  <c r="Q196" i="8"/>
  <c r="Q197" i="8"/>
  <c r="Q198" i="8"/>
  <c r="Q199" i="8"/>
  <c r="Q200" i="8"/>
  <c r="Q201" i="8"/>
  <c r="Q202" i="8"/>
  <c r="Q203" i="8"/>
  <c r="Q204" i="8"/>
  <c r="Q205" i="8"/>
  <c r="Q206" i="8"/>
  <c r="Q207" i="8"/>
  <c r="Q208" i="8"/>
  <c r="Q209" i="8"/>
  <c r="Q210" i="8"/>
  <c r="Q211" i="8"/>
  <c r="Q212" i="8"/>
  <c r="Q213" i="8"/>
  <c r="Q214" i="8"/>
  <c r="Q215" i="8"/>
  <c r="Q216" i="8"/>
  <c r="Q217" i="8"/>
  <c r="Q218" i="8"/>
  <c r="Q219" i="8"/>
  <c r="Q220" i="8"/>
  <c r="Q221" i="8"/>
  <c r="Q222" i="8"/>
  <c r="Q223" i="8"/>
  <c r="Q224" i="8"/>
  <c r="Q225" i="8"/>
  <c r="Q226" i="8"/>
  <c r="Q227" i="8"/>
  <c r="Q228" i="8"/>
  <c r="Q229" i="8"/>
  <c r="Q230" i="8"/>
  <c r="Q231" i="8"/>
  <c r="Q232" i="8"/>
  <c r="Q233" i="8"/>
  <c r="Q234" i="8"/>
  <c r="Q235" i="8"/>
  <c r="Q236" i="8"/>
  <c r="Q237" i="8"/>
  <c r="Q238" i="8"/>
  <c r="Q239" i="8"/>
  <c r="Q240" i="8"/>
  <c r="Q241" i="8"/>
  <c r="Q242" i="8"/>
  <c r="Q243" i="8"/>
  <c r="Q244" i="8"/>
  <c r="Q245" i="8"/>
  <c r="Q246" i="8"/>
  <c r="Q247" i="8"/>
  <c r="Q248" i="8"/>
  <c r="Q249" i="8"/>
  <c r="Q250" i="8"/>
  <c r="Q251" i="8"/>
  <c r="Q252" i="8"/>
  <c r="Q253" i="8"/>
  <c r="Q254" i="8"/>
  <c r="Q255" i="8"/>
  <c r="Q256" i="8"/>
  <c r="Q257" i="8"/>
  <c r="Q258" i="8"/>
  <c r="Q259" i="8"/>
  <c r="Q260" i="8"/>
  <c r="Q261" i="8"/>
  <c r="Q262" i="8"/>
  <c r="Q263" i="8"/>
  <c r="Q264" i="8"/>
  <c r="Q265" i="8"/>
  <c r="Q266" i="8"/>
  <c r="Q267" i="8"/>
  <c r="Q268" i="8"/>
  <c r="Q269" i="8"/>
  <c r="Q270" i="8"/>
  <c r="Q271" i="8"/>
  <c r="Q272" i="8"/>
  <c r="Q273" i="8"/>
  <c r="Q274" i="8"/>
  <c r="Q275" i="8"/>
  <c r="Q276" i="8"/>
  <c r="Q277" i="8"/>
  <c r="Q278" i="8"/>
  <c r="Q279" i="8"/>
  <c r="Q280" i="8"/>
  <c r="Q281" i="8"/>
  <c r="Q282" i="8"/>
  <c r="Q283" i="8"/>
  <c r="Q284" i="8"/>
  <c r="Q285" i="8"/>
  <c r="Q286" i="8"/>
  <c r="Q287" i="8"/>
  <c r="Q288" i="8"/>
  <c r="Q289" i="8"/>
  <c r="Q290" i="8"/>
  <c r="Q291" i="8"/>
  <c r="Q292" i="8"/>
  <c r="Q293" i="8"/>
  <c r="Q294" i="8"/>
  <c r="Q295" i="8"/>
  <c r="Q296" i="8"/>
  <c r="Q297" i="8"/>
  <c r="Q298" i="8"/>
  <c r="Q299" i="8"/>
  <c r="Q300" i="8"/>
  <c r="Q301" i="8"/>
  <c r="Q302" i="8"/>
  <c r="Q303" i="8"/>
  <c r="Q304" i="8"/>
  <c r="Q305" i="8"/>
  <c r="Q306" i="8"/>
  <c r="Q307" i="8"/>
  <c r="Q308" i="8"/>
  <c r="Q309" i="8"/>
  <c r="Q310" i="8"/>
  <c r="Q311" i="8"/>
  <c r="Q312" i="8"/>
  <c r="Q313" i="8"/>
  <c r="Q314" i="8"/>
  <c r="Q315" i="8"/>
  <c r="Q316" i="8"/>
  <c r="Q317" i="8"/>
  <c r="Q318" i="8"/>
  <c r="Q319" i="8"/>
  <c r="Q320" i="8"/>
  <c r="Q321" i="8"/>
  <c r="Q322" i="8"/>
  <c r="Q323" i="8"/>
  <c r="Q324" i="8"/>
  <c r="Q325" i="8"/>
  <c r="Q326" i="8"/>
  <c r="Q327" i="8"/>
  <c r="Q328" i="8"/>
  <c r="Q329" i="8"/>
  <c r="Q330" i="8"/>
  <c r="D2" i="13"/>
  <c r="D3" i="13"/>
  <c r="D4" i="13"/>
  <c r="D5" i="13"/>
  <c r="D6" i="13"/>
  <c r="D7" i="13"/>
  <c r="D8" i="13"/>
  <c r="D9" i="13"/>
  <c r="D10" i="13"/>
  <c r="D11" i="13"/>
  <c r="D12" i="13"/>
  <c r="D13" i="13"/>
  <c r="E2" i="13"/>
  <c r="E3" i="13"/>
  <c r="E4" i="13"/>
  <c r="F10" i="13" s="1"/>
  <c r="E5" i="13"/>
  <c r="E6" i="13"/>
  <c r="E7" i="13"/>
  <c r="E8" i="13"/>
  <c r="E9" i="13"/>
  <c r="E10" i="13"/>
  <c r="E11" i="13"/>
  <c r="E12" i="13"/>
  <c r="E13" i="13"/>
  <c r="I121" i="5"/>
  <c r="I120" i="5"/>
  <c r="I119" i="5"/>
  <c r="F121" i="5"/>
  <c r="F120" i="5"/>
  <c r="F119" i="5"/>
  <c r="C121" i="5"/>
  <c r="C120" i="5"/>
  <c r="C119" i="5"/>
  <c r="F8" i="13" l="1"/>
  <c r="F5" i="13"/>
  <c r="F7" i="13"/>
  <c r="F4" i="13"/>
  <c r="F3" i="13"/>
  <c r="F2" i="13"/>
  <c r="F13" i="13"/>
  <c r="F12" i="13"/>
  <c r="F11" i="13"/>
  <c r="F9" i="13"/>
  <c r="F6" i="13"/>
  <c r="F122" i="5"/>
  <c r="I122" i="5"/>
  <c r="C122" i="5"/>
  <c r="U5" i="8"/>
  <c r="U6" i="8"/>
  <c r="U7" i="8"/>
  <c r="U8" i="8"/>
  <c r="U9" i="8"/>
  <c r="U10" i="8"/>
  <c r="U11" i="8"/>
  <c r="U12" i="8"/>
  <c r="U13" i="8"/>
  <c r="U14" i="8"/>
  <c r="U15" i="8"/>
  <c r="U16" i="8"/>
  <c r="U17" i="8"/>
  <c r="U18" i="8"/>
  <c r="U19" i="8"/>
  <c r="U20" i="8"/>
  <c r="U21" i="8"/>
  <c r="U22" i="8"/>
  <c r="U23" i="8"/>
  <c r="U24" i="8"/>
  <c r="U25" i="8"/>
  <c r="U26" i="8"/>
  <c r="U27" i="8"/>
  <c r="U28" i="8"/>
  <c r="U29" i="8"/>
  <c r="U30" i="8"/>
  <c r="U31" i="8"/>
  <c r="U32" i="8"/>
  <c r="U33" i="8"/>
  <c r="U34" i="8"/>
  <c r="U35" i="8"/>
  <c r="U36" i="8"/>
  <c r="U37" i="8"/>
  <c r="U38" i="8"/>
  <c r="U39" i="8"/>
  <c r="U40" i="8"/>
  <c r="U41" i="8"/>
  <c r="U42" i="8"/>
  <c r="U43" i="8"/>
  <c r="U44" i="8"/>
  <c r="U45" i="8"/>
  <c r="U46" i="8"/>
  <c r="U47" i="8"/>
  <c r="U48" i="8"/>
  <c r="U49" i="8"/>
  <c r="U50" i="8"/>
  <c r="U51" i="8"/>
  <c r="U52" i="8"/>
  <c r="U53" i="8"/>
  <c r="U54" i="8"/>
  <c r="U55" i="8"/>
  <c r="U56" i="8"/>
  <c r="U57" i="8"/>
  <c r="U58" i="8"/>
  <c r="U59" i="8"/>
  <c r="U60" i="8"/>
  <c r="U61" i="8"/>
  <c r="U62" i="8"/>
  <c r="U63" i="8"/>
  <c r="U64" i="8"/>
  <c r="U65" i="8"/>
  <c r="U66" i="8"/>
  <c r="U67" i="8"/>
  <c r="U68" i="8"/>
  <c r="U69" i="8"/>
  <c r="U70" i="8"/>
  <c r="U71" i="8"/>
  <c r="U72" i="8"/>
  <c r="U73" i="8"/>
  <c r="U74" i="8"/>
  <c r="U75" i="8"/>
  <c r="U76" i="8"/>
  <c r="U77" i="8"/>
  <c r="U78" i="8"/>
  <c r="U79" i="8"/>
  <c r="U80" i="8"/>
  <c r="U81" i="8"/>
  <c r="U82" i="8"/>
  <c r="U83" i="8"/>
  <c r="U84" i="8"/>
  <c r="U85" i="8"/>
  <c r="U86" i="8"/>
  <c r="U87" i="8"/>
  <c r="U88" i="8"/>
  <c r="U89" i="8"/>
  <c r="U90" i="8"/>
  <c r="U91" i="8"/>
  <c r="U92" i="8"/>
  <c r="U93" i="8"/>
  <c r="U94" i="8"/>
  <c r="U95" i="8"/>
  <c r="U96" i="8"/>
  <c r="U97" i="8"/>
  <c r="U98" i="8"/>
  <c r="U99" i="8"/>
  <c r="U100" i="8"/>
  <c r="U101" i="8"/>
  <c r="U102" i="8"/>
  <c r="U103" i="8"/>
  <c r="U104" i="8"/>
  <c r="U105" i="8"/>
  <c r="U106" i="8"/>
  <c r="U107" i="8"/>
  <c r="U108" i="8"/>
  <c r="U109" i="8"/>
  <c r="U110" i="8"/>
  <c r="U111" i="8"/>
  <c r="U112" i="8"/>
  <c r="U113" i="8"/>
  <c r="U114" i="8"/>
  <c r="U115" i="8"/>
  <c r="U116" i="8"/>
  <c r="U117" i="8"/>
  <c r="U118" i="8"/>
  <c r="U119" i="8"/>
  <c r="U120" i="8"/>
  <c r="U121" i="8"/>
  <c r="U122" i="8"/>
  <c r="U123" i="8"/>
  <c r="U124" i="8"/>
  <c r="U125" i="8"/>
  <c r="U126" i="8"/>
  <c r="U127" i="8"/>
  <c r="U128" i="8"/>
  <c r="U129" i="8"/>
  <c r="U130" i="8"/>
  <c r="U131" i="8"/>
  <c r="U132" i="8"/>
  <c r="U133" i="8"/>
  <c r="U134" i="8"/>
  <c r="U135" i="8"/>
  <c r="U136" i="8"/>
  <c r="U137" i="8"/>
  <c r="U138" i="8"/>
  <c r="U139" i="8"/>
  <c r="U140" i="8"/>
  <c r="U141" i="8"/>
  <c r="U142" i="8"/>
  <c r="U143" i="8"/>
  <c r="U144" i="8"/>
  <c r="U145" i="8"/>
  <c r="U146" i="8"/>
  <c r="U147" i="8"/>
  <c r="U148" i="8"/>
  <c r="U149" i="8"/>
  <c r="U150" i="8"/>
  <c r="U151" i="8"/>
  <c r="U152" i="8"/>
  <c r="U153" i="8"/>
  <c r="U154" i="8"/>
  <c r="U155" i="8"/>
  <c r="U156" i="8"/>
  <c r="U157" i="8"/>
  <c r="U158" i="8"/>
  <c r="U159" i="8"/>
  <c r="U160" i="8"/>
  <c r="U161" i="8"/>
  <c r="U162" i="8"/>
  <c r="U163" i="8"/>
  <c r="U164" i="8"/>
  <c r="U165" i="8"/>
  <c r="U166" i="8"/>
  <c r="U167" i="8"/>
  <c r="U168" i="8"/>
  <c r="U169" i="8"/>
  <c r="U170" i="8"/>
  <c r="U171" i="8"/>
  <c r="U172" i="8"/>
  <c r="U173" i="8"/>
  <c r="U174" i="8"/>
  <c r="U175" i="8"/>
  <c r="U176" i="8"/>
  <c r="U177" i="8"/>
  <c r="U178" i="8"/>
  <c r="U179" i="8"/>
  <c r="U180" i="8"/>
  <c r="U181" i="8"/>
  <c r="U182" i="8"/>
  <c r="U183" i="8"/>
  <c r="U184" i="8"/>
  <c r="U185" i="8"/>
  <c r="U186" i="8"/>
  <c r="U187" i="8"/>
  <c r="U188" i="8"/>
  <c r="U189" i="8"/>
  <c r="U190" i="8"/>
  <c r="U191" i="8"/>
  <c r="U192" i="8"/>
  <c r="U193" i="8"/>
  <c r="U194" i="8"/>
  <c r="U195" i="8"/>
  <c r="U196" i="8"/>
  <c r="U197" i="8"/>
  <c r="U198" i="8"/>
  <c r="U199" i="8"/>
  <c r="U200" i="8"/>
  <c r="U201" i="8"/>
  <c r="U202" i="8"/>
  <c r="U203" i="8"/>
  <c r="U204" i="8"/>
  <c r="U205" i="8"/>
  <c r="U206" i="8"/>
  <c r="U207" i="8"/>
  <c r="U208" i="8"/>
  <c r="U209" i="8"/>
  <c r="U210" i="8"/>
  <c r="U211" i="8"/>
  <c r="U212" i="8"/>
  <c r="U213" i="8"/>
  <c r="U214" i="8"/>
  <c r="U215" i="8"/>
  <c r="U216" i="8"/>
  <c r="U217" i="8"/>
  <c r="U218" i="8"/>
  <c r="U219" i="8"/>
  <c r="U220" i="8"/>
  <c r="U221" i="8"/>
  <c r="U222" i="8"/>
  <c r="U223" i="8"/>
  <c r="U224" i="8"/>
  <c r="U225" i="8"/>
  <c r="U226" i="8"/>
  <c r="U227" i="8"/>
  <c r="U228" i="8"/>
  <c r="U229" i="8"/>
  <c r="U230" i="8"/>
  <c r="U231" i="8"/>
  <c r="U232" i="8"/>
  <c r="U233" i="8"/>
  <c r="U234" i="8"/>
  <c r="U235" i="8"/>
  <c r="U236" i="8"/>
  <c r="U237" i="8"/>
  <c r="U238" i="8"/>
  <c r="U239" i="8"/>
  <c r="U240" i="8"/>
  <c r="U241" i="8"/>
  <c r="U242" i="8"/>
  <c r="U243" i="8"/>
  <c r="U244" i="8"/>
  <c r="U245" i="8"/>
  <c r="U246" i="8"/>
  <c r="U247" i="8"/>
  <c r="U248" i="8"/>
  <c r="U249" i="8"/>
  <c r="U250" i="8"/>
  <c r="U251" i="8"/>
  <c r="U252" i="8"/>
  <c r="U253" i="8"/>
  <c r="U254" i="8"/>
  <c r="U255" i="8"/>
  <c r="U256" i="8"/>
  <c r="U257" i="8"/>
  <c r="U258" i="8"/>
  <c r="U259" i="8"/>
  <c r="U260" i="8"/>
  <c r="U261" i="8"/>
  <c r="U262" i="8"/>
  <c r="U263" i="8"/>
  <c r="U264" i="8"/>
  <c r="U265" i="8"/>
  <c r="U266" i="8"/>
  <c r="U267" i="8"/>
  <c r="U268" i="8"/>
  <c r="U269" i="8"/>
  <c r="U270" i="8"/>
  <c r="U271" i="8"/>
  <c r="U272" i="8"/>
  <c r="U273" i="8"/>
  <c r="U274" i="8"/>
  <c r="U275" i="8"/>
  <c r="U276" i="8"/>
  <c r="U277" i="8"/>
  <c r="U278" i="8"/>
  <c r="U279" i="8"/>
  <c r="U280" i="8"/>
  <c r="U281" i="8"/>
  <c r="U282" i="8"/>
  <c r="U283" i="8"/>
  <c r="U284" i="8"/>
  <c r="U285" i="8"/>
  <c r="U286" i="8"/>
  <c r="U287" i="8"/>
  <c r="U288" i="8"/>
  <c r="U289" i="8"/>
  <c r="U290" i="8"/>
  <c r="U291" i="8"/>
  <c r="U292" i="8"/>
  <c r="U293" i="8"/>
  <c r="U294" i="8"/>
  <c r="U295" i="8"/>
  <c r="U296" i="8"/>
  <c r="U297" i="8"/>
  <c r="U298" i="8"/>
  <c r="U299" i="8"/>
  <c r="U300" i="8"/>
  <c r="U301" i="8"/>
  <c r="U302" i="8"/>
  <c r="U303" i="8"/>
  <c r="U304" i="8"/>
  <c r="U305" i="8"/>
  <c r="U306" i="8"/>
  <c r="U307" i="8"/>
  <c r="U308" i="8"/>
  <c r="U309" i="8"/>
  <c r="U310" i="8"/>
  <c r="U311" i="8"/>
  <c r="U312" i="8"/>
  <c r="U313" i="8"/>
  <c r="U314" i="8"/>
  <c r="U315" i="8"/>
  <c r="U316" i="8"/>
  <c r="U317" i="8"/>
  <c r="U318" i="8"/>
  <c r="U319" i="8"/>
  <c r="U320" i="8"/>
  <c r="U321" i="8"/>
  <c r="U322" i="8"/>
  <c r="U323" i="8"/>
  <c r="U324" i="8"/>
  <c r="U325" i="8"/>
  <c r="U326" i="8"/>
  <c r="U327" i="8"/>
  <c r="U328" i="8"/>
  <c r="U329" i="8"/>
  <c r="U330" i="8"/>
  <c r="U331" i="8"/>
  <c r="U4" i="8"/>
  <c r="L102" i="5" l="1" a="1"/>
  <c r="L102" i="5" s="1"/>
  <c r="X106" i="5" a="1"/>
  <c r="X106" i="5" s="1"/>
  <c r="L106" i="5" a="1"/>
  <c r="L106" i="5" s="1"/>
  <c r="AA106" i="5" a="1"/>
  <c r="AA106" i="5" s="1"/>
  <c r="R106" i="5" a="1"/>
  <c r="R106" i="5" s="1"/>
  <c r="Y106" i="5" a="1"/>
  <c r="Y106" i="5" s="1"/>
  <c r="O106" i="5" a="1"/>
  <c r="O106" i="5" s="1"/>
  <c r="N106" i="5" a="1"/>
  <c r="N106" i="5" s="1"/>
  <c r="D106" i="5" a="1"/>
  <c r="D106" i="5" s="1"/>
  <c r="P106" i="5" a="1"/>
  <c r="P106" i="5" s="1"/>
  <c r="AB106" i="5" a="1"/>
  <c r="AB106" i="5" s="1"/>
  <c r="E106" i="5" a="1"/>
  <c r="E106" i="5" s="1"/>
  <c r="Q106" i="5" a="1"/>
  <c r="Q106" i="5" s="1"/>
  <c r="G106" i="5" a="1"/>
  <c r="G106" i="5" s="1"/>
  <c r="S106" i="5" a="1"/>
  <c r="S106" i="5" s="1"/>
  <c r="U106" i="5" a="1"/>
  <c r="U106" i="5" s="1"/>
  <c r="H106" i="5" a="1"/>
  <c r="H106" i="5" s="1"/>
  <c r="T106" i="5" a="1"/>
  <c r="T106" i="5" s="1"/>
  <c r="I106" i="5" a="1"/>
  <c r="I106" i="5" s="1"/>
  <c r="J106" i="5" a="1"/>
  <c r="J106" i="5" s="1"/>
  <c r="V106" i="5" a="1"/>
  <c r="V106" i="5" s="1"/>
  <c r="W106" i="5" a="1"/>
  <c r="W106" i="5" s="1"/>
  <c r="Z106" i="5" a="1"/>
  <c r="Z106" i="5" s="1"/>
  <c r="K106" i="5" a="1"/>
  <c r="K106" i="5" s="1"/>
  <c r="M98" i="5" a="1"/>
  <c r="M98" i="5" s="1"/>
  <c r="Y98" i="5" a="1"/>
  <c r="Y98" i="5" s="1"/>
  <c r="N98" i="5" a="1"/>
  <c r="N98" i="5" s="1"/>
  <c r="Z98" i="5" a="1"/>
  <c r="Z98" i="5" s="1"/>
  <c r="O98" i="5" a="1"/>
  <c r="O98" i="5" s="1"/>
  <c r="AA98" i="5" a="1"/>
  <c r="AA98" i="5" s="1"/>
  <c r="P98" i="5" a="1"/>
  <c r="P98" i="5" s="1"/>
  <c r="AB98" i="5" a="1"/>
  <c r="AB98" i="5" s="1"/>
  <c r="E98" i="5" a="1"/>
  <c r="E98" i="5" s="1"/>
  <c r="Q98" i="5" a="1"/>
  <c r="Q98" i="5" s="1"/>
  <c r="G98" i="5" a="1"/>
  <c r="G98" i="5" s="1"/>
  <c r="F98" i="5" a="1"/>
  <c r="F98" i="5" s="1"/>
  <c r="R98" i="5" a="1"/>
  <c r="R98" i="5" s="1"/>
  <c r="S98" i="5" a="1"/>
  <c r="S98" i="5" s="1"/>
  <c r="H98" i="5" a="1"/>
  <c r="H98" i="5" s="1"/>
  <c r="T98" i="5" a="1"/>
  <c r="T98" i="5" s="1"/>
  <c r="D98" i="5" a="1"/>
  <c r="D98" i="5" s="1"/>
  <c r="I98" i="5" a="1"/>
  <c r="I98" i="5" s="1"/>
  <c r="U98" i="5" a="1"/>
  <c r="U98" i="5" s="1"/>
  <c r="J98" i="5" a="1"/>
  <c r="J98" i="5" s="1"/>
  <c r="V98" i="5" a="1"/>
  <c r="V98" i="5" s="1"/>
  <c r="K98" i="5" a="1"/>
  <c r="K98" i="5" s="1"/>
  <c r="W98" i="5" a="1"/>
  <c r="W98" i="5" s="1"/>
  <c r="L98" i="5" a="1"/>
  <c r="L98" i="5" s="1"/>
  <c r="X98" i="5" a="1"/>
  <c r="X98" i="5" s="1"/>
  <c r="AA90" i="10"/>
  <c r="Z90" i="10"/>
  <c r="Y90" i="10"/>
  <c r="X90" i="10"/>
  <c r="W90" i="10"/>
  <c r="V90" i="10"/>
  <c r="U90" i="10"/>
  <c r="T90" i="10"/>
  <c r="S90" i="10"/>
  <c r="R90" i="10"/>
  <c r="Q90" i="10"/>
  <c r="P90" i="10"/>
  <c r="O90" i="10"/>
  <c r="N90" i="10"/>
  <c r="M90" i="10"/>
  <c r="L90" i="10"/>
  <c r="K90" i="10"/>
  <c r="J90" i="10"/>
  <c r="I90" i="10"/>
  <c r="H90" i="10"/>
  <c r="G90" i="10"/>
  <c r="F90" i="10"/>
  <c r="E90" i="10"/>
  <c r="D90" i="10"/>
  <c r="C90" i="10"/>
  <c r="AA89" i="10"/>
  <c r="Z89" i="10"/>
  <c r="Y89" i="10"/>
  <c r="X89" i="10"/>
  <c r="W89" i="10"/>
  <c r="V89" i="10"/>
  <c r="U89" i="10"/>
  <c r="T89" i="10"/>
  <c r="S89" i="10"/>
  <c r="R89" i="10"/>
  <c r="Q89" i="10"/>
  <c r="P89" i="10"/>
  <c r="O89" i="10"/>
  <c r="N89" i="10"/>
  <c r="M89" i="10"/>
  <c r="L89" i="10"/>
  <c r="K89" i="10"/>
  <c r="J89" i="10"/>
  <c r="I89" i="10"/>
  <c r="H89" i="10"/>
  <c r="G89" i="10"/>
  <c r="F89" i="10"/>
  <c r="E89" i="10"/>
  <c r="D89" i="10"/>
  <c r="C89" i="10"/>
  <c r="AA88" i="10"/>
  <c r="Z88" i="10"/>
  <c r="Y88" i="10"/>
  <c r="X88" i="10"/>
  <c r="W88" i="10"/>
  <c r="V88" i="10"/>
  <c r="U88" i="10"/>
  <c r="T88" i="10"/>
  <c r="S88" i="10"/>
  <c r="R88" i="10"/>
  <c r="Q88" i="10"/>
  <c r="P88" i="10"/>
  <c r="O88" i="10"/>
  <c r="N88" i="10"/>
  <c r="M88" i="10"/>
  <c r="L88" i="10"/>
  <c r="K88" i="10"/>
  <c r="J88" i="10"/>
  <c r="I88" i="10"/>
  <c r="H88" i="10"/>
  <c r="G88" i="10"/>
  <c r="F88" i="10"/>
  <c r="E88" i="10"/>
  <c r="D88" i="10"/>
  <c r="C88" i="10"/>
  <c r="AA87" i="10"/>
  <c r="Z87" i="10"/>
  <c r="Y87" i="10"/>
  <c r="X87" i="10"/>
  <c r="W87" i="10"/>
  <c r="V87" i="10"/>
  <c r="U87" i="10"/>
  <c r="T87" i="10"/>
  <c r="S87" i="10"/>
  <c r="R87" i="10"/>
  <c r="Q87" i="10"/>
  <c r="P87" i="10"/>
  <c r="O87" i="10"/>
  <c r="N87" i="10"/>
  <c r="M87" i="10"/>
  <c r="L87" i="10"/>
  <c r="K87" i="10"/>
  <c r="J87" i="10"/>
  <c r="I87" i="10"/>
  <c r="H87" i="10"/>
  <c r="G87" i="10"/>
  <c r="F87" i="10"/>
  <c r="E87" i="10"/>
  <c r="D87" i="10"/>
  <c r="C87" i="10"/>
  <c r="AA86" i="10"/>
  <c r="Z86" i="10"/>
  <c r="Y86" i="10"/>
  <c r="X86" i="10"/>
  <c r="W86" i="10"/>
  <c r="V86" i="10"/>
  <c r="U86" i="10"/>
  <c r="T86" i="10"/>
  <c r="S86" i="10"/>
  <c r="R86" i="10"/>
  <c r="Q86" i="10"/>
  <c r="P86" i="10"/>
  <c r="O86" i="10"/>
  <c r="N86" i="10"/>
  <c r="M86" i="10"/>
  <c r="L86" i="10"/>
  <c r="K86" i="10"/>
  <c r="J86" i="10"/>
  <c r="I86" i="10"/>
  <c r="H86" i="10"/>
  <c r="G86" i="10"/>
  <c r="F86" i="10"/>
  <c r="E86" i="10"/>
  <c r="D86" i="10"/>
  <c r="C86" i="10"/>
  <c r="AA85" i="10"/>
  <c r="Z85" i="10"/>
  <c r="Y85" i="10"/>
  <c r="X85" i="10"/>
  <c r="W85" i="10"/>
  <c r="V85" i="10"/>
  <c r="U85" i="10"/>
  <c r="T85" i="10"/>
  <c r="S85" i="10"/>
  <c r="R85" i="10"/>
  <c r="Q85" i="10"/>
  <c r="P85" i="10"/>
  <c r="O85" i="10"/>
  <c r="N85" i="10"/>
  <c r="M85" i="10"/>
  <c r="L85" i="10"/>
  <c r="K85" i="10"/>
  <c r="J85" i="10"/>
  <c r="I85" i="10"/>
  <c r="H85" i="10"/>
  <c r="G85" i="10"/>
  <c r="F85" i="10"/>
  <c r="E85" i="10"/>
  <c r="D85" i="10"/>
  <c r="C85" i="10"/>
  <c r="AA84" i="10"/>
  <c r="Z84" i="10"/>
  <c r="Y84" i="10"/>
  <c r="X84" i="10"/>
  <c r="W84" i="10"/>
  <c r="V84" i="10"/>
  <c r="U84" i="10"/>
  <c r="T84" i="10"/>
  <c r="S84" i="10"/>
  <c r="R84" i="10"/>
  <c r="Q84" i="10"/>
  <c r="P84" i="10"/>
  <c r="O84" i="10"/>
  <c r="N84" i="10"/>
  <c r="M84" i="10"/>
  <c r="L84" i="10"/>
  <c r="K84" i="10"/>
  <c r="J84" i="10"/>
  <c r="I84" i="10"/>
  <c r="H84" i="10"/>
  <c r="G84" i="10"/>
  <c r="F84" i="10"/>
  <c r="E84" i="10"/>
  <c r="D84" i="10"/>
  <c r="C84" i="10"/>
  <c r="AA83" i="10"/>
  <c r="Z83" i="10"/>
  <c r="Y83" i="10"/>
  <c r="X83" i="10"/>
  <c r="W83" i="10"/>
  <c r="V83" i="10"/>
  <c r="U83" i="10"/>
  <c r="T83" i="10"/>
  <c r="S83" i="10"/>
  <c r="R83" i="10"/>
  <c r="Q83" i="10"/>
  <c r="P83" i="10"/>
  <c r="O83" i="10"/>
  <c r="N83" i="10"/>
  <c r="M83" i="10"/>
  <c r="L83" i="10"/>
  <c r="K83" i="10"/>
  <c r="J83" i="10"/>
  <c r="I83" i="10"/>
  <c r="H83" i="10"/>
  <c r="G83" i="10"/>
  <c r="F83" i="10"/>
  <c r="E83" i="10"/>
  <c r="D83" i="10"/>
  <c r="C83" i="10"/>
  <c r="AA82" i="10"/>
  <c r="Z82" i="10"/>
  <c r="Y82" i="10"/>
  <c r="X82" i="10"/>
  <c r="W82" i="10"/>
  <c r="V82" i="10"/>
  <c r="U82" i="10"/>
  <c r="T82" i="10"/>
  <c r="S82" i="10"/>
  <c r="R82" i="10"/>
  <c r="Q82" i="10"/>
  <c r="P82" i="10"/>
  <c r="O82" i="10"/>
  <c r="N82" i="10"/>
  <c r="M82" i="10"/>
  <c r="L82" i="10"/>
  <c r="K82" i="10"/>
  <c r="J82" i="10"/>
  <c r="I82" i="10"/>
  <c r="H82" i="10"/>
  <c r="G82" i="10"/>
  <c r="F82" i="10"/>
  <c r="E82" i="10"/>
  <c r="D82" i="10"/>
  <c r="C82" i="10"/>
  <c r="AA81" i="10"/>
  <c r="Z81" i="10"/>
  <c r="Y81" i="10"/>
  <c r="X81" i="10"/>
  <c r="W81" i="10"/>
  <c r="V81" i="10"/>
  <c r="U81" i="10"/>
  <c r="T81" i="10"/>
  <c r="S81" i="10"/>
  <c r="R81" i="10"/>
  <c r="Q81" i="10"/>
  <c r="P81" i="10"/>
  <c r="O81" i="10"/>
  <c r="N81" i="10"/>
  <c r="M81" i="10"/>
  <c r="L81" i="10"/>
  <c r="K81" i="10"/>
  <c r="J81" i="10"/>
  <c r="I81" i="10"/>
  <c r="H81" i="10"/>
  <c r="G81" i="10"/>
  <c r="F81" i="10"/>
  <c r="E81" i="10"/>
  <c r="D81" i="10"/>
  <c r="C81" i="10"/>
  <c r="AA80" i="10"/>
  <c r="Z80" i="10"/>
  <c r="Y80" i="10"/>
  <c r="X80" i="10"/>
  <c r="W80" i="10"/>
  <c r="V80" i="10"/>
  <c r="U80" i="10"/>
  <c r="T80" i="10"/>
  <c r="S80" i="10"/>
  <c r="R80" i="10"/>
  <c r="Q80" i="10"/>
  <c r="P80" i="10"/>
  <c r="O80" i="10"/>
  <c r="N80" i="10"/>
  <c r="M80" i="10"/>
  <c r="L80" i="10"/>
  <c r="K80" i="10"/>
  <c r="J80" i="10"/>
  <c r="I80" i="10"/>
  <c r="H80" i="10"/>
  <c r="G80" i="10"/>
  <c r="F80" i="10"/>
  <c r="E80" i="10"/>
  <c r="D80" i="10"/>
  <c r="C80" i="10"/>
  <c r="AA79" i="10"/>
  <c r="Z79" i="10"/>
  <c r="Y79" i="10"/>
  <c r="X79" i="10"/>
  <c r="W79" i="10"/>
  <c r="V79" i="10"/>
  <c r="U79" i="10"/>
  <c r="T79" i="10"/>
  <c r="S79" i="10"/>
  <c r="R79" i="10"/>
  <c r="Q79" i="10"/>
  <c r="P79" i="10"/>
  <c r="O79" i="10"/>
  <c r="N79" i="10"/>
  <c r="M79" i="10"/>
  <c r="L79" i="10"/>
  <c r="K79" i="10"/>
  <c r="J79" i="10"/>
  <c r="I79" i="10"/>
  <c r="H79" i="10"/>
  <c r="G79" i="10"/>
  <c r="F79" i="10"/>
  <c r="E79" i="10"/>
  <c r="D79" i="10"/>
  <c r="C79" i="10"/>
  <c r="AA78" i="10"/>
  <c r="Z78" i="10"/>
  <c r="Y78" i="10"/>
  <c r="X78" i="10"/>
  <c r="W78" i="10"/>
  <c r="V78" i="10"/>
  <c r="U78" i="10"/>
  <c r="T78" i="10"/>
  <c r="S78" i="10"/>
  <c r="R78" i="10"/>
  <c r="Q78" i="10"/>
  <c r="P78" i="10"/>
  <c r="O78" i="10"/>
  <c r="N78" i="10"/>
  <c r="M78" i="10"/>
  <c r="L78" i="10"/>
  <c r="K78" i="10"/>
  <c r="J78" i="10"/>
  <c r="I78" i="10"/>
  <c r="H78" i="10"/>
  <c r="G78" i="10"/>
  <c r="F78" i="10"/>
  <c r="E78" i="10"/>
  <c r="D78" i="10"/>
  <c r="C78" i="10"/>
  <c r="AA77" i="10"/>
  <c r="Z77" i="10"/>
  <c r="Y77" i="10"/>
  <c r="X77" i="10"/>
  <c r="W77" i="10"/>
  <c r="V77" i="10"/>
  <c r="U77" i="10"/>
  <c r="T77" i="10"/>
  <c r="S77" i="10"/>
  <c r="R77" i="10"/>
  <c r="Q77" i="10"/>
  <c r="P77" i="10"/>
  <c r="O77" i="10"/>
  <c r="N77" i="10"/>
  <c r="M77" i="10"/>
  <c r="L77" i="10"/>
  <c r="K77" i="10"/>
  <c r="J77" i="10"/>
  <c r="I77" i="10"/>
  <c r="H77" i="10"/>
  <c r="G77" i="10"/>
  <c r="F77" i="10"/>
  <c r="E77" i="10"/>
  <c r="D77" i="10"/>
  <c r="C77" i="10"/>
  <c r="AA76" i="10"/>
  <c r="Z76" i="10"/>
  <c r="Y76" i="10"/>
  <c r="X76" i="10"/>
  <c r="W76" i="10"/>
  <c r="V76" i="10"/>
  <c r="U76" i="10"/>
  <c r="T76" i="10"/>
  <c r="S76" i="10"/>
  <c r="R76" i="10"/>
  <c r="Q76" i="10"/>
  <c r="P76" i="10"/>
  <c r="O76" i="10"/>
  <c r="N76" i="10"/>
  <c r="M76" i="10"/>
  <c r="L76" i="10"/>
  <c r="K76" i="10"/>
  <c r="J76" i="10"/>
  <c r="I76" i="10"/>
  <c r="H76" i="10"/>
  <c r="G76" i="10"/>
  <c r="F76" i="10"/>
  <c r="E76" i="10"/>
  <c r="D76" i="10"/>
  <c r="C76" i="10"/>
  <c r="AA71" i="10"/>
  <c r="Z71" i="10"/>
  <c r="Y71" i="10"/>
  <c r="X71" i="10"/>
  <c r="W71" i="10"/>
  <c r="V71" i="10"/>
  <c r="U71" i="10"/>
  <c r="T71" i="10"/>
  <c r="S71" i="10"/>
  <c r="R71" i="10"/>
  <c r="Q71" i="10"/>
  <c r="P71" i="10"/>
  <c r="O71" i="10"/>
  <c r="N71" i="10"/>
  <c r="M71" i="10"/>
  <c r="L71" i="10"/>
  <c r="K71" i="10"/>
  <c r="J71" i="10"/>
  <c r="I71" i="10"/>
  <c r="H71" i="10"/>
  <c r="G71" i="10"/>
  <c r="F71" i="10"/>
  <c r="E71" i="10"/>
  <c r="D71" i="10"/>
  <c r="C71" i="10"/>
  <c r="AA70" i="10"/>
  <c r="Z70" i="10"/>
  <c r="Y70" i="10"/>
  <c r="X70" i="10"/>
  <c r="W70" i="10"/>
  <c r="V70" i="10"/>
  <c r="U70" i="10"/>
  <c r="T70" i="10"/>
  <c r="S70" i="10"/>
  <c r="R70" i="10"/>
  <c r="Q70" i="10"/>
  <c r="P70" i="10"/>
  <c r="O70" i="10"/>
  <c r="N70" i="10"/>
  <c r="M70" i="10"/>
  <c r="L70" i="10"/>
  <c r="K70" i="10"/>
  <c r="J70" i="10"/>
  <c r="I70" i="10"/>
  <c r="H70" i="10"/>
  <c r="G70" i="10"/>
  <c r="F70" i="10"/>
  <c r="E70" i="10"/>
  <c r="D70" i="10"/>
  <c r="C70" i="10"/>
  <c r="AA69" i="10"/>
  <c r="Z69" i="10"/>
  <c r="Y69" i="10"/>
  <c r="X69" i="10"/>
  <c r="W69" i="10"/>
  <c r="V69" i="10"/>
  <c r="U69" i="10"/>
  <c r="T69" i="10"/>
  <c r="S69" i="10"/>
  <c r="R69" i="10"/>
  <c r="Q69" i="10"/>
  <c r="P69" i="10"/>
  <c r="O69" i="10"/>
  <c r="N69" i="10"/>
  <c r="M69" i="10"/>
  <c r="L69" i="10"/>
  <c r="K69" i="10"/>
  <c r="J69" i="10"/>
  <c r="I69" i="10"/>
  <c r="H69" i="10"/>
  <c r="G69" i="10"/>
  <c r="F69" i="10"/>
  <c r="E69" i="10"/>
  <c r="D69" i="10"/>
  <c r="C69" i="10"/>
  <c r="AA68" i="10"/>
  <c r="Z68" i="10"/>
  <c r="Y68" i="10"/>
  <c r="X68" i="10"/>
  <c r="W68" i="10"/>
  <c r="V68" i="10"/>
  <c r="U68" i="10"/>
  <c r="T68" i="10"/>
  <c r="S68" i="10"/>
  <c r="R68" i="10"/>
  <c r="Q68" i="10"/>
  <c r="P68" i="10"/>
  <c r="O68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AA67" i="10"/>
  <c r="Z67" i="10"/>
  <c r="Y67" i="10"/>
  <c r="X67" i="10"/>
  <c r="W67" i="10"/>
  <c r="V67" i="10"/>
  <c r="U67" i="10"/>
  <c r="T67" i="10"/>
  <c r="S67" i="10"/>
  <c r="R67" i="10"/>
  <c r="Q67" i="10"/>
  <c r="P67" i="10"/>
  <c r="O67" i="10"/>
  <c r="N67" i="10"/>
  <c r="M67" i="10"/>
  <c r="L67" i="10"/>
  <c r="K67" i="10"/>
  <c r="J67" i="10"/>
  <c r="I67" i="10"/>
  <c r="H67" i="10"/>
  <c r="G67" i="10"/>
  <c r="F67" i="10"/>
  <c r="E67" i="10"/>
  <c r="D67" i="10"/>
  <c r="C67" i="10"/>
  <c r="AA66" i="10"/>
  <c r="Z66" i="10"/>
  <c r="Y66" i="10"/>
  <c r="X66" i="10"/>
  <c r="W66" i="10"/>
  <c r="V66" i="10"/>
  <c r="U66" i="10"/>
  <c r="T66" i="10"/>
  <c r="S66" i="10"/>
  <c r="R66" i="10"/>
  <c r="Q66" i="10"/>
  <c r="P66" i="10"/>
  <c r="O66" i="10"/>
  <c r="N66" i="10"/>
  <c r="M66" i="10"/>
  <c r="L66" i="10"/>
  <c r="K66" i="10"/>
  <c r="J66" i="10"/>
  <c r="I66" i="10"/>
  <c r="H66" i="10"/>
  <c r="G66" i="10"/>
  <c r="F66" i="10"/>
  <c r="E66" i="10"/>
  <c r="D66" i="10"/>
  <c r="C66" i="10"/>
  <c r="AA65" i="10"/>
  <c r="Z65" i="10"/>
  <c r="Y65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I65" i="10"/>
  <c r="H65" i="10"/>
  <c r="G65" i="10"/>
  <c r="F65" i="10"/>
  <c r="E65" i="10"/>
  <c r="D65" i="10"/>
  <c r="C65" i="10"/>
  <c r="AA64" i="10"/>
  <c r="Z64" i="10"/>
  <c r="Y64" i="10"/>
  <c r="X64" i="10"/>
  <c r="W64" i="10"/>
  <c r="V64" i="10"/>
  <c r="U64" i="10"/>
  <c r="T64" i="10"/>
  <c r="S64" i="10"/>
  <c r="R64" i="10"/>
  <c r="Q64" i="10"/>
  <c r="P64" i="10"/>
  <c r="O64" i="10"/>
  <c r="N64" i="10"/>
  <c r="M64" i="10"/>
  <c r="L64" i="10"/>
  <c r="K64" i="10"/>
  <c r="J64" i="10"/>
  <c r="I64" i="10"/>
  <c r="H64" i="10"/>
  <c r="G64" i="10"/>
  <c r="F64" i="10"/>
  <c r="E64" i="10"/>
  <c r="D64" i="10"/>
  <c r="C64" i="10"/>
  <c r="AA63" i="10"/>
  <c r="Z63" i="10"/>
  <c r="Y63" i="10"/>
  <c r="X63" i="10"/>
  <c r="W63" i="10"/>
  <c r="V63" i="10"/>
  <c r="U63" i="10"/>
  <c r="T63" i="10"/>
  <c r="S63" i="10"/>
  <c r="R63" i="10"/>
  <c r="Q63" i="10"/>
  <c r="P63" i="10"/>
  <c r="O63" i="10"/>
  <c r="N63" i="10"/>
  <c r="M63" i="10"/>
  <c r="L63" i="10"/>
  <c r="K63" i="10"/>
  <c r="J63" i="10"/>
  <c r="I63" i="10"/>
  <c r="H63" i="10"/>
  <c r="G63" i="10"/>
  <c r="F63" i="10"/>
  <c r="E63" i="10"/>
  <c r="D63" i="10"/>
  <c r="C63" i="10"/>
  <c r="AA62" i="10"/>
  <c r="Z62" i="10"/>
  <c r="Y62" i="10"/>
  <c r="X62" i="10"/>
  <c r="W62" i="10"/>
  <c r="V62" i="10"/>
  <c r="U62" i="10"/>
  <c r="T62" i="10"/>
  <c r="S62" i="10"/>
  <c r="R62" i="10"/>
  <c r="Q62" i="10"/>
  <c r="P62" i="10"/>
  <c r="O62" i="10"/>
  <c r="N62" i="10"/>
  <c r="M62" i="10"/>
  <c r="L62" i="10"/>
  <c r="K62" i="10"/>
  <c r="J62" i="10"/>
  <c r="I62" i="10"/>
  <c r="H62" i="10"/>
  <c r="G62" i="10"/>
  <c r="F62" i="10"/>
  <c r="E62" i="10"/>
  <c r="D62" i="10"/>
  <c r="C62" i="10"/>
  <c r="AA61" i="10"/>
  <c r="Z61" i="10"/>
  <c r="Y61" i="10"/>
  <c r="X61" i="10"/>
  <c r="W61" i="10"/>
  <c r="V61" i="10"/>
  <c r="U61" i="10"/>
  <c r="T61" i="10"/>
  <c r="S61" i="10"/>
  <c r="R61" i="10"/>
  <c r="Q61" i="10"/>
  <c r="P61" i="10"/>
  <c r="O61" i="10"/>
  <c r="N61" i="10"/>
  <c r="M61" i="10"/>
  <c r="L61" i="10"/>
  <c r="K61" i="10"/>
  <c r="J61" i="10"/>
  <c r="I61" i="10"/>
  <c r="H61" i="10"/>
  <c r="G61" i="10"/>
  <c r="F61" i="10"/>
  <c r="E61" i="10"/>
  <c r="D61" i="10"/>
  <c r="C61" i="10"/>
  <c r="AA60" i="10"/>
  <c r="Z60" i="10"/>
  <c r="Y60" i="10"/>
  <c r="X60" i="10"/>
  <c r="W60" i="10"/>
  <c r="V60" i="10"/>
  <c r="U60" i="10"/>
  <c r="T60" i="10"/>
  <c r="S60" i="10"/>
  <c r="R60" i="10"/>
  <c r="Q60" i="10"/>
  <c r="P60" i="10"/>
  <c r="O60" i="10"/>
  <c r="N60" i="10"/>
  <c r="M60" i="10"/>
  <c r="L60" i="10"/>
  <c r="K60" i="10"/>
  <c r="J60" i="10"/>
  <c r="I60" i="10"/>
  <c r="H60" i="10"/>
  <c r="G60" i="10"/>
  <c r="F60" i="10"/>
  <c r="E60" i="10"/>
  <c r="D60" i="10"/>
  <c r="C60" i="10"/>
  <c r="AA59" i="10"/>
  <c r="Z59" i="10"/>
  <c r="Y59" i="10"/>
  <c r="X59" i="10"/>
  <c r="W59" i="10"/>
  <c r="V59" i="10"/>
  <c r="U59" i="10"/>
  <c r="T59" i="10"/>
  <c r="S59" i="10"/>
  <c r="R59" i="10"/>
  <c r="Q59" i="10"/>
  <c r="P59" i="10"/>
  <c r="O59" i="10"/>
  <c r="N59" i="10"/>
  <c r="M59" i="10"/>
  <c r="L59" i="10"/>
  <c r="K59" i="10"/>
  <c r="J59" i="10"/>
  <c r="I59" i="10"/>
  <c r="H59" i="10"/>
  <c r="G59" i="10"/>
  <c r="F59" i="10"/>
  <c r="E59" i="10"/>
  <c r="D59" i="10"/>
  <c r="C59" i="10"/>
  <c r="AA58" i="10"/>
  <c r="Z58" i="10"/>
  <c r="Y58" i="10"/>
  <c r="X58" i="10"/>
  <c r="W58" i="10"/>
  <c r="V58" i="10"/>
  <c r="U58" i="10"/>
  <c r="T58" i="10"/>
  <c r="S58" i="10"/>
  <c r="R58" i="10"/>
  <c r="Q58" i="10"/>
  <c r="P58" i="10"/>
  <c r="O58" i="10"/>
  <c r="N58" i="10"/>
  <c r="M58" i="10"/>
  <c r="L58" i="10"/>
  <c r="K58" i="10"/>
  <c r="J58" i="10"/>
  <c r="I58" i="10"/>
  <c r="H58" i="10"/>
  <c r="G58" i="10"/>
  <c r="F58" i="10"/>
  <c r="E58" i="10"/>
  <c r="D58" i="10"/>
  <c r="C58" i="10"/>
  <c r="AA57" i="10"/>
  <c r="Z57" i="10"/>
  <c r="Y57" i="10"/>
  <c r="X57" i="10"/>
  <c r="W57" i="10"/>
  <c r="V57" i="10"/>
  <c r="U57" i="10"/>
  <c r="T57" i="10"/>
  <c r="S57" i="10"/>
  <c r="R57" i="10"/>
  <c r="Q57" i="10"/>
  <c r="P57" i="10"/>
  <c r="O57" i="10"/>
  <c r="N57" i="10"/>
  <c r="M57" i="10"/>
  <c r="L57" i="10"/>
  <c r="K57" i="10"/>
  <c r="J57" i="10"/>
  <c r="I57" i="10"/>
  <c r="H57" i="10"/>
  <c r="G57" i="10"/>
  <c r="F57" i="10"/>
  <c r="E57" i="10"/>
  <c r="D57" i="10"/>
  <c r="C57" i="10"/>
  <c r="AA51" i="10"/>
  <c r="Z51" i="10"/>
  <c r="Y51" i="10"/>
  <c r="X51" i="10"/>
  <c r="W51" i="10"/>
  <c r="V51" i="10"/>
  <c r="U51" i="10"/>
  <c r="T51" i="10"/>
  <c r="S51" i="10"/>
  <c r="R51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C51" i="10"/>
  <c r="AA50" i="10"/>
  <c r="Z50" i="10"/>
  <c r="Y50" i="10"/>
  <c r="X50" i="10"/>
  <c r="W50" i="10"/>
  <c r="V50" i="10"/>
  <c r="U50" i="10"/>
  <c r="T50" i="10"/>
  <c r="S50" i="10"/>
  <c r="R50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AA49" i="10"/>
  <c r="Z49" i="10"/>
  <c r="Y49" i="10"/>
  <c r="X49" i="10"/>
  <c r="W49" i="10"/>
  <c r="V49" i="10"/>
  <c r="U49" i="10"/>
  <c r="T49" i="10"/>
  <c r="S49" i="10"/>
  <c r="R49" i="10"/>
  <c r="Q49" i="10"/>
  <c r="P49" i="10"/>
  <c r="O49" i="10"/>
  <c r="N49" i="10"/>
  <c r="M49" i="10"/>
  <c r="L49" i="10"/>
  <c r="K49" i="10"/>
  <c r="J49" i="10"/>
  <c r="I49" i="10"/>
  <c r="H49" i="10"/>
  <c r="G49" i="10"/>
  <c r="F49" i="10"/>
  <c r="E49" i="10"/>
  <c r="D49" i="10"/>
  <c r="C49" i="10"/>
  <c r="AA48" i="10"/>
  <c r="Z48" i="10"/>
  <c r="Y48" i="10"/>
  <c r="X48" i="10"/>
  <c r="W48" i="10"/>
  <c r="V48" i="10"/>
  <c r="U48" i="10"/>
  <c r="T48" i="10"/>
  <c r="S48" i="10"/>
  <c r="R48" i="10"/>
  <c r="Q48" i="10"/>
  <c r="P48" i="10"/>
  <c r="O48" i="10"/>
  <c r="N48" i="10"/>
  <c r="M48" i="10"/>
  <c r="L48" i="10"/>
  <c r="K48" i="10"/>
  <c r="J48" i="10"/>
  <c r="I48" i="10"/>
  <c r="H48" i="10"/>
  <c r="G48" i="10"/>
  <c r="F48" i="10"/>
  <c r="E48" i="10"/>
  <c r="D48" i="10"/>
  <c r="C48" i="10"/>
  <c r="AA47" i="10"/>
  <c r="Z47" i="10"/>
  <c r="Y47" i="10"/>
  <c r="X47" i="10"/>
  <c r="W47" i="10"/>
  <c r="V47" i="10"/>
  <c r="U47" i="10"/>
  <c r="T47" i="10"/>
  <c r="S47" i="10"/>
  <c r="R47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C47" i="10"/>
  <c r="AA46" i="10"/>
  <c r="Z46" i="10"/>
  <c r="Y46" i="10"/>
  <c r="X46" i="10"/>
  <c r="W46" i="10"/>
  <c r="V46" i="10"/>
  <c r="U46" i="10"/>
  <c r="T46" i="10"/>
  <c r="S46" i="10"/>
  <c r="R46" i="10"/>
  <c r="Q46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C46" i="10"/>
  <c r="AA45" i="10"/>
  <c r="Z45" i="10"/>
  <c r="Y45" i="10"/>
  <c r="X45" i="10"/>
  <c r="W45" i="10"/>
  <c r="V45" i="10"/>
  <c r="U45" i="10"/>
  <c r="T45" i="10"/>
  <c r="S45" i="10"/>
  <c r="R45" i="10"/>
  <c r="Q45" i="10"/>
  <c r="P45" i="10"/>
  <c r="O45" i="10"/>
  <c r="N45" i="10"/>
  <c r="M45" i="10"/>
  <c r="L45" i="10"/>
  <c r="K45" i="10"/>
  <c r="J45" i="10"/>
  <c r="I45" i="10"/>
  <c r="H45" i="10"/>
  <c r="G45" i="10"/>
  <c r="F45" i="10"/>
  <c r="E45" i="10"/>
  <c r="D45" i="10"/>
  <c r="C45" i="10"/>
  <c r="AA40" i="10"/>
  <c r="Z40" i="10"/>
  <c r="Y40" i="10"/>
  <c r="X40" i="10"/>
  <c r="W40" i="10"/>
  <c r="V40" i="10"/>
  <c r="U40" i="10"/>
  <c r="T40" i="10"/>
  <c r="S40" i="10"/>
  <c r="R40" i="10"/>
  <c r="Q40" i="10"/>
  <c r="P40" i="10"/>
  <c r="O40" i="10"/>
  <c r="N40" i="10"/>
  <c r="M40" i="10"/>
  <c r="L40" i="10"/>
  <c r="K40" i="10"/>
  <c r="J40" i="10"/>
  <c r="I40" i="10"/>
  <c r="H40" i="10"/>
  <c r="G40" i="10"/>
  <c r="F40" i="10"/>
  <c r="E40" i="10"/>
  <c r="D40" i="10"/>
  <c r="C40" i="10"/>
  <c r="AA39" i="10"/>
  <c r="Z39" i="10"/>
  <c r="Y39" i="10"/>
  <c r="X39" i="10"/>
  <c r="W39" i="10"/>
  <c r="V39" i="10"/>
  <c r="U39" i="10"/>
  <c r="T39" i="10"/>
  <c r="S39" i="10"/>
  <c r="R39" i="10"/>
  <c r="Q39" i="10"/>
  <c r="P39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C39" i="10"/>
  <c r="AA38" i="10"/>
  <c r="Z38" i="10"/>
  <c r="Y38" i="10"/>
  <c r="X38" i="10"/>
  <c r="W38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AA37" i="10"/>
  <c r="Z37" i="10"/>
  <c r="Y37" i="10"/>
  <c r="X37" i="10"/>
  <c r="W37" i="10"/>
  <c r="V37" i="10"/>
  <c r="U37" i="10"/>
  <c r="T37" i="10"/>
  <c r="S37" i="10"/>
  <c r="R37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AA36" i="10"/>
  <c r="Z36" i="10"/>
  <c r="Y36" i="10"/>
  <c r="X36" i="10"/>
  <c r="W36" i="10"/>
  <c r="V36" i="10"/>
  <c r="U36" i="10"/>
  <c r="T36" i="10"/>
  <c r="S36" i="10"/>
  <c r="R36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C36" i="10"/>
  <c r="AA35" i="10"/>
  <c r="Z35" i="10"/>
  <c r="Y35" i="10"/>
  <c r="X35" i="10"/>
  <c r="W35" i="10"/>
  <c r="V35" i="10"/>
  <c r="U35" i="10"/>
  <c r="T35" i="10"/>
  <c r="S35" i="10"/>
  <c r="R35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AA34" i="10"/>
  <c r="Z34" i="10"/>
  <c r="Y34" i="10"/>
  <c r="X34" i="10"/>
  <c r="W34" i="10"/>
  <c r="V34" i="10"/>
  <c r="U34" i="10"/>
  <c r="T34" i="10"/>
  <c r="S34" i="10"/>
  <c r="R34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E34" i="10"/>
  <c r="D34" i="10"/>
  <c r="C34" i="10"/>
  <c r="AA28" i="10"/>
  <c r="Z28" i="10"/>
  <c r="Y28" i="10"/>
  <c r="X28" i="10"/>
  <c r="W28" i="10"/>
  <c r="V28" i="10"/>
  <c r="U28" i="10"/>
  <c r="T28" i="10"/>
  <c r="S28" i="10"/>
  <c r="R28" i="10"/>
  <c r="Q28" i="10"/>
  <c r="P28" i="10"/>
  <c r="O28" i="10"/>
  <c r="N28" i="10"/>
  <c r="M28" i="10"/>
  <c r="L28" i="10"/>
  <c r="K28" i="10"/>
  <c r="J28" i="10"/>
  <c r="I28" i="10"/>
  <c r="H28" i="10"/>
  <c r="G28" i="10"/>
  <c r="F28" i="10"/>
  <c r="E28" i="10"/>
  <c r="D28" i="10"/>
  <c r="C28" i="10"/>
  <c r="AA27" i="10"/>
  <c r="Z27" i="10"/>
  <c r="Y27" i="10"/>
  <c r="X27" i="10"/>
  <c r="W27" i="10"/>
  <c r="V27" i="10"/>
  <c r="U27" i="10"/>
  <c r="T27" i="10"/>
  <c r="S27" i="10"/>
  <c r="R27" i="10"/>
  <c r="Q27" i="10"/>
  <c r="P27" i="10"/>
  <c r="O27" i="10"/>
  <c r="N27" i="10"/>
  <c r="M27" i="10"/>
  <c r="L27" i="10"/>
  <c r="K27" i="10"/>
  <c r="J27" i="10"/>
  <c r="I27" i="10"/>
  <c r="H27" i="10"/>
  <c r="G27" i="10"/>
  <c r="F27" i="10"/>
  <c r="E27" i="10"/>
  <c r="D27" i="10"/>
  <c r="C27" i="10"/>
  <c r="AA26" i="10"/>
  <c r="Z26" i="10"/>
  <c r="Y26" i="10"/>
  <c r="X26" i="10"/>
  <c r="W26" i="10"/>
  <c r="V26" i="10"/>
  <c r="U26" i="10"/>
  <c r="T26" i="10"/>
  <c r="S26" i="10"/>
  <c r="R26" i="10"/>
  <c r="Q26" i="10"/>
  <c r="P26" i="10"/>
  <c r="O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AA21" i="10"/>
  <c r="Z21" i="10"/>
  <c r="Y21" i="10"/>
  <c r="X21" i="10"/>
  <c r="W21" i="10"/>
  <c r="V21" i="10"/>
  <c r="U21" i="10"/>
  <c r="T21" i="10"/>
  <c r="S21" i="10"/>
  <c r="R21" i="10"/>
  <c r="Q21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D21" i="10"/>
  <c r="C21" i="10"/>
  <c r="AA20" i="10"/>
  <c r="Z20" i="10"/>
  <c r="Y20" i="10"/>
  <c r="X20" i="10"/>
  <c r="W20" i="10"/>
  <c r="V20" i="10"/>
  <c r="U20" i="10"/>
  <c r="T20" i="10"/>
  <c r="S20" i="10"/>
  <c r="R20" i="10"/>
  <c r="Q20" i="10"/>
  <c r="P20" i="10"/>
  <c r="O20" i="10"/>
  <c r="N20" i="10"/>
  <c r="M20" i="10"/>
  <c r="L20" i="10"/>
  <c r="K20" i="10"/>
  <c r="J20" i="10"/>
  <c r="I20" i="10"/>
  <c r="H20" i="10"/>
  <c r="G20" i="10"/>
  <c r="F20" i="10"/>
  <c r="E20" i="10"/>
  <c r="D20" i="10"/>
  <c r="C20" i="10"/>
  <c r="AA19" i="10"/>
  <c r="Z19" i="10"/>
  <c r="Y19" i="10"/>
  <c r="X19" i="10"/>
  <c r="W19" i="10"/>
  <c r="V19" i="10"/>
  <c r="U19" i="10"/>
  <c r="T19" i="10"/>
  <c r="S19" i="10"/>
  <c r="R19" i="10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D86" i="9"/>
  <c r="E86" i="9"/>
  <c r="F86" i="9"/>
  <c r="G86" i="9"/>
  <c r="H86" i="9"/>
  <c r="I86" i="9"/>
  <c r="J86" i="9"/>
  <c r="K86" i="9"/>
  <c r="L86" i="9"/>
  <c r="M86" i="9"/>
  <c r="N86" i="9"/>
  <c r="O86" i="9"/>
  <c r="P86" i="9"/>
  <c r="Q86" i="9"/>
  <c r="R86" i="9"/>
  <c r="S86" i="9"/>
  <c r="T86" i="9"/>
  <c r="U86" i="9"/>
  <c r="V86" i="9"/>
  <c r="W86" i="9"/>
  <c r="X86" i="9"/>
  <c r="Y86" i="9"/>
  <c r="Z86" i="9"/>
  <c r="AA86" i="9"/>
  <c r="D87" i="9"/>
  <c r="E87" i="9"/>
  <c r="F87" i="9"/>
  <c r="G87" i="9"/>
  <c r="H87" i="9"/>
  <c r="I87" i="9"/>
  <c r="J87" i="9"/>
  <c r="K87" i="9"/>
  <c r="L87" i="9"/>
  <c r="M87" i="9"/>
  <c r="N87" i="9"/>
  <c r="O87" i="9"/>
  <c r="P87" i="9"/>
  <c r="Q87" i="9"/>
  <c r="R87" i="9"/>
  <c r="S87" i="9"/>
  <c r="T87" i="9"/>
  <c r="U87" i="9"/>
  <c r="V87" i="9"/>
  <c r="W87" i="9"/>
  <c r="X87" i="9"/>
  <c r="Y87" i="9"/>
  <c r="Z87" i="9"/>
  <c r="AA87" i="9"/>
  <c r="D88" i="9"/>
  <c r="E88" i="9"/>
  <c r="F88" i="9"/>
  <c r="G88" i="9"/>
  <c r="H88" i="9"/>
  <c r="I88" i="9"/>
  <c r="J88" i="9"/>
  <c r="K88" i="9"/>
  <c r="L88" i="9"/>
  <c r="M88" i="9"/>
  <c r="N88" i="9"/>
  <c r="O88" i="9"/>
  <c r="P88" i="9"/>
  <c r="Q88" i="9"/>
  <c r="R88" i="9"/>
  <c r="S88" i="9"/>
  <c r="T88" i="9"/>
  <c r="U88" i="9"/>
  <c r="V88" i="9"/>
  <c r="W88" i="9"/>
  <c r="X88" i="9"/>
  <c r="Y88" i="9"/>
  <c r="Z88" i="9"/>
  <c r="AA88" i="9"/>
  <c r="D89" i="9"/>
  <c r="E89" i="9"/>
  <c r="F89" i="9"/>
  <c r="G89" i="9"/>
  <c r="H89" i="9"/>
  <c r="I89" i="9"/>
  <c r="J89" i="9"/>
  <c r="K89" i="9"/>
  <c r="L89" i="9"/>
  <c r="M89" i="9"/>
  <c r="N89" i="9"/>
  <c r="O89" i="9"/>
  <c r="P89" i="9"/>
  <c r="Q89" i="9"/>
  <c r="R89" i="9"/>
  <c r="S89" i="9"/>
  <c r="T89" i="9"/>
  <c r="U89" i="9"/>
  <c r="V89" i="9"/>
  <c r="W89" i="9"/>
  <c r="X89" i="9"/>
  <c r="Y89" i="9"/>
  <c r="Z89" i="9"/>
  <c r="AA89" i="9"/>
  <c r="D90" i="9"/>
  <c r="E90" i="9"/>
  <c r="F90" i="9"/>
  <c r="G90" i="9"/>
  <c r="H90" i="9"/>
  <c r="I90" i="9"/>
  <c r="J90" i="9"/>
  <c r="K90" i="9"/>
  <c r="L90" i="9"/>
  <c r="M90" i="9"/>
  <c r="N90" i="9"/>
  <c r="O90" i="9"/>
  <c r="P90" i="9"/>
  <c r="Q90" i="9"/>
  <c r="R90" i="9"/>
  <c r="S90" i="9"/>
  <c r="T90" i="9"/>
  <c r="U90" i="9"/>
  <c r="V90" i="9"/>
  <c r="W90" i="9"/>
  <c r="X90" i="9"/>
  <c r="Y90" i="9"/>
  <c r="Z90" i="9"/>
  <c r="AA90" i="9"/>
  <c r="C88" i="9"/>
  <c r="C89" i="9"/>
  <c r="C90" i="9"/>
  <c r="C87" i="9"/>
  <c r="C86" i="9"/>
  <c r="D81" i="9"/>
  <c r="E81" i="9"/>
  <c r="F81" i="9"/>
  <c r="G81" i="9"/>
  <c r="H81" i="9"/>
  <c r="I81" i="9"/>
  <c r="J81" i="9"/>
  <c r="K81" i="9"/>
  <c r="L81" i="9"/>
  <c r="M81" i="9"/>
  <c r="N81" i="9"/>
  <c r="O81" i="9"/>
  <c r="P81" i="9"/>
  <c r="Q81" i="9"/>
  <c r="R81" i="9"/>
  <c r="S81" i="9"/>
  <c r="T81" i="9"/>
  <c r="U81" i="9"/>
  <c r="V81" i="9"/>
  <c r="W81" i="9"/>
  <c r="X81" i="9"/>
  <c r="Y81" i="9"/>
  <c r="Z81" i="9"/>
  <c r="AA81" i="9"/>
  <c r="D82" i="9"/>
  <c r="E82" i="9"/>
  <c r="F82" i="9"/>
  <c r="G82" i="9"/>
  <c r="H82" i="9"/>
  <c r="I82" i="9"/>
  <c r="J82" i="9"/>
  <c r="K82" i="9"/>
  <c r="L82" i="9"/>
  <c r="M82" i="9"/>
  <c r="N82" i="9"/>
  <c r="O82" i="9"/>
  <c r="P82" i="9"/>
  <c r="Q82" i="9"/>
  <c r="R82" i="9"/>
  <c r="S82" i="9"/>
  <c r="T82" i="9"/>
  <c r="U82" i="9"/>
  <c r="V82" i="9"/>
  <c r="W82" i="9"/>
  <c r="X82" i="9"/>
  <c r="Y82" i="9"/>
  <c r="Z82" i="9"/>
  <c r="AA82" i="9"/>
  <c r="D83" i="9"/>
  <c r="E83" i="9"/>
  <c r="F83" i="9"/>
  <c r="G83" i="9"/>
  <c r="H83" i="9"/>
  <c r="I83" i="9"/>
  <c r="J83" i="9"/>
  <c r="K83" i="9"/>
  <c r="L83" i="9"/>
  <c r="M83" i="9"/>
  <c r="N83" i="9"/>
  <c r="O83" i="9"/>
  <c r="P83" i="9"/>
  <c r="Q83" i="9"/>
  <c r="R83" i="9"/>
  <c r="S83" i="9"/>
  <c r="T83" i="9"/>
  <c r="U83" i="9"/>
  <c r="V83" i="9"/>
  <c r="W83" i="9"/>
  <c r="X83" i="9"/>
  <c r="Y83" i="9"/>
  <c r="Z83" i="9"/>
  <c r="AA83" i="9"/>
  <c r="D84" i="9"/>
  <c r="E84" i="9"/>
  <c r="F84" i="9"/>
  <c r="G84" i="9"/>
  <c r="H84" i="9"/>
  <c r="I84" i="9"/>
  <c r="J84" i="9"/>
  <c r="K84" i="9"/>
  <c r="L84" i="9"/>
  <c r="M84" i="9"/>
  <c r="N84" i="9"/>
  <c r="O84" i="9"/>
  <c r="P84" i="9"/>
  <c r="Q84" i="9"/>
  <c r="R84" i="9"/>
  <c r="S84" i="9"/>
  <c r="T84" i="9"/>
  <c r="U84" i="9"/>
  <c r="V84" i="9"/>
  <c r="W84" i="9"/>
  <c r="X84" i="9"/>
  <c r="Y84" i="9"/>
  <c r="Z84" i="9"/>
  <c r="AA84" i="9"/>
  <c r="D85" i="9"/>
  <c r="E85" i="9"/>
  <c r="F85" i="9"/>
  <c r="G85" i="9"/>
  <c r="H85" i="9"/>
  <c r="I85" i="9"/>
  <c r="J85" i="9"/>
  <c r="K85" i="9"/>
  <c r="L85" i="9"/>
  <c r="M85" i="9"/>
  <c r="N85" i="9"/>
  <c r="O85" i="9"/>
  <c r="P85" i="9"/>
  <c r="Q85" i="9"/>
  <c r="R85" i="9"/>
  <c r="S85" i="9"/>
  <c r="T85" i="9"/>
  <c r="U85" i="9"/>
  <c r="V85" i="9"/>
  <c r="W85" i="9"/>
  <c r="X85" i="9"/>
  <c r="Y85" i="9"/>
  <c r="Z85" i="9"/>
  <c r="AA85" i="9"/>
  <c r="C83" i="9"/>
  <c r="C84" i="9"/>
  <c r="C85" i="9"/>
  <c r="C82" i="9"/>
  <c r="C81" i="9"/>
  <c r="D76" i="9"/>
  <c r="E76" i="9"/>
  <c r="F76" i="9"/>
  <c r="G76" i="9"/>
  <c r="H76" i="9"/>
  <c r="I76" i="9"/>
  <c r="J76" i="9"/>
  <c r="K76" i="9"/>
  <c r="L76" i="9"/>
  <c r="M76" i="9"/>
  <c r="N76" i="9"/>
  <c r="O76" i="9"/>
  <c r="P76" i="9"/>
  <c r="Q76" i="9"/>
  <c r="R76" i="9"/>
  <c r="S76" i="9"/>
  <c r="T76" i="9"/>
  <c r="U76" i="9"/>
  <c r="V76" i="9"/>
  <c r="W76" i="9"/>
  <c r="X76" i="9"/>
  <c r="Y76" i="9"/>
  <c r="Z76" i="9"/>
  <c r="AA76" i="9"/>
  <c r="D77" i="9"/>
  <c r="E77" i="9"/>
  <c r="F77" i="9"/>
  <c r="G77" i="9"/>
  <c r="H77" i="9"/>
  <c r="I77" i="9"/>
  <c r="J77" i="9"/>
  <c r="K77" i="9"/>
  <c r="L77" i="9"/>
  <c r="M77" i="9"/>
  <c r="N77" i="9"/>
  <c r="O77" i="9"/>
  <c r="P77" i="9"/>
  <c r="Q77" i="9"/>
  <c r="R77" i="9"/>
  <c r="S77" i="9"/>
  <c r="T77" i="9"/>
  <c r="U77" i="9"/>
  <c r="V77" i="9"/>
  <c r="W77" i="9"/>
  <c r="X77" i="9"/>
  <c r="Y77" i="9"/>
  <c r="Z77" i="9"/>
  <c r="AA77" i="9"/>
  <c r="D78" i="9"/>
  <c r="E78" i="9"/>
  <c r="F78" i="9"/>
  <c r="G78" i="9"/>
  <c r="H78" i="9"/>
  <c r="I78" i="9"/>
  <c r="J78" i="9"/>
  <c r="K78" i="9"/>
  <c r="L78" i="9"/>
  <c r="M78" i="9"/>
  <c r="N78" i="9"/>
  <c r="O78" i="9"/>
  <c r="P78" i="9"/>
  <c r="Q78" i="9"/>
  <c r="R78" i="9"/>
  <c r="S78" i="9"/>
  <c r="T78" i="9"/>
  <c r="U78" i="9"/>
  <c r="V78" i="9"/>
  <c r="W78" i="9"/>
  <c r="X78" i="9"/>
  <c r="Y78" i="9"/>
  <c r="Z78" i="9"/>
  <c r="AA78" i="9"/>
  <c r="D79" i="9"/>
  <c r="E79" i="9"/>
  <c r="F79" i="9"/>
  <c r="G79" i="9"/>
  <c r="H79" i="9"/>
  <c r="I79" i="9"/>
  <c r="J79" i="9"/>
  <c r="K79" i="9"/>
  <c r="L79" i="9"/>
  <c r="M79" i="9"/>
  <c r="N79" i="9"/>
  <c r="O79" i="9"/>
  <c r="P79" i="9"/>
  <c r="Q79" i="9"/>
  <c r="R79" i="9"/>
  <c r="S79" i="9"/>
  <c r="T79" i="9"/>
  <c r="U79" i="9"/>
  <c r="V79" i="9"/>
  <c r="W79" i="9"/>
  <c r="X79" i="9"/>
  <c r="Y79" i="9"/>
  <c r="Z79" i="9"/>
  <c r="AA79" i="9"/>
  <c r="D80" i="9"/>
  <c r="E80" i="9"/>
  <c r="F80" i="9"/>
  <c r="G80" i="9"/>
  <c r="H80" i="9"/>
  <c r="I80" i="9"/>
  <c r="J80" i="9"/>
  <c r="K80" i="9"/>
  <c r="L80" i="9"/>
  <c r="M80" i="9"/>
  <c r="N80" i="9"/>
  <c r="O80" i="9"/>
  <c r="P80" i="9"/>
  <c r="Q80" i="9"/>
  <c r="R80" i="9"/>
  <c r="S80" i="9"/>
  <c r="T80" i="9"/>
  <c r="U80" i="9"/>
  <c r="V80" i="9"/>
  <c r="W80" i="9"/>
  <c r="X80" i="9"/>
  <c r="Y80" i="9"/>
  <c r="Z80" i="9"/>
  <c r="AA80" i="9"/>
  <c r="C78" i="9"/>
  <c r="C79" i="9"/>
  <c r="C80" i="9"/>
  <c r="C77" i="9"/>
  <c r="C76" i="9"/>
  <c r="D57" i="9"/>
  <c r="E57" i="9"/>
  <c r="F57" i="9"/>
  <c r="G57" i="9"/>
  <c r="H57" i="9"/>
  <c r="I57" i="9"/>
  <c r="J57" i="9"/>
  <c r="K57" i="9"/>
  <c r="L57" i="9"/>
  <c r="M57" i="9"/>
  <c r="N57" i="9"/>
  <c r="O57" i="9"/>
  <c r="P57" i="9"/>
  <c r="Q57" i="9"/>
  <c r="R57" i="9"/>
  <c r="S57" i="9"/>
  <c r="T57" i="9"/>
  <c r="U57" i="9"/>
  <c r="V57" i="9"/>
  <c r="W57" i="9"/>
  <c r="X57" i="9"/>
  <c r="Y57" i="9"/>
  <c r="Z57" i="9"/>
  <c r="AA57" i="9"/>
  <c r="D58" i="9"/>
  <c r="E58" i="9"/>
  <c r="F58" i="9"/>
  <c r="G58" i="9"/>
  <c r="H58" i="9"/>
  <c r="I58" i="9"/>
  <c r="J58" i="9"/>
  <c r="K58" i="9"/>
  <c r="L58" i="9"/>
  <c r="M58" i="9"/>
  <c r="N58" i="9"/>
  <c r="O58" i="9"/>
  <c r="P58" i="9"/>
  <c r="Q58" i="9"/>
  <c r="R58" i="9"/>
  <c r="S58" i="9"/>
  <c r="T58" i="9"/>
  <c r="U58" i="9"/>
  <c r="V58" i="9"/>
  <c r="W58" i="9"/>
  <c r="X58" i="9"/>
  <c r="Y58" i="9"/>
  <c r="Z58" i="9"/>
  <c r="AA58" i="9"/>
  <c r="D59" i="9"/>
  <c r="E59" i="9"/>
  <c r="F59" i="9"/>
  <c r="G59" i="9"/>
  <c r="H59" i="9"/>
  <c r="I59" i="9"/>
  <c r="J59" i="9"/>
  <c r="K59" i="9"/>
  <c r="L59" i="9"/>
  <c r="M59" i="9"/>
  <c r="N59" i="9"/>
  <c r="O59" i="9"/>
  <c r="P59" i="9"/>
  <c r="Q59" i="9"/>
  <c r="R59" i="9"/>
  <c r="S59" i="9"/>
  <c r="T59" i="9"/>
  <c r="U59" i="9"/>
  <c r="V59" i="9"/>
  <c r="W59" i="9"/>
  <c r="X59" i="9"/>
  <c r="Y59" i="9"/>
  <c r="Z59" i="9"/>
  <c r="AA59" i="9"/>
  <c r="D60" i="9"/>
  <c r="E60" i="9"/>
  <c r="F60" i="9"/>
  <c r="G60" i="9"/>
  <c r="H60" i="9"/>
  <c r="I60" i="9"/>
  <c r="J60" i="9"/>
  <c r="K60" i="9"/>
  <c r="L60" i="9"/>
  <c r="M60" i="9"/>
  <c r="N60" i="9"/>
  <c r="O60" i="9"/>
  <c r="P60" i="9"/>
  <c r="Q60" i="9"/>
  <c r="R60" i="9"/>
  <c r="S60" i="9"/>
  <c r="T60" i="9"/>
  <c r="U60" i="9"/>
  <c r="V60" i="9"/>
  <c r="W60" i="9"/>
  <c r="X60" i="9"/>
  <c r="Y60" i="9"/>
  <c r="Z60" i="9"/>
  <c r="AA60" i="9"/>
  <c r="D61" i="9"/>
  <c r="E61" i="9"/>
  <c r="F61" i="9"/>
  <c r="G61" i="9"/>
  <c r="H61" i="9"/>
  <c r="I61" i="9"/>
  <c r="J61" i="9"/>
  <c r="K61" i="9"/>
  <c r="L61" i="9"/>
  <c r="M61" i="9"/>
  <c r="N61" i="9"/>
  <c r="O61" i="9"/>
  <c r="P61" i="9"/>
  <c r="Q61" i="9"/>
  <c r="R61" i="9"/>
  <c r="S61" i="9"/>
  <c r="T61" i="9"/>
  <c r="U61" i="9"/>
  <c r="V61" i="9"/>
  <c r="W61" i="9"/>
  <c r="X61" i="9"/>
  <c r="Y61" i="9"/>
  <c r="Z61" i="9"/>
  <c r="AA61" i="9"/>
  <c r="D62" i="9"/>
  <c r="E62" i="9"/>
  <c r="F62" i="9"/>
  <c r="G62" i="9"/>
  <c r="H62" i="9"/>
  <c r="I62" i="9"/>
  <c r="J62" i="9"/>
  <c r="K62" i="9"/>
  <c r="L62" i="9"/>
  <c r="M62" i="9"/>
  <c r="N62" i="9"/>
  <c r="O62" i="9"/>
  <c r="P62" i="9"/>
  <c r="Q62" i="9"/>
  <c r="R62" i="9"/>
  <c r="S62" i="9"/>
  <c r="T62" i="9"/>
  <c r="U62" i="9"/>
  <c r="V62" i="9"/>
  <c r="W62" i="9"/>
  <c r="X62" i="9"/>
  <c r="Y62" i="9"/>
  <c r="Z62" i="9"/>
  <c r="AA62" i="9"/>
  <c r="D63" i="9"/>
  <c r="E63" i="9"/>
  <c r="F63" i="9"/>
  <c r="G63" i="9"/>
  <c r="H63" i="9"/>
  <c r="I63" i="9"/>
  <c r="J63" i="9"/>
  <c r="K63" i="9"/>
  <c r="L63" i="9"/>
  <c r="M63" i="9"/>
  <c r="N63" i="9"/>
  <c r="O63" i="9"/>
  <c r="P63" i="9"/>
  <c r="Q63" i="9"/>
  <c r="R63" i="9"/>
  <c r="S63" i="9"/>
  <c r="T63" i="9"/>
  <c r="U63" i="9"/>
  <c r="V63" i="9"/>
  <c r="W63" i="9"/>
  <c r="X63" i="9"/>
  <c r="Y63" i="9"/>
  <c r="Z63" i="9"/>
  <c r="AA63" i="9"/>
  <c r="D64" i="9"/>
  <c r="E64" i="9"/>
  <c r="F64" i="9"/>
  <c r="G64" i="9"/>
  <c r="H64" i="9"/>
  <c r="I64" i="9"/>
  <c r="J64" i="9"/>
  <c r="K64" i="9"/>
  <c r="L64" i="9"/>
  <c r="M64" i="9"/>
  <c r="N64" i="9"/>
  <c r="O64" i="9"/>
  <c r="P64" i="9"/>
  <c r="Q64" i="9"/>
  <c r="R64" i="9"/>
  <c r="S64" i="9"/>
  <c r="T64" i="9"/>
  <c r="U64" i="9"/>
  <c r="V64" i="9"/>
  <c r="W64" i="9"/>
  <c r="X64" i="9"/>
  <c r="Y64" i="9"/>
  <c r="Z64" i="9"/>
  <c r="AA64" i="9"/>
  <c r="D65" i="9"/>
  <c r="E65" i="9"/>
  <c r="F65" i="9"/>
  <c r="G65" i="9"/>
  <c r="H65" i="9"/>
  <c r="I65" i="9"/>
  <c r="J65" i="9"/>
  <c r="K65" i="9"/>
  <c r="L65" i="9"/>
  <c r="M65" i="9"/>
  <c r="N65" i="9"/>
  <c r="O65" i="9"/>
  <c r="P65" i="9"/>
  <c r="Q65" i="9"/>
  <c r="R65" i="9"/>
  <c r="S65" i="9"/>
  <c r="T65" i="9"/>
  <c r="U65" i="9"/>
  <c r="V65" i="9"/>
  <c r="W65" i="9"/>
  <c r="X65" i="9"/>
  <c r="Y65" i="9"/>
  <c r="Z65" i="9"/>
  <c r="AA65" i="9"/>
  <c r="D66" i="9"/>
  <c r="E66" i="9"/>
  <c r="F66" i="9"/>
  <c r="G66" i="9"/>
  <c r="H66" i="9"/>
  <c r="I66" i="9"/>
  <c r="J66" i="9"/>
  <c r="K66" i="9"/>
  <c r="L66" i="9"/>
  <c r="M66" i="9"/>
  <c r="N66" i="9"/>
  <c r="O66" i="9"/>
  <c r="P66" i="9"/>
  <c r="Q66" i="9"/>
  <c r="R66" i="9"/>
  <c r="S66" i="9"/>
  <c r="T66" i="9"/>
  <c r="U66" i="9"/>
  <c r="V66" i="9"/>
  <c r="W66" i="9"/>
  <c r="X66" i="9"/>
  <c r="Y66" i="9"/>
  <c r="Z66" i="9"/>
  <c r="AA66" i="9"/>
  <c r="D67" i="9"/>
  <c r="E67" i="9"/>
  <c r="F67" i="9"/>
  <c r="G67" i="9"/>
  <c r="H67" i="9"/>
  <c r="I67" i="9"/>
  <c r="J67" i="9"/>
  <c r="K67" i="9"/>
  <c r="L67" i="9"/>
  <c r="M67" i="9"/>
  <c r="N67" i="9"/>
  <c r="O67" i="9"/>
  <c r="P67" i="9"/>
  <c r="Q67" i="9"/>
  <c r="R67" i="9"/>
  <c r="S67" i="9"/>
  <c r="T67" i="9"/>
  <c r="U67" i="9"/>
  <c r="V67" i="9"/>
  <c r="W67" i="9"/>
  <c r="X67" i="9"/>
  <c r="Y67" i="9"/>
  <c r="Z67" i="9"/>
  <c r="AA67" i="9"/>
  <c r="D68" i="9"/>
  <c r="E68" i="9"/>
  <c r="F68" i="9"/>
  <c r="G68" i="9"/>
  <c r="H68" i="9"/>
  <c r="I68" i="9"/>
  <c r="J68" i="9"/>
  <c r="K68" i="9"/>
  <c r="L68" i="9"/>
  <c r="M68" i="9"/>
  <c r="N68" i="9"/>
  <c r="O68" i="9"/>
  <c r="P68" i="9"/>
  <c r="Q68" i="9"/>
  <c r="R68" i="9"/>
  <c r="S68" i="9"/>
  <c r="T68" i="9"/>
  <c r="U68" i="9"/>
  <c r="V68" i="9"/>
  <c r="W68" i="9"/>
  <c r="X68" i="9"/>
  <c r="Y68" i="9"/>
  <c r="Z68" i="9"/>
  <c r="AA68" i="9"/>
  <c r="D69" i="9"/>
  <c r="E69" i="9"/>
  <c r="F69" i="9"/>
  <c r="G69" i="9"/>
  <c r="H69" i="9"/>
  <c r="I69" i="9"/>
  <c r="J69" i="9"/>
  <c r="K69" i="9"/>
  <c r="L69" i="9"/>
  <c r="M69" i="9"/>
  <c r="N69" i="9"/>
  <c r="O69" i="9"/>
  <c r="P69" i="9"/>
  <c r="Q69" i="9"/>
  <c r="R69" i="9"/>
  <c r="S69" i="9"/>
  <c r="T69" i="9"/>
  <c r="U69" i="9"/>
  <c r="V69" i="9"/>
  <c r="W69" i="9"/>
  <c r="X69" i="9"/>
  <c r="Y69" i="9"/>
  <c r="Z69" i="9"/>
  <c r="AA69" i="9"/>
  <c r="D70" i="9"/>
  <c r="E70" i="9"/>
  <c r="F70" i="9"/>
  <c r="G70" i="9"/>
  <c r="H70" i="9"/>
  <c r="I70" i="9"/>
  <c r="J70" i="9"/>
  <c r="K70" i="9"/>
  <c r="L70" i="9"/>
  <c r="M70" i="9"/>
  <c r="N70" i="9"/>
  <c r="O70" i="9"/>
  <c r="P70" i="9"/>
  <c r="Q70" i="9"/>
  <c r="R70" i="9"/>
  <c r="S70" i="9"/>
  <c r="T70" i="9"/>
  <c r="U70" i="9"/>
  <c r="V70" i="9"/>
  <c r="W70" i="9"/>
  <c r="X70" i="9"/>
  <c r="Y70" i="9"/>
  <c r="Z70" i="9"/>
  <c r="AA70" i="9"/>
  <c r="D71" i="9"/>
  <c r="E71" i="9"/>
  <c r="F71" i="9"/>
  <c r="G71" i="9"/>
  <c r="H71" i="9"/>
  <c r="I71" i="9"/>
  <c r="J71" i="9"/>
  <c r="K71" i="9"/>
  <c r="L71" i="9"/>
  <c r="M71" i="9"/>
  <c r="N71" i="9"/>
  <c r="O71" i="9"/>
  <c r="P71" i="9"/>
  <c r="Q71" i="9"/>
  <c r="R71" i="9"/>
  <c r="S71" i="9"/>
  <c r="T71" i="9"/>
  <c r="U71" i="9"/>
  <c r="V71" i="9"/>
  <c r="W71" i="9"/>
  <c r="X71" i="9"/>
  <c r="Y71" i="9"/>
  <c r="Z71" i="9"/>
  <c r="AA71" i="9"/>
  <c r="C69" i="9"/>
  <c r="C70" i="9"/>
  <c r="C71" i="9"/>
  <c r="C68" i="9"/>
  <c r="C64" i="9"/>
  <c r="C65" i="9"/>
  <c r="C66" i="9"/>
  <c r="C63" i="9"/>
  <c r="C61" i="9"/>
  <c r="C60" i="9"/>
  <c r="C59" i="9"/>
  <c r="C58" i="9"/>
  <c r="C67" i="9"/>
  <c r="C62" i="9"/>
  <c r="C57" i="9"/>
  <c r="D45" i="9"/>
  <c r="E45" i="9"/>
  <c r="F45" i="9"/>
  <c r="G45" i="9"/>
  <c r="H45" i="9"/>
  <c r="I45" i="9"/>
  <c r="J45" i="9"/>
  <c r="K45" i="9"/>
  <c r="L45" i="9"/>
  <c r="M45" i="9"/>
  <c r="N45" i="9"/>
  <c r="O45" i="9"/>
  <c r="P45" i="9"/>
  <c r="Q45" i="9"/>
  <c r="R45" i="9"/>
  <c r="S45" i="9"/>
  <c r="T45" i="9"/>
  <c r="U45" i="9"/>
  <c r="V45" i="9"/>
  <c r="W45" i="9"/>
  <c r="X45" i="9"/>
  <c r="Y45" i="9"/>
  <c r="Z45" i="9"/>
  <c r="AA45" i="9"/>
  <c r="D46" i="9"/>
  <c r="E46" i="9"/>
  <c r="F46" i="9"/>
  <c r="G46" i="9"/>
  <c r="H46" i="9"/>
  <c r="I46" i="9"/>
  <c r="J46" i="9"/>
  <c r="K46" i="9"/>
  <c r="L46" i="9"/>
  <c r="M46" i="9"/>
  <c r="N46" i="9"/>
  <c r="O46" i="9"/>
  <c r="P46" i="9"/>
  <c r="Q46" i="9"/>
  <c r="R46" i="9"/>
  <c r="S46" i="9"/>
  <c r="T46" i="9"/>
  <c r="U46" i="9"/>
  <c r="V46" i="9"/>
  <c r="W46" i="9"/>
  <c r="X46" i="9"/>
  <c r="Y46" i="9"/>
  <c r="Z46" i="9"/>
  <c r="AA46" i="9"/>
  <c r="D47" i="9"/>
  <c r="E47" i="9"/>
  <c r="F47" i="9"/>
  <c r="G47" i="9"/>
  <c r="H47" i="9"/>
  <c r="I47" i="9"/>
  <c r="J47" i="9"/>
  <c r="K47" i="9"/>
  <c r="L47" i="9"/>
  <c r="M47" i="9"/>
  <c r="N47" i="9"/>
  <c r="O47" i="9"/>
  <c r="P47" i="9"/>
  <c r="Q47" i="9"/>
  <c r="R47" i="9"/>
  <c r="S47" i="9"/>
  <c r="T47" i="9"/>
  <c r="U47" i="9"/>
  <c r="V47" i="9"/>
  <c r="W47" i="9"/>
  <c r="X47" i="9"/>
  <c r="Y47" i="9"/>
  <c r="Z47" i="9"/>
  <c r="AA47" i="9"/>
  <c r="D48" i="9"/>
  <c r="E48" i="9"/>
  <c r="F48" i="9"/>
  <c r="G48" i="9"/>
  <c r="H48" i="9"/>
  <c r="I48" i="9"/>
  <c r="J48" i="9"/>
  <c r="K48" i="9"/>
  <c r="L48" i="9"/>
  <c r="M48" i="9"/>
  <c r="N48" i="9"/>
  <c r="O48" i="9"/>
  <c r="P48" i="9"/>
  <c r="Q48" i="9"/>
  <c r="R48" i="9"/>
  <c r="S48" i="9"/>
  <c r="T48" i="9"/>
  <c r="U48" i="9"/>
  <c r="V48" i="9"/>
  <c r="W48" i="9"/>
  <c r="X48" i="9"/>
  <c r="Y48" i="9"/>
  <c r="Z48" i="9"/>
  <c r="AA48" i="9"/>
  <c r="D49" i="9"/>
  <c r="E49" i="9"/>
  <c r="F49" i="9"/>
  <c r="G49" i="9"/>
  <c r="H49" i="9"/>
  <c r="I49" i="9"/>
  <c r="J49" i="9"/>
  <c r="K49" i="9"/>
  <c r="L49" i="9"/>
  <c r="M49" i="9"/>
  <c r="N49" i="9"/>
  <c r="O49" i="9"/>
  <c r="P49" i="9"/>
  <c r="Q49" i="9"/>
  <c r="R49" i="9"/>
  <c r="S49" i="9"/>
  <c r="T49" i="9"/>
  <c r="U49" i="9"/>
  <c r="V49" i="9"/>
  <c r="W49" i="9"/>
  <c r="X49" i="9"/>
  <c r="Y49" i="9"/>
  <c r="Z49" i="9"/>
  <c r="AA49" i="9"/>
  <c r="D50" i="9"/>
  <c r="E50" i="9"/>
  <c r="F50" i="9"/>
  <c r="G50" i="9"/>
  <c r="H50" i="9"/>
  <c r="I50" i="9"/>
  <c r="J50" i="9"/>
  <c r="K50" i="9"/>
  <c r="L50" i="9"/>
  <c r="M50" i="9"/>
  <c r="N50" i="9"/>
  <c r="O50" i="9"/>
  <c r="P50" i="9"/>
  <c r="Q50" i="9"/>
  <c r="R50" i="9"/>
  <c r="S50" i="9"/>
  <c r="T50" i="9"/>
  <c r="U50" i="9"/>
  <c r="V50" i="9"/>
  <c r="W50" i="9"/>
  <c r="X50" i="9"/>
  <c r="Y50" i="9"/>
  <c r="Z50" i="9"/>
  <c r="AA50" i="9"/>
  <c r="D51" i="9"/>
  <c r="E51" i="9"/>
  <c r="F51" i="9"/>
  <c r="G51" i="9"/>
  <c r="H51" i="9"/>
  <c r="I51" i="9"/>
  <c r="J51" i="9"/>
  <c r="K51" i="9"/>
  <c r="L51" i="9"/>
  <c r="M51" i="9"/>
  <c r="N51" i="9"/>
  <c r="O51" i="9"/>
  <c r="P51" i="9"/>
  <c r="Q51" i="9"/>
  <c r="R51" i="9"/>
  <c r="S51" i="9"/>
  <c r="T51" i="9"/>
  <c r="U51" i="9"/>
  <c r="V51" i="9"/>
  <c r="W51" i="9"/>
  <c r="X51" i="9"/>
  <c r="Y51" i="9"/>
  <c r="Z51" i="9"/>
  <c r="AA51" i="9"/>
  <c r="C51" i="9"/>
  <c r="C50" i="9"/>
  <c r="C49" i="9"/>
  <c r="C48" i="9"/>
  <c r="C47" i="9"/>
  <c r="C46" i="9"/>
  <c r="C45" i="9"/>
  <c r="D34" i="9"/>
  <c r="E34" i="9"/>
  <c r="F34" i="9"/>
  <c r="G34" i="9"/>
  <c r="H34" i="9"/>
  <c r="I34" i="9"/>
  <c r="J34" i="9"/>
  <c r="K34" i="9"/>
  <c r="L34" i="9"/>
  <c r="M34" i="9"/>
  <c r="N34" i="9"/>
  <c r="O34" i="9"/>
  <c r="P34" i="9"/>
  <c r="Q34" i="9"/>
  <c r="R34" i="9"/>
  <c r="S34" i="9"/>
  <c r="T34" i="9"/>
  <c r="U34" i="9"/>
  <c r="V34" i="9"/>
  <c r="W34" i="9"/>
  <c r="X34" i="9"/>
  <c r="Y34" i="9"/>
  <c r="Z34" i="9"/>
  <c r="AA34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A35" i="9"/>
  <c r="D36" i="9"/>
  <c r="E36" i="9"/>
  <c r="F36" i="9"/>
  <c r="G36" i="9"/>
  <c r="H36" i="9"/>
  <c r="I36" i="9"/>
  <c r="J36" i="9"/>
  <c r="K36" i="9"/>
  <c r="L36" i="9"/>
  <c r="M36" i="9"/>
  <c r="N36" i="9"/>
  <c r="O36" i="9"/>
  <c r="P36" i="9"/>
  <c r="Q36" i="9"/>
  <c r="R36" i="9"/>
  <c r="S36" i="9"/>
  <c r="T36" i="9"/>
  <c r="U36" i="9"/>
  <c r="V36" i="9"/>
  <c r="W36" i="9"/>
  <c r="X36" i="9"/>
  <c r="Y36" i="9"/>
  <c r="Z36" i="9"/>
  <c r="AA36" i="9"/>
  <c r="D37" i="9"/>
  <c r="E37" i="9"/>
  <c r="F37" i="9"/>
  <c r="G37" i="9"/>
  <c r="H37" i="9"/>
  <c r="I37" i="9"/>
  <c r="J37" i="9"/>
  <c r="K37" i="9"/>
  <c r="L37" i="9"/>
  <c r="M37" i="9"/>
  <c r="N37" i="9"/>
  <c r="O37" i="9"/>
  <c r="P37" i="9"/>
  <c r="Q37" i="9"/>
  <c r="R37" i="9"/>
  <c r="S37" i="9"/>
  <c r="T37" i="9"/>
  <c r="U37" i="9"/>
  <c r="V37" i="9"/>
  <c r="W37" i="9"/>
  <c r="X37" i="9"/>
  <c r="Y37" i="9"/>
  <c r="Z37" i="9"/>
  <c r="AA37" i="9"/>
  <c r="D38" i="9"/>
  <c r="E38" i="9"/>
  <c r="F38" i="9"/>
  <c r="G38" i="9"/>
  <c r="H38" i="9"/>
  <c r="I38" i="9"/>
  <c r="J38" i="9"/>
  <c r="K38" i="9"/>
  <c r="L38" i="9"/>
  <c r="M38" i="9"/>
  <c r="N38" i="9"/>
  <c r="O38" i="9"/>
  <c r="P38" i="9"/>
  <c r="Q38" i="9"/>
  <c r="R38" i="9"/>
  <c r="S38" i="9"/>
  <c r="T38" i="9"/>
  <c r="U38" i="9"/>
  <c r="V38" i="9"/>
  <c r="W38" i="9"/>
  <c r="X38" i="9"/>
  <c r="Y38" i="9"/>
  <c r="Z38" i="9"/>
  <c r="AA38" i="9"/>
  <c r="D39" i="9"/>
  <c r="E39" i="9"/>
  <c r="F39" i="9"/>
  <c r="G39" i="9"/>
  <c r="H39" i="9"/>
  <c r="I39" i="9"/>
  <c r="J39" i="9"/>
  <c r="K39" i="9"/>
  <c r="L39" i="9"/>
  <c r="M39" i="9"/>
  <c r="N39" i="9"/>
  <c r="O39" i="9"/>
  <c r="P39" i="9"/>
  <c r="Q39" i="9"/>
  <c r="R39" i="9"/>
  <c r="S39" i="9"/>
  <c r="T39" i="9"/>
  <c r="U39" i="9"/>
  <c r="V39" i="9"/>
  <c r="W39" i="9"/>
  <c r="X39" i="9"/>
  <c r="Y39" i="9"/>
  <c r="Z39" i="9"/>
  <c r="AA39" i="9"/>
  <c r="D40" i="9"/>
  <c r="E40" i="9"/>
  <c r="F40" i="9"/>
  <c r="G40" i="9"/>
  <c r="H40" i="9"/>
  <c r="I40" i="9"/>
  <c r="J40" i="9"/>
  <c r="K40" i="9"/>
  <c r="L40" i="9"/>
  <c r="M40" i="9"/>
  <c r="N40" i="9"/>
  <c r="O40" i="9"/>
  <c r="P40" i="9"/>
  <c r="Q40" i="9"/>
  <c r="R40" i="9"/>
  <c r="S40" i="9"/>
  <c r="T40" i="9"/>
  <c r="U40" i="9"/>
  <c r="V40" i="9"/>
  <c r="W40" i="9"/>
  <c r="X40" i="9"/>
  <c r="Y40" i="9"/>
  <c r="Z40" i="9"/>
  <c r="AA40" i="9"/>
  <c r="C40" i="9"/>
  <c r="C39" i="9"/>
  <c r="C37" i="9"/>
  <c r="C36" i="9"/>
  <c r="C38" i="9"/>
  <c r="C35" i="9"/>
  <c r="C34" i="9"/>
  <c r="D26" i="9"/>
  <c r="E26" i="9"/>
  <c r="F26" i="9"/>
  <c r="G26" i="9"/>
  <c r="H26" i="9"/>
  <c r="I26" i="9"/>
  <c r="J26" i="9"/>
  <c r="K26" i="9"/>
  <c r="L26" i="9"/>
  <c r="M26" i="9"/>
  <c r="N26" i="9"/>
  <c r="O26" i="9"/>
  <c r="P26" i="9"/>
  <c r="Q26" i="9"/>
  <c r="R26" i="9"/>
  <c r="S26" i="9"/>
  <c r="T26" i="9"/>
  <c r="U26" i="9"/>
  <c r="V26" i="9"/>
  <c r="W26" i="9"/>
  <c r="X26" i="9"/>
  <c r="Y26" i="9"/>
  <c r="Z26" i="9"/>
  <c r="AA26" i="9"/>
  <c r="D27" i="9"/>
  <c r="E27" i="9"/>
  <c r="F27" i="9"/>
  <c r="G27" i="9"/>
  <c r="H27" i="9"/>
  <c r="I27" i="9"/>
  <c r="J27" i="9"/>
  <c r="K27" i="9"/>
  <c r="L27" i="9"/>
  <c r="M27" i="9"/>
  <c r="N27" i="9"/>
  <c r="O27" i="9"/>
  <c r="P27" i="9"/>
  <c r="Q27" i="9"/>
  <c r="R27" i="9"/>
  <c r="S27" i="9"/>
  <c r="T27" i="9"/>
  <c r="U27" i="9"/>
  <c r="V27" i="9"/>
  <c r="W27" i="9"/>
  <c r="X27" i="9"/>
  <c r="Y27" i="9"/>
  <c r="Z27" i="9"/>
  <c r="AA27" i="9"/>
  <c r="D28" i="9"/>
  <c r="E28" i="9"/>
  <c r="F28" i="9"/>
  <c r="G28" i="9"/>
  <c r="H28" i="9"/>
  <c r="I28" i="9"/>
  <c r="J28" i="9"/>
  <c r="K28" i="9"/>
  <c r="L28" i="9"/>
  <c r="M28" i="9"/>
  <c r="N28" i="9"/>
  <c r="O28" i="9"/>
  <c r="P28" i="9"/>
  <c r="Q28" i="9"/>
  <c r="R28" i="9"/>
  <c r="S28" i="9"/>
  <c r="T28" i="9"/>
  <c r="U28" i="9"/>
  <c r="V28" i="9"/>
  <c r="W28" i="9"/>
  <c r="X28" i="9"/>
  <c r="Y28" i="9"/>
  <c r="Z28" i="9"/>
  <c r="AA28" i="9"/>
  <c r="C27" i="9"/>
  <c r="C28" i="9"/>
  <c r="C26" i="9"/>
  <c r="D19" i="9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D20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D21" i="9"/>
  <c r="E21" i="9"/>
  <c r="F21" i="9"/>
  <c r="G21" i="9"/>
  <c r="H21" i="9"/>
  <c r="I21" i="9"/>
  <c r="J21" i="9"/>
  <c r="K21" i="9"/>
  <c r="L21" i="9"/>
  <c r="M21" i="9"/>
  <c r="N21" i="9"/>
  <c r="O21" i="9"/>
  <c r="P21" i="9"/>
  <c r="Q21" i="9"/>
  <c r="R21" i="9"/>
  <c r="S21" i="9"/>
  <c r="T21" i="9"/>
  <c r="U21" i="9"/>
  <c r="V21" i="9"/>
  <c r="W21" i="9"/>
  <c r="X21" i="9"/>
  <c r="Y21" i="9"/>
  <c r="Z21" i="9"/>
  <c r="AA21" i="9"/>
  <c r="C20" i="9"/>
  <c r="C21" i="9"/>
  <c r="C19" i="9"/>
  <c r="AA102" i="5" l="1" a="1"/>
  <c r="AA102" i="5" s="1"/>
  <c r="D102" i="5" a="1"/>
  <c r="D102" i="5" s="1"/>
  <c r="V102" i="5" a="1"/>
  <c r="V102" i="5" s="1"/>
  <c r="I102" i="5" a="1"/>
  <c r="I102" i="5" s="1"/>
  <c r="H102" i="5" a="1"/>
  <c r="H102" i="5" s="1"/>
  <c r="Q102" i="5" a="1"/>
  <c r="Q102" i="5" s="1"/>
  <c r="P102" i="5" a="1"/>
  <c r="P102" i="5" s="1"/>
  <c r="M102" i="5" a="1"/>
  <c r="M102" i="5" s="1"/>
  <c r="W102" i="5" a="1"/>
  <c r="W102" i="5" s="1"/>
  <c r="E102" i="5" a="1"/>
  <c r="E102" i="5" s="1"/>
  <c r="K102" i="5" a="1"/>
  <c r="K102" i="5" s="1"/>
  <c r="AB102" i="5" a="1"/>
  <c r="AB102" i="5" s="1"/>
  <c r="J102" i="5" a="1"/>
  <c r="J102" i="5" s="1"/>
  <c r="F102" i="5" a="1"/>
  <c r="F102" i="5" s="1"/>
  <c r="R102" i="5" a="1"/>
  <c r="R102" i="5" s="1"/>
  <c r="O102" i="5" a="1"/>
  <c r="O102" i="5" s="1"/>
  <c r="Z102" i="5" a="1"/>
  <c r="Z102" i="5" s="1"/>
  <c r="U102" i="5" a="1"/>
  <c r="U102" i="5" s="1"/>
  <c r="N102" i="5" a="1"/>
  <c r="N102" i="5" s="1"/>
  <c r="T102" i="5" a="1"/>
  <c r="T102" i="5" s="1"/>
  <c r="Y102" i="5" a="1"/>
  <c r="Y102" i="5" s="1"/>
  <c r="S102" i="5" a="1"/>
  <c r="S102" i="5" s="1"/>
  <c r="X102" i="5" a="1"/>
  <c r="X102" i="5" s="1"/>
  <c r="G102" i="5" a="1"/>
  <c r="G102" i="5" s="1"/>
  <c r="F106" i="5" a="1"/>
  <c r="F106" i="5" s="1"/>
  <c r="M106" i="5" a="1"/>
  <c r="M106" i="5" s="1"/>
  <c r="L101" i="5" a="1"/>
  <c r="L101" i="5" s="1"/>
  <c r="X101" i="5" a="1"/>
  <c r="X101" i="5" s="1"/>
  <c r="M101" i="5" a="1"/>
  <c r="M101" i="5" s="1"/>
  <c r="Y101" i="5" a="1"/>
  <c r="Y101" i="5" s="1"/>
  <c r="N101" i="5" a="1"/>
  <c r="N101" i="5" s="1"/>
  <c r="Z101" i="5" a="1"/>
  <c r="Z101" i="5" s="1"/>
  <c r="O101" i="5" a="1"/>
  <c r="O101" i="5" s="1"/>
  <c r="AA101" i="5" a="1"/>
  <c r="AA101" i="5" s="1"/>
  <c r="P101" i="5" a="1"/>
  <c r="P101" i="5" s="1"/>
  <c r="AB101" i="5" a="1"/>
  <c r="AB101" i="5" s="1"/>
  <c r="D101" i="5" a="1"/>
  <c r="D101" i="5" s="1"/>
  <c r="E101" i="5" a="1"/>
  <c r="E101" i="5" s="1"/>
  <c r="Q101" i="5" a="1"/>
  <c r="Q101" i="5" s="1"/>
  <c r="F101" i="5" a="1"/>
  <c r="F101" i="5" s="1"/>
  <c r="R101" i="5" a="1"/>
  <c r="R101" i="5" s="1"/>
  <c r="G101" i="5" a="1"/>
  <c r="G101" i="5" s="1"/>
  <c r="S101" i="5" a="1"/>
  <c r="S101" i="5" s="1"/>
  <c r="H101" i="5" a="1"/>
  <c r="H101" i="5" s="1"/>
  <c r="T101" i="5" a="1"/>
  <c r="T101" i="5" s="1"/>
  <c r="I101" i="5" a="1"/>
  <c r="I101" i="5" s="1"/>
  <c r="U101" i="5" a="1"/>
  <c r="U101" i="5" s="1"/>
  <c r="J101" i="5" a="1"/>
  <c r="J101" i="5" s="1"/>
  <c r="V101" i="5" a="1"/>
  <c r="V101" i="5" s="1"/>
  <c r="K101" i="5" a="1"/>
  <c r="K101" i="5" s="1"/>
  <c r="W101" i="5" a="1"/>
  <c r="W101" i="5" s="1"/>
  <c r="M97" i="5" a="1"/>
  <c r="M97" i="5" s="1"/>
  <c r="Y97" i="5" a="1"/>
  <c r="Y97" i="5" s="1"/>
  <c r="N97" i="5" a="1"/>
  <c r="N97" i="5" s="1"/>
  <c r="Z97" i="5" a="1"/>
  <c r="Z97" i="5" s="1"/>
  <c r="O97" i="5" a="1"/>
  <c r="O97" i="5" s="1"/>
  <c r="AA97" i="5" a="1"/>
  <c r="AA97" i="5" s="1"/>
  <c r="P97" i="5" a="1"/>
  <c r="P97" i="5" s="1"/>
  <c r="AB97" i="5" a="1"/>
  <c r="AB97" i="5" s="1"/>
  <c r="E97" i="5" a="1"/>
  <c r="E97" i="5" s="1"/>
  <c r="Q97" i="5" a="1"/>
  <c r="Q97" i="5" s="1"/>
  <c r="G97" i="5" a="1"/>
  <c r="G97" i="5" s="1"/>
  <c r="F97" i="5" a="1"/>
  <c r="F97" i="5" s="1"/>
  <c r="R97" i="5" a="1"/>
  <c r="R97" i="5" s="1"/>
  <c r="S97" i="5" a="1"/>
  <c r="S97" i="5" s="1"/>
  <c r="H97" i="5" a="1"/>
  <c r="H97" i="5" s="1"/>
  <c r="T97" i="5" a="1"/>
  <c r="T97" i="5" s="1"/>
  <c r="I97" i="5" a="1"/>
  <c r="I97" i="5" s="1"/>
  <c r="U97" i="5" a="1"/>
  <c r="U97" i="5" s="1"/>
  <c r="J97" i="5" a="1"/>
  <c r="J97" i="5" s="1"/>
  <c r="V97" i="5" a="1"/>
  <c r="V97" i="5" s="1"/>
  <c r="D97" i="5" a="1"/>
  <c r="D97" i="5" s="1"/>
  <c r="K97" i="5" a="1"/>
  <c r="K97" i="5" s="1"/>
  <c r="W97" i="5" a="1"/>
  <c r="W97" i="5" s="1"/>
  <c r="L97" i="5" a="1"/>
  <c r="L97" i="5" s="1"/>
  <c r="X97" i="5" a="1"/>
  <c r="X97" i="5" s="1"/>
  <c r="L105" i="5" a="1"/>
  <c r="L105" i="5" s="1"/>
  <c r="X105" i="5" a="1"/>
  <c r="X105" i="5" s="1"/>
  <c r="M105" i="5" a="1"/>
  <c r="M105" i="5" s="1"/>
  <c r="Y105" i="5" a="1"/>
  <c r="Y105" i="5" s="1"/>
  <c r="D105" i="5" a="1"/>
  <c r="D105" i="5" s="1"/>
  <c r="N105" i="5" a="1"/>
  <c r="N105" i="5" s="1"/>
  <c r="Z105" i="5" a="1"/>
  <c r="Z105" i="5" s="1"/>
  <c r="P105" i="5" a="1"/>
  <c r="P105" i="5" s="1"/>
  <c r="AB105" i="5" a="1"/>
  <c r="AB105" i="5" s="1"/>
  <c r="E105" i="5" a="1"/>
  <c r="E105" i="5" s="1"/>
  <c r="Q105" i="5" a="1"/>
  <c r="Q105" i="5" s="1"/>
  <c r="G105" i="5" a="1"/>
  <c r="G105" i="5" s="1"/>
  <c r="S105" i="5" a="1"/>
  <c r="S105" i="5" s="1"/>
  <c r="I105" i="5" a="1"/>
  <c r="I105" i="5" s="1"/>
  <c r="H105" i="5" a="1"/>
  <c r="H105" i="5" s="1"/>
  <c r="T105" i="5" a="1"/>
  <c r="T105" i="5" s="1"/>
  <c r="U105" i="5" a="1"/>
  <c r="U105" i="5" s="1"/>
  <c r="F105" i="5" a="1"/>
  <c r="F105" i="5" s="1"/>
  <c r="J105" i="5" a="1"/>
  <c r="J105" i="5" s="1"/>
  <c r="V105" i="5" a="1"/>
  <c r="V105" i="5" s="1"/>
  <c r="AA105" i="5" a="1"/>
  <c r="AA105" i="5" s="1"/>
  <c r="R105" i="5" a="1"/>
  <c r="R105" i="5" s="1"/>
  <c r="K105" i="5" a="1"/>
  <c r="K105" i="5" s="1"/>
  <c r="W105" i="5" a="1"/>
  <c r="W105" i="5" s="1"/>
  <c r="O105" i="5" a="1"/>
  <c r="O105" i="5" s="1"/>
  <c r="M96" i="5" a="1"/>
  <c r="M96" i="5" s="1"/>
  <c r="Y96" i="5" a="1"/>
  <c r="Y96" i="5" s="1"/>
  <c r="N96" i="5" a="1"/>
  <c r="N96" i="5" s="1"/>
  <c r="Z96" i="5" a="1"/>
  <c r="Z96" i="5" s="1"/>
  <c r="O96" i="5" a="1"/>
  <c r="O96" i="5" s="1"/>
  <c r="AA96" i="5" a="1"/>
  <c r="AA96" i="5" s="1"/>
  <c r="P96" i="5" a="1"/>
  <c r="P96" i="5" s="1"/>
  <c r="AB96" i="5" a="1"/>
  <c r="AB96" i="5" s="1"/>
  <c r="E96" i="5" a="1"/>
  <c r="E96" i="5" s="1"/>
  <c r="Q96" i="5" a="1"/>
  <c r="Q96" i="5" s="1"/>
  <c r="G96" i="5" a="1"/>
  <c r="G96" i="5" s="1"/>
  <c r="F96" i="5" a="1"/>
  <c r="F96" i="5" s="1"/>
  <c r="R96" i="5" a="1"/>
  <c r="R96" i="5" s="1"/>
  <c r="D96" i="5" a="1"/>
  <c r="D96" i="5" s="1"/>
  <c r="S96" i="5" a="1"/>
  <c r="S96" i="5" s="1"/>
  <c r="H96" i="5" a="1"/>
  <c r="H96" i="5" s="1"/>
  <c r="T96" i="5" a="1"/>
  <c r="T96" i="5" s="1"/>
  <c r="I96" i="5" a="1"/>
  <c r="I96" i="5" s="1"/>
  <c r="U96" i="5" a="1"/>
  <c r="U96" i="5" s="1"/>
  <c r="J96" i="5" a="1"/>
  <c r="J96" i="5" s="1"/>
  <c r="V96" i="5" a="1"/>
  <c r="V96" i="5" s="1"/>
  <c r="K96" i="5" a="1"/>
  <c r="K96" i="5" s="1"/>
  <c r="W96" i="5" a="1"/>
  <c r="W96" i="5" s="1"/>
  <c r="L96" i="5" a="1"/>
  <c r="L96" i="5" s="1"/>
  <c r="X96" i="5" a="1"/>
  <c r="X96" i="5" s="1"/>
  <c r="L100" i="5" a="1"/>
  <c r="L100" i="5" s="1"/>
  <c r="X100" i="5" a="1"/>
  <c r="X100" i="5" s="1"/>
  <c r="M100" i="5" a="1"/>
  <c r="M100" i="5" s="1"/>
  <c r="Y100" i="5" a="1"/>
  <c r="Y100" i="5" s="1"/>
  <c r="N100" i="5" a="1"/>
  <c r="N100" i="5" s="1"/>
  <c r="Z100" i="5" a="1"/>
  <c r="Z100" i="5" s="1"/>
  <c r="O100" i="5" a="1"/>
  <c r="O100" i="5" s="1"/>
  <c r="P100" i="5" a="1"/>
  <c r="P100" i="5" s="1"/>
  <c r="AB100" i="5" a="1"/>
  <c r="AB100" i="5" s="1"/>
  <c r="E100" i="5" a="1"/>
  <c r="E100" i="5" s="1"/>
  <c r="Q100" i="5" a="1"/>
  <c r="Q100" i="5" s="1"/>
  <c r="F100" i="5" a="1"/>
  <c r="F100" i="5" s="1"/>
  <c r="G100" i="5" a="1"/>
  <c r="G100" i="5" s="1"/>
  <c r="S100" i="5" a="1"/>
  <c r="S100" i="5" s="1"/>
  <c r="H100" i="5" a="1"/>
  <c r="H100" i="5" s="1"/>
  <c r="T100" i="5" a="1"/>
  <c r="T100" i="5" s="1"/>
  <c r="D100" i="5" a="1"/>
  <c r="D100" i="5" s="1"/>
  <c r="I100" i="5" a="1"/>
  <c r="I100" i="5" s="1"/>
  <c r="U100" i="5" a="1"/>
  <c r="U100" i="5" s="1"/>
  <c r="J100" i="5" a="1"/>
  <c r="J100" i="5" s="1"/>
  <c r="V100" i="5" a="1"/>
  <c r="V100" i="5" s="1"/>
  <c r="AA100" i="5" a="1"/>
  <c r="AA100" i="5" s="1"/>
  <c r="R100" i="5" a="1"/>
  <c r="R100" i="5" s="1"/>
  <c r="K100" i="5" a="1"/>
  <c r="K100" i="5" s="1"/>
  <c r="W100" i="5" a="1"/>
  <c r="W100" i="5" s="1"/>
  <c r="L104" i="5" a="1"/>
  <c r="L104" i="5" s="1"/>
  <c r="X104" i="5" a="1"/>
  <c r="X104" i="5" s="1"/>
  <c r="O104" i="5" a="1"/>
  <c r="O104" i="5" s="1"/>
  <c r="M104" i="5" a="1"/>
  <c r="M104" i="5" s="1"/>
  <c r="Y104" i="5" a="1"/>
  <c r="Y104" i="5" s="1"/>
  <c r="D104" i="5" a="1"/>
  <c r="D104" i="5" s="1"/>
  <c r="N104" i="5" a="1"/>
  <c r="N104" i="5" s="1"/>
  <c r="Z104" i="5" a="1"/>
  <c r="Z104" i="5" s="1"/>
  <c r="AA104" i="5" a="1"/>
  <c r="AA104" i="5" s="1"/>
  <c r="P104" i="5" a="1"/>
  <c r="P104" i="5" s="1"/>
  <c r="AB104" i="5" a="1"/>
  <c r="AB104" i="5" s="1"/>
  <c r="E104" i="5" a="1"/>
  <c r="E104" i="5" s="1"/>
  <c r="Q104" i="5" a="1"/>
  <c r="Q104" i="5" s="1"/>
  <c r="R104" i="5" a="1"/>
  <c r="R104" i="5" s="1"/>
  <c r="G104" i="5" a="1"/>
  <c r="G104" i="5" s="1"/>
  <c r="S104" i="5" a="1"/>
  <c r="S104" i="5" s="1"/>
  <c r="F104" i="5" a="1"/>
  <c r="F104" i="5" s="1"/>
  <c r="H104" i="5" a="1"/>
  <c r="H104" i="5" s="1"/>
  <c r="T104" i="5" a="1"/>
  <c r="T104" i="5" s="1"/>
  <c r="I104" i="5" a="1"/>
  <c r="I104" i="5" s="1"/>
  <c r="U104" i="5" a="1"/>
  <c r="U104" i="5" s="1"/>
  <c r="J104" i="5" a="1"/>
  <c r="J104" i="5" s="1"/>
  <c r="V104" i="5" a="1"/>
  <c r="V104" i="5" s="1"/>
  <c r="K104" i="5" a="1"/>
  <c r="K104" i="5" s="1"/>
  <c r="W104" i="5" a="1"/>
  <c r="W104" i="5" s="1"/>
  <c r="M95" i="5" a="1"/>
  <c r="M95" i="5" s="1"/>
  <c r="Y95" i="5" a="1"/>
  <c r="Y95" i="5" s="1"/>
  <c r="N95" i="5" a="1"/>
  <c r="N95" i="5" s="1"/>
  <c r="Z95" i="5" a="1"/>
  <c r="Z95" i="5" s="1"/>
  <c r="O95" i="5" a="1"/>
  <c r="O95" i="5" s="1"/>
  <c r="AA95" i="5" a="1"/>
  <c r="AA95" i="5" s="1"/>
  <c r="P95" i="5" a="1"/>
  <c r="P95" i="5" s="1"/>
  <c r="AB95" i="5" a="1"/>
  <c r="AB95" i="5" s="1"/>
  <c r="E95" i="5" a="1"/>
  <c r="E95" i="5" s="1"/>
  <c r="Q95" i="5" a="1"/>
  <c r="Q95" i="5" s="1"/>
  <c r="D95" i="5" a="1"/>
  <c r="D95" i="5" s="1"/>
  <c r="F95" i="5" a="1"/>
  <c r="F95" i="5" s="1"/>
  <c r="R95" i="5" a="1"/>
  <c r="R95" i="5" s="1"/>
  <c r="S95" i="5" a="1"/>
  <c r="S95" i="5" s="1"/>
  <c r="G95" i="5" a="1"/>
  <c r="G95" i="5" s="1"/>
  <c r="H95" i="5" a="1"/>
  <c r="H95" i="5" s="1"/>
  <c r="T95" i="5" a="1"/>
  <c r="T95" i="5" s="1"/>
  <c r="I95" i="5" a="1"/>
  <c r="I95" i="5" s="1"/>
  <c r="U95" i="5" a="1"/>
  <c r="U95" i="5" s="1"/>
  <c r="J95" i="5" a="1"/>
  <c r="J95" i="5" s="1"/>
  <c r="V95" i="5" a="1"/>
  <c r="V95" i="5" s="1"/>
  <c r="K95" i="5" a="1"/>
  <c r="K95" i="5" s="1"/>
  <c r="W95" i="5" a="1"/>
  <c r="W95" i="5" s="1"/>
  <c r="L95" i="5" a="1"/>
  <c r="L95" i="5" s="1"/>
  <c r="X95" i="5" a="1"/>
  <c r="X95" i="5" s="1"/>
  <c r="M99" i="5" a="1"/>
  <c r="M99" i="5" s="1"/>
  <c r="P99" i="5" a="1"/>
  <c r="P99" i="5" s="1"/>
  <c r="N99" i="5" a="1"/>
  <c r="N99" i="5" s="1"/>
  <c r="Y99" i="5" a="1"/>
  <c r="Y99" i="5" s="1"/>
  <c r="O99" i="5" a="1"/>
  <c r="O99" i="5" s="1"/>
  <c r="Z99" i="5" a="1"/>
  <c r="Z99" i="5" s="1"/>
  <c r="E99" i="5" a="1"/>
  <c r="E99" i="5" s="1"/>
  <c r="Q99" i="5" a="1"/>
  <c r="Q99" i="5" s="1"/>
  <c r="AB99" i="5" a="1"/>
  <c r="AB99" i="5" s="1"/>
  <c r="S99" i="5" a="1"/>
  <c r="S99" i="5" s="1"/>
  <c r="F99" i="5" a="1"/>
  <c r="F99" i="5" s="1"/>
  <c r="R99" i="5" a="1"/>
  <c r="R99" i="5" s="1"/>
  <c r="H99" i="5" a="1"/>
  <c r="H99" i="5" s="1"/>
  <c r="T99" i="5" a="1"/>
  <c r="T99" i="5" s="1"/>
  <c r="D99" i="5" a="1"/>
  <c r="D99" i="5" s="1"/>
  <c r="I99" i="5" a="1"/>
  <c r="I99" i="5" s="1"/>
  <c r="U99" i="5" a="1"/>
  <c r="U99" i="5" s="1"/>
  <c r="J99" i="5" a="1"/>
  <c r="J99" i="5" s="1"/>
  <c r="V99" i="5" a="1"/>
  <c r="V99" i="5" s="1"/>
  <c r="K99" i="5" a="1"/>
  <c r="K99" i="5" s="1"/>
  <c r="W99" i="5" a="1"/>
  <c r="W99" i="5" s="1"/>
  <c r="L99" i="5" a="1"/>
  <c r="L99" i="5" s="1"/>
  <c r="X99" i="5" a="1"/>
  <c r="X99" i="5" s="1"/>
  <c r="AA99" i="5" a="1"/>
  <c r="AA99" i="5" s="1"/>
  <c r="G99" i="5" a="1"/>
  <c r="G99" i="5" s="1"/>
  <c r="L103" i="5" a="1"/>
  <c r="L103" i="5" s="1"/>
  <c r="X103" i="5" a="1"/>
  <c r="X103" i="5" s="1"/>
  <c r="D103" i="5" a="1"/>
  <c r="D103" i="5" s="1"/>
  <c r="M103" i="5" a="1"/>
  <c r="M103" i="5" s="1"/>
  <c r="Y103" i="5" a="1"/>
  <c r="Y103" i="5" s="1"/>
  <c r="AA103" i="5" a="1"/>
  <c r="AA103" i="5" s="1"/>
  <c r="N103" i="5" a="1"/>
  <c r="N103" i="5" s="1"/>
  <c r="Z103" i="5" a="1"/>
  <c r="Z103" i="5" s="1"/>
  <c r="P103" i="5" a="1"/>
  <c r="P103" i="5" s="1"/>
  <c r="AB103" i="5" a="1"/>
  <c r="AB103" i="5" s="1"/>
  <c r="F103" i="5" a="1"/>
  <c r="F103" i="5" s="1"/>
  <c r="E103" i="5" a="1"/>
  <c r="E103" i="5" s="1"/>
  <c r="Q103" i="5" a="1"/>
  <c r="Q103" i="5" s="1"/>
  <c r="G103" i="5" a="1"/>
  <c r="G103" i="5" s="1"/>
  <c r="S103" i="5" a="1"/>
  <c r="S103" i="5" s="1"/>
  <c r="U103" i="5" a="1"/>
  <c r="U103" i="5" s="1"/>
  <c r="H103" i="5" a="1"/>
  <c r="H103" i="5" s="1"/>
  <c r="T103" i="5" a="1"/>
  <c r="T103" i="5" s="1"/>
  <c r="I103" i="5" a="1"/>
  <c r="I103" i="5" s="1"/>
  <c r="J103" i="5" a="1"/>
  <c r="J103" i="5" s="1"/>
  <c r="V103" i="5" a="1"/>
  <c r="V103" i="5" s="1"/>
  <c r="O103" i="5" a="1"/>
  <c r="O103" i="5" s="1"/>
  <c r="K103" i="5" a="1"/>
  <c r="K103" i="5" s="1"/>
  <c r="W103" i="5" a="1"/>
  <c r="W103" i="5" s="1"/>
  <c r="R103" i="5" a="1"/>
  <c r="R103" i="5" s="1"/>
  <c r="AA52" i="9"/>
  <c r="F6" i="9"/>
  <c r="D6" i="9"/>
  <c r="E6" i="9"/>
  <c r="C6" i="9"/>
  <c r="F5" i="9"/>
  <c r="C5" i="9"/>
  <c r="D5" i="9"/>
  <c r="E5" i="9"/>
  <c r="AA41" i="9"/>
  <c r="Z41" i="9"/>
  <c r="V52" i="9"/>
  <c r="F4" i="9"/>
  <c r="E4" i="9"/>
  <c r="D4" i="9"/>
  <c r="C4" i="9"/>
  <c r="W52" i="9"/>
  <c r="C11" i="9"/>
  <c r="D11" i="9"/>
  <c r="F11" i="9"/>
  <c r="E11" i="9"/>
  <c r="O52" i="9"/>
  <c r="F13" i="9"/>
  <c r="E13" i="9"/>
  <c r="D13" i="9"/>
  <c r="C13" i="9"/>
  <c r="E12" i="9"/>
  <c r="D12" i="9"/>
  <c r="F12" i="9"/>
  <c r="C12" i="9"/>
  <c r="O41" i="9"/>
  <c r="J52" i="9"/>
  <c r="C13" i="10"/>
  <c r="D13" i="10"/>
  <c r="F13" i="10"/>
  <c r="E13" i="10"/>
  <c r="E12" i="10"/>
  <c r="D12" i="10"/>
  <c r="F12" i="10"/>
  <c r="C12" i="10"/>
  <c r="D4" i="10"/>
  <c r="F4" i="10"/>
  <c r="C4" i="10"/>
  <c r="E4" i="10"/>
  <c r="C5" i="10"/>
  <c r="D5" i="10"/>
  <c r="F5" i="10"/>
  <c r="E5" i="10"/>
  <c r="F6" i="10"/>
  <c r="D6" i="10"/>
  <c r="C6" i="10"/>
  <c r="E6" i="10"/>
  <c r="D11" i="10"/>
  <c r="C11" i="10"/>
  <c r="F11" i="10"/>
  <c r="E11" i="10"/>
  <c r="D52" i="9"/>
  <c r="I41" i="9"/>
  <c r="U41" i="9"/>
  <c r="T72" i="10"/>
  <c r="D41" i="9"/>
  <c r="K52" i="9"/>
  <c r="S52" i="9"/>
  <c r="W41" i="9"/>
  <c r="R52" i="9"/>
  <c r="X41" i="9"/>
  <c r="G52" i="9"/>
  <c r="H91" i="10"/>
  <c r="T91" i="10"/>
  <c r="Y41" i="9"/>
  <c r="M41" i="9"/>
  <c r="Q52" i="9"/>
  <c r="K41" i="9"/>
  <c r="S41" i="9"/>
  <c r="G41" i="9"/>
  <c r="T52" i="9"/>
  <c r="H52" i="9"/>
  <c r="L91" i="10"/>
  <c r="E52" i="9"/>
  <c r="E52" i="10"/>
  <c r="Q52" i="10"/>
  <c r="F72" i="10"/>
  <c r="R72" i="10"/>
  <c r="Y72" i="10"/>
  <c r="P52" i="9"/>
  <c r="Z41" i="10"/>
  <c r="D72" i="10"/>
  <c r="P72" i="10"/>
  <c r="T22" i="10"/>
  <c r="N41" i="10"/>
  <c r="G52" i="10"/>
  <c r="S52" i="10"/>
  <c r="M72" i="10"/>
  <c r="H72" i="10"/>
  <c r="E91" i="10"/>
  <c r="Q91" i="10"/>
  <c r="G29" i="10"/>
  <c r="S29" i="10"/>
  <c r="M41" i="10"/>
  <c r="V52" i="10"/>
  <c r="X91" i="10"/>
  <c r="I72" i="10"/>
  <c r="U72" i="10"/>
  <c r="D29" i="10"/>
  <c r="P29" i="10"/>
  <c r="Y41" i="10"/>
  <c r="I22" i="10"/>
  <c r="T29" i="10"/>
  <c r="E72" i="10"/>
  <c r="Q72" i="10"/>
  <c r="L72" i="10"/>
  <c r="X72" i="10"/>
  <c r="N91" i="10"/>
  <c r="Z91" i="10"/>
  <c r="I91" i="10"/>
  <c r="U91" i="10"/>
  <c r="E22" i="10"/>
  <c r="Q22" i="10"/>
  <c r="G22" i="10"/>
  <c r="S22" i="10"/>
  <c r="K22" i="10"/>
  <c r="W22" i="10"/>
  <c r="H29" i="10"/>
  <c r="E41" i="10"/>
  <c r="Q41" i="10"/>
  <c r="Y52" i="10"/>
  <c r="J52" i="10"/>
  <c r="G72" i="10"/>
  <c r="S72" i="10"/>
  <c r="N72" i="10"/>
  <c r="Z72" i="10"/>
  <c r="D91" i="10"/>
  <c r="P91" i="10"/>
  <c r="M52" i="9"/>
  <c r="K72" i="10"/>
  <c r="W72" i="10"/>
  <c r="M91" i="10"/>
  <c r="Y91" i="10"/>
  <c r="U22" i="10"/>
  <c r="Y22" i="10"/>
  <c r="G41" i="10"/>
  <c r="S41" i="10"/>
  <c r="M22" i="10"/>
  <c r="H22" i="10"/>
  <c r="L29" i="10"/>
  <c r="X29" i="10"/>
  <c r="F91" i="10"/>
  <c r="R91" i="10"/>
  <c r="K91" i="10"/>
  <c r="W91" i="10"/>
  <c r="J72" i="10"/>
  <c r="V72" i="10"/>
  <c r="G91" i="10"/>
  <c r="S91" i="10"/>
  <c r="L52" i="10"/>
  <c r="X52" i="10"/>
  <c r="F29" i="10"/>
  <c r="R29" i="10"/>
  <c r="H52" i="10"/>
  <c r="T52" i="10"/>
  <c r="H41" i="10"/>
  <c r="T41" i="10"/>
  <c r="I41" i="10"/>
  <c r="U41" i="10"/>
  <c r="N52" i="10"/>
  <c r="Z52" i="10"/>
  <c r="N29" i="10"/>
  <c r="Z29" i="10"/>
  <c r="K41" i="10"/>
  <c r="W41" i="10"/>
  <c r="D52" i="10"/>
  <c r="P52" i="10"/>
  <c r="R22" i="10"/>
  <c r="L22" i="10"/>
  <c r="X22" i="10"/>
  <c r="K52" i="10"/>
  <c r="W52" i="10"/>
  <c r="M29" i="10"/>
  <c r="Y29" i="10"/>
  <c r="O52" i="10"/>
  <c r="AA52" i="10"/>
  <c r="F22" i="10"/>
  <c r="C72" i="10"/>
  <c r="O72" i="10"/>
  <c r="AA72" i="10"/>
  <c r="J91" i="10"/>
  <c r="V91" i="10"/>
  <c r="C29" i="10"/>
  <c r="O29" i="10"/>
  <c r="AA29" i="10"/>
  <c r="J41" i="10"/>
  <c r="V41" i="10"/>
  <c r="M52" i="10"/>
  <c r="J22" i="10"/>
  <c r="V22" i="10"/>
  <c r="E29" i="10"/>
  <c r="Q29" i="10"/>
  <c r="L41" i="10"/>
  <c r="X41" i="10"/>
  <c r="C52" i="10"/>
  <c r="C91" i="10"/>
  <c r="O91" i="10"/>
  <c r="AA91" i="10"/>
  <c r="C41" i="10"/>
  <c r="O41" i="10"/>
  <c r="AA41" i="10"/>
  <c r="F52" i="10"/>
  <c r="R52" i="10"/>
  <c r="N22" i="10"/>
  <c r="Z22" i="10"/>
  <c r="I29" i="10"/>
  <c r="U29" i="10"/>
  <c r="D41" i="10"/>
  <c r="P41" i="10"/>
  <c r="C22" i="10"/>
  <c r="O22" i="10"/>
  <c r="AA22" i="10"/>
  <c r="J29" i="10"/>
  <c r="V29" i="10"/>
  <c r="D22" i="10"/>
  <c r="P22" i="10"/>
  <c r="K29" i="10"/>
  <c r="W29" i="10"/>
  <c r="F41" i="10"/>
  <c r="R41" i="10"/>
  <c r="I52" i="10"/>
  <c r="U52" i="10"/>
  <c r="F52" i="9"/>
  <c r="N41" i="9"/>
  <c r="U52" i="9"/>
  <c r="I52" i="9"/>
  <c r="L41" i="9"/>
  <c r="F29" i="9"/>
  <c r="P41" i="9"/>
  <c r="R29" i="9"/>
  <c r="E41" i="9"/>
  <c r="R41" i="9"/>
  <c r="F41" i="9"/>
  <c r="Q41" i="9"/>
  <c r="X52" i="9"/>
  <c r="L52" i="9"/>
  <c r="V41" i="9"/>
  <c r="J41" i="9"/>
  <c r="Y52" i="9"/>
  <c r="J22" i="9"/>
  <c r="N52" i="9"/>
  <c r="Z52" i="9"/>
  <c r="C52" i="9"/>
  <c r="H22" i="9"/>
  <c r="T41" i="9"/>
  <c r="H41" i="9"/>
  <c r="F91" i="9"/>
  <c r="R91" i="9"/>
  <c r="M72" i="9"/>
  <c r="Y72" i="9"/>
  <c r="J91" i="9"/>
  <c r="V91" i="9"/>
  <c r="J72" i="9"/>
  <c r="V72" i="9"/>
  <c r="G91" i="9"/>
  <c r="S91" i="9"/>
  <c r="C72" i="9"/>
  <c r="O72" i="9"/>
  <c r="AA72" i="9"/>
  <c r="L91" i="9"/>
  <c r="X91" i="9"/>
  <c r="F72" i="9"/>
  <c r="R72" i="9"/>
  <c r="C91" i="9"/>
  <c r="O91" i="9"/>
  <c r="AA91" i="9"/>
  <c r="H72" i="9"/>
  <c r="T72" i="9"/>
  <c r="E91" i="9"/>
  <c r="Q91" i="9"/>
  <c r="N72" i="9"/>
  <c r="Z72" i="9"/>
  <c r="G72" i="9"/>
  <c r="S72" i="9"/>
  <c r="D91" i="9"/>
  <c r="P91" i="9"/>
  <c r="N29" i="9"/>
  <c r="P29" i="9"/>
  <c r="T22" i="9"/>
  <c r="D29" i="9"/>
  <c r="S22" i="9"/>
  <c r="I22" i="9"/>
  <c r="U22" i="9"/>
  <c r="E29" i="9"/>
  <c r="Q29" i="9"/>
  <c r="G22" i="9"/>
  <c r="K22" i="9"/>
  <c r="W22" i="9"/>
  <c r="G29" i="9"/>
  <c r="S29" i="9"/>
  <c r="I29" i="9"/>
  <c r="U29" i="9"/>
  <c r="C29" i="9"/>
  <c r="O29" i="9"/>
  <c r="AA29" i="9"/>
  <c r="K72" i="9"/>
  <c r="W72" i="9"/>
  <c r="H91" i="9"/>
  <c r="T91" i="9"/>
  <c r="L72" i="9"/>
  <c r="X72" i="9"/>
  <c r="I91" i="9"/>
  <c r="U91" i="9"/>
  <c r="N22" i="9"/>
  <c r="Z22" i="9"/>
  <c r="M91" i="9"/>
  <c r="Y91" i="9"/>
  <c r="E72" i="9"/>
  <c r="Q72" i="9"/>
  <c r="N91" i="9"/>
  <c r="Z91" i="9"/>
  <c r="M29" i="9"/>
  <c r="Y29" i="9"/>
  <c r="E22" i="9"/>
  <c r="Q22" i="9"/>
  <c r="L29" i="9"/>
  <c r="X29" i="9"/>
  <c r="F22" i="9"/>
  <c r="R22" i="9"/>
  <c r="Z29" i="9"/>
  <c r="D72" i="9"/>
  <c r="P72" i="9"/>
  <c r="K91" i="9"/>
  <c r="W91" i="9"/>
  <c r="V22" i="9"/>
  <c r="L22" i="9"/>
  <c r="X22" i="9"/>
  <c r="M22" i="9"/>
  <c r="Y22" i="9"/>
  <c r="H29" i="9"/>
  <c r="T29" i="9"/>
  <c r="C41" i="9"/>
  <c r="I72" i="9"/>
  <c r="U72" i="9"/>
  <c r="C22" i="9"/>
  <c r="O22" i="9"/>
  <c r="AA22" i="9"/>
  <c r="J29" i="9"/>
  <c r="V29" i="9"/>
  <c r="D22" i="9"/>
  <c r="P22" i="9"/>
  <c r="K29" i="9"/>
  <c r="W29" i="9"/>
  <c r="D45" i="5"/>
  <c r="E45" i="5"/>
  <c r="F45" i="5"/>
  <c r="G45" i="5"/>
  <c r="H45" i="5"/>
  <c r="I45" i="5"/>
  <c r="J45" i="5"/>
  <c r="K45" i="5"/>
  <c r="L45" i="5"/>
  <c r="M45" i="5"/>
  <c r="N45" i="5"/>
  <c r="O45" i="5"/>
  <c r="P45" i="5"/>
  <c r="Q45" i="5"/>
  <c r="R45" i="5"/>
  <c r="S45" i="5"/>
  <c r="T45" i="5"/>
  <c r="U45" i="5"/>
  <c r="V45" i="5"/>
  <c r="W45" i="5"/>
  <c r="X45" i="5"/>
  <c r="Y45" i="5"/>
  <c r="Z45" i="5"/>
  <c r="AA45" i="5"/>
  <c r="D46" i="5"/>
  <c r="E46" i="5"/>
  <c r="F46" i="5"/>
  <c r="G46" i="5"/>
  <c r="H46" i="5"/>
  <c r="I46" i="5"/>
  <c r="J46" i="5"/>
  <c r="K46" i="5"/>
  <c r="L46" i="5"/>
  <c r="M46" i="5"/>
  <c r="N46" i="5"/>
  <c r="O46" i="5"/>
  <c r="P46" i="5"/>
  <c r="Q46" i="5"/>
  <c r="R46" i="5"/>
  <c r="S46" i="5"/>
  <c r="T46" i="5"/>
  <c r="U46" i="5"/>
  <c r="V46" i="5"/>
  <c r="W46" i="5"/>
  <c r="X46" i="5"/>
  <c r="Y46" i="5"/>
  <c r="Z46" i="5"/>
  <c r="AA46" i="5"/>
  <c r="D47" i="5"/>
  <c r="E47" i="5"/>
  <c r="F47" i="5"/>
  <c r="G47" i="5"/>
  <c r="H47" i="5"/>
  <c r="I47" i="5"/>
  <c r="J47" i="5"/>
  <c r="K47" i="5"/>
  <c r="L47" i="5"/>
  <c r="M47" i="5"/>
  <c r="N47" i="5"/>
  <c r="O47" i="5"/>
  <c r="P47" i="5"/>
  <c r="Q47" i="5"/>
  <c r="R47" i="5"/>
  <c r="S47" i="5"/>
  <c r="T47" i="5"/>
  <c r="U47" i="5"/>
  <c r="V47" i="5"/>
  <c r="W47" i="5"/>
  <c r="X47" i="5"/>
  <c r="Y47" i="5"/>
  <c r="Z47" i="5"/>
  <c r="AA47" i="5"/>
  <c r="D48" i="5"/>
  <c r="E48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U48" i="5"/>
  <c r="V48" i="5"/>
  <c r="W48" i="5"/>
  <c r="X48" i="5"/>
  <c r="Y48" i="5"/>
  <c r="Z48" i="5"/>
  <c r="AA48" i="5"/>
  <c r="D49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U49" i="5"/>
  <c r="V49" i="5"/>
  <c r="W49" i="5"/>
  <c r="X49" i="5"/>
  <c r="Y49" i="5"/>
  <c r="Z49" i="5"/>
  <c r="AA49" i="5"/>
  <c r="D50" i="5"/>
  <c r="E50" i="5"/>
  <c r="F50" i="5"/>
  <c r="G50" i="5"/>
  <c r="H50" i="5"/>
  <c r="I50" i="5"/>
  <c r="J50" i="5"/>
  <c r="K50" i="5"/>
  <c r="L50" i="5"/>
  <c r="M50" i="5"/>
  <c r="N50" i="5"/>
  <c r="O50" i="5"/>
  <c r="P50" i="5"/>
  <c r="Q50" i="5"/>
  <c r="R50" i="5"/>
  <c r="S50" i="5"/>
  <c r="T50" i="5"/>
  <c r="U50" i="5"/>
  <c r="V50" i="5"/>
  <c r="W50" i="5"/>
  <c r="X50" i="5"/>
  <c r="Y50" i="5"/>
  <c r="Z50" i="5"/>
  <c r="AA50" i="5"/>
  <c r="D51" i="5"/>
  <c r="E51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U51" i="5"/>
  <c r="V51" i="5"/>
  <c r="W51" i="5"/>
  <c r="X51" i="5"/>
  <c r="Y51" i="5"/>
  <c r="Z51" i="5"/>
  <c r="AA51" i="5"/>
  <c r="D86" i="5"/>
  <c r="E86" i="5"/>
  <c r="F86" i="5"/>
  <c r="G86" i="5"/>
  <c r="H86" i="5"/>
  <c r="I86" i="5"/>
  <c r="J86" i="5"/>
  <c r="K86" i="5"/>
  <c r="L86" i="5"/>
  <c r="M86" i="5"/>
  <c r="N86" i="5"/>
  <c r="O86" i="5"/>
  <c r="P86" i="5"/>
  <c r="Q86" i="5"/>
  <c r="R86" i="5"/>
  <c r="S86" i="5"/>
  <c r="T86" i="5"/>
  <c r="U86" i="5"/>
  <c r="V86" i="5"/>
  <c r="W86" i="5"/>
  <c r="X86" i="5"/>
  <c r="Y86" i="5"/>
  <c r="Z86" i="5"/>
  <c r="AA86" i="5"/>
  <c r="D87" i="5"/>
  <c r="E87" i="5"/>
  <c r="F87" i="5"/>
  <c r="G87" i="5"/>
  <c r="H87" i="5"/>
  <c r="I87" i="5"/>
  <c r="J87" i="5"/>
  <c r="K87" i="5"/>
  <c r="L87" i="5"/>
  <c r="M87" i="5"/>
  <c r="N87" i="5"/>
  <c r="O87" i="5"/>
  <c r="P87" i="5"/>
  <c r="Q87" i="5"/>
  <c r="R87" i="5"/>
  <c r="S87" i="5"/>
  <c r="T87" i="5"/>
  <c r="U87" i="5"/>
  <c r="V87" i="5"/>
  <c r="W87" i="5"/>
  <c r="X87" i="5"/>
  <c r="Y87" i="5"/>
  <c r="Z87" i="5"/>
  <c r="AA87" i="5"/>
  <c r="D88" i="5"/>
  <c r="E88" i="5"/>
  <c r="F88" i="5"/>
  <c r="G88" i="5"/>
  <c r="H88" i="5"/>
  <c r="I88" i="5"/>
  <c r="J88" i="5"/>
  <c r="K88" i="5"/>
  <c r="L88" i="5"/>
  <c r="M88" i="5"/>
  <c r="N88" i="5"/>
  <c r="O88" i="5"/>
  <c r="P88" i="5"/>
  <c r="Q88" i="5"/>
  <c r="R88" i="5"/>
  <c r="S88" i="5"/>
  <c r="T88" i="5"/>
  <c r="U88" i="5"/>
  <c r="V88" i="5"/>
  <c r="W88" i="5"/>
  <c r="X88" i="5"/>
  <c r="Y88" i="5"/>
  <c r="Z88" i="5"/>
  <c r="AA88" i="5"/>
  <c r="D89" i="5"/>
  <c r="E89" i="5"/>
  <c r="F89" i="5"/>
  <c r="G89" i="5"/>
  <c r="H89" i="5"/>
  <c r="I89" i="5"/>
  <c r="J89" i="5"/>
  <c r="K89" i="5"/>
  <c r="L89" i="5"/>
  <c r="M89" i="5"/>
  <c r="N89" i="5"/>
  <c r="O89" i="5"/>
  <c r="P89" i="5"/>
  <c r="Q89" i="5"/>
  <c r="R89" i="5"/>
  <c r="S89" i="5"/>
  <c r="T89" i="5"/>
  <c r="U89" i="5"/>
  <c r="V89" i="5"/>
  <c r="W89" i="5"/>
  <c r="X89" i="5"/>
  <c r="Y89" i="5"/>
  <c r="Z89" i="5"/>
  <c r="AA89" i="5"/>
  <c r="D90" i="5"/>
  <c r="E90" i="5"/>
  <c r="F90" i="5"/>
  <c r="G90" i="5"/>
  <c r="H90" i="5"/>
  <c r="I90" i="5"/>
  <c r="J90" i="5"/>
  <c r="K90" i="5"/>
  <c r="L90" i="5"/>
  <c r="M90" i="5"/>
  <c r="N90" i="5"/>
  <c r="O90" i="5"/>
  <c r="P90" i="5"/>
  <c r="Q90" i="5"/>
  <c r="R90" i="5"/>
  <c r="S90" i="5"/>
  <c r="T90" i="5"/>
  <c r="U90" i="5"/>
  <c r="V90" i="5"/>
  <c r="W90" i="5"/>
  <c r="X90" i="5"/>
  <c r="Y90" i="5"/>
  <c r="Z90" i="5"/>
  <c r="AA90" i="5"/>
  <c r="C88" i="5"/>
  <c r="C89" i="5"/>
  <c r="C90" i="5"/>
  <c r="C87" i="5"/>
  <c r="C86" i="5"/>
  <c r="D81" i="5"/>
  <c r="E81" i="5"/>
  <c r="F81" i="5"/>
  <c r="G81" i="5"/>
  <c r="H81" i="5"/>
  <c r="I81" i="5"/>
  <c r="J81" i="5"/>
  <c r="K81" i="5"/>
  <c r="L81" i="5"/>
  <c r="M81" i="5"/>
  <c r="N81" i="5"/>
  <c r="O81" i="5"/>
  <c r="P81" i="5"/>
  <c r="Q81" i="5"/>
  <c r="R81" i="5"/>
  <c r="S81" i="5"/>
  <c r="T81" i="5"/>
  <c r="U81" i="5"/>
  <c r="V81" i="5"/>
  <c r="W81" i="5"/>
  <c r="X81" i="5"/>
  <c r="Y81" i="5"/>
  <c r="Z81" i="5"/>
  <c r="AA81" i="5"/>
  <c r="D82" i="5"/>
  <c r="E82" i="5"/>
  <c r="F82" i="5"/>
  <c r="G82" i="5"/>
  <c r="H82" i="5"/>
  <c r="I82" i="5"/>
  <c r="J82" i="5"/>
  <c r="K82" i="5"/>
  <c r="L82" i="5"/>
  <c r="M82" i="5"/>
  <c r="N82" i="5"/>
  <c r="O82" i="5"/>
  <c r="P82" i="5"/>
  <c r="Q82" i="5"/>
  <c r="R82" i="5"/>
  <c r="S82" i="5"/>
  <c r="T82" i="5"/>
  <c r="U82" i="5"/>
  <c r="V82" i="5"/>
  <c r="W82" i="5"/>
  <c r="X82" i="5"/>
  <c r="Y82" i="5"/>
  <c r="Z82" i="5"/>
  <c r="AA82" i="5"/>
  <c r="D83" i="5"/>
  <c r="E83" i="5"/>
  <c r="F83" i="5"/>
  <c r="G83" i="5"/>
  <c r="H83" i="5"/>
  <c r="I83" i="5"/>
  <c r="J83" i="5"/>
  <c r="K83" i="5"/>
  <c r="L83" i="5"/>
  <c r="M83" i="5"/>
  <c r="N83" i="5"/>
  <c r="O83" i="5"/>
  <c r="P83" i="5"/>
  <c r="Q83" i="5"/>
  <c r="R83" i="5"/>
  <c r="S83" i="5"/>
  <c r="T83" i="5"/>
  <c r="U83" i="5"/>
  <c r="V83" i="5"/>
  <c r="W83" i="5"/>
  <c r="X83" i="5"/>
  <c r="Y83" i="5"/>
  <c r="Z83" i="5"/>
  <c r="AA83" i="5"/>
  <c r="D84" i="5"/>
  <c r="E84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U84" i="5"/>
  <c r="V84" i="5"/>
  <c r="W84" i="5"/>
  <c r="X84" i="5"/>
  <c r="Y84" i="5"/>
  <c r="Z84" i="5"/>
  <c r="AA84" i="5"/>
  <c r="D85" i="5"/>
  <c r="E85" i="5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T85" i="5"/>
  <c r="U85" i="5"/>
  <c r="V85" i="5"/>
  <c r="W85" i="5"/>
  <c r="X85" i="5"/>
  <c r="Y85" i="5"/>
  <c r="Z85" i="5"/>
  <c r="AA85" i="5"/>
  <c r="C83" i="5"/>
  <c r="C84" i="5"/>
  <c r="C85" i="5"/>
  <c r="C82" i="5"/>
  <c r="C81" i="5"/>
  <c r="D77" i="5"/>
  <c r="E77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T77" i="5"/>
  <c r="U77" i="5"/>
  <c r="V77" i="5"/>
  <c r="W77" i="5"/>
  <c r="X77" i="5"/>
  <c r="Y77" i="5"/>
  <c r="Z77" i="5"/>
  <c r="AA77" i="5"/>
  <c r="D78" i="5"/>
  <c r="E78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U78" i="5"/>
  <c r="V78" i="5"/>
  <c r="W78" i="5"/>
  <c r="X78" i="5"/>
  <c r="Y78" i="5"/>
  <c r="Z78" i="5"/>
  <c r="AA78" i="5"/>
  <c r="D79" i="5"/>
  <c r="E79" i="5"/>
  <c r="F79" i="5"/>
  <c r="G79" i="5"/>
  <c r="H79" i="5"/>
  <c r="I79" i="5"/>
  <c r="J79" i="5"/>
  <c r="K79" i="5"/>
  <c r="L79" i="5"/>
  <c r="M79" i="5"/>
  <c r="N79" i="5"/>
  <c r="O79" i="5"/>
  <c r="P79" i="5"/>
  <c r="Q79" i="5"/>
  <c r="R79" i="5"/>
  <c r="S79" i="5"/>
  <c r="T79" i="5"/>
  <c r="U79" i="5"/>
  <c r="V79" i="5"/>
  <c r="W79" i="5"/>
  <c r="X79" i="5"/>
  <c r="Y79" i="5"/>
  <c r="Z79" i="5"/>
  <c r="AA79" i="5"/>
  <c r="D80" i="5"/>
  <c r="E80" i="5"/>
  <c r="F80" i="5"/>
  <c r="G80" i="5"/>
  <c r="H80" i="5"/>
  <c r="I80" i="5"/>
  <c r="J80" i="5"/>
  <c r="K80" i="5"/>
  <c r="L80" i="5"/>
  <c r="M80" i="5"/>
  <c r="N80" i="5"/>
  <c r="O80" i="5"/>
  <c r="P80" i="5"/>
  <c r="Q80" i="5"/>
  <c r="R80" i="5"/>
  <c r="S80" i="5"/>
  <c r="T80" i="5"/>
  <c r="U80" i="5"/>
  <c r="V80" i="5"/>
  <c r="W80" i="5"/>
  <c r="X80" i="5"/>
  <c r="Y80" i="5"/>
  <c r="Z80" i="5"/>
  <c r="AA80" i="5"/>
  <c r="C78" i="5"/>
  <c r="C79" i="5"/>
  <c r="C80" i="5"/>
  <c r="C77" i="5"/>
  <c r="D76" i="5"/>
  <c r="E76" i="5"/>
  <c r="F76" i="5"/>
  <c r="G76" i="5"/>
  <c r="H76" i="5"/>
  <c r="I76" i="5"/>
  <c r="J76" i="5"/>
  <c r="K76" i="5"/>
  <c r="L76" i="5"/>
  <c r="M76" i="5"/>
  <c r="N76" i="5"/>
  <c r="O76" i="5"/>
  <c r="P76" i="5"/>
  <c r="Q76" i="5"/>
  <c r="R76" i="5"/>
  <c r="S76" i="5"/>
  <c r="T76" i="5"/>
  <c r="U76" i="5"/>
  <c r="V76" i="5"/>
  <c r="W76" i="5"/>
  <c r="X76" i="5"/>
  <c r="Y76" i="5"/>
  <c r="Z76" i="5"/>
  <c r="AA76" i="5"/>
  <c r="C76" i="5"/>
  <c r="D67" i="5"/>
  <c r="E67" i="5"/>
  <c r="F67" i="5"/>
  <c r="G67" i="5"/>
  <c r="H67" i="5"/>
  <c r="I67" i="5"/>
  <c r="J67" i="5"/>
  <c r="K67" i="5"/>
  <c r="L67" i="5"/>
  <c r="M67" i="5"/>
  <c r="N67" i="5"/>
  <c r="O67" i="5"/>
  <c r="P67" i="5"/>
  <c r="Q67" i="5"/>
  <c r="R67" i="5"/>
  <c r="S67" i="5"/>
  <c r="T67" i="5"/>
  <c r="U67" i="5"/>
  <c r="V67" i="5"/>
  <c r="W67" i="5"/>
  <c r="X67" i="5"/>
  <c r="Y67" i="5"/>
  <c r="Z67" i="5"/>
  <c r="AA67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Z68" i="5"/>
  <c r="AA68" i="5"/>
  <c r="D69" i="5"/>
  <c r="E69" i="5"/>
  <c r="F69" i="5"/>
  <c r="G69" i="5"/>
  <c r="H69" i="5"/>
  <c r="I69" i="5"/>
  <c r="J69" i="5"/>
  <c r="K69" i="5"/>
  <c r="L69" i="5"/>
  <c r="M69" i="5"/>
  <c r="N69" i="5"/>
  <c r="O69" i="5"/>
  <c r="P69" i="5"/>
  <c r="Q69" i="5"/>
  <c r="R69" i="5"/>
  <c r="S69" i="5"/>
  <c r="T69" i="5"/>
  <c r="U69" i="5"/>
  <c r="V69" i="5"/>
  <c r="W69" i="5"/>
  <c r="X69" i="5"/>
  <c r="Y69" i="5"/>
  <c r="Z69" i="5"/>
  <c r="AA69" i="5"/>
  <c r="D70" i="5"/>
  <c r="E70" i="5"/>
  <c r="F70" i="5"/>
  <c r="G70" i="5"/>
  <c r="H70" i="5"/>
  <c r="I70" i="5"/>
  <c r="J70" i="5"/>
  <c r="K70" i="5"/>
  <c r="L70" i="5"/>
  <c r="M70" i="5"/>
  <c r="N70" i="5"/>
  <c r="O70" i="5"/>
  <c r="P70" i="5"/>
  <c r="Q70" i="5"/>
  <c r="R70" i="5"/>
  <c r="S70" i="5"/>
  <c r="T70" i="5"/>
  <c r="U70" i="5"/>
  <c r="V70" i="5"/>
  <c r="W70" i="5"/>
  <c r="X70" i="5"/>
  <c r="Y70" i="5"/>
  <c r="Z70" i="5"/>
  <c r="AA70" i="5"/>
  <c r="D71" i="5"/>
  <c r="E71" i="5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U71" i="5"/>
  <c r="V71" i="5"/>
  <c r="W71" i="5"/>
  <c r="X71" i="5"/>
  <c r="Y71" i="5"/>
  <c r="Z71" i="5"/>
  <c r="AA71" i="5"/>
  <c r="C69" i="5"/>
  <c r="C70" i="5"/>
  <c r="C71" i="5"/>
  <c r="C68" i="5"/>
  <c r="C67" i="5"/>
  <c r="D62" i="5"/>
  <c r="E62" i="5"/>
  <c r="F62" i="5"/>
  <c r="G62" i="5"/>
  <c r="H62" i="5"/>
  <c r="I62" i="5"/>
  <c r="J62" i="5"/>
  <c r="K62" i="5"/>
  <c r="L62" i="5"/>
  <c r="M62" i="5"/>
  <c r="N62" i="5"/>
  <c r="O62" i="5"/>
  <c r="P62" i="5"/>
  <c r="Q62" i="5"/>
  <c r="R62" i="5"/>
  <c r="S62" i="5"/>
  <c r="T62" i="5"/>
  <c r="U62" i="5"/>
  <c r="V62" i="5"/>
  <c r="W62" i="5"/>
  <c r="X62" i="5"/>
  <c r="Y62" i="5"/>
  <c r="Z62" i="5"/>
  <c r="AA62" i="5"/>
  <c r="D63" i="5"/>
  <c r="E63" i="5"/>
  <c r="F63" i="5"/>
  <c r="G63" i="5"/>
  <c r="H63" i="5"/>
  <c r="I63" i="5"/>
  <c r="J63" i="5"/>
  <c r="K63" i="5"/>
  <c r="L63" i="5"/>
  <c r="M63" i="5"/>
  <c r="N63" i="5"/>
  <c r="O63" i="5"/>
  <c r="P63" i="5"/>
  <c r="Q63" i="5"/>
  <c r="R63" i="5"/>
  <c r="S63" i="5"/>
  <c r="T63" i="5"/>
  <c r="U63" i="5"/>
  <c r="V63" i="5"/>
  <c r="W63" i="5"/>
  <c r="X63" i="5"/>
  <c r="Y63" i="5"/>
  <c r="Z63" i="5"/>
  <c r="AA63" i="5"/>
  <c r="D64" i="5"/>
  <c r="E64" i="5"/>
  <c r="F64" i="5"/>
  <c r="G64" i="5"/>
  <c r="H64" i="5"/>
  <c r="I64" i="5"/>
  <c r="J64" i="5"/>
  <c r="K64" i="5"/>
  <c r="L64" i="5"/>
  <c r="M64" i="5"/>
  <c r="N64" i="5"/>
  <c r="O64" i="5"/>
  <c r="P64" i="5"/>
  <c r="Q64" i="5"/>
  <c r="R64" i="5"/>
  <c r="S64" i="5"/>
  <c r="T64" i="5"/>
  <c r="U64" i="5"/>
  <c r="V64" i="5"/>
  <c r="W64" i="5"/>
  <c r="X64" i="5"/>
  <c r="Y64" i="5"/>
  <c r="Z64" i="5"/>
  <c r="AA64" i="5"/>
  <c r="D65" i="5"/>
  <c r="E65" i="5"/>
  <c r="F65" i="5"/>
  <c r="G65" i="5"/>
  <c r="H65" i="5"/>
  <c r="I65" i="5"/>
  <c r="J65" i="5"/>
  <c r="K65" i="5"/>
  <c r="L65" i="5"/>
  <c r="M65" i="5"/>
  <c r="N65" i="5"/>
  <c r="O65" i="5"/>
  <c r="P65" i="5"/>
  <c r="Q65" i="5"/>
  <c r="R65" i="5"/>
  <c r="S65" i="5"/>
  <c r="T65" i="5"/>
  <c r="U65" i="5"/>
  <c r="V65" i="5"/>
  <c r="W65" i="5"/>
  <c r="X65" i="5"/>
  <c r="Y65" i="5"/>
  <c r="Z65" i="5"/>
  <c r="AA65" i="5"/>
  <c r="D66" i="5"/>
  <c r="E66" i="5"/>
  <c r="F66" i="5"/>
  <c r="G66" i="5"/>
  <c r="H66" i="5"/>
  <c r="I66" i="5"/>
  <c r="J66" i="5"/>
  <c r="K66" i="5"/>
  <c r="L66" i="5"/>
  <c r="M66" i="5"/>
  <c r="N66" i="5"/>
  <c r="O66" i="5"/>
  <c r="P66" i="5"/>
  <c r="Q66" i="5"/>
  <c r="R66" i="5"/>
  <c r="S66" i="5"/>
  <c r="T66" i="5"/>
  <c r="U66" i="5"/>
  <c r="V66" i="5"/>
  <c r="W66" i="5"/>
  <c r="X66" i="5"/>
  <c r="Y66" i="5"/>
  <c r="Z66" i="5"/>
  <c r="AA66" i="5"/>
  <c r="C64" i="5"/>
  <c r="C65" i="5"/>
  <c r="C66" i="5"/>
  <c r="C63" i="5"/>
  <c r="C62" i="5"/>
  <c r="D58" i="5"/>
  <c r="E58" i="5"/>
  <c r="F58" i="5"/>
  <c r="G58" i="5"/>
  <c r="H58" i="5"/>
  <c r="I58" i="5"/>
  <c r="J58" i="5"/>
  <c r="K58" i="5"/>
  <c r="L58" i="5"/>
  <c r="M58" i="5"/>
  <c r="N58" i="5"/>
  <c r="O58" i="5"/>
  <c r="P58" i="5"/>
  <c r="Q58" i="5"/>
  <c r="R58" i="5"/>
  <c r="S58" i="5"/>
  <c r="T58" i="5"/>
  <c r="U58" i="5"/>
  <c r="V58" i="5"/>
  <c r="W58" i="5"/>
  <c r="X58" i="5"/>
  <c r="Y58" i="5"/>
  <c r="Z58" i="5"/>
  <c r="AA58" i="5"/>
  <c r="D59" i="5"/>
  <c r="E59" i="5"/>
  <c r="F59" i="5"/>
  <c r="G59" i="5"/>
  <c r="H59" i="5"/>
  <c r="I59" i="5"/>
  <c r="J59" i="5"/>
  <c r="K59" i="5"/>
  <c r="L59" i="5"/>
  <c r="M59" i="5"/>
  <c r="N59" i="5"/>
  <c r="O59" i="5"/>
  <c r="P59" i="5"/>
  <c r="Q59" i="5"/>
  <c r="R59" i="5"/>
  <c r="S59" i="5"/>
  <c r="T59" i="5"/>
  <c r="U59" i="5"/>
  <c r="V59" i="5"/>
  <c r="W59" i="5"/>
  <c r="X59" i="5"/>
  <c r="Y59" i="5"/>
  <c r="Z59" i="5"/>
  <c r="AA59" i="5"/>
  <c r="D60" i="5"/>
  <c r="E60" i="5"/>
  <c r="F60" i="5"/>
  <c r="G60" i="5"/>
  <c r="H60" i="5"/>
  <c r="I60" i="5"/>
  <c r="J60" i="5"/>
  <c r="K60" i="5"/>
  <c r="L60" i="5"/>
  <c r="M60" i="5"/>
  <c r="N60" i="5"/>
  <c r="O60" i="5"/>
  <c r="P60" i="5"/>
  <c r="Q60" i="5"/>
  <c r="R60" i="5"/>
  <c r="S60" i="5"/>
  <c r="T60" i="5"/>
  <c r="U60" i="5"/>
  <c r="V60" i="5"/>
  <c r="W60" i="5"/>
  <c r="X60" i="5"/>
  <c r="Y60" i="5"/>
  <c r="Z60" i="5"/>
  <c r="AA60" i="5"/>
  <c r="D61" i="5"/>
  <c r="E61" i="5"/>
  <c r="F61" i="5"/>
  <c r="G61" i="5"/>
  <c r="H61" i="5"/>
  <c r="I61" i="5"/>
  <c r="J61" i="5"/>
  <c r="K61" i="5"/>
  <c r="L61" i="5"/>
  <c r="M61" i="5"/>
  <c r="N61" i="5"/>
  <c r="O61" i="5"/>
  <c r="P61" i="5"/>
  <c r="Q61" i="5"/>
  <c r="R61" i="5"/>
  <c r="S61" i="5"/>
  <c r="T61" i="5"/>
  <c r="U61" i="5"/>
  <c r="V61" i="5"/>
  <c r="W61" i="5"/>
  <c r="X61" i="5"/>
  <c r="Y61" i="5"/>
  <c r="Z61" i="5"/>
  <c r="AA61" i="5"/>
  <c r="C59" i="5"/>
  <c r="C60" i="5"/>
  <c r="C61" i="5"/>
  <c r="C58" i="5"/>
  <c r="AA57" i="5"/>
  <c r="Z57" i="5"/>
  <c r="Y57" i="5"/>
  <c r="X57" i="5"/>
  <c r="W57" i="5"/>
  <c r="V57" i="5"/>
  <c r="U57" i="5"/>
  <c r="T57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E57" i="5"/>
  <c r="D57" i="5"/>
  <c r="C57" i="5"/>
  <c r="C51" i="5"/>
  <c r="C50" i="5"/>
  <c r="C48" i="5"/>
  <c r="C47" i="5"/>
  <c r="C49" i="5"/>
  <c r="C46" i="5"/>
  <c r="C45" i="5"/>
  <c r="F135" i="5" l="1"/>
  <c r="E135" i="5"/>
  <c r="D135" i="5"/>
  <c r="C135" i="5"/>
  <c r="C137" i="5"/>
  <c r="D137" i="5"/>
  <c r="F137" i="5"/>
  <c r="E137" i="5"/>
  <c r="E143" i="5"/>
  <c r="C143" i="5"/>
  <c r="D143" i="5"/>
  <c r="F143" i="5"/>
  <c r="E146" i="5"/>
  <c r="D146" i="5"/>
  <c r="C146" i="5"/>
  <c r="F146" i="5"/>
  <c r="F138" i="5"/>
  <c r="E138" i="5"/>
  <c r="D138" i="5"/>
  <c r="C138" i="5"/>
  <c r="F127" i="5"/>
  <c r="C127" i="5"/>
  <c r="E127" i="5"/>
  <c r="D127" i="5"/>
  <c r="F145" i="5"/>
  <c r="E145" i="5"/>
  <c r="D145" i="5"/>
  <c r="C145" i="5"/>
  <c r="D130" i="5"/>
  <c r="E130" i="5"/>
  <c r="F130" i="5"/>
  <c r="C130" i="5"/>
  <c r="F144" i="5"/>
  <c r="E144" i="5"/>
  <c r="D144" i="5"/>
  <c r="C144" i="5"/>
  <c r="D136" i="5"/>
  <c r="C136" i="5"/>
  <c r="F136" i="5"/>
  <c r="E136" i="5"/>
  <c r="F129" i="5"/>
  <c r="E129" i="5"/>
  <c r="D129" i="5"/>
  <c r="C129" i="5"/>
  <c r="F128" i="5"/>
  <c r="C128" i="5"/>
  <c r="E128" i="5"/>
  <c r="D128" i="5"/>
  <c r="V107" i="5"/>
  <c r="E107" i="5"/>
  <c r="U107" i="5"/>
  <c r="P107" i="5"/>
  <c r="I107" i="5"/>
  <c r="AA107" i="5"/>
  <c r="E113" i="5"/>
  <c r="F113" i="5"/>
  <c r="C113" i="5"/>
  <c r="D113" i="5"/>
  <c r="T107" i="5"/>
  <c r="O107" i="5"/>
  <c r="E112" i="5"/>
  <c r="C112" i="5"/>
  <c r="D112" i="5"/>
  <c r="F112" i="5"/>
  <c r="H107" i="5"/>
  <c r="Z107" i="5"/>
  <c r="G107" i="5"/>
  <c r="N107" i="5"/>
  <c r="S107" i="5"/>
  <c r="Y107" i="5"/>
  <c r="X107" i="5"/>
  <c r="R107" i="5"/>
  <c r="M107" i="5"/>
  <c r="L107" i="5"/>
  <c r="F107" i="5"/>
  <c r="W107" i="5"/>
  <c r="E111" i="5"/>
  <c r="C111" i="5"/>
  <c r="F111" i="5"/>
  <c r="D107" i="5"/>
  <c r="D111" i="5"/>
  <c r="K107" i="5"/>
  <c r="Q107" i="5"/>
  <c r="J107" i="5"/>
  <c r="AB107" i="5"/>
  <c r="C14" i="9"/>
  <c r="D14" i="9"/>
  <c r="F7" i="9"/>
  <c r="C7" i="9"/>
  <c r="F14" i="9"/>
  <c r="D7" i="9"/>
  <c r="E7" i="9"/>
  <c r="E14" i="9"/>
  <c r="E14" i="10"/>
  <c r="D14" i="10"/>
  <c r="E7" i="10"/>
  <c r="C7" i="10"/>
  <c r="F14" i="10"/>
  <c r="C14" i="10"/>
  <c r="F7" i="10"/>
  <c r="D7" i="10"/>
  <c r="T52" i="5"/>
  <c r="W52" i="5"/>
  <c r="X52" i="5"/>
  <c r="Z52" i="5"/>
  <c r="Q52" i="5"/>
  <c r="R52" i="5"/>
  <c r="S52" i="5"/>
  <c r="V52" i="5"/>
  <c r="O52" i="5"/>
  <c r="AA52" i="5"/>
  <c r="F52" i="5"/>
  <c r="P52" i="5"/>
  <c r="H52" i="5"/>
  <c r="U52" i="5"/>
  <c r="N52" i="5"/>
  <c r="G52" i="5"/>
  <c r="M52" i="5"/>
  <c r="L52" i="5"/>
  <c r="D52" i="5"/>
  <c r="I52" i="5"/>
  <c r="J52" i="5"/>
  <c r="K52" i="5"/>
  <c r="E52" i="5"/>
  <c r="Y52" i="5"/>
  <c r="Q91" i="5"/>
  <c r="E91" i="5"/>
  <c r="S91" i="5"/>
  <c r="G91" i="5"/>
  <c r="N72" i="5"/>
  <c r="Z72" i="5"/>
  <c r="M91" i="5"/>
  <c r="P91" i="5"/>
  <c r="F91" i="5"/>
  <c r="R91" i="5"/>
  <c r="M72" i="5"/>
  <c r="Y72" i="5"/>
  <c r="X91" i="5"/>
  <c r="D91" i="5"/>
  <c r="T91" i="5"/>
  <c r="H91" i="5"/>
  <c r="D72" i="5"/>
  <c r="P72" i="5"/>
  <c r="L91" i="5"/>
  <c r="I72" i="5"/>
  <c r="U72" i="5"/>
  <c r="Y91" i="5"/>
  <c r="W91" i="5"/>
  <c r="K91" i="5"/>
  <c r="H72" i="5"/>
  <c r="T72" i="5"/>
  <c r="I91" i="5"/>
  <c r="U91" i="5"/>
  <c r="L72" i="5"/>
  <c r="X72" i="5"/>
  <c r="C72" i="5"/>
  <c r="N91" i="5"/>
  <c r="Z91" i="5"/>
  <c r="G72" i="5"/>
  <c r="S72" i="5"/>
  <c r="J91" i="5"/>
  <c r="V91" i="5"/>
  <c r="E72" i="5"/>
  <c r="Q72" i="5"/>
  <c r="C91" i="5"/>
  <c r="O91" i="5"/>
  <c r="AA91" i="5"/>
  <c r="J72" i="5"/>
  <c r="V72" i="5"/>
  <c r="K72" i="5"/>
  <c r="W72" i="5"/>
  <c r="F72" i="5"/>
  <c r="R72" i="5"/>
  <c r="AA72" i="5"/>
  <c r="O72" i="5"/>
  <c r="C52" i="5"/>
  <c r="D39" i="5"/>
  <c r="E39" i="5"/>
  <c r="F39" i="5"/>
  <c r="G39" i="5"/>
  <c r="H39" i="5"/>
  <c r="I39" i="5"/>
  <c r="J39" i="5"/>
  <c r="K39" i="5"/>
  <c r="L39" i="5"/>
  <c r="M39" i="5"/>
  <c r="N39" i="5"/>
  <c r="O39" i="5"/>
  <c r="P39" i="5"/>
  <c r="Q39" i="5"/>
  <c r="R39" i="5"/>
  <c r="S39" i="5"/>
  <c r="T39" i="5"/>
  <c r="U39" i="5"/>
  <c r="V39" i="5"/>
  <c r="W39" i="5"/>
  <c r="X39" i="5"/>
  <c r="Y39" i="5"/>
  <c r="Z39" i="5"/>
  <c r="AA39" i="5"/>
  <c r="D40" i="5"/>
  <c r="E40" i="5"/>
  <c r="F40" i="5"/>
  <c r="G40" i="5"/>
  <c r="H40" i="5"/>
  <c r="I40" i="5"/>
  <c r="J40" i="5"/>
  <c r="K40" i="5"/>
  <c r="L40" i="5"/>
  <c r="M40" i="5"/>
  <c r="N40" i="5"/>
  <c r="O40" i="5"/>
  <c r="P40" i="5"/>
  <c r="Q40" i="5"/>
  <c r="R40" i="5"/>
  <c r="S40" i="5"/>
  <c r="T40" i="5"/>
  <c r="U40" i="5"/>
  <c r="V40" i="5"/>
  <c r="W40" i="5"/>
  <c r="X40" i="5"/>
  <c r="Y40" i="5"/>
  <c r="Z40" i="5"/>
  <c r="AA40" i="5"/>
  <c r="C40" i="5"/>
  <c r="C39" i="5"/>
  <c r="D37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U37" i="5"/>
  <c r="V37" i="5"/>
  <c r="W37" i="5"/>
  <c r="X37" i="5"/>
  <c r="Y37" i="5"/>
  <c r="Z37" i="5"/>
  <c r="AA37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T36" i="5"/>
  <c r="U36" i="5"/>
  <c r="V36" i="5"/>
  <c r="W36" i="5"/>
  <c r="X36" i="5"/>
  <c r="Y36" i="5"/>
  <c r="Z36" i="5"/>
  <c r="AA36" i="5"/>
  <c r="C37" i="5"/>
  <c r="C36" i="5"/>
  <c r="D34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Y34" i="5"/>
  <c r="Z34" i="5"/>
  <c r="AA34" i="5"/>
  <c r="D35" i="5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U35" i="5"/>
  <c r="V35" i="5"/>
  <c r="W35" i="5"/>
  <c r="X35" i="5"/>
  <c r="Y35" i="5"/>
  <c r="Z35" i="5"/>
  <c r="AA35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Z38" i="5"/>
  <c r="AA38" i="5"/>
  <c r="C35" i="5"/>
  <c r="C38" i="5"/>
  <c r="C34" i="5"/>
  <c r="D26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U26" i="5"/>
  <c r="V26" i="5"/>
  <c r="W26" i="5"/>
  <c r="X26" i="5"/>
  <c r="Y26" i="5"/>
  <c r="Z26" i="5"/>
  <c r="AA26" i="5"/>
  <c r="D27" i="5"/>
  <c r="E27" i="5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U27" i="5"/>
  <c r="V27" i="5"/>
  <c r="W27" i="5"/>
  <c r="X27" i="5"/>
  <c r="Y27" i="5"/>
  <c r="Z27" i="5"/>
  <c r="AA27" i="5"/>
  <c r="D28" i="5"/>
  <c r="E28" i="5"/>
  <c r="F28" i="5"/>
  <c r="G28" i="5"/>
  <c r="H28" i="5"/>
  <c r="I28" i="5"/>
  <c r="J28" i="5"/>
  <c r="K28" i="5"/>
  <c r="L28" i="5"/>
  <c r="M28" i="5"/>
  <c r="N28" i="5"/>
  <c r="O28" i="5"/>
  <c r="P28" i="5"/>
  <c r="Q28" i="5"/>
  <c r="R28" i="5"/>
  <c r="S28" i="5"/>
  <c r="T28" i="5"/>
  <c r="U28" i="5"/>
  <c r="V28" i="5"/>
  <c r="W28" i="5"/>
  <c r="X28" i="5"/>
  <c r="Y28" i="5"/>
  <c r="Z28" i="5"/>
  <c r="AA28" i="5"/>
  <c r="C27" i="5"/>
  <c r="C28" i="5"/>
  <c r="C26" i="5"/>
  <c r="D19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Z19" i="5"/>
  <c r="AA19" i="5"/>
  <c r="D20" i="5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U20" i="5"/>
  <c r="V20" i="5"/>
  <c r="W20" i="5"/>
  <c r="X20" i="5"/>
  <c r="Y20" i="5"/>
  <c r="Z20" i="5"/>
  <c r="AA20" i="5"/>
  <c r="D21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U21" i="5"/>
  <c r="V21" i="5"/>
  <c r="W21" i="5"/>
  <c r="X21" i="5"/>
  <c r="Y21" i="5"/>
  <c r="Z21" i="5"/>
  <c r="AA21" i="5"/>
  <c r="C20" i="5"/>
  <c r="C21" i="5"/>
  <c r="C19" i="5"/>
  <c r="E147" i="5" l="1"/>
  <c r="F139" i="5"/>
  <c r="F147" i="5"/>
  <c r="D147" i="5"/>
  <c r="C131" i="5"/>
  <c r="C147" i="5"/>
  <c r="E139" i="5"/>
  <c r="C139" i="5"/>
  <c r="D139" i="5"/>
  <c r="D119" i="5"/>
  <c r="J119" i="5"/>
  <c r="K119" i="5" s="1"/>
  <c r="G119" i="5"/>
  <c r="H119" i="5" s="1"/>
  <c r="G121" i="5"/>
  <c r="H121" i="5" s="1"/>
  <c r="D121" i="5"/>
  <c r="E121" i="5" s="1"/>
  <c r="J121" i="5"/>
  <c r="K121" i="5" s="1"/>
  <c r="G120" i="5"/>
  <c r="H120" i="5" s="1"/>
  <c r="D120" i="5"/>
  <c r="E120" i="5" s="1"/>
  <c r="J120" i="5"/>
  <c r="K120" i="5" s="1"/>
  <c r="D114" i="5"/>
  <c r="F114" i="5"/>
  <c r="C114" i="5"/>
  <c r="E114" i="5"/>
  <c r="D12" i="5"/>
  <c r="F12" i="5"/>
  <c r="E12" i="5"/>
  <c r="C12" i="5"/>
  <c r="D13" i="5"/>
  <c r="C13" i="5"/>
  <c r="F13" i="5"/>
  <c r="E13" i="5"/>
  <c r="E4" i="5"/>
  <c r="C4" i="5"/>
  <c r="F4" i="5"/>
  <c r="D4" i="5"/>
  <c r="C6" i="5"/>
  <c r="D6" i="5"/>
  <c r="E6" i="5"/>
  <c r="F6" i="5"/>
  <c r="D5" i="5"/>
  <c r="F5" i="5"/>
  <c r="E5" i="5"/>
  <c r="C5" i="5"/>
  <c r="C11" i="5"/>
  <c r="F11" i="5"/>
  <c r="D11" i="5"/>
  <c r="E11" i="5"/>
  <c r="J29" i="5"/>
  <c r="AA41" i="5"/>
  <c r="O41" i="5"/>
  <c r="S41" i="5"/>
  <c r="G41" i="5"/>
  <c r="R41" i="5"/>
  <c r="F41" i="5"/>
  <c r="H41" i="5"/>
  <c r="Q41" i="5"/>
  <c r="E41" i="5"/>
  <c r="T41" i="5"/>
  <c r="P41" i="5"/>
  <c r="D41" i="5"/>
  <c r="Z41" i="5"/>
  <c r="N41" i="5"/>
  <c r="Y41" i="5"/>
  <c r="M41" i="5"/>
  <c r="X41" i="5"/>
  <c r="L41" i="5"/>
  <c r="W41" i="5"/>
  <c r="K41" i="5"/>
  <c r="V41" i="5"/>
  <c r="J41" i="5"/>
  <c r="U41" i="5"/>
  <c r="I41" i="5"/>
  <c r="C41" i="5"/>
  <c r="L29" i="5"/>
  <c r="Y29" i="5"/>
  <c r="Z29" i="5"/>
  <c r="V29" i="5"/>
  <c r="W29" i="5"/>
  <c r="K29" i="5"/>
  <c r="U29" i="5"/>
  <c r="Q29" i="5"/>
  <c r="E29" i="5"/>
  <c r="P29" i="5"/>
  <c r="D29" i="5"/>
  <c r="M29" i="5"/>
  <c r="I29" i="5"/>
  <c r="C29" i="5"/>
  <c r="X29" i="5"/>
  <c r="F29" i="5"/>
  <c r="R29" i="5"/>
  <c r="N29" i="5"/>
  <c r="O29" i="5"/>
  <c r="AA29" i="5"/>
  <c r="G29" i="5"/>
  <c r="S29" i="5"/>
  <c r="H29" i="5"/>
  <c r="T29" i="5"/>
  <c r="AA22" i="5"/>
  <c r="Z22" i="5"/>
  <c r="N22" i="5"/>
  <c r="Y22" i="5"/>
  <c r="M22" i="5"/>
  <c r="X22" i="5"/>
  <c r="L22" i="5"/>
  <c r="W22" i="5"/>
  <c r="K22" i="5"/>
  <c r="O22" i="5"/>
  <c r="V22" i="5"/>
  <c r="J22" i="5"/>
  <c r="U22" i="5"/>
  <c r="I22" i="5"/>
  <c r="T22" i="5"/>
  <c r="H22" i="5"/>
  <c r="S22" i="5"/>
  <c r="G22" i="5"/>
  <c r="R22" i="5"/>
  <c r="F22" i="5"/>
  <c r="Q22" i="5"/>
  <c r="E22" i="5"/>
  <c r="P22" i="5"/>
  <c r="D22" i="5"/>
  <c r="C22" i="5"/>
  <c r="E119" i="5" l="1"/>
  <c r="D122" i="5"/>
  <c r="E122" i="5" s="1"/>
  <c r="G122" i="5"/>
  <c r="H122" i="5" s="1"/>
  <c r="J122" i="5"/>
  <c r="K122" i="5" s="1"/>
  <c r="F7" i="5"/>
  <c r="J4" i="5" s="1"/>
  <c r="C14" i="5"/>
  <c r="E14" i="5"/>
  <c r="D7" i="5"/>
  <c r="D14" i="5"/>
  <c r="F14" i="5"/>
  <c r="J5" i="5" s="1"/>
  <c r="C7" i="5"/>
  <c r="E7" i="5"/>
  <c r="E131" i="5" l="1"/>
  <c r="F131" i="5"/>
  <c r="D131" i="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<sst xmlns="http://schemas.openxmlformats.org/spreadsheetml/2006/main" count="52149" uniqueCount="603">
  <si>
    <t>Workbook Contents</t>
  </si>
  <si>
    <t>Tab Name</t>
  </si>
  <si>
    <t>Description</t>
  </si>
  <si>
    <t>Summary-Therms</t>
  </si>
  <si>
    <t>Summary tables &amp; figures for annual therms</t>
  </si>
  <si>
    <t>Summary-Peak Day</t>
  </si>
  <si>
    <t>Summary tables &amp; figures for peak day therms</t>
  </si>
  <si>
    <t>Summary-Peak Hour</t>
  </si>
  <si>
    <t>Summary tables &amp; figures for peak hour therms</t>
  </si>
  <si>
    <t>Supply Curve</t>
  </si>
  <si>
    <t>TRC supply curve with gross and net levelized cost</t>
  </si>
  <si>
    <t>Annual Therms</t>
  </si>
  <si>
    <t>Detail model results for annual therms</t>
  </si>
  <si>
    <t>Peak Hour</t>
  </si>
  <si>
    <t>Detail model results for peak hour therms</t>
  </si>
  <si>
    <t>Peak Day</t>
  </si>
  <si>
    <t>Detail model results for peak day therms</t>
  </si>
  <si>
    <t>Income Groups</t>
  </si>
  <si>
    <t>Supporting detail for income group segmentation</t>
  </si>
  <si>
    <t>Peak Factors</t>
  </si>
  <si>
    <t>Supporting detail for peak day/hour calculations</t>
  </si>
  <si>
    <t>Cumulative Achievable Therms by Sector</t>
  </si>
  <si>
    <t>2-Year</t>
  </si>
  <si>
    <t>5-Year</t>
  </si>
  <si>
    <t>10-Year</t>
  </si>
  <si>
    <t>25-Year</t>
  </si>
  <si>
    <t>2050 Load</t>
  </si>
  <si>
    <t>therms</t>
  </si>
  <si>
    <t>Residential</t>
  </si>
  <si>
    <t>Achievable</t>
  </si>
  <si>
    <t>of 2050 load</t>
  </si>
  <si>
    <t>Commercial</t>
  </si>
  <si>
    <t>Cost-Effective</t>
  </si>
  <si>
    <t>Industrial</t>
  </si>
  <si>
    <t>Total</t>
  </si>
  <si>
    <t>Cumulative Cost-Effective Therms by Sector</t>
  </si>
  <si>
    <t>Achievable Therms by Sector</t>
  </si>
  <si>
    <t>Cost-Effective Therms by Sector</t>
  </si>
  <si>
    <t>Achievable Therms by Rate Class</t>
  </si>
  <si>
    <t>Sales</t>
  </si>
  <si>
    <t>Transport</t>
  </si>
  <si>
    <t>Cost-Effective Therms by Rate Class</t>
  </si>
  <si>
    <t>Achievable Therms by Sector &amp; End Use</t>
  </si>
  <si>
    <t>Appliances</t>
  </si>
  <si>
    <t>HVAC</t>
  </si>
  <si>
    <t>Water Heat</t>
  </si>
  <si>
    <t>Whole Building</t>
  </si>
  <si>
    <t>Process</t>
  </si>
  <si>
    <t>Cost-Effective Therms by Sector &amp; End Use</t>
  </si>
  <si>
    <t>Residential Segment and Income Distribution of Cost-Effective Potential</t>
  </si>
  <si>
    <t>Segment</t>
  </si>
  <si>
    <t>Income Qualifying</t>
  </si>
  <si>
    <t>Single Family</t>
  </si>
  <si>
    <t>Multifamily-Low Rise</t>
  </si>
  <si>
    <t>Multifamily-High Rise</t>
  </si>
  <si>
    <t>Manufactured</t>
  </si>
  <si>
    <t>Borderline Income Qualifying</t>
  </si>
  <si>
    <t>Non-Income Qualifying</t>
  </si>
  <si>
    <t>Residential Income Distribution of Cost-Effective Potential</t>
  </si>
  <si>
    <t>Comparison to Previous CPA (ktherms)</t>
  </si>
  <si>
    <t>Sector</t>
  </si>
  <si>
    <t>2-Year Potential</t>
  </si>
  <si>
    <t>10-Year Potential</t>
  </si>
  <si>
    <t>20-Year Potential</t>
  </si>
  <si>
    <t>2023 CPA</t>
  </si>
  <si>
    <t>2025 CPA</t>
  </si>
  <si>
    <t>% Change</t>
  </si>
  <si>
    <r>
      <t>*</t>
    </r>
    <r>
      <rPr>
        <i/>
        <sz val="10"/>
        <color theme="1"/>
        <rFont val="Aptos"/>
        <family val="2"/>
        <scheme val="minor"/>
      </rPr>
      <t>Data for 2023 CPA are from the model files and align with the report</t>
    </r>
  </si>
  <si>
    <t>Residential End Use, Cost-Effective Potential</t>
  </si>
  <si>
    <t>Commercial End Use, Cost-Effective Potential</t>
  </si>
  <si>
    <t>Industrial End Use, Cost-Effective Potential</t>
  </si>
  <si>
    <t>Cumulative Achievable Peak Day Therms by Sector</t>
  </si>
  <si>
    <t>Cumulative Cost-Effective Peak Day Therms by Sector</t>
  </si>
  <si>
    <t>Achievable Peak Day Therms by Sector</t>
  </si>
  <si>
    <t>Cost-Effective Peak Day Therms by Sector</t>
  </si>
  <si>
    <t>Achievable Peak Day Therms by Rate Class</t>
  </si>
  <si>
    <t>Cost-Effective Peak Day Therms by Rate Class</t>
  </si>
  <si>
    <t>Achievable Peak Day Therms by Sector &amp; End Use</t>
  </si>
  <si>
    <t>Cost-Effective Peak Day Therms by Sector &amp; End Use</t>
  </si>
  <si>
    <t>Cumulative Achievable Peak Hour Therms by Sector</t>
  </si>
  <si>
    <t>Cumulative Cost-Effective Peak Hour Therms by Sector</t>
  </si>
  <si>
    <t>Achievable Peak Hour Therms by Sector</t>
  </si>
  <si>
    <t>Cost-Effective Peak Hour Therms by Sector</t>
  </si>
  <si>
    <t>Achievable Peak Hour Therms by Rate Class</t>
  </si>
  <si>
    <t>Cost-Effective Peak Hour Therms by Rate Class</t>
  </si>
  <si>
    <t>Achievable Peak Hour Therms by Sector &amp; End Use</t>
  </si>
  <si>
    <t>Cost-Effective Peak Hour Therms by Sector &amp; End Use</t>
  </si>
  <si>
    <t>TRC-Net Levelized Cost ($/Therm)</t>
  </si>
  <si>
    <t>TRC-Gross Levelized Cost ($/Therm)</t>
  </si>
  <si>
    <t>Total Potential</t>
  </si>
  <si>
    <t>Cumulative Therms</t>
  </si>
  <si>
    <t>Cumulative</t>
  </si>
  <si>
    <t>File</t>
  </si>
  <si>
    <t>Measure Name</t>
  </si>
  <si>
    <t>End Use</t>
  </si>
  <si>
    <t>Measure Category</t>
  </si>
  <si>
    <t>Install Type</t>
  </si>
  <si>
    <t>Measure Index</t>
  </si>
  <si>
    <t>Firm/Interruptible</t>
  </si>
  <si>
    <t>Sales/Transport</t>
  </si>
  <si>
    <t>Rate Class</t>
  </si>
  <si>
    <t>Energy Savings (therms/yr)</t>
  </si>
  <si>
    <t>TRC BCR</t>
  </si>
  <si>
    <t>UCT BCR</t>
  </si>
  <si>
    <t>UCT Levelized Cost ($/Therm)</t>
  </si>
  <si>
    <t>Achievable therm 2026</t>
  </si>
  <si>
    <t>Achievable therm 2027</t>
  </si>
  <si>
    <t>Achievable therm 2028</t>
  </si>
  <si>
    <t>Achievable therm 2029</t>
  </si>
  <si>
    <t>Achievable therm 2030</t>
  </si>
  <si>
    <t>Achievable therm 2031</t>
  </si>
  <si>
    <t>Achievable therm 2032</t>
  </si>
  <si>
    <t>Achievable therm 2033</t>
  </si>
  <si>
    <t>Achievable therm 2034</t>
  </si>
  <si>
    <t>Achievable therm 2035</t>
  </si>
  <si>
    <t>Achievable therm 2036</t>
  </si>
  <si>
    <t>Achievable therm 2037</t>
  </si>
  <si>
    <t>Achievable therm 2038</t>
  </si>
  <si>
    <t>Achievable therm 2039</t>
  </si>
  <si>
    <t>Achievable therm 2040</t>
  </si>
  <si>
    <t>Achievable therm 2041</t>
  </si>
  <si>
    <t>Achievable therm 2042</t>
  </si>
  <si>
    <t>Achievable therm 2043</t>
  </si>
  <si>
    <t>Achievable therm 2044</t>
  </si>
  <si>
    <t>Achievable therm 2045</t>
  </si>
  <si>
    <t>Achievable therm 2046</t>
  </si>
  <si>
    <t>Achievable therm 2047</t>
  </si>
  <si>
    <t>Achievable therm 2048</t>
  </si>
  <si>
    <t>Achievable therm 2049</t>
  </si>
  <si>
    <t>Achievable therm 2050</t>
  </si>
  <si>
    <t>Total therm</t>
  </si>
  <si>
    <t>v5.10_MeasureAssessmentTemplate_Residential_All</t>
  </si>
  <si>
    <t>Duct Sealing - SEG Manufactured - INC All - Duct Sealing: Leakage Reduction &gt;=50% (PTCS Standard)</t>
  </si>
  <si>
    <t>Duct Sealing</t>
  </si>
  <si>
    <t>Retrofit</t>
  </si>
  <si>
    <t>Firm</t>
  </si>
  <si>
    <t>Manufactured LI</t>
  </si>
  <si>
    <t>Duct Sealing - SEG Single Family - INC All - Duct Sealing: Leakage Reduction &gt;=50% (PTCS Standard)</t>
  </si>
  <si>
    <t>Single Family LI</t>
  </si>
  <si>
    <t>Furnace Maintenance - SEG All - INC All - Furnace Maintenance</t>
  </si>
  <si>
    <t>Furnace Maintenance</t>
  </si>
  <si>
    <t>Multifamily-Low Rise LI</t>
  </si>
  <si>
    <t>Multifamily-High Rise LI</t>
  </si>
  <si>
    <t>Gas Boiler - SEG Multifamily - INC All - 94% Non-Condensing Boiler</t>
  </si>
  <si>
    <t>Gas Boiler</t>
  </si>
  <si>
    <t>NR</t>
  </si>
  <si>
    <t>Gas Fireplace - SEG Single Family - INC All - Gas Fireplace 75% FE</t>
  </si>
  <si>
    <t>Gas Fireplace</t>
  </si>
  <si>
    <t>New</t>
  </si>
  <si>
    <t>Gas Fireplace - SEG Multifamily - INC All - Gas Fireplace 75% FE</t>
  </si>
  <si>
    <t>Gas Fireplace - SEG Manufactured - INC All - Gas Fireplace 75% FE</t>
  </si>
  <si>
    <t>Gas Furnace - SEG Single Family - INC All -  95%+ AFUE Furnace - Market Baseline</t>
  </si>
  <si>
    <t>Gas Furnace</t>
  </si>
  <si>
    <t>Gas Furnace - 95% AFUE</t>
  </si>
  <si>
    <t>Gas Furnace - SEG Multifamily - INC All -  95%+ AFUE Furnace - Market Baseline</t>
  </si>
  <si>
    <t>Gas Furnace - SEG Manufactured - INC All -  95%+ AFUE Furnace - Market Baseline</t>
  </si>
  <si>
    <t>Gas Furnace - SEG Single Family - INC All - Gas Fired Heat Pump (106% to 130% Eff) - 95% AFUE Baseline</t>
  </si>
  <si>
    <t>Gas Furnace - GFHP</t>
  </si>
  <si>
    <t>Gas Furnace - SEG Multifamily - INC All - Gas Fired Heat Pump (106% to 130% Eff) - 95% AFUE Baseline</t>
  </si>
  <si>
    <t>Gas Furnace - SEG Manufactured - INC All - Gas Fired Heat Pump (106% to 130% Eff) - 95% AFUE Baseline</t>
  </si>
  <si>
    <t>Steam Traps - SEG Multifamily - INC All - Steam Traps</t>
  </si>
  <si>
    <t>Steam Traps</t>
  </si>
  <si>
    <t>Thermostat - SEG Single Family/Manufactured - INC All - Smart Thermostats</t>
  </si>
  <si>
    <t>Thermostat</t>
  </si>
  <si>
    <t>Thermostat - SEG Multifamily - INC All - Smart Thermostats</t>
  </si>
  <si>
    <t>Thermostat Optimization - SEG Single Family/Manufactured - INC All - Thermostat Optimization</t>
  </si>
  <si>
    <t>Thermostat Optimization</t>
  </si>
  <si>
    <t>Thermostatic Radiator Valve - SEG Multifamily - INC All - Thermostatic Radiator Valve added to Radiator</t>
  </si>
  <si>
    <t>Thermostatic Radiator Valve</t>
  </si>
  <si>
    <t>Boiler Maintenance - SEG Multifamily - INC All - Boiler Maintenance</t>
  </si>
  <si>
    <t>Boiler Maintenance</t>
  </si>
  <si>
    <t>Clothes Dryer - SEG All - INC All - Energy Star Gas Clothes Dryer</t>
  </si>
  <si>
    <t>Clothes Dryer</t>
  </si>
  <si>
    <t>Clothes Washer (Gas WH) - SEG All - INC All - Residential ENERGY STAR Clothes Washers</t>
  </si>
  <si>
    <t>Clothes Washer (Gas WH)</t>
  </si>
  <si>
    <t>Demand Controlled Recirculation Pump - SEG Multifamily - INC All - Demand Controlled Recirculation Pump</t>
  </si>
  <si>
    <t>Demand Controlled Recirculation Pump</t>
  </si>
  <si>
    <t>Gas Tank Water Heater - SEG All - INC All - ENERGY STAR Tank Water Heater</t>
  </si>
  <si>
    <t>Gas Tank Water Heater</t>
  </si>
  <si>
    <t>Gas Tank Water Heater - ENERGY STAR</t>
  </si>
  <si>
    <t>Gas Tank Water Heater - SEG All - INC All - Absorption Heat Pump Tank Water Heater</t>
  </si>
  <si>
    <t>Gas Tank Water Heater - HP</t>
  </si>
  <si>
    <t>Gas Tankless Water Heater - SEG All - INC All -  0.81+ UEF Tankless Water Heater</t>
  </si>
  <si>
    <t>Gas Tankless Water Heater</t>
  </si>
  <si>
    <t>Gas Tank Water Heater - SEG Multifamily - INC All - Multifamily Commercial Size Condensing 94% TE Tank Water Heater</t>
  </si>
  <si>
    <t>Gas Tank Water Heater - MF</t>
  </si>
  <si>
    <t>Pipe Insulation - SEG Multifamily - INC All - Indoor 2.0" Pipe Insulation</t>
  </si>
  <si>
    <t>Pipe Insulation</t>
  </si>
  <si>
    <t>Thermostatic Shower Valve - SEG All - INC All - Thermostatic Shower Valve</t>
  </si>
  <si>
    <t>Thermostatic Shower Valve</t>
  </si>
  <si>
    <t>Ceiling Insulation - SEG Single Family - INC All - Ceiling/Attic Insulation &gt;= R38 from R0-R11</t>
  </si>
  <si>
    <t>Ceiling Insulation</t>
  </si>
  <si>
    <t>Ceiling Insulation - R0-R11 to R38</t>
  </si>
  <si>
    <t>Ceiling Insulation - SEG Multifamily-Low Rise - INC All - Ceiling/Attic Insulation &gt;= R38 from R0-R11</t>
  </si>
  <si>
    <t>Ceiling Insulation - SEG Manufactured - INC All - Ceiling/Attic Insulation &gt;= R38 from R0-R11</t>
  </si>
  <si>
    <t>Ceiling Insulation - SEG Single Family - INC All - Ceiling/Attic Insulation &gt;= R38 from R12-R18</t>
  </si>
  <si>
    <t>Ceiling Insulation - R12-R18 to R38</t>
  </si>
  <si>
    <t>Ceiling Insulation - SEG Multifamily-Low Rise - INC All - Ceiling/Attic Insulation &gt;= R38 from R12-R18</t>
  </si>
  <si>
    <t>Ceiling Insulation - SEG Manufactured - INC All - Ceiling/Attic Insulation &gt;= R38 from R12-R18</t>
  </si>
  <si>
    <t>Ceiling Insulation - SEG Single Family/Manufactured - INC All - Ceiling/Attic Insulation &gt;= R60 from R18-R38</t>
  </si>
  <si>
    <t>Ceiling Insulation - R18-R38 to R60</t>
  </si>
  <si>
    <t>Door - SEG Multifamily - INC All - ENERGY STAR Door R2.5-5</t>
  </si>
  <si>
    <t>Door</t>
  </si>
  <si>
    <t>Floor Insulation - SEG Single Family - INC All - Floor Insulation &gt;= R30 from R0-R11</t>
  </si>
  <si>
    <t>Floor Insulation</t>
  </si>
  <si>
    <t>Floor Insulation - R0-R11 to R30</t>
  </si>
  <si>
    <t>Floor Insulation - SEG Manufactured - INC All - Floor Insulation &gt;= R30 from R0-R11</t>
  </si>
  <si>
    <t>Floor Insulation - SEG Multifamily-Low Rise - INC All - Floor Insulation &gt;= R30 from R11</t>
  </si>
  <si>
    <t>Floor Insulation - R11 to R30</t>
  </si>
  <si>
    <t>Infiltration Reduction (Air Sealing) - SEG Single Family - INC All - CFM50 Reduction via Air Sealing</t>
  </si>
  <si>
    <t>Infiltration Reduction (Air Sealing)</t>
  </si>
  <si>
    <t>Wall Insulation - SEG Single Family/Manufactured - INC All - Wall Insulation &gt;= R11 from R0-R4</t>
  </si>
  <si>
    <t>Wall Insulation</t>
  </si>
  <si>
    <t>Wall Insulation - R0-R4 to R11</t>
  </si>
  <si>
    <t>Wall Insulation - SEG Single Family/Manufactured - INC All - Wall Insulation &gt;= R30 from R4-R11</t>
  </si>
  <si>
    <t>Wall Insulation - R4-R11 to R30</t>
  </si>
  <si>
    <t>Wall Insulation - SEG Multifamily - INC All - Wall Insulation &gt;= R11 from R0-R6</t>
  </si>
  <si>
    <t>Wall Insulation - R0-R6 to R11</t>
  </si>
  <si>
    <t>Windows - SEG Multifamily-High Rise - INC All - Metal Frame Storm Window Replacement to U &lt; 0.30</t>
  </si>
  <si>
    <t>Windows</t>
  </si>
  <si>
    <t>Storm Windows - Metal Fram</t>
  </si>
  <si>
    <t>Windows - SEG Multifamily-High Rise - INC All - Non-Metal Frame Storm Window Replacement to U &lt; 0.30</t>
  </si>
  <si>
    <t>Storm Windows - Non-Metal Fram</t>
  </si>
  <si>
    <t>Windows - SEG Single Family - INC All - Window Replacement to U-Value 0.23-0.27</t>
  </si>
  <si>
    <t>Windows - U 0.23-0.27</t>
  </si>
  <si>
    <t>Windows - SEG Multifamily - INC All - Window Replacement to U-Value 0.23-0.27</t>
  </si>
  <si>
    <t>Windows - SEG Manufactured - INC All - Window Replacement to U-Value 0.23-0.27</t>
  </si>
  <si>
    <t>Windows - SEG Single Family - INC All - Window Replacement to U-Value 0.20-0.23</t>
  </si>
  <si>
    <t>Windows - U 0.20-0.23</t>
  </si>
  <si>
    <t>Windows - SEG Multifamily - INC All - Window Replacement to U-Value 0.20-0.23</t>
  </si>
  <si>
    <t>Windows - SEG Manufactured - INC All - Window Replacement to U-Value 0.20-0.23</t>
  </si>
  <si>
    <t>Windows - SEG Single Family - INC All - Window Replacement to Thin Triple Pane U-Value &lt; 0.2</t>
  </si>
  <si>
    <t>Windows - U &lt; 0.2</t>
  </si>
  <si>
    <t>Windows - SEG Multifamily - INC All - Window Replacement to Thin Triple Pane U-Value &lt; 0.2</t>
  </si>
  <si>
    <t>Windows - SEG Manufactured - INC All - Window Replacement to Thin Triple Pane U-Value &lt; 0.2</t>
  </si>
  <si>
    <t>Duct Insulation - SEG Single Family - INC All - Duct Insulation &gt;= R11</t>
  </si>
  <si>
    <t>Duct Insulation</t>
  </si>
  <si>
    <t>Behavior Program - SEG All - INC All - Home Energy Reports</t>
  </si>
  <si>
    <t>Behavior Program</t>
  </si>
  <si>
    <t>Energy Performance Score Homes - SEG Single Family - INC All - New Homes EPS - Path 2 - MECH + DHW</t>
  </si>
  <si>
    <t>Energy Performance Score Homes</t>
  </si>
  <si>
    <t>Energy Performance Score Homes - Path 2</t>
  </si>
  <si>
    <t>Energy Performance Score Homes - SEG Single Family - INC All - New Homes EPS - Path 3 - MECH + DHW</t>
  </si>
  <si>
    <t>Energy Performance Score Homes - Path 3</t>
  </si>
  <si>
    <t xml:space="preserve">Energy Performance Score Homes - SEG Single Family - INC All - New Homes EPS - Path 4 - Advanced Whole Home </t>
  </si>
  <si>
    <t>Energy Performance Score Homes - Path 4</t>
  </si>
  <si>
    <t>Energy Performance Score Homes - SEG Single Family - INC All - Path 5 Emerging Super Efficient Home</t>
  </si>
  <si>
    <t>Energy Performance Score Homes - Path 5</t>
  </si>
  <si>
    <t xml:space="preserve">Manufactured New Home - SEG Manufactured - INC All - Manufactured New Homes - ENERGY STAR </t>
  </si>
  <si>
    <t>Manufactured New Home</t>
  </si>
  <si>
    <t>v5.10_MeasureAssessmentTemplate_Commercial_All</t>
  </si>
  <si>
    <t>Clothes Dryer - SEG SEL - ENERGY STAR Clothes Dryer</t>
  </si>
  <si>
    <t>Lodging</t>
  </si>
  <si>
    <t>Hospital</t>
  </si>
  <si>
    <t>Assembly</t>
  </si>
  <si>
    <t>Other</t>
  </si>
  <si>
    <t>Interruptible</t>
  </si>
  <si>
    <t>Clothes Washer - SEG SEL - ENERGY STAR Clothes Washer</t>
  </si>
  <si>
    <t>Clothes Washer</t>
  </si>
  <si>
    <t>Ozone Laundry - SEG SEL - Laundry with Ozone Gas Generator</t>
  </si>
  <si>
    <t>Ozone Laundry</t>
  </si>
  <si>
    <t>Pool Cover - SEG SEL - Pool Cover</t>
  </si>
  <si>
    <t>Pool Cover</t>
  </si>
  <si>
    <t>Pool Heater - SEG SEL - 96% Efficient Pool Heater for Indoor Pool</t>
  </si>
  <si>
    <t>Pool Heater</t>
  </si>
  <si>
    <t>Pool Heater Indoor</t>
  </si>
  <si>
    <t>Pool Heater - SEG SEL - 96% Efficient Pool Heater for Outdoor Pool</t>
  </si>
  <si>
    <t>Pool Heater Outdoor</t>
  </si>
  <si>
    <t>Two Stage Valve for Clothes Dryer - SEG SEL - Two-Stage Valves for Commercial Gas Clothes Dryers</t>
  </si>
  <si>
    <t>Two Stage Valve for Clothes Dryer</t>
  </si>
  <si>
    <t>Griddles - SEG SEL - Energy Star Gas Griddle</t>
  </si>
  <si>
    <t>Griddles</t>
  </si>
  <si>
    <t>Extra Large Retail</t>
  </si>
  <si>
    <t>Large Retail</t>
  </si>
  <si>
    <t>Medium Retail</t>
  </si>
  <si>
    <t>Small Retail</t>
  </si>
  <si>
    <t>School K-12</t>
  </si>
  <si>
    <t>Supermarket</t>
  </si>
  <si>
    <t>Restaurant</t>
  </si>
  <si>
    <t>Steam Cookers - SEG SEL - Energy Star Gas Steamer</t>
  </si>
  <si>
    <t>Steam Cookers</t>
  </si>
  <si>
    <t>Conveyor Boilers - SEG SEL - Automatic Conveyor Broiler Gas</t>
  </si>
  <si>
    <t>Conveyor Boilers</t>
  </si>
  <si>
    <t>Fryers - SEG Restaurant - Energy Star Gas Fryer</t>
  </si>
  <si>
    <t>Fryers</t>
  </si>
  <si>
    <t>Fryers - SEG SEL - Energy Star Gas Fryer</t>
  </si>
  <si>
    <t>Advanced RTU Controls (ARC) - SEG All - Full ARC on RTUs</t>
  </si>
  <si>
    <t>Advanced RTU Controls (ARC)</t>
  </si>
  <si>
    <t>Large Office</t>
  </si>
  <si>
    <t>Medium Office</t>
  </si>
  <si>
    <t>Small Office</t>
  </si>
  <si>
    <t>Condensing Gas RTU - SEG All - Condensing Gas RTU (&gt;90% Eff)</t>
  </si>
  <si>
    <t>Condensing Gas RTU</t>
  </si>
  <si>
    <t>Gas Boiler - SEG Office - Condensing Boiler (&gt;= 94 AFUE)</t>
  </si>
  <si>
    <t>Gas Boiler - SEG Retail - Condensing Boiler (&gt;= 94 AFUE)</t>
  </si>
  <si>
    <t>Gas Boiler - SEG School - Condensing Boiler (&gt;= 94 AFUE)</t>
  </si>
  <si>
    <t>Gas Boiler - SEG Hospital - Condensing Boiler (&gt;= 94 AFUE)</t>
  </si>
  <si>
    <t>Gas Boiler - SEG Lodging - Condensing Boiler (&gt;= 94 AFUE)</t>
  </si>
  <si>
    <t>Gas Furnace - SEG All - Condensing Furnace(&gt;=95 AFUE)</t>
  </si>
  <si>
    <t>Gas Furnace - Condensing</t>
  </si>
  <si>
    <t>Gas Furnace - SEG All - Gas-Fired Heat Pump (140% efficiency)</t>
  </si>
  <si>
    <t>Gas Furnace - HP</t>
  </si>
  <si>
    <t>Heat Recovery Ventilator - SEG Office - Heat Recovery Ventilator Installed</t>
  </si>
  <si>
    <t>Heat Recovery Ventilator</t>
  </si>
  <si>
    <t>Heat Recovery Ventilator - SEG Restaurant - Heat Recovery Ventilator Installed</t>
  </si>
  <si>
    <t>Heat Recovery Ventilator - SEG Retail - Heat Recovery Ventilator Installed</t>
  </si>
  <si>
    <t>Heat Recovery Ventilator - SEG Supermarket - Heat Recovery Ventilator Installed</t>
  </si>
  <si>
    <t>Heat Recovery Ventilator - SEG School - Heat Recovery Ventilator Installed</t>
  </si>
  <si>
    <t>Heat Recovery Ventilator - SEG Hospital - Heat Recovery Ventilator Installed</t>
  </si>
  <si>
    <t>Heat Recovery Ventilator - SEG Lodging - Heat Recovery Ventilator Installed</t>
  </si>
  <si>
    <t>Heat Recovery Ventilator - SEG Other - Heat Recovery Ventilator Installed</t>
  </si>
  <si>
    <t>Kitchen Vent Hood VFD - SEG SEL - VFD on Kitchen Vent Hood</t>
  </si>
  <si>
    <t>Kitchen Vent Hood VFD</t>
  </si>
  <si>
    <t>Modulating Burner - SEG All - Modulating Boiler Burner</t>
  </si>
  <si>
    <t>Modulating Burner</t>
  </si>
  <si>
    <t>Pipe Insulation - SEG Office - Pipe Insulation for Space Heating Boiler</t>
  </si>
  <si>
    <t>Pipe Insulation - SEG Restaurant - Pipe Insulation for Space Heating Boiler</t>
  </si>
  <si>
    <t>Pipe Insulation - SEG Retail - Pipe Insulation for Space Heating Boiler</t>
  </si>
  <si>
    <t>Pipe Insulation - SEG Supermarket - Pipe Insulation for Space Heating Boiler</t>
  </si>
  <si>
    <t>Pipe Insulation - SEG School - Pipe Insulation for Space Heating Boiler</t>
  </si>
  <si>
    <t>Pipe Insulation - SEG Hospital - Pipe Insulation for Space Heating Boiler</t>
  </si>
  <si>
    <t>Pipe Insulation - SEG Lodging - Pipe Insulation for Space Heating Boiler</t>
  </si>
  <si>
    <t>Pipe Insulation - SEG Other - Pipe Insulation for Space Heating Boiler</t>
  </si>
  <si>
    <t>Radiant Unit Heater - SEG Office - Radiant Unit Heater</t>
  </si>
  <si>
    <t>Radiant Unit Heater</t>
  </si>
  <si>
    <t>Radiant Unit Heater - SEG Restaurant - Radiant Unit Heater</t>
  </si>
  <si>
    <t>Radiant Unit Heater - SEG Retail - Radiant Unit Heater</t>
  </si>
  <si>
    <t>Radiant Unit Heater - SEG Supermarket - Radiant Unit Heater</t>
  </si>
  <si>
    <t>Radiant Unit Heater - SEG School - Radiant Unit Heater</t>
  </si>
  <si>
    <t>Radiant Unit Heater - SEG Hospital - Radiant Unit Heater</t>
  </si>
  <si>
    <t>Radiant Unit Heater - SEG Lodging - Radiant Unit Heater</t>
  </si>
  <si>
    <t>Radiant Unit Heater - SEG Other - Radiant Unit Heater</t>
  </si>
  <si>
    <t>Refrigeration - Retrofit Doors - HVAC Savings - SEG SEL - Add Cooler Doors to Open Display Cases</t>
  </si>
  <si>
    <t>Refrigeration</t>
  </si>
  <si>
    <t>Refrigeration - Retrofit Doors - HVAC Savings</t>
  </si>
  <si>
    <t>Steam Traps - SEG Office - Steam Trap Repair or Replacement</t>
  </si>
  <si>
    <t>Steam Traps - SEG Restaurant - Steam Trap Repair or Replacement</t>
  </si>
  <si>
    <t>Steam Traps - SEG Retail - Steam Trap Repair or Replacement</t>
  </si>
  <si>
    <t>Steam Traps - SEG Supermarket - Steam Trap Repair or Replacement</t>
  </si>
  <si>
    <t>Steam Traps - SEG School - Steam Trap Repair or Replacement</t>
  </si>
  <si>
    <t>Steam Traps - SEG Hospital - Steam Trap Repair or Replacement</t>
  </si>
  <si>
    <t>Steam Traps - SEG Lodging - Steam Trap Repair or Replacement</t>
  </si>
  <si>
    <t>Steam Traps - SEG Other - Steam Trap Repair or Replacement</t>
  </si>
  <si>
    <t>Thermostat - SEG All - Smart Thermostats</t>
  </si>
  <si>
    <t>Gas Boiler Water Heat - SEG Office - Consensing Gas Water Heating Boiler (&gt;= 90% EF)</t>
  </si>
  <si>
    <t>Gas Boiler Water Heat</t>
  </si>
  <si>
    <t>Gas Boiler Water Heat - SEG Restaurant - Consensing Gas Water Heating Boiler (&gt;= 90% EF)</t>
  </si>
  <si>
    <t>Gas Boiler Water Heat - SEG Retail - Consensing Gas Water Heating Boiler (&gt;= 90% EF)</t>
  </si>
  <si>
    <t>Gas Boiler Water Heat - SEG Supermarket - Consensing Gas Water Heating Boiler (&gt;= 90% EF)</t>
  </si>
  <si>
    <t>Gas Boiler Water Heat - SEG School - Consensing Gas Water Heating Boiler (&gt;= 90% EF)</t>
  </si>
  <si>
    <t>Gas Boiler Water Heat - SEG Hospital - Consensing Gas Water Heating Boiler (&gt;= 90% EF)</t>
  </si>
  <si>
    <t>Gas Boiler Water Heat - SEG Lodging - Consensing Gas Water Heating Boiler (&gt;= 90% EF)</t>
  </si>
  <si>
    <t>Gas Boiler Water Heat - SEG Other - Consensing Gas Water Heating Boiler (&gt;= 90% EF)</t>
  </si>
  <si>
    <t>Pipe Insulation Water Heat - SEG All - Pipe Insulation for Water Heating</t>
  </si>
  <si>
    <t>Pipe Insulation Water Heat</t>
  </si>
  <si>
    <t>Recirculation Pumps - SEG All - Recirculation Pump Motor and Controls</t>
  </si>
  <si>
    <t>Recirculation Pumps</t>
  </si>
  <si>
    <t>Tank Water Heater - SEG Office - Consensing Gas Storage Water Heater (&gt;= 94% EF)</t>
  </si>
  <si>
    <t>Tank Water Heater</t>
  </si>
  <si>
    <t>Tank Water Heater 94% EF</t>
  </si>
  <si>
    <t>Tank Water Heater - SEG Restaurant - Consensing Gas Storage Water Heater (&gt;= 94% EF)</t>
  </si>
  <si>
    <t>Tank Water Heater - SEG Retail - Consensing Gas Storage Water Heater (&gt;= 94% EF)</t>
  </si>
  <si>
    <t>Tank Water Heater - SEG Supermarket - Consensing Gas Storage Water Heater (&gt;= 94% EF)</t>
  </si>
  <si>
    <t>Tank Water Heater - SEG School - Consensing Gas Storage Water Heater (&gt;= 94% EF)</t>
  </si>
  <si>
    <t>Tank Water Heater - SEG Hospital - Consensing Gas Storage Water Heater (&gt;= 94% EF)</t>
  </si>
  <si>
    <t>Tank Water Heater - SEG Lodging - Consensing Gas Storage Water Heater (&gt;= 94% EF)</t>
  </si>
  <si>
    <t>Tank Water Heater - SEG Other - Consensing Gas Storage Water Heater (&gt;= 94% EF)</t>
  </si>
  <si>
    <t>Tank Water Heater - SEG Office - Gas Absorption HPWH (106% EF to 140% EF)</t>
  </si>
  <si>
    <t>Tank Water Heater HPWH</t>
  </si>
  <si>
    <t>Tank Water Heater - SEG Restaurant - Gas Absorption HPWH (106% EF to 140% EF)</t>
  </si>
  <si>
    <t>Tank Water Heater - SEG Retail - Gas Absorption HPWH (106% EF to 140% EF)</t>
  </si>
  <si>
    <t>Tank Water Heater - SEG Supermarket - Gas Absorption HPWH (106% EF to 140% EF)</t>
  </si>
  <si>
    <t>Tank Water Heater - SEG School - Gas Absorption HPWH (106% EF to 140% EF)</t>
  </si>
  <si>
    <t>Tank Water Heater - SEG Hospital - Gas Absorption HPWH (106% EF to 140% EF)</t>
  </si>
  <si>
    <t>Tank Water Heater - SEG Lodging - Gas Absorption HPWH (106% EF to 140% EF)</t>
  </si>
  <si>
    <t>Tank Water Heater - SEG Other - Gas Absorption HPWH (106% EF to 140% EF)</t>
  </si>
  <si>
    <t>Tankless Water Heater - SEG Office - Consensing Gas Instantaneous Water Heater (92% EF)</t>
  </si>
  <si>
    <t>Tankless Water Heater</t>
  </si>
  <si>
    <t>Tankless Water Heater - SEG Restaurant - Consensing Gas Instantaneous Water Heater (92% EF)</t>
  </si>
  <si>
    <t>Tankless Water Heater - SEG Retail - Consensing Gas Instantaneous Water Heater (92% EF)</t>
  </si>
  <si>
    <t>Tankless Water Heater - SEG Supermarket - Consensing Gas Instantaneous Water Heater (92% EF)</t>
  </si>
  <si>
    <t>Tankless Water Heater - SEG School - Consensing Gas Instantaneous Water Heater (92% EF)</t>
  </si>
  <si>
    <t>Tankless Water Heater - SEG Hospital - Consensing Gas Instantaneous Water Heater (92% EF)</t>
  </si>
  <si>
    <t>Thermostatic Shower Valve - SEG SEL - Thermostatic Shower Valve</t>
  </si>
  <si>
    <t>Ceiling Insulation - SEG All - Roof Insulation R-15 from R-0</t>
  </si>
  <si>
    <t>Ceiling Insulation R-15 from R-0</t>
  </si>
  <si>
    <t>Ceiling Insulation - SEG All - Roof Insulation R-30 from R-5</t>
  </si>
  <si>
    <t>Ceiling Insulation R-30 from R-5</t>
  </si>
  <si>
    <t>Wall Insulation - SEG All - Wall Insulation R-20 from R-0</t>
  </si>
  <si>
    <t>Secondary Window Glazing - SEG Office - Secondary Glazing added to Single Pane Windows</t>
  </si>
  <si>
    <t>Secondary Window Glazing</t>
  </si>
  <si>
    <t>Secondary Window Glazing - SEG Restaurant - Secondary Glazing added to Single Pane Windows</t>
  </si>
  <si>
    <t>Secondary Window Glazing - SEG Retail - Secondary Glazing added to Single Pane Windows</t>
  </si>
  <si>
    <t>Secondary Window Glazing - SEG Supermarket - Secondary Glazing added to Single Pane Windows</t>
  </si>
  <si>
    <t>Secondary Window Glazing - SEG School - Secondary Glazing added to Single Pane Windows</t>
  </si>
  <si>
    <t>Secondary Window Glazing - SEG Hospital - Secondary Glazing added to Single Pane Windows</t>
  </si>
  <si>
    <t>Secondary Window Glazing - SEG Lodging - Secondary Glazing added to Single Pane Windows</t>
  </si>
  <si>
    <t>Secondary Window Glazing - SEG Other - Secondary Glazing added to Single Pane Windows</t>
  </si>
  <si>
    <t>Windows - SEG Office - Efficient Double Pane Windows U 0.25 from U 0.50</t>
  </si>
  <si>
    <t>Windows U 0.25 from U 0.50</t>
  </si>
  <si>
    <t>Windows - SEG Restaurant - Efficient Double Pane Windows U 0.25 from U 0.50</t>
  </si>
  <si>
    <t>Windows - SEG Retail - Efficient Double Pane Windows U 0.25 from U 0.50</t>
  </si>
  <si>
    <t>Windows - SEG Supermarket - Efficient Double Pane Windows U 0.25 from U 0.50</t>
  </si>
  <si>
    <t>Windows - SEG School - Efficient Double Pane Windows U 0.25 from U 0.50</t>
  </si>
  <si>
    <t>Windows - SEG Hospital - Efficient Double Pane Windows U 0.25 from U 0.50</t>
  </si>
  <si>
    <t>Windows - SEG Lodging - Efficient Double Pane Windows U 0.25 from U 0.50</t>
  </si>
  <si>
    <t>Windows - SEG Other - Efficient Double Pane Windows U 0.25 from U 0.50</t>
  </si>
  <si>
    <t>Windows - SEG Office - Efficient Triple Pane Windows U 0.25 from Double  Pane</t>
  </si>
  <si>
    <t>Windows Triple Pane</t>
  </si>
  <si>
    <t>Windows - SEG Restaurant - Efficient Triple Pane Windows U 0.25 from Double  Pane</t>
  </si>
  <si>
    <t>Windows - SEG Retail - Efficient Triple Pane Windows U 0.25 from Double  Pane</t>
  </si>
  <si>
    <t>Windows - SEG Supermarket - Efficient Triple Pane Windows U 0.25 from Double  Pane</t>
  </si>
  <si>
    <t>Windows - SEG School - Efficient Triple Pane Windows U 0.25 from Double  Pane</t>
  </si>
  <si>
    <t>Windows - SEG Hospital - Efficient Triple Pane Windows U 0.25 from Double  Pane</t>
  </si>
  <si>
    <t>Windows - SEG Lodging - Efficient Triple Pane Windows U 0.25 from Double  Pane</t>
  </si>
  <si>
    <t>Windows - SEG Other - Efficient Triple Pane Windows U 0.25 from Double  Pane</t>
  </si>
  <si>
    <t>SEM - SEG Office - Strategic Energy Management</t>
  </si>
  <si>
    <t>SEM</t>
  </si>
  <si>
    <t>SEM - SEG Hospital - Strategic Energy Management</t>
  </si>
  <si>
    <t>SEM - SEG Other - Strategic Energy Management</t>
  </si>
  <si>
    <t>SEM - SEG School - Strategic Energy Management</t>
  </si>
  <si>
    <t>SEM - SEG Lodging - Strategic Energy Management</t>
  </si>
  <si>
    <t>SEM - SEG Retail - Strategic Energy Management</t>
  </si>
  <si>
    <t>SEM - SEG Restaurant - Strategic Energy Management</t>
  </si>
  <si>
    <t>SEM - SEG Supermarket - Strategic Energy Management</t>
  </si>
  <si>
    <t>Retrocommissioning - HVAC - SEG Office - Retrocommissioning</t>
  </si>
  <si>
    <t>Retrocommissioning</t>
  </si>
  <si>
    <t>Retrocommissioning - HVAC</t>
  </si>
  <si>
    <t>Retrocommissioning - HVAC - SEG Hospital - Retrocommissioning</t>
  </si>
  <si>
    <t>Retrocommissioning - HVAC - SEG Other - Retrocommissioning</t>
  </si>
  <si>
    <t>Retrocommissioning - HVAC - SEG School - Retrocommissioning</t>
  </si>
  <si>
    <t>Retrocommissioning - HVAC - SEG Lodging - Retrocommissioning</t>
  </si>
  <si>
    <t>Retrocommissioning - HVAC - SEG Retail - Retrocommissioning</t>
  </si>
  <si>
    <t>Retrocommissioning - HVAC - SEG Restaurant - Retrocommissioning</t>
  </si>
  <si>
    <t>Retrocommissioning - HVAC - SEG Supermarket - Retrocommissioning</t>
  </si>
  <si>
    <t>v5.10_MeasureAssessmentTemplate_Industrial_All</t>
  </si>
  <si>
    <t>Gas Boiler - SEG Greenhouses - Condensing Boiler Upgrade</t>
  </si>
  <si>
    <t>Greenhouses</t>
  </si>
  <si>
    <t>Controller - SEG Greenhouses - Adding Controller</t>
  </si>
  <si>
    <t>Controller</t>
  </si>
  <si>
    <t>IR Poly Film - SEG Greenhouses - Adding Infared Poly Film</t>
  </si>
  <si>
    <t>IR Poly Film</t>
  </si>
  <si>
    <t>Thermal Shield - SEG Greenhouses - Adding Thermal Curtains</t>
  </si>
  <si>
    <t>Thermal Shield</t>
  </si>
  <si>
    <t>Under Bench Heating - SEG Greenhouses - Adding Under Bench Heating</t>
  </si>
  <si>
    <t>Under Bench Heating</t>
  </si>
  <si>
    <t>Condensing Unit Heater - SEG Greenhouses - Efficient Condensing Unit Heater</t>
  </si>
  <si>
    <t>Condensing Unit Heater</t>
  </si>
  <si>
    <t>Custom HVAC - SEG SEL - Custom Space Heating</t>
  </si>
  <si>
    <t>Custom HVAC</t>
  </si>
  <si>
    <t>Cement/Concrete Products</t>
  </si>
  <si>
    <t>Chemical Manufacturing</t>
  </si>
  <si>
    <t>Misc. Manufacturing</t>
  </si>
  <si>
    <t>Other Food</t>
  </si>
  <si>
    <t>Primary Metal Manufacturing</t>
  </si>
  <si>
    <t>Pulp and Paper Mills</t>
  </si>
  <si>
    <t>Semiconductor Manufacturing</t>
  </si>
  <si>
    <t>Wood</t>
  </si>
  <si>
    <t>Heat Recovery - SEG SEL - Recovery of Heat  from Boiler</t>
  </si>
  <si>
    <t>Heat Recovery</t>
  </si>
  <si>
    <t>HVAC Controls - SEG SEL - HVAC System with controls</t>
  </si>
  <si>
    <t>HVAC Controls</t>
  </si>
  <si>
    <t xml:space="preserve">Custom O&amp;M - SEG SEL - Custom O&amp;M </t>
  </si>
  <si>
    <t>Custom O&amp;M</t>
  </si>
  <si>
    <t>Custom Process - SEG SEL - Efficiency Upgrades to Industrial Processes</t>
  </si>
  <si>
    <t>Custom Process</t>
  </si>
  <si>
    <t>Gas Boiler - Process Heat - SEG SEL - High-Efficiency Custom Boiler</t>
  </si>
  <si>
    <t>Gas Boiler - Process Heat</t>
  </si>
  <si>
    <t>Pipe Insulation - SEG SEL - Insulate Hot Water/Steam Lines</t>
  </si>
  <si>
    <t>Process Insulation - SEG SEL - Insulation Installed on Process Equipment</t>
  </si>
  <si>
    <t>Process Insulation</t>
  </si>
  <si>
    <t>Radiant Heating - SEG SEL - Efficient Gas Radiant Heating</t>
  </si>
  <si>
    <t>Radiant Heating</t>
  </si>
  <si>
    <t>SEM - SEG SEL - Strategic Energy Management Savings</t>
  </si>
  <si>
    <t>Steam Trap Maintenance - SEG SEL - Avoid Leaks and Malfunctions</t>
  </si>
  <si>
    <t>Steam Trap Maintenance</t>
  </si>
  <si>
    <t>Heat Pump Water Heater - SEG SEL - HPWH (150% eff)</t>
  </si>
  <si>
    <t>Heat Pump Water Heater</t>
  </si>
  <si>
    <t>Tank Water Heater - SEG SEL - Condensing Tank/Tankless Water Heating</t>
  </si>
  <si>
    <t>Ceiling Insulation - SEG SEL - R30 from R0 Insulation</t>
  </si>
  <si>
    <t>Wall Insulation - SEG SEL - R15 from R0 Insulation</t>
  </si>
  <si>
    <t>Wall Insulation R0 to R15</t>
  </si>
  <si>
    <t>Wall Insulation - SEG SEL - R35 from R15 Insulation</t>
  </si>
  <si>
    <t>Wall Insulation R15 to R35</t>
  </si>
  <si>
    <t>Achievable Peak Hour therm 2026</t>
  </si>
  <si>
    <t>Achievable Peak Hour therm 2027</t>
  </si>
  <si>
    <t>Achievable Peak Hour therm 2028</t>
  </si>
  <si>
    <t>Achievable Peak Hour therm 2029</t>
  </si>
  <si>
    <t>Achievable Peak Hour therm 2030</t>
  </si>
  <si>
    <t>Achievable Peak Hour therm 2031</t>
  </si>
  <si>
    <t>Achievable Peak Hour therm 2032</t>
  </si>
  <si>
    <t>Achievable Peak Hour therm 2033</t>
  </si>
  <si>
    <t>Achievable Peak Hour therm 2034</t>
  </si>
  <si>
    <t>Achievable Peak Hour therm 2035</t>
  </si>
  <si>
    <t>Achievable Peak Hour therm 2036</t>
  </si>
  <si>
    <t>Achievable Peak Hour therm 2037</t>
  </si>
  <si>
    <t>Achievable Peak Hour therm 2038</t>
  </si>
  <si>
    <t>Achievable Peak Hour therm 2039</t>
  </si>
  <si>
    <t>Achievable Peak Hour therm 2040</t>
  </si>
  <si>
    <t>Achievable Peak Hour therm 2041</t>
  </si>
  <si>
    <t>Achievable Peak Hour therm 2042</t>
  </si>
  <si>
    <t>Achievable Peak Hour therm 2043</t>
  </si>
  <si>
    <t>Achievable Peak Hour therm 2044</t>
  </si>
  <si>
    <t>Achievable Peak Hour therm 2045</t>
  </si>
  <si>
    <t>Achievable Peak Hour therm 2046</t>
  </si>
  <si>
    <t>Achievable Peak Hour therm 2047</t>
  </si>
  <si>
    <t>Achievable Peak Hour therm 2048</t>
  </si>
  <si>
    <t>Achievable Peak Hour therm 2049</t>
  </si>
  <si>
    <t>Achievable Peak Hour therm 2050</t>
  </si>
  <si>
    <t>Total Peak Hour therm</t>
  </si>
  <si>
    <t>Achievable Peak Day therm 2026</t>
  </si>
  <si>
    <t>Achievable Peak Day therm 2027</t>
  </si>
  <si>
    <t>Achievable Peak Day therm 2028</t>
  </si>
  <si>
    <t>Achievable Peak Day therm 2029</t>
  </si>
  <si>
    <t>Achievable Peak Day therm 2030</t>
  </si>
  <si>
    <t>Achievable Peak Day therm 2031</t>
  </si>
  <si>
    <t>Achievable Peak Day therm 2032</t>
  </si>
  <si>
    <t>Achievable Peak Day therm 2033</t>
  </si>
  <si>
    <t>Achievable Peak Day therm 2034</t>
  </si>
  <si>
    <t>Achievable Peak Day therm 2035</t>
  </si>
  <si>
    <t>Achievable Peak Day therm 2036</t>
  </si>
  <si>
    <t>Achievable Peak Day therm 2037</t>
  </si>
  <si>
    <t>Achievable Peak Day therm 2038</t>
  </si>
  <si>
    <t>Achievable Peak Day therm 2039</t>
  </si>
  <si>
    <t>Achievable Peak Day therm 2040</t>
  </si>
  <si>
    <t>Achievable Peak Day therm 2041</t>
  </si>
  <si>
    <t>Achievable Peak Day therm 2042</t>
  </si>
  <si>
    <t>Achievable Peak Day therm 2043</t>
  </si>
  <si>
    <t>Achievable Peak Day therm 2044</t>
  </si>
  <si>
    <t>Achievable Peak Day therm 2045</t>
  </si>
  <si>
    <t>Achievable Peak Day therm 2046</t>
  </si>
  <si>
    <t>Achievable Peak Day therm 2047</t>
  </si>
  <si>
    <t>Achievable Peak Day therm 2048</t>
  </si>
  <si>
    <t>Achievable Peak Day therm 2049</t>
  </si>
  <si>
    <t>Achievable Peak Day therm 2050</t>
  </si>
  <si>
    <t>Total Peak Day therm</t>
  </si>
  <si>
    <t>segment</t>
  </si>
  <si>
    <t>income_eligibility</t>
  </si>
  <si>
    <t>count</t>
  </si>
  <si>
    <t>Portion</t>
  </si>
  <si>
    <t>CPA Seg Name</t>
  </si>
  <si>
    <t>Weight Factor for CPA non-qual</t>
  </si>
  <si>
    <t>Non-income Qualifying</t>
  </si>
  <si>
    <t>Energy Trust Shape</t>
  </si>
  <si>
    <t xml:space="preserve">Residential Space Heating </t>
  </si>
  <si>
    <t>Residential Hearths and Fireplaces</t>
  </si>
  <si>
    <t>Commercial Space Heating</t>
  </si>
  <si>
    <t>Water Heating</t>
  </si>
  <si>
    <t>Cooking</t>
  </si>
  <si>
    <t>Process Load</t>
  </si>
  <si>
    <t>Clotheswasher</t>
  </si>
  <si>
    <t>Flat</t>
  </si>
  <si>
    <t>Shape Assignments</t>
  </si>
  <si>
    <t>Measure Application</t>
  </si>
  <si>
    <t>Assigned Shape</t>
  </si>
  <si>
    <t>Gas Fireplace - SEG All - INC All - Gas Fireplace 75% FE</t>
  </si>
  <si>
    <t>Gas Furnace - SEG All - INC All -  95%+ AFUE Furnace - Market Baseline</t>
  </si>
  <si>
    <t>Gas Furnace - SEG All - INC All - Gas Fired Heat Pump (106% to 130% Eff) - 95% AFUE Baseline</t>
  </si>
  <si>
    <t>Door Sweeps - SEG All - INC All - Door Sweep (1/4" Gap)</t>
  </si>
  <si>
    <t>Windows - SEG Multifamily-Low Rise - INC All - Metal Frame Storm Window Replacement to U &lt; 0.30</t>
  </si>
  <si>
    <t>Windows - SEG Multifamily-Low Rise - INC All - Non-Metal Frame Storm Window Replacement to U &lt; 0.30</t>
  </si>
  <si>
    <t>Gas Boiler - SEG University - Condensing Boiler (&gt;= 94 AFUE)</t>
  </si>
  <si>
    <t>Gas Boiler - SEG Residential Care - Condensing Boiler (&gt;= 94 AFUE)</t>
  </si>
  <si>
    <t>Gas Boiler - SEG Warehouse - Condensing Boiler (&gt;= 94 AFUE)</t>
  </si>
  <si>
    <t>Heat Recovery Ventilator - SEG Warehouse - Heat Recovery Ventilator Installed</t>
  </si>
  <si>
    <t>Heat Recovery Ventilator - SEG University - Heat Recovery Ventilator Installed</t>
  </si>
  <si>
    <t>Heat Recovery Ventilator - SEG Residential Care - Heat Recovery Ventilator Installed</t>
  </si>
  <si>
    <t>Pipe Insulation - SEG Warehouse - Pipe Insulation for Space Heating Boiler</t>
  </si>
  <si>
    <t>Pipe Insulation - SEG University - Pipe Insulation for Space Heating Boiler</t>
  </si>
  <si>
    <t>Pipe Insulation - SEG Residential Care - Pipe Insulation for Space Heating Boiler</t>
  </si>
  <si>
    <t>Radiant Unit Heater - SEG Warehouse - Radiant Unit Heater</t>
  </si>
  <si>
    <t>Radiant Unit Heater - SEG University - Radiant Unit Heater</t>
  </si>
  <si>
    <t>Radiant Unit Heater - SEG Residential Care - Radiant Unit Heater</t>
  </si>
  <si>
    <t>Steam Traps - SEG Warehouse - Steam Trap Repair or Replacement</t>
  </si>
  <si>
    <t>Steam Traps - SEG University - Steam Trap Repair or Replacement</t>
  </si>
  <si>
    <t>Steam Traps - SEG Residential Care - Steam Trap Repair or Replacement</t>
  </si>
  <si>
    <t>Gas Boiler Water Heat - SEG Warehouse - Consensing Gas Water Heating Boiler (&gt;= 90% EF)</t>
  </si>
  <si>
    <t>Gas Boiler Water Heat - SEG University - Consensing Gas Water Heating Boiler (&gt;= 90% EF)</t>
  </si>
  <si>
    <t>Gas Boiler Water Heat - SEG Residential Care - Consensing Gas Water Heating Boiler (&gt;= 90% EF)</t>
  </si>
  <si>
    <t>Tank Water Heater - SEG Warehouse - Consensing Gas Storage Water Heater (&gt;= 94% EF)</t>
  </si>
  <si>
    <t>Tank Water Heater - SEG University - Consensing Gas Storage Water Heater (&gt;= 94% EF)</t>
  </si>
  <si>
    <t>Tank Water Heater - SEG Residential Care - Consensing Gas Storage Water Heater (&gt;= 94% EF)</t>
  </si>
  <si>
    <t>Tank Water Heater - SEG Warehouse - Gas Absorption HPWH (106% EF to 140% EF)</t>
  </si>
  <si>
    <t>Tank Water Heater - SEG University - Gas Absorption HPWH (106% EF to 140% EF)</t>
  </si>
  <si>
    <t>Tank Water Heater - SEG Residential Care - Gas Absorption HPWH (106% EF to 140% EF)</t>
  </si>
  <si>
    <t>Tankless Water Heater - SEG Warehouse - Consensing Gas Instantaneous Water Heater (92% EF)</t>
  </si>
  <si>
    <t>Tankless Water Heater - SEG University - Consensing Gas Instantaneous Water Heater (92% EF)</t>
  </si>
  <si>
    <t>Tankless Water Heater - SEG Residential Care - Consensing Gas Instantaneous Water Heater (92% EF)</t>
  </si>
  <si>
    <t>Secondary Window Glazing - SEG Warehouse - Secondary Glazing added to Single Pane Windows</t>
  </si>
  <si>
    <t>Secondary Window Glazing - SEG University - Secondary Glazing added to Single Pane Windows</t>
  </si>
  <si>
    <t>Secondary Window Glazing - SEG Residential Care - Secondary Glazing added to Single Pane Windows</t>
  </si>
  <si>
    <t>Windows - SEG Warehouse - Efficient Double Pane Windows U 0.25 from U 0.50</t>
  </si>
  <si>
    <t>Windows - SEG University - Efficient Double Pane Windows U 0.25 from U 0.50</t>
  </si>
  <si>
    <t>Windows - SEG Residential Care - Efficient Double Pane Windows U 0.25 from U 0.50</t>
  </si>
  <si>
    <t>Windows - SEG Warehouse - Efficient Triple Pane Windows U 0.25 from Double  Pane</t>
  </si>
  <si>
    <t>Windows - SEG University - Efficient Triple Pane Windows U 0.25 from Double  Pane</t>
  </si>
  <si>
    <t>Windows - SEG Residential Care - Efficient Triple Pane Windows U 0.25 from Double  Pane</t>
  </si>
  <si>
    <t>SEM - SEG University - Strategic Energy Management</t>
  </si>
  <si>
    <t>SEM - SEG Residential Care - Strategic Energy Management</t>
  </si>
  <si>
    <t>SEM - SEG Warehouse - Strategic Energy Management</t>
  </si>
  <si>
    <t>Retrocommissioning - HVAC - SEG University - Retrocommissioning</t>
  </si>
  <si>
    <t>Retrocommissioning - HVAC - SEG Residential Care - Retrocommissioning</t>
  </si>
  <si>
    <t>Retrocommissioning - HVAC - SEG Warehouse - Retrocommissioning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</si>
</sst>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_(* #,##0.0000_);_(* \(#,##0.0000\);_(* &quot;-&quot;??_);_(@_)"/>
  </numFmts>
  <fonts count="12" x14ac:knownFonts="1">
    <font>
      <sz val="11"/>
      <color theme="1"/>
      <name val="Aptos"/>
      <family val="2"/>
      <scheme val="minor"/>
    </font>
    <font>
      <sz val="11"/>
      <color theme="1"/>
      <name val="Aptos"/>
      <family val="2"/>
      <scheme val="minor"/>
    </font>
    <font>
      <b/>
      <sz val="11"/>
      <color theme="1"/>
      <name val="Aptos"/>
      <family val="2"/>
      <scheme val="minor"/>
    </font>
    <font>
      <sz val="8"/>
      <name val="Aptos"/>
      <family val="2"/>
      <scheme val="minor"/>
    </font>
    <font>
      <sz val="11"/>
      <color theme="1"/>
      <name val="Aptos"/>
      <family val="2"/>
    </font>
    <font>
      <i/>
      <sz val="11"/>
      <color theme="1"/>
      <name val="Aptos"/>
      <family val="2"/>
      <scheme val="minor"/>
    </font>
    <font>
      <b/>
      <sz val="10"/>
      <color theme="1"/>
      <name val="Aptos"/>
      <family val="2"/>
      <scheme val="minor"/>
    </font>
    <font>
      <sz val="10"/>
      <color theme="1"/>
      <name val="Aptos"/>
      <family val="2"/>
      <scheme val="minor"/>
    </font>
    <font>
      <sz val="10"/>
      <color theme="0"/>
      <name val="Aptos"/>
      <family val="2"/>
      <scheme val="minor"/>
    </font>
    <font>
      <b/>
      <sz val="10"/>
      <color theme="0"/>
      <name val="Aptos"/>
      <family val="2"/>
      <scheme val="minor"/>
    </font>
    <font>
      <i/>
      <sz val="10"/>
      <color theme="1"/>
      <name val="Aptos"/>
      <family val="2"/>
      <scheme val="minor"/>
    </font>
    <font>
      <b/>
      <sz val="11"/>
      <color theme="0"/>
      <name val="Aptos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4">
    <xf numFmtId="0" fontId="0" fillId="0" borderId="0" xfId="0"/>
    <xf numFmtId="165" fontId="0" fillId="0" borderId="0" xfId="0" applyNumberFormat="1"/>
    <xf numFmtId="2" fontId="0" fillId="0" borderId="0" xfId="0" applyNumberFormat="1"/>
    <xf numFmtId="0" fontId="2" fillId="0" borderId="0" xfId="0" applyFont="1"/>
    <xf numFmtId="0" fontId="4" fillId="0" borderId="0" xfId="0" applyFont="1"/>
    <xf numFmtId="0" fontId="4" fillId="0" borderId="0" xfId="0" applyFont="1" applyAlignment="1">
      <alignment horizontal="right"/>
    </xf>
    <xf numFmtId="166" fontId="4" fillId="0" borderId="0" xfId="1" applyNumberFormat="1" applyFont="1"/>
    <xf numFmtId="3" fontId="0" fillId="0" borderId="0" xfId="0" applyNumberFormat="1"/>
    <xf numFmtId="0" fontId="5" fillId="0" borderId="0" xfId="0" applyFont="1" applyAlignment="1">
      <alignment horizontal="left" indent="1"/>
    </xf>
    <xf numFmtId="0" fontId="6" fillId="0" borderId="0" xfId="0" applyFont="1"/>
    <xf numFmtId="0" fontId="7" fillId="0" borderId="0" xfId="0" applyFont="1"/>
    <xf numFmtId="0" fontId="8" fillId="2" borderId="0" xfId="0" applyFont="1" applyFill="1"/>
    <xf numFmtId="0" fontId="9" fillId="2" borderId="0" xfId="0" applyFont="1" applyFill="1"/>
    <xf numFmtId="164" fontId="7" fillId="0" borderId="0" xfId="1" applyNumberFormat="1" applyFont="1"/>
    <xf numFmtId="0" fontId="6" fillId="0" borderId="1" xfId="0" applyFont="1" applyBorder="1"/>
    <xf numFmtId="164" fontId="6" fillId="0" borderId="1" xfId="0" applyNumberFormat="1" applyFont="1" applyBorder="1"/>
    <xf numFmtId="0" fontId="10" fillId="0" borderId="0" xfId="0" applyFont="1" applyAlignment="1">
      <alignment horizontal="left" indent="1"/>
    </xf>
    <xf numFmtId="164" fontId="10" fillId="0" borderId="0" xfId="1" applyNumberFormat="1" applyFont="1"/>
    <xf numFmtId="164" fontId="6" fillId="0" borderId="0" xfId="1" applyNumberFormat="1" applyFont="1"/>
    <xf numFmtId="4" fontId="0" fillId="0" borderId="0" xfId="1" applyNumberFormat="1" applyFont="1"/>
    <xf numFmtId="0" fontId="9" fillId="2" borderId="0" xfId="0" applyFont="1" applyFill="1" applyAlignment="1">
      <alignment horizontal="right"/>
    </xf>
    <xf numFmtId="164" fontId="7" fillId="0" borderId="0" xfId="0" applyNumberFormat="1" applyFont="1"/>
    <xf numFmtId="0" fontId="6" fillId="0" borderId="2" xfId="0" applyFont="1" applyBorder="1"/>
    <xf numFmtId="164" fontId="6" fillId="0" borderId="3" xfId="1" applyNumberFormat="1" applyFont="1" applyBorder="1"/>
    <xf numFmtId="0" fontId="6" fillId="0" borderId="4" xfId="0" applyFont="1" applyBorder="1"/>
    <xf numFmtId="0" fontId="7" fillId="0" borderId="5" xfId="0" applyFont="1" applyBorder="1"/>
    <xf numFmtId="9" fontId="7" fillId="0" borderId="0" xfId="2" applyFont="1" applyBorder="1"/>
    <xf numFmtId="0" fontId="7" fillId="0" borderId="6" xfId="0" applyFont="1" applyBorder="1"/>
    <xf numFmtId="0" fontId="7" fillId="0" borderId="7" xfId="0" applyFont="1" applyBorder="1"/>
    <xf numFmtId="9" fontId="7" fillId="0" borderId="8" xfId="2" applyFont="1" applyBorder="1"/>
    <xf numFmtId="0" fontId="7" fillId="0" borderId="9" xfId="0" applyFont="1" applyBorder="1"/>
    <xf numFmtId="164" fontId="0" fillId="0" borderId="0" xfId="1" applyNumberFormat="1" applyFont="1"/>
    <xf numFmtId="0" fontId="11" fillId="3" borderId="10" xfId="0" applyFont="1" applyFill="1" applyBorder="1"/>
    <xf numFmtId="165" fontId="0" fillId="4" borderId="0" xfId="0" applyNumberFormat="1" applyFill="1"/>
    <xf numFmtId="3" fontId="0" fillId="4" borderId="0" xfId="0" applyNumberFormat="1" applyFill="1"/>
    <xf numFmtId="165" fontId="0" fillId="0" borderId="11" xfId="0" applyNumberFormat="1" applyBorder="1"/>
    <xf numFmtId="3" fontId="0" fillId="0" borderId="11" xfId="0" applyNumberFormat="1" applyBorder="1"/>
    <xf numFmtId="0" fontId="0" fillId="6" borderId="12" xfId="0" applyFill="1" applyBorder="1"/>
    <xf numFmtId="0" fontId="0" fillId="6" borderId="13" xfId="0" applyFill="1" applyBorder="1"/>
    <xf numFmtId="0" fontId="11" fillId="5" borderId="12" xfId="0" applyFont="1" applyFill="1" applyBorder="1"/>
    <xf numFmtId="0" fontId="11" fillId="5" borderId="13" xfId="0" applyFont="1" applyFill="1" applyBorder="1"/>
    <xf numFmtId="0" fontId="0" fillId="7" borderId="2" xfId="0" applyFill="1" applyBorder="1"/>
    <xf numFmtId="0" fontId="0" fillId="7" borderId="4" xfId="0" applyFill="1" applyBorder="1"/>
    <xf numFmtId="0" fontId="0" fillId="7" borderId="5" xfId="0" applyFill="1" applyBorder="1"/>
    <xf numFmtId="0" fontId="0" fillId="7" borderId="6" xfId="0" applyFill="1" applyBorder="1"/>
    <xf numFmtId="0" fontId="0" fillId="9" borderId="5" xfId="0" applyFill="1" applyBorder="1"/>
    <xf numFmtId="0" fontId="0" fillId="9" borderId="6" xfId="0" applyFill="1" applyBorder="1"/>
    <xf numFmtId="0" fontId="0" fillId="8" borderId="5" xfId="0" applyFill="1" applyBorder="1"/>
    <xf numFmtId="0" fontId="0" fillId="8" borderId="6" xfId="0" applyFill="1" applyBorder="1"/>
    <xf numFmtId="0" fontId="0" fillId="8" borderId="7" xfId="0" applyFill="1" applyBorder="1"/>
    <xf numFmtId="0" fontId="0" fillId="8" borderId="9" xfId="0" applyFill="1" applyBorder="1"/>
    <xf numFmtId="164" fontId="0" fillId="0" borderId="0" xfId="2" applyNumberFormat="1" applyFont="1"/>
    <xf numFmtId="0" fontId="9" fillId="2" borderId="6" xfId="0" applyFont="1" applyFill="1" applyBorder="1"/>
    <xf numFmtId="0" fontId="9" fillId="2" borderId="5" xfId="0" applyFont="1" applyFill="1" applyBorder="1"/>
    <xf numFmtId="164" fontId="6" fillId="0" borderId="15" xfId="0" applyNumberFormat="1" applyFont="1" applyBorder="1"/>
    <xf numFmtId="164" fontId="7" fillId="0" borderId="5" xfId="1" applyNumberFormat="1" applyFont="1" applyBorder="1"/>
    <xf numFmtId="164" fontId="7" fillId="0" borderId="0" xfId="1" applyNumberFormat="1" applyFont="1" applyBorder="1"/>
    <xf numFmtId="9" fontId="7" fillId="0" borderId="6" xfId="2" applyFont="1" applyBorder="1"/>
    <xf numFmtId="9" fontId="6" fillId="0" borderId="14" xfId="2" applyFont="1" applyBorder="1"/>
    <xf numFmtId="9" fontId="7" fillId="0" borderId="0" xfId="2" applyFont="1"/>
    <xf numFmtId="0" fontId="9" fillId="2" borderId="0" xfId="0" applyFont="1" applyFill="1" applyAlignment="1">
      <alignment horizontal="center"/>
    </xf>
    <xf numFmtId="0" fontId="9" fillId="2" borderId="6" xfId="0" applyFont="1" applyFill="1" applyBorder="1" applyAlignment="1">
      <alignment horizontal="center"/>
    </xf>
    <xf numFmtId="0" fontId="9" fillId="2" borderId="5" xfId="0" applyFont="1" applyFill="1" applyBorder="1" applyAlignment="1">
      <alignment horizontal="center"/>
    </xf>
    <xf numFmtId="0" fontId="9" fillId="2" borderId="0" xfId="0" applyFont="1" applyFill="1" applyAlignment="1">
      <alignment horizontal="left" vertical="center"/>
    </xf>
  </cellXfs>
  <cellStyles count="3">
    <cellStyle name="Comma" xfId="1" builtinId="3"/>
    <cellStyle name="Normal" xfId="0" builtinId="0"/>
    <cellStyle name="Percent" xfId="2" builtinId="5"/>
  </cellStyles>
  <dxfs count="141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"/>
        <family val="2"/>
        <scheme val="minor"/>
      </font>
    </dxf>
    <dxf>
      <font>
        <strike val="0"/>
        <outline val="0"/>
        <shadow val="0"/>
        <u val="none"/>
        <vertAlign val="baseline"/>
        <sz val="11"/>
        <color theme="1"/>
        <name val="Aptos"/>
        <family val="2"/>
        <scheme val="none"/>
      </font>
      <numFmt numFmtId="166" formatCode="_(* #,##0.0000_);_(* \(#,##0.0000\);_(* &quot;-&quot;??_);_(@_)"/>
    </dxf>
    <dxf>
      <font>
        <strike val="0"/>
        <outline val="0"/>
        <shadow val="0"/>
        <u val="none"/>
        <vertAlign val="baseline"/>
        <sz val="11"/>
        <color theme="1"/>
        <name val="Aptos"/>
        <family val="2"/>
        <scheme val="none"/>
      </font>
      <numFmt numFmtId="166" formatCode="_(* #,##0.0000_);_(* \(#,##0.0000\);_(* &quot;-&quot;??_);_(@_)"/>
    </dxf>
    <dxf>
      <font>
        <strike val="0"/>
        <outline val="0"/>
        <shadow val="0"/>
        <u val="none"/>
        <vertAlign val="baseline"/>
        <sz val="11"/>
        <color theme="1"/>
        <name val="Aptos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ptos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pto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"/>
        <family val="2"/>
        <scheme val="minor"/>
      </font>
      <numFmt numFmtId="164" formatCode="_(* #,##0_);_(* \(#,##0\);_(* &quot;-&quot;??_);_(@_)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"/>
        <family val="2"/>
        <scheme val="minor"/>
      </font>
      <numFmt numFmtId="164" formatCode="_(* #,##0_);_(* \(#,##0\);_(* &quot;-&quot;??_);_(@_)"/>
    </dxf>
    <dxf>
      <numFmt numFmtId="164" formatCode="_(* #,##0_);_(* \(#,##0\);_(* &quot;-&quot;??_);_(@_)"/>
    </dxf>
    <dxf>
      <numFmt numFmtId="0" formatCode="General"/>
    </dxf>
    <dxf>
      <numFmt numFmtId="0" formatCode="General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165" formatCode="&quot;$&quot;#,##0.00"/>
    </dxf>
    <dxf>
      <numFmt numFmtId="165" formatCode="&quot;$&quot;#,##0.00"/>
    </dxf>
    <dxf>
      <numFmt numFmtId="165" formatCode="&quot;$&quot;#,##0.00"/>
    </dxf>
    <dxf>
      <numFmt numFmtId="2" formatCode="0.00"/>
    </dxf>
    <dxf>
      <numFmt numFmtId="2" formatCode="0.0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3" formatCode="#,##0"/>
    </dxf>
    <dxf>
      <numFmt numFmtId="3" formatCode="#,##0"/>
    </dxf>
    <dxf>
      <numFmt numFmtId="165" formatCode="&quot;$&quot;#,##0.00"/>
    </dxf>
    <dxf>
      <numFmt numFmtId="165" formatCode="&quot;$&quot;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20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Achievable Potential</a:t>
            </a:r>
            <a:r>
              <a:rPr lang="en-US" baseline="0"/>
              <a:t> by Sector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'Summary-Therms'!$B$19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'Summary-Therms'!$C$18:$AA$18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'Summary-Therms'!$C$19:$AA$19</c:f>
              <c:numCache>
                <c:formatCode>_(* #,##0_);_(* \(#,##0\);_(* "-"??_);_(@_)</c:formatCode>
                <c:ptCount val="25"/>
                <c:pt idx="0">
                  <c:v>132343.88904963929</c:v>
                </c:pt>
                <c:pt idx="1">
                  <c:v>173948.31502144053</c:v>
                </c:pt>
                <c:pt idx="2">
                  <c:v>237874.81296795802</c:v>
                </c:pt>
                <c:pt idx="3">
                  <c:v>309770.37905277929</c:v>
                </c:pt>
                <c:pt idx="4">
                  <c:v>396123.19825348462</c:v>
                </c:pt>
                <c:pt idx="5">
                  <c:v>500212.54342641379</c:v>
                </c:pt>
                <c:pt idx="6">
                  <c:v>618192.86540144996</c:v>
                </c:pt>
                <c:pt idx="7">
                  <c:v>743290.6097460998</c:v>
                </c:pt>
                <c:pt idx="8">
                  <c:v>865633.23854048713</c:v>
                </c:pt>
                <c:pt idx="9">
                  <c:v>972843.00952895498</c:v>
                </c:pt>
                <c:pt idx="10">
                  <c:v>1052017.9978314433</c:v>
                </c:pt>
                <c:pt idx="11">
                  <c:v>1088093.1498594</c:v>
                </c:pt>
                <c:pt idx="12">
                  <c:v>1082091.0374268943</c:v>
                </c:pt>
                <c:pt idx="13">
                  <c:v>1035362.8684150177</c:v>
                </c:pt>
                <c:pt idx="14">
                  <c:v>950963.41004539863</c:v>
                </c:pt>
                <c:pt idx="15">
                  <c:v>848632.00974000443</c:v>
                </c:pt>
                <c:pt idx="16">
                  <c:v>716751.67371058301</c:v>
                </c:pt>
                <c:pt idx="17">
                  <c:v>612882.65475952195</c:v>
                </c:pt>
                <c:pt idx="18">
                  <c:v>458034.3980999575</c:v>
                </c:pt>
                <c:pt idx="19">
                  <c:v>437211.51901903556</c:v>
                </c:pt>
                <c:pt idx="20">
                  <c:v>426301.11847072642</c:v>
                </c:pt>
                <c:pt idx="21">
                  <c:v>421544.52987822884</c:v>
                </c:pt>
                <c:pt idx="22">
                  <c:v>416089.39446848625</c:v>
                </c:pt>
                <c:pt idx="23">
                  <c:v>408071.25361636141</c:v>
                </c:pt>
                <c:pt idx="24">
                  <c:v>353767.41867540864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C-4215-B0AB-A0FC2D8274CD}"/>
            </c:ext>
          </c:extLst>
        </c:ser>
        <c:ser>
          <c:idx val="1"/>
          <c:order val="1"/>
          <c:tx>
            <c:strRef>
              <c:f>'Summary-Therms'!$B$20</c:f>
              <c:strCache>
                <c:ptCount val="1"/>
                <c:pt idx="0">
                  <c:v>Commercial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'Summary-Therms'!$C$18:$AA$18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'Summary-Therms'!$C$20:$AA$20</c:f>
              <c:numCache>
                <c:formatCode>_(* #,##0_);_(* \(#,##0\);_(* "-"??_);_(@_)</c:formatCode>
                <c:ptCount val="25"/>
                <c:pt idx="0">
                  <c:v>146310.20797955096</c:v>
                </c:pt>
                <c:pt idx="1">
                  <c:v>152203.43813783347</c:v>
                </c:pt>
                <c:pt idx="2">
                  <c:v>168948.75452278781</c:v>
                </c:pt>
                <c:pt idx="3">
                  <c:v>194057.11106635831</c:v>
                </c:pt>
                <c:pt idx="4">
                  <c:v>221118.00705717065</c:v>
                </c:pt>
                <c:pt idx="5">
                  <c:v>249744.72338471271</c:v>
                </c:pt>
                <c:pt idx="6">
                  <c:v>270899.28665278439</c:v>
                </c:pt>
                <c:pt idx="7">
                  <c:v>282951.24449378095</c:v>
                </c:pt>
                <c:pt idx="8">
                  <c:v>277057.68131161976</c:v>
                </c:pt>
                <c:pt idx="9">
                  <c:v>257660.84092522206</c:v>
                </c:pt>
                <c:pt idx="10">
                  <c:v>249960.49646219876</c:v>
                </c:pt>
                <c:pt idx="11">
                  <c:v>262614.68669097574</c:v>
                </c:pt>
                <c:pt idx="12">
                  <c:v>273296.52940799261</c:v>
                </c:pt>
                <c:pt idx="13">
                  <c:v>273537.20438598481</c:v>
                </c:pt>
                <c:pt idx="14">
                  <c:v>261618.89100918561</c:v>
                </c:pt>
                <c:pt idx="15">
                  <c:v>239886.52453489168</c:v>
                </c:pt>
                <c:pt idx="16">
                  <c:v>218188.35578177671</c:v>
                </c:pt>
                <c:pt idx="17">
                  <c:v>194602.29966793722</c:v>
                </c:pt>
                <c:pt idx="18">
                  <c:v>151036.43032803253</c:v>
                </c:pt>
                <c:pt idx="19">
                  <c:v>143329.4793985452</c:v>
                </c:pt>
                <c:pt idx="20">
                  <c:v>141850.9604256466</c:v>
                </c:pt>
                <c:pt idx="21">
                  <c:v>129918.76846412488</c:v>
                </c:pt>
                <c:pt idx="22">
                  <c:v>109804.72954320777</c:v>
                </c:pt>
                <c:pt idx="23">
                  <c:v>100282.58773591835</c:v>
                </c:pt>
                <c:pt idx="24">
                  <c:v>61660.114273480991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1C-4215-B0AB-A0FC2D8274CD}"/>
            </c:ext>
          </c:extLst>
        </c:ser>
        <c:ser>
          <c:idx val="2"/>
          <c:order val="2"/>
          <c:tx>
            <c:strRef>
              <c:f>'Summary-Therms'!$B$21</c:f>
              <c:strCache>
                <c:ptCount val="1"/>
                <c:pt idx="0">
                  <c:v>Industrial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'Summary-Therms'!$C$18:$AA$18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'Summary-Therms'!$C$21:$AA$21</c:f>
              <c:numCache>
                <c:formatCode>_(* #,##0_);_(* \(#,##0\);_(* "-"??_);_(@_)</c:formatCode>
                <c:ptCount val="25"/>
                <c:pt idx="0">
                  <c:v>27568.208573465083</c:v>
                </c:pt>
                <c:pt idx="1">
                  <c:v>49293.389953941565</c:v>
                </c:pt>
                <c:pt idx="2">
                  <c:v>81133.876254310744</c:v>
                </c:pt>
                <c:pt idx="3">
                  <c:v>124218.22500987219</c:v>
                </c:pt>
                <c:pt idx="4">
                  <c:v>179381.4557518324</c:v>
                </c:pt>
                <c:pt idx="5">
                  <c:v>246035.67734870018</c:v>
                </c:pt>
                <c:pt idx="6">
                  <c:v>321803.98968547088</c:v>
                </c:pt>
                <c:pt idx="7">
                  <c:v>402125.24840849353</c:v>
                </c:pt>
                <c:pt idx="8">
                  <c:v>480165.01185052103</c:v>
                </c:pt>
                <c:pt idx="9">
                  <c:v>547257.40326705424</c:v>
                </c:pt>
                <c:pt idx="10">
                  <c:v>594044.69304434722</c:v>
                </c:pt>
                <c:pt idx="11">
                  <c:v>612296.36961015698</c:v>
                </c:pt>
                <c:pt idx="12">
                  <c:v>597084.43667776894</c:v>
                </c:pt>
                <c:pt idx="13">
                  <c:v>550191.07967087661</c:v>
                </c:pt>
                <c:pt idx="14">
                  <c:v>419495.83168027014</c:v>
                </c:pt>
                <c:pt idx="15">
                  <c:v>338738.30956878321</c:v>
                </c:pt>
                <c:pt idx="16">
                  <c:v>149508.36410895368</c:v>
                </c:pt>
                <c:pt idx="17">
                  <c:v>42397.539189268347</c:v>
                </c:pt>
                <c:pt idx="18">
                  <c:v>42495.487642415763</c:v>
                </c:pt>
                <c:pt idx="19">
                  <c:v>42419.474139826518</c:v>
                </c:pt>
                <c:pt idx="20">
                  <c:v>42154.78102490781</c:v>
                </c:pt>
                <c:pt idx="21">
                  <c:v>41829.687739869783</c:v>
                </c:pt>
                <c:pt idx="22">
                  <c:v>41507.101636988577</c:v>
                </c:pt>
                <c:pt idx="23">
                  <c:v>41187.003379580696</c:v>
                </c:pt>
                <c:pt idx="24">
                  <c:v>40869.373780103895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1C-4215-B0AB-A0FC2D827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5550224"/>
        <c:axId val="1805544464"/>
      </c:areaChart>
      <c:catAx>
        <c:axId val="180555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5544464"/>
        <c:crosses val="autoZero"/>
        <c:auto val="1"/>
        <c:lblAlgn val="ctr"/>
        <c:lblOffset val="100"/>
        <c:noMultiLvlLbl val="0"/>
      </c:catAx>
      <c:valAx>
        <c:axId val="1805544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Annual therms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55502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Industrial Cost-Effective Potential by End Use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1"/>
          <c:order val="0"/>
          <c:tx>
            <c:strRef>
              <c:f>'Summary-Therms'!$B$87</c:f>
              <c:strCache>
                <c:ptCount val="1"/>
                <c:pt idx="0">
                  <c:v>HVAC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numRef>
              <c:f>'Summary-Therms'!$C$56:$AA$56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'Summary-Therms'!$C$87:$AA$87</c:f>
              <c:numCache>
                <c:formatCode>_(* #,##0_);_(* \(#,##0\);_(* "-"??_);_(@_)</c:formatCode>
                <c:ptCount val="25"/>
                <c:pt idx="0">
                  <c:v>10351.883239233443</c:v>
                </c:pt>
                <c:pt idx="1">
                  <c:v>18980.642417853567</c:v>
                </c:pt>
                <c:pt idx="2">
                  <c:v>31710.130589371376</c:v>
                </c:pt>
                <c:pt idx="3">
                  <c:v>49226.923964985996</c:v>
                </c:pt>
                <c:pt idx="4">
                  <c:v>71908.593290945733</c:v>
                </c:pt>
                <c:pt idx="5">
                  <c:v>99620.834230737746</c:v>
                </c:pt>
                <c:pt idx="6">
                  <c:v>131496.50608813923</c:v>
                </c:pt>
                <c:pt idx="7">
                  <c:v>165747.56570962293</c:v>
                </c:pt>
                <c:pt idx="8">
                  <c:v>199590.84398142883</c:v>
                </c:pt>
                <c:pt idx="9">
                  <c:v>229386.58548843479</c:v>
                </c:pt>
                <c:pt idx="10">
                  <c:v>251073.65455951859</c:v>
                </c:pt>
                <c:pt idx="11">
                  <c:v>260916.46180456516</c:v>
                </c:pt>
                <c:pt idx="12">
                  <c:v>256451.88150103268</c:v>
                </c:pt>
                <c:pt idx="13">
                  <c:v>237807.90815399005</c:v>
                </c:pt>
                <c:pt idx="14">
                  <c:v>190670.03284994757</c:v>
                </c:pt>
                <c:pt idx="15">
                  <c:v>155486.9385293794</c:v>
                </c:pt>
                <c:pt idx="16">
                  <c:v>66057.028089060535</c:v>
                </c:pt>
                <c:pt idx="17">
                  <c:v>15403.787817992008</c:v>
                </c:pt>
                <c:pt idx="18">
                  <c:v>15347.140907610234</c:v>
                </c:pt>
                <c:pt idx="19">
                  <c:v>15229.532839368338</c:v>
                </c:pt>
                <c:pt idx="20">
                  <c:v>15112.277360199927</c:v>
                </c:pt>
                <c:pt idx="21">
                  <c:v>14995.743206005753</c:v>
                </c:pt>
                <c:pt idx="22">
                  <c:v>14880.107700420302</c:v>
                </c:pt>
                <c:pt idx="23">
                  <c:v>14765.363913317466</c:v>
                </c:pt>
                <c:pt idx="24">
                  <c:v>14651.504968016281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7B-4A09-B50D-E13F3F6695B0}"/>
            </c:ext>
          </c:extLst>
        </c:ser>
        <c:ser>
          <c:idx val="2"/>
          <c:order val="1"/>
          <c:tx>
            <c:strRef>
              <c:f>'Summary-Therms'!$B$89</c:f>
              <c:strCache>
                <c:ptCount val="1"/>
                <c:pt idx="0">
                  <c:v>Water Heat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cat>
            <c:numRef>
              <c:f>'Summary-Therms'!$C$56:$AA$56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'Summary-Therms'!$C$89:$AA$89</c:f>
              <c:numCache>
                <c:formatCode>_(* #,##0_);_(* \(#,##0\);_(* "-"??_);_(@_)</c:formatCode>
                <c:ptCount val="25"/>
                <c:pt idx="0">
                  <c:v>225.01468225816222</c:v>
                </c:pt>
                <c:pt idx="1">
                  <c:v>420.13677784298227</c:v>
                </c:pt>
                <c:pt idx="2">
                  <c:v>1013.8395784550173</c:v>
                </c:pt>
                <c:pt idx="3">
                  <c:v>1690.2426880354828</c:v>
                </c:pt>
                <c:pt idx="4">
                  <c:v>2641.8607732379041</c:v>
                </c:pt>
                <c:pt idx="5">
                  <c:v>3915.7490886330002</c:v>
                </c:pt>
                <c:pt idx="6">
                  <c:v>5542.9034486835271</c:v>
                </c:pt>
                <c:pt idx="7">
                  <c:v>7527.7564641501613</c:v>
                </c:pt>
                <c:pt idx="8">
                  <c:v>9838.3658496683402</c:v>
                </c:pt>
                <c:pt idx="9">
                  <c:v>12400.191084748478</c:v>
                </c:pt>
                <c:pt idx="10">
                  <c:v>15096.777832107948</c:v>
                </c:pt>
                <c:pt idx="11">
                  <c:v>17779.934561828479</c:v>
                </c:pt>
                <c:pt idx="12">
                  <c:v>20289.70926285618</c:v>
                </c:pt>
                <c:pt idx="13">
                  <c:v>22480.956319198329</c:v>
                </c:pt>
                <c:pt idx="14">
                  <c:v>24249.786175591849</c:v>
                </c:pt>
                <c:pt idx="15">
                  <c:v>25583.006964743057</c:v>
                </c:pt>
                <c:pt idx="16">
                  <c:v>26425.666309783446</c:v>
                </c:pt>
                <c:pt idx="17">
                  <c:v>26993.751371276336</c:v>
                </c:pt>
                <c:pt idx="18">
                  <c:v>27148.346734805535</c:v>
                </c:pt>
                <c:pt idx="19">
                  <c:v>27189.94130045818</c:v>
                </c:pt>
                <c:pt idx="20">
                  <c:v>27042.503664707896</c:v>
                </c:pt>
                <c:pt idx="21">
                  <c:v>26833.94453386404</c:v>
                </c:pt>
                <c:pt idx="22">
                  <c:v>26626.993936568288</c:v>
                </c:pt>
                <c:pt idx="23">
                  <c:v>26421.639466263237</c:v>
                </c:pt>
                <c:pt idx="24">
                  <c:v>26217.868812087621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7B-4A09-B50D-E13F3F6695B0}"/>
            </c:ext>
          </c:extLst>
        </c:ser>
        <c:ser>
          <c:idx val="0"/>
          <c:order val="2"/>
          <c:tx>
            <c:strRef>
              <c:f>'Summary-Therms'!$B$88</c:f>
              <c:strCache>
                <c:ptCount val="1"/>
                <c:pt idx="0">
                  <c:v>Process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'Summary-Therms'!$C$56:$AA$56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'Summary-Therms'!$C$88:$AA$88</c:f>
              <c:numCache>
                <c:formatCode>_(* #,##0_);_(* \(#,##0\);_(* "-"??_);_(@_)</c:formatCode>
                <c:ptCount val="25"/>
                <c:pt idx="0">
                  <c:v>11263.580477282971</c:v>
                </c:pt>
                <c:pt idx="1">
                  <c:v>20595.892558722619</c:v>
                </c:pt>
                <c:pt idx="2">
                  <c:v>34336.724922735251</c:v>
                </c:pt>
                <c:pt idx="3">
                  <c:v>53206.465666375727</c:v>
                </c:pt>
                <c:pt idx="4">
                  <c:v>77584.357135978717</c:v>
                </c:pt>
                <c:pt idx="5">
                  <c:v>107289.92855676438</c:v>
                </c:pt>
                <c:pt idx="6">
                  <c:v>141346.03489739296</c:v>
                </c:pt>
                <c:pt idx="7">
                  <c:v>177779.28189157366</c:v>
                </c:pt>
                <c:pt idx="8">
                  <c:v>213545.69777004857</c:v>
                </c:pt>
                <c:pt idx="9">
                  <c:v>244688.45582451235</c:v>
                </c:pt>
                <c:pt idx="10">
                  <c:v>266817.3656675627</c:v>
                </c:pt>
                <c:pt idx="11">
                  <c:v>275924.33793603833</c:v>
                </c:pt>
                <c:pt idx="12">
                  <c:v>269411.05821183487</c:v>
                </c:pt>
                <c:pt idx="13">
                  <c:v>247541.46057487928</c:v>
                </c:pt>
                <c:pt idx="14">
                  <c:v>193812.00558795949</c:v>
                </c:pt>
                <c:pt idx="15">
                  <c:v>154368.99898577275</c:v>
                </c:pt>
                <c:pt idx="16">
                  <c:v>55832.351666149327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7B-4A09-B50D-E13F3F6695B0}"/>
            </c:ext>
          </c:extLst>
        </c:ser>
        <c:ser>
          <c:idx val="3"/>
          <c:order val="3"/>
          <c:tx>
            <c:strRef>
              <c:f>'Summary-Therms'!$B$90</c:f>
              <c:strCache>
                <c:ptCount val="1"/>
                <c:pt idx="0">
                  <c:v>Whole Building</c:v>
                </c:pt>
              </c:strCache>
            </c:strRef>
          </c:tx>
          <c:spPr>
            <a:solidFill>
              <a:schemeClr val="tx2"/>
            </a:solidFill>
            <a:ln w="25400">
              <a:noFill/>
            </a:ln>
            <a:effectLst/>
          </c:spPr>
          <c:cat>
            <c:numRef>
              <c:f>'Summary-Therms'!$C$56:$AA$56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'Summary-Therms'!$C$90:$AA$90</c:f>
              <c:numCache>
                <c:formatCode>_(* #,##0_);_(* \(#,##0\);_(* "-"??_);_(@_)</c:formatCode>
                <c:ptCount val="25"/>
                <c:pt idx="0">
                  <c:v>2730.0358540616817</c:v>
                </c:pt>
                <c:pt idx="1">
                  <c:v>4406.5334677455685</c:v>
                </c:pt>
                <c:pt idx="2">
                  <c:v>6636.9255038788715</c:v>
                </c:pt>
                <c:pt idx="3">
                  <c:v>9432.1960852479879</c:v>
                </c:pt>
                <c:pt idx="4">
                  <c:v>12731.438543366046</c:v>
                </c:pt>
                <c:pt idx="5">
                  <c:v>16377.271775551195</c:v>
                </c:pt>
                <c:pt idx="6">
                  <c:v>20099.664375923887</c:v>
                </c:pt>
                <c:pt idx="7">
                  <c:v>23519.504615502457</c:v>
                </c:pt>
                <c:pt idx="8">
                  <c:v>26183.876041534972</c:v>
                </c:pt>
                <c:pt idx="9">
                  <c:v>27639.919473886388</c:v>
                </c:pt>
                <c:pt idx="10">
                  <c:v>27541.284266143586</c:v>
                </c:pt>
                <c:pt idx="11">
                  <c:v>25762.103324634591</c:v>
                </c:pt>
                <c:pt idx="12">
                  <c:v>22475.985884405425</c:v>
                </c:pt>
                <c:pt idx="13">
                  <c:v>18444.060018159485</c:v>
                </c:pt>
                <c:pt idx="14">
                  <c:v>3294.5146159423703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7B-4A09-B50D-E13F3F669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7961664"/>
        <c:axId val="1787962144"/>
      </c:areaChart>
      <c:catAx>
        <c:axId val="178796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7962144"/>
        <c:crosses val="autoZero"/>
        <c:auto val="1"/>
        <c:lblAlgn val="ctr"/>
        <c:lblOffset val="100"/>
        <c:tickLblSkip val="4"/>
        <c:noMultiLvlLbl val="0"/>
      </c:catAx>
      <c:valAx>
        <c:axId val="1787962144"/>
        <c:scaling>
          <c:orientation val="minMax"/>
          <c:max val="12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7961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Cumulative Achievable Potential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'Summary-Therms'!$C$3</c:f>
              <c:strCache>
                <c:ptCount val="1"/>
                <c:pt idx="0">
                  <c:v>2-Year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'Summary-Therms'!$B$4:$B$6</c:f>
              <c:strCache>
                <c:ptCount val="3"/>
                <c:pt idx="0">
                  <c:v>Residential</c:v>
                </c:pt>
                <c:pt idx="1">
                  <c:v>Commercial</c:v>
                </c:pt>
                <c:pt idx="2">
                  <c:v>Industrial</c:v>
                </c:pt>
              </c:strCache>
            </c:strRef>
          </c:cat>
          <c:val>
            <c:numRef>
              <c:f>'Summary-Therms'!$C$4:$C$6</c:f>
              <c:numCache>
                <c:formatCode>_(* #,##0_);_(* \(#,##0\);_(* "-"??_);_(@_)</c:formatCode>
                <c:ptCount val="3"/>
                <c:pt idx="0">
                  <c:v>306292.20407107985</c:v>
                </c:pt>
                <c:pt idx="1">
                  <c:v>298513.64611738443</c:v>
                </c:pt>
                <c:pt idx="2">
                  <c:v>76861.598527406648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EC-4A95-BAF8-CFC658D7BB1F}"/>
            </c:ext>
          </c:extLst>
        </c:ser>
        <c:ser>
          <c:idx val="1"/>
          <c:order val="1"/>
          <c:tx>
            <c:strRef>
              <c:f>'Summary-Therms'!$D$3</c:f>
              <c:strCache>
                <c:ptCount val="1"/>
                <c:pt idx="0">
                  <c:v>5-Year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'Summary-Therms'!$B$4:$B$6</c:f>
              <c:strCache>
                <c:ptCount val="3"/>
                <c:pt idx="0">
                  <c:v>Residential</c:v>
                </c:pt>
                <c:pt idx="1">
                  <c:v>Commercial</c:v>
                </c:pt>
                <c:pt idx="2">
                  <c:v>Industrial</c:v>
                </c:pt>
              </c:strCache>
            </c:strRef>
          </c:cat>
          <c:val>
            <c:numRef>
              <c:f>'Summary-Therms'!$D$4:$D$6</c:f>
              <c:numCache>
                <c:formatCode>_(* #,##0_);_(* \(#,##0\);_(* "-"??_);_(@_)</c:formatCode>
                <c:ptCount val="3"/>
                <c:pt idx="0">
                  <c:v>1250060.5943453019</c:v>
                </c:pt>
                <c:pt idx="1">
                  <c:v>882637.5187637012</c:v>
                </c:pt>
                <c:pt idx="2">
                  <c:v>461595.15554342198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EC-4A95-BAF8-CFC658D7BB1F}"/>
            </c:ext>
          </c:extLst>
        </c:ser>
        <c:ser>
          <c:idx val="2"/>
          <c:order val="2"/>
          <c:tx>
            <c:strRef>
              <c:f>'Summary-Therms'!$E$3</c:f>
              <c:strCache>
                <c:ptCount val="1"/>
                <c:pt idx="0">
                  <c:v>10-Year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'Summary-Therms'!$B$4:$B$6</c:f>
              <c:strCache>
                <c:ptCount val="3"/>
                <c:pt idx="0">
                  <c:v>Residential</c:v>
                </c:pt>
                <c:pt idx="1">
                  <c:v>Commercial</c:v>
                </c:pt>
                <c:pt idx="2">
                  <c:v>Industrial</c:v>
                </c:pt>
              </c:strCache>
            </c:strRef>
          </c:cat>
          <c:val>
            <c:numRef>
              <c:f>'Summary-Therms'!$E$4:$E$6</c:f>
              <c:numCache>
                <c:formatCode>_(* #,##0_);_(* \(#,##0\);_(* "-"??_);_(@_)</c:formatCode>
                <c:ptCount val="3"/>
                <c:pt idx="0">
                  <c:v>4950232.8609887082</c:v>
                </c:pt>
                <c:pt idx="1">
                  <c:v>2220951.295531821</c:v>
                </c:pt>
                <c:pt idx="2">
                  <c:v>2458982.4861036618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EC-4A95-BAF8-CFC658D7BB1F}"/>
            </c:ext>
          </c:extLst>
        </c:ser>
        <c:ser>
          <c:idx val="3"/>
          <c:order val="3"/>
          <c:tx>
            <c:strRef>
              <c:f>'Summary-Therms'!$F$3</c:f>
              <c:strCache>
                <c:ptCount val="1"/>
                <c:pt idx="0">
                  <c:v>25-Year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'Summary-Therms'!$B$4:$B$6</c:f>
              <c:strCache>
                <c:ptCount val="3"/>
                <c:pt idx="0">
                  <c:v>Residential</c:v>
                </c:pt>
                <c:pt idx="1">
                  <c:v>Commercial</c:v>
                </c:pt>
                <c:pt idx="2">
                  <c:v>Industrial</c:v>
                </c:pt>
              </c:strCache>
            </c:strRef>
          </c:cat>
          <c:val>
            <c:numRef>
              <c:f>'Summary-Therms'!$F$4:$F$6</c:f>
              <c:numCache>
                <c:formatCode>_(* #,##0_);_(* \(#,##0\);_(* "-"??_);_(@_)</c:formatCode>
                <c:ptCount val="3"/>
                <c:pt idx="0">
                  <c:v>15258047.295005176</c:v>
                </c:pt>
                <c:pt idx="1">
                  <c:v>5032539.3536417214</c:v>
                </c:pt>
                <c:pt idx="2">
                  <c:v>6055202.0189977791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EC-4A95-BAF8-CFC658D7B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96420688"/>
        <c:axId val="1196421168"/>
      </c:barChart>
      <c:catAx>
        <c:axId val="119642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6421168"/>
        <c:crosses val="autoZero"/>
        <c:auto val="1"/>
        <c:lblAlgn val="ctr"/>
        <c:lblOffset val="100"/>
        <c:noMultiLvlLbl val="0"/>
      </c:catAx>
      <c:valAx>
        <c:axId val="1196421168"/>
        <c:scaling>
          <c:orientation val="minMax"/>
          <c:max val="2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Cumulative therms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6420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Cumulative Cost-Effective Potential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'Summary-Therms'!$C$3</c:f>
              <c:strCache>
                <c:ptCount val="1"/>
                <c:pt idx="0">
                  <c:v>2-Year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'Summary-Therms'!$B$11:$B$13</c:f>
              <c:strCache>
                <c:ptCount val="3"/>
                <c:pt idx="0">
                  <c:v>Residential</c:v>
                </c:pt>
                <c:pt idx="1">
                  <c:v>Commercial</c:v>
                </c:pt>
                <c:pt idx="2">
                  <c:v>Industrial</c:v>
                </c:pt>
              </c:strCache>
            </c:strRef>
          </c:cat>
          <c:val>
            <c:numRef>
              <c:f>'Summary-Therms'!$C$11:$C$13</c:f>
              <c:numCache>
                <c:formatCode>_(* #,##0_);_(* \(#,##0\);_(* "-"??_);_(@_)</c:formatCode>
                <c:ptCount val="3"/>
                <c:pt idx="0">
                  <c:v>207072.54232439946</c:v>
                </c:pt>
                <c:pt idx="1">
                  <c:v>295389.57161644317</c:v>
                </c:pt>
                <c:pt idx="2">
                  <c:v>68973.719475001009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6A-47E0-BD5A-712A3908AF70}"/>
            </c:ext>
          </c:extLst>
        </c:ser>
        <c:ser>
          <c:idx val="1"/>
          <c:order val="1"/>
          <c:tx>
            <c:strRef>
              <c:f>'Summary-Therms'!$D$3</c:f>
              <c:strCache>
                <c:ptCount val="1"/>
                <c:pt idx="0">
                  <c:v>5-Year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'Summary-Therms'!$B$11:$B$13</c:f>
              <c:strCache>
                <c:ptCount val="3"/>
                <c:pt idx="0">
                  <c:v>Residential</c:v>
                </c:pt>
                <c:pt idx="1">
                  <c:v>Commercial</c:v>
                </c:pt>
                <c:pt idx="2">
                  <c:v>Industrial</c:v>
                </c:pt>
              </c:strCache>
            </c:strRef>
          </c:cat>
          <c:val>
            <c:numRef>
              <c:f>'Summary-Therms'!$D$11:$D$13</c:f>
              <c:numCache>
                <c:formatCode>_(* #,##0_);_(* \(#,##0\);_(* "-"??_);_(@_)</c:formatCode>
                <c:ptCount val="3"/>
                <c:pt idx="0">
                  <c:v>936641.88282375876</c:v>
                </c:pt>
                <c:pt idx="1">
                  <c:v>864655.52483019128</c:v>
                </c:pt>
                <c:pt idx="2">
                  <c:v>421093.41821761528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6A-47E0-BD5A-712A3908AF70}"/>
            </c:ext>
          </c:extLst>
        </c:ser>
        <c:ser>
          <c:idx val="2"/>
          <c:order val="2"/>
          <c:tx>
            <c:strRef>
              <c:f>'Summary-Therms'!$E$3</c:f>
              <c:strCache>
                <c:ptCount val="1"/>
                <c:pt idx="0">
                  <c:v>10-Year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'Summary-Therms'!$B$11:$B$13</c:f>
              <c:strCache>
                <c:ptCount val="3"/>
                <c:pt idx="0">
                  <c:v>Residential</c:v>
                </c:pt>
                <c:pt idx="1">
                  <c:v>Commercial</c:v>
                </c:pt>
                <c:pt idx="2">
                  <c:v>Industrial</c:v>
                </c:pt>
              </c:strCache>
            </c:strRef>
          </c:cat>
          <c:val>
            <c:numRef>
              <c:f>'Summary-Therms'!$E$11:$E$13</c:f>
              <c:numCache>
                <c:formatCode>_(* #,##0_);_(* \(#,##0\);_(* "-"??_);_(@_)</c:formatCode>
                <c:ptCount val="3"/>
                <c:pt idx="0">
                  <c:v>3996403.7284149863</c:v>
                </c:pt>
                <c:pt idx="1">
                  <c:v>2134552.9498945712</c:v>
                </c:pt>
                <c:pt idx="2">
                  <c:v>2284630.3548745532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6A-47E0-BD5A-712A3908AF70}"/>
            </c:ext>
          </c:extLst>
        </c:ser>
        <c:ser>
          <c:idx val="3"/>
          <c:order val="3"/>
          <c:tx>
            <c:strRef>
              <c:f>'Summary-Therms'!$F$3</c:f>
              <c:strCache>
                <c:ptCount val="1"/>
                <c:pt idx="0">
                  <c:v>25-Year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'Summary-Therms'!$B$11:$B$13</c:f>
              <c:strCache>
                <c:ptCount val="3"/>
                <c:pt idx="0">
                  <c:v>Residential</c:v>
                </c:pt>
                <c:pt idx="1">
                  <c:v>Commercial</c:v>
                </c:pt>
                <c:pt idx="2">
                  <c:v>Industrial</c:v>
                </c:pt>
              </c:strCache>
            </c:strRef>
          </c:cat>
          <c:val>
            <c:numRef>
              <c:f>'Summary-Therms'!$F$11:$F$13</c:f>
              <c:numCache>
                <c:formatCode>_(* #,##0_);_(* \(#,##0\);_(* "-"??_);_(@_)</c:formatCode>
                <c:ptCount val="3"/>
                <c:pt idx="0">
                  <c:v>13023912.832766091</c:v>
                </c:pt>
                <c:pt idx="1">
                  <c:v>4828714.9243076108</c:v>
                </c:pt>
                <c:pt idx="2">
                  <c:v>5751086.0730606001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6A-47E0-BD5A-712A3908A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96420688"/>
        <c:axId val="1196421168"/>
      </c:barChart>
      <c:catAx>
        <c:axId val="119642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6421168"/>
        <c:crosses val="autoZero"/>
        <c:auto val="1"/>
        <c:lblAlgn val="ctr"/>
        <c:lblOffset val="100"/>
        <c:noMultiLvlLbl val="0"/>
      </c:catAx>
      <c:valAx>
        <c:axId val="1196421168"/>
        <c:scaling>
          <c:orientation val="minMax"/>
          <c:max val="2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6420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Achievable Potential</a:t>
            </a:r>
            <a:r>
              <a:rPr lang="en-US" baseline="0"/>
              <a:t> by Sector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'Summary-Peak Day'!$B$19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'Summary-Peak Day'!$C$18:$AA$18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Day'!$C$19:$AA$19</c:f>
              <c:numCache>
                <c:formatCode>_(* #,##0_);_(* \(#,##0\);_(* "-"??_);_(@_)</c:formatCode>
                <c:ptCount val="25"/>
                <c:pt idx="0">
                  <c:v>2486.4778880416034</c:v>
                </c:pt>
                <c:pt idx="1">
                  <c:v>3245.7260230904253</c:v>
                </c:pt>
                <c:pt idx="2">
                  <c:v>4414.1754181391834</c:v>
                </c:pt>
                <c:pt idx="3">
                  <c:v>5716.741886443464</c:v>
                </c:pt>
                <c:pt idx="4">
                  <c:v>7277.7189773928658</c:v>
                </c:pt>
                <c:pt idx="5">
                  <c:v>9158.7264211586044</c:v>
                </c:pt>
                <c:pt idx="6">
                  <c:v>11283.665565568263</c:v>
                </c:pt>
                <c:pt idx="7">
                  <c:v>13522.32611211895</c:v>
                </c:pt>
                <c:pt idx="8">
                  <c:v>15687.939381377988</c:v>
                </c:pt>
                <c:pt idx="9">
                  <c:v>17548.547503438647</c:v>
                </c:pt>
                <c:pt idx="10">
                  <c:v>18865.140947790522</c:v>
                </c:pt>
                <c:pt idx="11">
                  <c:v>19356.859405660016</c:v>
                </c:pt>
                <c:pt idx="12">
                  <c:v>19058.046645343828</c:v>
                </c:pt>
                <c:pt idx="13">
                  <c:v>18009.201532563573</c:v>
                </c:pt>
                <c:pt idx="14">
                  <c:v>16251.454838118818</c:v>
                </c:pt>
                <c:pt idx="15">
                  <c:v>14200.769180212215</c:v>
                </c:pt>
                <c:pt idx="16">
                  <c:v>11714.913226006514</c:v>
                </c:pt>
                <c:pt idx="17">
                  <c:v>9812.6222096808433</c:v>
                </c:pt>
                <c:pt idx="18">
                  <c:v>6854.9037064472523</c:v>
                </c:pt>
                <c:pt idx="19">
                  <c:v>6538.4475814702873</c:v>
                </c:pt>
                <c:pt idx="20">
                  <c:v>6455.7608684802608</c:v>
                </c:pt>
                <c:pt idx="21">
                  <c:v>6378.8575193185779</c:v>
                </c:pt>
                <c:pt idx="22">
                  <c:v>6292.36376838251</c:v>
                </c:pt>
                <c:pt idx="23">
                  <c:v>6195.2059307037234</c:v>
                </c:pt>
                <c:pt idx="24">
                  <c:v>5275.6580298371046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F9-415D-A379-4F5B6A557BDB}"/>
            </c:ext>
          </c:extLst>
        </c:ser>
        <c:ser>
          <c:idx val="1"/>
          <c:order val="1"/>
          <c:tx>
            <c:strRef>
              <c:f>'Summary-Peak Day'!$B$20</c:f>
              <c:strCache>
                <c:ptCount val="1"/>
                <c:pt idx="0">
                  <c:v>Commercial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'Summary-Peak Day'!$C$18:$AA$18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Day'!$C$20:$AA$20</c:f>
              <c:numCache>
                <c:formatCode>_(* #,##0_);_(* \(#,##0\);_(* "-"??_);_(@_)</c:formatCode>
                <c:ptCount val="25"/>
                <c:pt idx="0">
                  <c:v>2509.3859561215054</c:v>
                </c:pt>
                <c:pt idx="1">
                  <c:v>2565.79513030103</c:v>
                </c:pt>
                <c:pt idx="2">
                  <c:v>2792.1197133517217</c:v>
                </c:pt>
                <c:pt idx="3">
                  <c:v>3138.5416170912608</c:v>
                </c:pt>
                <c:pt idx="4">
                  <c:v>3494.8790537131053</c:v>
                </c:pt>
                <c:pt idx="5">
                  <c:v>3857.8037758195014</c:v>
                </c:pt>
                <c:pt idx="6">
                  <c:v>4073.4851230346526</c:v>
                </c:pt>
                <c:pt idx="7">
                  <c:v>4120.1611869221751</c:v>
                </c:pt>
                <c:pt idx="8">
                  <c:v>3850.1891645876549</c:v>
                </c:pt>
                <c:pt idx="9">
                  <c:v>3359.9853190195054</c:v>
                </c:pt>
                <c:pt idx="10">
                  <c:v>3088.8031911704384</c:v>
                </c:pt>
                <c:pt idx="11">
                  <c:v>3190.0594891970159</c:v>
                </c:pt>
                <c:pt idx="12">
                  <c:v>3218.340398919177</c:v>
                </c:pt>
                <c:pt idx="13">
                  <c:v>3120.4932348027542</c:v>
                </c:pt>
                <c:pt idx="14">
                  <c:v>2895.932458192081</c:v>
                </c:pt>
                <c:pt idx="15">
                  <c:v>2503.5619478076205</c:v>
                </c:pt>
                <c:pt idx="16">
                  <c:v>2159.4208587508774</c:v>
                </c:pt>
                <c:pt idx="17">
                  <c:v>1903.3610185665464</c:v>
                </c:pt>
                <c:pt idx="18">
                  <c:v>1490.6174079094044</c:v>
                </c:pt>
                <c:pt idx="19">
                  <c:v>1424.3219140277524</c:v>
                </c:pt>
                <c:pt idx="20">
                  <c:v>1426.8817333969935</c:v>
                </c:pt>
                <c:pt idx="21">
                  <c:v>1386.1192686242346</c:v>
                </c:pt>
                <c:pt idx="22">
                  <c:v>1324.1802080805994</c:v>
                </c:pt>
                <c:pt idx="23">
                  <c:v>1286.0009965881709</c:v>
                </c:pt>
                <c:pt idx="24">
                  <c:v>727.79407200871321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F9-415D-A379-4F5B6A557BDB}"/>
            </c:ext>
          </c:extLst>
        </c:ser>
        <c:ser>
          <c:idx val="2"/>
          <c:order val="2"/>
          <c:tx>
            <c:strRef>
              <c:f>'Summary-Peak Day'!$B$21</c:f>
              <c:strCache>
                <c:ptCount val="1"/>
                <c:pt idx="0">
                  <c:v>Industrial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'Summary-Peak Day'!$C$18:$AA$18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Day'!$C$21:$AA$21</c:f>
              <c:numCache>
                <c:formatCode>_(* #,##0_);_(* \(#,##0\);_(* "-"??_);_(@_)</c:formatCode>
                <c:ptCount val="25"/>
                <c:pt idx="0">
                  <c:v>216.36129456999194</c:v>
                </c:pt>
                <c:pt idx="1">
                  <c:v>397.13763202691803</c:v>
                </c:pt>
                <c:pt idx="2">
                  <c:v>664.98779602414527</c:v>
                </c:pt>
                <c:pt idx="3">
                  <c:v>1033.2516926397082</c:v>
                </c:pt>
                <c:pt idx="4">
                  <c:v>1510.4860125645221</c:v>
                </c:pt>
                <c:pt idx="5">
                  <c:v>2094.059697061899</c:v>
                </c:pt>
                <c:pt idx="6">
                  <c:v>2765.9485733019469</c:v>
                </c:pt>
                <c:pt idx="7">
                  <c:v>3488.7477275948045</c:v>
                </c:pt>
                <c:pt idx="8">
                  <c:v>4204.0600559025042</c:v>
                </c:pt>
                <c:pt idx="9">
                  <c:v>4835.3469854356372</c:v>
                </c:pt>
                <c:pt idx="10">
                  <c:v>5297.022270068298</c:v>
                </c:pt>
                <c:pt idx="11">
                  <c:v>5510.1322873566123</c:v>
                </c:pt>
                <c:pt idx="12">
                  <c:v>5422.3024200233403</c:v>
                </c:pt>
                <c:pt idx="13">
                  <c:v>5035.4040334000001</c:v>
                </c:pt>
                <c:pt idx="14">
                  <c:v>4054.5195399725058</c:v>
                </c:pt>
                <c:pt idx="15">
                  <c:v>3316.584940096177</c:v>
                </c:pt>
                <c:pt idx="16">
                  <c:v>1429.9568036633175</c:v>
                </c:pt>
                <c:pt idx="17">
                  <c:v>361.60173546548054</c:v>
                </c:pt>
                <c:pt idx="18">
                  <c:v>361.10970838889699</c:v>
                </c:pt>
                <c:pt idx="19">
                  <c:v>359.16625964509495</c:v>
                </c:pt>
                <c:pt idx="20">
                  <c:v>356.60524260917481</c:v>
                </c:pt>
                <c:pt idx="21">
                  <c:v>353.85528625260866</c:v>
                </c:pt>
                <c:pt idx="22">
                  <c:v>351.12653686287007</c:v>
                </c:pt>
                <c:pt idx="23">
                  <c:v>348.41883089118454</c:v>
                </c:pt>
                <c:pt idx="24">
                  <c:v>345.73200605012096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F9-415D-A379-4F5B6A557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5550224"/>
        <c:axId val="1805544464"/>
      </c:areaChart>
      <c:catAx>
        <c:axId val="180555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5544464"/>
        <c:crosses val="autoZero"/>
        <c:auto val="1"/>
        <c:lblAlgn val="ctr"/>
        <c:lblOffset val="100"/>
        <c:tickLblSkip val="2"/>
        <c:noMultiLvlLbl val="0"/>
      </c:catAx>
      <c:valAx>
        <c:axId val="1805544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Peak Day therms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55502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Cost-Effective Potential</a:t>
            </a:r>
            <a:r>
              <a:rPr lang="en-US" baseline="0"/>
              <a:t> by Sector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'Summary-Peak Day'!$B$26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numRef>
              <c:f>'Summary-Peak Day'!$C$25:$AA$25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Day'!$C$26:$AA$26</c:f>
              <c:numCache>
                <c:formatCode>_(* #,##0_);_(* \(#,##0\);_(* "-"??_);_(@_)</c:formatCode>
                <c:ptCount val="25"/>
                <c:pt idx="0">
                  <c:v>1648.2625511180192</c:v>
                </c:pt>
                <c:pt idx="1">
                  <c:v>2321.5340869770712</c:v>
                </c:pt>
                <c:pt idx="2">
                  <c:v>3304.788232996003</c:v>
                </c:pt>
                <c:pt idx="3">
                  <c:v>4470.5976539322437</c:v>
                </c:pt>
                <c:pt idx="4">
                  <c:v>5888.7978488014605</c:v>
                </c:pt>
                <c:pt idx="5">
                  <c:v>7537.014382819696</c:v>
                </c:pt>
                <c:pt idx="6">
                  <c:v>9352.1359680766545</c:v>
                </c:pt>
                <c:pt idx="7">
                  <c:v>11226.490853168378</c:v>
                </c:pt>
                <c:pt idx="8">
                  <c:v>13007.150936843504</c:v>
                </c:pt>
                <c:pt idx="9">
                  <c:v>14506.993071847344</c:v>
                </c:pt>
                <c:pt idx="10">
                  <c:v>15539.371131324682</c:v>
                </c:pt>
                <c:pt idx="11">
                  <c:v>15953.675104284834</c:v>
                </c:pt>
                <c:pt idx="12">
                  <c:v>15679.277318047158</c:v>
                </c:pt>
                <c:pt idx="13">
                  <c:v>14815.185605275869</c:v>
                </c:pt>
                <c:pt idx="14">
                  <c:v>13413.748469944045</c:v>
                </c:pt>
                <c:pt idx="15">
                  <c:v>11812.12552870625</c:v>
                </c:pt>
                <c:pt idx="16">
                  <c:v>9840.2459142767075</c:v>
                </c:pt>
                <c:pt idx="17">
                  <c:v>8449.1951136724401</c:v>
                </c:pt>
                <c:pt idx="18">
                  <c:v>6468.4508392360567</c:v>
                </c:pt>
                <c:pt idx="19">
                  <c:v>6283.7329061179998</c:v>
                </c:pt>
                <c:pt idx="20">
                  <c:v>6201.9552645434824</c:v>
                </c:pt>
                <c:pt idx="21">
                  <c:v>6125.9642399949398</c:v>
                </c:pt>
                <c:pt idx="22">
                  <c:v>6040.3912654799606</c:v>
                </c:pt>
                <c:pt idx="23">
                  <c:v>5944.1659469675315</c:v>
                </c:pt>
                <c:pt idx="24">
                  <c:v>5025.5646827004311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B2-4411-845C-DEB9CBEB4753}"/>
            </c:ext>
          </c:extLst>
        </c:ser>
        <c:ser>
          <c:idx val="1"/>
          <c:order val="1"/>
          <c:tx>
            <c:strRef>
              <c:f>'Summary-Peak Day'!$B$27</c:f>
              <c:strCache>
                <c:ptCount val="1"/>
                <c:pt idx="0">
                  <c:v>Commercial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cat>
            <c:numRef>
              <c:f>'Summary-Peak Day'!$C$25:$AA$25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Day'!$C$27:$AA$27</c:f>
              <c:numCache>
                <c:formatCode>_(* #,##0_);_(* \(#,##0\);_(* "-"??_);_(@_)</c:formatCode>
                <c:ptCount val="25"/>
                <c:pt idx="0">
                  <c:v>2496.8878114580257</c:v>
                </c:pt>
                <c:pt idx="1">
                  <c:v>2545.5201144253128</c:v>
                </c:pt>
                <c:pt idx="2">
                  <c:v>2756.1301786964832</c:v>
                </c:pt>
                <c:pt idx="3">
                  <c:v>3087.2254771733601</c:v>
                </c:pt>
                <c:pt idx="4">
                  <c:v>3425.2460620150646</c:v>
                </c:pt>
                <c:pt idx="5">
                  <c:v>3767.5939890297905</c:v>
                </c:pt>
                <c:pt idx="6">
                  <c:v>3961.7849662859862</c:v>
                </c:pt>
                <c:pt idx="7">
                  <c:v>3988.0290643013436</c:v>
                </c:pt>
                <c:pt idx="8">
                  <c:v>3701.1293564992693</c:v>
                </c:pt>
                <c:pt idx="9">
                  <c:v>3200.0641788965377</c:v>
                </c:pt>
                <c:pt idx="10">
                  <c:v>2926.2175969987911</c:v>
                </c:pt>
                <c:pt idx="11">
                  <c:v>3034.0831220889677</c:v>
                </c:pt>
                <c:pt idx="12">
                  <c:v>3077.3127080954264</c:v>
                </c:pt>
                <c:pt idx="13">
                  <c:v>3000.0996861225012</c:v>
                </c:pt>
                <c:pt idx="14">
                  <c:v>2802.0813523013076</c:v>
                </c:pt>
                <c:pt idx="15">
                  <c:v>2447.6150181829289</c:v>
                </c:pt>
                <c:pt idx="16">
                  <c:v>2134.4178644808139</c:v>
                </c:pt>
                <c:pt idx="17">
                  <c:v>1888.5173040992408</c:v>
                </c:pt>
                <c:pt idx="18">
                  <c:v>1483.8679422784785</c:v>
                </c:pt>
                <c:pt idx="19">
                  <c:v>1421.6149769702556</c:v>
                </c:pt>
                <c:pt idx="20">
                  <c:v>1424.3448740787799</c:v>
                </c:pt>
                <c:pt idx="21">
                  <c:v>1383.6798031155454</c:v>
                </c:pt>
                <c:pt idx="22">
                  <c:v>1321.8314613589246</c:v>
                </c:pt>
                <c:pt idx="23">
                  <c:v>1283.7335804867432</c:v>
                </c:pt>
                <c:pt idx="24">
                  <c:v>725.59804658376527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B2-4411-845C-DEB9CBEB4753}"/>
            </c:ext>
          </c:extLst>
        </c:ser>
        <c:ser>
          <c:idx val="2"/>
          <c:order val="2"/>
          <c:tx>
            <c:strRef>
              <c:f>'Summary-Peak Day'!$B$28</c:f>
              <c:strCache>
                <c:ptCount val="1"/>
                <c:pt idx="0">
                  <c:v>Industrial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'Summary-Peak Day'!$C$25:$AA$25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Day'!$C$28:$AA$28</c:f>
              <c:numCache>
                <c:formatCode>_(* #,##0_);_(* \(#,##0\);_(* "-"??_);_(@_)</c:formatCode>
                <c:ptCount val="25"/>
                <c:pt idx="0">
                  <c:v>163.32637041371871</c:v>
                </c:pt>
                <c:pt idx="1">
                  <c:v>310.62094666136562</c:v>
                </c:pt>
                <c:pt idx="2">
                  <c:v>533.42626481200273</c:v>
                </c:pt>
                <c:pt idx="3">
                  <c:v>844.61358121155592</c:v>
                </c:pt>
                <c:pt idx="4">
                  <c:v>1253.6843618873481</c:v>
                </c:pt>
                <c:pt idx="5">
                  <c:v>1760.8876164174014</c:v>
                </c:pt>
                <c:pt idx="6">
                  <c:v>2353.393140240672</c:v>
                </c:pt>
                <c:pt idx="7">
                  <c:v>3001.3155715476273</c:v>
                </c:pt>
                <c:pt idx="8">
                  <c:v>3655.500801525317</c:v>
                </c:pt>
                <c:pt idx="9">
                  <c:v>4248.9974110206167</c:v>
                </c:pt>
                <c:pt idx="10">
                  <c:v>4704.0672578436852</c:v>
                </c:pt>
                <c:pt idx="11">
                  <c:v>4945.5211004738358</c:v>
                </c:pt>
                <c:pt idx="12">
                  <c:v>4918.8650679160337</c:v>
                </c:pt>
                <c:pt idx="13">
                  <c:v>4612.2721364291883</c:v>
                </c:pt>
                <c:pt idx="14">
                  <c:v>3922.3699866009529</c:v>
                </c:pt>
                <c:pt idx="15">
                  <c:v>3258.2128852642727</c:v>
                </c:pt>
                <c:pt idx="16">
                  <c:v>1408.844733790072</c:v>
                </c:pt>
                <c:pt idx="17">
                  <c:v>361.60173546548054</c:v>
                </c:pt>
                <c:pt idx="18">
                  <c:v>361.10970838889699</c:v>
                </c:pt>
                <c:pt idx="19">
                  <c:v>359.16625964509495</c:v>
                </c:pt>
                <c:pt idx="20">
                  <c:v>356.60524260917481</c:v>
                </c:pt>
                <c:pt idx="21">
                  <c:v>353.85528625260866</c:v>
                </c:pt>
                <c:pt idx="22">
                  <c:v>351.12653686287007</c:v>
                </c:pt>
                <c:pt idx="23">
                  <c:v>348.41883089118454</c:v>
                </c:pt>
                <c:pt idx="24">
                  <c:v>345.73200605012096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B2-4411-845C-DEB9CBEB4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5550224"/>
        <c:axId val="1805544464"/>
      </c:areaChart>
      <c:catAx>
        <c:axId val="180555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5544464"/>
        <c:crosses val="autoZero"/>
        <c:auto val="1"/>
        <c:lblAlgn val="ctr"/>
        <c:lblOffset val="100"/>
        <c:tickLblSkip val="2"/>
        <c:noMultiLvlLbl val="0"/>
      </c:catAx>
      <c:valAx>
        <c:axId val="1805544464"/>
        <c:scaling>
          <c:orientation val="minMax"/>
          <c:max val="3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55502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Achievable Potential</a:t>
            </a:r>
            <a:r>
              <a:rPr lang="en-US" baseline="0"/>
              <a:t> by Rate Class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'Summary-Peak Day'!$B$34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numRef>
              <c:f>'Summary-Peak Day'!$C$18:$AA$18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Day'!$C$34:$AA$34</c:f>
              <c:numCache>
                <c:formatCode>_(* #,##0_);_(* \(#,##0\);_(* "-"??_);_(@_)</c:formatCode>
                <c:ptCount val="25"/>
                <c:pt idx="0">
                  <c:v>2486.4778880416034</c:v>
                </c:pt>
                <c:pt idx="1">
                  <c:v>3245.7260230904253</c:v>
                </c:pt>
                <c:pt idx="2">
                  <c:v>4414.1754181391834</c:v>
                </c:pt>
                <c:pt idx="3">
                  <c:v>5716.741886443464</c:v>
                </c:pt>
                <c:pt idx="4">
                  <c:v>7277.7189773928658</c:v>
                </c:pt>
                <c:pt idx="5">
                  <c:v>9158.7264211586044</c:v>
                </c:pt>
                <c:pt idx="6">
                  <c:v>11283.665565568263</c:v>
                </c:pt>
                <c:pt idx="7">
                  <c:v>13522.32611211895</c:v>
                </c:pt>
                <c:pt idx="8">
                  <c:v>15687.939381377988</c:v>
                </c:pt>
                <c:pt idx="9">
                  <c:v>17548.547503438647</c:v>
                </c:pt>
                <c:pt idx="10">
                  <c:v>18865.140947790522</c:v>
                </c:pt>
                <c:pt idx="11">
                  <c:v>19356.859405660016</c:v>
                </c:pt>
                <c:pt idx="12">
                  <c:v>19058.046645343828</c:v>
                </c:pt>
                <c:pt idx="13">
                  <c:v>18009.201532563573</c:v>
                </c:pt>
                <c:pt idx="14">
                  <c:v>16251.454838118818</c:v>
                </c:pt>
                <c:pt idx="15">
                  <c:v>14200.769180212215</c:v>
                </c:pt>
                <c:pt idx="16">
                  <c:v>11714.913226006514</c:v>
                </c:pt>
                <c:pt idx="17">
                  <c:v>9812.6222096808433</c:v>
                </c:pt>
                <c:pt idx="18">
                  <c:v>6854.9037064472523</c:v>
                </c:pt>
                <c:pt idx="19">
                  <c:v>6538.4475814702873</c:v>
                </c:pt>
                <c:pt idx="20">
                  <c:v>6455.7608684802608</c:v>
                </c:pt>
                <c:pt idx="21">
                  <c:v>6378.8575193185779</c:v>
                </c:pt>
                <c:pt idx="22">
                  <c:v>6292.36376838251</c:v>
                </c:pt>
                <c:pt idx="23">
                  <c:v>6195.2059307037234</c:v>
                </c:pt>
                <c:pt idx="24">
                  <c:v>5275.6580298371046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A-4B61-8C5E-C80A32F9F443}"/>
            </c:ext>
          </c:extLst>
        </c:ser>
        <c:ser>
          <c:idx val="2"/>
          <c:order val="1"/>
          <c:tx>
            <c:v>Com Sales</c:v>
          </c:tx>
          <c:spPr>
            <a:solidFill>
              <a:schemeClr val="accent2"/>
            </a:solidFill>
            <a:ln w="25400">
              <a:noFill/>
            </a:ln>
            <a:effectLst/>
          </c:spPr>
          <c:cat>
            <c:numRef>
              <c:f>'Summary-Peak Day'!$C$18:$AA$18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Day'!$C$36:$AA$36</c:f>
              <c:numCache>
                <c:formatCode>_(* #,##0_);_(* \(#,##0\);_(* "-"??_);_(@_)</c:formatCode>
                <c:ptCount val="25"/>
                <c:pt idx="0">
                  <c:v>2395.1141051702416</c:v>
                </c:pt>
                <c:pt idx="1">
                  <c:v>2452.8684649865513</c:v>
                </c:pt>
                <c:pt idx="2">
                  <c:v>2684.0281576034358</c:v>
                </c:pt>
                <c:pt idx="3">
                  <c:v>3038.0412006147508</c:v>
                </c:pt>
                <c:pt idx="4">
                  <c:v>3414.739516383529</c:v>
                </c:pt>
                <c:pt idx="5">
                  <c:v>3815.5220752263149</c:v>
                </c:pt>
                <c:pt idx="6">
                  <c:v>4090.2543435423763</c:v>
                </c:pt>
                <c:pt idx="7">
                  <c:v>4213.6603076126767</c:v>
                </c:pt>
                <c:pt idx="8">
                  <c:v>4029.3154262565208</c:v>
                </c:pt>
                <c:pt idx="9">
                  <c:v>3662.6657464825157</c:v>
                </c:pt>
                <c:pt idx="10">
                  <c:v>3459.4664845939574</c:v>
                </c:pt>
                <c:pt idx="11">
                  <c:v>3575.2562008503814</c:v>
                </c:pt>
                <c:pt idx="12">
                  <c:v>3593.9406410488718</c:v>
                </c:pt>
                <c:pt idx="13">
                  <c:v>3462.9193104334377</c:v>
                </c:pt>
                <c:pt idx="14">
                  <c:v>3142.6265581843959</c:v>
                </c:pt>
                <c:pt idx="15">
                  <c:v>2705.3183497621403</c:v>
                </c:pt>
                <c:pt idx="16">
                  <c:v>2193.3618408693078</c:v>
                </c:pt>
                <c:pt idx="17">
                  <c:v>1851.0142414935979</c:v>
                </c:pt>
                <c:pt idx="18">
                  <c:v>1449.9411462905314</c:v>
                </c:pt>
                <c:pt idx="19">
                  <c:v>1384.6494929828852</c:v>
                </c:pt>
                <c:pt idx="20">
                  <c:v>1387.0353330395883</c:v>
                </c:pt>
                <c:pt idx="21">
                  <c:v>1347.6337497914499</c:v>
                </c:pt>
                <c:pt idx="22">
                  <c:v>1286.9380549500461</c:v>
                </c:pt>
                <c:pt idx="23">
                  <c:v>1250.4557865071508</c:v>
                </c:pt>
                <c:pt idx="24">
                  <c:v>715.95898325663336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DA-4B61-8C5E-C80A32F9F443}"/>
            </c:ext>
          </c:extLst>
        </c:ser>
        <c:ser>
          <c:idx val="3"/>
          <c:order val="2"/>
          <c:tx>
            <c:v>Com Transport</c:v>
          </c:tx>
          <c:spPr>
            <a:solidFill>
              <a:schemeClr val="accent2">
                <a:lumMod val="40000"/>
                <a:lumOff val="60000"/>
              </a:schemeClr>
            </a:solidFill>
            <a:ln w="25400">
              <a:noFill/>
            </a:ln>
            <a:effectLst/>
          </c:spPr>
          <c:cat>
            <c:numRef>
              <c:f>'Summary-Peak Day'!$C$18:$AA$18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Day'!$C$37:$AA$37</c:f>
              <c:numCache>
                <c:formatCode>_(* #,##0_);_(* \(#,##0\);_(* "-"??_);_(@_)</c:formatCode>
                <c:ptCount val="25"/>
                <c:pt idx="0">
                  <c:v>135.7136366943293</c:v>
                </c:pt>
                <c:pt idx="1">
                  <c:v>153.19623336173288</c:v>
                </c:pt>
                <c:pt idx="2">
                  <c:v>175.83238855714254</c:v>
                </c:pt>
                <c:pt idx="3">
                  <c:v>205.70215984306725</c:v>
                </c:pt>
                <c:pt idx="4">
                  <c:v>233.62026436824311</c:v>
                </c:pt>
                <c:pt idx="5">
                  <c:v>254.36862210932219</c:v>
                </c:pt>
                <c:pt idx="6">
                  <c:v>262.45204420543348</c:v>
                </c:pt>
                <c:pt idx="7">
                  <c:v>257.4760512897908</c:v>
                </c:pt>
                <c:pt idx="8">
                  <c:v>242.23030682874793</c:v>
                </c:pt>
                <c:pt idx="9">
                  <c:v>180.08316074288916</c:v>
                </c:pt>
                <c:pt idx="10">
                  <c:v>156.08035291055242</c:v>
                </c:pt>
                <c:pt idx="11">
                  <c:v>159.8968287311009</c:v>
                </c:pt>
                <c:pt idx="12">
                  <c:v>157.96898863800675</c:v>
                </c:pt>
                <c:pt idx="13">
                  <c:v>150.67143114351543</c:v>
                </c:pt>
                <c:pt idx="14">
                  <c:v>138.80044825852968</c:v>
                </c:pt>
                <c:pt idx="15">
                  <c:v>110.87498221773831</c:v>
                </c:pt>
                <c:pt idx="16">
                  <c:v>100.64966224679512</c:v>
                </c:pt>
                <c:pt idx="17">
                  <c:v>85.876996951942246</c:v>
                </c:pt>
                <c:pt idx="18">
                  <c:v>74.574132253735456</c:v>
                </c:pt>
                <c:pt idx="19">
                  <c:v>73.388338844418342</c:v>
                </c:pt>
                <c:pt idx="20">
                  <c:v>73.307677834148762</c:v>
                </c:pt>
                <c:pt idx="21">
                  <c:v>71.713388220271909</c:v>
                </c:pt>
                <c:pt idx="22">
                  <c:v>70.230106690372097</c:v>
                </c:pt>
                <c:pt idx="23">
                  <c:v>68.290729271400366</c:v>
                </c:pt>
                <c:pt idx="24">
                  <c:v>44.88024296439324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DA-4B61-8C5E-C80A32F9F443}"/>
            </c:ext>
          </c:extLst>
        </c:ser>
        <c:ser>
          <c:idx val="5"/>
          <c:order val="3"/>
          <c:tx>
            <c:v>Ind Sales</c:v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'Summary-Peak Day'!$C$18:$AA$18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Day'!$C$39:$AA$39</c:f>
              <c:numCache>
                <c:formatCode>_(* #,##0_);_(* \(#,##0\);_(* "-"??_);_(@_)</c:formatCode>
                <c:ptCount val="25"/>
                <c:pt idx="0">
                  <c:v>32.164495947148772</c:v>
                </c:pt>
                <c:pt idx="1">
                  <c:v>57.529541100375518</c:v>
                </c:pt>
                <c:pt idx="2">
                  <c:v>95.31050413883699</c:v>
                </c:pt>
                <c:pt idx="3">
                  <c:v>147.2882058563045</c:v>
                </c:pt>
                <c:pt idx="4">
                  <c:v>214.60048840634255</c:v>
                </c:pt>
                <c:pt idx="5">
                  <c:v>296.96801294261013</c:v>
                </c:pt>
                <c:pt idx="6">
                  <c:v>391.68645403203135</c:v>
                </c:pt>
                <c:pt idx="7">
                  <c:v>493.49254214277795</c:v>
                </c:pt>
                <c:pt idx="8">
                  <c:v>594.19299235572487</c:v>
                </c:pt>
                <c:pt idx="9">
                  <c:v>682.93368110292079</c:v>
                </c:pt>
                <c:pt idx="10">
                  <c:v>747.68460947350036</c:v>
                </c:pt>
                <c:pt idx="11">
                  <c:v>777.94126827897128</c:v>
                </c:pt>
                <c:pt idx="12">
                  <c:v>765.78607149064464</c:v>
                </c:pt>
                <c:pt idx="13">
                  <c:v>711.47030320478677</c:v>
                </c:pt>
                <c:pt idx="14">
                  <c:v>573.33140870539603</c:v>
                </c:pt>
                <c:pt idx="15">
                  <c:v>469.74402477014269</c:v>
                </c:pt>
                <c:pt idx="16">
                  <c:v>202.9385047395063</c:v>
                </c:pt>
                <c:pt idx="17">
                  <c:v>53.911152877383309</c:v>
                </c:pt>
                <c:pt idx="18">
                  <c:v>53.44503153491732</c:v>
                </c:pt>
                <c:pt idx="19">
                  <c:v>53.177025889068972</c:v>
                </c:pt>
                <c:pt idx="20">
                  <c:v>52.816460392231967</c:v>
                </c:pt>
                <c:pt idx="21">
                  <c:v>52.383750096071886</c:v>
                </c:pt>
                <c:pt idx="22">
                  <c:v>51.962691098307488</c:v>
                </c:pt>
                <c:pt idx="23">
                  <c:v>51.549254479384544</c:v>
                </c:pt>
                <c:pt idx="24">
                  <c:v>50.598812890079067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DA-4B61-8C5E-C80A32F9F443}"/>
            </c:ext>
          </c:extLst>
        </c:ser>
        <c:ser>
          <c:idx val="6"/>
          <c:order val="4"/>
          <c:tx>
            <c:v>Ind Transport</c:v>
          </c:tx>
          <c:spPr>
            <a:solidFill>
              <a:schemeClr val="accent3">
                <a:lumMod val="40000"/>
                <a:lumOff val="60000"/>
              </a:schemeClr>
            </a:solidFill>
            <a:ln w="25400">
              <a:noFill/>
            </a:ln>
            <a:effectLst/>
          </c:spPr>
          <c:cat>
            <c:numRef>
              <c:f>'Summary-Peak Day'!$C$18:$AA$18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Day'!$C$40:$AA$40</c:f>
              <c:numCache>
                <c:formatCode>_(* #,##0_);_(* \(#,##0\);_(* "-"??_);_(@_)</c:formatCode>
                <c:ptCount val="25"/>
                <c:pt idx="0">
                  <c:v>162.75501287977846</c:v>
                </c:pt>
                <c:pt idx="1">
                  <c:v>299.33852287928789</c:v>
                </c:pt>
                <c:pt idx="2">
                  <c:v>501.93645907645043</c:v>
                </c:pt>
                <c:pt idx="3">
                  <c:v>780.7617434168443</c:v>
                </c:pt>
                <c:pt idx="4">
                  <c:v>1142.4047971195123</c:v>
                </c:pt>
                <c:pt idx="5">
                  <c:v>1585.0047626031539</c:v>
                </c:pt>
                <c:pt idx="6">
                  <c:v>2095.0408545567589</c:v>
                </c:pt>
                <c:pt idx="7">
                  <c:v>2644.2800134717336</c:v>
                </c:pt>
                <c:pt idx="8">
                  <c:v>3188.5104950491682</c:v>
                </c:pt>
                <c:pt idx="9">
                  <c:v>3669.6497161268121</c:v>
                </c:pt>
                <c:pt idx="10">
                  <c:v>4022.5940142607296</c:v>
                </c:pt>
                <c:pt idx="11">
                  <c:v>4187.0974786931793</c:v>
                </c:pt>
                <c:pt idx="12">
                  <c:v>4122.947117764983</c:v>
                </c:pt>
                <c:pt idx="13">
                  <c:v>3830.8362234210135</c:v>
                </c:pt>
                <c:pt idx="14">
                  <c:v>3095.6935830162679</c:v>
                </c:pt>
                <c:pt idx="15">
                  <c:v>2534.2095311537769</c:v>
                </c:pt>
                <c:pt idx="16">
                  <c:v>1092.4276545585869</c:v>
                </c:pt>
                <c:pt idx="17">
                  <c:v>274.16036270910382</c:v>
                </c:pt>
                <c:pt idx="18">
                  <c:v>273.7668062191172</c:v>
                </c:pt>
                <c:pt idx="19">
                  <c:v>272.27331595647627</c:v>
                </c:pt>
                <c:pt idx="20">
                  <c:v>270.32750474019838</c:v>
                </c:pt>
                <c:pt idx="21">
                  <c:v>268.24366676904884</c:v>
                </c:pt>
                <c:pt idx="22">
                  <c:v>266.17589220474406</c:v>
                </c:pt>
                <c:pt idx="23">
                  <c:v>264.12405722141915</c:v>
                </c:pt>
                <c:pt idx="24">
                  <c:v>262.08803894772905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DA-4B61-8C5E-C80A32F9F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5550224"/>
        <c:axId val="1805544464"/>
      </c:areaChart>
      <c:catAx>
        <c:axId val="180555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5544464"/>
        <c:crosses val="autoZero"/>
        <c:auto val="1"/>
        <c:lblAlgn val="ctr"/>
        <c:lblOffset val="100"/>
        <c:tickLblSkip val="2"/>
        <c:noMultiLvlLbl val="0"/>
      </c:catAx>
      <c:valAx>
        <c:axId val="1805544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Peak Day therms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55502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Cost-Effective Potential</a:t>
            </a:r>
            <a:r>
              <a:rPr lang="en-US" baseline="0"/>
              <a:t> by Rate Class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'Summary-Peak Day'!$B$45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numRef>
              <c:f>'Summary-Peak Day'!$C$18:$AA$18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Day'!$C$45:$AA$45</c:f>
              <c:numCache>
                <c:formatCode>_(* #,##0_);_(* \(#,##0\);_(* "-"??_);_(@_)</c:formatCode>
                <c:ptCount val="25"/>
                <c:pt idx="0">
                  <c:v>1648.2625511180192</c:v>
                </c:pt>
                <c:pt idx="1">
                  <c:v>2321.5340869770712</c:v>
                </c:pt>
                <c:pt idx="2">
                  <c:v>3304.788232996003</c:v>
                </c:pt>
                <c:pt idx="3">
                  <c:v>4470.5976539322437</c:v>
                </c:pt>
                <c:pt idx="4">
                  <c:v>5888.7978488014605</c:v>
                </c:pt>
                <c:pt idx="5">
                  <c:v>7537.014382819696</c:v>
                </c:pt>
                <c:pt idx="6">
                  <c:v>9352.1359680766545</c:v>
                </c:pt>
                <c:pt idx="7">
                  <c:v>11226.490853168378</c:v>
                </c:pt>
                <c:pt idx="8">
                  <c:v>13007.150936843504</c:v>
                </c:pt>
                <c:pt idx="9">
                  <c:v>14506.993071847344</c:v>
                </c:pt>
                <c:pt idx="10">
                  <c:v>15539.371131324682</c:v>
                </c:pt>
                <c:pt idx="11">
                  <c:v>15953.675104284834</c:v>
                </c:pt>
                <c:pt idx="12">
                  <c:v>15679.277318047158</c:v>
                </c:pt>
                <c:pt idx="13">
                  <c:v>14815.185605275869</c:v>
                </c:pt>
                <c:pt idx="14">
                  <c:v>13413.748469944045</c:v>
                </c:pt>
                <c:pt idx="15">
                  <c:v>11812.12552870625</c:v>
                </c:pt>
                <c:pt idx="16">
                  <c:v>9840.2459142767075</c:v>
                </c:pt>
                <c:pt idx="17">
                  <c:v>8449.1951136724401</c:v>
                </c:pt>
                <c:pt idx="18">
                  <c:v>6468.4508392360567</c:v>
                </c:pt>
                <c:pt idx="19">
                  <c:v>6283.7329061179998</c:v>
                </c:pt>
                <c:pt idx="20">
                  <c:v>6201.9552645434824</c:v>
                </c:pt>
                <c:pt idx="21">
                  <c:v>6125.9642399949398</c:v>
                </c:pt>
                <c:pt idx="22">
                  <c:v>6040.3912654799606</c:v>
                </c:pt>
                <c:pt idx="23">
                  <c:v>5944.1659469675315</c:v>
                </c:pt>
                <c:pt idx="24">
                  <c:v>5025.5646827004311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F1-4A9C-8B9E-41E1D23D1176}"/>
            </c:ext>
          </c:extLst>
        </c:ser>
        <c:ser>
          <c:idx val="2"/>
          <c:order val="1"/>
          <c:tx>
            <c:v>Com Sales</c:v>
          </c:tx>
          <c:spPr>
            <a:solidFill>
              <a:schemeClr val="accent2"/>
            </a:solidFill>
            <a:ln w="25400">
              <a:noFill/>
            </a:ln>
            <a:effectLst/>
          </c:spPr>
          <c:cat>
            <c:numRef>
              <c:f>'Summary-Peak Day'!$C$18:$AA$18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Day'!$C$47:$AA$47</c:f>
              <c:numCache>
                <c:formatCode>_(* #,##0_);_(* \(#,##0\);_(* "-"??_);_(@_)</c:formatCode>
                <c:ptCount val="25"/>
                <c:pt idx="0">
                  <c:v>2377.9817011596965</c:v>
                </c:pt>
                <c:pt idx="1">
                  <c:v>2425.0233972192018</c:v>
                </c:pt>
                <c:pt idx="2">
                  <c:v>2636.6835775266995</c:v>
                </c:pt>
                <c:pt idx="3">
                  <c:v>2970.4254757393851</c:v>
                </c:pt>
                <c:pt idx="4">
                  <c:v>3322.8984729112194</c:v>
                </c:pt>
                <c:pt idx="5">
                  <c:v>3696.4814170936597</c:v>
                </c:pt>
                <c:pt idx="6">
                  <c:v>3942.8364068456935</c:v>
                </c:pt>
                <c:pt idx="7">
                  <c:v>4039.3114471071117</c:v>
                </c:pt>
                <c:pt idx="8">
                  <c:v>3832.7296510861574</c:v>
                </c:pt>
                <c:pt idx="9">
                  <c:v>3451.9313344004649</c:v>
                </c:pt>
                <c:pt idx="10">
                  <c:v>3245.4845239791184</c:v>
                </c:pt>
                <c:pt idx="11">
                  <c:v>3370.3338077403837</c:v>
                </c:pt>
                <c:pt idx="12">
                  <c:v>3409.2898590213604</c:v>
                </c:pt>
                <c:pt idx="13">
                  <c:v>3305.8863191904129</c:v>
                </c:pt>
                <c:pt idx="14">
                  <c:v>3038.9393127676908</c:v>
                </c:pt>
                <c:pt idx="15">
                  <c:v>2644.9735333688136</c:v>
                </c:pt>
                <c:pt idx="16">
                  <c:v>2166.8061615651795</c:v>
                </c:pt>
                <c:pt idx="17">
                  <c:v>1836.5168352699195</c:v>
                </c:pt>
                <c:pt idx="18">
                  <c:v>1443.4655193599317</c:v>
                </c:pt>
                <c:pt idx="19">
                  <c:v>1382.0163997147665</c:v>
                </c:pt>
                <c:pt idx="20">
                  <c:v>1384.5695075880087</c:v>
                </c:pt>
                <c:pt idx="21">
                  <c:v>1345.2634368227496</c:v>
                </c:pt>
                <c:pt idx="22">
                  <c:v>1284.6565741620827</c:v>
                </c:pt>
                <c:pt idx="23">
                  <c:v>1248.2537525903053</c:v>
                </c:pt>
                <c:pt idx="24">
                  <c:v>713.82646137478241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F1-4A9C-8B9E-41E1D23D1176}"/>
            </c:ext>
          </c:extLst>
        </c:ser>
        <c:ser>
          <c:idx val="3"/>
          <c:order val="2"/>
          <c:tx>
            <c:v>Com Transport</c:v>
          </c:tx>
          <c:spPr>
            <a:solidFill>
              <a:schemeClr val="accent2">
                <a:lumMod val="40000"/>
                <a:lumOff val="60000"/>
              </a:schemeClr>
            </a:solidFill>
            <a:ln w="25400">
              <a:noFill/>
            </a:ln>
            <a:effectLst/>
          </c:spPr>
          <c:cat>
            <c:numRef>
              <c:f>'Summary-Peak Day'!$C$18:$AA$18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Day'!$C$48:$AA$48</c:f>
              <c:numCache>
                <c:formatCode>_(* #,##0_);_(* \(#,##0\);_(* "-"??_);_(@_)</c:formatCode>
                <c:ptCount val="25"/>
                <c:pt idx="0">
                  <c:v>135.3418577808504</c:v>
                </c:pt>
                <c:pt idx="1">
                  <c:v>152.59967125126715</c:v>
                </c:pt>
                <c:pt idx="2">
                  <c:v>174.77417531528673</c:v>
                </c:pt>
                <c:pt idx="3">
                  <c:v>204.20274764697533</c:v>
                </c:pt>
                <c:pt idx="4">
                  <c:v>231.59727879933385</c:v>
                </c:pt>
                <c:pt idx="5">
                  <c:v>251.76181821289182</c:v>
                </c:pt>
                <c:pt idx="6">
                  <c:v>259.24095596712942</c:v>
                </c:pt>
                <c:pt idx="7">
                  <c:v>253.69767314236023</c:v>
                </c:pt>
                <c:pt idx="8">
                  <c:v>237.9920185560062</c:v>
                </c:pt>
                <c:pt idx="9">
                  <c:v>175.56485011796468</c:v>
                </c:pt>
                <c:pt idx="10">
                  <c:v>151.5203129641144</c:v>
                </c:pt>
                <c:pt idx="11">
                  <c:v>155.55955903284041</c:v>
                </c:pt>
                <c:pt idx="12">
                  <c:v>154.08014058186603</c:v>
                </c:pt>
                <c:pt idx="13">
                  <c:v>147.37636689532059</c:v>
                </c:pt>
                <c:pt idx="14">
                  <c:v>136.19092634996596</c:v>
                </c:pt>
                <c:pt idx="15">
                  <c:v>109.79425729900288</c:v>
                </c:pt>
                <c:pt idx="16">
                  <c:v>100.20999361321694</c:v>
                </c:pt>
                <c:pt idx="17">
                  <c:v>85.534403642174695</c:v>
                </c:pt>
                <c:pt idx="18">
                  <c:v>74.303042850805269</c:v>
                </c:pt>
                <c:pt idx="19">
                  <c:v>73.315457176277405</c:v>
                </c:pt>
                <c:pt idx="20">
                  <c:v>73.237548818134911</c:v>
                </c:pt>
                <c:pt idx="21">
                  <c:v>71.645085972645774</c:v>
                </c:pt>
                <c:pt idx="22">
                  <c:v>70.163644113200576</c:v>
                </c:pt>
                <c:pt idx="23">
                  <c:v>68.226114649004757</c:v>
                </c:pt>
                <c:pt idx="24">
                  <c:v>44.817483503405427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F1-4A9C-8B9E-41E1D23D1176}"/>
            </c:ext>
          </c:extLst>
        </c:ser>
        <c:ser>
          <c:idx val="5"/>
          <c:order val="3"/>
          <c:tx>
            <c:v>Ind Sales</c:v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'Summary-Peak Day'!$C$18:$AA$18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Day'!$C$50:$AA$50</c:f>
              <c:numCache>
                <c:formatCode>_(* #,##0_);_(* \(#,##0\);_(* "-"??_);_(@_)</c:formatCode>
                <c:ptCount val="25"/>
                <c:pt idx="0">
                  <c:v>24.69400206623672</c:v>
                </c:pt>
                <c:pt idx="1">
                  <c:v>45.3431769283129</c:v>
                </c:pt>
                <c:pt idx="2">
                  <c:v>76.774295848418404</c:v>
                </c:pt>
                <c:pt idx="3">
                  <c:v>120.71102898965842</c:v>
                </c:pt>
                <c:pt idx="4">
                  <c:v>178.42075288604292</c:v>
                </c:pt>
                <c:pt idx="5">
                  <c:v>250.03000323335658</c:v>
                </c:pt>
                <c:pt idx="6">
                  <c:v>333.56628548499236</c:v>
                </c:pt>
                <c:pt idx="7">
                  <c:v>424.82572298836726</c:v>
                </c:pt>
                <c:pt idx="8">
                  <c:v>516.91711166121229</c:v>
                </c:pt>
                <c:pt idx="9">
                  <c:v>600.33674938791762</c:v>
                </c:pt>
                <c:pt idx="10">
                  <c:v>664.15991420766352</c:v>
                </c:pt>
                <c:pt idx="11">
                  <c:v>698.41196169373745</c:v>
                </c:pt>
                <c:pt idx="12">
                  <c:v>694.87627357819144</c:v>
                </c:pt>
                <c:pt idx="13">
                  <c:v>651.87390653001864</c:v>
                </c:pt>
                <c:pt idx="14">
                  <c:v>554.84126543700779</c:v>
                </c:pt>
                <c:pt idx="15">
                  <c:v>461.49235160125767</c:v>
                </c:pt>
                <c:pt idx="16">
                  <c:v>199.98762061725026</c:v>
                </c:pt>
                <c:pt idx="17">
                  <c:v>53.90743794352408</c:v>
                </c:pt>
                <c:pt idx="18">
                  <c:v>53.442282237521468</c:v>
                </c:pt>
                <c:pt idx="19">
                  <c:v>53.176063767831693</c:v>
                </c:pt>
                <c:pt idx="20">
                  <c:v>52.815555541611864</c:v>
                </c:pt>
                <c:pt idx="21">
                  <c:v>52.382899803709222</c:v>
                </c:pt>
                <c:pt idx="22">
                  <c:v>51.961887741767327</c:v>
                </c:pt>
                <c:pt idx="23">
                  <c:v>51.548486917197557</c:v>
                </c:pt>
                <c:pt idx="24">
                  <c:v>50.598068807969973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F1-4A9C-8B9E-41E1D23D1176}"/>
            </c:ext>
          </c:extLst>
        </c:ser>
        <c:ser>
          <c:idx val="6"/>
          <c:order val="4"/>
          <c:tx>
            <c:v>Ind Transport</c:v>
          </c:tx>
          <c:spPr>
            <a:solidFill>
              <a:schemeClr val="accent3">
                <a:lumMod val="40000"/>
                <a:lumOff val="60000"/>
              </a:schemeClr>
            </a:solidFill>
            <a:ln w="25400">
              <a:noFill/>
            </a:ln>
            <a:effectLst/>
          </c:spPr>
          <c:cat>
            <c:numRef>
              <c:f>'Summary-Peak Day'!$C$18:$AA$18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Day'!$C$51:$AA$51</c:f>
              <c:numCache>
                <c:formatCode>_(* #,##0_);_(* \(#,##0\);_(* "-"??_);_(@_)</c:formatCode>
                <c:ptCount val="25"/>
                <c:pt idx="0">
                  <c:v>122.19662086496066</c:v>
                </c:pt>
                <c:pt idx="1">
                  <c:v>233.17481568789719</c:v>
                </c:pt>
                <c:pt idx="2">
                  <c:v>401.32439481807972</c:v>
                </c:pt>
                <c:pt idx="3">
                  <c:v>636.49980600889569</c:v>
                </c:pt>
                <c:pt idx="4">
                  <c:v>946.01391930581508</c:v>
                </c:pt>
                <c:pt idx="5">
                  <c:v>1330.208366907284</c:v>
                </c:pt>
                <c:pt idx="6">
                  <c:v>1779.5344582288437</c:v>
                </c:pt>
                <c:pt idx="7">
                  <c:v>2271.5097926111303</c:v>
                </c:pt>
                <c:pt idx="8">
                  <c:v>2768.9913767212101</c:v>
                </c:pt>
                <c:pt idx="9">
                  <c:v>3221.2286560108041</c:v>
                </c:pt>
                <c:pt idx="10">
                  <c:v>3569.1201036915809</c:v>
                </c:pt>
                <c:pt idx="11">
                  <c:v>3755.2988940958462</c:v>
                </c:pt>
                <c:pt idx="12">
                  <c:v>3737.9315028300393</c:v>
                </c:pt>
                <c:pt idx="13">
                  <c:v>3507.2352299359341</c:v>
                </c:pt>
                <c:pt idx="14">
                  <c:v>2994.4798343475982</c:v>
                </c:pt>
                <c:pt idx="15">
                  <c:v>2489.5677611781275</c:v>
                </c:pt>
                <c:pt idx="16">
                  <c:v>1076.2588224752405</c:v>
                </c:pt>
                <c:pt idx="17">
                  <c:v>274.16036270910382</c:v>
                </c:pt>
                <c:pt idx="18">
                  <c:v>273.7668062191172</c:v>
                </c:pt>
                <c:pt idx="19">
                  <c:v>272.27331595647627</c:v>
                </c:pt>
                <c:pt idx="20">
                  <c:v>270.32750474019838</c:v>
                </c:pt>
                <c:pt idx="21">
                  <c:v>268.24366676904884</c:v>
                </c:pt>
                <c:pt idx="22">
                  <c:v>266.17589220474406</c:v>
                </c:pt>
                <c:pt idx="23">
                  <c:v>264.12405722141915</c:v>
                </c:pt>
                <c:pt idx="24">
                  <c:v>262.08803894772905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F1-4A9C-8B9E-41E1D23D1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5550224"/>
        <c:axId val="1805544464"/>
      </c:areaChart>
      <c:catAx>
        <c:axId val="180555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5544464"/>
        <c:crosses val="autoZero"/>
        <c:auto val="1"/>
        <c:lblAlgn val="ctr"/>
        <c:lblOffset val="100"/>
        <c:tickLblSkip val="2"/>
        <c:noMultiLvlLbl val="0"/>
      </c:catAx>
      <c:valAx>
        <c:axId val="1805544464"/>
        <c:scaling>
          <c:orientation val="minMax"/>
          <c:max val="3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55502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 Achievable Potential by End Use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1"/>
          <c:order val="0"/>
          <c:tx>
            <c:strRef>
              <c:f>'Summary-Peak Day'!$B$59</c:f>
              <c:strCache>
                <c:ptCount val="1"/>
                <c:pt idx="0">
                  <c:v>HVAC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'Summary-Peak Day'!$C$56:$AA$56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Day'!$C$59:$AA$59</c:f>
              <c:numCache>
                <c:formatCode>_(* #,##0_);_(* \(#,##0\);_(* "-"??_);_(@_)</c:formatCode>
                <c:ptCount val="25"/>
                <c:pt idx="0">
                  <c:v>2429.6901229407185</c:v>
                </c:pt>
                <c:pt idx="1">
                  <c:v>3147.6951514721254</c:v>
                </c:pt>
                <c:pt idx="2">
                  <c:v>4259.5774272695699</c:v>
                </c:pt>
                <c:pt idx="3">
                  <c:v>5494.0749607863809</c:v>
                </c:pt>
                <c:pt idx="4">
                  <c:v>6981.0791831495726</c:v>
                </c:pt>
                <c:pt idx="5">
                  <c:v>8789.3370962138961</c:v>
                </c:pt>
                <c:pt idx="6">
                  <c:v>10849.420257464231</c:v>
                </c:pt>
                <c:pt idx="7">
                  <c:v>13035.430479915705</c:v>
                </c:pt>
                <c:pt idx="8">
                  <c:v>15161.995289528226</c:v>
                </c:pt>
                <c:pt idx="9">
                  <c:v>16996.146102080667</c:v>
                </c:pt>
                <c:pt idx="10">
                  <c:v>18296.672677551138</c:v>
                </c:pt>
                <c:pt idx="11">
                  <c:v>18780.575663014159</c:v>
                </c:pt>
                <c:pt idx="12">
                  <c:v>18480.584424171582</c:v>
                </c:pt>
                <c:pt idx="13">
                  <c:v>17436.785076136384</c:v>
                </c:pt>
                <c:pt idx="14">
                  <c:v>15721.911593765477</c:v>
                </c:pt>
                <c:pt idx="15">
                  <c:v>13673.690080722661</c:v>
                </c:pt>
                <c:pt idx="16">
                  <c:v>11206.014072196966</c:v>
                </c:pt>
                <c:pt idx="17">
                  <c:v>9325.3859857065818</c:v>
                </c:pt>
                <c:pt idx="18">
                  <c:v>6393.7455713800982</c:v>
                </c:pt>
                <c:pt idx="19">
                  <c:v>6097.8723680947642</c:v>
                </c:pt>
                <c:pt idx="20">
                  <c:v>6043.4339982018882</c:v>
                </c:pt>
                <c:pt idx="21">
                  <c:v>5971.6563083626843</c:v>
                </c:pt>
                <c:pt idx="22">
                  <c:v>5891.0489681555209</c:v>
                </c:pt>
                <c:pt idx="23">
                  <c:v>5807.6070740285559</c:v>
                </c:pt>
                <c:pt idx="24">
                  <c:v>4921.1760843685497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6B-43AA-982A-842D93B57E02}"/>
            </c:ext>
          </c:extLst>
        </c:ser>
        <c:ser>
          <c:idx val="2"/>
          <c:order val="1"/>
          <c:tx>
            <c:strRef>
              <c:f>'Summary-Peak Day'!$B$60</c:f>
              <c:strCache>
                <c:ptCount val="1"/>
                <c:pt idx="0">
                  <c:v>Water Heat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'Summary-Peak Day'!$C$56:$AA$56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Day'!$C$60:$AA$60</c:f>
              <c:numCache>
                <c:formatCode>_(* #,##0_);_(* \(#,##0\);_(* "-"??_);_(@_)</c:formatCode>
                <c:ptCount val="25"/>
                <c:pt idx="0">
                  <c:v>9.3801763247377945</c:v>
                </c:pt>
                <c:pt idx="1">
                  <c:v>17.962014075096331</c:v>
                </c:pt>
                <c:pt idx="2">
                  <c:v>31.857267338382968</c:v>
                </c:pt>
                <c:pt idx="3">
                  <c:v>51.289790661986451</c:v>
                </c:pt>
                <c:pt idx="4">
                  <c:v>77.475920152322914</c:v>
                </c:pt>
                <c:pt idx="5">
                  <c:v>110.85768660343869</c:v>
                </c:pt>
                <c:pt idx="6">
                  <c:v>151.23604982267832</c:v>
                </c:pt>
                <c:pt idx="7">
                  <c:v>197.61668290815746</c:v>
                </c:pt>
                <c:pt idx="8">
                  <c:v>248.09466141511788</c:v>
                </c:pt>
                <c:pt idx="9">
                  <c:v>299.88614695131321</c:v>
                </c:pt>
                <c:pt idx="10">
                  <c:v>349.55469042300598</c:v>
                </c:pt>
                <c:pt idx="11">
                  <c:v>393.47194899437773</c:v>
                </c:pt>
                <c:pt idx="12">
                  <c:v>428.48109639067474</c:v>
                </c:pt>
                <c:pt idx="13">
                  <c:v>452.60694245643964</c:v>
                </c:pt>
                <c:pt idx="14">
                  <c:v>465.5697676977174</c:v>
                </c:pt>
                <c:pt idx="15">
                  <c:v>472.48821785949445</c:v>
                </c:pt>
                <c:pt idx="16">
                  <c:v>469.37589631725979</c:v>
                </c:pt>
                <c:pt idx="17">
                  <c:v>464.0090307805479</c:v>
                </c:pt>
                <c:pt idx="18">
                  <c:v>441.74008810953649</c:v>
                </c:pt>
                <c:pt idx="19">
                  <c:v>422.8057998319523</c:v>
                </c:pt>
                <c:pt idx="20">
                  <c:v>396.42922929721141</c:v>
                </c:pt>
                <c:pt idx="21">
                  <c:v>393.2272429709725</c:v>
                </c:pt>
                <c:pt idx="22">
                  <c:v>389.38295092665311</c:v>
                </c:pt>
                <c:pt idx="23">
                  <c:v>377.94488181306235</c:v>
                </c:pt>
                <c:pt idx="24">
                  <c:v>346.72190248351887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6B-43AA-982A-842D93B57E02}"/>
            </c:ext>
          </c:extLst>
        </c:ser>
        <c:ser>
          <c:idx val="0"/>
          <c:order val="2"/>
          <c:tx>
            <c:strRef>
              <c:f>'Summary-Peak Day'!$B$58</c:f>
              <c:strCache>
                <c:ptCount val="1"/>
                <c:pt idx="0">
                  <c:v>Appliances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'Summary-Peak Day'!$C$56:$AA$56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Day'!$C$58:$AA$58</c:f>
              <c:numCache>
                <c:formatCode>_(* #,##0_);_(* \(#,##0\);_(* "-"??_);_(@_)</c:formatCode>
                <c:ptCount val="25"/>
                <c:pt idx="0">
                  <c:v>9.996509423162891</c:v>
                </c:pt>
                <c:pt idx="1">
                  <c:v>12.503438525021091</c:v>
                </c:pt>
                <c:pt idx="2">
                  <c:v>15.76492366040139</c:v>
                </c:pt>
                <c:pt idx="3">
                  <c:v>18.609409632295122</c:v>
                </c:pt>
                <c:pt idx="4">
                  <c:v>20.849945523642713</c:v>
                </c:pt>
                <c:pt idx="5">
                  <c:v>22.618293915739123</c:v>
                </c:pt>
                <c:pt idx="6">
                  <c:v>24.005026837490362</c:v>
                </c:pt>
                <c:pt idx="7">
                  <c:v>25.103453751099867</c:v>
                </c:pt>
                <c:pt idx="8">
                  <c:v>25.969485739205851</c:v>
                </c:pt>
                <c:pt idx="9">
                  <c:v>26.648841558499583</c:v>
                </c:pt>
                <c:pt idx="10">
                  <c:v>27.179043185772596</c:v>
                </c:pt>
                <c:pt idx="11">
                  <c:v>27.587857981882877</c:v>
                </c:pt>
                <c:pt idx="12">
                  <c:v>28.067173361412195</c:v>
                </c:pt>
                <c:pt idx="13">
                  <c:v>28.200402644324956</c:v>
                </c:pt>
                <c:pt idx="14">
                  <c:v>30.271076181103101</c:v>
                </c:pt>
                <c:pt idx="15">
                  <c:v>28.791767286556698</c:v>
                </c:pt>
                <c:pt idx="16">
                  <c:v>16.295538191179133</c:v>
                </c:pt>
                <c:pt idx="17">
                  <c:v>1.9683582656702479</c:v>
                </c:pt>
                <c:pt idx="18">
                  <c:v>1.7697149735492714</c:v>
                </c:pt>
                <c:pt idx="19">
                  <c:v>1.5876620164562367</c:v>
                </c:pt>
                <c:pt idx="20">
                  <c:v>1.4176717968627832</c:v>
                </c:pt>
                <c:pt idx="21">
                  <c:v>1.2652608378646175</c:v>
                </c:pt>
                <c:pt idx="22">
                  <c:v>0.99833152907693845</c:v>
                </c:pt>
                <c:pt idx="23">
                  <c:v>0.4989326482911135</c:v>
                </c:pt>
                <c:pt idx="24">
                  <c:v>0.38601211954320525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6B-43AA-982A-842D93B57E02}"/>
            </c:ext>
          </c:extLst>
        </c:ser>
        <c:ser>
          <c:idx val="3"/>
          <c:order val="3"/>
          <c:tx>
            <c:strRef>
              <c:f>'Summary-Peak Day'!$B$61</c:f>
              <c:strCache>
                <c:ptCount val="1"/>
                <c:pt idx="0">
                  <c:v>Whole Building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cat>
            <c:numRef>
              <c:f>'Summary-Peak Day'!$C$56:$AA$56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Day'!$C$61:$AA$61</c:f>
              <c:numCache>
                <c:formatCode>_(* #,##0_);_(* \(#,##0\);_(* "-"??_);_(@_)</c:formatCode>
                <c:ptCount val="25"/>
                <c:pt idx="0">
                  <c:v>37.411079352984743</c:v>
                </c:pt>
                <c:pt idx="1">
                  <c:v>67.565419018182666</c:v>
                </c:pt>
                <c:pt idx="2">
                  <c:v>106.97579987082743</c:v>
                </c:pt>
                <c:pt idx="3">
                  <c:v>152.76772536280055</c:v>
                </c:pt>
                <c:pt idx="4">
                  <c:v>198.31392856732671</c:v>
                </c:pt>
                <c:pt idx="5">
                  <c:v>235.91334442552886</c:v>
                </c:pt>
                <c:pt idx="6">
                  <c:v>259.00423144386019</c:v>
                </c:pt>
                <c:pt idx="7">
                  <c:v>264.17549554398698</c:v>
                </c:pt>
                <c:pt idx="8">
                  <c:v>251.87994469544321</c:v>
                </c:pt>
                <c:pt idx="9">
                  <c:v>225.86641284817114</c:v>
                </c:pt>
                <c:pt idx="10">
                  <c:v>191.73453663060528</c:v>
                </c:pt>
                <c:pt idx="11">
                  <c:v>155.22393566960136</c:v>
                </c:pt>
                <c:pt idx="12">
                  <c:v>120.9139514201559</c:v>
                </c:pt>
                <c:pt idx="13">
                  <c:v>91.6091113264265</c:v>
                </c:pt>
                <c:pt idx="14">
                  <c:v>33.702400474518626</c:v>
                </c:pt>
                <c:pt idx="15">
                  <c:v>25.799114343498211</c:v>
                </c:pt>
                <c:pt idx="16">
                  <c:v>23.227719301110419</c:v>
                </c:pt>
                <c:pt idx="17">
                  <c:v>21.258834928041392</c:v>
                </c:pt>
                <c:pt idx="18">
                  <c:v>17.648331984067458</c:v>
                </c:pt>
                <c:pt idx="19">
                  <c:v>16.181751527115466</c:v>
                </c:pt>
                <c:pt idx="20">
                  <c:v>14.479969184297978</c:v>
                </c:pt>
                <c:pt idx="21">
                  <c:v>12.708707147053364</c:v>
                </c:pt>
                <c:pt idx="22">
                  <c:v>10.933517771258952</c:v>
                </c:pt>
                <c:pt idx="23">
                  <c:v>9.1550422138148146</c:v>
                </c:pt>
                <c:pt idx="24">
                  <c:v>7.3740308654929088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6B-43AA-982A-842D93B57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7961664"/>
        <c:axId val="1787962144"/>
      </c:areaChart>
      <c:catAx>
        <c:axId val="178796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7962144"/>
        <c:crosses val="autoZero"/>
        <c:auto val="1"/>
        <c:lblAlgn val="ctr"/>
        <c:lblOffset val="100"/>
        <c:tickLblSkip val="4"/>
        <c:noMultiLvlLbl val="0"/>
      </c:catAx>
      <c:valAx>
        <c:axId val="1787962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Peak Day therms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7961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Commercial Achievable Potential by End Use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1"/>
          <c:order val="0"/>
          <c:tx>
            <c:strRef>
              <c:f>'Summary-Peak Day'!$B$65</c:f>
              <c:strCache>
                <c:ptCount val="1"/>
                <c:pt idx="0">
                  <c:v>HVAC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numRef>
              <c:f>'Summary-Peak Day'!$C$56:$AA$56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Day'!$C$65:$AA$65</c:f>
              <c:numCache>
                <c:formatCode>_(* #,##0_);_(* \(#,##0\);_(* "-"??_);_(@_)</c:formatCode>
                <c:ptCount val="25"/>
                <c:pt idx="0">
                  <c:v>1008.6573003295947</c:v>
                </c:pt>
                <c:pt idx="1">
                  <c:v>823.39426321015401</c:v>
                </c:pt>
                <c:pt idx="2">
                  <c:v>801.63710089071731</c:v>
                </c:pt>
                <c:pt idx="3">
                  <c:v>807.0177007092592</c:v>
                </c:pt>
                <c:pt idx="4">
                  <c:v>927.10136606166839</c:v>
                </c:pt>
                <c:pt idx="5">
                  <c:v>1215.6717843120628</c:v>
                </c:pt>
                <c:pt idx="6">
                  <c:v>1551.3717798544312</c:v>
                </c:pt>
                <c:pt idx="7">
                  <c:v>1901.4159364539878</c:v>
                </c:pt>
                <c:pt idx="8">
                  <c:v>2239.2256439738444</c:v>
                </c:pt>
                <c:pt idx="9">
                  <c:v>2533.2812838787381</c:v>
                </c:pt>
                <c:pt idx="10">
                  <c:v>2751.0032368984507</c:v>
                </c:pt>
                <c:pt idx="11">
                  <c:v>2863.7472188274523</c:v>
                </c:pt>
                <c:pt idx="12">
                  <c:v>2852.9248078130927</c:v>
                </c:pt>
                <c:pt idx="13">
                  <c:v>2728.8581739121264</c:v>
                </c:pt>
                <c:pt idx="14">
                  <c:v>2498.6008609916253</c:v>
                </c:pt>
                <c:pt idx="15">
                  <c:v>2101.5348660312934</c:v>
                </c:pt>
                <c:pt idx="16">
                  <c:v>1763.1589154478231</c:v>
                </c:pt>
                <c:pt idx="17">
                  <c:v>1539.5079132468613</c:v>
                </c:pt>
                <c:pt idx="18">
                  <c:v>1208.3849522157068</c:v>
                </c:pt>
                <c:pt idx="19">
                  <c:v>1159.574768480559</c:v>
                </c:pt>
                <c:pt idx="20">
                  <c:v>1168.8815817390744</c:v>
                </c:pt>
                <c:pt idx="21">
                  <c:v>1167.2813682941162</c:v>
                </c:pt>
                <c:pt idx="22">
                  <c:v>1176.6393104279487</c:v>
                </c:pt>
                <c:pt idx="23">
                  <c:v>1169.854190799311</c:v>
                </c:pt>
                <c:pt idx="24">
                  <c:v>640.52233051294616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98-4ED2-AABB-CA0D56603500}"/>
            </c:ext>
          </c:extLst>
        </c:ser>
        <c:ser>
          <c:idx val="2"/>
          <c:order val="1"/>
          <c:tx>
            <c:strRef>
              <c:f>'Summary-Peak Day'!$B$66</c:f>
              <c:strCache>
                <c:ptCount val="1"/>
                <c:pt idx="0">
                  <c:v>Water Heat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cat>
            <c:numRef>
              <c:f>'Summary-Peak Day'!$C$56:$AA$56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Day'!$C$66:$AA$66</c:f>
              <c:numCache>
                <c:formatCode>_(* #,##0_);_(* \(#,##0\);_(* "-"??_);_(@_)</c:formatCode>
                <c:ptCount val="25"/>
                <c:pt idx="0">
                  <c:v>4.2157931118374741</c:v>
                </c:pt>
                <c:pt idx="1">
                  <c:v>8.5426686972302388</c:v>
                </c:pt>
                <c:pt idx="2">
                  <c:v>15.25274730920207</c:v>
                </c:pt>
                <c:pt idx="3">
                  <c:v>24.597661056666105</c:v>
                </c:pt>
                <c:pt idx="4">
                  <c:v>36.801771717089458</c:v>
                </c:pt>
                <c:pt idx="5">
                  <c:v>51.641122476088697</c:v>
                </c:pt>
                <c:pt idx="6">
                  <c:v>68.547195669278224</c:v>
                </c:pt>
                <c:pt idx="7">
                  <c:v>86.659166365217246</c:v>
                </c:pt>
                <c:pt idx="8">
                  <c:v>104.90541087874135</c:v>
                </c:pt>
                <c:pt idx="9">
                  <c:v>122.09709181989</c:v>
                </c:pt>
                <c:pt idx="10">
                  <c:v>137.03584550594363</c:v>
                </c:pt>
                <c:pt idx="11">
                  <c:v>148.65073515211475</c:v>
                </c:pt>
                <c:pt idx="12">
                  <c:v>156.17114168750572</c:v>
                </c:pt>
                <c:pt idx="13">
                  <c:v>159.3099481268535</c:v>
                </c:pt>
                <c:pt idx="14">
                  <c:v>158.39186721112165</c:v>
                </c:pt>
                <c:pt idx="15">
                  <c:v>160.31635451505431</c:v>
                </c:pt>
                <c:pt idx="16">
                  <c:v>155.63657853538993</c:v>
                </c:pt>
                <c:pt idx="17">
                  <c:v>146.63243572066571</c:v>
                </c:pt>
                <c:pt idx="18">
                  <c:v>135.35592019214127</c:v>
                </c:pt>
                <c:pt idx="19">
                  <c:v>133.84932255077339</c:v>
                </c:pt>
                <c:pt idx="20">
                  <c:v>131.36846461649932</c:v>
                </c:pt>
                <c:pt idx="21">
                  <c:v>97.402993872432646</c:v>
                </c:pt>
                <c:pt idx="22">
                  <c:v>71.735537609657641</c:v>
                </c:pt>
                <c:pt idx="23">
                  <c:v>60.717702417969008</c:v>
                </c:pt>
                <c:pt idx="24">
                  <c:v>34.264176901914887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98-4ED2-AABB-CA0D56603500}"/>
            </c:ext>
          </c:extLst>
        </c:ser>
        <c:ser>
          <c:idx val="0"/>
          <c:order val="2"/>
          <c:tx>
            <c:strRef>
              <c:f>'Summary-Peak Day'!$B$63</c:f>
              <c:strCache>
                <c:ptCount val="1"/>
                <c:pt idx="0">
                  <c:v>Appliances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'Summary-Peak Day'!$C$56:$AA$56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Day'!$C$63:$AA$63</c:f>
              <c:numCache>
                <c:formatCode>_(* #,##0_);_(* \(#,##0\);_(* "-"??_);_(@_)</c:formatCode>
                <c:ptCount val="25"/>
                <c:pt idx="0">
                  <c:v>10.048110005762471</c:v>
                </c:pt>
                <c:pt idx="1">
                  <c:v>16.006254824004412</c:v>
                </c:pt>
                <c:pt idx="2">
                  <c:v>24.536593295408949</c:v>
                </c:pt>
                <c:pt idx="3">
                  <c:v>36.487442928031754</c:v>
                </c:pt>
                <c:pt idx="4">
                  <c:v>51.350226947135802</c:v>
                </c:pt>
                <c:pt idx="5">
                  <c:v>68.636689430402598</c:v>
                </c:pt>
                <c:pt idx="6">
                  <c:v>87.573683358116639</c:v>
                </c:pt>
                <c:pt idx="7">
                  <c:v>107.3368233782903</c:v>
                </c:pt>
                <c:pt idx="8">
                  <c:v>126.99570968225622</c:v>
                </c:pt>
                <c:pt idx="9">
                  <c:v>144.61191131972177</c:v>
                </c:pt>
                <c:pt idx="10">
                  <c:v>161.41350936886838</c:v>
                </c:pt>
                <c:pt idx="11">
                  <c:v>177.66153521744985</c:v>
                </c:pt>
                <c:pt idx="12">
                  <c:v>209.24444941857683</c:v>
                </c:pt>
                <c:pt idx="13">
                  <c:v>232.32511276377181</c:v>
                </c:pt>
                <c:pt idx="14">
                  <c:v>238.93972998933859</c:v>
                </c:pt>
                <c:pt idx="15">
                  <c:v>241.71072726127812</c:v>
                </c:pt>
                <c:pt idx="16">
                  <c:v>240.62536476766388</c:v>
                </c:pt>
                <c:pt idx="17">
                  <c:v>217.22066959901954</c:v>
                </c:pt>
                <c:pt idx="18">
                  <c:v>146.87653550155684</c:v>
                </c:pt>
                <c:pt idx="19">
                  <c:v>130.89782299642161</c:v>
                </c:pt>
                <c:pt idx="20">
                  <c:v>126.63168704142015</c:v>
                </c:pt>
                <c:pt idx="21">
                  <c:v>121.43490645768614</c:v>
                </c:pt>
                <c:pt idx="22">
                  <c:v>75.805360042993357</c:v>
                </c:pt>
                <c:pt idx="23">
                  <c:v>55.429103370889422</c:v>
                </c:pt>
                <c:pt idx="24">
                  <c:v>53.0075645938525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98-4ED2-AABB-CA0D56603500}"/>
            </c:ext>
          </c:extLst>
        </c:ser>
        <c:ser>
          <c:idx val="3"/>
          <c:order val="3"/>
          <c:tx>
            <c:strRef>
              <c:f>'Summary-Peak Day'!$B$64</c:f>
              <c:strCache>
                <c:ptCount val="1"/>
                <c:pt idx="0">
                  <c:v>Whole Building</c:v>
                </c:pt>
              </c:strCache>
            </c:strRef>
          </c:tx>
          <c:spPr>
            <a:solidFill>
              <a:schemeClr val="tx2"/>
            </a:solidFill>
            <a:ln w="25400">
              <a:noFill/>
            </a:ln>
            <a:effectLst/>
          </c:spPr>
          <c:cat>
            <c:numRef>
              <c:f>'Summary-Peak Day'!$C$56:$AA$56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Day'!$C$64:$AA$64</c:f>
              <c:numCache>
                <c:formatCode>_(* #,##0_);_(* \(#,##0\);_(* "-"??_);_(@_)</c:formatCode>
                <c:ptCount val="25"/>
                <c:pt idx="0">
                  <c:v>1486.4647526743145</c:v>
                </c:pt>
                <c:pt idx="1">
                  <c:v>1717.851943569641</c:v>
                </c:pt>
                <c:pt idx="2">
                  <c:v>1950.6932718563967</c:v>
                </c:pt>
                <c:pt idx="3">
                  <c:v>2270.4388123973081</c:v>
                </c:pt>
                <c:pt idx="4">
                  <c:v>2479.6256889872088</c:v>
                </c:pt>
                <c:pt idx="5">
                  <c:v>2521.8541796009499</c:v>
                </c:pt>
                <c:pt idx="6">
                  <c:v>2365.9924641528269</c:v>
                </c:pt>
                <c:pt idx="7">
                  <c:v>2024.7492607246761</c:v>
                </c:pt>
                <c:pt idx="8">
                  <c:v>1379.0624000528123</c:v>
                </c:pt>
                <c:pt idx="9">
                  <c:v>559.99503200115123</c:v>
                </c:pt>
                <c:pt idx="10">
                  <c:v>39.350599397182251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98-4ED2-AABB-CA0D56603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7961664"/>
        <c:axId val="1787962144"/>
      </c:areaChart>
      <c:catAx>
        <c:axId val="178796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7962144"/>
        <c:crosses val="autoZero"/>
        <c:auto val="1"/>
        <c:lblAlgn val="ctr"/>
        <c:lblOffset val="100"/>
        <c:tickLblSkip val="4"/>
        <c:noMultiLvlLbl val="0"/>
      </c:catAx>
      <c:valAx>
        <c:axId val="1787962144"/>
        <c:scaling>
          <c:orientation val="minMax"/>
          <c:max val="2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7961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Industrial Achievable Potential by End Use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1"/>
          <c:order val="0"/>
          <c:tx>
            <c:strRef>
              <c:f>'Summary-Peak Day'!$B$68</c:f>
              <c:strCache>
                <c:ptCount val="1"/>
                <c:pt idx="0">
                  <c:v>HVAC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numRef>
              <c:f>'Summary-Peak Day'!$C$56:$AA$56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Day'!$C$68:$AA$68</c:f>
              <c:numCache>
                <c:formatCode>_(* #,##0_);_(* \(#,##0\);_(* "-"??_);_(@_)</c:formatCode>
                <c:ptCount val="25"/>
                <c:pt idx="0">
                  <c:v>177.28007123814373</c:v>
                </c:pt>
                <c:pt idx="1">
                  <c:v>327.25138332724646</c:v>
                </c:pt>
                <c:pt idx="2">
                  <c:v>549.38554890397211</c:v>
                </c:pt>
                <c:pt idx="3">
                  <c:v>856.06111984693359</c:v>
                </c:pt>
                <c:pt idx="4">
                  <c:v>1254.3273359050434</c:v>
                </c:pt>
                <c:pt idx="5">
                  <c:v>1742.3234775836136</c:v>
                </c:pt>
                <c:pt idx="6">
                  <c:v>2305.340007610836</c:v>
                </c:pt>
                <c:pt idx="7">
                  <c:v>2912.4026065861858</c:v>
                </c:pt>
                <c:pt idx="8">
                  <c:v>3514.8000956901528</c:v>
                </c:pt>
                <c:pt idx="9">
                  <c:v>4048.3212170521338</c:v>
                </c:pt>
                <c:pt idx="10">
                  <c:v>4440.7408486094509</c:v>
                </c:pt>
                <c:pt idx="11">
                  <c:v>4624.9203080678581</c:v>
                </c:pt>
                <c:pt idx="12">
                  <c:v>4555.6558476853897</c:v>
                </c:pt>
                <c:pt idx="13">
                  <c:v>4232.4894238670895</c:v>
                </c:pt>
                <c:pt idx="14">
                  <c:v>3434.4773820207201</c:v>
                </c:pt>
                <c:pt idx="15">
                  <c:v>2809.2322527679416</c:v>
                </c:pt>
                <c:pt idx="16">
                  <c:v>1189.7867578104854</c:v>
                </c:pt>
                <c:pt idx="17">
                  <c:v>272.52235594026848</c:v>
                </c:pt>
                <c:pt idx="18">
                  <c:v>271.52016416403882</c:v>
                </c:pt>
                <c:pt idx="19">
                  <c:v>269.43945335358291</c:v>
                </c:pt>
                <c:pt idx="20">
                  <c:v>267.36498051563865</c:v>
                </c:pt>
                <c:pt idx="21">
                  <c:v>265.30326929085737</c:v>
                </c:pt>
                <c:pt idx="22">
                  <c:v>263.25745687219484</c:v>
                </c:pt>
                <c:pt idx="23">
                  <c:v>261.22742065251589</c:v>
                </c:pt>
                <c:pt idx="24">
                  <c:v>259.21303897023193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EF-4547-AEC7-0F46E5614D2D}"/>
            </c:ext>
          </c:extLst>
        </c:ser>
        <c:ser>
          <c:idx val="2"/>
          <c:order val="1"/>
          <c:tx>
            <c:strRef>
              <c:f>'Summary-Peak Day'!$B$70</c:f>
              <c:strCache>
                <c:ptCount val="1"/>
                <c:pt idx="0">
                  <c:v>Water Heat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cat>
            <c:numRef>
              <c:f>'Summary-Peak Day'!$C$56:$AA$56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Day'!$C$70:$AA$70</c:f>
              <c:numCache>
                <c:formatCode>_(* #,##0_);_(* \(#,##0\);_(* "-"??_);_(@_)</c:formatCode>
                <c:ptCount val="25"/>
                <c:pt idx="0">
                  <c:v>0.74254845145193538</c:v>
                </c:pt>
                <c:pt idx="1">
                  <c:v>1.3864513668818419</c:v>
                </c:pt>
                <c:pt idx="2">
                  <c:v>3.3456706089015573</c:v>
                </c:pt>
                <c:pt idx="3">
                  <c:v>5.5778008705170929</c:v>
                </c:pt>
                <c:pt idx="4">
                  <c:v>8.7181405516850869</c:v>
                </c:pt>
                <c:pt idx="5">
                  <c:v>12.921971992488903</c:v>
                </c:pt>
                <c:pt idx="6">
                  <c:v>18.291581380655643</c:v>
                </c:pt>
                <c:pt idx="7">
                  <c:v>24.841596331695527</c:v>
                </c:pt>
                <c:pt idx="8">
                  <c:v>32.466607303905526</c:v>
                </c:pt>
                <c:pt idx="9">
                  <c:v>40.920630579669989</c:v>
                </c:pt>
                <c:pt idx="10">
                  <c:v>49.81936684595621</c:v>
                </c:pt>
                <c:pt idx="11">
                  <c:v>58.673784054033973</c:v>
                </c:pt>
                <c:pt idx="12">
                  <c:v>66.956040567425404</c:v>
                </c:pt>
                <c:pt idx="13">
                  <c:v>74.18715585335444</c:v>
                </c:pt>
                <c:pt idx="14">
                  <c:v>80.02429437945311</c:v>
                </c:pt>
                <c:pt idx="15">
                  <c:v>84.423922983652076</c:v>
                </c:pt>
                <c:pt idx="16">
                  <c:v>87.204698822285366</c:v>
                </c:pt>
                <c:pt idx="17">
                  <c:v>89.079379525211934</c:v>
                </c:pt>
                <c:pt idx="18">
                  <c:v>89.589544224858216</c:v>
                </c:pt>
                <c:pt idx="19">
                  <c:v>89.726806291511991</c:v>
                </c:pt>
                <c:pt idx="20">
                  <c:v>89.24026209353606</c:v>
                </c:pt>
                <c:pt idx="21">
                  <c:v>88.55201696175132</c:v>
                </c:pt>
                <c:pt idx="22">
                  <c:v>87.86907999067536</c:v>
                </c:pt>
                <c:pt idx="23">
                  <c:v>87.191410238668681</c:v>
                </c:pt>
                <c:pt idx="24">
                  <c:v>86.518967079889137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EF-4547-AEC7-0F46E5614D2D}"/>
            </c:ext>
          </c:extLst>
        </c:ser>
        <c:ser>
          <c:idx val="0"/>
          <c:order val="2"/>
          <c:tx>
            <c:strRef>
              <c:f>'Summary-Peak Day'!$B$69</c:f>
              <c:strCache>
                <c:ptCount val="1"/>
                <c:pt idx="0">
                  <c:v>Process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'Summary-Peak Day'!$C$56:$AA$56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Day'!$C$69:$AA$69</c:f>
              <c:numCache>
                <c:formatCode>_(* #,##0_);_(* \(#,##0\);_(* "-"??_);_(@_)</c:formatCode>
                <c:ptCount val="25"/>
                <c:pt idx="0">
                  <c:v>30.85912459529581</c:v>
                </c:pt>
                <c:pt idx="1">
                  <c:v>56.427102900609917</c:v>
                </c:pt>
                <c:pt idx="2">
                  <c:v>94.073218966398031</c:v>
                </c:pt>
                <c:pt idx="3">
                  <c:v>145.77113881198824</c:v>
                </c:pt>
                <c:pt idx="4">
                  <c:v>212.55988256432511</c:v>
                </c:pt>
                <c:pt idx="5">
                  <c:v>293.94500974456002</c:v>
                </c:pt>
                <c:pt idx="6">
                  <c:v>387.24941067778872</c:v>
                </c:pt>
                <c:pt idx="7">
                  <c:v>487.06652573033875</c:v>
                </c:pt>
                <c:pt idx="8">
                  <c:v>585.05670621931154</c:v>
                </c:pt>
                <c:pt idx="9">
                  <c:v>670.3793310260611</c:v>
                </c:pt>
                <c:pt idx="10">
                  <c:v>731.00648128099385</c:v>
                </c:pt>
                <c:pt idx="11">
                  <c:v>755.95709023572124</c:v>
                </c:pt>
                <c:pt idx="12">
                  <c:v>738.11248825160249</c:v>
                </c:pt>
                <c:pt idx="13">
                  <c:v>678.19578239692976</c:v>
                </c:pt>
                <c:pt idx="14">
                  <c:v>530.99179613139574</c:v>
                </c:pt>
                <c:pt idx="15">
                  <c:v>422.92876434458299</c:v>
                </c:pt>
                <c:pt idx="16">
                  <c:v>152.9653470305461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EF-4547-AEC7-0F46E5614D2D}"/>
            </c:ext>
          </c:extLst>
        </c:ser>
        <c:ser>
          <c:idx val="3"/>
          <c:order val="3"/>
          <c:tx>
            <c:strRef>
              <c:f>'Summary-Peak Day'!$B$71</c:f>
              <c:strCache>
                <c:ptCount val="1"/>
                <c:pt idx="0">
                  <c:v>Whole Building</c:v>
                </c:pt>
              </c:strCache>
            </c:strRef>
          </c:tx>
          <c:spPr>
            <a:solidFill>
              <a:schemeClr val="tx2"/>
            </a:solidFill>
            <a:ln w="25400">
              <a:noFill/>
            </a:ln>
            <a:effectLst/>
          </c:spPr>
          <c:cat>
            <c:numRef>
              <c:f>'Summary-Peak Day'!$C$56:$AA$56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Day'!$C$71:$AA$71</c:f>
              <c:numCache>
                <c:formatCode>_(* #,##0_);_(* \(#,##0\);_(* "-"??_);_(@_)</c:formatCode>
                <c:ptCount val="25"/>
                <c:pt idx="0">
                  <c:v>7.4795502851005002</c:v>
                </c:pt>
                <c:pt idx="1">
                  <c:v>12.072694432179638</c:v>
                </c:pt>
                <c:pt idx="2">
                  <c:v>18.183357544873619</c:v>
                </c:pt>
                <c:pt idx="3">
                  <c:v>25.841633110268454</c:v>
                </c:pt>
                <c:pt idx="4">
                  <c:v>34.880653543468625</c:v>
                </c:pt>
                <c:pt idx="5">
                  <c:v>44.869237741236169</c:v>
                </c:pt>
                <c:pt idx="6">
                  <c:v>55.067573632668193</c:v>
                </c:pt>
                <c:pt idx="7">
                  <c:v>64.436998946582122</c:v>
                </c:pt>
                <c:pt idx="8">
                  <c:v>71.736646689136919</c:v>
                </c:pt>
                <c:pt idx="9">
                  <c:v>75.725806777770885</c:v>
                </c:pt>
                <c:pt idx="10">
                  <c:v>75.455573331900283</c:v>
                </c:pt>
                <c:pt idx="11">
                  <c:v>70.581104998998867</c:v>
                </c:pt>
                <c:pt idx="12">
                  <c:v>61.578043518918989</c:v>
                </c:pt>
                <c:pt idx="13">
                  <c:v>50.531671282628736</c:v>
                </c:pt>
                <c:pt idx="14">
                  <c:v>9.0260674409380055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EF-4547-AEC7-0F46E5614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7961664"/>
        <c:axId val="1787962144"/>
      </c:areaChart>
      <c:catAx>
        <c:axId val="178796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7962144"/>
        <c:crosses val="autoZero"/>
        <c:auto val="1"/>
        <c:lblAlgn val="ctr"/>
        <c:lblOffset val="100"/>
        <c:tickLblSkip val="4"/>
        <c:noMultiLvlLbl val="0"/>
      </c:catAx>
      <c:valAx>
        <c:axId val="1787962144"/>
        <c:scaling>
          <c:orientation val="minMax"/>
          <c:max val="2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7961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Cost-Effective Potential</a:t>
            </a:r>
            <a:r>
              <a:rPr lang="en-US" baseline="0"/>
              <a:t> by Sector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'Summary-Therms'!$B$26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numRef>
              <c:f>'Summary-Therms'!$C$25:$AA$25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'Summary-Therms'!$C$26:$AA$26</c:f>
              <c:numCache>
                <c:formatCode>_(* #,##0_);_(* \(#,##0\);_(* "-"??_);_(@_)</c:formatCode>
                <c:ptCount val="25"/>
                <c:pt idx="0">
                  <c:v>85478.585831938108</c:v>
                </c:pt>
                <c:pt idx="1">
                  <c:v>121593.95649246135</c:v>
                </c:pt>
                <c:pt idx="2">
                  <c:v>174683.64110222686</c:v>
                </c:pt>
                <c:pt idx="3">
                  <c:v>238378.41389296774</c:v>
                </c:pt>
                <c:pt idx="4">
                  <c:v>316507.28550416464</c:v>
                </c:pt>
                <c:pt idx="5">
                  <c:v>408054.33089593973</c:v>
                </c:pt>
                <c:pt idx="6">
                  <c:v>509787.55626908661</c:v>
                </c:pt>
                <c:pt idx="7">
                  <c:v>616027.23278720246</c:v>
                </c:pt>
                <c:pt idx="8">
                  <c:v>718581.35931258637</c:v>
                </c:pt>
                <c:pt idx="9">
                  <c:v>807311.36632641219</c:v>
                </c:pt>
                <c:pt idx="10">
                  <c:v>871937.44360924594</c:v>
                </c:pt>
                <c:pt idx="11">
                  <c:v>903947.82805335254</c:v>
                </c:pt>
                <c:pt idx="12">
                  <c:v>899061.07126613427</c:v>
                </c:pt>
                <c:pt idx="13">
                  <c:v>861569.48535626603</c:v>
                </c:pt>
                <c:pt idx="14">
                  <c:v>794214.36800645571</c:v>
                </c:pt>
                <c:pt idx="15">
                  <c:v>715226.15651233145</c:v>
                </c:pt>
                <c:pt idx="16">
                  <c:v>615026.97482588876</c:v>
                </c:pt>
                <c:pt idx="17">
                  <c:v>543538.26153868355</c:v>
                </c:pt>
                <c:pt idx="18">
                  <c:v>438040.02039835724</c:v>
                </c:pt>
                <c:pt idx="19">
                  <c:v>423939.88455586392</c:v>
                </c:pt>
                <c:pt idx="20">
                  <c:v>413145.84465255949</c:v>
                </c:pt>
                <c:pt idx="21">
                  <c:v>408496.11538071936</c:v>
                </c:pt>
                <c:pt idx="22">
                  <c:v>403141.15385180945</c:v>
                </c:pt>
                <c:pt idx="23">
                  <c:v>395218.3082862586</c:v>
                </c:pt>
                <c:pt idx="24">
                  <c:v>341006.1880571795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DD-4970-B418-6676AD4A107F}"/>
            </c:ext>
          </c:extLst>
        </c:ser>
        <c:ser>
          <c:idx val="1"/>
          <c:order val="1"/>
          <c:tx>
            <c:strRef>
              <c:f>'Summary-Therms'!$B$27</c:f>
              <c:strCache>
                <c:ptCount val="1"/>
                <c:pt idx="0">
                  <c:v>Commercial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cat>
            <c:numRef>
              <c:f>'Summary-Therms'!$C$25:$AA$25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'Summary-Therms'!$C$27:$AA$27</c:f>
              <c:numCache>
                <c:formatCode>_(* #,##0_);_(* \(#,##0\);_(* "-"??_);_(@_)</c:formatCode>
                <c:ptCount val="25"/>
                <c:pt idx="0">
                  <c:v>145141.50042024587</c:v>
                </c:pt>
                <c:pt idx="1">
                  <c:v>150248.0711961973</c:v>
                </c:pt>
                <c:pt idx="2">
                  <c:v>165630.67192485515</c:v>
                </c:pt>
                <c:pt idx="3">
                  <c:v>189225.59739552106</c:v>
                </c:pt>
                <c:pt idx="4">
                  <c:v>214409.68389337193</c:v>
                </c:pt>
                <c:pt idx="5">
                  <c:v>240831.76483026642</c:v>
                </c:pt>
                <c:pt idx="6">
                  <c:v>259549.12463000382</c:v>
                </c:pt>
                <c:pt idx="7">
                  <c:v>269095.73379045806</c:v>
                </c:pt>
                <c:pt idx="8">
                  <c:v>260859.86748317134</c:v>
                </c:pt>
                <c:pt idx="9">
                  <c:v>239560.93433047977</c:v>
                </c:pt>
                <c:pt idx="10">
                  <c:v>230679.20028817141</c:v>
                </c:pt>
                <c:pt idx="11">
                  <c:v>243095.85461412743</c:v>
                </c:pt>
                <c:pt idx="12">
                  <c:v>254453.36061298408</c:v>
                </c:pt>
                <c:pt idx="13">
                  <c:v>256326.8380027299</c:v>
                </c:pt>
                <c:pt idx="14">
                  <c:v>246983.43763813624</c:v>
                </c:pt>
                <c:pt idx="15">
                  <c:v>228745.38307522249</c:v>
                </c:pt>
                <c:pt idx="16">
                  <c:v>210480.3981874091</c:v>
                </c:pt>
                <c:pt idx="17">
                  <c:v>190120.61026615126</c:v>
                </c:pt>
                <c:pt idx="18">
                  <c:v>149619.11280290704</c:v>
                </c:pt>
                <c:pt idx="19">
                  <c:v>142738.87073950825</c:v>
                </c:pt>
                <c:pt idx="20">
                  <c:v>141297.57803267988</c:v>
                </c:pt>
                <c:pt idx="21">
                  <c:v>129382.72420322783</c:v>
                </c:pt>
                <c:pt idx="22">
                  <c:v>109285.61575592165</c:v>
                </c:pt>
                <c:pt idx="23">
                  <c:v>99779.84059123772</c:v>
                </c:pt>
                <c:pt idx="24">
                  <c:v>61173.14960262533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DD-4970-B418-6676AD4A107F}"/>
            </c:ext>
          </c:extLst>
        </c:ser>
        <c:ser>
          <c:idx val="2"/>
          <c:order val="2"/>
          <c:tx>
            <c:strRef>
              <c:f>'Summary-Therms'!$B$28</c:f>
              <c:strCache>
                <c:ptCount val="1"/>
                <c:pt idx="0">
                  <c:v>Industrial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'Summary-Therms'!$C$25:$AA$25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'Summary-Therms'!$C$28:$AA$28</c:f>
              <c:numCache>
                <c:formatCode>_(* #,##0_);_(* \(#,##0\);_(* "-"??_);_(@_)</c:formatCode>
                <c:ptCount val="25"/>
                <c:pt idx="0">
                  <c:v>24570.514252836256</c:v>
                </c:pt>
                <c:pt idx="1">
                  <c:v>44403.205222164754</c:v>
                </c:pt>
                <c:pt idx="2">
                  <c:v>73697.620594440552</c:v>
                </c:pt>
                <c:pt idx="3">
                  <c:v>113555.82840464523</c:v>
                </c:pt>
                <c:pt idx="4">
                  <c:v>164866.24974352849</c:v>
                </c:pt>
                <c:pt idx="5">
                  <c:v>227203.78365168671</c:v>
                </c:pt>
                <c:pt idx="6">
                  <c:v>298485.10881013959</c:v>
                </c:pt>
                <c:pt idx="7">
                  <c:v>374574.10868084949</c:v>
                </c:pt>
                <c:pt idx="8">
                  <c:v>449158.78364268085</c:v>
                </c:pt>
                <c:pt idx="9">
                  <c:v>514115.1518715815</c:v>
                </c:pt>
                <c:pt idx="10">
                  <c:v>560529.08232533268</c:v>
                </c:pt>
                <c:pt idx="11">
                  <c:v>580382.83762706653</c:v>
                </c:pt>
                <c:pt idx="12">
                  <c:v>568628.63486012898</c:v>
                </c:pt>
                <c:pt idx="13">
                  <c:v>526274.38506622752</c:v>
                </c:pt>
                <c:pt idx="14">
                  <c:v>412026.33922944171</c:v>
                </c:pt>
                <c:pt idx="15">
                  <c:v>335438.94447989517</c:v>
                </c:pt>
                <c:pt idx="16">
                  <c:v>148315.04606499331</c:v>
                </c:pt>
                <c:pt idx="17">
                  <c:v>42397.539189268347</c:v>
                </c:pt>
                <c:pt idx="18">
                  <c:v>42495.487642415763</c:v>
                </c:pt>
                <c:pt idx="19">
                  <c:v>42419.474139826518</c:v>
                </c:pt>
                <c:pt idx="20">
                  <c:v>42154.78102490781</c:v>
                </c:pt>
                <c:pt idx="21">
                  <c:v>41829.687739869783</c:v>
                </c:pt>
                <c:pt idx="22">
                  <c:v>41507.101636988577</c:v>
                </c:pt>
                <c:pt idx="23">
                  <c:v>41187.003379580696</c:v>
                </c:pt>
                <c:pt idx="24">
                  <c:v>40869.373780103895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DD-4970-B418-6676AD4A1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5550224"/>
        <c:axId val="1805544464"/>
      </c:areaChart>
      <c:catAx>
        <c:axId val="180555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5544464"/>
        <c:crosses val="autoZero"/>
        <c:auto val="1"/>
        <c:lblAlgn val="ctr"/>
        <c:lblOffset val="100"/>
        <c:tickLblSkip val="2"/>
        <c:noMultiLvlLbl val="0"/>
      </c:catAx>
      <c:valAx>
        <c:axId val="1805544464"/>
        <c:scaling>
          <c:orientation val="minMax"/>
          <c:max val="18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55502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 Cost-Effective Potential by End Use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1"/>
          <c:order val="0"/>
          <c:tx>
            <c:strRef>
              <c:f>'Summary-Peak Day'!$B$78</c:f>
              <c:strCache>
                <c:ptCount val="1"/>
                <c:pt idx="0">
                  <c:v>HVAC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numRef>
              <c:f>'Summary-Peak Day'!$C$56:$AA$56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Day'!$C$78:$AA$78</c:f>
              <c:numCache>
                <c:formatCode>_(* #,##0_);_(* \(#,##0\);_(* "-"??_);_(@_)</c:formatCode>
                <c:ptCount val="25"/>
                <c:pt idx="0">
                  <c:v>1601.4672903347036</c:v>
                </c:pt>
                <c:pt idx="1">
                  <c:v>2236.0017295924354</c:v>
                </c:pt>
                <c:pt idx="2">
                  <c:v>3165.9440455956874</c:v>
                </c:pt>
                <c:pt idx="3">
                  <c:v>4266.5191654318032</c:v>
                </c:pt>
                <c:pt idx="4">
                  <c:v>5612.972281640964</c:v>
                </c:pt>
                <c:pt idx="5">
                  <c:v>7190.1867826533289</c:v>
                </c:pt>
                <c:pt idx="6">
                  <c:v>8941.8112358775124</c:v>
                </c:pt>
                <c:pt idx="7">
                  <c:v>10764.578493962523</c:v>
                </c:pt>
                <c:pt idx="8">
                  <c:v>12507.012562421418</c:v>
                </c:pt>
                <c:pt idx="9">
                  <c:v>13981.026145531689</c:v>
                </c:pt>
                <c:pt idx="10">
                  <c:v>14997.811725248057</c:v>
                </c:pt>
                <c:pt idx="11">
                  <c:v>15404.650808227281</c:v>
                </c:pt>
                <c:pt idx="12">
                  <c:v>15129.325735939392</c:v>
                </c:pt>
                <c:pt idx="13">
                  <c:v>14270.451096724775</c:v>
                </c:pt>
                <c:pt idx="14">
                  <c:v>12913.887563254644</c:v>
                </c:pt>
                <c:pt idx="15">
                  <c:v>11313.206621408784</c:v>
                </c:pt>
                <c:pt idx="16">
                  <c:v>9346.9860272983587</c:v>
                </c:pt>
                <c:pt idx="17">
                  <c:v>7963.2594071398207</c:v>
                </c:pt>
                <c:pt idx="18">
                  <c:v>6008.3980140731692</c:v>
                </c:pt>
                <c:pt idx="19">
                  <c:v>5844.0885019217085</c:v>
                </c:pt>
                <c:pt idx="20">
                  <c:v>5790.4060566267235</c:v>
                </c:pt>
                <c:pt idx="21">
                  <c:v>5719.4085333644871</c:v>
                </c:pt>
                <c:pt idx="22">
                  <c:v>5639.6052547005211</c:v>
                </c:pt>
                <c:pt idx="23">
                  <c:v>5556.9910446991007</c:v>
                </c:pt>
                <c:pt idx="24">
                  <c:v>4671.4111777319758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A6-4B10-B760-93404DEC5AC6}"/>
            </c:ext>
          </c:extLst>
        </c:ser>
        <c:ser>
          <c:idx val="2"/>
          <c:order val="1"/>
          <c:tx>
            <c:strRef>
              <c:f>'Summary-Peak Day'!$B$79</c:f>
              <c:strCache>
                <c:ptCount val="1"/>
                <c:pt idx="0">
                  <c:v>Water Heat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cat>
            <c:numRef>
              <c:f>'Summary-Peak Day'!$C$56:$AA$56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Day'!$C$79:$AA$79</c:f>
              <c:numCache>
                <c:formatCode>_(* #,##0_);_(* \(#,##0\);_(* "-"??_);_(@_)</c:formatCode>
                <c:ptCount val="25"/>
                <c:pt idx="0">
                  <c:v>9.3801763247377945</c:v>
                </c:pt>
                <c:pt idx="1">
                  <c:v>17.962014075096331</c:v>
                </c:pt>
                <c:pt idx="2">
                  <c:v>31.857267338382968</c:v>
                </c:pt>
                <c:pt idx="3">
                  <c:v>51.289790661986451</c:v>
                </c:pt>
                <c:pt idx="4">
                  <c:v>77.475920152322914</c:v>
                </c:pt>
                <c:pt idx="5">
                  <c:v>110.85768660343869</c:v>
                </c:pt>
                <c:pt idx="6">
                  <c:v>151.23604982267832</c:v>
                </c:pt>
                <c:pt idx="7">
                  <c:v>197.61668290815746</c:v>
                </c:pt>
                <c:pt idx="8">
                  <c:v>248.09466141511788</c:v>
                </c:pt>
                <c:pt idx="9">
                  <c:v>299.88614695131321</c:v>
                </c:pt>
                <c:pt idx="10">
                  <c:v>349.55469042300598</c:v>
                </c:pt>
                <c:pt idx="11">
                  <c:v>393.47194899437773</c:v>
                </c:pt>
                <c:pt idx="12">
                  <c:v>428.48109639067474</c:v>
                </c:pt>
                <c:pt idx="13">
                  <c:v>452.60694245643964</c:v>
                </c:pt>
                <c:pt idx="14">
                  <c:v>465.5697676977174</c:v>
                </c:pt>
                <c:pt idx="15">
                  <c:v>472.48821785949445</c:v>
                </c:pt>
                <c:pt idx="16">
                  <c:v>469.37589631725979</c:v>
                </c:pt>
                <c:pt idx="17">
                  <c:v>464.0090307805479</c:v>
                </c:pt>
                <c:pt idx="18">
                  <c:v>441.74008810953649</c:v>
                </c:pt>
                <c:pt idx="19">
                  <c:v>422.8057998319523</c:v>
                </c:pt>
                <c:pt idx="20">
                  <c:v>396.42922929721141</c:v>
                </c:pt>
                <c:pt idx="21">
                  <c:v>393.2272429709725</c:v>
                </c:pt>
                <c:pt idx="22">
                  <c:v>389.38295092665311</c:v>
                </c:pt>
                <c:pt idx="23">
                  <c:v>377.94488181306235</c:v>
                </c:pt>
                <c:pt idx="24">
                  <c:v>346.72190248351887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A6-4B10-B760-93404DEC5AC6}"/>
            </c:ext>
          </c:extLst>
        </c:ser>
        <c:ser>
          <c:idx val="0"/>
          <c:order val="2"/>
          <c:tx>
            <c:strRef>
              <c:f>'Summary-Peak Day'!$B$77</c:f>
              <c:strCache>
                <c:ptCount val="1"/>
                <c:pt idx="0">
                  <c:v>Appliances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'Summary-Peak Day'!$C$56:$AA$56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Day'!$C$77:$AA$77</c:f>
              <c:numCache>
                <c:formatCode>_(* #,##0_);_(* \(#,##0\);_(* "-"??_);_(@_)</c:formatCode>
                <c:ptCount val="25"/>
                <c:pt idx="0">
                  <c:v>4.0051055931539133E-3</c:v>
                </c:pt>
                <c:pt idx="1">
                  <c:v>4.9242913568856329E-3</c:v>
                </c:pt>
                <c:pt idx="2">
                  <c:v>1.1120191104299836E-2</c:v>
                </c:pt>
                <c:pt idx="3">
                  <c:v>2.0972475649965797E-2</c:v>
                </c:pt>
                <c:pt idx="4">
                  <c:v>3.5718440843803261E-2</c:v>
                </c:pt>
                <c:pt idx="5">
                  <c:v>5.656913740098328E-2</c:v>
                </c:pt>
                <c:pt idx="6">
                  <c:v>8.4450932599125825E-2</c:v>
                </c:pt>
                <c:pt idx="7">
                  <c:v>0.12018075370734095</c:v>
                </c:pt>
                <c:pt idx="8">
                  <c:v>0.16376831152258942</c:v>
                </c:pt>
                <c:pt idx="9">
                  <c:v>0.21436651617354638</c:v>
                </c:pt>
                <c:pt idx="10">
                  <c:v>0.27017902302325703</c:v>
                </c:pt>
                <c:pt idx="11">
                  <c:v>0.32841139357499194</c:v>
                </c:pt>
                <c:pt idx="12">
                  <c:v>0.55653429693080381</c:v>
                </c:pt>
                <c:pt idx="13">
                  <c:v>0.51845476822969505</c:v>
                </c:pt>
                <c:pt idx="14">
                  <c:v>0.58873851716256853</c:v>
                </c:pt>
                <c:pt idx="15">
                  <c:v>0.63157509447015037</c:v>
                </c:pt>
                <c:pt idx="16">
                  <c:v>0.65627135997664077</c:v>
                </c:pt>
                <c:pt idx="17">
                  <c:v>0.66784082403305212</c:v>
                </c:pt>
                <c:pt idx="18">
                  <c:v>0.66440506928308696</c:v>
                </c:pt>
                <c:pt idx="19">
                  <c:v>0.65685283722427157</c:v>
                </c:pt>
                <c:pt idx="20">
                  <c:v>0.64000943524860099</c:v>
                </c:pt>
                <c:pt idx="21">
                  <c:v>0.61975651242374685</c:v>
                </c:pt>
                <c:pt idx="22">
                  <c:v>0.46954208152826915</c:v>
                </c:pt>
                <c:pt idx="23">
                  <c:v>7.4978241553389918E-2</c:v>
                </c:pt>
                <c:pt idx="24">
                  <c:v>5.7571619443899331E-2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A6-4B10-B760-93404DEC5AC6}"/>
            </c:ext>
          </c:extLst>
        </c:ser>
        <c:ser>
          <c:idx val="3"/>
          <c:order val="3"/>
          <c:tx>
            <c:strRef>
              <c:f>'Summary-Peak Day'!$B$80</c:f>
              <c:strCache>
                <c:ptCount val="1"/>
                <c:pt idx="0">
                  <c:v>Whole Building</c:v>
                </c:pt>
              </c:strCache>
            </c:strRef>
          </c:tx>
          <c:spPr>
            <a:solidFill>
              <a:schemeClr val="tx2"/>
            </a:solidFill>
            <a:ln w="25400">
              <a:noFill/>
            </a:ln>
            <a:effectLst/>
          </c:spPr>
          <c:cat>
            <c:numRef>
              <c:f>'Summary-Peak Day'!$C$56:$AA$56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Day'!$C$80:$AA$80</c:f>
              <c:numCache>
                <c:formatCode>_(* #,##0_);_(* \(#,##0\);_(* "-"??_);_(@_)</c:formatCode>
                <c:ptCount val="25"/>
                <c:pt idx="0">
                  <c:v>37.411079352984743</c:v>
                </c:pt>
                <c:pt idx="1">
                  <c:v>67.565419018182666</c:v>
                </c:pt>
                <c:pt idx="2">
                  <c:v>106.97579987082743</c:v>
                </c:pt>
                <c:pt idx="3">
                  <c:v>152.76772536280055</c:v>
                </c:pt>
                <c:pt idx="4">
                  <c:v>198.31392856732671</c:v>
                </c:pt>
                <c:pt idx="5">
                  <c:v>235.91334442552886</c:v>
                </c:pt>
                <c:pt idx="6">
                  <c:v>259.00423144386019</c:v>
                </c:pt>
                <c:pt idx="7">
                  <c:v>264.17549554398698</c:v>
                </c:pt>
                <c:pt idx="8">
                  <c:v>251.87994469544321</c:v>
                </c:pt>
                <c:pt idx="9">
                  <c:v>225.86641284817114</c:v>
                </c:pt>
                <c:pt idx="10">
                  <c:v>191.73453663060528</c:v>
                </c:pt>
                <c:pt idx="11">
                  <c:v>155.22393566960136</c:v>
                </c:pt>
                <c:pt idx="12">
                  <c:v>120.9139514201559</c:v>
                </c:pt>
                <c:pt idx="13">
                  <c:v>91.6091113264265</c:v>
                </c:pt>
                <c:pt idx="14">
                  <c:v>33.702400474518626</c:v>
                </c:pt>
                <c:pt idx="15">
                  <c:v>25.799114343498211</c:v>
                </c:pt>
                <c:pt idx="16">
                  <c:v>23.227719301110419</c:v>
                </c:pt>
                <c:pt idx="17">
                  <c:v>21.258834928041392</c:v>
                </c:pt>
                <c:pt idx="18">
                  <c:v>17.648331984067458</c:v>
                </c:pt>
                <c:pt idx="19">
                  <c:v>16.181751527115466</c:v>
                </c:pt>
                <c:pt idx="20">
                  <c:v>14.479969184297978</c:v>
                </c:pt>
                <c:pt idx="21">
                  <c:v>12.708707147053364</c:v>
                </c:pt>
                <c:pt idx="22">
                  <c:v>10.933517771258952</c:v>
                </c:pt>
                <c:pt idx="23">
                  <c:v>9.1550422138148146</c:v>
                </c:pt>
                <c:pt idx="24">
                  <c:v>7.3740308654929088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A6-4B10-B760-93404DEC5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7961664"/>
        <c:axId val="1787962144"/>
      </c:areaChart>
      <c:catAx>
        <c:axId val="178796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7962144"/>
        <c:crosses val="autoZero"/>
        <c:auto val="1"/>
        <c:lblAlgn val="ctr"/>
        <c:lblOffset val="100"/>
        <c:tickLblSkip val="4"/>
        <c:noMultiLvlLbl val="0"/>
      </c:catAx>
      <c:valAx>
        <c:axId val="1787962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Peak Day therms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7961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Commercial Cost-Effective Potential by End Use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1"/>
          <c:order val="0"/>
          <c:tx>
            <c:strRef>
              <c:f>'Summary-Peak Day'!$B$84</c:f>
              <c:strCache>
                <c:ptCount val="1"/>
                <c:pt idx="0">
                  <c:v>HVAC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numRef>
              <c:f>'Summary-Peak Day'!$C$75:$AA$75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Day'!$C$84:$AA$84</c:f>
              <c:numCache>
                <c:formatCode>_(* #,##0_);_(* \(#,##0\);_(* "-"??_);_(@_)</c:formatCode>
                <c:ptCount val="25"/>
                <c:pt idx="0">
                  <c:v>997.62636441660038</c:v>
                </c:pt>
                <c:pt idx="1">
                  <c:v>805.54548366797189</c:v>
                </c:pt>
                <c:pt idx="2">
                  <c:v>769.28079798289934</c:v>
                </c:pt>
                <c:pt idx="3">
                  <c:v>760.92358049393295</c:v>
                </c:pt>
                <c:pt idx="4">
                  <c:v>864.7089037417818</c:v>
                </c:pt>
                <c:pt idx="5">
                  <c:v>1135.1630337033705</c:v>
                </c:pt>
                <c:pt idx="6">
                  <c:v>1452.2322097169667</c:v>
                </c:pt>
                <c:pt idx="7">
                  <c:v>1784.985240487212</c:v>
                </c:pt>
                <c:pt idx="8">
                  <c:v>2109.083342618017</c:v>
                </c:pt>
                <c:pt idx="9">
                  <c:v>2395.2760202161376</c:v>
                </c:pt>
                <c:pt idx="10">
                  <c:v>2612.7602088943395</c:v>
                </c:pt>
                <c:pt idx="11">
                  <c:v>2733.6097876859858</c:v>
                </c:pt>
                <c:pt idx="12">
                  <c:v>2738.4890405314877</c:v>
                </c:pt>
                <c:pt idx="13">
                  <c:v>2634.3152099640783</c:v>
                </c:pt>
                <c:pt idx="14">
                  <c:v>2428.3636258176816</c:v>
                </c:pt>
                <c:pt idx="15">
                  <c:v>2066.3472982997305</c:v>
                </c:pt>
                <c:pt idx="16">
                  <c:v>1755.3219743684306</c:v>
                </c:pt>
                <c:pt idx="17">
                  <c:v>1536.0966142755869</c:v>
                </c:pt>
                <c:pt idx="18">
                  <c:v>1206.25403825433</c:v>
                </c:pt>
                <c:pt idx="19">
                  <c:v>1158.8192775440521</c:v>
                </c:pt>
                <c:pt idx="20">
                  <c:v>1168.173031752593</c:v>
                </c:pt>
                <c:pt idx="21">
                  <c:v>1166.6174436017773</c:v>
                </c:pt>
                <c:pt idx="22">
                  <c:v>1176.0134714208907</c:v>
                </c:pt>
                <c:pt idx="23">
                  <c:v>1169.2571972884093</c:v>
                </c:pt>
                <c:pt idx="24">
                  <c:v>639.94434214628552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44-4A72-9A36-F039CDC2858B}"/>
            </c:ext>
          </c:extLst>
        </c:ser>
        <c:ser>
          <c:idx val="2"/>
          <c:order val="1"/>
          <c:tx>
            <c:strRef>
              <c:f>'Summary-Peak Day'!$B$85</c:f>
              <c:strCache>
                <c:ptCount val="1"/>
                <c:pt idx="0">
                  <c:v>Water Heat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cat>
            <c:numRef>
              <c:f>'Summary-Peak Day'!$C$75:$AA$75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Day'!$C$85:$AA$85</c:f>
              <c:numCache>
                <c:formatCode>_(* #,##0_);_(* \(#,##0\);_(* "-"??_);_(@_)</c:formatCode>
                <c:ptCount val="25"/>
                <c:pt idx="0">
                  <c:v>4.2105810020052816</c:v>
                </c:pt>
                <c:pt idx="1">
                  <c:v>8.5322861688147658</c:v>
                </c:pt>
                <c:pt idx="2">
                  <c:v>15.234376565387892</c:v>
                </c:pt>
                <c:pt idx="3">
                  <c:v>24.56788205772839</c:v>
                </c:pt>
                <c:pt idx="4">
                  <c:v>36.756727875372903</c:v>
                </c:pt>
                <c:pt idx="5">
                  <c:v>51.576833340402686</c:v>
                </c:pt>
                <c:pt idx="6">
                  <c:v>68.460047282136514</c:v>
                </c:pt>
                <c:pt idx="7">
                  <c:v>86.546581149642023</c:v>
                </c:pt>
                <c:pt idx="8">
                  <c:v>104.76664350635754</c:v>
                </c:pt>
                <c:pt idx="9">
                  <c:v>121.93401722864463</c:v>
                </c:pt>
                <c:pt idx="10">
                  <c:v>136.85351789142496</c:v>
                </c:pt>
                <c:pt idx="11">
                  <c:v>148.4574419922034</c:v>
                </c:pt>
                <c:pt idx="12">
                  <c:v>155.97771076159077</c:v>
                </c:pt>
                <c:pt idx="13">
                  <c:v>159.12823518447897</c:v>
                </c:pt>
                <c:pt idx="14">
                  <c:v>158.23265113323475</c:v>
                </c:pt>
                <c:pt idx="15">
                  <c:v>160.18513780921688</c:v>
                </c:pt>
                <c:pt idx="16">
                  <c:v>155.53893005111937</c:v>
                </c:pt>
                <c:pt idx="17">
                  <c:v>146.5806839944735</c:v>
                </c:pt>
                <c:pt idx="18">
                  <c:v>135.35032192525094</c:v>
                </c:pt>
                <c:pt idx="19">
                  <c:v>133.84932255077339</c:v>
                </c:pt>
                <c:pt idx="20">
                  <c:v>131.36846461649932</c:v>
                </c:pt>
                <c:pt idx="21">
                  <c:v>97.402993872432646</c:v>
                </c:pt>
                <c:pt idx="22">
                  <c:v>71.735537609657641</c:v>
                </c:pt>
                <c:pt idx="23">
                  <c:v>60.717702417969008</c:v>
                </c:pt>
                <c:pt idx="24">
                  <c:v>34.264176901914887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44-4A72-9A36-F039CDC2858B}"/>
            </c:ext>
          </c:extLst>
        </c:ser>
        <c:ser>
          <c:idx val="0"/>
          <c:order val="2"/>
          <c:tx>
            <c:strRef>
              <c:f>'Summary-Peak Day'!$B$82</c:f>
              <c:strCache>
                <c:ptCount val="1"/>
                <c:pt idx="0">
                  <c:v>Appliances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'Summary-Peak Day'!$C$75:$AA$75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Day'!$C$82:$AA$82</c:f>
              <c:numCache>
                <c:formatCode>_(* #,##0_);_(* \(#,##0\);_(* "-"??_);_(@_)</c:formatCode>
                <c:ptCount val="25"/>
                <c:pt idx="0">
                  <c:v>8.5861133651074493</c:v>
                </c:pt>
                <c:pt idx="1">
                  <c:v>13.590401018884085</c:v>
                </c:pt>
                <c:pt idx="2">
                  <c:v>20.921732291801593</c:v>
                </c:pt>
                <c:pt idx="3">
                  <c:v>31.295202224394064</c:v>
                </c:pt>
                <c:pt idx="4">
                  <c:v>44.154741410698215</c:v>
                </c:pt>
                <c:pt idx="5">
                  <c:v>58.999942385069758</c:v>
                </c:pt>
                <c:pt idx="6">
                  <c:v>75.100245134055868</c:v>
                </c:pt>
                <c:pt idx="7">
                  <c:v>91.747981939808668</c:v>
                </c:pt>
                <c:pt idx="8">
                  <c:v>108.21697032208328</c:v>
                </c:pt>
                <c:pt idx="9">
                  <c:v>122.85910945060026</c:v>
                </c:pt>
                <c:pt idx="10">
                  <c:v>137.25327081585121</c:v>
                </c:pt>
                <c:pt idx="11">
                  <c:v>152.01589241078113</c:v>
                </c:pt>
                <c:pt idx="12">
                  <c:v>182.84595680234744</c:v>
                </c:pt>
                <c:pt idx="13">
                  <c:v>206.65624097394084</c:v>
                </c:pt>
                <c:pt idx="14">
                  <c:v>215.4850753503946</c:v>
                </c:pt>
                <c:pt idx="15">
                  <c:v>221.08258207398583</c:v>
                </c:pt>
                <c:pt idx="16">
                  <c:v>223.55696006126448</c:v>
                </c:pt>
                <c:pt idx="17">
                  <c:v>205.84000582918111</c:v>
                </c:pt>
                <c:pt idx="18">
                  <c:v>142.26358209889767</c:v>
                </c:pt>
                <c:pt idx="19">
                  <c:v>128.94637687543192</c:v>
                </c:pt>
                <c:pt idx="20">
                  <c:v>124.8033777096875</c:v>
                </c:pt>
                <c:pt idx="21">
                  <c:v>119.65936564133624</c:v>
                </c:pt>
                <c:pt idx="22">
                  <c:v>74.082452328376149</c:v>
                </c:pt>
                <c:pt idx="23">
                  <c:v>53.758680780362816</c:v>
                </c:pt>
                <c:pt idx="24">
                  <c:v>51.389527535565108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44-4A72-9A36-F039CDC2858B}"/>
            </c:ext>
          </c:extLst>
        </c:ser>
        <c:ser>
          <c:idx val="3"/>
          <c:order val="3"/>
          <c:tx>
            <c:strRef>
              <c:f>'Summary-Peak Day'!$B$83</c:f>
              <c:strCache>
                <c:ptCount val="1"/>
                <c:pt idx="0">
                  <c:v>Whole Building</c:v>
                </c:pt>
              </c:strCache>
            </c:strRef>
          </c:tx>
          <c:spPr>
            <a:solidFill>
              <a:schemeClr val="tx2"/>
            </a:solidFill>
            <a:ln w="25400">
              <a:noFill/>
            </a:ln>
            <a:effectLst/>
          </c:spPr>
          <c:cat>
            <c:numRef>
              <c:f>'Summary-Peak Day'!$C$75:$AA$75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Day'!$C$83:$AA$83</c:f>
              <c:numCache>
                <c:formatCode>_(* #,##0_);_(* \(#,##0\);_(* "-"??_);_(@_)</c:formatCode>
                <c:ptCount val="25"/>
                <c:pt idx="0">
                  <c:v>1486.4647526743145</c:v>
                </c:pt>
                <c:pt idx="1">
                  <c:v>1717.851943569641</c:v>
                </c:pt>
                <c:pt idx="2">
                  <c:v>1950.6932718563967</c:v>
                </c:pt>
                <c:pt idx="3">
                  <c:v>2270.4388123973081</c:v>
                </c:pt>
                <c:pt idx="4">
                  <c:v>2479.6256889872088</c:v>
                </c:pt>
                <c:pt idx="5">
                  <c:v>2521.8541796009499</c:v>
                </c:pt>
                <c:pt idx="6">
                  <c:v>2365.9924641528269</c:v>
                </c:pt>
                <c:pt idx="7">
                  <c:v>2024.7492607246761</c:v>
                </c:pt>
                <c:pt idx="8">
                  <c:v>1379.0624000528123</c:v>
                </c:pt>
                <c:pt idx="9">
                  <c:v>559.99503200115123</c:v>
                </c:pt>
                <c:pt idx="10">
                  <c:v>39.350599397182251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44-4A72-9A36-F039CDC28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7961664"/>
        <c:axId val="1787962144"/>
      </c:areaChart>
      <c:catAx>
        <c:axId val="178796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7962144"/>
        <c:crosses val="autoZero"/>
        <c:auto val="1"/>
        <c:lblAlgn val="ctr"/>
        <c:lblOffset val="100"/>
        <c:tickLblSkip val="4"/>
        <c:noMultiLvlLbl val="0"/>
      </c:catAx>
      <c:valAx>
        <c:axId val="1787962144"/>
        <c:scaling>
          <c:orientation val="minMax"/>
          <c:max val="2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7961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Industrial Cost-Effective Potential by End Use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1"/>
          <c:order val="0"/>
          <c:tx>
            <c:strRef>
              <c:f>'Summary-Peak Day'!$B$87</c:f>
              <c:strCache>
                <c:ptCount val="1"/>
                <c:pt idx="0">
                  <c:v>HVAC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numRef>
              <c:f>'Summary-Peak Day'!$C$56:$AA$56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Day'!$C$87:$AA$87</c:f>
              <c:numCache>
                <c:formatCode>_(* #,##0_);_(* \(#,##0\);_(* "-"??_);_(@_)</c:formatCode>
                <c:ptCount val="25"/>
                <c:pt idx="0">
                  <c:v>124.24514708187054</c:v>
                </c:pt>
                <c:pt idx="1">
                  <c:v>240.73469796169422</c:v>
                </c:pt>
                <c:pt idx="2">
                  <c:v>417.82401769182962</c:v>
                </c:pt>
                <c:pt idx="3">
                  <c:v>667.42300841878182</c:v>
                </c:pt>
                <c:pt idx="4">
                  <c:v>997.52568522786908</c:v>
                </c:pt>
                <c:pt idx="5">
                  <c:v>1409.1513969391169</c:v>
                </c:pt>
                <c:pt idx="6">
                  <c:v>1892.7845745495592</c:v>
                </c:pt>
                <c:pt idx="7">
                  <c:v>2424.9704505390087</c:v>
                </c:pt>
                <c:pt idx="8">
                  <c:v>2966.2408413129624</c:v>
                </c:pt>
                <c:pt idx="9">
                  <c:v>3461.9716426371137</c:v>
                </c:pt>
                <c:pt idx="10">
                  <c:v>3847.785836384835</c:v>
                </c:pt>
                <c:pt idx="11">
                  <c:v>4060.3091211850806</c:v>
                </c:pt>
                <c:pt idx="12">
                  <c:v>4052.2184955780858</c:v>
                </c:pt>
                <c:pt idx="13">
                  <c:v>3809.3575268962763</c:v>
                </c:pt>
                <c:pt idx="14">
                  <c:v>3302.3278286491673</c:v>
                </c:pt>
                <c:pt idx="15">
                  <c:v>2750.8601979360374</c:v>
                </c:pt>
                <c:pt idx="16">
                  <c:v>1168.6746879372399</c:v>
                </c:pt>
                <c:pt idx="17">
                  <c:v>272.52235594026848</c:v>
                </c:pt>
                <c:pt idx="18">
                  <c:v>271.52016416403882</c:v>
                </c:pt>
                <c:pt idx="19">
                  <c:v>269.43945335358291</c:v>
                </c:pt>
                <c:pt idx="20">
                  <c:v>267.36498051563865</c:v>
                </c:pt>
                <c:pt idx="21">
                  <c:v>265.30326929085737</c:v>
                </c:pt>
                <c:pt idx="22">
                  <c:v>263.25745687219484</c:v>
                </c:pt>
                <c:pt idx="23">
                  <c:v>261.22742065251589</c:v>
                </c:pt>
                <c:pt idx="24">
                  <c:v>259.21303897023193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D3-40DC-A775-8B6FF271463E}"/>
            </c:ext>
          </c:extLst>
        </c:ser>
        <c:ser>
          <c:idx val="2"/>
          <c:order val="1"/>
          <c:tx>
            <c:strRef>
              <c:f>'Summary-Peak Day'!$B$89</c:f>
              <c:strCache>
                <c:ptCount val="1"/>
                <c:pt idx="0">
                  <c:v>Water Heat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cat>
            <c:numRef>
              <c:f>'Summary-Peak Day'!$C$56:$AA$56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Day'!$C$89:$AA$89</c:f>
              <c:numCache>
                <c:formatCode>_(* #,##0_);_(* \(#,##0\);_(* "-"??_);_(@_)</c:formatCode>
                <c:ptCount val="25"/>
                <c:pt idx="0">
                  <c:v>0.74254845145193538</c:v>
                </c:pt>
                <c:pt idx="1">
                  <c:v>1.3864513668818419</c:v>
                </c:pt>
                <c:pt idx="2">
                  <c:v>3.3456706089015573</c:v>
                </c:pt>
                <c:pt idx="3">
                  <c:v>5.5778008705170929</c:v>
                </c:pt>
                <c:pt idx="4">
                  <c:v>8.7181405516850869</c:v>
                </c:pt>
                <c:pt idx="5">
                  <c:v>12.921971992488903</c:v>
                </c:pt>
                <c:pt idx="6">
                  <c:v>18.291581380655643</c:v>
                </c:pt>
                <c:pt idx="7">
                  <c:v>24.841596331695527</c:v>
                </c:pt>
                <c:pt idx="8">
                  <c:v>32.466607303905526</c:v>
                </c:pt>
                <c:pt idx="9">
                  <c:v>40.920630579669989</c:v>
                </c:pt>
                <c:pt idx="10">
                  <c:v>49.81936684595621</c:v>
                </c:pt>
                <c:pt idx="11">
                  <c:v>58.673784054033973</c:v>
                </c:pt>
                <c:pt idx="12">
                  <c:v>66.956040567425404</c:v>
                </c:pt>
                <c:pt idx="13">
                  <c:v>74.18715585335444</c:v>
                </c:pt>
                <c:pt idx="14">
                  <c:v>80.02429437945311</c:v>
                </c:pt>
                <c:pt idx="15">
                  <c:v>84.423922983652076</c:v>
                </c:pt>
                <c:pt idx="16">
                  <c:v>87.204698822285366</c:v>
                </c:pt>
                <c:pt idx="17">
                  <c:v>89.079379525211934</c:v>
                </c:pt>
                <c:pt idx="18">
                  <c:v>89.589544224858216</c:v>
                </c:pt>
                <c:pt idx="19">
                  <c:v>89.726806291511991</c:v>
                </c:pt>
                <c:pt idx="20">
                  <c:v>89.24026209353606</c:v>
                </c:pt>
                <c:pt idx="21">
                  <c:v>88.55201696175132</c:v>
                </c:pt>
                <c:pt idx="22">
                  <c:v>87.86907999067536</c:v>
                </c:pt>
                <c:pt idx="23">
                  <c:v>87.191410238668681</c:v>
                </c:pt>
                <c:pt idx="24">
                  <c:v>86.518967079889137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D3-40DC-A775-8B6FF271463E}"/>
            </c:ext>
          </c:extLst>
        </c:ser>
        <c:ser>
          <c:idx val="0"/>
          <c:order val="2"/>
          <c:tx>
            <c:strRef>
              <c:f>'Summary-Peak Day'!$B$88</c:f>
              <c:strCache>
                <c:ptCount val="1"/>
                <c:pt idx="0">
                  <c:v>Process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'Summary-Peak Day'!$C$56:$AA$56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Day'!$C$88:$AA$88</c:f>
              <c:numCache>
                <c:formatCode>_(* #,##0_);_(* \(#,##0\);_(* "-"??_);_(@_)</c:formatCode>
                <c:ptCount val="25"/>
                <c:pt idx="0">
                  <c:v>30.85912459529581</c:v>
                </c:pt>
                <c:pt idx="1">
                  <c:v>56.427102900609917</c:v>
                </c:pt>
                <c:pt idx="2">
                  <c:v>94.073218966398031</c:v>
                </c:pt>
                <c:pt idx="3">
                  <c:v>145.77113881198824</c:v>
                </c:pt>
                <c:pt idx="4">
                  <c:v>212.55988256432511</c:v>
                </c:pt>
                <c:pt idx="5">
                  <c:v>293.94500974456002</c:v>
                </c:pt>
                <c:pt idx="6">
                  <c:v>387.24941067778872</c:v>
                </c:pt>
                <c:pt idx="7">
                  <c:v>487.06652573033875</c:v>
                </c:pt>
                <c:pt idx="8">
                  <c:v>585.05670621931154</c:v>
                </c:pt>
                <c:pt idx="9">
                  <c:v>670.3793310260611</c:v>
                </c:pt>
                <c:pt idx="10">
                  <c:v>731.00648128099385</c:v>
                </c:pt>
                <c:pt idx="11">
                  <c:v>755.95709023572124</c:v>
                </c:pt>
                <c:pt idx="12">
                  <c:v>738.11248825160249</c:v>
                </c:pt>
                <c:pt idx="13">
                  <c:v>678.19578239692976</c:v>
                </c:pt>
                <c:pt idx="14">
                  <c:v>530.99179613139574</c:v>
                </c:pt>
                <c:pt idx="15">
                  <c:v>422.92876434458299</c:v>
                </c:pt>
                <c:pt idx="16">
                  <c:v>152.9653470305461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D3-40DC-A775-8B6FF271463E}"/>
            </c:ext>
          </c:extLst>
        </c:ser>
        <c:ser>
          <c:idx val="3"/>
          <c:order val="3"/>
          <c:tx>
            <c:strRef>
              <c:f>'Summary-Peak Day'!$B$90</c:f>
              <c:strCache>
                <c:ptCount val="1"/>
                <c:pt idx="0">
                  <c:v>Whole Building</c:v>
                </c:pt>
              </c:strCache>
            </c:strRef>
          </c:tx>
          <c:spPr>
            <a:solidFill>
              <a:schemeClr val="tx2"/>
            </a:solidFill>
            <a:ln w="25400">
              <a:noFill/>
            </a:ln>
            <a:effectLst/>
          </c:spPr>
          <c:cat>
            <c:numRef>
              <c:f>'Summary-Peak Day'!$C$56:$AA$56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Day'!$C$90:$AA$90</c:f>
              <c:numCache>
                <c:formatCode>_(* #,##0_);_(* \(#,##0\);_(* "-"??_);_(@_)</c:formatCode>
                <c:ptCount val="25"/>
                <c:pt idx="0">
                  <c:v>7.4795502851005002</c:v>
                </c:pt>
                <c:pt idx="1">
                  <c:v>12.072694432179638</c:v>
                </c:pt>
                <c:pt idx="2">
                  <c:v>18.183357544873619</c:v>
                </c:pt>
                <c:pt idx="3">
                  <c:v>25.841633110268454</c:v>
                </c:pt>
                <c:pt idx="4">
                  <c:v>34.880653543468625</c:v>
                </c:pt>
                <c:pt idx="5">
                  <c:v>44.869237741236169</c:v>
                </c:pt>
                <c:pt idx="6">
                  <c:v>55.067573632668193</c:v>
                </c:pt>
                <c:pt idx="7">
                  <c:v>64.436998946582122</c:v>
                </c:pt>
                <c:pt idx="8">
                  <c:v>71.736646689136919</c:v>
                </c:pt>
                <c:pt idx="9">
                  <c:v>75.725806777770885</c:v>
                </c:pt>
                <c:pt idx="10">
                  <c:v>75.455573331900283</c:v>
                </c:pt>
                <c:pt idx="11">
                  <c:v>70.581104998998867</c:v>
                </c:pt>
                <c:pt idx="12">
                  <c:v>61.578043518918989</c:v>
                </c:pt>
                <c:pt idx="13">
                  <c:v>50.531671282628736</c:v>
                </c:pt>
                <c:pt idx="14">
                  <c:v>9.0260674409380055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D3-40DC-A775-8B6FF2714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7961664"/>
        <c:axId val="1787962144"/>
      </c:areaChart>
      <c:catAx>
        <c:axId val="178796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7962144"/>
        <c:crosses val="autoZero"/>
        <c:auto val="1"/>
        <c:lblAlgn val="ctr"/>
        <c:lblOffset val="100"/>
        <c:tickLblSkip val="4"/>
        <c:noMultiLvlLbl val="0"/>
      </c:catAx>
      <c:valAx>
        <c:axId val="1787962144"/>
        <c:scaling>
          <c:orientation val="minMax"/>
          <c:max val="2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7961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Achievable Potential</a:t>
            </a:r>
            <a:r>
              <a:rPr lang="en-US" baseline="0"/>
              <a:t> by Sector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'Summary-Peak Hour'!$B$19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'Summary-Peak Hour'!$C$18:$AA$18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Hour'!$C$19:$AA$19</c:f>
              <c:numCache>
                <c:formatCode>_(* #,##0_);_(* \(#,##0\);_(* "-"??_);_(@_)</c:formatCode>
                <c:ptCount val="25"/>
                <c:pt idx="0">
                  <c:v>144.60150302773781</c:v>
                </c:pt>
                <c:pt idx="1">
                  <c:v>188.87856318059775</c:v>
                </c:pt>
                <c:pt idx="2">
                  <c:v>256.59346073781489</c:v>
                </c:pt>
                <c:pt idx="3">
                  <c:v>331.87902807748236</c:v>
                </c:pt>
                <c:pt idx="4">
                  <c:v>421.85386419723892</c:v>
                </c:pt>
                <c:pt idx="5">
                  <c:v>530.01150752446358</c:v>
                </c:pt>
                <c:pt idx="6">
                  <c:v>651.87314557225852</c:v>
                </c:pt>
                <c:pt idx="7">
                  <c:v>779.81319555580592</c:v>
                </c:pt>
                <c:pt idx="8">
                  <c:v>902.97409094635555</c:v>
                </c:pt>
                <c:pt idx="9">
                  <c:v>1007.9285901301806</c:v>
                </c:pt>
                <c:pt idx="10">
                  <c:v>1080.9009032012864</c:v>
                </c:pt>
                <c:pt idx="11">
                  <c:v>1105.7636624898128</c:v>
                </c:pt>
                <c:pt idx="12">
                  <c:v>1084.7325598530904</c:v>
                </c:pt>
                <c:pt idx="13">
                  <c:v>1020.3807417486115</c:v>
                </c:pt>
                <c:pt idx="14">
                  <c:v>915.4860011598031</c:v>
                </c:pt>
                <c:pt idx="15">
                  <c:v>794.08021913064147</c:v>
                </c:pt>
                <c:pt idx="16">
                  <c:v>624.04037869795866</c:v>
                </c:pt>
                <c:pt idx="17">
                  <c:v>525.10036844020499</c:v>
                </c:pt>
                <c:pt idx="18">
                  <c:v>350.80966773408483</c:v>
                </c:pt>
                <c:pt idx="19">
                  <c:v>331.79902564617333</c:v>
                </c:pt>
                <c:pt idx="20">
                  <c:v>327.38503990605363</c:v>
                </c:pt>
                <c:pt idx="21">
                  <c:v>324.25884072906666</c:v>
                </c:pt>
                <c:pt idx="22">
                  <c:v>320.79877053648352</c:v>
                </c:pt>
                <c:pt idx="23">
                  <c:v>316.61847585338052</c:v>
                </c:pt>
                <c:pt idx="24">
                  <c:v>264.48302074261483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80-44BE-9F1C-3F42D65110B5}"/>
            </c:ext>
          </c:extLst>
        </c:ser>
        <c:ser>
          <c:idx val="1"/>
          <c:order val="1"/>
          <c:tx>
            <c:strRef>
              <c:f>'Summary-Peak Hour'!$B$20</c:f>
              <c:strCache>
                <c:ptCount val="1"/>
                <c:pt idx="0">
                  <c:v>Commercial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'Summary-Peak Hour'!$C$18:$AA$18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Hour'!$C$20:$AA$20</c:f>
              <c:numCache>
                <c:formatCode>_(* #,##0_);_(* \(#,##0\);_(* "-"??_);_(@_)</c:formatCode>
                <c:ptCount val="25"/>
                <c:pt idx="0">
                  <c:v>197.40085368423613</c:v>
                </c:pt>
                <c:pt idx="1">
                  <c:v>202.42934979061801</c:v>
                </c:pt>
                <c:pt idx="2">
                  <c:v>221.04527042436388</c:v>
                </c:pt>
                <c:pt idx="3">
                  <c:v>249.42225383931961</c:v>
                </c:pt>
                <c:pt idx="4">
                  <c:v>278.90693712995363</c:v>
                </c:pt>
                <c:pt idx="5">
                  <c:v>309.18954123117419</c:v>
                </c:pt>
                <c:pt idx="6">
                  <c:v>328.13431825226792</c:v>
                </c:pt>
                <c:pt idx="7">
                  <c:v>333.93888982652174</c:v>
                </c:pt>
                <c:pt idx="8">
                  <c:v>314.93560573110096</c:v>
                </c:pt>
                <c:pt idx="9">
                  <c:v>278.54432280241548</c:v>
                </c:pt>
                <c:pt idx="10">
                  <c:v>259.18327253005128</c:v>
                </c:pt>
                <c:pt idx="11">
                  <c:v>268.87156340870922</c:v>
                </c:pt>
                <c:pt idx="12">
                  <c:v>274.83477555700063</c:v>
                </c:pt>
                <c:pt idx="13">
                  <c:v>270.02404115306945</c:v>
                </c:pt>
                <c:pt idx="14">
                  <c:v>253.41771642451209</c:v>
                </c:pt>
                <c:pt idx="15">
                  <c:v>223.27677642872442</c:v>
                </c:pt>
                <c:pt idx="16">
                  <c:v>196.53681251581637</c:v>
                </c:pt>
                <c:pt idx="17">
                  <c:v>174.30522918119476</c:v>
                </c:pt>
                <c:pt idx="18">
                  <c:v>134.08165912859346</c:v>
                </c:pt>
                <c:pt idx="19">
                  <c:v>126.94343111800704</c:v>
                </c:pt>
                <c:pt idx="20">
                  <c:v>126.7723574497569</c:v>
                </c:pt>
                <c:pt idx="21">
                  <c:v>123.19320644474531</c:v>
                </c:pt>
                <c:pt idx="22">
                  <c:v>112.80392848175899</c:v>
                </c:pt>
                <c:pt idx="23">
                  <c:v>107.36208288266624</c:v>
                </c:pt>
                <c:pt idx="24">
                  <c:v>63.332561274751711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80-44BE-9F1C-3F42D65110B5}"/>
            </c:ext>
          </c:extLst>
        </c:ser>
        <c:ser>
          <c:idx val="2"/>
          <c:order val="2"/>
          <c:tx>
            <c:strRef>
              <c:f>'Summary-Peak Hour'!$B$21</c:f>
              <c:strCache>
                <c:ptCount val="1"/>
                <c:pt idx="0">
                  <c:v>Industrial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'Summary-Peak Hour'!$C$18:$AA$18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Hour'!$C$21:$AA$21</c:f>
              <c:numCache>
                <c:formatCode>_(* #,##0_);_(* \(#,##0\);_(* "-"??_);_(@_)</c:formatCode>
                <c:ptCount val="25"/>
                <c:pt idx="0">
                  <c:v>15.148882501030608</c:v>
                </c:pt>
                <c:pt idx="1">
                  <c:v>27.962547546074905</c:v>
                </c:pt>
                <c:pt idx="2">
                  <c:v>47.019445078916817</c:v>
                </c:pt>
                <c:pt idx="3">
                  <c:v>73.289206031674809</c:v>
                </c:pt>
                <c:pt idx="4">
                  <c:v>107.41927308196856</c:v>
                </c:pt>
                <c:pt idx="5">
                  <c:v>149.26034437955269</c:v>
                </c:pt>
                <c:pt idx="6">
                  <c:v>197.56484838860294</c:v>
                </c:pt>
                <c:pt idx="7">
                  <c:v>249.69370265257749</c:v>
                </c:pt>
                <c:pt idx="8">
                  <c:v>301.48886404944761</c:v>
                </c:pt>
                <c:pt idx="9">
                  <c:v>347.46267774415691</c:v>
                </c:pt>
                <c:pt idx="10">
                  <c:v>381.43600866701735</c:v>
                </c:pt>
                <c:pt idx="11">
                  <c:v>397.65678978487472</c:v>
                </c:pt>
                <c:pt idx="12">
                  <c:v>392.24006761366354</c:v>
                </c:pt>
                <c:pt idx="13">
                  <c:v>365.11891501848214</c:v>
                </c:pt>
                <c:pt idx="14">
                  <c:v>297.3931802523507</c:v>
                </c:pt>
                <c:pt idx="15">
                  <c:v>244.35368047225296</c:v>
                </c:pt>
                <c:pt idx="16">
                  <c:v>106.45033393653858</c:v>
                </c:pt>
                <c:pt idx="17">
                  <c:v>28.362224878115068</c:v>
                </c:pt>
                <c:pt idx="18">
                  <c:v>28.323866051837253</c:v>
                </c:pt>
                <c:pt idx="19">
                  <c:v>28.171659324066418</c:v>
                </c:pt>
                <c:pt idx="20">
                  <c:v>27.97083934629816</c:v>
                </c:pt>
                <c:pt idx="21">
                  <c:v>27.755142582748814</c:v>
                </c:pt>
                <c:pt idx="22">
                  <c:v>27.541109218219102</c:v>
                </c:pt>
                <c:pt idx="23">
                  <c:v>27.328726424523225</c:v>
                </c:pt>
                <c:pt idx="24">
                  <c:v>27.117981472410793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80-44BE-9F1C-3F42D65110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5550224"/>
        <c:axId val="1805544464"/>
      </c:areaChart>
      <c:catAx>
        <c:axId val="180555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5544464"/>
        <c:crosses val="autoZero"/>
        <c:auto val="1"/>
        <c:lblAlgn val="ctr"/>
        <c:lblOffset val="100"/>
        <c:tickLblSkip val="2"/>
        <c:noMultiLvlLbl val="0"/>
      </c:catAx>
      <c:valAx>
        <c:axId val="1805544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Peak Hour therms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55502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Cost-Effective Potential</a:t>
            </a:r>
            <a:r>
              <a:rPr lang="en-US" baseline="0"/>
              <a:t> by Sector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'Summary-Peak Hour'!$B$26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numRef>
              <c:f>'Summary-Peak Hour'!$C$25:$AA$25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Hour'!$C$26:$AA$26</c:f>
              <c:numCache>
                <c:formatCode>_(* #,##0_);_(* \(#,##0\);_(* "-"??_);_(@_)</c:formatCode>
                <c:ptCount val="25"/>
                <c:pt idx="0">
                  <c:v>95.390151949435065</c:v>
                </c:pt>
                <c:pt idx="1">
                  <c:v>134.52573742664026</c:v>
                </c:pt>
                <c:pt idx="2">
                  <c:v>191.30152642881652</c:v>
                </c:pt>
                <c:pt idx="3">
                  <c:v>258.4818450538466</c:v>
                </c:pt>
                <c:pt idx="4">
                  <c:v>340.04112128202712</c:v>
                </c:pt>
                <c:pt idx="5">
                  <c:v>434.59678027244053</c:v>
                </c:pt>
                <c:pt idx="6">
                  <c:v>538.41700784241334</c:v>
                </c:pt>
                <c:pt idx="7">
                  <c:v>645.17657363971671</c:v>
                </c:pt>
                <c:pt idx="8">
                  <c:v>745.97558546207404</c:v>
                </c:pt>
                <c:pt idx="9">
                  <c:v>829.98222801444695</c:v>
                </c:pt>
                <c:pt idx="10">
                  <c:v>886.45291808002344</c:v>
                </c:pt>
                <c:pt idx="11">
                  <c:v>906.8069488947026</c:v>
                </c:pt>
                <c:pt idx="12">
                  <c:v>887.17489352117457</c:v>
                </c:pt>
                <c:pt idx="13">
                  <c:v>833.51952340077332</c:v>
                </c:pt>
                <c:pt idx="14">
                  <c:v>749.14782925322697</c:v>
                </c:pt>
                <c:pt idx="15">
                  <c:v>653.86369118112282</c:v>
                </c:pt>
                <c:pt idx="16">
                  <c:v>514.40423768211406</c:v>
                </c:pt>
                <c:pt idx="17">
                  <c:v>446.00119123899748</c:v>
                </c:pt>
                <c:pt idx="18">
                  <c:v>328.34295305205387</c:v>
                </c:pt>
                <c:pt idx="19">
                  <c:v>316.97819151457128</c:v>
                </c:pt>
                <c:pt idx="20">
                  <c:v>312.62659148177875</c:v>
                </c:pt>
                <c:pt idx="21">
                  <c:v>309.5616370425534</c:v>
                </c:pt>
                <c:pt idx="22">
                  <c:v>306.16232318157586</c:v>
                </c:pt>
                <c:pt idx="23">
                  <c:v>302.04271286266129</c:v>
                </c:pt>
                <c:pt idx="24">
                  <c:v>249.96816985034368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39-4CE5-9EFC-25DC87F9F48C}"/>
            </c:ext>
          </c:extLst>
        </c:ser>
        <c:ser>
          <c:idx val="1"/>
          <c:order val="1"/>
          <c:tx>
            <c:strRef>
              <c:f>'Summary-Peak Hour'!$B$27</c:f>
              <c:strCache>
                <c:ptCount val="1"/>
                <c:pt idx="0">
                  <c:v>Commercial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cat>
            <c:numRef>
              <c:f>'Summary-Peak Hour'!$C$25:$AA$25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Hour'!$C$27:$AA$27</c:f>
              <c:numCache>
                <c:formatCode>_(* #,##0_);_(* \(#,##0\);_(* "-"??_);_(@_)</c:formatCode>
                <c:ptCount val="25"/>
                <c:pt idx="0">
                  <c:v>196.28936569342292</c:v>
                </c:pt>
                <c:pt idx="1">
                  <c:v>200.63765504726342</c:v>
                </c:pt>
                <c:pt idx="2">
                  <c:v>217.94620489216285</c:v>
                </c:pt>
                <c:pt idx="3">
                  <c:v>245.02990848312197</c:v>
                </c:pt>
                <c:pt idx="4">
                  <c:v>272.96871493057466</c:v>
                </c:pt>
                <c:pt idx="5">
                  <c:v>301.5095975821115</c:v>
                </c:pt>
                <c:pt idx="6">
                  <c:v>318.62421519891609</c:v>
                </c:pt>
                <c:pt idx="7">
                  <c:v>322.6698091978397</c:v>
                </c:pt>
                <c:pt idx="8">
                  <c:v>302.17922608195289</c:v>
                </c:pt>
                <c:pt idx="9">
                  <c:v>264.78559374359486</c:v>
                </c:pt>
                <c:pt idx="10">
                  <c:v>245.08916528982149</c:v>
                </c:pt>
                <c:pt idx="11">
                  <c:v>255.20868010011313</c:v>
                </c:pt>
                <c:pt idx="12">
                  <c:v>262.25158659325263</c:v>
                </c:pt>
                <c:pt idx="13">
                  <c:v>259.04359490740603</c:v>
                </c:pt>
                <c:pt idx="14">
                  <c:v>244.59029554589176</c:v>
                </c:pt>
                <c:pt idx="15">
                  <c:v>217.51962117202606</c:v>
                </c:pt>
                <c:pt idx="16">
                  <c:v>193.33690261858516</c:v>
                </c:pt>
                <c:pt idx="17">
                  <c:v>172.12634362964249</c:v>
                </c:pt>
                <c:pt idx="18">
                  <c:v>132.99168357422488</c:v>
                </c:pt>
                <c:pt idx="19">
                  <c:v>126.49395375037574</c:v>
                </c:pt>
                <c:pt idx="20">
                  <c:v>126.35118497937397</c:v>
                </c:pt>
                <c:pt idx="21">
                  <c:v>122.78608379920929</c:v>
                </c:pt>
                <c:pt idx="22">
                  <c:v>112.41031623955647</c:v>
                </c:pt>
                <c:pt idx="23">
                  <c:v>106.98122753536283</c:v>
                </c:pt>
                <c:pt idx="24">
                  <c:v>62.96367197194823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39-4CE5-9EFC-25DC87F9F48C}"/>
            </c:ext>
          </c:extLst>
        </c:ser>
        <c:ser>
          <c:idx val="2"/>
          <c:order val="2"/>
          <c:tx>
            <c:strRef>
              <c:f>'Summary-Peak Hour'!$B$28</c:f>
              <c:strCache>
                <c:ptCount val="1"/>
                <c:pt idx="0">
                  <c:v>Industrial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'Summary-Peak Hour'!$C$25:$AA$25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Hour'!$C$28:$AA$28</c:f>
              <c:numCache>
                <c:formatCode>_(* #,##0_);_(* \(#,##0\);_(* "-"??_);_(@_)</c:formatCode>
                <c:ptCount val="25"/>
                <c:pt idx="0">
                  <c:v>10.993917105348075</c:v>
                </c:pt>
                <c:pt idx="1">
                  <c:v>21.184488756289621</c:v>
                </c:pt>
                <c:pt idx="2">
                  <c:v>36.712395181405</c:v>
                </c:pt>
                <c:pt idx="3">
                  <c:v>58.510551442080732</c:v>
                </c:pt>
                <c:pt idx="4">
                  <c:v>87.300417646750361</c:v>
                </c:pt>
                <c:pt idx="5">
                  <c:v>123.15832787046139</c:v>
                </c:pt>
                <c:pt idx="6">
                  <c:v>165.24362656278325</c:v>
                </c:pt>
                <c:pt idx="7">
                  <c:v>211.50634265652474</c:v>
                </c:pt>
                <c:pt idx="8">
                  <c:v>258.51256577658489</c:v>
                </c:pt>
                <c:pt idx="9">
                  <c:v>301.52573656387204</c:v>
                </c:pt>
                <c:pt idx="10">
                  <c:v>334.98157140356062</c:v>
                </c:pt>
                <c:pt idx="11">
                  <c:v>353.42291972972708</c:v>
                </c:pt>
                <c:pt idx="12">
                  <c:v>352.79879735302853</c:v>
                </c:pt>
                <c:pt idx="13">
                  <c:v>331.96909124306183</c:v>
                </c:pt>
                <c:pt idx="14">
                  <c:v>287.04006237674497</c:v>
                </c:pt>
                <c:pt idx="15">
                  <c:v>239.78058318287458</c:v>
                </c:pt>
                <c:pt idx="16">
                  <c:v>104.79633101016329</c:v>
                </c:pt>
                <c:pt idx="17">
                  <c:v>28.362224878115068</c:v>
                </c:pt>
                <c:pt idx="18">
                  <c:v>28.323866051837253</c:v>
                </c:pt>
                <c:pt idx="19">
                  <c:v>28.171659324066418</c:v>
                </c:pt>
                <c:pt idx="20">
                  <c:v>27.97083934629816</c:v>
                </c:pt>
                <c:pt idx="21">
                  <c:v>27.755142582748814</c:v>
                </c:pt>
                <c:pt idx="22">
                  <c:v>27.541109218219102</c:v>
                </c:pt>
                <c:pt idx="23">
                  <c:v>27.328726424523225</c:v>
                </c:pt>
                <c:pt idx="24">
                  <c:v>27.117981472410793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39-4CE5-9EFC-25DC87F9F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5550224"/>
        <c:axId val="1805544464"/>
      </c:areaChart>
      <c:catAx>
        <c:axId val="180555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5544464"/>
        <c:crosses val="autoZero"/>
        <c:auto val="1"/>
        <c:lblAlgn val="ctr"/>
        <c:lblOffset val="100"/>
        <c:tickLblSkip val="2"/>
        <c:noMultiLvlLbl val="0"/>
      </c:catAx>
      <c:valAx>
        <c:axId val="1805544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55502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Achievable Potential</a:t>
            </a:r>
            <a:r>
              <a:rPr lang="en-US" baseline="0"/>
              <a:t> by Rate Class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'Summary-Peak Hour'!$B$34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numRef>
              <c:f>'Summary-Peak Hour'!$C$18:$AA$18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Hour'!$C$34:$AA$34</c:f>
              <c:numCache>
                <c:formatCode>_(* #,##0_);_(* \(#,##0\);_(* "-"??_);_(@_)</c:formatCode>
                <c:ptCount val="25"/>
                <c:pt idx="0">
                  <c:v>144.60150302773781</c:v>
                </c:pt>
                <c:pt idx="1">
                  <c:v>188.87856318059775</c:v>
                </c:pt>
                <c:pt idx="2">
                  <c:v>256.59346073781489</c:v>
                </c:pt>
                <c:pt idx="3">
                  <c:v>331.87902807748236</c:v>
                </c:pt>
                <c:pt idx="4">
                  <c:v>421.85386419723892</c:v>
                </c:pt>
                <c:pt idx="5">
                  <c:v>530.01150752446358</c:v>
                </c:pt>
                <c:pt idx="6">
                  <c:v>651.87314557225852</c:v>
                </c:pt>
                <c:pt idx="7">
                  <c:v>779.81319555580592</c:v>
                </c:pt>
                <c:pt idx="8">
                  <c:v>902.97409094635555</c:v>
                </c:pt>
                <c:pt idx="9">
                  <c:v>1007.9285901301806</c:v>
                </c:pt>
                <c:pt idx="10">
                  <c:v>1080.9009032012864</c:v>
                </c:pt>
                <c:pt idx="11">
                  <c:v>1105.7636624898128</c:v>
                </c:pt>
                <c:pt idx="12">
                  <c:v>1084.7325598530904</c:v>
                </c:pt>
                <c:pt idx="13">
                  <c:v>1020.3807417486115</c:v>
                </c:pt>
                <c:pt idx="14">
                  <c:v>915.4860011598031</c:v>
                </c:pt>
                <c:pt idx="15">
                  <c:v>794.08021913064147</c:v>
                </c:pt>
                <c:pt idx="16">
                  <c:v>624.04037869795866</c:v>
                </c:pt>
                <c:pt idx="17">
                  <c:v>525.10036844020499</c:v>
                </c:pt>
                <c:pt idx="18">
                  <c:v>350.80966773408483</c:v>
                </c:pt>
                <c:pt idx="19">
                  <c:v>331.79902564617333</c:v>
                </c:pt>
                <c:pt idx="20">
                  <c:v>327.38503990605363</c:v>
                </c:pt>
                <c:pt idx="21">
                  <c:v>324.25884072906666</c:v>
                </c:pt>
                <c:pt idx="22">
                  <c:v>320.79877053648352</c:v>
                </c:pt>
                <c:pt idx="23">
                  <c:v>316.61847585338052</c:v>
                </c:pt>
                <c:pt idx="24">
                  <c:v>264.48302074261483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F2-41CA-A339-6AA78ED86235}"/>
            </c:ext>
          </c:extLst>
        </c:ser>
        <c:ser>
          <c:idx val="2"/>
          <c:order val="1"/>
          <c:tx>
            <c:v>Com Sales</c:v>
          </c:tx>
          <c:spPr>
            <a:solidFill>
              <a:schemeClr val="accent2"/>
            </a:solidFill>
            <a:ln w="25400">
              <a:noFill/>
            </a:ln>
            <a:effectLst/>
          </c:spPr>
          <c:cat>
            <c:numRef>
              <c:f>'Summary-Peak Hour'!$C$18:$AA$18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Hour'!$C$36:$AA$36</c:f>
              <c:numCache>
                <c:formatCode>_(* #,##0_);_(* \(#,##0\);_(* "-"??_);_(@_)</c:formatCode>
                <c:ptCount val="25"/>
                <c:pt idx="0">
                  <c:v>188.24913144973053</c:v>
                </c:pt>
                <c:pt idx="1">
                  <c:v>193.23347147796764</c:v>
                </c:pt>
                <c:pt idx="2">
                  <c:v>212.01383173644584</c:v>
                </c:pt>
                <c:pt idx="3">
                  <c:v>240.69681929748032</c:v>
                </c:pt>
                <c:pt idx="4">
                  <c:v>271.41227104843244</c:v>
                </c:pt>
                <c:pt idx="5">
                  <c:v>304.2282626312433</c:v>
                </c:pt>
                <c:pt idx="6">
                  <c:v>327.31766110829369</c:v>
                </c:pt>
                <c:pt idx="7">
                  <c:v>338.63435020919354</c:v>
                </c:pt>
                <c:pt idx="8">
                  <c:v>325.86594936163078</c:v>
                </c:pt>
                <c:pt idx="9">
                  <c:v>298.75968899683318</c:v>
                </c:pt>
                <c:pt idx="10">
                  <c:v>284.45691468774936</c:v>
                </c:pt>
                <c:pt idx="11">
                  <c:v>295.18521361992674</c:v>
                </c:pt>
                <c:pt idx="12">
                  <c:v>300.41308178813841</c:v>
                </c:pt>
                <c:pt idx="13">
                  <c:v>293.23446433442916</c:v>
                </c:pt>
                <c:pt idx="14">
                  <c:v>269.96154776891666</c:v>
                </c:pt>
                <c:pt idx="15">
                  <c:v>236.73539282862262</c:v>
                </c:pt>
                <c:pt idx="16">
                  <c:v>197.7776258168839</c:v>
                </c:pt>
                <c:pt idx="17">
                  <c:v>169.32027685948802</c:v>
                </c:pt>
                <c:pt idx="18">
                  <c:v>130.31981439632966</c:v>
                </c:pt>
                <c:pt idx="19">
                  <c:v>123.44137356989543</c:v>
                </c:pt>
                <c:pt idx="20">
                  <c:v>123.26753063437371</c:v>
                </c:pt>
                <c:pt idx="21">
                  <c:v>119.80659606025893</c:v>
                </c:pt>
                <c:pt idx="22">
                  <c:v>109.59712687462346</c:v>
                </c:pt>
                <c:pt idx="23">
                  <c:v>104.39112071927316</c:v>
                </c:pt>
                <c:pt idx="24">
                  <c:v>62.226279579697817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F2-41CA-A339-6AA78ED86235}"/>
            </c:ext>
          </c:extLst>
        </c:ser>
        <c:ser>
          <c:idx val="3"/>
          <c:order val="2"/>
          <c:tx>
            <c:v>Com Transport</c:v>
          </c:tx>
          <c:spPr>
            <a:solidFill>
              <a:schemeClr val="accent2">
                <a:lumMod val="40000"/>
                <a:lumOff val="60000"/>
              </a:schemeClr>
            </a:solidFill>
            <a:ln w="25400">
              <a:noFill/>
            </a:ln>
            <a:effectLst/>
          </c:spPr>
          <c:cat>
            <c:numRef>
              <c:f>'Summary-Peak Hour'!$C$18:$AA$18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Hour'!$C$37:$AA$37</c:f>
              <c:numCache>
                <c:formatCode>_(* #,##0_);_(* \(#,##0\);_(* "-"??_);_(@_)</c:formatCode>
                <c:ptCount val="25"/>
                <c:pt idx="0">
                  <c:v>10.661385236573629</c:v>
                </c:pt>
                <c:pt idx="1">
                  <c:v>12.053120889344973</c:v>
                </c:pt>
                <c:pt idx="2">
                  <c:v>13.858749637254084</c:v>
                </c:pt>
                <c:pt idx="3">
                  <c:v>16.243625683603515</c:v>
                </c:pt>
                <c:pt idx="4">
                  <c:v>18.487275559443276</c:v>
                </c:pt>
                <c:pt idx="5">
                  <c:v>20.17874819197106</c:v>
                </c:pt>
                <c:pt idx="6">
                  <c:v>20.884019663545267</c:v>
                </c:pt>
                <c:pt idx="7">
                  <c:v>20.568140684616733</c:v>
                </c:pt>
                <c:pt idx="8">
                  <c:v>19.445805330722603</c:v>
                </c:pt>
                <c:pt idx="9">
                  <c:v>14.642158374276596</c:v>
                </c:pt>
                <c:pt idx="10">
                  <c:v>12.821608480905496</c:v>
                </c:pt>
                <c:pt idx="11">
                  <c:v>13.174004593907894</c:v>
                </c:pt>
                <c:pt idx="12">
                  <c:v>13.144550839766929</c:v>
                </c:pt>
                <c:pt idx="13">
                  <c:v>12.643015468269747</c:v>
                </c:pt>
                <c:pt idx="14">
                  <c:v>11.740252085683005</c:v>
                </c:pt>
                <c:pt idx="15">
                  <c:v>9.5688047917727364</c:v>
                </c:pt>
                <c:pt idx="16">
                  <c:v>8.774321501138342</c:v>
                </c:pt>
                <c:pt idx="17">
                  <c:v>7.6142248778167412</c:v>
                </c:pt>
                <c:pt idx="18">
                  <c:v>6.4201685420811128</c:v>
                </c:pt>
                <c:pt idx="19">
                  <c:v>6.1462740700011649</c:v>
                </c:pt>
                <c:pt idx="20">
                  <c:v>6.1290853614454379</c:v>
                </c:pt>
                <c:pt idx="21">
                  <c:v>5.9925787202293339</c:v>
                </c:pt>
                <c:pt idx="22">
                  <c:v>5.7940227055497608</c:v>
                </c:pt>
                <c:pt idx="23">
                  <c:v>5.5392462775278108</c:v>
                </c:pt>
                <c:pt idx="24">
                  <c:v>3.6980346856431705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F2-41CA-A339-6AA78ED86235}"/>
            </c:ext>
          </c:extLst>
        </c:ser>
        <c:ser>
          <c:idx val="5"/>
          <c:order val="3"/>
          <c:tx>
            <c:v>Ind Sales</c:v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'Summary-Peak Hour'!$C$18:$AA$18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Hour'!$C$39:$AA$39</c:f>
              <c:numCache>
                <c:formatCode>_(* #,##0_);_(* \(#,##0\);_(* "-"??_);_(@_)</c:formatCode>
                <c:ptCount val="25"/>
                <c:pt idx="0">
                  <c:v>2.251947424033395</c:v>
                </c:pt>
                <c:pt idx="1">
                  <c:v>4.0404896705707749</c:v>
                </c:pt>
                <c:pt idx="2">
                  <c:v>6.7174567524072168</c:v>
                </c:pt>
                <c:pt idx="3">
                  <c:v>10.411690831618934</c:v>
                </c:pt>
                <c:pt idx="4">
                  <c:v>15.209445937296039</c:v>
                </c:pt>
                <c:pt idx="5">
                  <c:v>21.097673511962544</c:v>
                </c:pt>
                <c:pt idx="6">
                  <c:v>27.889084924082937</c:v>
                </c:pt>
                <c:pt idx="7">
                  <c:v>35.214331769039823</c:v>
                </c:pt>
                <c:pt idx="8">
                  <c:v>42.492576208936583</c:v>
                </c:pt>
                <c:pt idx="9">
                  <c:v>48.947404632218351</c:v>
                </c:pt>
                <c:pt idx="10">
                  <c:v>53.712146985941004</c:v>
                </c:pt>
                <c:pt idx="11">
                  <c:v>56.025449424120232</c:v>
                </c:pt>
                <c:pt idx="12">
                  <c:v>55.296825157267754</c:v>
                </c:pt>
                <c:pt idx="13">
                  <c:v>51.511766648629489</c:v>
                </c:pt>
                <c:pt idx="14">
                  <c:v>42.057477574192191</c:v>
                </c:pt>
                <c:pt idx="15">
                  <c:v>34.626212565590933</c:v>
                </c:pt>
                <c:pt idx="16">
                  <c:v>15.12283149221979</c:v>
                </c:pt>
                <c:pt idx="17">
                  <c:v>4.2296298706441071</c:v>
                </c:pt>
                <c:pt idx="18">
                  <c:v>4.1929120574258194</c:v>
                </c:pt>
                <c:pt idx="19">
                  <c:v>4.1717806720844424</c:v>
                </c:pt>
                <c:pt idx="20">
                  <c:v>4.143495023825464</c:v>
                </c:pt>
                <c:pt idx="21">
                  <c:v>4.1095339005707858</c:v>
                </c:pt>
                <c:pt idx="22">
                  <c:v>4.0764332731226443</c:v>
                </c:pt>
                <c:pt idx="23">
                  <c:v>4.0439227454945366</c:v>
                </c:pt>
                <c:pt idx="24">
                  <c:v>3.9694036181414827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F2-41CA-A339-6AA78ED86235}"/>
            </c:ext>
          </c:extLst>
        </c:ser>
        <c:ser>
          <c:idx val="6"/>
          <c:order val="4"/>
          <c:tx>
            <c:v>Ind Transport</c:v>
          </c:tx>
          <c:spPr>
            <a:solidFill>
              <a:schemeClr val="accent3">
                <a:lumMod val="40000"/>
                <a:lumOff val="60000"/>
              </a:schemeClr>
            </a:solidFill>
            <a:ln w="25400">
              <a:noFill/>
            </a:ln>
            <a:effectLst/>
          </c:spPr>
          <c:cat>
            <c:numRef>
              <c:f>'Summary-Peak Hour'!$C$18:$AA$18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Hour'!$C$40:$AA$40</c:f>
              <c:numCache>
                <c:formatCode>_(* #,##0_);_(* \(#,##0\);_(* "-"??_);_(@_)</c:formatCode>
                <c:ptCount val="25"/>
                <c:pt idx="0">
                  <c:v>11.387272074929319</c:v>
                </c:pt>
                <c:pt idx="1">
                  <c:v>21.064815298809652</c:v>
                </c:pt>
                <c:pt idx="2">
                  <c:v>35.474677377173535</c:v>
                </c:pt>
                <c:pt idx="3">
                  <c:v>55.359324058291541</c:v>
                </c:pt>
                <c:pt idx="4">
                  <c:v>81.217217666750386</c:v>
                </c:pt>
                <c:pt idx="5">
                  <c:v>112.94520127554995</c:v>
                </c:pt>
                <c:pt idx="6">
                  <c:v>149.60840094494904</c:v>
                </c:pt>
                <c:pt idx="7">
                  <c:v>189.21576981624952</c:v>
                </c:pt>
                <c:pt idx="8">
                  <c:v>228.62013887925835</c:v>
                </c:pt>
                <c:pt idx="9">
                  <c:v>263.65774854324457</c:v>
                </c:pt>
                <c:pt idx="10">
                  <c:v>289.62861104247298</c:v>
                </c:pt>
                <c:pt idx="11">
                  <c:v>302.14368555562885</c:v>
                </c:pt>
                <c:pt idx="12">
                  <c:v>298.22038538549157</c:v>
                </c:pt>
                <c:pt idx="13">
                  <c:v>277.75370972022296</c:v>
                </c:pt>
                <c:pt idx="14">
                  <c:v>227.05161924807055</c:v>
                </c:pt>
                <c:pt idx="15">
                  <c:v>186.70004671499092</c:v>
                </c:pt>
                <c:pt idx="16">
                  <c:v>81.312367642112989</c:v>
                </c:pt>
                <c:pt idx="17">
                  <c:v>21.503322451360788</c:v>
                </c:pt>
                <c:pt idx="18">
                  <c:v>21.472630184594021</c:v>
                </c:pt>
                <c:pt idx="19">
                  <c:v>21.355662130092394</c:v>
                </c:pt>
                <c:pt idx="20">
                  <c:v>21.203085776410411</c:v>
                </c:pt>
                <c:pt idx="21">
                  <c:v>21.039640346435057</c:v>
                </c:pt>
                <c:pt idx="22">
                  <c:v>20.877454846682198</c:v>
                </c:pt>
                <c:pt idx="23">
                  <c:v>20.716519564893947</c:v>
                </c:pt>
                <c:pt idx="24">
                  <c:v>20.556824863680028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6F2-41CA-A339-6AA78ED86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5550224"/>
        <c:axId val="1805544464"/>
      </c:areaChart>
      <c:catAx>
        <c:axId val="180555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5544464"/>
        <c:crosses val="autoZero"/>
        <c:auto val="1"/>
        <c:lblAlgn val="ctr"/>
        <c:lblOffset val="100"/>
        <c:tickLblSkip val="2"/>
        <c:noMultiLvlLbl val="0"/>
      </c:catAx>
      <c:valAx>
        <c:axId val="1805544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Peak Hour therms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55502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Cost-Effective Potential</a:t>
            </a:r>
            <a:r>
              <a:rPr lang="en-US" baseline="0"/>
              <a:t> by Rate Class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'Summary-Peak Hour'!$B$45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numRef>
              <c:f>'Summary-Peak Hour'!$C$18:$AA$18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Hour'!$C$45:$AA$45</c:f>
              <c:numCache>
                <c:formatCode>_(* #,##0_);_(* \(#,##0\);_(* "-"??_);_(@_)</c:formatCode>
                <c:ptCount val="25"/>
                <c:pt idx="0">
                  <c:v>95.390151949435065</c:v>
                </c:pt>
                <c:pt idx="1">
                  <c:v>134.52573742664026</c:v>
                </c:pt>
                <c:pt idx="2">
                  <c:v>191.30152642881652</c:v>
                </c:pt>
                <c:pt idx="3">
                  <c:v>258.4818450538466</c:v>
                </c:pt>
                <c:pt idx="4">
                  <c:v>340.04112128202712</c:v>
                </c:pt>
                <c:pt idx="5">
                  <c:v>434.59678027244053</c:v>
                </c:pt>
                <c:pt idx="6">
                  <c:v>538.41700784241334</c:v>
                </c:pt>
                <c:pt idx="7">
                  <c:v>645.17657363971671</c:v>
                </c:pt>
                <c:pt idx="8">
                  <c:v>745.97558546207404</c:v>
                </c:pt>
                <c:pt idx="9">
                  <c:v>829.98222801444695</c:v>
                </c:pt>
                <c:pt idx="10">
                  <c:v>886.45291808002344</c:v>
                </c:pt>
                <c:pt idx="11">
                  <c:v>906.8069488947026</c:v>
                </c:pt>
                <c:pt idx="12">
                  <c:v>887.17489352117457</c:v>
                </c:pt>
                <c:pt idx="13">
                  <c:v>833.51952340077332</c:v>
                </c:pt>
                <c:pt idx="14">
                  <c:v>749.14782925322697</c:v>
                </c:pt>
                <c:pt idx="15">
                  <c:v>653.86369118112282</c:v>
                </c:pt>
                <c:pt idx="16">
                  <c:v>514.40423768211406</c:v>
                </c:pt>
                <c:pt idx="17">
                  <c:v>446.00119123899748</c:v>
                </c:pt>
                <c:pt idx="18">
                  <c:v>328.34295305205387</c:v>
                </c:pt>
                <c:pt idx="19">
                  <c:v>316.97819151457128</c:v>
                </c:pt>
                <c:pt idx="20">
                  <c:v>312.62659148177875</c:v>
                </c:pt>
                <c:pt idx="21">
                  <c:v>309.5616370425534</c:v>
                </c:pt>
                <c:pt idx="22">
                  <c:v>306.16232318157586</c:v>
                </c:pt>
                <c:pt idx="23">
                  <c:v>302.04271286266129</c:v>
                </c:pt>
                <c:pt idx="24">
                  <c:v>249.96816985034368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87-4A45-BD32-6238B1670524}"/>
            </c:ext>
          </c:extLst>
        </c:ser>
        <c:ser>
          <c:idx val="2"/>
          <c:order val="1"/>
          <c:tx>
            <c:v>Com Sales</c:v>
          </c:tx>
          <c:spPr>
            <a:solidFill>
              <a:schemeClr val="accent2"/>
            </a:solidFill>
            <a:ln w="25400">
              <a:noFill/>
            </a:ln>
            <a:effectLst/>
          </c:spPr>
          <c:cat>
            <c:numRef>
              <c:f>'Summary-Peak Hour'!$C$18:$AA$18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Hour'!$C$47:$AA$47</c:f>
              <c:numCache>
                <c:formatCode>_(* #,##0_);_(* \(#,##0\);_(* "-"??_);_(@_)</c:formatCode>
                <c:ptCount val="25"/>
                <c:pt idx="0">
                  <c:v>186.77952965246033</c:v>
                </c:pt>
                <c:pt idx="1">
                  <c:v>190.85581283271154</c:v>
                </c:pt>
                <c:pt idx="2">
                  <c:v>208.03437514622783</c:v>
                </c:pt>
                <c:pt idx="3">
                  <c:v>235.03902566591449</c:v>
                </c:pt>
                <c:pt idx="4">
                  <c:v>263.74826699266612</c:v>
                </c:pt>
                <c:pt idx="5">
                  <c:v>294.30648757103887</c:v>
                </c:pt>
                <c:pt idx="6">
                  <c:v>315.02921238295437</c:v>
                </c:pt>
                <c:pt idx="7">
                  <c:v>324.08096066857007</c:v>
                </c:pt>
                <c:pt idx="8">
                  <c:v>309.41254389536255</c:v>
                </c:pt>
                <c:pt idx="9">
                  <c:v>281.04949106230401</c:v>
                </c:pt>
                <c:pt idx="10">
                  <c:v>266.36841655991623</c:v>
                </c:pt>
                <c:pt idx="11">
                  <c:v>277.72212246197756</c:v>
                </c:pt>
                <c:pt idx="12">
                  <c:v>284.450557043233</c:v>
                </c:pt>
                <c:pt idx="13">
                  <c:v>279.42351492060993</c:v>
                </c:pt>
                <c:pt idx="14">
                  <c:v>260.40353563940397</c:v>
                </c:pt>
                <c:pt idx="15">
                  <c:v>230.67334908531433</c:v>
                </c:pt>
                <c:pt idx="16">
                  <c:v>194.49514137017377</c:v>
                </c:pt>
                <c:pt idx="17">
                  <c:v>167.20500765487046</c:v>
                </c:pt>
                <c:pt idx="18">
                  <c:v>129.28399392486978</c:v>
                </c:pt>
                <c:pt idx="19">
                  <c:v>123.0063918640857</c:v>
                </c:pt>
                <c:pt idx="20">
                  <c:v>122.86030907798437</c:v>
                </c:pt>
                <c:pt idx="21">
                  <c:v>119.4130644361495</c:v>
                </c:pt>
                <c:pt idx="22">
                  <c:v>109.21674235219648</c:v>
                </c:pt>
                <c:pt idx="23">
                  <c:v>104.02312694650159</c:v>
                </c:pt>
                <c:pt idx="24">
                  <c:v>61.869882965921384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87-4A45-BD32-6238B1670524}"/>
            </c:ext>
          </c:extLst>
        </c:ser>
        <c:ser>
          <c:idx val="3"/>
          <c:order val="2"/>
          <c:tx>
            <c:v>Com Transport</c:v>
          </c:tx>
          <c:spPr>
            <a:solidFill>
              <a:schemeClr val="accent2">
                <a:lumMod val="40000"/>
                <a:lumOff val="60000"/>
              </a:schemeClr>
            </a:solidFill>
            <a:ln w="25400">
              <a:noFill/>
            </a:ln>
            <a:effectLst/>
          </c:spPr>
          <c:cat>
            <c:numRef>
              <c:f>'Summary-Peak Hour'!$C$18:$AA$18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Hour'!$C$48:$AA$48</c:f>
              <c:numCache>
                <c:formatCode>_(* #,##0_);_(* \(#,##0\);_(* "-"??_);_(@_)</c:formatCode>
                <c:ptCount val="25"/>
                <c:pt idx="0">
                  <c:v>10.627310024627356</c:v>
                </c:pt>
                <c:pt idx="1">
                  <c:v>11.999285276688594</c:v>
                </c:pt>
                <c:pt idx="2">
                  <c:v>13.76664357043259</c:v>
                </c:pt>
                <c:pt idx="3">
                  <c:v>16.114638109060152</c:v>
                </c:pt>
                <c:pt idx="4">
                  <c:v>18.314711428205459</c:v>
                </c:pt>
                <c:pt idx="5">
                  <c:v>19.957638429080205</c:v>
                </c:pt>
                <c:pt idx="6">
                  <c:v>20.612535803263974</c:v>
                </c:pt>
                <c:pt idx="7">
                  <c:v>20.249023577743859</c:v>
                </c:pt>
                <c:pt idx="8">
                  <c:v>19.0874292403802</c:v>
                </c:pt>
                <c:pt idx="9">
                  <c:v>14.258748101385169</c:v>
                </c:pt>
                <c:pt idx="10">
                  <c:v>12.43217030916237</c:v>
                </c:pt>
                <c:pt idx="11">
                  <c:v>12.799806676314859</c:v>
                </c:pt>
                <c:pt idx="12">
                  <c:v>12.801634871631736</c:v>
                </c:pt>
                <c:pt idx="13">
                  <c:v>12.344914886532134</c:v>
                </c:pt>
                <c:pt idx="14">
                  <c:v>11.495825511466398</c:v>
                </c:pt>
                <c:pt idx="15">
                  <c:v>9.4445028381646647</c:v>
                </c:pt>
                <c:pt idx="16">
                  <c:v>8.7008339972511166</c:v>
                </c:pt>
                <c:pt idx="17">
                  <c:v>7.55092751105121</c:v>
                </c:pt>
                <c:pt idx="18">
                  <c:v>6.3662559482482841</c:v>
                </c:pt>
                <c:pt idx="19">
                  <c:v>6.1318608222181039</c:v>
                </c:pt>
                <c:pt idx="20">
                  <c:v>6.1152122034872791</c:v>
                </c:pt>
                <c:pt idx="21">
                  <c:v>5.9790610069166608</c:v>
                </c:pt>
                <c:pt idx="22">
                  <c:v>5.7808644406647378</c:v>
                </c:pt>
                <c:pt idx="23">
                  <c:v>5.5264511749973382</c:v>
                </c:pt>
                <c:pt idx="24">
                  <c:v>3.6856064478850277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87-4A45-BD32-6238B1670524}"/>
            </c:ext>
          </c:extLst>
        </c:ser>
        <c:ser>
          <c:idx val="5"/>
          <c:order val="3"/>
          <c:tx>
            <c:v>Ind Sales</c:v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'Summary-Peak Hour'!$C$18:$AA$18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Hour'!$C$50:$AA$50</c:f>
              <c:numCache>
                <c:formatCode>_(* #,##0_);_(* \(#,##0\);_(* "-"??_);_(@_)</c:formatCode>
                <c:ptCount val="25"/>
                <c:pt idx="0">
                  <c:v>1.6666756440932864</c:v>
                </c:pt>
                <c:pt idx="1">
                  <c:v>3.0857565001465539</c:v>
                </c:pt>
                <c:pt idx="2">
                  <c:v>5.2652504152622832</c:v>
                </c:pt>
                <c:pt idx="3">
                  <c:v>8.3295219652979373</c:v>
                </c:pt>
                <c:pt idx="4">
                  <c:v>12.374973413960808</c:v>
                </c:pt>
                <c:pt idx="5">
                  <c:v>17.42035401804528</c:v>
                </c:pt>
                <c:pt idx="6">
                  <c:v>23.335709667687279</c:v>
                </c:pt>
                <c:pt idx="7">
                  <c:v>29.834688980243488</c:v>
                </c:pt>
                <c:pt idx="8">
                  <c:v>36.438464273051636</c:v>
                </c:pt>
                <c:pt idx="9">
                  <c:v>42.476419284780967</c:v>
                </c:pt>
                <c:pt idx="10">
                  <c:v>47.168475724509172</c:v>
                </c:pt>
                <c:pt idx="11">
                  <c:v>49.794791445136632</c:v>
                </c:pt>
                <c:pt idx="12">
                  <c:v>49.741450363758133</c:v>
                </c:pt>
                <c:pt idx="13">
                  <c:v>46.842726367474988</c:v>
                </c:pt>
                <c:pt idx="14">
                  <c:v>40.608862292005362</c:v>
                </c:pt>
                <c:pt idx="15">
                  <c:v>33.979718268662928</c:v>
                </c:pt>
                <c:pt idx="16">
                  <c:v>14.891620776058728</c:v>
                </c:pt>
                <c:pt idx="17">
                  <c:v>4.2293108904750296</c:v>
                </c:pt>
                <c:pt idx="18">
                  <c:v>4.1926695683500315</c:v>
                </c:pt>
                <c:pt idx="19">
                  <c:v>4.1716982580459367</c:v>
                </c:pt>
                <c:pt idx="20">
                  <c:v>4.1434172677900296</c:v>
                </c:pt>
                <c:pt idx="21">
                  <c:v>4.1094605924568697</c:v>
                </c:pt>
                <c:pt idx="22">
                  <c:v>4.0763638182321325</c:v>
                </c:pt>
                <c:pt idx="23">
                  <c:v>4.0438562734931942</c:v>
                </c:pt>
                <c:pt idx="24">
                  <c:v>3.9693391668725813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87-4A45-BD32-6238B1670524}"/>
            </c:ext>
          </c:extLst>
        </c:ser>
        <c:ser>
          <c:idx val="6"/>
          <c:order val="4"/>
          <c:tx>
            <c:v>Ind Transport</c:v>
          </c:tx>
          <c:spPr>
            <a:solidFill>
              <a:schemeClr val="accent3">
                <a:lumMod val="40000"/>
                <a:lumOff val="60000"/>
              </a:schemeClr>
            </a:solidFill>
            <a:ln w="25400">
              <a:noFill/>
            </a:ln>
            <a:effectLst/>
          </c:spPr>
          <c:cat>
            <c:numRef>
              <c:f>'Summary-Peak Hour'!$C$18:$AA$18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Hour'!$C$51:$AA$51</c:f>
              <c:numCache>
                <c:formatCode>_(* #,##0_);_(* \(#,##0\);_(* "-"??_);_(@_)</c:formatCode>
                <c:ptCount val="25"/>
                <c:pt idx="0">
                  <c:v>8.2097674775900913</c:v>
                </c:pt>
                <c:pt idx="1">
                  <c:v>15.881289194006442</c:v>
                </c:pt>
                <c:pt idx="2">
                  <c:v>27.59233094164513</c:v>
                </c:pt>
                <c:pt idx="3">
                  <c:v>44.057274184929931</c:v>
                </c:pt>
                <c:pt idx="4">
                  <c:v>65.831180742492535</c:v>
                </c:pt>
                <c:pt idx="5">
                  <c:v>92.983445434408523</c:v>
                </c:pt>
                <c:pt idx="6">
                  <c:v>124.89038390779393</c:v>
                </c:pt>
                <c:pt idx="7">
                  <c:v>160.01147862780749</c:v>
                </c:pt>
                <c:pt idx="8">
                  <c:v>195.75335444974311</c:v>
                </c:pt>
                <c:pt idx="9">
                  <c:v>228.52667185899676</c:v>
                </c:pt>
                <c:pt idx="10">
                  <c:v>254.10167409979445</c:v>
                </c:pt>
                <c:pt idx="11">
                  <c:v>268.31487924641078</c:v>
                </c:pt>
                <c:pt idx="12">
                  <c:v>268.05674166765846</c:v>
                </c:pt>
                <c:pt idx="13">
                  <c:v>252.40152997585048</c:v>
                </c:pt>
                <c:pt idx="14">
                  <c:v>219.1221344797608</c:v>
                </c:pt>
                <c:pt idx="15">
                  <c:v>183.20263416275856</c:v>
                </c:pt>
                <c:pt idx="16">
                  <c:v>80.045637485264862</c:v>
                </c:pt>
                <c:pt idx="17">
                  <c:v>21.503322451360788</c:v>
                </c:pt>
                <c:pt idx="18">
                  <c:v>21.472630184594021</c:v>
                </c:pt>
                <c:pt idx="19">
                  <c:v>21.355662130092394</c:v>
                </c:pt>
                <c:pt idx="20">
                  <c:v>21.203085776410411</c:v>
                </c:pt>
                <c:pt idx="21">
                  <c:v>21.039640346435057</c:v>
                </c:pt>
                <c:pt idx="22">
                  <c:v>20.877454846682198</c:v>
                </c:pt>
                <c:pt idx="23">
                  <c:v>20.716519564893947</c:v>
                </c:pt>
                <c:pt idx="24">
                  <c:v>20.556824863680028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F87-4A45-BD32-6238B1670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5550224"/>
        <c:axId val="1805544464"/>
      </c:areaChart>
      <c:catAx>
        <c:axId val="180555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5544464"/>
        <c:crosses val="autoZero"/>
        <c:auto val="1"/>
        <c:lblAlgn val="ctr"/>
        <c:lblOffset val="100"/>
        <c:tickLblSkip val="2"/>
        <c:noMultiLvlLbl val="0"/>
      </c:catAx>
      <c:valAx>
        <c:axId val="1805544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55502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 Achievable Potential by End Use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1"/>
          <c:order val="0"/>
          <c:tx>
            <c:strRef>
              <c:f>'Summary-Peak Hour'!$B$59</c:f>
              <c:strCache>
                <c:ptCount val="1"/>
                <c:pt idx="0">
                  <c:v>HVAC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'Summary-Peak Hour'!$C$56:$AA$56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Hour'!$C$59:$AA$59</c:f>
              <c:numCache>
                <c:formatCode>_(* #,##0_);_(* \(#,##0\);_(* "-"??_);_(@_)</c:formatCode>
                <c:ptCount val="25"/>
                <c:pt idx="0">
                  <c:v>140.48245558371565</c:v>
                </c:pt>
                <c:pt idx="1">
                  <c:v>182.03234232498463</c:v>
                </c:pt>
                <c:pt idx="2">
                  <c:v>245.97387309797577</c:v>
                </c:pt>
                <c:pt idx="3">
                  <c:v>316.7309576471489</c:v>
                </c:pt>
                <c:pt idx="4">
                  <c:v>401.73320999248898</c:v>
                </c:pt>
                <c:pt idx="5">
                  <c:v>504.86970393709606</c:v>
                </c:pt>
                <c:pt idx="6">
                  <c:v>622.04659065595808</c:v>
                </c:pt>
                <c:pt idx="7">
                  <c:v>745.90292442013777</c:v>
                </c:pt>
                <c:pt idx="8">
                  <c:v>865.69805772272389</c:v>
                </c:pt>
                <c:pt idx="9">
                  <c:v>968.00106696465446</c:v>
                </c:pt>
                <c:pt idx="10">
                  <c:v>1038.9775813363492</c:v>
                </c:pt>
                <c:pt idx="11">
                  <c:v>1062.4498274539847</c:v>
                </c:pt>
                <c:pt idx="12">
                  <c:v>1040.5933126738228</c:v>
                </c:pt>
                <c:pt idx="13">
                  <c:v>976.02465365150533</c:v>
                </c:pt>
                <c:pt idx="14">
                  <c:v>873.21435210296829</c:v>
                </c:pt>
                <c:pt idx="15">
                  <c:v>751.90146377004123</c:v>
                </c:pt>
                <c:pt idx="16">
                  <c:v>583.77139971680469</c:v>
                </c:pt>
                <c:pt idx="17">
                  <c:v>487.10580172394202</c:v>
                </c:pt>
                <c:pt idx="18">
                  <c:v>314.80130696996571</c:v>
                </c:pt>
                <c:pt idx="19">
                  <c:v>297.38812617472718</c:v>
                </c:pt>
                <c:pt idx="20">
                  <c:v>295.16957743820296</c:v>
                </c:pt>
                <c:pt idx="21">
                  <c:v>292.41655759332497</c:v>
                </c:pt>
                <c:pt idx="22">
                  <c:v>289.39434332893268</c:v>
                </c:pt>
                <c:pt idx="23">
                  <c:v>286.27802573951544</c:v>
                </c:pt>
                <c:pt idx="24">
                  <c:v>236.71715452625514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F6-45BD-96D7-8FEBABFA2C50}"/>
            </c:ext>
          </c:extLst>
        </c:ser>
        <c:ser>
          <c:idx val="2"/>
          <c:order val="1"/>
          <c:tx>
            <c:strRef>
              <c:f>'Summary-Peak Hour'!$B$60</c:f>
              <c:strCache>
                <c:ptCount val="1"/>
                <c:pt idx="0">
                  <c:v>Water Heat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'Summary-Peak Hour'!$C$56:$AA$56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Hour'!$C$60:$AA$60</c:f>
              <c:numCache>
                <c:formatCode>_(* #,##0_);_(* \(#,##0\);_(* "-"??_);_(@_)</c:formatCode>
                <c:ptCount val="25"/>
                <c:pt idx="0">
                  <c:v>0.73834625331425774</c:v>
                </c:pt>
                <c:pt idx="1">
                  <c:v>1.4138525050269837</c:v>
                </c:pt>
                <c:pt idx="2">
                  <c:v>2.5075961438052432</c:v>
                </c:pt>
                <c:pt idx="3">
                  <c:v>4.0371975384597985</c:v>
                </c:pt>
                <c:pt idx="4">
                  <c:v>6.0983987279302285</c:v>
                </c:pt>
                <c:pt idx="5">
                  <c:v>8.7259934910683192</c:v>
                </c:pt>
                <c:pt idx="6">
                  <c:v>11.904314683097851</c:v>
                </c:pt>
                <c:pt idx="7">
                  <c:v>15.55509538054535</c:v>
                </c:pt>
                <c:pt idx="8">
                  <c:v>19.528392365080851</c:v>
                </c:pt>
                <c:pt idx="9">
                  <c:v>23.605080049339094</c:v>
                </c:pt>
                <c:pt idx="10">
                  <c:v>27.514663591301538</c:v>
                </c:pt>
                <c:pt idx="11">
                  <c:v>30.971543526115813</c:v>
                </c:pt>
                <c:pt idx="12">
                  <c:v>33.727235094899299</c:v>
                </c:pt>
                <c:pt idx="13">
                  <c:v>35.626264221219266</c:v>
                </c:pt>
                <c:pt idx="14">
                  <c:v>36.646613212316971</c:v>
                </c:pt>
                <c:pt idx="15">
                  <c:v>37.191188450441011</c:v>
                </c:pt>
                <c:pt idx="16">
                  <c:v>36.946206813607823</c:v>
                </c:pt>
                <c:pt idx="17">
                  <c:v>36.52376218955289</c:v>
                </c:pt>
                <c:pt idx="18">
                  <c:v>34.770896377953044</c:v>
                </c:pt>
                <c:pt idx="19">
                  <c:v>33.280512794005112</c:v>
                </c:pt>
                <c:pt idx="20">
                  <c:v>31.204321328579795</c:v>
                </c:pt>
                <c:pt idx="21">
                  <c:v>30.952281865216293</c:v>
                </c:pt>
                <c:pt idx="22">
                  <c:v>30.649684288230084</c:v>
                </c:pt>
                <c:pt idx="23">
                  <c:v>29.749354147004802</c:v>
                </c:pt>
                <c:pt idx="24">
                  <c:v>27.291685015084575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F6-45BD-96D7-8FEBABFA2C50}"/>
            </c:ext>
          </c:extLst>
        </c:ser>
        <c:ser>
          <c:idx val="0"/>
          <c:order val="2"/>
          <c:tx>
            <c:strRef>
              <c:f>'Summary-Peak Hour'!$B$58</c:f>
              <c:strCache>
                <c:ptCount val="1"/>
                <c:pt idx="0">
                  <c:v>Appliances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'Summary-Peak Hour'!$C$56:$AA$56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Hour'!$C$58:$AA$58</c:f>
              <c:numCache>
                <c:formatCode>_(* #,##0_);_(* \(#,##0\);_(* "-"??_);_(@_)</c:formatCode>
                <c:ptCount val="25"/>
                <c:pt idx="0">
                  <c:v>1.2125590918418163</c:v>
                </c:pt>
                <c:pt idx="1">
                  <c:v>1.5166452029415052</c:v>
                </c:pt>
                <c:pt idx="2">
                  <c:v>1.9122576398836233</c:v>
                </c:pt>
                <c:pt idx="3">
                  <c:v>2.2572888083477194</c:v>
                </c:pt>
                <c:pt idx="4">
                  <c:v>2.5290618893950274</c:v>
                </c:pt>
                <c:pt idx="5">
                  <c:v>2.7435594534559375</c:v>
                </c:pt>
                <c:pt idx="6">
                  <c:v>2.9117677290695876</c:v>
                </c:pt>
                <c:pt idx="7">
                  <c:v>3.0450049906415897</c:v>
                </c:pt>
                <c:pt idx="8">
                  <c:v>3.1500531546107586</c:v>
                </c:pt>
                <c:pt idx="9">
                  <c:v>3.2324578261225492</c:v>
                </c:pt>
                <c:pt idx="10">
                  <c:v>3.2967703552709282</c:v>
                </c:pt>
                <c:pt idx="11">
                  <c:v>3.3463588743148232</c:v>
                </c:pt>
                <c:pt idx="12">
                  <c:v>3.4044989906999676</c:v>
                </c:pt>
                <c:pt idx="13">
                  <c:v>3.4206594694687982</c:v>
                </c:pt>
                <c:pt idx="14">
                  <c:v>3.6718285442899332</c:v>
                </c:pt>
                <c:pt idx="15">
                  <c:v>3.4923909652517535</c:v>
                </c:pt>
                <c:pt idx="16">
                  <c:v>1.9766202535042443</c:v>
                </c:pt>
                <c:pt idx="17">
                  <c:v>0.23875841156215122</c:v>
                </c:pt>
                <c:pt idx="18">
                  <c:v>0.21466332799862572</c:v>
                </c:pt>
                <c:pt idx="19">
                  <c:v>0.19258062302879417</c:v>
                </c:pt>
                <c:pt idx="20">
                  <c:v>0.17196110699906669</c:v>
                </c:pt>
                <c:pt idx="21">
                  <c:v>0.15347392450301062</c:v>
                </c:pt>
                <c:pt idx="22">
                  <c:v>0.12109586666818455</c:v>
                </c:pt>
                <c:pt idx="23">
                  <c:v>6.0519656741411618E-2</c:v>
                </c:pt>
                <c:pt idx="24">
                  <c:v>4.6822594297635217E-2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F6-45BD-96D7-8FEBABFA2C50}"/>
            </c:ext>
          </c:extLst>
        </c:ser>
        <c:ser>
          <c:idx val="3"/>
          <c:order val="3"/>
          <c:tx>
            <c:strRef>
              <c:f>'Summary-Peak Hour'!$B$61</c:f>
              <c:strCache>
                <c:ptCount val="1"/>
                <c:pt idx="0">
                  <c:v>Whole Building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cat>
            <c:numRef>
              <c:f>'Summary-Peak Hour'!$C$56:$AA$56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Hour'!$C$61:$AA$61</c:f>
              <c:numCache>
                <c:formatCode>_(* #,##0_);_(* \(#,##0\);_(* "-"??_);_(@_)</c:formatCode>
                <c:ptCount val="25"/>
                <c:pt idx="0">
                  <c:v>2.1681420988661615</c:v>
                </c:pt>
                <c:pt idx="1">
                  <c:v>3.9157231476446777</c:v>
                </c:pt>
                <c:pt idx="2">
                  <c:v>6.1997338561502255</c:v>
                </c:pt>
                <c:pt idx="3">
                  <c:v>8.8535840835259414</c:v>
                </c:pt>
                <c:pt idx="4">
                  <c:v>11.493193587424615</c:v>
                </c:pt>
                <c:pt idx="5">
                  <c:v>13.672250642843149</c:v>
                </c:pt>
                <c:pt idx="6">
                  <c:v>15.010472504132807</c:v>
                </c:pt>
                <c:pt idx="7">
                  <c:v>15.310170764481063</c:v>
                </c:pt>
                <c:pt idx="8">
                  <c:v>14.597587703940459</c:v>
                </c:pt>
                <c:pt idx="9">
                  <c:v>13.089985290064464</c:v>
                </c:pt>
                <c:pt idx="10">
                  <c:v>11.111887918364623</c:v>
                </c:pt>
                <c:pt idx="11">
                  <c:v>8.9959326353973523</c:v>
                </c:pt>
                <c:pt idx="12">
                  <c:v>7.0075130936681251</c:v>
                </c:pt>
                <c:pt idx="13">
                  <c:v>5.3091644064178984</c:v>
                </c:pt>
                <c:pt idx="14">
                  <c:v>1.9532073002277843</c:v>
                </c:pt>
                <c:pt idx="15">
                  <c:v>1.4951759449072828</c:v>
                </c:pt>
                <c:pt idx="16">
                  <c:v>1.346151914041626</c:v>
                </c:pt>
                <c:pt idx="17">
                  <c:v>1.2320461151478534</c:v>
                </c:pt>
                <c:pt idx="18">
                  <c:v>1.0228010581675457</c:v>
                </c:pt>
                <c:pt idx="19">
                  <c:v>0.93780605441237364</c:v>
                </c:pt>
                <c:pt idx="20">
                  <c:v>0.83918003227181448</c:v>
                </c:pt>
                <c:pt idx="21">
                  <c:v>0.73652734602241088</c:v>
                </c:pt>
                <c:pt idx="22">
                  <c:v>0.63364705265250743</c:v>
                </c:pt>
                <c:pt idx="23">
                  <c:v>0.53057631011881301</c:v>
                </c:pt>
                <c:pt idx="24">
                  <c:v>0.42735860697742989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F6-45BD-96D7-8FEBABFA2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7961664"/>
        <c:axId val="1787962144"/>
      </c:areaChart>
      <c:catAx>
        <c:axId val="178796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7962144"/>
        <c:crosses val="autoZero"/>
        <c:auto val="1"/>
        <c:lblAlgn val="ctr"/>
        <c:lblOffset val="100"/>
        <c:tickLblSkip val="4"/>
        <c:noMultiLvlLbl val="0"/>
      </c:catAx>
      <c:valAx>
        <c:axId val="1787962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Peak Hour therms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7961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Commercial Achievable Potential by End Use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1"/>
          <c:order val="0"/>
          <c:tx>
            <c:strRef>
              <c:f>'Summary-Peak Hour'!$B$65</c:f>
              <c:strCache>
                <c:ptCount val="1"/>
                <c:pt idx="0">
                  <c:v>HVAC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numRef>
              <c:f>'Summary-Peak Hour'!$C$56:$AA$56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Hour'!$C$65:$AA$65</c:f>
              <c:numCache>
                <c:formatCode>_(* #,##0_);_(* \(#,##0\);_(* "-"??_);_(@_)</c:formatCode>
                <c:ptCount val="25"/>
                <c:pt idx="0">
                  <c:v>79.022196140471365</c:v>
                </c:pt>
                <c:pt idx="1">
                  <c:v>64.507958200540713</c:v>
                </c:pt>
                <c:pt idx="2">
                  <c:v>62.803416184432017</c:v>
                </c:pt>
                <c:pt idx="3">
                  <c:v>63.224953622445177</c:v>
                </c:pt>
                <c:pt idx="4">
                  <c:v>72.632782181901391</c:v>
                </c:pt>
                <c:pt idx="5">
                  <c:v>95.240528325085137</c:v>
                </c:pt>
                <c:pt idx="6">
                  <c:v>121.54059167012437</c:v>
                </c:pt>
                <c:pt idx="7">
                  <c:v>148.96443323811491</c:v>
                </c:pt>
                <c:pt idx="8">
                  <c:v>175.42977975081712</c:v>
                </c:pt>
                <c:pt idx="9">
                  <c:v>198.46725981979901</c:v>
                </c:pt>
                <c:pt idx="10">
                  <c:v>215.52445741306315</c:v>
                </c:pt>
                <c:pt idx="11">
                  <c:v>224.35726618839269</c:v>
                </c:pt>
                <c:pt idx="12">
                  <c:v>223.50939577134423</c:v>
                </c:pt>
                <c:pt idx="13">
                  <c:v>213.78952572687336</c:v>
                </c:pt>
                <c:pt idx="14">
                  <c:v>195.75025853628688</c:v>
                </c:pt>
                <c:pt idx="15">
                  <c:v>164.64254045977691</c:v>
                </c:pt>
                <c:pt idx="16">
                  <c:v>138.13283222935186</c:v>
                </c:pt>
                <c:pt idx="17">
                  <c:v>120.61112950914899</c:v>
                </c:pt>
                <c:pt idx="18">
                  <c:v>94.669649122632038</c:v>
                </c:pt>
                <c:pt idx="19">
                  <c:v>90.845666575228449</c:v>
                </c:pt>
                <c:pt idx="20">
                  <c:v>91.574799078920989</c:v>
                </c:pt>
                <c:pt idx="21">
                  <c:v>91.449432038328752</c:v>
                </c:pt>
                <c:pt idx="22">
                  <c:v>92.182570180024143</c:v>
                </c:pt>
                <c:pt idx="23">
                  <c:v>91.650997113576693</c:v>
                </c:pt>
                <c:pt idx="24">
                  <c:v>50.181048823625737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BC-47CC-9D83-6502624C2F8D}"/>
            </c:ext>
          </c:extLst>
        </c:ser>
        <c:ser>
          <c:idx val="2"/>
          <c:order val="1"/>
          <c:tx>
            <c:strRef>
              <c:f>'Summary-Peak Hour'!$B$66</c:f>
              <c:strCache>
                <c:ptCount val="1"/>
                <c:pt idx="0">
                  <c:v>Water Heat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cat>
            <c:numRef>
              <c:f>'Summary-Peak Hour'!$C$56:$AA$56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Hour'!$C$66:$AA$66</c:f>
              <c:numCache>
                <c:formatCode>_(* #,##0_);_(* \(#,##0\);_(* "-"??_);_(@_)</c:formatCode>
                <c:ptCount val="25"/>
                <c:pt idx="0">
                  <c:v>0.33183971613244329</c:v>
                </c:pt>
                <c:pt idx="1">
                  <c:v>0.67242311951755862</c:v>
                </c:pt>
                <c:pt idx="2">
                  <c:v>1.2005967093388592</c:v>
                </c:pt>
                <c:pt idx="3">
                  <c:v>1.9361673227385843</c:v>
                </c:pt>
                <c:pt idx="4">
                  <c:v>2.8967952543684365</c:v>
                </c:pt>
                <c:pt idx="5">
                  <c:v>4.0648520856273587</c:v>
                </c:pt>
                <c:pt idx="6">
                  <c:v>5.3955878168447589</c:v>
                </c:pt>
                <c:pt idx="7">
                  <c:v>6.8212439282567194</c:v>
                </c:pt>
                <c:pt idx="8">
                  <c:v>8.2574691981471435</c:v>
                </c:pt>
                <c:pt idx="9">
                  <c:v>9.6106861070442289</c:v>
                </c:pt>
                <c:pt idx="10">
                  <c:v>10.786567287890849</c:v>
                </c:pt>
                <c:pt idx="11">
                  <c:v>11.700815587285019</c:v>
                </c:pt>
                <c:pt idx="12">
                  <c:v>12.292772902006526</c:v>
                </c:pt>
                <c:pt idx="13">
                  <c:v>12.539839257066314</c:v>
                </c:pt>
                <c:pt idx="14">
                  <c:v>12.467573919944421</c:v>
                </c:pt>
                <c:pt idx="15">
                  <c:v>12.61905699885652</c:v>
                </c:pt>
                <c:pt idx="16">
                  <c:v>12.250695579911458</c:v>
                </c:pt>
                <c:pt idx="17">
                  <c:v>11.541948230032185</c:v>
                </c:pt>
                <c:pt idx="18">
                  <c:v>10.654334532519012</c:v>
                </c:pt>
                <c:pt idx="19">
                  <c:v>10.535745000164232</c:v>
                </c:pt>
                <c:pt idx="20">
                  <c:v>10.340468056814517</c:v>
                </c:pt>
                <c:pt idx="21">
                  <c:v>7.6669279017324339</c:v>
                </c:pt>
                <c:pt idx="22">
                  <c:v>5.6465532832140362</c:v>
                </c:pt>
                <c:pt idx="23">
                  <c:v>4.7793012133394654</c:v>
                </c:pt>
                <c:pt idx="24">
                  <c:v>2.6970523540913258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BC-47CC-9D83-6502624C2F8D}"/>
            </c:ext>
          </c:extLst>
        </c:ser>
        <c:ser>
          <c:idx val="0"/>
          <c:order val="2"/>
          <c:tx>
            <c:strRef>
              <c:f>'Summary-Peak Hour'!$B$63</c:f>
              <c:strCache>
                <c:ptCount val="1"/>
                <c:pt idx="0">
                  <c:v>Appliances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'Summary-Peak Hour'!$C$56:$AA$56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Hour'!$C$63:$AA$63</c:f>
              <c:numCache>
                <c:formatCode>_(* #,##0_);_(* \(#,##0\);_(* "-"??_);_(@_)</c:formatCode>
                <c:ptCount val="25"/>
                <c:pt idx="0">
                  <c:v>1.5912989875428243</c:v>
                </c:pt>
                <c:pt idx="1">
                  <c:v>2.6656633373967389</c:v>
                </c:pt>
                <c:pt idx="2">
                  <c:v>4.216243238658886</c:v>
                </c:pt>
                <c:pt idx="3">
                  <c:v>6.3859902668308735</c:v>
                </c:pt>
                <c:pt idx="4">
                  <c:v>9.1136910660237547</c:v>
                </c:pt>
                <c:pt idx="5">
                  <c:v>12.31214547592838</c:v>
                </c:pt>
                <c:pt idx="6">
                  <c:v>15.836945713835668</c:v>
                </c:pt>
                <c:pt idx="7">
                  <c:v>19.526359749873048</c:v>
                </c:pt>
                <c:pt idx="8">
                  <c:v>23.20716238309458</c:v>
                </c:pt>
                <c:pt idx="9">
                  <c:v>26.594154623252599</c:v>
                </c:pt>
                <c:pt idx="10">
                  <c:v>29.789366475050585</c:v>
                </c:pt>
                <c:pt idx="11">
                  <c:v>32.813481633031358</c:v>
                </c:pt>
                <c:pt idx="12">
                  <c:v>39.032606883649855</c:v>
                </c:pt>
                <c:pt idx="13">
                  <c:v>43.694676169129536</c:v>
                </c:pt>
                <c:pt idx="14">
                  <c:v>45.199883968280758</c:v>
                </c:pt>
                <c:pt idx="15">
                  <c:v>46.015178970090936</c:v>
                </c:pt>
                <c:pt idx="16">
                  <c:v>46.153284706552938</c:v>
                </c:pt>
                <c:pt idx="17">
                  <c:v>42.152151442013363</c:v>
                </c:pt>
                <c:pt idx="18">
                  <c:v>28.757675473442404</c:v>
                </c:pt>
                <c:pt idx="19">
                  <c:v>25.562019542614301</c:v>
                </c:pt>
                <c:pt idx="20">
                  <c:v>24.85709031402142</c:v>
                </c:pt>
                <c:pt idx="21">
                  <c:v>24.076846504684138</c:v>
                </c:pt>
                <c:pt idx="22">
                  <c:v>14.974805018520836</c:v>
                </c:pt>
                <c:pt idx="23">
                  <c:v>10.931784555750095</c:v>
                </c:pt>
                <c:pt idx="24">
                  <c:v>10.454460097034657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BC-47CC-9D83-6502624C2F8D}"/>
            </c:ext>
          </c:extLst>
        </c:ser>
        <c:ser>
          <c:idx val="3"/>
          <c:order val="3"/>
          <c:tx>
            <c:strRef>
              <c:f>'Summary-Peak Hour'!$B$64</c:f>
              <c:strCache>
                <c:ptCount val="1"/>
                <c:pt idx="0">
                  <c:v>Whole Building</c:v>
                </c:pt>
              </c:strCache>
            </c:strRef>
          </c:tx>
          <c:spPr>
            <a:solidFill>
              <a:schemeClr val="tx2"/>
            </a:solidFill>
            <a:ln w="25400">
              <a:noFill/>
            </a:ln>
            <a:effectLst/>
          </c:spPr>
          <c:cat>
            <c:numRef>
              <c:f>'Summary-Peak Hour'!$C$56:$AA$56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Hour'!$C$64:$AA$64</c:f>
              <c:numCache>
                <c:formatCode>_(* #,##0_);_(* \(#,##0\);_(* "-"??_);_(@_)</c:formatCode>
                <c:ptCount val="25"/>
                <c:pt idx="0">
                  <c:v>116.45551884008962</c:v>
                </c:pt>
                <c:pt idx="1">
                  <c:v>134.58330513316295</c:v>
                </c:pt>
                <c:pt idx="2">
                  <c:v>152.82501429193425</c:v>
                </c:pt>
                <c:pt idx="3">
                  <c:v>177.87514262730502</c:v>
                </c:pt>
                <c:pt idx="4">
                  <c:v>194.26366862766031</c:v>
                </c:pt>
                <c:pt idx="5">
                  <c:v>197.57201534453301</c:v>
                </c:pt>
                <c:pt idx="6">
                  <c:v>185.36119305146357</c:v>
                </c:pt>
                <c:pt idx="7">
                  <c:v>158.62685291027719</c:v>
                </c:pt>
                <c:pt idx="8">
                  <c:v>108.04119439904203</c:v>
                </c:pt>
                <c:pt idx="9">
                  <c:v>43.872222252319489</c:v>
                </c:pt>
                <c:pt idx="10">
                  <c:v>3.0828813540467626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BC-47CC-9D83-6502624C2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7961664"/>
        <c:axId val="1787962144"/>
      </c:areaChart>
      <c:catAx>
        <c:axId val="178796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7962144"/>
        <c:crosses val="autoZero"/>
        <c:auto val="1"/>
        <c:lblAlgn val="ctr"/>
        <c:lblOffset val="100"/>
        <c:tickLblSkip val="4"/>
        <c:noMultiLvlLbl val="0"/>
      </c:catAx>
      <c:valAx>
        <c:axId val="1787962144"/>
        <c:scaling>
          <c:orientation val="minMax"/>
          <c:max val="1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7961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Industrial Achievable Potential by End Use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1"/>
          <c:order val="0"/>
          <c:tx>
            <c:strRef>
              <c:f>'Summary-Peak Hour'!$B$68</c:f>
              <c:strCache>
                <c:ptCount val="1"/>
                <c:pt idx="0">
                  <c:v>HVAC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numRef>
              <c:f>'Summary-Peak Hour'!$C$56:$AA$56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Hour'!$C$68:$AA$68</c:f>
              <c:numCache>
                <c:formatCode>_(* #,##0_);_(* \(#,##0\);_(* "-"??_);_(@_)</c:formatCode>
                <c:ptCount val="25"/>
                <c:pt idx="0">
                  <c:v>13.492989147065382</c:v>
                </c:pt>
                <c:pt idx="1">
                  <c:v>24.999256922020614</c:v>
                </c:pt>
                <c:pt idx="2">
                  <c:v>42.078738372052293</c:v>
                </c:pt>
                <c:pt idx="3">
                  <c:v>65.699625791547803</c:v>
                </c:pt>
                <c:pt idx="4">
                  <c:v>96.423015625596264</c:v>
                </c:pt>
                <c:pt idx="5">
                  <c:v>134.12595077763118</c:v>
                </c:pt>
                <c:pt idx="6">
                  <c:v>177.69518015018895</c:v>
                </c:pt>
                <c:pt idx="7">
                  <c:v>224.75902080901565</c:v>
                </c:pt>
                <c:pt idx="8">
                  <c:v>271.56691493636595</c:v>
                </c:pt>
                <c:pt idx="9">
                  <c:v>313.15395872988182</c:v>
                </c:pt>
                <c:pt idx="10">
                  <c:v>343.91196768462777</c:v>
                </c:pt>
                <c:pt idx="11">
                  <c:v>358.59928101581858</c:v>
                </c:pt>
                <c:pt idx="12">
                  <c:v>353.64928631676207</c:v>
                </c:pt>
                <c:pt idx="13">
                  <c:v>328.91574244619011</c:v>
                </c:pt>
                <c:pt idx="14">
                  <c:v>268.59344582368038</c:v>
                </c:pt>
                <c:pt idx="15">
                  <c:v>220.08634846525894</c:v>
                </c:pt>
                <c:pt idx="16">
                  <c:v>93.212593127827873</c:v>
                </c:pt>
                <c:pt idx="17">
                  <c:v>21.350477567294924</c:v>
                </c:pt>
                <c:pt idx="18">
                  <c:v>21.271961905845075</c:v>
                </c:pt>
                <c:pt idx="19">
                  <c:v>21.108950804134203</c:v>
                </c:pt>
                <c:pt idx="20">
                  <c:v>20.946428409823927</c:v>
                </c:pt>
                <c:pt idx="21">
                  <c:v>20.784905810685007</c:v>
                </c:pt>
                <c:pt idx="22">
                  <c:v>20.624628786802525</c:v>
                </c:pt>
                <c:pt idx="23">
                  <c:v>20.465587732649333</c:v>
                </c:pt>
                <c:pt idx="24">
                  <c:v>20.307773116776129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EA-4FA7-A7A1-31734821846F}"/>
            </c:ext>
          </c:extLst>
        </c:ser>
        <c:ser>
          <c:idx val="2"/>
          <c:order val="1"/>
          <c:tx>
            <c:strRef>
              <c:f>'Summary-Peak Hour'!$B$70</c:f>
              <c:strCache>
                <c:ptCount val="1"/>
                <c:pt idx="0">
                  <c:v>Water Heat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cat>
            <c:numRef>
              <c:f>'Summary-Peak Hour'!$C$56:$AA$56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Hour'!$C$70:$AA$70</c:f>
              <c:numCache>
                <c:formatCode>_(* #,##0_);_(* \(#,##0\);_(* "-"??_);_(@_)</c:formatCode>
                <c:ptCount val="25"/>
                <c:pt idx="0">
                  <c:v>5.8448567282040509E-2</c:v>
                </c:pt>
                <c:pt idx="1">
                  <c:v>0.10913240185474386</c:v>
                </c:pt>
                <c:pt idx="2">
                  <c:v>0.26334935222821071</c:v>
                </c:pt>
                <c:pt idx="3">
                  <c:v>0.43904807669960516</c:v>
                </c:pt>
                <c:pt idx="4">
                  <c:v>0.68623511854759445</c:v>
                </c:pt>
                <c:pt idx="5">
                  <c:v>1.0171332900133572</c:v>
                </c:pt>
                <c:pt idx="6">
                  <c:v>1.4397938921449271</c:v>
                </c:pt>
                <c:pt idx="7">
                  <c:v>1.9553683153568344</c:v>
                </c:pt>
                <c:pt idx="8">
                  <c:v>2.5555594085630409</c:v>
                </c:pt>
                <c:pt idx="9">
                  <c:v>3.2210049391156557</c:v>
                </c:pt>
                <c:pt idx="10">
                  <c:v>3.9214553735191711</c:v>
                </c:pt>
                <c:pt idx="11">
                  <c:v>4.6184173009430927</c:v>
                </c:pt>
                <c:pt idx="12">
                  <c:v>5.2703424731302055</c:v>
                </c:pt>
                <c:pt idx="13">
                  <c:v>5.8395286689769481</c:v>
                </c:pt>
                <c:pt idx="14">
                  <c:v>6.2989901131563286</c:v>
                </c:pt>
                <c:pt idx="15">
                  <c:v>6.6453001593030701</c:v>
                </c:pt>
                <c:pt idx="16">
                  <c:v>6.864184682437994</c:v>
                </c:pt>
                <c:pt idx="17">
                  <c:v>7.0117473108201454</c:v>
                </c:pt>
                <c:pt idx="18">
                  <c:v>7.0519041459921734</c:v>
                </c:pt>
                <c:pt idx="19">
                  <c:v>7.0627085199322117</c:v>
                </c:pt>
                <c:pt idx="20">
                  <c:v>7.0244109364742204</c:v>
                </c:pt>
                <c:pt idx="21">
                  <c:v>6.9702367720638057</c:v>
                </c:pt>
                <c:pt idx="22">
                  <c:v>6.9164804314165726</c:v>
                </c:pt>
                <c:pt idx="23">
                  <c:v>6.863138691873897</c:v>
                </c:pt>
                <c:pt idx="24">
                  <c:v>6.8102083556346624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EA-4FA7-A7A1-31734821846F}"/>
            </c:ext>
          </c:extLst>
        </c:ser>
        <c:ser>
          <c:idx val="0"/>
          <c:order val="2"/>
          <c:tx>
            <c:strRef>
              <c:f>'Summary-Peak Hour'!$B$69</c:f>
              <c:strCache>
                <c:ptCount val="1"/>
                <c:pt idx="0">
                  <c:v>Process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'Summary-Peak Hour'!$C$56:$AA$56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Hour'!$C$69:$AA$69</c:f>
              <c:numCache>
                <c:formatCode>_(* #,##0_);_(* \(#,##0\);_(* "-"??_);_(@_)</c:formatCode>
                <c:ptCount val="25"/>
                <c:pt idx="0">
                  <c:v>1.285796858137326</c:v>
                </c:pt>
                <c:pt idx="1">
                  <c:v>2.3511292875254139</c:v>
                </c:pt>
                <c:pt idx="2">
                  <c:v>3.9197174569332485</c:v>
                </c:pt>
                <c:pt idx="3">
                  <c:v>6.0737974504995096</c:v>
                </c:pt>
                <c:pt idx="4">
                  <c:v>8.8566617735135509</c:v>
                </c:pt>
                <c:pt idx="5">
                  <c:v>12.247708739356669</c:v>
                </c:pt>
                <c:pt idx="6">
                  <c:v>16.135392111574532</c:v>
                </c:pt>
                <c:pt idx="7">
                  <c:v>20.294438572097452</c:v>
                </c:pt>
                <c:pt idx="8">
                  <c:v>24.377362759137942</c:v>
                </c:pt>
                <c:pt idx="9">
                  <c:v>27.932472126085852</c:v>
                </c:pt>
                <c:pt idx="10">
                  <c:v>30.45860338670807</c:v>
                </c:pt>
                <c:pt idx="11">
                  <c:v>31.49821209315505</c:v>
                </c:pt>
                <c:pt idx="12">
                  <c:v>30.75468701048343</c:v>
                </c:pt>
                <c:pt idx="13">
                  <c:v>28.258157599872074</c:v>
                </c:pt>
                <c:pt idx="14">
                  <c:v>22.124658172141498</c:v>
                </c:pt>
                <c:pt idx="15">
                  <c:v>17.622031847690952</c:v>
                </c:pt>
                <c:pt idx="16">
                  <c:v>6.3735561262727565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EA-4FA7-A7A1-31734821846F}"/>
            </c:ext>
          </c:extLst>
        </c:ser>
        <c:ser>
          <c:idx val="3"/>
          <c:order val="3"/>
          <c:tx>
            <c:strRef>
              <c:f>'Summary-Peak Hour'!$B$71</c:f>
              <c:strCache>
                <c:ptCount val="1"/>
                <c:pt idx="0">
                  <c:v>Whole Building</c:v>
                </c:pt>
              </c:strCache>
            </c:strRef>
          </c:tx>
          <c:spPr>
            <a:solidFill>
              <a:schemeClr val="tx2"/>
            </a:solidFill>
            <a:ln w="25400">
              <a:noFill/>
            </a:ln>
            <a:effectLst/>
          </c:spPr>
          <c:cat>
            <c:numRef>
              <c:f>'Summary-Peak Hour'!$C$56:$AA$56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Hour'!$C$71:$AA$71</c:f>
              <c:numCache>
                <c:formatCode>_(* #,##0_);_(* \(#,##0\);_(* "-"??_);_(@_)</c:formatCode>
                <c:ptCount val="25"/>
                <c:pt idx="0">
                  <c:v>0.31164792854585416</c:v>
                </c:pt>
                <c:pt idx="1">
                  <c:v>0.50302893467415144</c:v>
                </c:pt>
                <c:pt idx="2">
                  <c:v>0.75763989770306783</c:v>
                </c:pt>
                <c:pt idx="3">
                  <c:v>1.0767347129278526</c:v>
                </c:pt>
                <c:pt idx="4">
                  <c:v>1.4533605643111933</c:v>
                </c:pt>
                <c:pt idx="5">
                  <c:v>1.8695515725515062</c:v>
                </c:pt>
                <c:pt idx="6">
                  <c:v>2.2944822346945077</c:v>
                </c:pt>
                <c:pt idx="7">
                  <c:v>2.6848749561075871</c:v>
                </c:pt>
                <c:pt idx="8">
                  <c:v>2.9890269453807043</c:v>
                </c:pt>
                <c:pt idx="9">
                  <c:v>3.1552419490737869</c:v>
                </c:pt>
                <c:pt idx="10">
                  <c:v>3.1439822221625109</c:v>
                </c:pt>
                <c:pt idx="11">
                  <c:v>2.9408793749582856</c:v>
                </c:pt>
                <c:pt idx="12">
                  <c:v>2.5657518132882915</c:v>
                </c:pt>
                <c:pt idx="13">
                  <c:v>2.1054863034428632</c:v>
                </c:pt>
                <c:pt idx="14">
                  <c:v>0.37608614337241686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EA-4FA7-A7A1-317348218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7961664"/>
        <c:axId val="1787962144"/>
      </c:areaChart>
      <c:catAx>
        <c:axId val="178796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7962144"/>
        <c:crosses val="autoZero"/>
        <c:auto val="1"/>
        <c:lblAlgn val="ctr"/>
        <c:lblOffset val="100"/>
        <c:tickLblSkip val="4"/>
        <c:noMultiLvlLbl val="0"/>
      </c:catAx>
      <c:valAx>
        <c:axId val="1787962144"/>
        <c:scaling>
          <c:orientation val="minMax"/>
          <c:max val="1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7961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Achievable Potential</a:t>
            </a:r>
            <a:r>
              <a:rPr lang="en-US" baseline="0"/>
              <a:t> by Rate Class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'Summary-Therms'!$B$34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numRef>
              <c:f>'Summary-Therms'!$C$18:$AA$18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'Summary-Therms'!$C$34:$AA$34</c:f>
              <c:numCache>
                <c:formatCode>_(* #,##0_);_(* \(#,##0\);_(* "-"??_);_(@_)</c:formatCode>
                <c:ptCount val="25"/>
                <c:pt idx="0">
                  <c:v>132343.88904963929</c:v>
                </c:pt>
                <c:pt idx="1">
                  <c:v>173948.31502144053</c:v>
                </c:pt>
                <c:pt idx="2">
                  <c:v>237874.81296795802</c:v>
                </c:pt>
                <c:pt idx="3">
                  <c:v>309770.37905277929</c:v>
                </c:pt>
                <c:pt idx="4">
                  <c:v>396123.19825348462</c:v>
                </c:pt>
                <c:pt idx="5">
                  <c:v>500212.54342641379</c:v>
                </c:pt>
                <c:pt idx="6">
                  <c:v>618192.86540144996</c:v>
                </c:pt>
                <c:pt idx="7">
                  <c:v>743290.6097460998</c:v>
                </c:pt>
                <c:pt idx="8">
                  <c:v>865633.23854048713</c:v>
                </c:pt>
                <c:pt idx="9">
                  <c:v>972843.00952895498</c:v>
                </c:pt>
                <c:pt idx="10">
                  <c:v>1052017.9978314433</c:v>
                </c:pt>
                <c:pt idx="11">
                  <c:v>1088093.1498594</c:v>
                </c:pt>
                <c:pt idx="12">
                  <c:v>1082091.0374268943</c:v>
                </c:pt>
                <c:pt idx="13">
                  <c:v>1035362.8684150177</c:v>
                </c:pt>
                <c:pt idx="14">
                  <c:v>950963.41004539863</c:v>
                </c:pt>
                <c:pt idx="15">
                  <c:v>848632.00974000443</c:v>
                </c:pt>
                <c:pt idx="16">
                  <c:v>716751.67371058301</c:v>
                </c:pt>
                <c:pt idx="17">
                  <c:v>612882.65475952195</c:v>
                </c:pt>
                <c:pt idx="18">
                  <c:v>458034.3980999575</c:v>
                </c:pt>
                <c:pt idx="19">
                  <c:v>437211.51901903556</c:v>
                </c:pt>
                <c:pt idx="20">
                  <c:v>426301.11847072642</c:v>
                </c:pt>
                <c:pt idx="21">
                  <c:v>421544.52987822884</c:v>
                </c:pt>
                <c:pt idx="22">
                  <c:v>416089.39446848625</c:v>
                </c:pt>
                <c:pt idx="23">
                  <c:v>408071.25361636141</c:v>
                </c:pt>
                <c:pt idx="24">
                  <c:v>353767.41867540864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12-40FB-A64D-F11D14DFBDD6}"/>
            </c:ext>
          </c:extLst>
        </c:ser>
        <c:ser>
          <c:idx val="2"/>
          <c:order val="1"/>
          <c:tx>
            <c:v>Com Sales</c:v>
          </c:tx>
          <c:spPr>
            <a:solidFill>
              <a:schemeClr val="accent2"/>
            </a:solidFill>
            <a:ln w="25400">
              <a:noFill/>
            </a:ln>
            <a:effectLst/>
          </c:spPr>
          <c:cat>
            <c:numRef>
              <c:f>'Summary-Therms'!$C$18:$AA$18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'Summary-Therms'!$C$36:$AA$36</c:f>
              <c:numCache>
                <c:formatCode>_(* #,##0_);_(* \(#,##0\);_(* "-"??_);_(@_)</c:formatCode>
                <c:ptCount val="25"/>
                <c:pt idx="0">
                  <c:v>141158.07862201642</c:v>
                </c:pt>
                <c:pt idx="1">
                  <c:v>148125.33509063939</c:v>
                </c:pt>
                <c:pt idx="2">
                  <c:v>166591.71873308357</c:v>
                </c:pt>
                <c:pt idx="3">
                  <c:v>194052.01732062787</c:v>
                </c:pt>
                <c:pt idx="4">
                  <c:v>224700.4184991105</c:v>
                </c:pt>
                <c:pt idx="5">
                  <c:v>258383.02985228685</c:v>
                </c:pt>
                <c:pt idx="6">
                  <c:v>286154.49592627428</c:v>
                </c:pt>
                <c:pt idx="7">
                  <c:v>305968.81576108438</c:v>
                </c:pt>
                <c:pt idx="8">
                  <c:v>308168.31759854051</c:v>
                </c:pt>
                <c:pt idx="9">
                  <c:v>298461.36201986321</c:v>
                </c:pt>
                <c:pt idx="10">
                  <c:v>296310.91597548482</c:v>
                </c:pt>
                <c:pt idx="11">
                  <c:v>310151.70316469576</c:v>
                </c:pt>
                <c:pt idx="12">
                  <c:v>319016.05879788997</c:v>
                </c:pt>
                <c:pt idx="13">
                  <c:v>314849.60026671441</c:v>
                </c:pt>
                <c:pt idx="14">
                  <c:v>290373.09210200823</c:v>
                </c:pt>
                <c:pt idx="15">
                  <c:v>262404.25534130365</c:v>
                </c:pt>
                <c:pt idx="16">
                  <c:v>223454.36609727616</c:v>
                </c:pt>
                <c:pt idx="17">
                  <c:v>190710.87983854016</c:v>
                </c:pt>
                <c:pt idx="18">
                  <c:v>148486.73552359649</c:v>
                </c:pt>
                <c:pt idx="19">
                  <c:v>141172.96303863105</c:v>
                </c:pt>
                <c:pt idx="20">
                  <c:v>139678.58630093237</c:v>
                </c:pt>
                <c:pt idx="21">
                  <c:v>128152.45409043228</c:v>
                </c:pt>
                <c:pt idx="22">
                  <c:v>108388.14244033315</c:v>
                </c:pt>
                <c:pt idx="23">
                  <c:v>99324.832945781629</c:v>
                </c:pt>
                <c:pt idx="24">
                  <c:v>62293.558777698243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12-40FB-A64D-F11D14DFBDD6}"/>
            </c:ext>
          </c:extLst>
        </c:ser>
        <c:ser>
          <c:idx val="3"/>
          <c:order val="2"/>
          <c:tx>
            <c:v>Com Transport</c:v>
          </c:tx>
          <c:spPr>
            <a:solidFill>
              <a:schemeClr val="accent2">
                <a:lumMod val="40000"/>
                <a:lumOff val="60000"/>
              </a:schemeClr>
            </a:solidFill>
            <a:ln w="25400">
              <a:noFill/>
            </a:ln>
            <a:effectLst/>
          </c:spPr>
          <c:cat>
            <c:numRef>
              <c:f>'Summary-Therms'!$C$18:$AA$18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'Summary-Therms'!$C$37:$AA$37</c:f>
              <c:numCache>
                <c:formatCode>_(* #,##0_);_(* \(#,##0\);_(* "-"??_);_(@_)</c:formatCode>
                <c:ptCount val="25"/>
                <c:pt idx="0">
                  <c:v>7811.5040924040995</c:v>
                </c:pt>
                <c:pt idx="1">
                  <c:v>8887.5927175728793</c:v>
                </c:pt>
                <c:pt idx="2">
                  <c:v>10295.281799491582</c:v>
                </c:pt>
                <c:pt idx="3">
                  <c:v>12162.301490180391</c:v>
                </c:pt>
                <c:pt idx="4">
                  <c:v>13963.968124826801</c:v>
                </c:pt>
                <c:pt idx="5">
                  <c:v>15398.353079786371</c:v>
                </c:pt>
                <c:pt idx="6">
                  <c:v>16143.05274049625</c:v>
                </c:pt>
                <c:pt idx="7">
                  <c:v>16161.769747790653</c:v>
                </c:pt>
                <c:pt idx="8">
                  <c:v>15596.965052971096</c:v>
                </c:pt>
                <c:pt idx="9">
                  <c:v>12343.019201886807</c:v>
                </c:pt>
                <c:pt idx="10">
                  <c:v>11231.989920385484</c:v>
                </c:pt>
                <c:pt idx="11">
                  <c:v>11667.483597399394</c:v>
                </c:pt>
                <c:pt idx="12">
                  <c:v>11864.211019375825</c:v>
                </c:pt>
                <c:pt idx="13">
                  <c:v>11618.292191246534</c:v>
                </c:pt>
                <c:pt idx="14">
                  <c:v>10992.767639420685</c:v>
                </c:pt>
                <c:pt idx="15">
                  <c:v>9412.8794193875183</c:v>
                </c:pt>
                <c:pt idx="16">
                  <c:v>8793.8044615042709</c:v>
                </c:pt>
                <c:pt idx="17">
                  <c:v>7813.6974525139658</c:v>
                </c:pt>
                <c:pt idx="18">
                  <c:v>6508.8162523223336</c:v>
                </c:pt>
                <c:pt idx="19">
                  <c:v>6109.0611357913585</c:v>
                </c:pt>
                <c:pt idx="20">
                  <c:v>6099.5721437973207</c:v>
                </c:pt>
                <c:pt idx="21">
                  <c:v>5672.1100085495555</c:v>
                </c:pt>
                <c:pt idx="22">
                  <c:v>5301.8379429511206</c:v>
                </c:pt>
                <c:pt idx="23">
                  <c:v>4816.726903692188</c:v>
                </c:pt>
                <c:pt idx="24">
                  <c:v>3235.3310697776792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12-40FB-A64D-F11D14DFBDD6}"/>
            </c:ext>
          </c:extLst>
        </c:ser>
        <c:ser>
          <c:idx val="5"/>
          <c:order val="3"/>
          <c:tx>
            <c:v>Ind Sales</c:v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'Summary-Therms'!$C$18:$AA$18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'Summary-Therms'!$C$39:$AA$39</c:f>
              <c:numCache>
                <c:formatCode>_(* #,##0_);_(* \(#,##0\);_(* "-"??_);_(@_)</c:formatCode>
                <c:ptCount val="25"/>
                <c:pt idx="0">
                  <c:v>4102.7408726175045</c:v>
                </c:pt>
                <c:pt idx="1">
                  <c:v>7234.4066881564613</c:v>
                </c:pt>
                <c:pt idx="2">
                  <c:v>11830.326858315748</c:v>
                </c:pt>
                <c:pt idx="3">
                  <c:v>18039.106535860694</c:v>
                </c:pt>
                <c:pt idx="4">
                  <c:v>25974.952547903689</c:v>
                </c:pt>
                <c:pt idx="5">
                  <c:v>35553.929596054651</c:v>
                </c:pt>
                <c:pt idx="6">
                  <c:v>46420.397390177015</c:v>
                </c:pt>
                <c:pt idx="7">
                  <c:v>57915.565781836282</c:v>
                </c:pt>
                <c:pt idx="8">
                  <c:v>69058.26163604985</c:v>
                </c:pt>
                <c:pt idx="9">
                  <c:v>78602.869820396896</c:v>
                </c:pt>
                <c:pt idx="10">
                  <c:v>85216.061735880634</c:v>
                </c:pt>
                <c:pt idx="11">
                  <c:v>87765.968770735402</c:v>
                </c:pt>
                <c:pt idx="12">
                  <c:v>85533.540115720549</c:v>
                </c:pt>
                <c:pt idx="13">
                  <c:v>78800.327684922973</c:v>
                </c:pt>
                <c:pt idx="14">
                  <c:v>59720.746062754202</c:v>
                </c:pt>
                <c:pt idx="15">
                  <c:v>48290.169693640346</c:v>
                </c:pt>
                <c:pt idx="16">
                  <c:v>21552.390972943231</c:v>
                </c:pt>
                <c:pt idx="17">
                  <c:v>6623.7518651686314</c:v>
                </c:pt>
                <c:pt idx="18">
                  <c:v>6613.3728073367438</c:v>
                </c:pt>
                <c:pt idx="19">
                  <c:v>6603.0893327048052</c:v>
                </c:pt>
                <c:pt idx="20">
                  <c:v>6562.9959867930384</c:v>
                </c:pt>
                <c:pt idx="21">
                  <c:v>6503.3937103866992</c:v>
                </c:pt>
                <c:pt idx="22">
                  <c:v>6443.5594529154469</c:v>
                </c:pt>
                <c:pt idx="23">
                  <c:v>6390.0799031217721</c:v>
                </c:pt>
                <c:pt idx="24">
                  <c:v>6301.1341471944834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C12-40FB-A64D-F11D14DFBDD6}"/>
            </c:ext>
          </c:extLst>
        </c:ser>
        <c:ser>
          <c:idx val="6"/>
          <c:order val="4"/>
          <c:tx>
            <c:v>Ind Transport</c:v>
          </c:tx>
          <c:spPr>
            <a:solidFill>
              <a:schemeClr val="accent3">
                <a:lumMod val="40000"/>
                <a:lumOff val="60000"/>
              </a:schemeClr>
            </a:solidFill>
            <a:ln w="25400">
              <a:noFill/>
            </a:ln>
            <a:effectLst/>
          </c:spPr>
          <c:cat>
            <c:numRef>
              <c:f>'Summary-Therms'!$C$18:$AA$18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'Summary-Therms'!$C$40:$AA$40</c:f>
              <c:numCache>
                <c:formatCode>_(* #,##0_);_(* \(#,##0\);_(* "-"??_);_(@_)</c:formatCode>
                <c:ptCount val="25"/>
                <c:pt idx="0">
                  <c:v>20806.092965978187</c:v>
                </c:pt>
                <c:pt idx="1">
                  <c:v>37249.493595406151</c:v>
                </c:pt>
                <c:pt idx="2">
                  <c:v>61365.303386207619</c:v>
                </c:pt>
                <c:pt idx="3">
                  <c:v>94021.910729561481</c:v>
                </c:pt>
                <c:pt idx="4">
                  <c:v>135860.12363716209</c:v>
                </c:pt>
                <c:pt idx="5">
                  <c:v>186445.08820528476</c:v>
                </c:pt>
                <c:pt idx="6">
                  <c:v>243985.3302813078</c:v>
                </c:pt>
                <c:pt idx="7">
                  <c:v>305030.34161156329</c:v>
                </c:pt>
                <c:pt idx="8">
                  <c:v>364399.14887457876</c:v>
                </c:pt>
                <c:pt idx="9">
                  <c:v>415510.99315012933</c:v>
                </c:pt>
                <c:pt idx="10">
                  <c:v>451246.2218747955</c:v>
                </c:pt>
                <c:pt idx="11">
                  <c:v>465325.90076830226</c:v>
                </c:pt>
                <c:pt idx="12">
                  <c:v>453967.1561527751</c:v>
                </c:pt>
                <c:pt idx="13">
                  <c:v>418460.06391397736</c:v>
                </c:pt>
                <c:pt idx="14">
                  <c:v>320028.11688527238</c:v>
                </c:pt>
                <c:pt idx="15">
                  <c:v>258517.52964934331</c:v>
                </c:pt>
                <c:pt idx="16">
                  <c:v>113896.15835900682</c:v>
                </c:pt>
                <c:pt idx="17">
                  <c:v>31851.50970098277</c:v>
                </c:pt>
                <c:pt idx="18">
                  <c:v>31922.993387192695</c:v>
                </c:pt>
                <c:pt idx="19">
                  <c:v>31863.840031244472</c:v>
                </c:pt>
                <c:pt idx="20">
                  <c:v>31664.587019031773</c:v>
                </c:pt>
                <c:pt idx="21">
                  <c:v>31420.498394626189</c:v>
                </c:pt>
                <c:pt idx="22">
                  <c:v>31178.291343996651</c:v>
                </c:pt>
                <c:pt idx="23">
                  <c:v>30937.951362903612</c:v>
                </c:pt>
                <c:pt idx="24">
                  <c:v>30699.464058914487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12-40FB-A64D-F11D14DFB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5550224"/>
        <c:axId val="1805544464"/>
      </c:areaChart>
      <c:catAx>
        <c:axId val="180555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5544464"/>
        <c:crosses val="autoZero"/>
        <c:auto val="1"/>
        <c:lblAlgn val="ctr"/>
        <c:lblOffset val="100"/>
        <c:noMultiLvlLbl val="0"/>
      </c:catAx>
      <c:valAx>
        <c:axId val="1805544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Annual therms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55502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 Cost-Effective Potential by End Use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1"/>
          <c:order val="0"/>
          <c:tx>
            <c:strRef>
              <c:f>'Summary-Peak Hour'!$B$78</c:f>
              <c:strCache>
                <c:ptCount val="1"/>
                <c:pt idx="0">
                  <c:v>HVAC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numRef>
              <c:f>'Summary-Peak Hour'!$C$56:$AA$56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Hour'!$C$78:$AA$78</c:f>
              <c:numCache>
                <c:formatCode>_(* #,##0_);_(* \(#,##0\);_(* "-"??_);_(@_)</c:formatCode>
                <c:ptCount val="25"/>
                <c:pt idx="0">
                  <c:v>92.483177784958031</c:v>
                </c:pt>
                <c:pt idx="1">
                  <c:v>129.19556446604813</c:v>
                </c:pt>
                <c:pt idx="2">
                  <c:v>182.59284756914857</c:v>
                </c:pt>
                <c:pt idx="3">
                  <c:v>245.58851950728169</c:v>
                </c:pt>
                <c:pt idx="4">
                  <c:v>322.44519638233112</c:v>
                </c:pt>
                <c:pt idx="5">
                  <c:v>412.19167440119952</c:v>
                </c:pt>
                <c:pt idx="6">
                  <c:v>511.49197690490911</c:v>
                </c:pt>
                <c:pt idx="7">
                  <c:v>614.29672977966902</c:v>
                </c:pt>
                <c:pt idx="8">
                  <c:v>711.82974058357956</c:v>
                </c:pt>
                <c:pt idx="9">
                  <c:v>793.26116039192937</c:v>
                </c:pt>
                <c:pt idx="10">
                  <c:v>847.79359432787533</c:v>
                </c:pt>
                <c:pt idx="11">
                  <c:v>866.79963700610858</c:v>
                </c:pt>
                <c:pt idx="12">
                  <c:v>846.37263869673063</c:v>
                </c:pt>
                <c:pt idx="13">
                  <c:v>792.52120711742407</c:v>
                </c:pt>
                <c:pt idx="14">
                  <c:v>710.47659578927255</c:v>
                </c:pt>
                <c:pt idx="15">
                  <c:v>615.1007178325325</c:v>
                </c:pt>
                <c:pt idx="16">
                  <c:v>476.03227438745358</c:v>
                </c:pt>
                <c:pt idx="17">
                  <c:v>408.16437501155036</c:v>
                </c:pt>
                <c:pt idx="18">
                  <c:v>292.46866444422324</c:v>
                </c:pt>
                <c:pt idx="19">
                  <c:v>282.68019756697049</c:v>
                </c:pt>
                <c:pt idx="20">
                  <c:v>280.50545809691511</c:v>
                </c:pt>
                <c:pt idx="21">
                  <c:v>277.79765245138395</c:v>
                </c:pt>
                <c:pt idx="22">
                  <c:v>274.82203720824521</c:v>
                </c:pt>
                <c:pt idx="23">
                  <c:v>271.75368767610382</c:v>
                </c:pt>
                <c:pt idx="24">
                  <c:v>222.24214289163547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FE-4C3A-9086-E64D34FE6DDE}"/>
            </c:ext>
          </c:extLst>
        </c:ser>
        <c:ser>
          <c:idx val="2"/>
          <c:order val="1"/>
          <c:tx>
            <c:strRef>
              <c:f>'Summary-Peak Hour'!$B$79</c:f>
              <c:strCache>
                <c:ptCount val="1"/>
                <c:pt idx="0">
                  <c:v>Water Heat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cat>
            <c:numRef>
              <c:f>'Summary-Peak Hour'!$C$56:$AA$56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Hour'!$C$79:$AA$79</c:f>
              <c:numCache>
                <c:formatCode>_(* #,##0_);_(* \(#,##0\);_(* "-"??_);_(@_)</c:formatCode>
                <c:ptCount val="25"/>
                <c:pt idx="0">
                  <c:v>0.73834625331425774</c:v>
                </c:pt>
                <c:pt idx="1">
                  <c:v>1.4138525050269837</c:v>
                </c:pt>
                <c:pt idx="2">
                  <c:v>2.5075961438052432</c:v>
                </c:pt>
                <c:pt idx="3">
                  <c:v>4.0371975384597985</c:v>
                </c:pt>
                <c:pt idx="4">
                  <c:v>6.0983987279302285</c:v>
                </c:pt>
                <c:pt idx="5">
                  <c:v>8.7259934910683192</c:v>
                </c:pt>
                <c:pt idx="6">
                  <c:v>11.904314683097851</c:v>
                </c:pt>
                <c:pt idx="7">
                  <c:v>15.55509538054535</c:v>
                </c:pt>
                <c:pt idx="8">
                  <c:v>19.528392365080851</c:v>
                </c:pt>
                <c:pt idx="9">
                  <c:v>23.605080049339094</c:v>
                </c:pt>
                <c:pt idx="10">
                  <c:v>27.514663591301538</c:v>
                </c:pt>
                <c:pt idx="11">
                  <c:v>30.971543526115813</c:v>
                </c:pt>
                <c:pt idx="12">
                  <c:v>33.727235094899299</c:v>
                </c:pt>
                <c:pt idx="13">
                  <c:v>35.626264221219266</c:v>
                </c:pt>
                <c:pt idx="14">
                  <c:v>36.646613212316971</c:v>
                </c:pt>
                <c:pt idx="15">
                  <c:v>37.191188450441011</c:v>
                </c:pt>
                <c:pt idx="16">
                  <c:v>36.946206813607823</c:v>
                </c:pt>
                <c:pt idx="17">
                  <c:v>36.52376218955289</c:v>
                </c:pt>
                <c:pt idx="18">
                  <c:v>34.770896377953044</c:v>
                </c:pt>
                <c:pt idx="19">
                  <c:v>33.280512794005112</c:v>
                </c:pt>
                <c:pt idx="20">
                  <c:v>31.204321328579795</c:v>
                </c:pt>
                <c:pt idx="21">
                  <c:v>30.952281865216293</c:v>
                </c:pt>
                <c:pt idx="22">
                  <c:v>30.649684288230084</c:v>
                </c:pt>
                <c:pt idx="23">
                  <c:v>29.749354147004802</c:v>
                </c:pt>
                <c:pt idx="24">
                  <c:v>27.291685015084575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FE-4C3A-9086-E64D34FE6DDE}"/>
            </c:ext>
          </c:extLst>
        </c:ser>
        <c:ser>
          <c:idx val="0"/>
          <c:order val="2"/>
          <c:tx>
            <c:strRef>
              <c:f>'Summary-Peak Hour'!$B$77</c:f>
              <c:strCache>
                <c:ptCount val="1"/>
                <c:pt idx="0">
                  <c:v>Appliances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'Summary-Peak Hour'!$C$56:$AA$56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Hour'!$C$77:$AA$77</c:f>
              <c:numCache>
                <c:formatCode>_(* #,##0_);_(* \(#,##0\);_(* "-"??_);_(@_)</c:formatCode>
                <c:ptCount val="25"/>
                <c:pt idx="0">
                  <c:v>4.8581229659149525E-4</c:v>
                </c:pt>
                <c:pt idx="1">
                  <c:v>5.9730792048616173E-4</c:v>
                </c:pt>
                <c:pt idx="2">
                  <c:v>1.3488597125006216E-3</c:v>
                </c:pt>
                <c:pt idx="3">
                  <c:v>2.5439245792008638E-3</c:v>
                </c:pt>
                <c:pt idx="4">
                  <c:v>4.3325843410113264E-3</c:v>
                </c:pt>
                <c:pt idx="5">
                  <c:v>6.8617373294595739E-3</c:v>
                </c:pt>
                <c:pt idx="6">
                  <c:v>1.0243750273502028E-2</c:v>
                </c:pt>
                <c:pt idx="7">
                  <c:v>1.4577715020662739E-2</c:v>
                </c:pt>
                <c:pt idx="8">
                  <c:v>1.9864809473612077E-2</c:v>
                </c:pt>
                <c:pt idx="9">
                  <c:v>2.6002283113983893E-2</c:v>
                </c:pt>
                <c:pt idx="10">
                  <c:v>3.2772242482229826E-2</c:v>
                </c:pt>
                <c:pt idx="11">
                  <c:v>3.983572708100358E-2</c:v>
                </c:pt>
                <c:pt idx="12">
                  <c:v>6.7506635876478066E-2</c:v>
                </c:pt>
                <c:pt idx="13">
                  <c:v>6.2887655712002666E-2</c:v>
                </c:pt>
                <c:pt idx="14">
                  <c:v>7.1412951409700193E-2</c:v>
                </c:pt>
                <c:pt idx="15">
                  <c:v>7.6608953241833574E-2</c:v>
                </c:pt>
                <c:pt idx="16">
                  <c:v>7.9604567011280686E-2</c:v>
                </c:pt>
                <c:pt idx="17">
                  <c:v>8.1007922746316838E-2</c:v>
                </c:pt>
                <c:pt idx="18">
                  <c:v>8.0591171710224618E-2</c:v>
                </c:pt>
                <c:pt idx="19">
                  <c:v>7.9675099183408718E-2</c:v>
                </c:pt>
                <c:pt idx="20">
                  <c:v>7.7632024012007167E-2</c:v>
                </c:pt>
                <c:pt idx="21">
                  <c:v>7.5175379930749658E-2</c:v>
                </c:pt>
                <c:pt idx="22">
                  <c:v>5.6954632448022305E-2</c:v>
                </c:pt>
                <c:pt idx="23">
                  <c:v>9.0947294337776121E-3</c:v>
                </c:pt>
                <c:pt idx="24">
                  <c:v>6.9833366461900153E-3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FE-4C3A-9086-E64D34FE6DDE}"/>
            </c:ext>
          </c:extLst>
        </c:ser>
        <c:ser>
          <c:idx val="3"/>
          <c:order val="3"/>
          <c:tx>
            <c:strRef>
              <c:f>'Summary-Peak Hour'!$B$80</c:f>
              <c:strCache>
                <c:ptCount val="1"/>
                <c:pt idx="0">
                  <c:v>Whole Building</c:v>
                </c:pt>
              </c:strCache>
            </c:strRef>
          </c:tx>
          <c:spPr>
            <a:solidFill>
              <a:schemeClr val="tx2"/>
            </a:solidFill>
            <a:ln w="25400">
              <a:noFill/>
            </a:ln>
            <a:effectLst/>
          </c:spPr>
          <c:cat>
            <c:numRef>
              <c:f>'Summary-Peak Hour'!$C$56:$AA$56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Hour'!$C$80:$AA$80</c:f>
              <c:numCache>
                <c:formatCode>_(* #,##0_);_(* \(#,##0\);_(* "-"??_);_(@_)</c:formatCode>
                <c:ptCount val="25"/>
                <c:pt idx="0">
                  <c:v>2.1681420988661615</c:v>
                </c:pt>
                <c:pt idx="1">
                  <c:v>3.9157231476446777</c:v>
                </c:pt>
                <c:pt idx="2">
                  <c:v>6.1997338561502255</c:v>
                </c:pt>
                <c:pt idx="3">
                  <c:v>8.8535840835259414</c:v>
                </c:pt>
                <c:pt idx="4">
                  <c:v>11.493193587424615</c:v>
                </c:pt>
                <c:pt idx="5">
                  <c:v>13.672250642843149</c:v>
                </c:pt>
                <c:pt idx="6">
                  <c:v>15.010472504132807</c:v>
                </c:pt>
                <c:pt idx="7">
                  <c:v>15.310170764481063</c:v>
                </c:pt>
                <c:pt idx="8">
                  <c:v>14.597587703940459</c:v>
                </c:pt>
                <c:pt idx="9">
                  <c:v>13.089985290064464</c:v>
                </c:pt>
                <c:pt idx="10">
                  <c:v>11.111887918364623</c:v>
                </c:pt>
                <c:pt idx="11">
                  <c:v>8.9959326353973523</c:v>
                </c:pt>
                <c:pt idx="12">
                  <c:v>7.0075130936681251</c:v>
                </c:pt>
                <c:pt idx="13">
                  <c:v>5.3091644064178984</c:v>
                </c:pt>
                <c:pt idx="14">
                  <c:v>1.9532073002277843</c:v>
                </c:pt>
                <c:pt idx="15">
                  <c:v>1.4951759449072828</c:v>
                </c:pt>
                <c:pt idx="16">
                  <c:v>1.346151914041626</c:v>
                </c:pt>
                <c:pt idx="17">
                  <c:v>1.2320461151478534</c:v>
                </c:pt>
                <c:pt idx="18">
                  <c:v>1.0228010581675457</c:v>
                </c:pt>
                <c:pt idx="19">
                  <c:v>0.93780605441237364</c:v>
                </c:pt>
                <c:pt idx="20">
                  <c:v>0.83918003227181448</c:v>
                </c:pt>
                <c:pt idx="21">
                  <c:v>0.73652734602241088</c:v>
                </c:pt>
                <c:pt idx="22">
                  <c:v>0.63364705265250743</c:v>
                </c:pt>
                <c:pt idx="23">
                  <c:v>0.53057631011881301</c:v>
                </c:pt>
                <c:pt idx="24">
                  <c:v>0.42735860697742989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FE-4C3A-9086-E64D34FE6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7961664"/>
        <c:axId val="1787962144"/>
      </c:areaChart>
      <c:catAx>
        <c:axId val="178796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7962144"/>
        <c:crosses val="autoZero"/>
        <c:auto val="1"/>
        <c:lblAlgn val="ctr"/>
        <c:lblOffset val="100"/>
        <c:tickLblSkip val="4"/>
        <c:noMultiLvlLbl val="0"/>
      </c:catAx>
      <c:valAx>
        <c:axId val="1787962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Peak Hour therms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7961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Commercial Cost-Effective Potential by End Use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1"/>
          <c:order val="0"/>
          <c:tx>
            <c:strRef>
              <c:f>'Summary-Peak Hour'!$B$84</c:f>
              <c:strCache>
                <c:ptCount val="1"/>
                <c:pt idx="0">
                  <c:v>HVAC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numRef>
              <c:f>'Summary-Peak Hour'!$C$75:$AA$75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Hour'!$C$84:$AA$84</c:f>
              <c:numCache>
                <c:formatCode>_(* #,##0_);_(* \(#,##0\);_(* "-"??_);_(@_)</c:formatCode>
                <c:ptCount val="25"/>
                <c:pt idx="0">
                  <c:v>78.157989059389692</c:v>
                </c:pt>
                <c:pt idx="1">
                  <c:v>63.109614325580011</c:v>
                </c:pt>
                <c:pt idx="2">
                  <c:v>60.268495638150711</c:v>
                </c:pt>
                <c:pt idx="3">
                  <c:v>59.613758217040612</c:v>
                </c:pt>
                <c:pt idx="4">
                  <c:v>67.744710293145943</c:v>
                </c:pt>
                <c:pt idx="5">
                  <c:v>88.933154869754475</c:v>
                </c:pt>
                <c:pt idx="6">
                  <c:v>113.77360623897263</c:v>
                </c:pt>
                <c:pt idx="7">
                  <c:v>139.84279272606824</c:v>
                </c:pt>
                <c:pt idx="8">
                  <c:v>165.23391792485091</c:v>
                </c:pt>
                <c:pt idx="9">
                  <c:v>187.6553824755317</c:v>
                </c:pt>
                <c:pt idx="10">
                  <c:v>204.69395267133979</c:v>
                </c:pt>
                <c:pt idx="11">
                  <c:v>214.16178591425228</c:v>
                </c:pt>
                <c:pt idx="12">
                  <c:v>214.54404585055607</c:v>
                </c:pt>
                <c:pt idx="13">
                  <c:v>206.38265657680341</c:v>
                </c:pt>
                <c:pt idx="14">
                  <c:v>190.24759616278681</c:v>
                </c:pt>
                <c:pt idx="15">
                  <c:v>161.8858074464122</c:v>
                </c:pt>
                <c:pt idx="16">
                  <c:v>137.51885531676237</c:v>
                </c:pt>
                <c:pt idx="17">
                  <c:v>120.34387487636759</c:v>
                </c:pt>
                <c:pt idx="18">
                  <c:v>94.502704907823528</c:v>
                </c:pt>
                <c:pt idx="19">
                  <c:v>90.786478431795132</c:v>
                </c:pt>
                <c:pt idx="20">
                  <c:v>91.519288474884576</c:v>
                </c:pt>
                <c:pt idx="21">
                  <c:v>91.397417556062706</c:v>
                </c:pt>
                <c:pt idx="22">
                  <c:v>92.133539480745043</c:v>
                </c:pt>
                <c:pt idx="23">
                  <c:v>91.604226284378626</c:v>
                </c:pt>
                <c:pt idx="24">
                  <c:v>50.135766932479733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45-4A0C-BBB0-D1EAD9D9F727}"/>
            </c:ext>
          </c:extLst>
        </c:ser>
        <c:ser>
          <c:idx val="2"/>
          <c:order val="1"/>
          <c:tx>
            <c:strRef>
              <c:f>'Summary-Peak Hour'!$B$85</c:f>
              <c:strCache>
                <c:ptCount val="1"/>
                <c:pt idx="0">
                  <c:v>Water Heat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cat>
            <c:numRef>
              <c:f>'Summary-Peak Hour'!$C$75:$AA$75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Hour'!$C$85:$AA$85</c:f>
              <c:numCache>
                <c:formatCode>_(* #,##0_);_(* \(#,##0\);_(* "-"??_);_(@_)</c:formatCode>
                <c:ptCount val="25"/>
                <c:pt idx="0">
                  <c:v>0.33142945286731545</c:v>
                </c:pt>
                <c:pt idx="1">
                  <c:v>0.67160587465028709</c:v>
                </c:pt>
                <c:pt idx="2">
                  <c:v>1.1991506842966624</c:v>
                </c:pt>
                <c:pt idx="3">
                  <c:v>1.9338233143178549</c:v>
                </c:pt>
                <c:pt idx="4">
                  <c:v>2.8932496971619486</c:v>
                </c:pt>
                <c:pt idx="5">
                  <c:v>4.0597916644988779</c:v>
                </c:pt>
                <c:pt idx="6">
                  <c:v>5.3887280646502553</c:v>
                </c:pt>
                <c:pt idx="7">
                  <c:v>6.8123819549610447</c:v>
                </c:pt>
                <c:pt idx="8">
                  <c:v>8.2465463363655758</c:v>
                </c:pt>
                <c:pt idx="9">
                  <c:v>9.5978499396537238</c:v>
                </c:pt>
                <c:pt idx="10">
                  <c:v>10.772215648178005</c:v>
                </c:pt>
                <c:pt idx="11">
                  <c:v>11.68560081141397</c:v>
                </c:pt>
                <c:pt idx="12">
                  <c:v>12.277547282094908</c:v>
                </c:pt>
                <c:pt idx="13">
                  <c:v>12.525536000332524</c:v>
                </c:pt>
                <c:pt idx="14">
                  <c:v>12.455041469539927</c:v>
                </c:pt>
                <c:pt idx="15">
                  <c:v>12.608728476260223</c:v>
                </c:pt>
                <c:pt idx="16">
                  <c:v>12.243009328607968</c:v>
                </c:pt>
                <c:pt idx="17">
                  <c:v>11.537874671943964</c:v>
                </c:pt>
                <c:pt idx="18">
                  <c:v>10.653893873490819</c:v>
                </c:pt>
                <c:pt idx="19">
                  <c:v>10.535745000164232</c:v>
                </c:pt>
                <c:pt idx="20">
                  <c:v>10.340468056814517</c:v>
                </c:pt>
                <c:pt idx="21">
                  <c:v>7.6669279017324339</c:v>
                </c:pt>
                <c:pt idx="22">
                  <c:v>5.6465532832140362</c:v>
                </c:pt>
                <c:pt idx="23">
                  <c:v>4.7793012133394654</c:v>
                </c:pt>
                <c:pt idx="24">
                  <c:v>2.6970523540913258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45-4A0C-BBB0-D1EAD9D9F727}"/>
            </c:ext>
          </c:extLst>
        </c:ser>
        <c:ser>
          <c:idx val="0"/>
          <c:order val="2"/>
          <c:tx>
            <c:strRef>
              <c:f>'Summary-Peak Hour'!$B$82</c:f>
              <c:strCache>
                <c:ptCount val="1"/>
                <c:pt idx="0">
                  <c:v>Appliances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'Summary-Peak Hour'!$C$75:$AA$75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Hour'!$C$82:$AA$82</c:f>
              <c:numCache>
                <c:formatCode>_(* #,##0_);_(* \(#,##0\);_(* "-"??_);_(@_)</c:formatCode>
                <c:ptCount val="25"/>
                <c:pt idx="0">
                  <c:v>1.3444283410763578</c:v>
                </c:pt>
                <c:pt idx="1">
                  <c:v>2.2731297138701407</c:v>
                </c:pt>
                <c:pt idx="2">
                  <c:v>3.6535442777812821</c:v>
                </c:pt>
                <c:pt idx="3">
                  <c:v>5.6071843244585278</c:v>
                </c:pt>
                <c:pt idx="4">
                  <c:v>8.0670863126064916</c:v>
                </c:pt>
                <c:pt idx="5">
                  <c:v>10.94463570332484</c:v>
                </c:pt>
                <c:pt idx="6">
                  <c:v>14.100687843830023</c:v>
                </c:pt>
                <c:pt idx="7">
                  <c:v>17.387781606533363</c:v>
                </c:pt>
                <c:pt idx="8">
                  <c:v>20.657567421694324</c:v>
                </c:pt>
                <c:pt idx="9">
                  <c:v>23.660139076089806</c:v>
                </c:pt>
                <c:pt idx="10">
                  <c:v>26.54011561625699</c:v>
                </c:pt>
                <c:pt idx="11">
                  <c:v>29.361293374446806</c:v>
                </c:pt>
                <c:pt idx="12">
                  <c:v>35.429993460601743</c:v>
                </c:pt>
                <c:pt idx="13">
                  <c:v>40.135402330269962</c:v>
                </c:pt>
                <c:pt idx="14">
                  <c:v>41.887657913564993</c:v>
                </c:pt>
                <c:pt idx="15">
                  <c:v>43.025085249353609</c:v>
                </c:pt>
                <c:pt idx="16">
                  <c:v>43.57503797321467</c:v>
                </c:pt>
                <c:pt idx="17">
                  <c:v>40.244594081330796</c:v>
                </c:pt>
                <c:pt idx="18">
                  <c:v>27.835084792910578</c:v>
                </c:pt>
                <c:pt idx="19">
                  <c:v>25.171730318416369</c:v>
                </c:pt>
                <c:pt idx="20">
                  <c:v>24.491428447674892</c:v>
                </c:pt>
                <c:pt idx="21">
                  <c:v>23.721738341414152</c:v>
                </c:pt>
                <c:pt idx="22">
                  <c:v>14.630223475597393</c:v>
                </c:pt>
                <c:pt idx="23">
                  <c:v>10.597700037644776</c:v>
                </c:pt>
                <c:pt idx="24">
                  <c:v>10.130852685377176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45-4A0C-BBB0-D1EAD9D9F727}"/>
            </c:ext>
          </c:extLst>
        </c:ser>
        <c:ser>
          <c:idx val="3"/>
          <c:order val="3"/>
          <c:tx>
            <c:strRef>
              <c:f>'Summary-Peak Hour'!$B$83</c:f>
              <c:strCache>
                <c:ptCount val="1"/>
                <c:pt idx="0">
                  <c:v>Whole Building</c:v>
                </c:pt>
              </c:strCache>
            </c:strRef>
          </c:tx>
          <c:spPr>
            <a:solidFill>
              <a:schemeClr val="tx2"/>
            </a:solidFill>
            <a:ln w="25400">
              <a:noFill/>
            </a:ln>
            <a:effectLst/>
          </c:spPr>
          <c:cat>
            <c:numRef>
              <c:f>'Summary-Peak Hour'!$C$75:$AA$75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Hour'!$C$83:$AA$83</c:f>
              <c:numCache>
                <c:formatCode>_(* #,##0_);_(* \(#,##0\);_(* "-"??_);_(@_)</c:formatCode>
                <c:ptCount val="25"/>
                <c:pt idx="0">
                  <c:v>116.45551884008962</c:v>
                </c:pt>
                <c:pt idx="1">
                  <c:v>134.58330513316295</c:v>
                </c:pt>
                <c:pt idx="2">
                  <c:v>152.82501429193425</c:v>
                </c:pt>
                <c:pt idx="3">
                  <c:v>177.87514262730502</c:v>
                </c:pt>
                <c:pt idx="4">
                  <c:v>194.26366862766031</c:v>
                </c:pt>
                <c:pt idx="5">
                  <c:v>197.57201534453301</c:v>
                </c:pt>
                <c:pt idx="6">
                  <c:v>185.36119305146357</c:v>
                </c:pt>
                <c:pt idx="7">
                  <c:v>158.62685291027719</c:v>
                </c:pt>
                <c:pt idx="8">
                  <c:v>108.04119439904203</c:v>
                </c:pt>
                <c:pt idx="9">
                  <c:v>43.872222252319489</c:v>
                </c:pt>
                <c:pt idx="10">
                  <c:v>3.0828813540467626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D45-4A0C-BBB0-D1EAD9D9F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7961664"/>
        <c:axId val="1787962144"/>
      </c:areaChart>
      <c:catAx>
        <c:axId val="178796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7962144"/>
        <c:crosses val="autoZero"/>
        <c:auto val="1"/>
        <c:lblAlgn val="ctr"/>
        <c:lblOffset val="100"/>
        <c:tickLblSkip val="4"/>
        <c:noMultiLvlLbl val="0"/>
      </c:catAx>
      <c:valAx>
        <c:axId val="1787962144"/>
        <c:scaling>
          <c:orientation val="minMax"/>
          <c:max val="1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7961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Industrial Cost-Effective Potential by End Use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1"/>
          <c:order val="0"/>
          <c:tx>
            <c:strRef>
              <c:f>'Summary-Peak Hour'!$B$87</c:f>
              <c:strCache>
                <c:ptCount val="1"/>
                <c:pt idx="0">
                  <c:v>HVAC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numRef>
              <c:f>'Summary-Peak Hour'!$C$56:$AA$56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Hour'!$C$87:$AA$87</c:f>
              <c:numCache>
                <c:formatCode>_(* #,##0_);_(* \(#,##0\);_(* "-"??_);_(@_)</c:formatCode>
                <c:ptCount val="25"/>
                <c:pt idx="0">
                  <c:v>9.3380237513828472</c:v>
                </c:pt>
                <c:pt idx="1">
                  <c:v>18.221198132235319</c:v>
                </c:pt>
                <c:pt idx="2">
                  <c:v>31.771688474540497</c:v>
                </c:pt>
                <c:pt idx="3">
                  <c:v>50.920971201953726</c:v>
                </c:pt>
                <c:pt idx="4">
                  <c:v>76.304160190378042</c:v>
                </c:pt>
                <c:pt idx="5">
                  <c:v>108.02393426853993</c:v>
                </c:pt>
                <c:pt idx="6">
                  <c:v>145.37395832436928</c:v>
                </c:pt>
                <c:pt idx="7">
                  <c:v>186.57166081296293</c:v>
                </c:pt>
                <c:pt idx="8">
                  <c:v>228.59061666350323</c:v>
                </c:pt>
                <c:pt idx="9">
                  <c:v>267.2170175495969</c:v>
                </c:pt>
                <c:pt idx="10">
                  <c:v>297.45753042117082</c:v>
                </c:pt>
                <c:pt idx="11">
                  <c:v>314.36541096067066</c:v>
                </c:pt>
                <c:pt idx="12">
                  <c:v>314.20801605612655</c:v>
                </c:pt>
                <c:pt idx="13">
                  <c:v>295.76591867076979</c:v>
                </c:pt>
                <c:pt idx="14">
                  <c:v>258.24032794807471</c:v>
                </c:pt>
                <c:pt idx="15">
                  <c:v>215.51325117588055</c:v>
                </c:pt>
                <c:pt idx="16">
                  <c:v>91.558590201452574</c:v>
                </c:pt>
                <c:pt idx="17">
                  <c:v>21.350477567294924</c:v>
                </c:pt>
                <c:pt idx="18">
                  <c:v>21.271961905845075</c:v>
                </c:pt>
                <c:pt idx="19">
                  <c:v>21.108950804134203</c:v>
                </c:pt>
                <c:pt idx="20">
                  <c:v>20.946428409823927</c:v>
                </c:pt>
                <c:pt idx="21">
                  <c:v>20.784905810685007</c:v>
                </c:pt>
                <c:pt idx="22">
                  <c:v>20.624628786802525</c:v>
                </c:pt>
                <c:pt idx="23">
                  <c:v>20.465587732649333</c:v>
                </c:pt>
                <c:pt idx="24">
                  <c:v>20.307773116776129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AA-4F19-93E4-CE8F013130BD}"/>
            </c:ext>
          </c:extLst>
        </c:ser>
        <c:ser>
          <c:idx val="2"/>
          <c:order val="1"/>
          <c:tx>
            <c:strRef>
              <c:f>'Summary-Peak Hour'!$B$89</c:f>
              <c:strCache>
                <c:ptCount val="1"/>
                <c:pt idx="0">
                  <c:v>Water Heat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cat>
            <c:numRef>
              <c:f>'Summary-Peak Hour'!$C$56:$AA$56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Hour'!$C$89:$AA$89</c:f>
              <c:numCache>
                <c:formatCode>_(* #,##0_);_(* \(#,##0\);_(* "-"??_);_(@_)</c:formatCode>
                <c:ptCount val="25"/>
                <c:pt idx="0">
                  <c:v>5.8448567282040509E-2</c:v>
                </c:pt>
                <c:pt idx="1">
                  <c:v>0.10913240185474386</c:v>
                </c:pt>
                <c:pt idx="2">
                  <c:v>0.26334935222821071</c:v>
                </c:pt>
                <c:pt idx="3">
                  <c:v>0.43904807669960516</c:v>
                </c:pt>
                <c:pt idx="4">
                  <c:v>0.68623511854759445</c:v>
                </c:pt>
                <c:pt idx="5">
                  <c:v>1.0171332900133572</c:v>
                </c:pt>
                <c:pt idx="6">
                  <c:v>1.4397938921449271</c:v>
                </c:pt>
                <c:pt idx="7">
                  <c:v>1.9553683153568344</c:v>
                </c:pt>
                <c:pt idx="8">
                  <c:v>2.5555594085630409</c:v>
                </c:pt>
                <c:pt idx="9">
                  <c:v>3.2210049391156557</c:v>
                </c:pt>
                <c:pt idx="10">
                  <c:v>3.9214553735191711</c:v>
                </c:pt>
                <c:pt idx="11">
                  <c:v>4.6184173009430927</c:v>
                </c:pt>
                <c:pt idx="12">
                  <c:v>5.2703424731302055</c:v>
                </c:pt>
                <c:pt idx="13">
                  <c:v>5.8395286689769481</c:v>
                </c:pt>
                <c:pt idx="14">
                  <c:v>6.2989901131563286</c:v>
                </c:pt>
                <c:pt idx="15">
                  <c:v>6.6453001593030701</c:v>
                </c:pt>
                <c:pt idx="16">
                  <c:v>6.864184682437994</c:v>
                </c:pt>
                <c:pt idx="17">
                  <c:v>7.0117473108201454</c:v>
                </c:pt>
                <c:pt idx="18">
                  <c:v>7.0519041459921734</c:v>
                </c:pt>
                <c:pt idx="19">
                  <c:v>7.0627085199322117</c:v>
                </c:pt>
                <c:pt idx="20">
                  <c:v>7.0244109364742204</c:v>
                </c:pt>
                <c:pt idx="21">
                  <c:v>6.9702367720638057</c:v>
                </c:pt>
                <c:pt idx="22">
                  <c:v>6.9164804314165726</c:v>
                </c:pt>
                <c:pt idx="23">
                  <c:v>6.863138691873897</c:v>
                </c:pt>
                <c:pt idx="24">
                  <c:v>6.8102083556346624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AA-4F19-93E4-CE8F013130BD}"/>
            </c:ext>
          </c:extLst>
        </c:ser>
        <c:ser>
          <c:idx val="0"/>
          <c:order val="2"/>
          <c:tx>
            <c:strRef>
              <c:f>'Summary-Peak Hour'!$B$88</c:f>
              <c:strCache>
                <c:ptCount val="1"/>
                <c:pt idx="0">
                  <c:v>Process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'Summary-Peak Hour'!$C$56:$AA$56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Hour'!$C$88:$AA$88</c:f>
              <c:numCache>
                <c:formatCode>_(* #,##0_);_(* \(#,##0\);_(* "-"??_);_(@_)</c:formatCode>
                <c:ptCount val="25"/>
                <c:pt idx="0">
                  <c:v>1.285796858137326</c:v>
                </c:pt>
                <c:pt idx="1">
                  <c:v>2.3511292875254139</c:v>
                </c:pt>
                <c:pt idx="2">
                  <c:v>3.9197174569332485</c:v>
                </c:pt>
                <c:pt idx="3">
                  <c:v>6.0737974504995096</c:v>
                </c:pt>
                <c:pt idx="4">
                  <c:v>8.8566617735135509</c:v>
                </c:pt>
                <c:pt idx="5">
                  <c:v>12.247708739356669</c:v>
                </c:pt>
                <c:pt idx="6">
                  <c:v>16.135392111574532</c:v>
                </c:pt>
                <c:pt idx="7">
                  <c:v>20.294438572097452</c:v>
                </c:pt>
                <c:pt idx="8">
                  <c:v>24.377362759137942</c:v>
                </c:pt>
                <c:pt idx="9">
                  <c:v>27.932472126085852</c:v>
                </c:pt>
                <c:pt idx="10">
                  <c:v>30.45860338670807</c:v>
                </c:pt>
                <c:pt idx="11">
                  <c:v>31.49821209315505</c:v>
                </c:pt>
                <c:pt idx="12">
                  <c:v>30.75468701048343</c:v>
                </c:pt>
                <c:pt idx="13">
                  <c:v>28.258157599872074</c:v>
                </c:pt>
                <c:pt idx="14">
                  <c:v>22.124658172141498</c:v>
                </c:pt>
                <c:pt idx="15">
                  <c:v>17.622031847690952</c:v>
                </c:pt>
                <c:pt idx="16">
                  <c:v>6.3735561262727565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AA-4F19-93E4-CE8F013130BD}"/>
            </c:ext>
          </c:extLst>
        </c:ser>
        <c:ser>
          <c:idx val="3"/>
          <c:order val="3"/>
          <c:tx>
            <c:strRef>
              <c:f>'Summary-Peak Hour'!$B$90</c:f>
              <c:strCache>
                <c:ptCount val="1"/>
                <c:pt idx="0">
                  <c:v>Whole Building</c:v>
                </c:pt>
              </c:strCache>
            </c:strRef>
          </c:tx>
          <c:spPr>
            <a:solidFill>
              <a:schemeClr val="tx2"/>
            </a:solidFill>
            <a:ln w="25400">
              <a:noFill/>
            </a:ln>
            <a:effectLst/>
          </c:spPr>
          <c:cat>
            <c:numRef>
              <c:f>'Summary-Peak Hour'!$C$56:$AA$56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'Summary-Peak Hour'!$C$90:$AA$90</c:f>
              <c:numCache>
                <c:formatCode>_(* #,##0_);_(* \(#,##0\);_(* "-"??_);_(@_)</c:formatCode>
                <c:ptCount val="25"/>
                <c:pt idx="0">
                  <c:v>0.31164792854585416</c:v>
                </c:pt>
                <c:pt idx="1">
                  <c:v>0.50302893467415144</c:v>
                </c:pt>
                <c:pt idx="2">
                  <c:v>0.75763989770306783</c:v>
                </c:pt>
                <c:pt idx="3">
                  <c:v>1.0767347129278526</c:v>
                </c:pt>
                <c:pt idx="4">
                  <c:v>1.4533605643111933</c:v>
                </c:pt>
                <c:pt idx="5">
                  <c:v>1.8695515725515062</c:v>
                </c:pt>
                <c:pt idx="6">
                  <c:v>2.2944822346945077</c:v>
                </c:pt>
                <c:pt idx="7">
                  <c:v>2.6848749561075871</c:v>
                </c:pt>
                <c:pt idx="8">
                  <c:v>2.9890269453807043</c:v>
                </c:pt>
                <c:pt idx="9">
                  <c:v>3.1552419490737869</c:v>
                </c:pt>
                <c:pt idx="10">
                  <c:v>3.1439822221625109</c:v>
                </c:pt>
                <c:pt idx="11">
                  <c:v>2.9408793749582856</c:v>
                </c:pt>
                <c:pt idx="12">
                  <c:v>2.5657518132882915</c:v>
                </c:pt>
                <c:pt idx="13">
                  <c:v>2.1054863034428632</c:v>
                </c:pt>
                <c:pt idx="14">
                  <c:v>0.37608614337241686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AA-4F19-93E4-CE8F01313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7961664"/>
        <c:axId val="1787962144"/>
      </c:areaChart>
      <c:catAx>
        <c:axId val="178796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7962144"/>
        <c:crosses val="autoZero"/>
        <c:auto val="1"/>
        <c:lblAlgn val="ctr"/>
        <c:lblOffset val="100"/>
        <c:tickLblSkip val="4"/>
        <c:noMultiLvlLbl val="0"/>
      </c:catAx>
      <c:valAx>
        <c:axId val="1787962144"/>
        <c:scaling>
          <c:orientation val="minMax"/>
          <c:max val="1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7961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Supply Curve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Net TRC Levelized Cost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'Supply Curve'!$N$4:$N$330</c:f>
              <c:numCache>
                <c:formatCode>"$"#,##0.00</c:formatCode>
                <c:ptCount val="327"/>
                <c:pt idx="0">
                  <c:v>-74.800242939593787</c:v>
                </c:pt>
                <c:pt idx="1">
                  <c:v>-12.417746747424896</c:v>
                </c:pt>
                <c:pt idx="2">
                  <c:v>-12.417746747424893</c:v>
                </c:pt>
                <c:pt idx="3">
                  <c:v>-12.417746747424893</c:v>
                </c:pt>
                <c:pt idx="4">
                  <c:v>-12.417746747424893</c:v>
                </c:pt>
                <c:pt idx="5">
                  <c:v>-12.417746747424893</c:v>
                </c:pt>
                <c:pt idx="6">
                  <c:v>-12.417746747424893</c:v>
                </c:pt>
                <c:pt idx="7">
                  <c:v>-12.417746747424893</c:v>
                </c:pt>
                <c:pt idx="8">
                  <c:v>-12.417746747424887</c:v>
                </c:pt>
                <c:pt idx="9">
                  <c:v>-12.417746747424886</c:v>
                </c:pt>
                <c:pt idx="10">
                  <c:v>-12.417746747424886</c:v>
                </c:pt>
                <c:pt idx="11">
                  <c:v>-12.417746747424884</c:v>
                </c:pt>
                <c:pt idx="12">
                  <c:v>-10.954809796076024</c:v>
                </c:pt>
                <c:pt idx="13">
                  <c:v>-5.8259972515793415</c:v>
                </c:pt>
                <c:pt idx="14">
                  <c:v>-4.6386228285855591</c:v>
                </c:pt>
                <c:pt idx="15">
                  <c:v>-4.2176825861077756</c:v>
                </c:pt>
                <c:pt idx="16">
                  <c:v>-4.2176825861077756</c:v>
                </c:pt>
                <c:pt idx="17">
                  <c:v>-2.9939407192181542</c:v>
                </c:pt>
                <c:pt idx="18">
                  <c:v>-2.4521156710348886</c:v>
                </c:pt>
                <c:pt idx="19">
                  <c:v>-2.4521156710348886</c:v>
                </c:pt>
                <c:pt idx="20">
                  <c:v>-2.4233962837795024</c:v>
                </c:pt>
                <c:pt idx="21">
                  <c:v>-2.419289187851335</c:v>
                </c:pt>
                <c:pt idx="22">
                  <c:v>-2.3861665887837624</c:v>
                </c:pt>
                <c:pt idx="23">
                  <c:v>-2.3861665887837624</c:v>
                </c:pt>
                <c:pt idx="24">
                  <c:v>-2.2239257747150929</c:v>
                </c:pt>
                <c:pt idx="25">
                  <c:v>-2.2239257747150929</c:v>
                </c:pt>
                <c:pt idx="26">
                  <c:v>-2.1462333666955802</c:v>
                </c:pt>
                <c:pt idx="27">
                  <c:v>-2.1462333666955802</c:v>
                </c:pt>
                <c:pt idx="28">
                  <c:v>-2.1339466048744784</c:v>
                </c:pt>
                <c:pt idx="29">
                  <c:v>-2.0305204206127274</c:v>
                </c:pt>
                <c:pt idx="30">
                  <c:v>-2.0227495107528393</c:v>
                </c:pt>
                <c:pt idx="31">
                  <c:v>-2.0202731874183506</c:v>
                </c:pt>
                <c:pt idx="32">
                  <c:v>-2.0193742854541559</c:v>
                </c:pt>
                <c:pt idx="33">
                  <c:v>-2.0131550286721267</c:v>
                </c:pt>
                <c:pt idx="34">
                  <c:v>-2.0131550286721267</c:v>
                </c:pt>
                <c:pt idx="35">
                  <c:v>-2.0071271053248574</c:v>
                </c:pt>
                <c:pt idx="36">
                  <c:v>-2.0071271053248574</c:v>
                </c:pt>
                <c:pt idx="37">
                  <c:v>-2.004166800695204</c:v>
                </c:pt>
                <c:pt idx="38">
                  <c:v>-2.004166800695204</c:v>
                </c:pt>
                <c:pt idx="39">
                  <c:v>-1.9977821848254711</c:v>
                </c:pt>
                <c:pt idx="40">
                  <c:v>-1.9977821848254711</c:v>
                </c:pt>
                <c:pt idx="41">
                  <c:v>-1.9973891453265649</c:v>
                </c:pt>
                <c:pt idx="42">
                  <c:v>-1.9868845531200463</c:v>
                </c:pt>
                <c:pt idx="43">
                  <c:v>-1.984349841954884</c:v>
                </c:pt>
                <c:pt idx="44">
                  <c:v>-1.984349841954884</c:v>
                </c:pt>
                <c:pt idx="45">
                  <c:v>-1.9826031070438808</c:v>
                </c:pt>
                <c:pt idx="46">
                  <c:v>-1.9563441520871856</c:v>
                </c:pt>
                <c:pt idx="47">
                  <c:v>-1.9563441520871856</c:v>
                </c:pt>
                <c:pt idx="48">
                  <c:v>-1.9048534768386352</c:v>
                </c:pt>
                <c:pt idx="49">
                  <c:v>-1.9034258936939203</c:v>
                </c:pt>
                <c:pt idx="50">
                  <c:v>-1.9034258936939177</c:v>
                </c:pt>
                <c:pt idx="51">
                  <c:v>-1.9034258936939168</c:v>
                </c:pt>
                <c:pt idx="52">
                  <c:v>-1.9034258936939168</c:v>
                </c:pt>
                <c:pt idx="53">
                  <c:v>-1.9034258936939159</c:v>
                </c:pt>
                <c:pt idx="54">
                  <c:v>-1.8862935958635241</c:v>
                </c:pt>
                <c:pt idx="55">
                  <c:v>-1.8781339009530855</c:v>
                </c:pt>
                <c:pt idx="56">
                  <c:v>-1.8720646301964523</c:v>
                </c:pt>
                <c:pt idx="57">
                  <c:v>-1.8033881638395048</c:v>
                </c:pt>
                <c:pt idx="58">
                  <c:v>-1.7967922822783473</c:v>
                </c:pt>
                <c:pt idx="59">
                  <c:v>-1.7967922822783473</c:v>
                </c:pt>
                <c:pt idx="60">
                  <c:v>-1.7705282647850258</c:v>
                </c:pt>
                <c:pt idx="61">
                  <c:v>-1.7705282647850258</c:v>
                </c:pt>
                <c:pt idx="62">
                  <c:v>-1.7614983797832529</c:v>
                </c:pt>
                <c:pt idx="63">
                  <c:v>-1.7614983797832529</c:v>
                </c:pt>
                <c:pt idx="64">
                  <c:v>-1.6880764755566879</c:v>
                </c:pt>
                <c:pt idx="65">
                  <c:v>-1.6880764755566879</c:v>
                </c:pt>
                <c:pt idx="66">
                  <c:v>-1.6783636673275446</c:v>
                </c:pt>
                <c:pt idx="67">
                  <c:v>-1.663616816755924</c:v>
                </c:pt>
                <c:pt idx="68">
                  <c:v>-1.6610612193350758</c:v>
                </c:pt>
                <c:pt idx="69">
                  <c:v>-1.6498768461339095</c:v>
                </c:pt>
                <c:pt idx="70">
                  <c:v>-1.6498768461339095</c:v>
                </c:pt>
                <c:pt idx="71">
                  <c:v>-1.6353884600453192</c:v>
                </c:pt>
                <c:pt idx="72">
                  <c:v>-1.6353884600453192</c:v>
                </c:pt>
                <c:pt idx="73">
                  <c:v>-1.6353884600453192</c:v>
                </c:pt>
                <c:pt idx="74">
                  <c:v>-1.6353884600453179</c:v>
                </c:pt>
                <c:pt idx="75">
                  <c:v>-1.5991162222161577</c:v>
                </c:pt>
                <c:pt idx="76">
                  <c:v>-1.5885651785496615</c:v>
                </c:pt>
                <c:pt idx="77">
                  <c:v>-1.584987198022715</c:v>
                </c:pt>
                <c:pt idx="78">
                  <c:v>-1.584987198022715</c:v>
                </c:pt>
                <c:pt idx="79">
                  <c:v>-1.5595670473974299</c:v>
                </c:pt>
                <c:pt idx="80">
                  <c:v>-1.5023279778075442</c:v>
                </c:pt>
                <c:pt idx="81">
                  <c:v>-1.5023279778075442</c:v>
                </c:pt>
                <c:pt idx="82">
                  <c:v>-1.4789321877336017</c:v>
                </c:pt>
                <c:pt idx="83">
                  <c:v>-1.4789321877336017</c:v>
                </c:pt>
                <c:pt idx="84">
                  <c:v>-1.4152039125174969</c:v>
                </c:pt>
                <c:pt idx="85">
                  <c:v>-1.4152039125174969</c:v>
                </c:pt>
                <c:pt idx="86">
                  <c:v>-1.4126267988180841</c:v>
                </c:pt>
                <c:pt idx="87">
                  <c:v>-1.4126267988180818</c:v>
                </c:pt>
                <c:pt idx="88">
                  <c:v>-1.4126267988180814</c:v>
                </c:pt>
                <c:pt idx="89">
                  <c:v>-1.412626798818081</c:v>
                </c:pt>
                <c:pt idx="90">
                  <c:v>-1.412626798818081</c:v>
                </c:pt>
                <c:pt idx="91">
                  <c:v>-1.3967912097249016</c:v>
                </c:pt>
                <c:pt idx="92">
                  <c:v>-1.3808313679047273</c:v>
                </c:pt>
                <c:pt idx="93">
                  <c:v>-1.3808313679047273</c:v>
                </c:pt>
                <c:pt idx="94">
                  <c:v>-1.3757745673941897</c:v>
                </c:pt>
                <c:pt idx="95">
                  <c:v>-1.3633570527640948</c:v>
                </c:pt>
                <c:pt idx="96">
                  <c:v>-1.3633570527640948</c:v>
                </c:pt>
                <c:pt idx="97">
                  <c:v>-1.358533704083926</c:v>
                </c:pt>
                <c:pt idx="98">
                  <c:v>-1.3196045040170097</c:v>
                </c:pt>
                <c:pt idx="99">
                  <c:v>-1.3196045040170097</c:v>
                </c:pt>
                <c:pt idx="100">
                  <c:v>-1.316001647904363</c:v>
                </c:pt>
                <c:pt idx="101">
                  <c:v>-1.294529871073506</c:v>
                </c:pt>
                <c:pt idx="102">
                  <c:v>-1.2870853928308228</c:v>
                </c:pt>
                <c:pt idx="103">
                  <c:v>-1.2870808413903396</c:v>
                </c:pt>
                <c:pt idx="104">
                  <c:v>-1.2870124233221063</c:v>
                </c:pt>
                <c:pt idx="105">
                  <c:v>-1.2779614084288315</c:v>
                </c:pt>
                <c:pt idx="106">
                  <c:v>-1.1767139597520102</c:v>
                </c:pt>
                <c:pt idx="107">
                  <c:v>-1.1767139597520102</c:v>
                </c:pt>
                <c:pt idx="108">
                  <c:v>-1.16169772439717</c:v>
                </c:pt>
                <c:pt idx="109">
                  <c:v>-1.16169772439717</c:v>
                </c:pt>
                <c:pt idx="110">
                  <c:v>-1.1565307758200241</c:v>
                </c:pt>
                <c:pt idx="111">
                  <c:v>-1.1565307758200241</c:v>
                </c:pt>
                <c:pt idx="112">
                  <c:v>-1.1155084905636294</c:v>
                </c:pt>
                <c:pt idx="113">
                  <c:v>-1.0909408465043908</c:v>
                </c:pt>
                <c:pt idx="114">
                  <c:v>-1.064501844170566</c:v>
                </c:pt>
                <c:pt idx="115">
                  <c:v>-1.0589434871448775</c:v>
                </c:pt>
                <c:pt idx="116">
                  <c:v>-1.0544023849485795</c:v>
                </c:pt>
                <c:pt idx="117">
                  <c:v>-1.0515961444114803</c:v>
                </c:pt>
                <c:pt idx="118">
                  <c:v>-1.0218982000484012</c:v>
                </c:pt>
                <c:pt idx="119">
                  <c:v>-1.0218982000484012</c:v>
                </c:pt>
                <c:pt idx="120">
                  <c:v>-0.98917871968601667</c:v>
                </c:pt>
                <c:pt idx="121">
                  <c:v>-0.92322963743489139</c:v>
                </c:pt>
                <c:pt idx="122">
                  <c:v>-0.92006591684998851</c:v>
                </c:pt>
                <c:pt idx="123">
                  <c:v>-0.92006591684998851</c:v>
                </c:pt>
                <c:pt idx="124">
                  <c:v>-0.88213896288743165</c:v>
                </c:pt>
                <c:pt idx="125">
                  <c:v>-0.88213896288743165</c:v>
                </c:pt>
                <c:pt idx="126">
                  <c:v>-0.87478341436528484</c:v>
                </c:pt>
                <c:pt idx="127">
                  <c:v>-0.87451879801526411</c:v>
                </c:pt>
                <c:pt idx="128">
                  <c:v>-0.83964188629624992</c:v>
                </c:pt>
                <c:pt idx="129">
                  <c:v>-0.83964188629624992</c:v>
                </c:pt>
                <c:pt idx="130">
                  <c:v>-0.83080982062758046</c:v>
                </c:pt>
                <c:pt idx="131">
                  <c:v>-0.82613165992981141</c:v>
                </c:pt>
                <c:pt idx="132">
                  <c:v>-0.82611371143425327</c:v>
                </c:pt>
                <c:pt idx="133">
                  <c:v>-0.81470637820874159</c:v>
                </c:pt>
                <c:pt idx="134">
                  <c:v>-0.77948651728774332</c:v>
                </c:pt>
                <c:pt idx="135">
                  <c:v>-0.77948651728774332</c:v>
                </c:pt>
                <c:pt idx="136">
                  <c:v>-0.77752011669449606</c:v>
                </c:pt>
                <c:pt idx="137">
                  <c:v>-0.77595970828116723</c:v>
                </c:pt>
                <c:pt idx="138">
                  <c:v>-0.77595970828116723</c:v>
                </c:pt>
                <c:pt idx="139">
                  <c:v>-0.75648033687548133</c:v>
                </c:pt>
                <c:pt idx="140">
                  <c:v>-0.75648033687548133</c:v>
                </c:pt>
                <c:pt idx="141">
                  <c:v>-0.75262252118466844</c:v>
                </c:pt>
                <c:pt idx="142">
                  <c:v>-0.74748036655043748</c:v>
                </c:pt>
                <c:pt idx="143">
                  <c:v>-0.74659023207454367</c:v>
                </c:pt>
                <c:pt idx="144">
                  <c:v>-0.7456473449187514</c:v>
                </c:pt>
                <c:pt idx="145">
                  <c:v>-0.74454349524626096</c:v>
                </c:pt>
                <c:pt idx="146">
                  <c:v>-0.74213157254111406</c:v>
                </c:pt>
                <c:pt idx="147">
                  <c:v>-0.74213157254111406</c:v>
                </c:pt>
                <c:pt idx="148">
                  <c:v>-0.72038239017334771</c:v>
                </c:pt>
                <c:pt idx="149">
                  <c:v>-0.68880560164319704</c:v>
                </c:pt>
                <c:pt idx="150">
                  <c:v>-0.68880560164319704</c:v>
                </c:pt>
                <c:pt idx="151">
                  <c:v>-0.68329641534671282</c:v>
                </c:pt>
                <c:pt idx="152">
                  <c:v>-0.65050185742862832</c:v>
                </c:pt>
                <c:pt idx="153">
                  <c:v>-0.63571527425478014</c:v>
                </c:pt>
                <c:pt idx="154">
                  <c:v>-0.63100424586121473</c:v>
                </c:pt>
                <c:pt idx="155">
                  <c:v>-0.62137311888954427</c:v>
                </c:pt>
                <c:pt idx="156">
                  <c:v>-0.62137311888954427</c:v>
                </c:pt>
                <c:pt idx="157">
                  <c:v>-0.61665548152684757</c:v>
                </c:pt>
                <c:pt idx="158">
                  <c:v>-0.61394190043143382</c:v>
                </c:pt>
                <c:pt idx="159">
                  <c:v>-0.60414025211616262</c:v>
                </c:pt>
                <c:pt idx="160">
                  <c:v>-0.60414025211616262</c:v>
                </c:pt>
                <c:pt idx="161">
                  <c:v>-0.60380535681987313</c:v>
                </c:pt>
                <c:pt idx="162">
                  <c:v>-0.59619935801880586</c:v>
                </c:pt>
                <c:pt idx="163">
                  <c:v>-0.58986680859649776</c:v>
                </c:pt>
                <c:pt idx="164">
                  <c:v>-0.58986680859649776</c:v>
                </c:pt>
                <c:pt idx="165">
                  <c:v>-0.57900269369997159</c:v>
                </c:pt>
                <c:pt idx="166">
                  <c:v>-0.57900269369997159</c:v>
                </c:pt>
                <c:pt idx="167">
                  <c:v>-0.57457239540926608</c:v>
                </c:pt>
                <c:pt idx="168">
                  <c:v>-0.57457239540926608</c:v>
                </c:pt>
                <c:pt idx="169">
                  <c:v>-0.574311889298731</c:v>
                </c:pt>
                <c:pt idx="170">
                  <c:v>-0.574311889298731</c:v>
                </c:pt>
                <c:pt idx="171">
                  <c:v>-0.57316921040971502</c:v>
                </c:pt>
                <c:pt idx="172">
                  <c:v>-0.56360929242142277</c:v>
                </c:pt>
                <c:pt idx="173">
                  <c:v>-0.5558095120879909</c:v>
                </c:pt>
                <c:pt idx="174">
                  <c:v>-0.5558095120879909</c:v>
                </c:pt>
                <c:pt idx="175">
                  <c:v>-0.54419015397598791</c:v>
                </c:pt>
                <c:pt idx="176">
                  <c:v>-0.54122984934633578</c:v>
                </c:pt>
                <c:pt idx="177">
                  <c:v>-0.53252233435948138</c:v>
                </c:pt>
                <c:pt idx="178">
                  <c:v>-0.52141289060601304</c:v>
                </c:pt>
                <c:pt idx="179">
                  <c:v>-0.50471968428702207</c:v>
                </c:pt>
                <c:pt idx="180">
                  <c:v>-0.5018574295414473</c:v>
                </c:pt>
                <c:pt idx="181">
                  <c:v>-0.4934072007383169</c:v>
                </c:pt>
                <c:pt idx="182">
                  <c:v>-0.47866416110189608</c:v>
                </c:pt>
                <c:pt idx="183">
                  <c:v>-0.47397683594704287</c:v>
                </c:pt>
                <c:pt idx="184">
                  <c:v>-0.47052634267505622</c:v>
                </c:pt>
                <c:pt idx="185">
                  <c:v>-0.45352660268570494</c:v>
                </c:pt>
                <c:pt idx="186">
                  <c:v>-0.44883579828446457</c:v>
                </c:pt>
                <c:pt idx="187">
                  <c:v>-0.43309078277059071</c:v>
                </c:pt>
                <c:pt idx="188">
                  <c:v>-0.43136821392107066</c:v>
                </c:pt>
                <c:pt idx="189">
                  <c:v>-0.43033342107372458</c:v>
                </c:pt>
                <c:pt idx="190">
                  <c:v>-0.42363157097620913</c:v>
                </c:pt>
                <c:pt idx="191">
                  <c:v>-0.42363157097620913</c:v>
                </c:pt>
                <c:pt idx="192">
                  <c:v>-0.41470332290347733</c:v>
                </c:pt>
                <c:pt idx="193">
                  <c:v>-0.39445929554307774</c:v>
                </c:pt>
                <c:pt idx="194">
                  <c:v>-0.39445929554307774</c:v>
                </c:pt>
                <c:pt idx="195">
                  <c:v>-0.39270346508962162</c:v>
                </c:pt>
                <c:pt idx="196">
                  <c:v>-0.39270346508962162</c:v>
                </c:pt>
                <c:pt idx="197">
                  <c:v>-0.39232123746975334</c:v>
                </c:pt>
                <c:pt idx="198">
                  <c:v>-0.39143361450399961</c:v>
                </c:pt>
                <c:pt idx="199">
                  <c:v>-0.39143361450399961</c:v>
                </c:pt>
                <c:pt idx="200">
                  <c:v>-0.35075582285265838</c:v>
                </c:pt>
                <c:pt idx="201">
                  <c:v>-0.3434612543701927</c:v>
                </c:pt>
                <c:pt idx="202">
                  <c:v>-0.312476110582809</c:v>
                </c:pt>
                <c:pt idx="203">
                  <c:v>-0.30047011666954615</c:v>
                </c:pt>
                <c:pt idx="204">
                  <c:v>-0.29815547996194269</c:v>
                </c:pt>
                <c:pt idx="205">
                  <c:v>-0.29647398136297803</c:v>
                </c:pt>
                <c:pt idx="206">
                  <c:v>-0.28971783165162007</c:v>
                </c:pt>
                <c:pt idx="207">
                  <c:v>-0.26124582980080768</c:v>
                </c:pt>
                <c:pt idx="208">
                  <c:v>-0.24591934386764219</c:v>
                </c:pt>
                <c:pt idx="209">
                  <c:v>-0.2335376618596588</c:v>
                </c:pt>
                <c:pt idx="210">
                  <c:v>-0.22513952420782057</c:v>
                </c:pt>
                <c:pt idx="211">
                  <c:v>-0.177009527284818</c:v>
                </c:pt>
                <c:pt idx="212">
                  <c:v>-0.17696193753835973</c:v>
                </c:pt>
                <c:pt idx="213">
                  <c:v>-0.17245150869645037</c:v>
                </c:pt>
                <c:pt idx="214">
                  <c:v>-0.14324970019558894</c:v>
                </c:pt>
                <c:pt idx="215">
                  <c:v>-0.14324970019558894</c:v>
                </c:pt>
                <c:pt idx="216">
                  <c:v>-0.13956329883334065</c:v>
                </c:pt>
                <c:pt idx="217">
                  <c:v>-0.12205024667384824</c:v>
                </c:pt>
                <c:pt idx="218">
                  <c:v>-0.1208952283669998</c:v>
                </c:pt>
                <c:pt idx="219">
                  <c:v>-0.1208952283669998</c:v>
                </c:pt>
                <c:pt idx="220">
                  <c:v>-0.12035701680335814</c:v>
                </c:pt>
                <c:pt idx="221">
                  <c:v>-0.11733133576427998</c:v>
                </c:pt>
                <c:pt idx="222">
                  <c:v>-0.11304474947304376</c:v>
                </c:pt>
                <c:pt idx="223">
                  <c:v>-0.11304474947304376</c:v>
                </c:pt>
                <c:pt idx="224">
                  <c:v>-8.7370159319194146E-2</c:v>
                </c:pt>
                <c:pt idx="225">
                  <c:v>-7.0871986976393714E-2</c:v>
                </c:pt>
                <c:pt idx="226">
                  <c:v>-7.0854437090028394E-2</c:v>
                </c:pt>
                <c:pt idx="227">
                  <c:v>-6.086570555985079E-2</c:v>
                </c:pt>
                <c:pt idx="228">
                  <c:v>-3.9391026458677245E-2</c:v>
                </c:pt>
                <c:pt idx="229">
                  <c:v>-1.5995236384734907E-2</c:v>
                </c:pt>
                <c:pt idx="230">
                  <c:v>-1.1801302289501605E-2</c:v>
                </c:pt>
                <c:pt idx="231">
                  <c:v>1.2700298285369591E-2</c:v>
                </c:pt>
                <c:pt idx="232">
                  <c:v>1.2700298285369591E-2</c:v>
                </c:pt>
                <c:pt idx="233">
                  <c:v>1.3024461667565736E-2</c:v>
                </c:pt>
                <c:pt idx="234">
                  <c:v>3.4201124712622752E-2</c:v>
                </c:pt>
                <c:pt idx="235">
                  <c:v>4.7733038831375328E-2</c:v>
                </c:pt>
                <c:pt idx="236">
                  <c:v>9.9579898584776755E-2</c:v>
                </c:pt>
                <c:pt idx="237">
                  <c:v>0.13085257854413071</c:v>
                </c:pt>
                <c:pt idx="238">
                  <c:v>0.13336080475326101</c:v>
                </c:pt>
                <c:pt idx="239">
                  <c:v>0.14333244733186137</c:v>
                </c:pt>
                <c:pt idx="240">
                  <c:v>0.15881169413742999</c:v>
                </c:pt>
                <c:pt idx="241">
                  <c:v>0.27234300754259277</c:v>
                </c:pt>
                <c:pt idx="242">
                  <c:v>0.2862229915968616</c:v>
                </c:pt>
                <c:pt idx="243">
                  <c:v>0.28680257702508921</c:v>
                </c:pt>
                <c:pt idx="244">
                  <c:v>0.30640617552884364</c:v>
                </c:pt>
                <c:pt idx="245">
                  <c:v>0.31276660789219263</c:v>
                </c:pt>
                <c:pt idx="246">
                  <c:v>0.32978329916770832</c:v>
                </c:pt>
                <c:pt idx="247">
                  <c:v>0.35237906657670803</c:v>
                </c:pt>
                <c:pt idx="248">
                  <c:v>0.44103875130047027</c:v>
                </c:pt>
                <c:pt idx="249">
                  <c:v>0.54287103449888297</c:v>
                </c:pt>
                <c:pt idx="250">
                  <c:v>0.57134666754224184</c:v>
                </c:pt>
                <c:pt idx="251">
                  <c:v>0.57134666754224184</c:v>
                </c:pt>
                <c:pt idx="252">
                  <c:v>0.5807979884614396</c:v>
                </c:pt>
                <c:pt idx="253">
                  <c:v>0.60943428210909911</c:v>
                </c:pt>
                <c:pt idx="254">
                  <c:v>0.76800378363567889</c:v>
                </c:pt>
                <c:pt idx="255">
                  <c:v>0.84230412208661365</c:v>
                </c:pt>
                <c:pt idx="256">
                  <c:v>0.84544894628196166</c:v>
                </c:pt>
                <c:pt idx="257">
                  <c:v>0.87892520177383748</c:v>
                </c:pt>
                <c:pt idx="258">
                  <c:v>0.87892520177383748</c:v>
                </c:pt>
                <c:pt idx="259">
                  <c:v>0.99024316795274525</c:v>
                </c:pt>
                <c:pt idx="260">
                  <c:v>0.9902907320146096</c:v>
                </c:pt>
                <c:pt idx="261">
                  <c:v>1.125330756000142</c:v>
                </c:pt>
                <c:pt idx="262">
                  <c:v>1.1653770988675287</c:v>
                </c:pt>
                <c:pt idx="263">
                  <c:v>1.1654284680543423</c:v>
                </c:pt>
                <c:pt idx="264">
                  <c:v>1.3162248517699382</c:v>
                </c:pt>
                <c:pt idx="265">
                  <c:v>1.5733259870010581</c:v>
                </c:pt>
                <c:pt idx="266">
                  <c:v>1.5867031063130539</c:v>
                </c:pt>
                <c:pt idx="267">
                  <c:v>1.6499948460693128</c:v>
                </c:pt>
                <c:pt idx="268">
                  <c:v>1.6499948460693128</c:v>
                </c:pt>
                <c:pt idx="269">
                  <c:v>1.90935600167047</c:v>
                </c:pt>
                <c:pt idx="270">
                  <c:v>2.0495723242131194</c:v>
                </c:pt>
                <c:pt idx="271">
                  <c:v>2.1571713853867371</c:v>
                </c:pt>
                <c:pt idx="272">
                  <c:v>2.8150631036590616</c:v>
                </c:pt>
                <c:pt idx="273">
                  <c:v>2.8150631036590616</c:v>
                </c:pt>
                <c:pt idx="274">
                  <c:v>2.830234673049798</c:v>
                </c:pt>
                <c:pt idx="275">
                  <c:v>2.830234673049798</c:v>
                </c:pt>
                <c:pt idx="276">
                  <c:v>2.851747483966371</c:v>
                </c:pt>
                <c:pt idx="277">
                  <c:v>2.851747483966371</c:v>
                </c:pt>
                <c:pt idx="278">
                  <c:v>2.8636201715795879</c:v>
                </c:pt>
                <c:pt idx="279">
                  <c:v>2.8636201715795879</c:v>
                </c:pt>
                <c:pt idx="280">
                  <c:v>3.11293179741818</c:v>
                </c:pt>
                <c:pt idx="281">
                  <c:v>3.4772274133658292</c:v>
                </c:pt>
                <c:pt idx="282">
                  <c:v>3.4772274133658292</c:v>
                </c:pt>
                <c:pt idx="283">
                  <c:v>3.58207699444247</c:v>
                </c:pt>
                <c:pt idx="284">
                  <c:v>4.2780000550079311</c:v>
                </c:pt>
                <c:pt idx="285">
                  <c:v>4.2931716243986662</c:v>
                </c:pt>
                <c:pt idx="286">
                  <c:v>4.3265571229284552</c:v>
                </c:pt>
                <c:pt idx="287">
                  <c:v>4.6640762916573406</c:v>
                </c:pt>
                <c:pt idx="288">
                  <c:v>4.6850485019782608</c:v>
                </c:pt>
                <c:pt idx="289">
                  <c:v>4.9401643647146969</c:v>
                </c:pt>
                <c:pt idx="290">
                  <c:v>5.5794100196641887</c:v>
                </c:pt>
                <c:pt idx="291">
                  <c:v>6.8072244786385783</c:v>
                </c:pt>
                <c:pt idx="292">
                  <c:v>6.8344561392661927</c:v>
                </c:pt>
                <c:pt idx="293">
                  <c:v>7.1065022091179086</c:v>
                </c:pt>
                <c:pt idx="294">
                  <c:v>7.995752395375872</c:v>
                </c:pt>
                <c:pt idx="295">
                  <c:v>8.0075245929314374</c:v>
                </c:pt>
                <c:pt idx="296">
                  <c:v>13.531684575414111</c:v>
                </c:pt>
                <c:pt idx="297">
                  <c:v>13.531684575414111</c:v>
                </c:pt>
                <c:pt idx="298">
                  <c:v>13.585154326643281</c:v>
                </c:pt>
                <c:pt idx="299">
                  <c:v>13.585154326643281</c:v>
                </c:pt>
                <c:pt idx="300">
                  <c:v>15.865375968895169</c:v>
                </c:pt>
                <c:pt idx="301">
                  <c:v>15.865375968895169</c:v>
                </c:pt>
                <c:pt idx="302">
                  <c:v>19.6928546862563</c:v>
                </c:pt>
                <c:pt idx="303">
                  <c:v>19.75917944605521</c:v>
                </c:pt>
                <c:pt idx="304">
                  <c:v>22.587603914734448</c:v>
                </c:pt>
                <c:pt idx="305">
                  <c:v>28.114302665753623</c:v>
                </c:pt>
                <c:pt idx="306">
                  <c:v>28.212682939850325</c:v>
                </c:pt>
                <c:pt idx="307">
                  <c:v>32.408117274389646</c:v>
                </c:pt>
                <c:pt idx="308">
                  <c:v>35.351924592401389</c:v>
                </c:pt>
                <c:pt idx="309">
                  <c:v>41.815630596090237</c:v>
                </c:pt>
                <c:pt idx="310">
                  <c:v>41.815630596090237</c:v>
                </c:pt>
                <c:pt idx="311">
                  <c:v>43.27856754743911</c:v>
                </c:pt>
                <c:pt idx="312">
                  <c:v>71.19939926673959</c:v>
                </c:pt>
                <c:pt idx="313">
                  <c:v>71.19939926673959</c:v>
                </c:pt>
                <c:pt idx="314">
                  <c:v>75.838878444344346</c:v>
                </c:pt>
                <c:pt idx="315">
                  <c:v>75.838878444344346</c:v>
                </c:pt>
                <c:pt idx="316">
                  <c:v>76.067787865166579</c:v>
                </c:pt>
                <c:pt idx="317">
                  <c:v>76.067787865166579</c:v>
                </c:pt>
                <c:pt idx="318">
                  <c:v>85.829647673268298</c:v>
                </c:pt>
                <c:pt idx="319">
                  <c:v>85.829647673268298</c:v>
                </c:pt>
                <c:pt idx="320">
                  <c:v>86.742034011699559</c:v>
                </c:pt>
                <c:pt idx="321">
                  <c:v>98.408514201596844</c:v>
                </c:pt>
                <c:pt idx="322">
                  <c:v>98.408514201596844</c:v>
                </c:pt>
                <c:pt idx="323">
                  <c:v>107.30169101876636</c:v>
                </c:pt>
                <c:pt idx="324">
                  <c:v>141.98654624574391</c:v>
                </c:pt>
                <c:pt idx="325">
                  <c:v>179.81294196447735</c:v>
                </c:pt>
                <c:pt idx="326">
                  <c:v>434.00531046353086</c:v>
                </c:pt>
              </c:numCache>
            </c:numRef>
          </c:xVal>
          <c:yVal>
            <c:numRef>
              <c:f>'Supply Curve'!$Q$4:$Q$330</c:f>
              <c:numCache>
                <c:formatCode>#,##0</c:formatCode>
                <c:ptCount val="327"/>
                <c:pt idx="0">
                  <c:v>180.55825570378283</c:v>
                </c:pt>
                <c:pt idx="1">
                  <c:v>3950.912588281657</c:v>
                </c:pt>
                <c:pt idx="2">
                  <c:v>5071.6928321151918</c:v>
                </c:pt>
                <c:pt idx="3">
                  <c:v>7202.3695620948056</c:v>
                </c:pt>
                <c:pt idx="4">
                  <c:v>39277.028261924148</c:v>
                </c:pt>
                <c:pt idx="5">
                  <c:v>41520.03670865309</c:v>
                </c:pt>
                <c:pt idx="6">
                  <c:v>42363.553726567225</c:v>
                </c:pt>
                <c:pt idx="7">
                  <c:v>47710.886018184683</c:v>
                </c:pt>
                <c:pt idx="8">
                  <c:v>49560.308985327662</c:v>
                </c:pt>
                <c:pt idx="9">
                  <c:v>58696.957940292428</c:v>
                </c:pt>
                <c:pt idx="10">
                  <c:v>59058.606335059085</c:v>
                </c:pt>
                <c:pt idx="11">
                  <c:v>105695.51057661601</c:v>
                </c:pt>
                <c:pt idx="12">
                  <c:v>106813.18030548036</c:v>
                </c:pt>
                <c:pt idx="13">
                  <c:v>306193.8446265547</c:v>
                </c:pt>
                <c:pt idx="14">
                  <c:v>508633.17024023767</c:v>
                </c:pt>
                <c:pt idx="15">
                  <c:v>593720.35319078481</c:v>
                </c:pt>
                <c:pt idx="16">
                  <c:v>607142.46405112371</c:v>
                </c:pt>
                <c:pt idx="17">
                  <c:v>647413.27622798074</c:v>
                </c:pt>
                <c:pt idx="18">
                  <c:v>647652.56204246124</c:v>
                </c:pt>
                <c:pt idx="19">
                  <c:v>655518.18492786051</c:v>
                </c:pt>
                <c:pt idx="20">
                  <c:v>822301.91425227944</c:v>
                </c:pt>
                <c:pt idx="21">
                  <c:v>825084.08640739589</c:v>
                </c:pt>
                <c:pt idx="22">
                  <c:v>825402.51882644871</c:v>
                </c:pt>
                <c:pt idx="23">
                  <c:v>834503.56412078231</c:v>
                </c:pt>
                <c:pt idx="24">
                  <c:v>852194.95490699797</c:v>
                </c:pt>
                <c:pt idx="25">
                  <c:v>965736.72220706998</c:v>
                </c:pt>
                <c:pt idx="26">
                  <c:v>1072310.3970069166</c:v>
                </c:pt>
                <c:pt idx="27">
                  <c:v>1128370.3649728459</c:v>
                </c:pt>
                <c:pt idx="28">
                  <c:v>1184315.2823734304</c:v>
                </c:pt>
                <c:pt idx="29">
                  <c:v>1184431.9443043622</c:v>
                </c:pt>
                <c:pt idx="30">
                  <c:v>1184545.9152905149</c:v>
                </c:pt>
                <c:pt idx="31">
                  <c:v>1184565.7858182203</c:v>
                </c:pt>
                <c:pt idx="32">
                  <c:v>1185094.0974281081</c:v>
                </c:pt>
                <c:pt idx="33">
                  <c:v>1185103.5523092134</c:v>
                </c:pt>
                <c:pt idx="34">
                  <c:v>1185163.4899156564</c:v>
                </c:pt>
                <c:pt idx="35">
                  <c:v>1188005.8744884101</c:v>
                </c:pt>
                <c:pt idx="36">
                  <c:v>1189501.0278496381</c:v>
                </c:pt>
                <c:pt idx="37">
                  <c:v>1189501.561189838</c:v>
                </c:pt>
                <c:pt idx="38">
                  <c:v>1189502.5751045276</c:v>
                </c:pt>
                <c:pt idx="39">
                  <c:v>1189926.0519868175</c:v>
                </c:pt>
                <c:pt idx="40">
                  <c:v>1189942.8141208838</c:v>
                </c:pt>
                <c:pt idx="41">
                  <c:v>1190018.84486531</c:v>
                </c:pt>
                <c:pt idx="42">
                  <c:v>1191755.0599336892</c:v>
                </c:pt>
                <c:pt idx="43">
                  <c:v>1191755.0599336892</c:v>
                </c:pt>
                <c:pt idx="44">
                  <c:v>1191755.0599336892</c:v>
                </c:pt>
                <c:pt idx="45">
                  <c:v>1195691.7277314749</c:v>
                </c:pt>
                <c:pt idx="46">
                  <c:v>1282235.1366061277</c:v>
                </c:pt>
                <c:pt idx="47">
                  <c:v>1327758.7683874946</c:v>
                </c:pt>
                <c:pt idx="48">
                  <c:v>1332774.6186089499</c:v>
                </c:pt>
                <c:pt idx="49">
                  <c:v>1333781.5184657041</c:v>
                </c:pt>
                <c:pt idx="50">
                  <c:v>1334232.9637538341</c:v>
                </c:pt>
                <c:pt idx="51">
                  <c:v>1334232.9637538341</c:v>
                </c:pt>
                <c:pt idx="52">
                  <c:v>1334232.9637538341</c:v>
                </c:pt>
                <c:pt idx="53">
                  <c:v>1337489.692925222</c:v>
                </c:pt>
                <c:pt idx="54">
                  <c:v>1341146.5632723058</c:v>
                </c:pt>
                <c:pt idx="55">
                  <c:v>1360341.1906323323</c:v>
                </c:pt>
                <c:pt idx="56">
                  <c:v>1361391.1588460284</c:v>
                </c:pt>
                <c:pt idx="57">
                  <c:v>1361391.1588460284</c:v>
                </c:pt>
                <c:pt idx="58">
                  <c:v>1504133.6782375274</c:v>
                </c:pt>
                <c:pt idx="59">
                  <c:v>1509783.7369469444</c:v>
                </c:pt>
                <c:pt idx="60">
                  <c:v>1509999.9552612873</c:v>
                </c:pt>
                <c:pt idx="61">
                  <c:v>1510008.5136514243</c:v>
                </c:pt>
                <c:pt idx="62">
                  <c:v>1510008.5136514243</c:v>
                </c:pt>
                <c:pt idx="63">
                  <c:v>1510008.5136514243</c:v>
                </c:pt>
                <c:pt idx="64">
                  <c:v>1624500.0530602571</c:v>
                </c:pt>
                <c:pt idx="65">
                  <c:v>1780619.4164905865</c:v>
                </c:pt>
                <c:pt idx="66">
                  <c:v>1823752.1717956755</c:v>
                </c:pt>
                <c:pt idx="67">
                  <c:v>2140720.0795945432</c:v>
                </c:pt>
                <c:pt idx="68">
                  <c:v>2272252.5976858418</c:v>
                </c:pt>
                <c:pt idx="69">
                  <c:v>2284929.5298757432</c:v>
                </c:pt>
                <c:pt idx="70">
                  <c:v>2285331.9353561937</c:v>
                </c:pt>
                <c:pt idx="71">
                  <c:v>2299588.6207815274</c:v>
                </c:pt>
                <c:pt idx="72">
                  <c:v>2333287.5564354118</c:v>
                </c:pt>
                <c:pt idx="73">
                  <c:v>2340786.8692792784</c:v>
                </c:pt>
                <c:pt idx="74">
                  <c:v>2457551.7584729269</c:v>
                </c:pt>
                <c:pt idx="75">
                  <c:v>3910031.3155391254</c:v>
                </c:pt>
                <c:pt idx="76">
                  <c:v>3974085.9396552946</c:v>
                </c:pt>
                <c:pt idx="77">
                  <c:v>4030468.6056261021</c:v>
                </c:pt>
                <c:pt idx="78">
                  <c:v>4107343.9389920719</c:v>
                </c:pt>
                <c:pt idx="79">
                  <c:v>4128832.9652305031</c:v>
                </c:pt>
                <c:pt idx="80">
                  <c:v>4232253.5443007676</c:v>
                </c:pt>
                <c:pt idx="81">
                  <c:v>4308097.9561926443</c:v>
                </c:pt>
                <c:pt idx="82">
                  <c:v>4485937.1707810471</c:v>
                </c:pt>
                <c:pt idx="83">
                  <c:v>4616357.1583988573</c:v>
                </c:pt>
                <c:pt idx="84">
                  <c:v>4720783.7835602537</c:v>
                </c:pt>
                <c:pt idx="85">
                  <c:v>4725428.0578004094</c:v>
                </c:pt>
                <c:pt idx="86">
                  <c:v>4730205.630411136</c:v>
                </c:pt>
                <c:pt idx="87">
                  <c:v>4730205.630411136</c:v>
                </c:pt>
                <c:pt idx="88">
                  <c:v>4730990.2425551144</c:v>
                </c:pt>
                <c:pt idx="89">
                  <c:v>4730990.2425551144</c:v>
                </c:pt>
                <c:pt idx="90">
                  <c:v>4730990.2425551144</c:v>
                </c:pt>
                <c:pt idx="91">
                  <c:v>4919867.3468029397</c:v>
                </c:pt>
                <c:pt idx="92">
                  <c:v>4946036.1674759053</c:v>
                </c:pt>
                <c:pt idx="93">
                  <c:v>4949279.8148179539</c:v>
                </c:pt>
                <c:pt idx="94">
                  <c:v>4949681.1034976058</c:v>
                </c:pt>
                <c:pt idx="95">
                  <c:v>5002645.9742207173</c:v>
                </c:pt>
                <c:pt idx="96">
                  <c:v>5002704.960059952</c:v>
                </c:pt>
                <c:pt idx="97">
                  <c:v>7038542.3112133937</c:v>
                </c:pt>
                <c:pt idx="98">
                  <c:v>7056583.5222065113</c:v>
                </c:pt>
                <c:pt idx="99">
                  <c:v>7411598.5210600635</c:v>
                </c:pt>
                <c:pt idx="100">
                  <c:v>7471987.3617066629</c:v>
                </c:pt>
                <c:pt idx="101">
                  <c:v>7471987.3617066629</c:v>
                </c:pt>
                <c:pt idx="102">
                  <c:v>8725755.2056555245</c:v>
                </c:pt>
                <c:pt idx="103">
                  <c:v>8729342.1219877545</c:v>
                </c:pt>
                <c:pt idx="104">
                  <c:v>8764709.9790855162</c:v>
                </c:pt>
                <c:pt idx="105">
                  <c:v>9001179.425344931</c:v>
                </c:pt>
                <c:pt idx="106">
                  <c:v>9098975.1645556353</c:v>
                </c:pt>
                <c:pt idx="107">
                  <c:v>9105410.4100880958</c:v>
                </c:pt>
                <c:pt idx="108">
                  <c:v>9375423.5414997041</c:v>
                </c:pt>
                <c:pt idx="109">
                  <c:v>9378766.0468327515</c:v>
                </c:pt>
                <c:pt idx="110">
                  <c:v>9495596.3663957324</c:v>
                </c:pt>
                <c:pt idx="111">
                  <c:v>9654904.8638944346</c:v>
                </c:pt>
                <c:pt idx="112">
                  <c:v>10300520.685805077</c:v>
                </c:pt>
                <c:pt idx="113">
                  <c:v>10601121.531008314</c:v>
                </c:pt>
                <c:pt idx="114">
                  <c:v>12074559.004779913</c:v>
                </c:pt>
                <c:pt idx="115">
                  <c:v>12074559.004779913</c:v>
                </c:pt>
                <c:pt idx="116">
                  <c:v>12075213.467611767</c:v>
                </c:pt>
                <c:pt idx="117">
                  <c:v>12076347.929848943</c:v>
                </c:pt>
                <c:pt idx="118">
                  <c:v>12081602.648883028</c:v>
                </c:pt>
                <c:pt idx="119">
                  <c:v>12327030.512850678</c:v>
                </c:pt>
                <c:pt idx="120">
                  <c:v>12327071.691848833</c:v>
                </c:pt>
                <c:pt idx="121">
                  <c:v>12327130.204316361</c:v>
                </c:pt>
                <c:pt idx="122">
                  <c:v>12559702.635403717</c:v>
                </c:pt>
                <c:pt idx="123">
                  <c:v>12568012.492130201</c:v>
                </c:pt>
                <c:pt idx="124">
                  <c:v>12568069.253939183</c:v>
                </c:pt>
                <c:pt idx="125">
                  <c:v>12619069.017577346</c:v>
                </c:pt>
                <c:pt idx="126">
                  <c:v>12627797.258239001</c:v>
                </c:pt>
                <c:pt idx="127">
                  <c:v>12632897.727134136</c:v>
                </c:pt>
                <c:pt idx="128">
                  <c:v>12642238.726686569</c:v>
                </c:pt>
                <c:pt idx="129">
                  <c:v>12643385.34214736</c:v>
                </c:pt>
                <c:pt idx="130">
                  <c:v>12664044.33327584</c:v>
                </c:pt>
                <c:pt idx="131">
                  <c:v>12668535.231474806</c:v>
                </c:pt>
                <c:pt idx="132">
                  <c:v>12687073.062781198</c:v>
                </c:pt>
                <c:pt idx="133">
                  <c:v>12690588.725511085</c:v>
                </c:pt>
                <c:pt idx="134">
                  <c:v>12696869.432508748</c:v>
                </c:pt>
                <c:pt idx="135">
                  <c:v>12748044.160658652</c:v>
                </c:pt>
                <c:pt idx="136">
                  <c:v>12936089.961196654</c:v>
                </c:pt>
                <c:pt idx="137">
                  <c:v>12936547.828395978</c:v>
                </c:pt>
                <c:pt idx="138">
                  <c:v>12937418.263962975</c:v>
                </c:pt>
                <c:pt idx="139">
                  <c:v>13024494.962416776</c:v>
                </c:pt>
                <c:pt idx="140">
                  <c:v>13132759.859858857</c:v>
                </c:pt>
                <c:pt idx="141">
                  <c:v>13823153.350851467</c:v>
                </c:pt>
                <c:pt idx="142">
                  <c:v>13824100.350518573</c:v>
                </c:pt>
                <c:pt idx="143">
                  <c:v>13885084.484487532</c:v>
                </c:pt>
                <c:pt idx="144">
                  <c:v>13923487.823618002</c:v>
                </c:pt>
                <c:pt idx="145">
                  <c:v>14755910.930572052</c:v>
                </c:pt>
                <c:pt idx="146">
                  <c:v>14790981.210810676</c:v>
                </c:pt>
                <c:pt idx="147">
                  <c:v>14838802.646826366</c:v>
                </c:pt>
                <c:pt idx="148">
                  <c:v>14842977.550285302</c:v>
                </c:pt>
                <c:pt idx="149">
                  <c:v>14910512.401954265</c:v>
                </c:pt>
                <c:pt idx="150">
                  <c:v>14964836.192835104</c:v>
                </c:pt>
                <c:pt idx="151">
                  <c:v>15020740.57689376</c:v>
                </c:pt>
                <c:pt idx="152">
                  <c:v>15020904.796298528</c:v>
                </c:pt>
                <c:pt idx="153">
                  <c:v>15080231.637789674</c:v>
                </c:pt>
                <c:pt idx="154">
                  <c:v>15241675.985928681</c:v>
                </c:pt>
                <c:pt idx="155">
                  <c:v>15308216.885884993</c:v>
                </c:pt>
                <c:pt idx="156">
                  <c:v>15316186.465586934</c:v>
                </c:pt>
                <c:pt idx="157">
                  <c:v>15387645.8108985</c:v>
                </c:pt>
                <c:pt idx="158">
                  <c:v>15405514.584933316</c:v>
                </c:pt>
                <c:pt idx="159">
                  <c:v>15547510.487672297</c:v>
                </c:pt>
                <c:pt idx="160">
                  <c:v>15741134.48871018</c:v>
                </c:pt>
                <c:pt idx="161">
                  <c:v>15741134.48871018</c:v>
                </c:pt>
                <c:pt idx="162">
                  <c:v>15758102.503494389</c:v>
                </c:pt>
                <c:pt idx="163">
                  <c:v>15758937.648030598</c:v>
                </c:pt>
                <c:pt idx="164">
                  <c:v>15786779.256687544</c:v>
                </c:pt>
                <c:pt idx="165">
                  <c:v>15807892.68172892</c:v>
                </c:pt>
                <c:pt idx="166">
                  <c:v>15836682.708435813</c:v>
                </c:pt>
                <c:pt idx="167">
                  <c:v>15839928.896048239</c:v>
                </c:pt>
                <c:pt idx="168">
                  <c:v>15841636.458200954</c:v>
                </c:pt>
                <c:pt idx="169">
                  <c:v>15928643.496706659</c:v>
                </c:pt>
                <c:pt idx="170">
                  <c:v>15998622.64816129</c:v>
                </c:pt>
                <c:pt idx="171">
                  <c:v>16138491.789211266</c:v>
                </c:pt>
                <c:pt idx="172">
                  <c:v>16169301.928639343</c:v>
                </c:pt>
                <c:pt idx="173">
                  <c:v>16508392.850304926</c:v>
                </c:pt>
                <c:pt idx="174">
                  <c:v>16970773.381729156</c:v>
                </c:pt>
                <c:pt idx="175">
                  <c:v>16972264.385573175</c:v>
                </c:pt>
                <c:pt idx="176">
                  <c:v>16972264.917433191</c:v>
                </c:pt>
                <c:pt idx="177">
                  <c:v>16996636.033868108</c:v>
                </c:pt>
                <c:pt idx="178">
                  <c:v>16996636.033868108</c:v>
                </c:pt>
                <c:pt idx="179">
                  <c:v>17628460.599009577</c:v>
                </c:pt>
                <c:pt idx="180">
                  <c:v>17628917.195484523</c:v>
                </c:pt>
                <c:pt idx="181">
                  <c:v>17674314.48497989</c:v>
                </c:pt>
                <c:pt idx="182">
                  <c:v>17963645.912547924</c:v>
                </c:pt>
                <c:pt idx="183">
                  <c:v>17963741.661463924</c:v>
                </c:pt>
                <c:pt idx="184">
                  <c:v>17972798.89996681</c:v>
                </c:pt>
                <c:pt idx="185">
                  <c:v>18015819.700498648</c:v>
                </c:pt>
                <c:pt idx="186">
                  <c:v>18145564.381802887</c:v>
                </c:pt>
                <c:pt idx="187">
                  <c:v>18171476.034236003</c:v>
                </c:pt>
                <c:pt idx="188">
                  <c:v>18172001.924561556</c:v>
                </c:pt>
                <c:pt idx="189">
                  <c:v>18862934.962405682</c:v>
                </c:pt>
                <c:pt idx="190">
                  <c:v>18906699.657602113</c:v>
                </c:pt>
                <c:pt idx="191">
                  <c:v>18938794.890472017</c:v>
                </c:pt>
                <c:pt idx="192">
                  <c:v>19039502.694773898</c:v>
                </c:pt>
                <c:pt idx="193">
                  <c:v>19042695.094582606</c:v>
                </c:pt>
                <c:pt idx="194">
                  <c:v>19048764.055935763</c:v>
                </c:pt>
                <c:pt idx="195">
                  <c:v>19049986.600955594</c:v>
                </c:pt>
                <c:pt idx="196">
                  <c:v>19050179.451796565</c:v>
                </c:pt>
                <c:pt idx="197">
                  <c:v>19061316.689318027</c:v>
                </c:pt>
                <c:pt idx="198">
                  <c:v>19118675.273238096</c:v>
                </c:pt>
                <c:pt idx="199">
                  <c:v>19164814.151223924</c:v>
                </c:pt>
                <c:pt idx="200">
                  <c:v>19450542.338380355</c:v>
                </c:pt>
                <c:pt idx="201">
                  <c:v>19451375.165129829</c:v>
                </c:pt>
                <c:pt idx="202">
                  <c:v>20067075.544961423</c:v>
                </c:pt>
                <c:pt idx="203">
                  <c:v>20068778.368096236</c:v>
                </c:pt>
                <c:pt idx="204">
                  <c:v>20134175.744818069</c:v>
                </c:pt>
                <c:pt idx="205">
                  <c:v>20135252.440086391</c:v>
                </c:pt>
                <c:pt idx="206">
                  <c:v>20135405.336110719</c:v>
                </c:pt>
                <c:pt idx="207">
                  <c:v>20135405.336110719</c:v>
                </c:pt>
                <c:pt idx="208">
                  <c:v>20135405.336110719</c:v>
                </c:pt>
                <c:pt idx="209">
                  <c:v>20141745.727187496</c:v>
                </c:pt>
                <c:pt idx="210">
                  <c:v>20375034.152435314</c:v>
                </c:pt>
                <c:pt idx="211">
                  <c:v>20375114.132193778</c:v>
                </c:pt>
                <c:pt idx="212">
                  <c:v>20410637.549551971</c:v>
                </c:pt>
                <c:pt idx="213">
                  <c:v>20418116.049462181</c:v>
                </c:pt>
                <c:pt idx="214">
                  <c:v>20531208.034132358</c:v>
                </c:pt>
                <c:pt idx="215">
                  <c:v>20535007.816091854</c:v>
                </c:pt>
                <c:pt idx="216">
                  <c:v>20536123.773908257</c:v>
                </c:pt>
                <c:pt idx="217">
                  <c:v>20650998.220404137</c:v>
                </c:pt>
                <c:pt idx="218">
                  <c:v>20787190.17450254</c:v>
                </c:pt>
                <c:pt idx="219">
                  <c:v>20804933.739416514</c:v>
                </c:pt>
                <c:pt idx="220">
                  <c:v>20808117.279319413</c:v>
                </c:pt>
                <c:pt idx="221">
                  <c:v>20893650.258243687</c:v>
                </c:pt>
                <c:pt idx="222">
                  <c:v>20893900.727760732</c:v>
                </c:pt>
                <c:pt idx="223">
                  <c:v>20911699.733034685</c:v>
                </c:pt>
                <c:pt idx="224">
                  <c:v>21075522.348110437</c:v>
                </c:pt>
                <c:pt idx="225">
                  <c:v>21086111.115670089</c:v>
                </c:pt>
                <c:pt idx="226">
                  <c:v>21088844.154726587</c:v>
                </c:pt>
                <c:pt idx="227">
                  <c:v>21090675.908755805</c:v>
                </c:pt>
                <c:pt idx="228">
                  <c:v>21245216.790164705</c:v>
                </c:pt>
                <c:pt idx="229">
                  <c:v>21510961.086112671</c:v>
                </c:pt>
                <c:pt idx="230">
                  <c:v>21668366.243997578</c:v>
                </c:pt>
                <c:pt idx="231">
                  <c:v>21669929.312251121</c:v>
                </c:pt>
                <c:pt idx="232">
                  <c:v>21672900.807487153</c:v>
                </c:pt>
                <c:pt idx="233">
                  <c:v>21672900.807487153</c:v>
                </c:pt>
                <c:pt idx="234">
                  <c:v>21710682.127359439</c:v>
                </c:pt>
                <c:pt idx="235">
                  <c:v>21710716.684400514</c:v>
                </c:pt>
                <c:pt idx="236">
                  <c:v>21710717.080137488</c:v>
                </c:pt>
                <c:pt idx="237">
                  <c:v>21714235.942860398</c:v>
                </c:pt>
                <c:pt idx="238">
                  <c:v>21714485.717246365</c:v>
                </c:pt>
                <c:pt idx="239">
                  <c:v>21714569.96498185</c:v>
                </c:pt>
                <c:pt idx="240">
                  <c:v>21714569.96498185</c:v>
                </c:pt>
                <c:pt idx="241">
                  <c:v>21843235.773215361</c:v>
                </c:pt>
                <c:pt idx="242">
                  <c:v>21844694.575975507</c:v>
                </c:pt>
                <c:pt idx="243">
                  <c:v>21846253.306226816</c:v>
                </c:pt>
                <c:pt idx="244">
                  <c:v>22084307.239406306</c:v>
                </c:pt>
                <c:pt idx="245">
                  <c:v>22089325.80699065</c:v>
                </c:pt>
                <c:pt idx="246">
                  <c:v>23796669.834063817</c:v>
                </c:pt>
                <c:pt idx="247">
                  <c:v>23800817.089317411</c:v>
                </c:pt>
                <c:pt idx="248">
                  <c:v>23806057.224866193</c:v>
                </c:pt>
                <c:pt idx="249">
                  <c:v>23806557.84546918</c:v>
                </c:pt>
                <c:pt idx="250">
                  <c:v>23806574.919041526</c:v>
                </c:pt>
                <c:pt idx="251">
                  <c:v>23807117.596993342</c:v>
                </c:pt>
                <c:pt idx="252">
                  <c:v>23807117.977880239</c:v>
                </c:pt>
                <c:pt idx="253">
                  <c:v>23807868.374037039</c:v>
                </c:pt>
                <c:pt idx="254">
                  <c:v>24989470.63201642</c:v>
                </c:pt>
                <c:pt idx="255">
                  <c:v>24993764.284907874</c:v>
                </c:pt>
                <c:pt idx="256">
                  <c:v>24993771.457271151</c:v>
                </c:pt>
                <c:pt idx="257">
                  <c:v>24995200.976820316</c:v>
                </c:pt>
                <c:pt idx="258">
                  <c:v>25096854.109023537</c:v>
                </c:pt>
                <c:pt idx="259">
                  <c:v>25097111.236286171</c:v>
                </c:pt>
                <c:pt idx="260">
                  <c:v>25211324.94655437</c:v>
                </c:pt>
                <c:pt idx="261">
                  <c:v>25212750.498740636</c:v>
                </c:pt>
                <c:pt idx="262">
                  <c:v>25213096.538941324</c:v>
                </c:pt>
                <c:pt idx="263">
                  <c:v>25366854.231484719</c:v>
                </c:pt>
                <c:pt idx="264">
                  <c:v>25366854.231484719</c:v>
                </c:pt>
                <c:pt idx="265">
                  <c:v>25368313.230252031</c:v>
                </c:pt>
                <c:pt idx="266">
                  <c:v>25368770.252411682</c:v>
                </c:pt>
                <c:pt idx="267">
                  <c:v>25448971.283563193</c:v>
                </c:pt>
                <c:pt idx="268">
                  <c:v>25507787.431137417</c:v>
                </c:pt>
                <c:pt idx="269">
                  <c:v>25714757.548262145</c:v>
                </c:pt>
                <c:pt idx="270">
                  <c:v>25960645.7562356</c:v>
                </c:pt>
                <c:pt idx="271">
                  <c:v>25961370.989540987</c:v>
                </c:pt>
                <c:pt idx="272">
                  <c:v>25962271.886258941</c:v>
                </c:pt>
                <c:pt idx="273">
                  <c:v>25963984.549989071</c:v>
                </c:pt>
                <c:pt idx="274">
                  <c:v>25964521.031098057</c:v>
                </c:pt>
                <c:pt idx="275">
                  <c:v>25964803.231311578</c:v>
                </c:pt>
                <c:pt idx="276">
                  <c:v>25986325.969258286</c:v>
                </c:pt>
                <c:pt idx="277">
                  <c:v>25987302.955495633</c:v>
                </c:pt>
                <c:pt idx="278">
                  <c:v>26001323.895365544</c:v>
                </c:pt>
                <c:pt idx="279">
                  <c:v>26011606.277732424</c:v>
                </c:pt>
                <c:pt idx="280">
                  <c:v>26131450.298675649</c:v>
                </c:pt>
                <c:pt idx="281">
                  <c:v>26132301.622752029</c:v>
                </c:pt>
                <c:pt idx="282">
                  <c:v>26132749.436910078</c:v>
                </c:pt>
                <c:pt idx="283">
                  <c:v>26132844.579289507</c:v>
                </c:pt>
                <c:pt idx="284">
                  <c:v>26133742.9757379</c:v>
                </c:pt>
                <c:pt idx="285">
                  <c:v>26134024.392757755</c:v>
                </c:pt>
                <c:pt idx="286">
                  <c:v>26154975.816789184</c:v>
                </c:pt>
                <c:pt idx="287">
                  <c:v>26160551.701969564</c:v>
                </c:pt>
                <c:pt idx="288">
                  <c:v>26162298.312826402</c:v>
                </c:pt>
                <c:pt idx="289">
                  <c:v>26162744.884160399</c:v>
                </c:pt>
                <c:pt idx="290">
                  <c:v>26165516.522992752</c:v>
                </c:pt>
                <c:pt idx="291">
                  <c:v>26174664.591499552</c:v>
                </c:pt>
                <c:pt idx="292">
                  <c:v>26177530.16624799</c:v>
                </c:pt>
                <c:pt idx="293">
                  <c:v>26189581.928110197</c:v>
                </c:pt>
                <c:pt idx="294">
                  <c:v>26194129.213625275</c:v>
                </c:pt>
                <c:pt idx="295">
                  <c:v>26306383.608290788</c:v>
                </c:pt>
                <c:pt idx="296">
                  <c:v>26306579.977744624</c:v>
                </c:pt>
                <c:pt idx="297">
                  <c:v>26311541.036029793</c:v>
                </c:pt>
                <c:pt idx="298">
                  <c:v>26313095.056240391</c:v>
                </c:pt>
                <c:pt idx="299">
                  <c:v>26313156.567732994</c:v>
                </c:pt>
                <c:pt idx="300">
                  <c:v>26313254.178280223</c:v>
                </c:pt>
                <c:pt idx="301">
                  <c:v>26315720.20140443</c:v>
                </c:pt>
                <c:pt idx="302">
                  <c:v>26329396.25617227</c:v>
                </c:pt>
                <c:pt idx="303">
                  <c:v>26333680.194051813</c:v>
                </c:pt>
                <c:pt idx="304">
                  <c:v>26340478.232971501</c:v>
                </c:pt>
                <c:pt idx="305">
                  <c:v>26341193.318325493</c:v>
                </c:pt>
                <c:pt idx="306">
                  <c:v>26341417.314301457</c:v>
                </c:pt>
                <c:pt idx="307">
                  <c:v>26341772.766085606</c:v>
                </c:pt>
                <c:pt idx="308">
                  <c:v>26341878.871350061</c:v>
                </c:pt>
                <c:pt idx="309">
                  <c:v>26341878.984602377</c:v>
                </c:pt>
                <c:pt idx="310">
                  <c:v>26341879.04417545</c:v>
                </c:pt>
                <c:pt idx="311">
                  <c:v>26341879.103583187</c:v>
                </c:pt>
                <c:pt idx="312">
                  <c:v>26341879.103583187</c:v>
                </c:pt>
                <c:pt idx="313">
                  <c:v>26341879.103583187</c:v>
                </c:pt>
                <c:pt idx="314">
                  <c:v>26342588.82919902</c:v>
                </c:pt>
                <c:pt idx="315">
                  <c:v>26342700.785143096</c:v>
                </c:pt>
                <c:pt idx="316">
                  <c:v>26342735.854636297</c:v>
                </c:pt>
                <c:pt idx="317">
                  <c:v>26342958.171708096</c:v>
                </c:pt>
                <c:pt idx="318">
                  <c:v>26343013.822323572</c:v>
                </c:pt>
                <c:pt idx="319">
                  <c:v>26343366.609910391</c:v>
                </c:pt>
                <c:pt idx="320">
                  <c:v>26343506.514573105</c:v>
                </c:pt>
                <c:pt idx="321">
                  <c:v>26343510.348205723</c:v>
                </c:pt>
                <c:pt idx="322">
                  <c:v>26343607.200717647</c:v>
                </c:pt>
                <c:pt idx="323">
                  <c:v>26343681.458720267</c:v>
                </c:pt>
                <c:pt idx="324">
                  <c:v>26344673.484230872</c:v>
                </c:pt>
                <c:pt idx="325">
                  <c:v>26345632.562909145</c:v>
                </c:pt>
                <c:pt idx="326">
                  <c:v>26345788.66764468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18C-4436-AA12-10AD23DDDDE8}"/>
            </c:ext>
          </c:extLst>
        </c:ser>
        <c:ser>
          <c:idx val="1"/>
          <c:order val="1"/>
          <c:tx>
            <c:v>TRC Gross Levelized Cost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'Supply Curve'!$S$4:$S$331</c:f>
              <c:numCache>
                <c:formatCode>"$"#,##0.00</c:formatCode>
                <c:ptCount val="328"/>
                <c:pt idx="0">
                  <c:v>-72.556115491623899</c:v>
                </c:pt>
                <c:pt idx="1">
                  <c:v>-4.6362099288917396</c:v>
                </c:pt>
                <c:pt idx="2">
                  <c:v>-0.21971342616594719</c:v>
                </c:pt>
                <c:pt idx="3">
                  <c:v>-0.14225449887629976</c:v>
                </c:pt>
                <c:pt idx="4">
                  <c:v>0.29221442436180856</c:v>
                </c:pt>
                <c:pt idx="5">
                  <c:v>0.31170492918077397</c:v>
                </c:pt>
                <c:pt idx="6">
                  <c:v>0.31471286405929094</c:v>
                </c:pt>
                <c:pt idx="7">
                  <c:v>0.31471741879439069</c:v>
                </c:pt>
                <c:pt idx="8">
                  <c:v>0.3147858863878969</c:v>
                </c:pt>
                <c:pt idx="9">
                  <c:v>0.32608125835666424</c:v>
                </c:pt>
                <c:pt idx="10">
                  <c:v>0.3420808028547585</c:v>
                </c:pt>
                <c:pt idx="11">
                  <c:v>0.34234566110225662</c:v>
                </c:pt>
                <c:pt idx="12">
                  <c:v>0.37518483473571218</c:v>
                </c:pt>
                <c:pt idx="13">
                  <c:v>0.37725445534453023</c:v>
                </c:pt>
                <c:pt idx="14">
                  <c:v>0.38296061453198671</c:v>
                </c:pt>
                <c:pt idx="15">
                  <c:v>0.38543848974872502</c:v>
                </c:pt>
                <c:pt idx="16">
                  <c:v>0.38633795504404511</c:v>
                </c:pt>
                <c:pt idx="17">
                  <c:v>0.39077703200476271</c:v>
                </c:pt>
                <c:pt idx="18">
                  <c:v>0.39079499690783254</c:v>
                </c:pt>
                <c:pt idx="19">
                  <c:v>0.39256110936000738</c:v>
                </c:pt>
                <c:pt idx="20">
                  <c:v>0.39849029325848362</c:v>
                </c:pt>
                <c:pt idx="21">
                  <c:v>0.39945244400678936</c:v>
                </c:pt>
                <c:pt idx="22">
                  <c:v>0.40155497015203706</c:v>
                </c:pt>
                <c:pt idx="23">
                  <c:v>0.40221275807976958</c:v>
                </c:pt>
                <c:pt idx="24">
                  <c:v>0.40794358718426899</c:v>
                </c:pt>
                <c:pt idx="25">
                  <c:v>0.40833687299633525</c:v>
                </c:pt>
                <c:pt idx="26">
                  <c:v>0.41884502741441992</c:v>
                </c:pt>
                <c:pt idx="27">
                  <c:v>0.42297297401521511</c:v>
                </c:pt>
                <c:pt idx="28">
                  <c:v>0.43742304496645162</c:v>
                </c:pt>
                <c:pt idx="29">
                  <c:v>0.44099484804725886</c:v>
                </c:pt>
                <c:pt idx="30">
                  <c:v>0.44953636493952409</c:v>
                </c:pt>
                <c:pt idx="31">
                  <c:v>0.4643532811229259</c:v>
                </c:pt>
                <c:pt idx="32">
                  <c:v>0.46879645606328157</c:v>
                </c:pt>
                <c:pt idx="33">
                  <c:v>0.46879645606328157</c:v>
                </c:pt>
                <c:pt idx="34">
                  <c:v>0.46879645606328157</c:v>
                </c:pt>
                <c:pt idx="35">
                  <c:v>0.46879645606328157</c:v>
                </c:pt>
                <c:pt idx="36">
                  <c:v>0.46879645606328157</c:v>
                </c:pt>
                <c:pt idx="37">
                  <c:v>0.46879645606328157</c:v>
                </c:pt>
                <c:pt idx="38">
                  <c:v>0.46879645606328157</c:v>
                </c:pt>
                <c:pt idx="39">
                  <c:v>0.46879645606328157</c:v>
                </c:pt>
                <c:pt idx="40">
                  <c:v>0.46879645606328157</c:v>
                </c:pt>
                <c:pt idx="41">
                  <c:v>0.46879645606328157</c:v>
                </c:pt>
                <c:pt idx="42">
                  <c:v>0.46879645606328157</c:v>
                </c:pt>
                <c:pt idx="43">
                  <c:v>0.46879645606328157</c:v>
                </c:pt>
                <c:pt idx="44">
                  <c:v>0.46879645606328157</c:v>
                </c:pt>
                <c:pt idx="45">
                  <c:v>0.46879645606328157</c:v>
                </c:pt>
                <c:pt idx="46">
                  <c:v>0.46879645606328157</c:v>
                </c:pt>
                <c:pt idx="47">
                  <c:v>0.46879645606328157</c:v>
                </c:pt>
                <c:pt idx="48">
                  <c:v>0.46879645606328157</c:v>
                </c:pt>
                <c:pt idx="49">
                  <c:v>0.46879645606328157</c:v>
                </c:pt>
                <c:pt idx="50">
                  <c:v>0.46879645606328157</c:v>
                </c:pt>
                <c:pt idx="51">
                  <c:v>0.46879645606328157</c:v>
                </c:pt>
                <c:pt idx="52">
                  <c:v>0.46879645606328157</c:v>
                </c:pt>
                <c:pt idx="53">
                  <c:v>0.46879645606328157</c:v>
                </c:pt>
                <c:pt idx="54">
                  <c:v>0.46879645606328157</c:v>
                </c:pt>
                <c:pt idx="55">
                  <c:v>0.46879645606328157</c:v>
                </c:pt>
                <c:pt idx="56">
                  <c:v>0.46879645606328157</c:v>
                </c:pt>
                <c:pt idx="57">
                  <c:v>0.46879645606328157</c:v>
                </c:pt>
                <c:pt idx="58">
                  <c:v>0.46879645606328157</c:v>
                </c:pt>
                <c:pt idx="59">
                  <c:v>0.46879645606328157</c:v>
                </c:pt>
                <c:pt idx="60">
                  <c:v>0.46879645606328157</c:v>
                </c:pt>
                <c:pt idx="61">
                  <c:v>0.46879645606328157</c:v>
                </c:pt>
                <c:pt idx="62">
                  <c:v>0.46879645606328157</c:v>
                </c:pt>
                <c:pt idx="63">
                  <c:v>0.46879645606328157</c:v>
                </c:pt>
                <c:pt idx="64">
                  <c:v>0.46879645606328157</c:v>
                </c:pt>
                <c:pt idx="65">
                  <c:v>0.46879645606328157</c:v>
                </c:pt>
                <c:pt idx="66">
                  <c:v>0.46879645606328157</c:v>
                </c:pt>
                <c:pt idx="67">
                  <c:v>0.46879645606328157</c:v>
                </c:pt>
                <c:pt idx="68">
                  <c:v>0.46879645606328157</c:v>
                </c:pt>
                <c:pt idx="69">
                  <c:v>0.46879645606328157</c:v>
                </c:pt>
                <c:pt idx="70">
                  <c:v>0.46879645606328157</c:v>
                </c:pt>
                <c:pt idx="71">
                  <c:v>0.46879645606328157</c:v>
                </c:pt>
                <c:pt idx="72">
                  <c:v>0.46879645606328157</c:v>
                </c:pt>
                <c:pt idx="73">
                  <c:v>0.46879645606328157</c:v>
                </c:pt>
                <c:pt idx="74">
                  <c:v>0.46879645606328157</c:v>
                </c:pt>
                <c:pt idx="75">
                  <c:v>0.46879645606328157</c:v>
                </c:pt>
                <c:pt idx="76">
                  <c:v>0.46879645606328157</c:v>
                </c:pt>
                <c:pt idx="77">
                  <c:v>0.46879645606328157</c:v>
                </c:pt>
                <c:pt idx="78">
                  <c:v>0.46879645606328157</c:v>
                </c:pt>
                <c:pt idx="79">
                  <c:v>0.46879645606328157</c:v>
                </c:pt>
                <c:pt idx="80">
                  <c:v>0.46879645606328157</c:v>
                </c:pt>
                <c:pt idx="81">
                  <c:v>0.46879645606328157</c:v>
                </c:pt>
                <c:pt idx="82">
                  <c:v>0.46879645606328157</c:v>
                </c:pt>
                <c:pt idx="83">
                  <c:v>0.46879645606328157</c:v>
                </c:pt>
                <c:pt idx="84">
                  <c:v>0.46879645606328157</c:v>
                </c:pt>
                <c:pt idx="85">
                  <c:v>0.46879645606328157</c:v>
                </c:pt>
                <c:pt idx="86">
                  <c:v>0.46879645606328157</c:v>
                </c:pt>
                <c:pt idx="87">
                  <c:v>0.46879645606328157</c:v>
                </c:pt>
                <c:pt idx="88">
                  <c:v>0.46879645606328157</c:v>
                </c:pt>
                <c:pt idx="89">
                  <c:v>0.46879645606328157</c:v>
                </c:pt>
                <c:pt idx="90">
                  <c:v>0.46879645606328157</c:v>
                </c:pt>
                <c:pt idx="91">
                  <c:v>0.46879645606328157</c:v>
                </c:pt>
                <c:pt idx="92">
                  <c:v>0.46879645606328157</c:v>
                </c:pt>
                <c:pt idx="93">
                  <c:v>0.46879645606328157</c:v>
                </c:pt>
                <c:pt idx="94">
                  <c:v>0.46879645606328157</c:v>
                </c:pt>
                <c:pt idx="95">
                  <c:v>0.46879645606328157</c:v>
                </c:pt>
                <c:pt idx="96">
                  <c:v>0.46879645606328157</c:v>
                </c:pt>
                <c:pt idx="97">
                  <c:v>0.46879645606328157</c:v>
                </c:pt>
                <c:pt idx="98">
                  <c:v>0.46879645606328157</c:v>
                </c:pt>
                <c:pt idx="99">
                  <c:v>0.46879645606328157</c:v>
                </c:pt>
                <c:pt idx="100">
                  <c:v>0.46879645606328157</c:v>
                </c:pt>
                <c:pt idx="101">
                  <c:v>0.46879645606328157</c:v>
                </c:pt>
                <c:pt idx="102">
                  <c:v>0.46879645606328157</c:v>
                </c:pt>
                <c:pt idx="103">
                  <c:v>0.46879645606328157</c:v>
                </c:pt>
                <c:pt idx="104">
                  <c:v>0.46879645606328157</c:v>
                </c:pt>
                <c:pt idx="105">
                  <c:v>0.46879645606328157</c:v>
                </c:pt>
                <c:pt idx="106">
                  <c:v>0.46879645606328157</c:v>
                </c:pt>
                <c:pt idx="107">
                  <c:v>0.46879645606328157</c:v>
                </c:pt>
                <c:pt idx="108">
                  <c:v>0.46879645606328157</c:v>
                </c:pt>
                <c:pt idx="109">
                  <c:v>0.46879645606328157</c:v>
                </c:pt>
                <c:pt idx="110">
                  <c:v>0.46879645606328157</c:v>
                </c:pt>
                <c:pt idx="111">
                  <c:v>0.46879645606328157</c:v>
                </c:pt>
                <c:pt idx="112">
                  <c:v>0.46879645606328157</c:v>
                </c:pt>
                <c:pt idx="113">
                  <c:v>0.46879645606328157</c:v>
                </c:pt>
                <c:pt idx="114">
                  <c:v>0.46879645606328157</c:v>
                </c:pt>
                <c:pt idx="115">
                  <c:v>0.46879645606328157</c:v>
                </c:pt>
                <c:pt idx="116">
                  <c:v>0.46879645606328157</c:v>
                </c:pt>
                <c:pt idx="117">
                  <c:v>0.46879645606328157</c:v>
                </c:pt>
                <c:pt idx="118">
                  <c:v>0.46879645606328157</c:v>
                </c:pt>
                <c:pt idx="119">
                  <c:v>0.46879645606328157</c:v>
                </c:pt>
                <c:pt idx="120">
                  <c:v>0.46879645606328157</c:v>
                </c:pt>
                <c:pt idx="121">
                  <c:v>0.46879645606328157</c:v>
                </c:pt>
                <c:pt idx="122">
                  <c:v>0.46879645606328157</c:v>
                </c:pt>
                <c:pt idx="123">
                  <c:v>0.46879645606328157</c:v>
                </c:pt>
                <c:pt idx="124">
                  <c:v>0.46879645606328157</c:v>
                </c:pt>
                <c:pt idx="125">
                  <c:v>0.47033994588863864</c:v>
                </c:pt>
                <c:pt idx="126">
                  <c:v>0.47128342394054895</c:v>
                </c:pt>
                <c:pt idx="127">
                  <c:v>0.48909649355352658</c:v>
                </c:pt>
                <c:pt idx="128">
                  <c:v>0.49391908016017066</c:v>
                </c:pt>
                <c:pt idx="129">
                  <c:v>0.49797257233303088</c:v>
                </c:pt>
                <c:pt idx="130">
                  <c:v>0.5008616376449998</c:v>
                </c:pt>
                <c:pt idx="131">
                  <c:v>0.50215667349601001</c:v>
                </c:pt>
                <c:pt idx="132">
                  <c:v>0.50215667349601012</c:v>
                </c:pt>
                <c:pt idx="133">
                  <c:v>0.50215667349601023</c:v>
                </c:pt>
                <c:pt idx="134">
                  <c:v>0.50215667349601045</c:v>
                </c:pt>
                <c:pt idx="135">
                  <c:v>0.50215667349601045</c:v>
                </c:pt>
                <c:pt idx="136">
                  <c:v>0.51251564378097125</c:v>
                </c:pt>
                <c:pt idx="137">
                  <c:v>0.51937884624311836</c:v>
                </c:pt>
                <c:pt idx="138">
                  <c:v>0.52785966317045518</c:v>
                </c:pt>
                <c:pt idx="139">
                  <c:v>0.52822410145746046</c:v>
                </c:pt>
                <c:pt idx="140">
                  <c:v>0.5336602125984965</c:v>
                </c:pt>
                <c:pt idx="141">
                  <c:v>0.57733454144262297</c:v>
                </c:pt>
                <c:pt idx="142">
                  <c:v>0.58128438772003632</c:v>
                </c:pt>
                <c:pt idx="143">
                  <c:v>0.59563553114271894</c:v>
                </c:pt>
                <c:pt idx="144">
                  <c:v>0.59928910413830139</c:v>
                </c:pt>
                <c:pt idx="145">
                  <c:v>0.60321762052417904</c:v>
                </c:pt>
                <c:pt idx="146">
                  <c:v>0.61336528443004357</c:v>
                </c:pt>
                <c:pt idx="147">
                  <c:v>0.61712638109792717</c:v>
                </c:pt>
                <c:pt idx="148">
                  <c:v>0.620922996735911</c:v>
                </c:pt>
                <c:pt idx="149">
                  <c:v>0.63500966445397222</c:v>
                </c:pt>
                <c:pt idx="150">
                  <c:v>0.6424655840773541</c:v>
                </c:pt>
                <c:pt idx="151">
                  <c:v>0.64386964843618288</c:v>
                </c:pt>
                <c:pt idx="152">
                  <c:v>0.64466377230496807</c:v>
                </c:pt>
                <c:pt idx="153">
                  <c:v>0.6447732688732245</c:v>
                </c:pt>
                <c:pt idx="154">
                  <c:v>0.65246902598376266</c:v>
                </c:pt>
                <c:pt idx="155">
                  <c:v>0.65343555751088278</c:v>
                </c:pt>
                <c:pt idx="156">
                  <c:v>0.67611045759419564</c:v>
                </c:pt>
                <c:pt idx="157">
                  <c:v>0.6845419973980994</c:v>
                </c:pt>
                <c:pt idx="158">
                  <c:v>0.70922491099711515</c:v>
                </c:pt>
                <c:pt idx="159">
                  <c:v>0.71832183785075965</c:v>
                </c:pt>
                <c:pt idx="160">
                  <c:v>0.74268681584633867</c:v>
                </c:pt>
                <c:pt idx="161">
                  <c:v>0.74657684122995405</c:v>
                </c:pt>
                <c:pt idx="162">
                  <c:v>0.75104133618656443</c:v>
                </c:pt>
                <c:pt idx="163">
                  <c:v>0.77056441978284884</c:v>
                </c:pt>
                <c:pt idx="164">
                  <c:v>0.77056441978284884</c:v>
                </c:pt>
                <c:pt idx="165">
                  <c:v>0.77056441978284884</c:v>
                </c:pt>
                <c:pt idx="166">
                  <c:v>0.77592035079775601</c:v>
                </c:pt>
                <c:pt idx="167">
                  <c:v>0.77957147669492277</c:v>
                </c:pt>
                <c:pt idx="168">
                  <c:v>0.78156560486090332</c:v>
                </c:pt>
                <c:pt idx="169">
                  <c:v>0.78413371730219905</c:v>
                </c:pt>
                <c:pt idx="170">
                  <c:v>0.81784693560954203</c:v>
                </c:pt>
                <c:pt idx="171">
                  <c:v>0.81817891528232645</c:v>
                </c:pt>
                <c:pt idx="172">
                  <c:v>0.821237949728441</c:v>
                </c:pt>
                <c:pt idx="173">
                  <c:v>0.82269155867172739</c:v>
                </c:pt>
                <c:pt idx="174">
                  <c:v>0.82469876547258869</c:v>
                </c:pt>
                <c:pt idx="175">
                  <c:v>0.82586222793453246</c:v>
                </c:pt>
                <c:pt idx="176">
                  <c:v>0.86076517770537941</c:v>
                </c:pt>
                <c:pt idx="177">
                  <c:v>0.88261126905663323</c:v>
                </c:pt>
                <c:pt idx="178">
                  <c:v>0.90369371952310962</c:v>
                </c:pt>
                <c:pt idx="179">
                  <c:v>0.92103381774613569</c:v>
                </c:pt>
                <c:pt idx="180">
                  <c:v>0.92779737929095774</c:v>
                </c:pt>
                <c:pt idx="181">
                  <c:v>0.92783233583242875</c:v>
                </c:pt>
                <c:pt idx="182">
                  <c:v>0.97164391620221835</c:v>
                </c:pt>
                <c:pt idx="183">
                  <c:v>0.97453209038453636</c:v>
                </c:pt>
                <c:pt idx="184">
                  <c:v>0.978522268047187</c:v>
                </c:pt>
                <c:pt idx="185">
                  <c:v>0.97852226804718723</c:v>
                </c:pt>
                <c:pt idx="186">
                  <c:v>0.97852226804718723</c:v>
                </c:pt>
                <c:pt idx="187">
                  <c:v>0.97852226804718734</c:v>
                </c:pt>
                <c:pt idx="188">
                  <c:v>0.97852226804718734</c:v>
                </c:pt>
                <c:pt idx="189">
                  <c:v>0.97852226804718734</c:v>
                </c:pt>
                <c:pt idx="190">
                  <c:v>0.97852226804718756</c:v>
                </c:pt>
                <c:pt idx="191">
                  <c:v>0.97852226804718756</c:v>
                </c:pt>
                <c:pt idx="192">
                  <c:v>0.99346568308222682</c:v>
                </c:pt>
                <c:pt idx="193">
                  <c:v>0.99346568308222705</c:v>
                </c:pt>
                <c:pt idx="194">
                  <c:v>0.99346568308222716</c:v>
                </c:pt>
                <c:pt idx="195">
                  <c:v>0.99346568308222716</c:v>
                </c:pt>
                <c:pt idx="196">
                  <c:v>0.99346568308222738</c:v>
                </c:pt>
                <c:pt idx="197">
                  <c:v>1.0102916666928312</c:v>
                </c:pt>
                <c:pt idx="198">
                  <c:v>1.0431192059478598</c:v>
                </c:pt>
                <c:pt idx="199">
                  <c:v>1.0693868045906043</c:v>
                </c:pt>
                <c:pt idx="200">
                  <c:v>1.0740585840718533</c:v>
                </c:pt>
                <c:pt idx="201">
                  <c:v>1.1242032532001407</c:v>
                </c:pt>
                <c:pt idx="202">
                  <c:v>1.129907317416722</c:v>
                </c:pt>
                <c:pt idx="203">
                  <c:v>1.1448426152905071</c:v>
                </c:pt>
                <c:pt idx="204">
                  <c:v>1.1464992164240204</c:v>
                </c:pt>
                <c:pt idx="205">
                  <c:v>1.1550316830750478</c:v>
                </c:pt>
                <c:pt idx="206">
                  <c:v>1.1580212128537464</c:v>
                </c:pt>
                <c:pt idx="207">
                  <c:v>1.205529753091187</c:v>
                </c:pt>
                <c:pt idx="208">
                  <c:v>1.2264958108031483</c:v>
                </c:pt>
                <c:pt idx="209">
                  <c:v>1.2305472770115664</c:v>
                </c:pt>
                <c:pt idx="210">
                  <c:v>1.23224171147488</c:v>
                </c:pt>
                <c:pt idx="211">
                  <c:v>1.2496993866846109</c:v>
                </c:pt>
                <c:pt idx="212">
                  <c:v>1.264440182592973</c:v>
                </c:pt>
                <c:pt idx="213">
                  <c:v>1.3226226408551862</c:v>
                </c:pt>
                <c:pt idx="214">
                  <c:v>1.3518893460495207</c:v>
                </c:pt>
                <c:pt idx="215">
                  <c:v>1.3518893460495207</c:v>
                </c:pt>
                <c:pt idx="216">
                  <c:v>1.3518893460495207</c:v>
                </c:pt>
                <c:pt idx="217">
                  <c:v>1.3518893460495207</c:v>
                </c:pt>
                <c:pt idx="218">
                  <c:v>1.3518893460495207</c:v>
                </c:pt>
                <c:pt idx="219">
                  <c:v>1.3518893460495207</c:v>
                </c:pt>
                <c:pt idx="220">
                  <c:v>1.3518893460495207</c:v>
                </c:pt>
                <c:pt idx="221">
                  <c:v>1.3518893460495207</c:v>
                </c:pt>
                <c:pt idx="222">
                  <c:v>1.3518893460495207</c:v>
                </c:pt>
                <c:pt idx="223">
                  <c:v>1.3518893460495207</c:v>
                </c:pt>
                <c:pt idx="224">
                  <c:v>1.3518893460495207</c:v>
                </c:pt>
                <c:pt idx="225">
                  <c:v>1.3518893460495207</c:v>
                </c:pt>
                <c:pt idx="226">
                  <c:v>1.3518893460495207</c:v>
                </c:pt>
                <c:pt idx="227">
                  <c:v>1.3518893460495207</c:v>
                </c:pt>
                <c:pt idx="228">
                  <c:v>1.3518893460495207</c:v>
                </c:pt>
                <c:pt idx="229">
                  <c:v>1.3518893460495207</c:v>
                </c:pt>
                <c:pt idx="230">
                  <c:v>1.3518893460495207</c:v>
                </c:pt>
                <c:pt idx="231">
                  <c:v>1.3518893460495207</c:v>
                </c:pt>
                <c:pt idx="232">
                  <c:v>1.3518893460495207</c:v>
                </c:pt>
                <c:pt idx="233">
                  <c:v>1.3518893460495207</c:v>
                </c:pt>
                <c:pt idx="234">
                  <c:v>1.3518893460495207</c:v>
                </c:pt>
                <c:pt idx="235">
                  <c:v>1.3518893460495207</c:v>
                </c:pt>
                <c:pt idx="236">
                  <c:v>1.3518893460495207</c:v>
                </c:pt>
                <c:pt idx="237">
                  <c:v>1.3518893460495207</c:v>
                </c:pt>
                <c:pt idx="238">
                  <c:v>1.3518893460495207</c:v>
                </c:pt>
                <c:pt idx="239">
                  <c:v>1.3518893460495207</c:v>
                </c:pt>
                <c:pt idx="240">
                  <c:v>1.3518893460495207</c:v>
                </c:pt>
                <c:pt idx="241">
                  <c:v>1.3518893460495207</c:v>
                </c:pt>
                <c:pt idx="242">
                  <c:v>1.3518893460495207</c:v>
                </c:pt>
                <c:pt idx="243">
                  <c:v>1.3518893460495207</c:v>
                </c:pt>
                <c:pt idx="244">
                  <c:v>1.3518893460495207</c:v>
                </c:pt>
                <c:pt idx="245">
                  <c:v>1.3518893460495207</c:v>
                </c:pt>
                <c:pt idx="246">
                  <c:v>1.3518893460495207</c:v>
                </c:pt>
                <c:pt idx="247">
                  <c:v>1.3773462019900615</c:v>
                </c:pt>
                <c:pt idx="248">
                  <c:v>1.3849526560687626</c:v>
                </c:pt>
                <c:pt idx="249">
                  <c:v>1.3939934856606468</c:v>
                </c:pt>
                <c:pt idx="250">
                  <c:v>1.4294031461324603</c:v>
                </c:pt>
                <c:pt idx="251">
                  <c:v>1.5244121677903659</c:v>
                </c:pt>
                <c:pt idx="252">
                  <c:v>1.5248652160889229</c:v>
                </c:pt>
                <c:pt idx="253">
                  <c:v>1.542008675451815</c:v>
                </c:pt>
                <c:pt idx="254">
                  <c:v>1.5480652502776169</c:v>
                </c:pt>
                <c:pt idx="255">
                  <c:v>1.5525574707264282</c:v>
                </c:pt>
                <c:pt idx="256">
                  <c:v>1.5586748479947377</c:v>
                </c:pt>
                <c:pt idx="257">
                  <c:v>1.6729306241216606</c:v>
                </c:pt>
                <c:pt idx="258">
                  <c:v>1.6949246466819741</c:v>
                </c:pt>
                <c:pt idx="259">
                  <c:v>1.816962744920003</c:v>
                </c:pt>
                <c:pt idx="260">
                  <c:v>1.8363827829694128</c:v>
                </c:pt>
                <c:pt idx="261">
                  <c:v>1.9324064363868176</c:v>
                </c:pt>
                <c:pt idx="262">
                  <c:v>1.9632380334848212</c:v>
                </c:pt>
                <c:pt idx="263">
                  <c:v>2.0816500174096979</c:v>
                </c:pt>
                <c:pt idx="264">
                  <c:v>2.1016065496947873</c:v>
                </c:pt>
                <c:pt idx="265">
                  <c:v>2.1016065496947882</c:v>
                </c:pt>
                <c:pt idx="266">
                  <c:v>2.1292802529367787</c:v>
                </c:pt>
                <c:pt idx="267">
                  <c:v>2.1510583204467864</c:v>
                </c:pt>
                <c:pt idx="268">
                  <c:v>2.1841675638299041</c:v>
                </c:pt>
                <c:pt idx="269">
                  <c:v>2.3391484583424971</c:v>
                </c:pt>
                <c:pt idx="270">
                  <c:v>2.4464080274040976</c:v>
                </c:pt>
                <c:pt idx="271">
                  <c:v>2.5214884046734412</c:v>
                </c:pt>
                <c:pt idx="272">
                  <c:v>2.802799235966686</c:v>
                </c:pt>
                <c:pt idx="273">
                  <c:v>3.0511356646093293</c:v>
                </c:pt>
                <c:pt idx="274">
                  <c:v>3.0639475088090991</c:v>
                </c:pt>
                <c:pt idx="275">
                  <c:v>3.1136734111162339</c:v>
                </c:pt>
                <c:pt idx="276">
                  <c:v>3.2718088582133347</c:v>
                </c:pt>
                <c:pt idx="277">
                  <c:v>3.2718088582133351</c:v>
                </c:pt>
                <c:pt idx="278">
                  <c:v>3.4552459768459727</c:v>
                </c:pt>
                <c:pt idx="279">
                  <c:v>3.4552459768459731</c:v>
                </c:pt>
                <c:pt idx="280">
                  <c:v>3.5491587045464943</c:v>
                </c:pt>
                <c:pt idx="281">
                  <c:v>4.0579169333457017</c:v>
                </c:pt>
                <c:pt idx="282">
                  <c:v>4.1758149643389944</c:v>
                </c:pt>
                <c:pt idx="283">
                  <c:v>4.2229354693772434</c:v>
                </c:pt>
                <c:pt idx="284">
                  <c:v>4.5261602226805371</c:v>
                </c:pt>
                <c:pt idx="285">
                  <c:v>4.6071205936402739</c:v>
                </c:pt>
                <c:pt idx="286">
                  <c:v>4.6071205936402748</c:v>
                </c:pt>
                <c:pt idx="287">
                  <c:v>4.6071205936402748</c:v>
                </c:pt>
                <c:pt idx="288">
                  <c:v>4.6071205936402748</c:v>
                </c:pt>
                <c:pt idx="289">
                  <c:v>4.6071205936402757</c:v>
                </c:pt>
                <c:pt idx="290">
                  <c:v>4.6071205936402757</c:v>
                </c:pt>
                <c:pt idx="291">
                  <c:v>4.6071205936402766</c:v>
                </c:pt>
                <c:pt idx="292">
                  <c:v>4.9629714957201605</c:v>
                </c:pt>
                <c:pt idx="293">
                  <c:v>4.9763830298479474</c:v>
                </c:pt>
                <c:pt idx="294">
                  <c:v>5.2779884734018419</c:v>
                </c:pt>
                <c:pt idx="295">
                  <c:v>5.548318931380634</c:v>
                </c:pt>
                <c:pt idx="296">
                  <c:v>5.5895476986406782</c:v>
                </c:pt>
                <c:pt idx="297">
                  <c:v>5.6047582993619702</c:v>
                </c:pt>
                <c:pt idx="298">
                  <c:v>6.2534155337635324</c:v>
                </c:pt>
                <c:pt idx="299">
                  <c:v>7.6149835753434596</c:v>
                </c:pt>
                <c:pt idx="300">
                  <c:v>7.6360097400874594</c:v>
                </c:pt>
                <c:pt idx="301">
                  <c:v>8.5326721482838117</c:v>
                </c:pt>
                <c:pt idx="302">
                  <c:v>9.3056427927734386</c:v>
                </c:pt>
                <c:pt idx="303">
                  <c:v>9.8006239851399997</c:v>
                </c:pt>
                <c:pt idx="304">
                  <c:v>9.8279257036449756</c:v>
                </c:pt>
                <c:pt idx="305">
                  <c:v>10.270379208764339</c:v>
                </c:pt>
                <c:pt idx="306">
                  <c:v>10.992209583308044</c:v>
                </c:pt>
                <c:pt idx="307">
                  <c:v>18.96229606252064</c:v>
                </c:pt>
                <c:pt idx="308">
                  <c:v>19.015903373383992</c:v>
                </c:pt>
                <c:pt idx="309">
                  <c:v>21.301991256786227</c:v>
                </c:pt>
                <c:pt idx="310">
                  <c:v>23.450937208591306</c:v>
                </c:pt>
                <c:pt idx="311">
                  <c:v>23.517432599625359</c:v>
                </c:pt>
                <c:pt idx="312">
                  <c:v>26.353133650414581</c:v>
                </c:pt>
                <c:pt idx="313">
                  <c:v>34.643905276580966</c:v>
                </c:pt>
                <c:pt idx="314">
                  <c:v>34.742538649938538</c:v>
                </c:pt>
                <c:pt idx="315">
                  <c:v>37.781056979495851</c:v>
                </c:pt>
                <c:pt idx="316">
                  <c:v>38.948766421870459</c:v>
                </c:pt>
                <c:pt idx="317">
                  <c:v>44.24881371052647</c:v>
                </c:pt>
                <c:pt idx="318">
                  <c:v>73.650996838004474</c:v>
                </c:pt>
                <c:pt idx="319">
                  <c:v>80.221354375114629</c:v>
                </c:pt>
                <c:pt idx="320">
                  <c:v>80.45085270266388</c:v>
                </c:pt>
                <c:pt idx="321">
                  <c:v>89.203371966498025</c:v>
                </c:pt>
                <c:pt idx="322">
                  <c:v>90.237826483306293</c:v>
                </c:pt>
                <c:pt idx="323">
                  <c:v>100.877163400171</c:v>
                </c:pt>
                <c:pt idx="324">
                  <c:v>109.77591346502038</c:v>
                </c:pt>
                <c:pt idx="325">
                  <c:v>144.48250527644851</c:v>
                </c:pt>
                <c:pt idx="326">
                  <c:v>182.33260634553213</c:v>
                </c:pt>
                <c:pt idx="327">
                  <c:v>435.82595087377831</c:v>
                </c:pt>
              </c:numCache>
            </c:numRef>
          </c:xVal>
          <c:yVal>
            <c:numRef>
              <c:f>'Supply Curve'!$U$3:$U$331</c:f>
              <c:numCache>
                <c:formatCode>#,##0</c:formatCode>
                <c:ptCount val="329"/>
                <c:pt idx="0" formatCode="General">
                  <c:v>0</c:v>
                </c:pt>
                <c:pt idx="1">
                  <c:v>180.55825570378283</c:v>
                </c:pt>
                <c:pt idx="2">
                  <c:v>199561.22257677809</c:v>
                </c:pt>
                <c:pt idx="3">
                  <c:v>212238.15476667939</c:v>
                </c:pt>
                <c:pt idx="4">
                  <c:v>215020.32692179587</c:v>
                </c:pt>
                <c:pt idx="5">
                  <c:v>241189.14759476177</c:v>
                </c:pt>
                <c:pt idx="6">
                  <c:v>328265.84604856191</c:v>
                </c:pt>
                <c:pt idx="7">
                  <c:v>1582033.6899974232</c:v>
                </c:pt>
                <c:pt idx="8">
                  <c:v>1585620.6063296529</c:v>
                </c:pt>
                <c:pt idx="9">
                  <c:v>1620988.4634274147</c:v>
                </c:pt>
                <c:pt idx="10">
                  <c:v>1656058.7436660395</c:v>
                </c:pt>
                <c:pt idx="11">
                  <c:v>1664786.9843276942</c:v>
                </c:pt>
                <c:pt idx="12">
                  <c:v>1669887.4532228294</c:v>
                </c:pt>
                <c:pt idx="13">
                  <c:v>1670004.1151537611</c:v>
                </c:pt>
                <c:pt idx="14">
                  <c:v>1679345.1147061938</c:v>
                </c:pt>
                <c:pt idx="15">
                  <c:v>1679459.0856923466</c:v>
                </c:pt>
                <c:pt idx="16">
                  <c:v>1679478.956220052</c:v>
                </c:pt>
                <c:pt idx="17">
                  <c:v>1680007.2678299397</c:v>
                </c:pt>
                <c:pt idx="18">
                  <c:v>1684498.1660289047</c:v>
                </c:pt>
                <c:pt idx="19">
                  <c:v>1703035.9973352964</c:v>
                </c:pt>
                <c:pt idx="20">
                  <c:v>1703095.9349417393</c:v>
                </c:pt>
                <c:pt idx="21">
                  <c:v>1705938.319514493</c:v>
                </c:pt>
                <c:pt idx="22">
                  <c:v>1705938.319514493</c:v>
                </c:pt>
                <c:pt idx="23">
                  <c:v>1705939.3334291826</c:v>
                </c:pt>
                <c:pt idx="24">
                  <c:v>1709454.9961590699</c:v>
                </c:pt>
                <c:pt idx="25">
                  <c:v>1709878.4730413598</c:v>
                </c:pt>
                <c:pt idx="26">
                  <c:v>1709954.503785786</c:v>
                </c:pt>
                <c:pt idx="27">
                  <c:v>1711690.7188541652</c:v>
                </c:pt>
                <c:pt idx="28">
                  <c:v>1715627.3866519509</c:v>
                </c:pt>
                <c:pt idx="29">
                  <c:v>1766802.1148018544</c:v>
                </c:pt>
                <c:pt idx="30">
                  <c:v>1767672.5503688511</c:v>
                </c:pt>
                <c:pt idx="31">
                  <c:v>1854215.9592435039</c:v>
                </c:pt>
                <c:pt idx="32">
                  <c:v>1996211.8619824853</c:v>
                </c:pt>
                <c:pt idx="33">
                  <c:v>1997055.3790003995</c:v>
                </c:pt>
                <c:pt idx="34">
                  <c:v>1997417.0273951662</c:v>
                </c:pt>
                <c:pt idx="35">
                  <c:v>1998537.8076389998</c:v>
                </c:pt>
                <c:pt idx="36">
                  <c:v>1999655.4773678642</c:v>
                </c:pt>
                <c:pt idx="37">
                  <c:v>2013077.5882282031</c:v>
                </c:pt>
                <c:pt idx="38">
                  <c:v>2013396.0206472559</c:v>
                </c:pt>
                <c:pt idx="39">
                  <c:v>2013635.3064617366</c:v>
                </c:pt>
                <c:pt idx="40">
                  <c:v>2013644.7613428419</c:v>
                </c:pt>
                <c:pt idx="41">
                  <c:v>2015139.91470407</c:v>
                </c:pt>
                <c:pt idx="42">
                  <c:v>2015140.4480442698</c:v>
                </c:pt>
                <c:pt idx="43">
                  <c:v>2015157.2101783361</c:v>
                </c:pt>
                <c:pt idx="44">
                  <c:v>2060680.841959703</c:v>
                </c:pt>
                <c:pt idx="45">
                  <c:v>2060680.841959703</c:v>
                </c:pt>
                <c:pt idx="46">
                  <c:v>2116740.8099256321</c:v>
                </c:pt>
                <c:pt idx="47">
                  <c:v>2116749.3683157689</c:v>
                </c:pt>
                <c:pt idx="48">
                  <c:v>2116749.3683157689</c:v>
                </c:pt>
                <c:pt idx="49">
                  <c:v>2134440.7591019846</c:v>
                </c:pt>
                <c:pt idx="50">
                  <c:v>2141940.0719458512</c:v>
                </c:pt>
                <c:pt idx="51">
                  <c:v>2147590.1306552682</c:v>
                </c:pt>
                <c:pt idx="52">
                  <c:v>2147992.5361357187</c:v>
                </c:pt>
                <c:pt idx="53">
                  <c:v>2147992.5361357187</c:v>
                </c:pt>
                <c:pt idx="54">
                  <c:v>2147992.5361357187</c:v>
                </c:pt>
                <c:pt idx="55">
                  <c:v>2148051.5219749534</c:v>
                </c:pt>
                <c:pt idx="56">
                  <c:v>2151295.1693170019</c:v>
                </c:pt>
                <c:pt idx="57">
                  <c:v>2169336.3803101196</c:v>
                </c:pt>
                <c:pt idx="58">
                  <c:v>2169737.668989772</c:v>
                </c:pt>
                <c:pt idx="59">
                  <c:v>2174992.388023858</c:v>
                </c:pt>
                <c:pt idx="60">
                  <c:v>2178334.8933569049</c:v>
                </c:pt>
                <c:pt idx="61">
                  <c:v>2184770.1388893654</c:v>
                </c:pt>
                <c:pt idx="62">
                  <c:v>2184826.9006983475</c:v>
                </c:pt>
                <c:pt idx="63">
                  <c:v>2185973.5161591377</c:v>
                </c:pt>
                <c:pt idx="64">
                  <c:v>2194283.3728856225</c:v>
                </c:pt>
                <c:pt idx="65">
                  <c:v>2200564.0798832853</c:v>
                </c:pt>
                <c:pt idx="66">
                  <c:v>2201021.9470826089</c:v>
                </c:pt>
                <c:pt idx="67">
                  <c:v>2205196.8505415455</c:v>
                </c:pt>
                <c:pt idx="68">
                  <c:v>2205361.0699463137</c:v>
                </c:pt>
                <c:pt idx="69">
                  <c:v>2213330.6496482552</c:v>
                </c:pt>
                <c:pt idx="70">
                  <c:v>2217974.9238884104</c:v>
                </c:pt>
                <c:pt idx="71">
                  <c:v>2218033.4363559377</c:v>
                </c:pt>
                <c:pt idx="72">
                  <c:v>2218074.6153540933</c:v>
                </c:pt>
                <c:pt idx="73">
                  <c:v>2218909.7598903021</c:v>
                </c:pt>
                <c:pt idx="74">
                  <c:v>2220617.3220430166</c:v>
                </c:pt>
                <c:pt idx="75">
                  <c:v>2222108.3258870337</c:v>
                </c:pt>
                <c:pt idx="76">
                  <c:v>2222108.8577470481</c:v>
                </c:pt>
                <c:pt idx="77">
                  <c:v>2222565.4542219946</c:v>
                </c:pt>
                <c:pt idx="78">
                  <c:v>2267962.7437173631</c:v>
                </c:pt>
                <c:pt idx="79">
                  <c:v>2268058.4926333642</c:v>
                </c:pt>
                <c:pt idx="80">
                  <c:v>2271250.8924420741</c:v>
                </c:pt>
                <c:pt idx="81">
                  <c:v>2271443.7432830459</c:v>
                </c:pt>
                <c:pt idx="82">
                  <c:v>2327348.1273417021</c:v>
                </c:pt>
                <c:pt idx="83">
                  <c:v>2328180.9540911764</c:v>
                </c:pt>
                <c:pt idx="84">
                  <c:v>2328706.8444167301</c:v>
                </c:pt>
                <c:pt idx="85">
                  <c:v>2330409.6675515454</c:v>
                </c:pt>
                <c:pt idx="86">
                  <c:v>2337888.1674617543</c:v>
                </c:pt>
                <c:pt idx="87">
                  <c:v>2341687.9494212493</c:v>
                </c:pt>
                <c:pt idx="88">
                  <c:v>2359431.5143352216</c:v>
                </c:pt>
                <c:pt idx="89">
                  <c:v>2362615.0542381229</c:v>
                </c:pt>
                <c:pt idx="90">
                  <c:v>2362865.5237551685</c:v>
                </c:pt>
                <c:pt idx="91">
                  <c:v>2362865.5237551685</c:v>
                </c:pt>
                <c:pt idx="92">
                  <c:v>2364428.5920087099</c:v>
                </c:pt>
                <c:pt idx="93">
                  <c:v>2364428.9877456832</c:v>
                </c:pt>
                <c:pt idx="94">
                  <c:v>2367947.8504685955</c:v>
                </c:pt>
                <c:pt idx="95">
                  <c:v>2368032.0982040819</c:v>
                </c:pt>
                <c:pt idx="96">
                  <c:v>2368281.8725900473</c:v>
                </c:pt>
                <c:pt idx="97">
                  <c:v>2369840.6028413558</c:v>
                </c:pt>
                <c:pt idx="98">
                  <c:v>2375080.7383901384</c:v>
                </c:pt>
                <c:pt idx="99">
                  <c:v>2376539.5411502863</c:v>
                </c:pt>
                <c:pt idx="100">
                  <c:v>2376539.9220371842</c:v>
                </c:pt>
                <c:pt idx="101">
                  <c:v>2377290.3181939838</c:v>
                </c:pt>
                <c:pt idx="102">
                  <c:v>2377790.9387969724</c:v>
                </c:pt>
                <c:pt idx="103">
                  <c:v>2379220.4583461359</c:v>
                </c:pt>
                <c:pt idx="104">
                  <c:v>2379255.015387211</c:v>
                </c:pt>
                <c:pt idx="105">
                  <c:v>2380680.5675734766</c:v>
                </c:pt>
                <c:pt idx="106">
                  <c:v>2380697.6411458212</c:v>
                </c:pt>
                <c:pt idx="107">
                  <c:v>2380704.8135090983</c:v>
                </c:pt>
                <c:pt idx="108">
                  <c:v>2381681.7997464458</c:v>
                </c:pt>
                <c:pt idx="109">
                  <c:v>2382582.6964643998</c:v>
                </c:pt>
                <c:pt idx="110">
                  <c:v>2382864.8966779201</c:v>
                </c:pt>
                <c:pt idx="111">
                  <c:v>2382960.0390573475</c:v>
                </c:pt>
                <c:pt idx="112">
                  <c:v>2383407.853215395</c:v>
                </c:pt>
                <c:pt idx="113">
                  <c:v>2384306.2496637893</c:v>
                </c:pt>
                <c:pt idx="114">
                  <c:v>2384587.6666836431</c:v>
                </c:pt>
                <c:pt idx="115">
                  <c:v>2385034.2380176401</c:v>
                </c:pt>
                <c:pt idx="116">
                  <c:v>2385230.6074714758</c:v>
                </c:pt>
                <c:pt idx="117">
                  <c:v>2385292.1189640774</c:v>
                </c:pt>
                <c:pt idx="118">
                  <c:v>2385389.7295113057</c:v>
                </c:pt>
                <c:pt idx="119">
                  <c:v>2385389.7890843772</c:v>
                </c:pt>
                <c:pt idx="120">
                  <c:v>2385389.8484921148</c:v>
                </c:pt>
                <c:pt idx="121">
                  <c:v>2385389.8484921148</c:v>
                </c:pt>
                <c:pt idx="122">
                  <c:v>2385501.8044361924</c:v>
                </c:pt>
                <c:pt idx="123">
                  <c:v>2385536.8739293916</c:v>
                </c:pt>
                <c:pt idx="124">
                  <c:v>2385592.5245448686</c:v>
                </c:pt>
                <c:pt idx="125">
                  <c:v>2385596.3581774882</c:v>
                </c:pt>
                <c:pt idx="126">
                  <c:v>2446580.4921464473</c:v>
                </c:pt>
                <c:pt idx="127">
                  <c:v>2484983.8312769178</c:v>
                </c:pt>
                <c:pt idx="128">
                  <c:v>2506097.256318293</c:v>
                </c:pt>
                <c:pt idx="129">
                  <c:v>2576076.4077729243</c:v>
                </c:pt>
                <c:pt idx="130">
                  <c:v>2619209.1630780133</c:v>
                </c:pt>
                <c:pt idx="131">
                  <c:v>2624225.0132994684</c:v>
                </c:pt>
                <c:pt idx="132">
                  <c:v>2624235.3165422985</c:v>
                </c:pt>
                <c:pt idx="133">
                  <c:v>2624235.3165422985</c:v>
                </c:pt>
                <c:pt idx="134">
                  <c:v>2625242.2163990526</c:v>
                </c:pt>
                <c:pt idx="135">
                  <c:v>2628498.9455704405</c:v>
                </c:pt>
                <c:pt idx="136">
                  <c:v>2628940.0876157405</c:v>
                </c:pt>
                <c:pt idx="137">
                  <c:v>2968031.0092813228</c:v>
                </c:pt>
                <c:pt idx="138">
                  <c:v>2971687.8796284068</c:v>
                </c:pt>
                <c:pt idx="139">
                  <c:v>2990882.5069884332</c:v>
                </c:pt>
                <c:pt idx="140">
                  <c:v>3045206.2978692711</c:v>
                </c:pt>
                <c:pt idx="141">
                  <c:v>3046256.2660829672</c:v>
                </c:pt>
                <c:pt idx="142">
                  <c:v>4498735.8231491661</c:v>
                </c:pt>
                <c:pt idx="143">
                  <c:v>4558062.664640313</c:v>
                </c:pt>
                <c:pt idx="144">
                  <c:v>4624603.564596625</c:v>
                </c:pt>
                <c:pt idx="145">
                  <c:v>4652445.1732535716</c:v>
                </c:pt>
                <c:pt idx="146">
                  <c:v>4670313.9472883884</c:v>
                </c:pt>
                <c:pt idx="147">
                  <c:v>4670313.9472883884</c:v>
                </c:pt>
                <c:pt idx="148">
                  <c:v>4691802.9735268196</c:v>
                </c:pt>
                <c:pt idx="149">
                  <c:v>4708770.9883110281</c:v>
                </c:pt>
                <c:pt idx="150">
                  <c:v>4708987.2066253712</c:v>
                </c:pt>
                <c:pt idx="151">
                  <c:v>4712233.3942377958</c:v>
                </c:pt>
                <c:pt idx="152">
                  <c:v>4852102.5352877723</c:v>
                </c:pt>
                <c:pt idx="153">
                  <c:v>4852102.5352877723</c:v>
                </c:pt>
                <c:pt idx="154">
                  <c:v>4884197.7681576777</c:v>
                </c:pt>
                <c:pt idx="155">
                  <c:v>5072243.5686956793</c:v>
                </c:pt>
                <c:pt idx="156">
                  <c:v>5103053.7081237556</c:v>
                </c:pt>
                <c:pt idx="157">
                  <c:v>5112154.7534180889</c:v>
                </c:pt>
                <c:pt idx="158">
                  <c:v>5136525.8698530048</c:v>
                </c:pt>
                <c:pt idx="159">
                  <c:v>5142866.260929781</c:v>
                </c:pt>
                <c:pt idx="160">
                  <c:v>5257357.8003386138</c:v>
                </c:pt>
                <c:pt idx="161">
                  <c:v>5574325.7081374815</c:v>
                </c:pt>
                <c:pt idx="162">
                  <c:v>5583382.9466403667</c:v>
                </c:pt>
                <c:pt idx="163">
                  <c:v>5853396.0780519759</c:v>
                </c:pt>
                <c:pt idx="164">
                  <c:v>5970160.9672456244</c:v>
                </c:pt>
                <c:pt idx="165">
                  <c:v>5984417.6526709581</c:v>
                </c:pt>
                <c:pt idx="166">
                  <c:v>6018116.588324842</c:v>
                </c:pt>
                <c:pt idx="167">
                  <c:v>6025982.2112102415</c:v>
                </c:pt>
                <c:pt idx="168">
                  <c:v>6214859.3154580668</c:v>
                </c:pt>
                <c:pt idx="169">
                  <c:v>6215806.3151251739</c:v>
                </c:pt>
                <c:pt idx="170">
                  <c:v>6241717.9675582899</c:v>
                </c:pt>
                <c:pt idx="171">
                  <c:v>6305772.5916744592</c:v>
                </c:pt>
                <c:pt idx="172">
                  <c:v>8341609.9428279009</c:v>
                </c:pt>
                <c:pt idx="173">
                  <c:v>8397992.6087987088</c:v>
                </c:pt>
                <c:pt idx="174">
                  <c:v>8404061.5701518673</c:v>
                </c:pt>
                <c:pt idx="175">
                  <c:v>8405284.1151716989</c:v>
                </c:pt>
                <c:pt idx="176">
                  <c:v>8451422.9931575265</c:v>
                </c:pt>
                <c:pt idx="177">
                  <c:v>8511811.833804125</c:v>
                </c:pt>
                <c:pt idx="178">
                  <c:v>8511811.833804125</c:v>
                </c:pt>
                <c:pt idx="179">
                  <c:v>8587656.2456960026</c:v>
                </c:pt>
                <c:pt idx="180">
                  <c:v>8588732.9409643263</c:v>
                </c:pt>
                <c:pt idx="181">
                  <c:v>8588885.836988654</c:v>
                </c:pt>
                <c:pt idx="182">
                  <c:v>8719305.8246064652</c:v>
                </c:pt>
                <c:pt idx="183">
                  <c:v>8719305.8246064652</c:v>
                </c:pt>
                <c:pt idx="184">
                  <c:v>8955775.27086588</c:v>
                </c:pt>
                <c:pt idx="185">
                  <c:v>9011720.1882664636</c:v>
                </c:pt>
                <c:pt idx="186">
                  <c:v>9178503.9175908826</c:v>
                </c:pt>
                <c:pt idx="187">
                  <c:v>9310036.4356821813</c:v>
                </c:pt>
                <c:pt idx="188">
                  <c:v>9512475.7612958644</c:v>
                </c:pt>
                <c:pt idx="189">
                  <c:v>9552746.5734727215</c:v>
                </c:pt>
                <c:pt idx="190">
                  <c:v>9659320.248272568</c:v>
                </c:pt>
                <c:pt idx="191">
                  <c:v>9744407.431223115</c:v>
                </c:pt>
                <c:pt idx="192">
                  <c:v>9887149.9506146144</c:v>
                </c:pt>
                <c:pt idx="193">
                  <c:v>9887934.5627585929</c:v>
                </c:pt>
                <c:pt idx="194">
                  <c:v>9887934.5627585929</c:v>
                </c:pt>
                <c:pt idx="195">
                  <c:v>9892712.1353693195</c:v>
                </c:pt>
                <c:pt idx="196">
                  <c:v>9892712.1353693195</c:v>
                </c:pt>
                <c:pt idx="197">
                  <c:v>9892712.1353693195</c:v>
                </c:pt>
                <c:pt idx="198">
                  <c:v>9903300.9029289708</c:v>
                </c:pt>
                <c:pt idx="199">
                  <c:v>9956265.7736520823</c:v>
                </c:pt>
                <c:pt idx="200">
                  <c:v>10311280.772505635</c:v>
                </c:pt>
                <c:pt idx="201">
                  <c:v>10424372.757175812</c:v>
                </c:pt>
                <c:pt idx="202">
                  <c:v>10425507.219412988</c:v>
                </c:pt>
                <c:pt idx="203">
                  <c:v>10589329.83448874</c:v>
                </c:pt>
                <c:pt idx="204">
                  <c:v>10589329.83448874</c:v>
                </c:pt>
                <c:pt idx="205">
                  <c:v>10592062.873545239</c:v>
                </c:pt>
                <c:pt idx="206">
                  <c:v>11237678.695455881</c:v>
                </c:pt>
                <c:pt idx="207">
                  <c:v>11255477.700729834</c:v>
                </c:pt>
                <c:pt idx="208">
                  <c:v>11412882.858614743</c:v>
                </c:pt>
                <c:pt idx="209">
                  <c:v>12886320.332386341</c:v>
                </c:pt>
                <c:pt idx="210">
                  <c:v>12889291.827622373</c:v>
                </c:pt>
                <c:pt idx="211">
                  <c:v>13002833.594922444</c:v>
                </c:pt>
                <c:pt idx="212">
                  <c:v>13119663.914485425</c:v>
                </c:pt>
                <c:pt idx="213">
                  <c:v>13420264.759688661</c:v>
                </c:pt>
                <c:pt idx="214">
                  <c:v>13705992.946845092</c:v>
                </c:pt>
                <c:pt idx="215">
                  <c:v>13862112.310275421</c:v>
                </c:pt>
                <c:pt idx="216">
                  <c:v>13938987.64364139</c:v>
                </c:pt>
                <c:pt idx="217">
                  <c:v>14042408.222711654</c:v>
                </c:pt>
                <c:pt idx="218">
                  <c:v>14220247.437300058</c:v>
                </c:pt>
                <c:pt idx="219">
                  <c:v>14379555.93479876</c:v>
                </c:pt>
                <c:pt idx="220">
                  <c:v>14380210.397630615</c:v>
                </c:pt>
                <c:pt idx="221">
                  <c:v>14488475.295072697</c:v>
                </c:pt>
                <c:pt idx="222">
                  <c:v>14536296.731088387</c:v>
                </c:pt>
                <c:pt idx="223">
                  <c:v>14603831.58275735</c:v>
                </c:pt>
                <c:pt idx="224">
                  <c:v>14765275.930896357</c:v>
                </c:pt>
                <c:pt idx="225">
                  <c:v>14836735.276207922</c:v>
                </c:pt>
                <c:pt idx="226">
                  <c:v>15030359.277245805</c:v>
                </c:pt>
                <c:pt idx="227">
                  <c:v>15059149.303952698</c:v>
                </c:pt>
                <c:pt idx="228">
                  <c:v>15146156.342458403</c:v>
                </c:pt>
                <c:pt idx="229">
                  <c:v>15608536.873882635</c:v>
                </c:pt>
                <c:pt idx="230">
                  <c:v>15897868.301450668</c:v>
                </c:pt>
                <c:pt idx="231">
                  <c:v>15940889.101982504</c:v>
                </c:pt>
                <c:pt idx="232">
                  <c:v>16070633.783286745</c:v>
                </c:pt>
                <c:pt idx="233">
                  <c:v>16114398.478483176</c:v>
                </c:pt>
                <c:pt idx="234">
                  <c:v>16805331.516327299</c:v>
                </c:pt>
                <c:pt idx="235">
                  <c:v>16906039.320629179</c:v>
                </c:pt>
                <c:pt idx="236">
                  <c:v>16963397.904549249</c:v>
                </c:pt>
                <c:pt idx="237">
                  <c:v>17028795.281271081</c:v>
                </c:pt>
                <c:pt idx="238">
                  <c:v>17262083.7065189</c:v>
                </c:pt>
                <c:pt idx="239">
                  <c:v>17376958.153014779</c:v>
                </c:pt>
                <c:pt idx="240">
                  <c:v>17462491.131939054</c:v>
                </c:pt>
                <c:pt idx="241">
                  <c:v>17617032.013347954</c:v>
                </c:pt>
                <c:pt idx="242">
                  <c:v>17882776.309295919</c:v>
                </c:pt>
                <c:pt idx="243">
                  <c:v>18120830.242475409</c:v>
                </c:pt>
                <c:pt idx="244">
                  <c:v>18201031.27362692</c:v>
                </c:pt>
                <c:pt idx="245">
                  <c:v>18215052.21349683</c:v>
                </c:pt>
                <c:pt idx="246">
                  <c:v>18334896.234440055</c:v>
                </c:pt>
                <c:pt idx="247">
                  <c:v>18355847.658471484</c:v>
                </c:pt>
                <c:pt idx="248">
                  <c:v>18376506.649599966</c:v>
                </c:pt>
                <c:pt idx="249">
                  <c:v>18621934.513567615</c:v>
                </c:pt>
                <c:pt idx="250">
                  <c:v>18626953.081151959</c:v>
                </c:pt>
                <c:pt idx="251">
                  <c:v>18626953.081151959</c:v>
                </c:pt>
                <c:pt idx="252">
                  <c:v>19317346.572144568</c:v>
                </c:pt>
                <c:pt idx="253">
                  <c:v>19368346.335782729</c:v>
                </c:pt>
                <c:pt idx="254">
                  <c:v>19372493.591036323</c:v>
                </c:pt>
                <c:pt idx="255">
                  <c:v>21079837.618109491</c:v>
                </c:pt>
                <c:pt idx="256">
                  <c:v>21216029.572207894</c:v>
                </c:pt>
                <c:pt idx="257">
                  <c:v>22048452.679161943</c:v>
                </c:pt>
                <c:pt idx="258">
                  <c:v>22146248.41837265</c:v>
                </c:pt>
                <c:pt idx="259">
                  <c:v>22778072.983514119</c:v>
                </c:pt>
                <c:pt idx="260">
                  <c:v>22789210.221035581</c:v>
                </c:pt>
                <c:pt idx="261">
                  <c:v>23021782.652122937</c:v>
                </c:pt>
                <c:pt idx="262">
                  <c:v>23021782.652122937</c:v>
                </c:pt>
                <c:pt idx="263">
                  <c:v>23637483.031954534</c:v>
                </c:pt>
                <c:pt idx="264">
                  <c:v>23739136.164157756</c:v>
                </c:pt>
                <c:pt idx="265">
                  <c:v>23774659.581515949</c:v>
                </c:pt>
                <c:pt idx="266">
                  <c:v>23774739.561274413</c:v>
                </c:pt>
                <c:pt idx="267">
                  <c:v>23775855.519090816</c:v>
                </c:pt>
                <c:pt idx="268">
                  <c:v>23777687.273120034</c:v>
                </c:pt>
                <c:pt idx="269">
                  <c:v>23777687.273120034</c:v>
                </c:pt>
                <c:pt idx="270">
                  <c:v>23815468.592992321</c:v>
                </c:pt>
                <c:pt idx="271">
                  <c:v>23879801.497109074</c:v>
                </c:pt>
                <c:pt idx="272">
                  <c:v>23879801.497109074</c:v>
                </c:pt>
                <c:pt idx="273">
                  <c:v>23984228.122270472</c:v>
                </c:pt>
                <c:pt idx="274">
                  <c:v>25165830.380249854</c:v>
                </c:pt>
                <c:pt idx="275">
                  <c:v>25166373.058201671</c:v>
                </c:pt>
                <c:pt idx="276">
                  <c:v>25170666.711093124</c:v>
                </c:pt>
                <c:pt idx="277">
                  <c:v>25284880.421361323</c:v>
                </c:pt>
                <c:pt idx="278">
                  <c:v>25285137.548623957</c:v>
                </c:pt>
                <c:pt idx="279">
                  <c:v>25438895.241167352</c:v>
                </c:pt>
                <c:pt idx="280">
                  <c:v>25439241.28136804</c:v>
                </c:pt>
                <c:pt idx="281">
                  <c:v>25439241.28136804</c:v>
                </c:pt>
                <c:pt idx="282">
                  <c:v>25498057.428942263</c:v>
                </c:pt>
                <c:pt idx="283">
                  <c:v>25705027.546066992</c:v>
                </c:pt>
                <c:pt idx="284">
                  <c:v>25950915.754040446</c:v>
                </c:pt>
                <c:pt idx="285">
                  <c:v>25972438.491987154</c:v>
                </c:pt>
                <c:pt idx="286">
                  <c:v>25981575.140942119</c:v>
                </c:pt>
                <c:pt idx="287">
                  <c:v>25986922.473233737</c:v>
                </c:pt>
                <c:pt idx="288">
                  <c:v>26018997.131933566</c:v>
                </c:pt>
                <c:pt idx="289">
                  <c:v>26021240.140380297</c:v>
                </c:pt>
                <c:pt idx="290">
                  <c:v>26069726.467588998</c:v>
                </c:pt>
                <c:pt idx="291">
                  <c:v>26071857.144318979</c:v>
                </c:pt>
                <c:pt idx="292">
                  <c:v>26075627.498651557</c:v>
                </c:pt>
                <c:pt idx="293">
                  <c:v>26077086.497418869</c:v>
                </c:pt>
                <c:pt idx="294">
                  <c:v>26077543.51957852</c:v>
                </c:pt>
                <c:pt idx="295">
                  <c:v>26087825.901945401</c:v>
                </c:pt>
                <c:pt idx="296">
                  <c:v>26088551.135250788</c:v>
                </c:pt>
                <c:pt idx="297">
                  <c:v>26090263.798980918</c:v>
                </c:pt>
                <c:pt idx="298">
                  <c:v>26090800.280089904</c:v>
                </c:pt>
                <c:pt idx="299">
                  <c:v>26091651.604166284</c:v>
                </c:pt>
                <c:pt idx="300">
                  <c:v>26097227.489346664</c:v>
                </c:pt>
                <c:pt idx="301">
                  <c:v>26098974.100203503</c:v>
                </c:pt>
                <c:pt idx="302">
                  <c:v>26101745.739035856</c:v>
                </c:pt>
                <c:pt idx="303">
                  <c:v>26113797.500898063</c:v>
                </c:pt>
                <c:pt idx="304">
                  <c:v>26122945.569404863</c:v>
                </c:pt>
                <c:pt idx="305">
                  <c:v>26125811.144153301</c:v>
                </c:pt>
                <c:pt idx="306">
                  <c:v>26238065.538818814</c:v>
                </c:pt>
                <c:pt idx="307">
                  <c:v>26242612.824333891</c:v>
                </c:pt>
                <c:pt idx="308">
                  <c:v>26247573.882619061</c:v>
                </c:pt>
                <c:pt idx="309">
                  <c:v>26249127.902829658</c:v>
                </c:pt>
                <c:pt idx="310">
                  <c:v>26251593.925953865</c:v>
                </c:pt>
                <c:pt idx="311">
                  <c:v>26265269.980721705</c:v>
                </c:pt>
                <c:pt idx="312">
                  <c:v>26269553.918601248</c:v>
                </c:pt>
                <c:pt idx="313">
                  <c:v>26276351.957520936</c:v>
                </c:pt>
                <c:pt idx="314">
                  <c:v>26277067.042874929</c:v>
                </c:pt>
                <c:pt idx="315">
                  <c:v>26277291.038850892</c:v>
                </c:pt>
                <c:pt idx="316">
                  <c:v>26277397.144115347</c:v>
                </c:pt>
                <c:pt idx="317">
                  <c:v>26277752.595899496</c:v>
                </c:pt>
                <c:pt idx="318">
                  <c:v>26277752.709151812</c:v>
                </c:pt>
                <c:pt idx="319">
                  <c:v>26277752.709151812</c:v>
                </c:pt>
                <c:pt idx="320">
                  <c:v>26278462.434767645</c:v>
                </c:pt>
                <c:pt idx="321">
                  <c:v>26278684.751839444</c:v>
                </c:pt>
                <c:pt idx="322">
                  <c:v>26278824.656502157</c:v>
                </c:pt>
                <c:pt idx="323">
                  <c:v>26279177.444088977</c:v>
                </c:pt>
                <c:pt idx="324">
                  <c:v>26279274.296600901</c:v>
                </c:pt>
                <c:pt idx="325">
                  <c:v>26279348.554603521</c:v>
                </c:pt>
                <c:pt idx="326">
                  <c:v>26280340.580114126</c:v>
                </c:pt>
                <c:pt idx="327">
                  <c:v>26281299.658792399</c:v>
                </c:pt>
                <c:pt idx="328">
                  <c:v>26281455.763527934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964-4F84-A4E8-6A53681A6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311648"/>
        <c:axId val="1198307808"/>
      </c:scatterChart>
      <c:valAx>
        <c:axId val="1198311648"/>
        <c:scaling>
          <c:orientation val="minMax"/>
          <c:max val="6"/>
          <c:min val="-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Levelized Cost ($/therm)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307808"/>
        <c:crosses val="autoZero"/>
        <c:crossBetween val="midCat"/>
      </c:valAx>
      <c:valAx>
        <c:axId val="119830780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Cumulative Therms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3116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Cost-Effective Potential</a:t>
            </a:r>
            <a:r>
              <a:rPr lang="en-US" baseline="0"/>
              <a:t> by Rate Class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'Summary-Therms'!$B$45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numRef>
              <c:f>'Summary-Therms'!$C$18:$AA$18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'Summary-Therms'!$C$45:$AA$45</c:f>
              <c:numCache>
                <c:formatCode>_(* #,##0_);_(* \(#,##0\);_(* "-"??_);_(@_)</c:formatCode>
                <c:ptCount val="25"/>
                <c:pt idx="0">
                  <c:v>85478.585831938108</c:v>
                </c:pt>
                <c:pt idx="1">
                  <c:v>121593.95649246135</c:v>
                </c:pt>
                <c:pt idx="2">
                  <c:v>174683.64110222686</c:v>
                </c:pt>
                <c:pt idx="3">
                  <c:v>238378.41389296774</c:v>
                </c:pt>
                <c:pt idx="4">
                  <c:v>316507.28550416464</c:v>
                </c:pt>
                <c:pt idx="5">
                  <c:v>408054.33089593973</c:v>
                </c:pt>
                <c:pt idx="6">
                  <c:v>509787.55626908661</c:v>
                </c:pt>
                <c:pt idx="7">
                  <c:v>616027.23278720246</c:v>
                </c:pt>
                <c:pt idx="8">
                  <c:v>718581.35931258637</c:v>
                </c:pt>
                <c:pt idx="9">
                  <c:v>807311.36632641219</c:v>
                </c:pt>
                <c:pt idx="10">
                  <c:v>871937.44360924594</c:v>
                </c:pt>
                <c:pt idx="11">
                  <c:v>903947.82805335254</c:v>
                </c:pt>
                <c:pt idx="12">
                  <c:v>899061.07126613427</c:v>
                </c:pt>
                <c:pt idx="13">
                  <c:v>861569.48535626603</c:v>
                </c:pt>
                <c:pt idx="14">
                  <c:v>794214.36800645571</c:v>
                </c:pt>
                <c:pt idx="15">
                  <c:v>715226.15651233145</c:v>
                </c:pt>
                <c:pt idx="16">
                  <c:v>615026.97482588876</c:v>
                </c:pt>
                <c:pt idx="17">
                  <c:v>543538.26153868355</c:v>
                </c:pt>
                <c:pt idx="18">
                  <c:v>438040.02039835724</c:v>
                </c:pt>
                <c:pt idx="19">
                  <c:v>423939.88455586392</c:v>
                </c:pt>
                <c:pt idx="20">
                  <c:v>413145.84465255949</c:v>
                </c:pt>
                <c:pt idx="21">
                  <c:v>408496.11538071936</c:v>
                </c:pt>
                <c:pt idx="22">
                  <c:v>403141.15385180945</c:v>
                </c:pt>
                <c:pt idx="23">
                  <c:v>395218.3082862586</c:v>
                </c:pt>
                <c:pt idx="24">
                  <c:v>341006.1880571795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EA-496D-AA12-3D198F5DCD15}"/>
            </c:ext>
          </c:extLst>
        </c:ser>
        <c:ser>
          <c:idx val="2"/>
          <c:order val="1"/>
          <c:tx>
            <c:v>Com Sales</c:v>
          </c:tx>
          <c:spPr>
            <a:solidFill>
              <a:schemeClr val="accent2"/>
            </a:solidFill>
            <a:ln w="25400">
              <a:noFill/>
            </a:ln>
            <a:effectLst/>
          </c:spPr>
          <c:cat>
            <c:numRef>
              <c:f>'Summary-Therms'!$C$18:$AA$18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'Summary-Therms'!$C$47:$AA$47</c:f>
              <c:numCache>
                <c:formatCode>_(* #,##0_);_(* \(#,##0\);_(* "-"??_);_(@_)</c:formatCode>
                <c:ptCount val="25"/>
                <c:pt idx="0">
                  <c:v>139739.56923689327</c:v>
                </c:pt>
                <c:pt idx="1">
                  <c:v>145761.17624192109</c:v>
                </c:pt>
                <c:pt idx="2">
                  <c:v>162659.38996243765</c:v>
                </c:pt>
                <c:pt idx="3">
                  <c:v>188337.62205267895</c:v>
                </c:pt>
                <c:pt idx="4">
                  <c:v>216788.7538060105</c:v>
                </c:pt>
                <c:pt idx="5">
                  <c:v>247908.63330906647</c:v>
                </c:pt>
                <c:pt idx="6">
                  <c:v>272872.35318115418</c:v>
                </c:pt>
                <c:pt idx="7">
                  <c:v>289834.46560675569</c:v>
                </c:pt>
                <c:pt idx="8">
                  <c:v>289412.53258872876</c:v>
                </c:pt>
                <c:pt idx="9">
                  <c:v>277637.29810678103</c:v>
                </c:pt>
                <c:pt idx="10">
                  <c:v>274288.58418797189</c:v>
                </c:pt>
                <c:pt idx="11">
                  <c:v>288040.63951220829</c:v>
                </c:pt>
                <c:pt idx="12">
                  <c:v>297888.63368591608</c:v>
                </c:pt>
                <c:pt idx="13">
                  <c:v>295746.0713518447</c:v>
                </c:pt>
                <c:pt idx="14">
                  <c:v>275346.59365188977</c:v>
                </c:pt>
                <c:pt idx="15">
                  <c:v>251162.7242647981</c:v>
                </c:pt>
                <c:pt idx="16">
                  <c:v>215787.8463605768</c:v>
                </c:pt>
                <c:pt idx="17">
                  <c:v>186337.89302198723</c:v>
                </c:pt>
                <c:pt idx="18">
                  <c:v>147145.1741808283</c:v>
                </c:pt>
                <c:pt idx="19">
                  <c:v>140602.5840509492</c:v>
                </c:pt>
                <c:pt idx="20">
                  <c:v>139144.67641158195</c:v>
                </c:pt>
                <c:pt idx="21">
                  <c:v>127635.38429410679</c:v>
                </c:pt>
                <c:pt idx="22">
                  <c:v>107887.49925868641</c:v>
                </c:pt>
                <c:pt idx="23">
                  <c:v>98840.047055164061</c:v>
                </c:pt>
                <c:pt idx="24">
                  <c:v>61824.040509365434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EA-496D-AA12-3D198F5DCD15}"/>
            </c:ext>
          </c:extLst>
        </c:ser>
        <c:ser>
          <c:idx val="3"/>
          <c:order val="2"/>
          <c:tx>
            <c:v>Com Transport</c:v>
          </c:tx>
          <c:spPr>
            <a:solidFill>
              <a:schemeClr val="accent2">
                <a:lumMod val="40000"/>
                <a:lumOff val="60000"/>
              </a:schemeClr>
            </a:solidFill>
            <a:ln w="25400">
              <a:noFill/>
            </a:ln>
            <a:effectLst/>
          </c:spPr>
          <c:cat>
            <c:numRef>
              <c:f>'Summary-Therms'!$C$18:$AA$18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'Summary-Therms'!$C$48:$AA$48</c:f>
              <c:numCache>
                <c:formatCode>_(* #,##0_);_(* \(#,##0\);_(* "-"??_);_(@_)</c:formatCode>
                <c:ptCount val="25"/>
                <c:pt idx="0">
                  <c:v>7778.3576739984364</c:v>
                </c:pt>
                <c:pt idx="1">
                  <c:v>8834.7950125003681</c:v>
                </c:pt>
                <c:pt idx="2">
                  <c:v>10207.909397415191</c:v>
                </c:pt>
                <c:pt idx="3">
                  <c:v>12039.151298057306</c:v>
                </c:pt>
                <c:pt idx="4">
                  <c:v>13797.725392185142</c:v>
                </c:pt>
                <c:pt idx="5">
                  <c:v>15182.872636835371</c:v>
                </c:pt>
                <c:pt idx="6">
                  <c:v>15874.697773923657</c:v>
                </c:pt>
                <c:pt idx="7">
                  <c:v>15840.876021631464</c:v>
                </c:pt>
                <c:pt idx="8">
                  <c:v>15229.122230089415</c:v>
                </c:pt>
                <c:pt idx="9">
                  <c:v>11939.734327267926</c:v>
                </c:pt>
                <c:pt idx="10">
                  <c:v>10810.273169920283</c:v>
                </c:pt>
                <c:pt idx="11">
                  <c:v>11248.059946620086</c:v>
                </c:pt>
                <c:pt idx="12">
                  <c:v>11463.032508272379</c:v>
                </c:pt>
                <c:pt idx="13">
                  <c:v>11254.320326168621</c:v>
                </c:pt>
                <c:pt idx="14">
                  <c:v>10680.428081625991</c:v>
                </c:pt>
                <c:pt idx="15">
                  <c:v>9203.6788740862339</c:v>
                </c:pt>
                <c:pt idx="16">
                  <c:v>8639.8252400489419</c:v>
                </c:pt>
                <c:pt idx="17">
                  <c:v>7705.2709243136178</c:v>
                </c:pt>
                <c:pt idx="18">
                  <c:v>6433.2654182602855</c:v>
                </c:pt>
                <c:pt idx="19">
                  <c:v>6088.8988188212843</c:v>
                </c:pt>
                <c:pt idx="20">
                  <c:v>6080.163441893942</c:v>
                </c:pt>
                <c:pt idx="21">
                  <c:v>5653.1959418772676</c:v>
                </c:pt>
                <c:pt idx="22">
                  <c:v>5283.4247576810185</c:v>
                </c:pt>
                <c:pt idx="23">
                  <c:v>4798.8207175498928</c:v>
                </c:pt>
                <c:pt idx="24">
                  <c:v>3217.9380739890034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EA-496D-AA12-3D198F5DCD15}"/>
            </c:ext>
          </c:extLst>
        </c:ser>
        <c:ser>
          <c:idx val="5"/>
          <c:order val="3"/>
          <c:tx>
            <c:v>Ind Sales</c:v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'Summary-Therms'!$C$18:$AA$18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'Summary-Therms'!$C$50:$AA$50</c:f>
              <c:numCache>
                <c:formatCode>_(* #,##0_);_(* \(#,##0\);_(* "-"??_);_(@_)</c:formatCode>
                <c:ptCount val="25"/>
                <c:pt idx="0">
                  <c:v>3680.4777841846394</c:v>
                </c:pt>
                <c:pt idx="1">
                  <c:v>6545.5844151014717</c:v>
                </c:pt>
                <c:pt idx="2">
                  <c:v>10782.587952354972</c:v>
                </c:pt>
                <c:pt idx="3">
                  <c:v>16536.862751067649</c:v>
                </c:pt>
                <c:pt idx="4">
                  <c:v>23929.937211588782</c:v>
                </c:pt>
                <c:pt idx="5">
                  <c:v>32900.817262512704</c:v>
                </c:pt>
                <c:pt idx="6">
                  <c:v>43135.227992273874</c:v>
                </c:pt>
                <c:pt idx="7">
                  <c:v>54034.259580340171</c:v>
                </c:pt>
                <c:pt idx="8">
                  <c:v>64690.336861143624</c:v>
                </c:pt>
                <c:pt idx="9">
                  <c:v>73934.175212092407</c:v>
                </c:pt>
                <c:pt idx="10">
                  <c:v>80494.920365287442</c:v>
                </c:pt>
                <c:pt idx="11">
                  <c:v>83270.654016281143</c:v>
                </c:pt>
                <c:pt idx="12">
                  <c:v>81525.420185144845</c:v>
                </c:pt>
                <c:pt idx="13">
                  <c:v>75431.674379401025</c:v>
                </c:pt>
                <c:pt idx="14">
                  <c:v>58675.545450609941</c:v>
                </c:pt>
                <c:pt idx="15">
                  <c:v>47823.682627630653</c:v>
                </c:pt>
                <c:pt idx="16">
                  <c:v>21385.525585725271</c:v>
                </c:pt>
                <c:pt idx="17">
                  <c:v>6623.4758081359705</c:v>
                </c:pt>
                <c:pt idx="18">
                  <c:v>6613.1674590414896</c:v>
                </c:pt>
                <c:pt idx="19">
                  <c:v>6603.021978319779</c:v>
                </c:pt>
                <c:pt idx="20">
                  <c:v>6562.9321850801271</c:v>
                </c:pt>
                <c:pt idx="21">
                  <c:v>6503.3333124874271</c:v>
                </c:pt>
                <c:pt idx="22">
                  <c:v>6443.5020325461637</c:v>
                </c:pt>
                <c:pt idx="23">
                  <c:v>6390.0248352009867</c:v>
                </c:pt>
                <c:pt idx="24">
                  <c:v>6301.080740460312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EA-496D-AA12-3D198F5DCD15}"/>
            </c:ext>
          </c:extLst>
        </c:ser>
        <c:ser>
          <c:idx val="6"/>
          <c:order val="4"/>
          <c:tx>
            <c:v>Ind Transport</c:v>
          </c:tx>
          <c:spPr>
            <a:solidFill>
              <a:schemeClr val="accent3">
                <a:lumMod val="40000"/>
                <a:lumOff val="60000"/>
              </a:schemeClr>
            </a:solidFill>
            <a:ln w="25400">
              <a:noFill/>
            </a:ln>
            <a:effectLst/>
          </c:spPr>
          <c:cat>
            <c:numRef>
              <c:f>'Summary-Therms'!$C$18:$AA$18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'Summary-Therms'!$C$51:$AA$51</c:f>
              <c:numCache>
                <c:formatCode>_(* #,##0_);_(* \(#,##0\);_(* "-"??_);_(@_)</c:formatCode>
                <c:ptCount val="25"/>
                <c:pt idx="0">
                  <c:v>18513.609978005898</c:v>
                </c:pt>
                <c:pt idx="1">
                  <c:v>33509.720748838983</c:v>
                </c:pt>
                <c:pt idx="2">
                  <c:v>55678.405207087941</c:v>
                </c:pt>
                <c:pt idx="3">
                  <c:v>85867.789698362307</c:v>
                </c:pt>
                <c:pt idx="4">
                  <c:v>124759.51722711603</c:v>
                </c:pt>
                <c:pt idx="5">
                  <c:v>172043.22527353841</c:v>
                </c:pt>
                <c:pt idx="6">
                  <c:v>226151.95449279191</c:v>
                </c:pt>
                <c:pt idx="7">
                  <c:v>283960.24126258009</c:v>
                </c:pt>
                <c:pt idx="8">
                  <c:v>340686.65944588993</c:v>
                </c:pt>
                <c:pt idx="9">
                  <c:v>390164.87855591986</c:v>
                </c:pt>
                <c:pt idx="10">
                  <c:v>425614.50489032443</c:v>
                </c:pt>
                <c:pt idx="11">
                  <c:v>440919.33876608446</c:v>
                </c:pt>
                <c:pt idx="12">
                  <c:v>432204.90909377974</c:v>
                </c:pt>
                <c:pt idx="13">
                  <c:v>400169.15701154288</c:v>
                </c:pt>
                <c:pt idx="14">
                  <c:v>314307.20968345186</c:v>
                </c:pt>
                <c:pt idx="15">
                  <c:v>255994.24178860273</c:v>
                </c:pt>
                <c:pt idx="16">
                  <c:v>112982.2470660515</c:v>
                </c:pt>
                <c:pt idx="17">
                  <c:v>31851.50970098277</c:v>
                </c:pt>
                <c:pt idx="18">
                  <c:v>31922.993387192695</c:v>
                </c:pt>
                <c:pt idx="19">
                  <c:v>31863.840031244472</c:v>
                </c:pt>
                <c:pt idx="20">
                  <c:v>31664.587019031773</c:v>
                </c:pt>
                <c:pt idx="21">
                  <c:v>31420.498394626189</c:v>
                </c:pt>
                <c:pt idx="22">
                  <c:v>31178.291343996651</c:v>
                </c:pt>
                <c:pt idx="23">
                  <c:v>30937.951362903612</c:v>
                </c:pt>
                <c:pt idx="24">
                  <c:v>30699.464058914487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EA-496D-AA12-3D198F5DC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5550224"/>
        <c:axId val="1805544464"/>
      </c:areaChart>
      <c:catAx>
        <c:axId val="180555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5544464"/>
        <c:crosses val="autoZero"/>
        <c:auto val="1"/>
        <c:lblAlgn val="ctr"/>
        <c:lblOffset val="100"/>
        <c:tickLblSkip val="2"/>
        <c:noMultiLvlLbl val="0"/>
      </c:catAx>
      <c:valAx>
        <c:axId val="1805544464"/>
        <c:scaling>
          <c:orientation val="minMax"/>
          <c:max val="18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55502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 Achievable Potential by End Use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1"/>
          <c:order val="0"/>
          <c:tx>
            <c:strRef>
              <c:f>'Summary-Therms'!$B$59</c:f>
              <c:strCache>
                <c:ptCount val="1"/>
                <c:pt idx="0">
                  <c:v>HVAC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'Summary-Therms'!$C$56:$AA$56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'Summary-Therms'!$C$59:$AA$59</c:f>
              <c:numCache>
                <c:formatCode>_(* #,##0_);_(* \(#,##0\);_(* "-"??_);_(@_)</c:formatCode>
                <c:ptCount val="25"/>
                <c:pt idx="0">
                  <c:v>122507.66599610182</c:v>
                </c:pt>
                <c:pt idx="1">
                  <c:v>158710.27446387857</c:v>
                </c:pt>
                <c:pt idx="2">
                  <c:v>214772.60981449325</c:v>
                </c:pt>
                <c:pt idx="3">
                  <c:v>277017.34221108572</c:v>
                </c:pt>
                <c:pt idx="4">
                  <c:v>351993.74141856126</c:v>
                </c:pt>
                <c:pt idx="5">
                  <c:v>443168.10738271696</c:v>
                </c:pt>
                <c:pt idx="6">
                  <c:v>547039.78116521239</c:v>
                </c:pt>
                <c:pt idx="7">
                  <c:v>657260.83679185354</c:v>
                </c:pt>
                <c:pt idx="8">
                  <c:v>764484.58888899721</c:v>
                </c:pt>
                <c:pt idx="9">
                  <c:v>856964.50351230649</c:v>
                </c:pt>
                <c:pt idx="10">
                  <c:v>922538.49330733169</c:v>
                </c:pt>
                <c:pt idx="11">
                  <c:v>946937.41758079838</c:v>
                </c:pt>
                <c:pt idx="12">
                  <c:v>931811.52718725218</c:v>
                </c:pt>
                <c:pt idx="13">
                  <c:v>879182.00843147095</c:v>
                </c:pt>
                <c:pt idx="14">
                  <c:v>792716.18885214301</c:v>
                </c:pt>
                <c:pt idx="15">
                  <c:v>689442.59250472859</c:v>
                </c:pt>
                <c:pt idx="16">
                  <c:v>565019.63610189059</c:v>
                </c:pt>
                <c:pt idx="17">
                  <c:v>470196.28586996743</c:v>
                </c:pt>
                <c:pt idx="18">
                  <c:v>322379.73045495217</c:v>
                </c:pt>
                <c:pt idx="19">
                  <c:v>307461.47597342764</c:v>
                </c:pt>
                <c:pt idx="20">
                  <c:v>304716.63309274905</c:v>
                </c:pt>
                <c:pt idx="21">
                  <c:v>301097.52250339108</c:v>
                </c:pt>
                <c:pt idx="22">
                  <c:v>297033.21116685664</c:v>
                </c:pt>
                <c:pt idx="23">
                  <c:v>292825.97848344943</c:v>
                </c:pt>
                <c:pt idx="24">
                  <c:v>248131.14658512213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78-4D66-A054-25A058159545}"/>
            </c:ext>
          </c:extLst>
        </c:ser>
        <c:ser>
          <c:idx val="2"/>
          <c:order val="1"/>
          <c:tx>
            <c:strRef>
              <c:f>'Summary-Therms'!$B$60</c:f>
              <c:strCache>
                <c:ptCount val="1"/>
                <c:pt idx="0">
                  <c:v>Water Heat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'Summary-Therms'!$C$56:$AA$56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'Summary-Therms'!$C$60:$AA$60</c:f>
              <c:numCache>
                <c:formatCode>_(* #,##0_);_(* \(#,##0\);_(* "-"??_);_(@_)</c:formatCode>
                <c:ptCount val="25"/>
                <c:pt idx="0">
                  <c:v>2842.4776741629676</c:v>
                </c:pt>
                <c:pt idx="1">
                  <c:v>5443.0345682110092</c:v>
                </c:pt>
                <c:pt idx="2">
                  <c:v>9653.7173752675626</c:v>
                </c:pt>
                <c:pt idx="3">
                  <c:v>15542.360806662558</c:v>
                </c:pt>
                <c:pt idx="4">
                  <c:v>23477.551561309971</c:v>
                </c:pt>
                <c:pt idx="5">
                  <c:v>33593.238364678393</c:v>
                </c:pt>
                <c:pt idx="6">
                  <c:v>45829.106006872229</c:v>
                </c:pt>
                <c:pt idx="7">
                  <c:v>59883.843305502247</c:v>
                </c:pt>
                <c:pt idx="8">
                  <c:v>75180.200428823562</c:v>
                </c:pt>
                <c:pt idx="9">
                  <c:v>90874.589985246435</c:v>
                </c:pt>
                <c:pt idx="10">
                  <c:v>105925.66376454725</c:v>
                </c:pt>
                <c:pt idx="11">
                  <c:v>119233.92393769023</c:v>
                </c:pt>
                <c:pt idx="12">
                  <c:v>129842.75648202268</c:v>
                </c:pt>
                <c:pt idx="13">
                  <c:v>137153.61892619383</c:v>
                </c:pt>
                <c:pt idx="14">
                  <c:v>141081.74778718705</c:v>
                </c:pt>
                <c:pt idx="15">
                  <c:v>143178.24783621042</c:v>
                </c:pt>
                <c:pt idx="16">
                  <c:v>142235.12009613935</c:v>
                </c:pt>
                <c:pt idx="17">
                  <c:v>140608.79720622659</c:v>
                </c:pt>
                <c:pt idx="18">
                  <c:v>133860.63276046558</c:v>
                </c:pt>
                <c:pt idx="19">
                  <c:v>128122.96964604617</c:v>
                </c:pt>
                <c:pt idx="20">
                  <c:v>120130.06948400344</c:v>
                </c:pt>
                <c:pt idx="21">
                  <c:v>119159.77059726439</c:v>
                </c:pt>
                <c:pt idx="22">
                  <c:v>117994.8336141373</c:v>
                </c:pt>
                <c:pt idx="23">
                  <c:v>114528.75206456437</c:v>
                </c:pt>
                <c:pt idx="24">
                  <c:v>105067.2431768239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78-4D66-A054-25A058159545}"/>
            </c:ext>
          </c:extLst>
        </c:ser>
        <c:ser>
          <c:idx val="0"/>
          <c:order val="2"/>
          <c:tx>
            <c:strRef>
              <c:f>'Summary-Therms'!$B$58</c:f>
              <c:strCache>
                <c:ptCount val="1"/>
                <c:pt idx="0">
                  <c:v>Appliances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'Summary-Therms'!$C$56:$AA$56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'Summary-Therms'!$C$58:$AA$58</c:f>
              <c:numCache>
                <c:formatCode>_(* #,##0_);_(* \(#,##0\);_(* "-"??_);_(@_)</c:formatCode>
                <c:ptCount val="25"/>
                <c:pt idx="0">
                  <c:v>5107.4373392437919</c:v>
                </c:pt>
                <c:pt idx="1">
                  <c:v>6388.282758345721</c:v>
                </c:pt>
                <c:pt idx="2">
                  <c:v>8054.6475119498255</c:v>
                </c:pt>
                <c:pt idx="3">
                  <c:v>9507.9581875884978</c:v>
                </c:pt>
                <c:pt idx="4">
                  <c:v>10652.697434757021</c:v>
                </c:pt>
                <c:pt idx="5">
                  <c:v>11556.185664924402</c:v>
                </c:pt>
                <c:pt idx="6">
                  <c:v>12264.6981270544</c:v>
                </c:pt>
                <c:pt idx="7">
                  <c:v>12825.908685211851</c:v>
                </c:pt>
                <c:pt idx="8">
                  <c:v>13268.383545764984</c:v>
                </c:pt>
                <c:pt idx="9">
                  <c:v>13615.481430758078</c:v>
                </c:pt>
                <c:pt idx="10">
                  <c:v>13886.373146439086</c:v>
                </c:pt>
                <c:pt idx="11">
                  <c:v>14095.245650440427</c:v>
                </c:pt>
                <c:pt idx="12">
                  <c:v>14340.138458825064</c:v>
                </c:pt>
                <c:pt idx="13">
                  <c:v>14408.208240528327</c:v>
                </c:pt>
                <c:pt idx="14">
                  <c:v>15466.161061001789</c:v>
                </c:pt>
                <c:pt idx="15">
                  <c:v>14710.349490737568</c:v>
                </c:pt>
                <c:pt idx="16">
                  <c:v>8325.7501891463326</c:v>
                </c:pt>
                <c:pt idx="17">
                  <c:v>1005.6776898343109</c:v>
                </c:pt>
                <c:pt idx="18">
                  <c:v>904.18644679920135</c:v>
                </c:pt>
                <c:pt idx="19">
                  <c:v>811.1715721648394</c:v>
                </c:pt>
                <c:pt idx="20">
                  <c:v>724.31981640636252</c:v>
                </c:pt>
                <c:pt idx="21">
                  <c:v>646.44969295172052</c:v>
                </c:pt>
                <c:pt idx="22">
                  <c:v>510.069616574083</c:v>
                </c:pt>
                <c:pt idx="23">
                  <c:v>254.91570405017961</c:v>
                </c:pt>
                <c:pt idx="24">
                  <c:v>197.22211316955998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78-4D66-A054-25A058159545}"/>
            </c:ext>
          </c:extLst>
        </c:ser>
        <c:ser>
          <c:idx val="3"/>
          <c:order val="3"/>
          <c:tx>
            <c:strRef>
              <c:f>'Summary-Therms'!$B$61</c:f>
              <c:strCache>
                <c:ptCount val="1"/>
                <c:pt idx="0">
                  <c:v>Whole Building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cat>
            <c:numRef>
              <c:f>'Summary-Therms'!$C$56:$AA$56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'Summary-Therms'!$C$61:$AA$61</c:f>
              <c:numCache>
                <c:formatCode>_(* #,##0_);_(* \(#,##0\);_(* "-"??_);_(@_)</c:formatCode>
                <c:ptCount val="25"/>
                <c:pt idx="0">
                  <c:v>1886.3080401306549</c:v>
                </c:pt>
                <c:pt idx="1">
                  <c:v>3406.7232310052659</c:v>
                </c:pt>
                <c:pt idx="2">
                  <c:v>5393.8382662474669</c:v>
                </c:pt>
                <c:pt idx="3">
                  <c:v>7702.71784744248</c:v>
                </c:pt>
                <c:pt idx="4">
                  <c:v>9999.2078388564223</c:v>
                </c:pt>
                <c:pt idx="5">
                  <c:v>11895.012014094265</c:v>
                </c:pt>
                <c:pt idx="6">
                  <c:v>13059.280102311079</c:v>
                </c:pt>
                <c:pt idx="7">
                  <c:v>13320.020963532177</c:v>
                </c:pt>
                <c:pt idx="8">
                  <c:v>12700.06567690148</c:v>
                </c:pt>
                <c:pt idx="9">
                  <c:v>11388.434600644139</c:v>
                </c:pt>
                <c:pt idx="10">
                  <c:v>9667.4676131251854</c:v>
                </c:pt>
                <c:pt idx="11">
                  <c:v>7826.5626904702576</c:v>
                </c:pt>
                <c:pt idx="12">
                  <c:v>6096.6152987941159</c:v>
                </c:pt>
                <c:pt idx="13">
                  <c:v>4619.0328168245123</c:v>
                </c:pt>
                <c:pt idx="14">
                  <c:v>1699.3123450664541</c:v>
                </c:pt>
                <c:pt idx="15">
                  <c:v>1300.8199083277227</c:v>
                </c:pt>
                <c:pt idx="16">
                  <c:v>1171.1673234064804</c:v>
                </c:pt>
                <c:pt idx="17">
                  <c:v>1071.8939934935488</c:v>
                </c:pt>
                <c:pt idx="18">
                  <c:v>889.84843774055548</c:v>
                </c:pt>
                <c:pt idx="19">
                  <c:v>815.90182739699947</c:v>
                </c:pt>
                <c:pt idx="20">
                  <c:v>730.09607756762693</c:v>
                </c:pt>
                <c:pt idx="21">
                  <c:v>640.78708462176689</c:v>
                </c:pt>
                <c:pt idx="22">
                  <c:v>551.28007091812833</c:v>
                </c:pt>
                <c:pt idx="23">
                  <c:v>461.60736429746061</c:v>
                </c:pt>
                <c:pt idx="24">
                  <c:v>371.80680029327021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78-4D66-A054-25A058159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7961664"/>
        <c:axId val="1787962144"/>
      </c:areaChart>
      <c:catAx>
        <c:axId val="178796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7962144"/>
        <c:crosses val="autoZero"/>
        <c:auto val="1"/>
        <c:lblAlgn val="ctr"/>
        <c:lblOffset val="100"/>
        <c:tickLblSkip val="4"/>
        <c:noMultiLvlLbl val="0"/>
      </c:catAx>
      <c:valAx>
        <c:axId val="1787962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Annual therms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7961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Commercial Achievable Potential by End Use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1"/>
          <c:order val="0"/>
          <c:tx>
            <c:strRef>
              <c:f>'Summary-Therms'!$B$65</c:f>
              <c:strCache>
                <c:ptCount val="1"/>
                <c:pt idx="0">
                  <c:v>HVAC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numRef>
              <c:f>'Summary-Therms'!$C$56:$AA$56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'Summary-Therms'!$C$65:$AA$65</c:f>
              <c:numCache>
                <c:formatCode>_(* #,##0_);_(* \(#,##0\);_(* "-"??_);_(@_)</c:formatCode>
                <c:ptCount val="25"/>
                <c:pt idx="0">
                  <c:v>57012.361359268216</c:v>
                </c:pt>
                <c:pt idx="1">
                  <c:v>46540.734162084744</c:v>
                </c:pt>
                <c:pt idx="2">
                  <c:v>45310.953541944844</c:v>
                </c:pt>
                <c:pt idx="3">
                  <c:v>45615.081317636461</c:v>
                </c:pt>
                <c:pt idx="4">
                  <c:v>52402.573283619189</c:v>
                </c:pt>
                <c:pt idx="5">
                  <c:v>68713.446121708737</c:v>
                </c:pt>
                <c:pt idx="6">
                  <c:v>87688.225214580365</c:v>
                </c:pt>
                <c:pt idx="7">
                  <c:v>107473.77967518153</c:v>
                </c:pt>
                <c:pt idx="8">
                  <c:v>126567.8060699714</c:v>
                </c:pt>
                <c:pt idx="9">
                  <c:v>143188.72022635583</c:v>
                </c:pt>
                <c:pt idx="10">
                  <c:v>155495.02352416489</c:v>
                </c:pt>
                <c:pt idx="11">
                  <c:v>161867.65438374309</c:v>
                </c:pt>
                <c:pt idx="12">
                  <c:v>161255.93898017882</c:v>
                </c:pt>
                <c:pt idx="13">
                  <c:v>154243.31758510368</c:v>
                </c:pt>
                <c:pt idx="14">
                  <c:v>141228.47783175265</c:v>
                </c:pt>
                <c:pt idx="15">
                  <c:v>118785.10684662341</c:v>
                </c:pt>
                <c:pt idx="16">
                  <c:v>99659.074681241895</c:v>
                </c:pt>
                <c:pt idx="17">
                  <c:v>87017.643590942622</c:v>
                </c:pt>
                <c:pt idx="18">
                  <c:v>68301.572332161057</c:v>
                </c:pt>
                <c:pt idx="19">
                  <c:v>65542.673118115505</c:v>
                </c:pt>
                <c:pt idx="20">
                  <c:v>66068.722352502868</c:v>
                </c:pt>
                <c:pt idx="21">
                  <c:v>65978.273448652064</c:v>
                </c:pt>
                <c:pt idx="22">
                  <c:v>66507.212641714999</c:v>
                </c:pt>
                <c:pt idx="23">
                  <c:v>66123.69715830205</c:v>
                </c:pt>
                <c:pt idx="24">
                  <c:v>36204.259418884903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2D-41BF-B767-60EC26C110EF}"/>
            </c:ext>
          </c:extLst>
        </c:ser>
        <c:ser>
          <c:idx val="2"/>
          <c:order val="1"/>
          <c:tx>
            <c:strRef>
              <c:f>'Summary-Therms'!$B$66</c:f>
              <c:strCache>
                <c:ptCount val="1"/>
                <c:pt idx="0">
                  <c:v>Water Heat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cat>
            <c:numRef>
              <c:f>'Summary-Therms'!$C$56:$AA$56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'Summary-Therms'!$C$66:$AA$66</c:f>
              <c:numCache>
                <c:formatCode>_(* #,##0_);_(* \(#,##0\);_(* "-"??_);_(@_)</c:formatCode>
                <c:ptCount val="25"/>
                <c:pt idx="0">
                  <c:v>1277.513064193173</c:v>
                </c:pt>
                <c:pt idx="1">
                  <c:v>2588.6874840091632</c:v>
                </c:pt>
                <c:pt idx="2">
                  <c:v>4622.0446391521427</c:v>
                </c:pt>
                <c:pt idx="3">
                  <c:v>7453.836683838209</c:v>
                </c:pt>
                <c:pt idx="4">
                  <c:v>11152.052035481638</c:v>
                </c:pt>
                <c:pt idx="5">
                  <c:v>15648.824992754147</c:v>
                </c:pt>
                <c:pt idx="6">
                  <c:v>20771.877475538848</c:v>
                </c:pt>
                <c:pt idx="7">
                  <c:v>26260.353444005224</c:v>
                </c:pt>
                <c:pt idx="8">
                  <c:v>31789.51844810343</c:v>
                </c:pt>
                <c:pt idx="9">
                  <c:v>36999.11873330002</c:v>
                </c:pt>
                <c:pt idx="10">
                  <c:v>41526.013789679862</c:v>
                </c:pt>
                <c:pt idx="11">
                  <c:v>45045.677318822629</c:v>
                </c:pt>
                <c:pt idx="12">
                  <c:v>47324.588390153287</c:v>
                </c:pt>
                <c:pt idx="13">
                  <c:v>48275.741856622262</c:v>
                </c:pt>
                <c:pt idx="14">
                  <c:v>47997.535518521712</c:v>
                </c:pt>
                <c:pt idx="15">
                  <c:v>48580.713489410417</c:v>
                </c:pt>
                <c:pt idx="16">
                  <c:v>47162.599556178779</c:v>
                </c:pt>
                <c:pt idx="17">
                  <c:v>44434.071430504773</c:v>
                </c:pt>
                <c:pt idx="18">
                  <c:v>41016.945512770071</c:v>
                </c:pt>
                <c:pt idx="19">
                  <c:v>40560.400772961613</c:v>
                </c:pt>
                <c:pt idx="20">
                  <c:v>39808.625641363433</c:v>
                </c:pt>
                <c:pt idx="21">
                  <c:v>29516.058749222</c:v>
                </c:pt>
                <c:pt idx="22">
                  <c:v>21738.041699896257</c:v>
                </c:pt>
                <c:pt idx="23">
                  <c:v>18399.303763020915</c:v>
                </c:pt>
                <c:pt idx="24">
                  <c:v>10383.083909671175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2D-41BF-B767-60EC26C110EF}"/>
            </c:ext>
          </c:extLst>
        </c:ser>
        <c:ser>
          <c:idx val="0"/>
          <c:order val="2"/>
          <c:tx>
            <c:strRef>
              <c:f>'Summary-Therms'!$B$63</c:f>
              <c:strCache>
                <c:ptCount val="1"/>
                <c:pt idx="0">
                  <c:v>Appliances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'Summary-Therms'!$C$56:$AA$56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'Summary-Therms'!$C$63:$AA$63</c:f>
              <c:numCache>
                <c:formatCode>_(* #,##0_);_(* \(#,##0\);_(* "-"??_);_(@_)</c:formatCode>
                <c:ptCount val="25"/>
                <c:pt idx="0">
                  <c:v>4000.8498329350377</c:v>
                </c:pt>
                <c:pt idx="1">
                  <c:v>5975.8288947126748</c:v>
                </c:pt>
                <c:pt idx="2">
                  <c:v>8756.6726273019667</c:v>
                </c:pt>
                <c:pt idx="3">
                  <c:v>12656.124309513852</c:v>
                </c:pt>
                <c:pt idx="4">
                  <c:v>17407.438019555564</c:v>
                </c:pt>
                <c:pt idx="5">
                  <c:v>22839.626539638411</c:v>
                </c:pt>
                <c:pt idx="6">
                  <c:v>28706.133802309461</c:v>
                </c:pt>
                <c:pt idx="7">
                  <c:v>34772.159182579882</c:v>
                </c:pt>
                <c:pt idx="8">
                  <c:v>40751.578885429539</c:v>
                </c:pt>
                <c:pt idx="9">
                  <c:v>45820.38901822293</c:v>
                </c:pt>
                <c:pt idx="10">
                  <c:v>50715.244252172219</c:v>
                </c:pt>
                <c:pt idx="11">
                  <c:v>55701.354988409919</c:v>
                </c:pt>
                <c:pt idx="12">
                  <c:v>64716.002037660743</c:v>
                </c:pt>
                <c:pt idx="13">
                  <c:v>71018.144944259038</c:v>
                </c:pt>
                <c:pt idx="14">
                  <c:v>72392.877658911384</c:v>
                </c:pt>
                <c:pt idx="15">
                  <c:v>72520.704198857769</c:v>
                </c:pt>
                <c:pt idx="16">
                  <c:v>71366.681544356237</c:v>
                </c:pt>
                <c:pt idx="17">
                  <c:v>63150.584646489719</c:v>
                </c:pt>
                <c:pt idx="18">
                  <c:v>41717.912483101398</c:v>
                </c:pt>
                <c:pt idx="19">
                  <c:v>37226.40550746808</c:v>
                </c:pt>
                <c:pt idx="20">
                  <c:v>35973.612431780319</c:v>
                </c:pt>
                <c:pt idx="21">
                  <c:v>34424.436266250807</c:v>
                </c:pt>
                <c:pt idx="22">
                  <c:v>21559.475201596448</c:v>
                </c:pt>
                <c:pt idx="23">
                  <c:v>15759.586814595457</c:v>
                </c:pt>
                <c:pt idx="24">
                  <c:v>15072.770944924929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2D-41BF-B767-60EC26C110EF}"/>
            </c:ext>
          </c:extLst>
        </c:ser>
        <c:ser>
          <c:idx val="3"/>
          <c:order val="3"/>
          <c:tx>
            <c:strRef>
              <c:f>'Summary-Therms'!$B$64</c:f>
              <c:strCache>
                <c:ptCount val="1"/>
                <c:pt idx="0">
                  <c:v>Whole Building</c:v>
                </c:pt>
              </c:strCache>
            </c:strRef>
          </c:tx>
          <c:spPr>
            <a:solidFill>
              <a:schemeClr val="tx2"/>
            </a:solidFill>
            <a:ln w="25400">
              <a:noFill/>
            </a:ln>
            <a:effectLst/>
          </c:spPr>
          <c:cat>
            <c:numRef>
              <c:f>'Summary-Therms'!$C$56:$AA$56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'Summary-Therms'!$C$64:$AA$64</c:f>
              <c:numCache>
                <c:formatCode>_(* #,##0_);_(* \(#,##0\);_(* "-"??_);_(@_)</c:formatCode>
                <c:ptCount val="25"/>
                <c:pt idx="0">
                  <c:v>84019.48372315451</c:v>
                </c:pt>
                <c:pt idx="1">
                  <c:v>97098.187597026903</c:v>
                </c:pt>
                <c:pt idx="2">
                  <c:v>110259.08371438885</c:v>
                </c:pt>
                <c:pt idx="3">
                  <c:v>128332.06875536981</c:v>
                </c:pt>
                <c:pt idx="4">
                  <c:v>140155.94371851438</c:v>
                </c:pt>
                <c:pt idx="5">
                  <c:v>142542.8257306114</c:v>
                </c:pt>
                <c:pt idx="6">
                  <c:v>133733.05016035563</c:v>
                </c:pt>
                <c:pt idx="7">
                  <c:v>114444.95219201413</c:v>
                </c:pt>
                <c:pt idx="8">
                  <c:v>77948.777908115298</c:v>
                </c:pt>
                <c:pt idx="9">
                  <c:v>31652.612947343059</c:v>
                </c:pt>
                <c:pt idx="10">
                  <c:v>2224.2148961821517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2D-41BF-B767-60EC26C11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7961664"/>
        <c:axId val="1787962144"/>
      </c:areaChart>
      <c:catAx>
        <c:axId val="178796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7962144"/>
        <c:crosses val="autoZero"/>
        <c:auto val="1"/>
        <c:lblAlgn val="ctr"/>
        <c:lblOffset val="100"/>
        <c:tickLblSkip val="4"/>
        <c:noMultiLvlLbl val="0"/>
      </c:catAx>
      <c:valAx>
        <c:axId val="1787962144"/>
        <c:scaling>
          <c:orientation val="minMax"/>
          <c:max val="12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7961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Industrial Achievable Potential by End Use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1"/>
          <c:order val="0"/>
          <c:tx>
            <c:strRef>
              <c:f>'Summary-Therms'!$B$68</c:f>
              <c:strCache>
                <c:ptCount val="1"/>
                <c:pt idx="0">
                  <c:v>HVAC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numRef>
              <c:f>'Summary-Therms'!$C$56:$AA$56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'Summary-Therms'!$C$68:$AA$68</c:f>
              <c:numCache>
                <c:formatCode>_(* #,##0_);_(* \(#,##0\);_(* "-"??_);_(@_)</c:formatCode>
                <c:ptCount val="25"/>
                <c:pt idx="0">
                  <c:v>13349.57755986226</c:v>
                </c:pt>
                <c:pt idx="1">
                  <c:v>23870.827149630357</c:v>
                </c:pt>
                <c:pt idx="2">
                  <c:v>39146.386249241557</c:v>
                </c:pt>
                <c:pt idx="3">
                  <c:v>59889.320570213014</c:v>
                </c:pt>
                <c:pt idx="4">
                  <c:v>86423.7992992496</c:v>
                </c:pt>
                <c:pt idx="5">
                  <c:v>118452.72792775111</c:v>
                </c:pt>
                <c:pt idx="6">
                  <c:v>154815.38696347026</c:v>
                </c:pt>
                <c:pt idx="7">
                  <c:v>193298.705437267</c:v>
                </c:pt>
                <c:pt idx="8">
                  <c:v>230597.07218926869</c:v>
                </c:pt>
                <c:pt idx="9">
                  <c:v>262528.8368839075</c:v>
                </c:pt>
                <c:pt idx="10">
                  <c:v>284589.26527853339</c:v>
                </c:pt>
                <c:pt idx="11">
                  <c:v>292829.99378765572</c:v>
                </c:pt>
                <c:pt idx="12">
                  <c:v>284907.68331867259</c:v>
                </c:pt>
                <c:pt idx="13">
                  <c:v>261724.60275863911</c:v>
                </c:pt>
                <c:pt idx="14">
                  <c:v>198139.52530077592</c:v>
                </c:pt>
                <c:pt idx="15">
                  <c:v>158786.30361826741</c:v>
                </c:pt>
                <c:pt idx="16">
                  <c:v>67250.346133020808</c:v>
                </c:pt>
                <c:pt idx="17">
                  <c:v>15403.787817992008</c:v>
                </c:pt>
                <c:pt idx="18">
                  <c:v>15347.140907610234</c:v>
                </c:pt>
                <c:pt idx="19">
                  <c:v>15229.532839368338</c:v>
                </c:pt>
                <c:pt idx="20">
                  <c:v>15112.277360199927</c:v>
                </c:pt>
                <c:pt idx="21">
                  <c:v>14995.743206005753</c:v>
                </c:pt>
                <c:pt idx="22">
                  <c:v>14880.107700420302</c:v>
                </c:pt>
                <c:pt idx="23">
                  <c:v>14765.363913317466</c:v>
                </c:pt>
                <c:pt idx="24">
                  <c:v>14651.504968016281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41-4C09-8809-45ABEFF1E10F}"/>
            </c:ext>
          </c:extLst>
        </c:ser>
        <c:ser>
          <c:idx val="2"/>
          <c:order val="1"/>
          <c:tx>
            <c:strRef>
              <c:f>'Summary-Therms'!$B$70</c:f>
              <c:strCache>
                <c:ptCount val="1"/>
                <c:pt idx="0">
                  <c:v>Water Heat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cat>
            <c:numRef>
              <c:f>'Summary-Therms'!$C$56:$AA$56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'Summary-Therms'!$C$70:$AA$70</c:f>
              <c:numCache>
                <c:formatCode>_(* #,##0_);_(* \(#,##0\);_(* "-"??_);_(@_)</c:formatCode>
                <c:ptCount val="25"/>
                <c:pt idx="0">
                  <c:v>225.01468225816222</c:v>
                </c:pt>
                <c:pt idx="1">
                  <c:v>420.13677784298227</c:v>
                </c:pt>
                <c:pt idx="2">
                  <c:v>1013.8395784550173</c:v>
                </c:pt>
                <c:pt idx="3">
                  <c:v>1690.2426880354828</c:v>
                </c:pt>
                <c:pt idx="4">
                  <c:v>2641.8607732379041</c:v>
                </c:pt>
                <c:pt idx="5">
                  <c:v>3915.7490886330002</c:v>
                </c:pt>
                <c:pt idx="6">
                  <c:v>5542.9034486835271</c:v>
                </c:pt>
                <c:pt idx="7">
                  <c:v>7527.7564641501613</c:v>
                </c:pt>
                <c:pt idx="8">
                  <c:v>9838.3658496683402</c:v>
                </c:pt>
                <c:pt idx="9">
                  <c:v>12400.191084748478</c:v>
                </c:pt>
                <c:pt idx="10">
                  <c:v>15096.777832107948</c:v>
                </c:pt>
                <c:pt idx="11">
                  <c:v>17779.934561828479</c:v>
                </c:pt>
                <c:pt idx="12">
                  <c:v>20289.70926285618</c:v>
                </c:pt>
                <c:pt idx="13">
                  <c:v>22480.956319198329</c:v>
                </c:pt>
                <c:pt idx="14">
                  <c:v>24249.786175591849</c:v>
                </c:pt>
                <c:pt idx="15">
                  <c:v>25583.006964743057</c:v>
                </c:pt>
                <c:pt idx="16">
                  <c:v>26425.666309783446</c:v>
                </c:pt>
                <c:pt idx="17">
                  <c:v>26993.751371276336</c:v>
                </c:pt>
                <c:pt idx="18">
                  <c:v>27148.346734805535</c:v>
                </c:pt>
                <c:pt idx="19">
                  <c:v>27189.94130045818</c:v>
                </c:pt>
                <c:pt idx="20">
                  <c:v>27042.503664707896</c:v>
                </c:pt>
                <c:pt idx="21">
                  <c:v>26833.94453386404</c:v>
                </c:pt>
                <c:pt idx="22">
                  <c:v>26626.993936568288</c:v>
                </c:pt>
                <c:pt idx="23">
                  <c:v>26421.639466263237</c:v>
                </c:pt>
                <c:pt idx="24">
                  <c:v>26217.868812087621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41-4C09-8809-45ABEFF1E10F}"/>
            </c:ext>
          </c:extLst>
        </c:ser>
        <c:ser>
          <c:idx val="0"/>
          <c:order val="2"/>
          <c:tx>
            <c:strRef>
              <c:f>'Summary-Therms'!$B$69</c:f>
              <c:strCache>
                <c:ptCount val="1"/>
                <c:pt idx="0">
                  <c:v>Process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'Summary-Therms'!$C$56:$AA$56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'Summary-Therms'!$C$69:$AA$69</c:f>
              <c:numCache>
                <c:formatCode>_(* #,##0_);_(* \(#,##0\);_(* "-"??_);_(@_)</c:formatCode>
                <c:ptCount val="25"/>
                <c:pt idx="0">
                  <c:v>11263.580477282971</c:v>
                </c:pt>
                <c:pt idx="1">
                  <c:v>20595.892558722619</c:v>
                </c:pt>
                <c:pt idx="2">
                  <c:v>34336.724922735251</c:v>
                </c:pt>
                <c:pt idx="3">
                  <c:v>53206.465666375727</c:v>
                </c:pt>
                <c:pt idx="4">
                  <c:v>77584.357135978717</c:v>
                </c:pt>
                <c:pt idx="5">
                  <c:v>107289.92855676438</c:v>
                </c:pt>
                <c:pt idx="6">
                  <c:v>141346.03489739296</c:v>
                </c:pt>
                <c:pt idx="7">
                  <c:v>177779.28189157366</c:v>
                </c:pt>
                <c:pt idx="8">
                  <c:v>213545.69777004857</c:v>
                </c:pt>
                <c:pt idx="9">
                  <c:v>244688.45582451235</c:v>
                </c:pt>
                <c:pt idx="10">
                  <c:v>266817.3656675627</c:v>
                </c:pt>
                <c:pt idx="11">
                  <c:v>275924.33793603833</c:v>
                </c:pt>
                <c:pt idx="12">
                  <c:v>269411.05821183487</c:v>
                </c:pt>
                <c:pt idx="13">
                  <c:v>247541.46057487928</c:v>
                </c:pt>
                <c:pt idx="14">
                  <c:v>193812.00558795949</c:v>
                </c:pt>
                <c:pt idx="15">
                  <c:v>154368.99898577275</c:v>
                </c:pt>
                <c:pt idx="16">
                  <c:v>55832.351666149327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41-4C09-8809-45ABEFF1E10F}"/>
            </c:ext>
          </c:extLst>
        </c:ser>
        <c:ser>
          <c:idx val="3"/>
          <c:order val="3"/>
          <c:tx>
            <c:strRef>
              <c:f>'Summary-Therms'!$B$71</c:f>
              <c:strCache>
                <c:ptCount val="1"/>
                <c:pt idx="0">
                  <c:v>Whole Building</c:v>
                </c:pt>
              </c:strCache>
            </c:strRef>
          </c:tx>
          <c:spPr>
            <a:solidFill>
              <a:schemeClr val="tx2"/>
            </a:solidFill>
            <a:ln w="25400">
              <a:noFill/>
            </a:ln>
            <a:effectLst/>
          </c:spPr>
          <c:cat>
            <c:numRef>
              <c:f>'Summary-Therms'!$C$56:$AA$56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'Summary-Therms'!$C$71:$AA$71</c:f>
              <c:numCache>
                <c:formatCode>_(* #,##0_);_(* \(#,##0\);_(* "-"??_);_(@_)</c:formatCode>
                <c:ptCount val="25"/>
                <c:pt idx="0">
                  <c:v>2730.0358540616817</c:v>
                </c:pt>
                <c:pt idx="1">
                  <c:v>4406.5334677455685</c:v>
                </c:pt>
                <c:pt idx="2">
                  <c:v>6636.9255038788715</c:v>
                </c:pt>
                <c:pt idx="3">
                  <c:v>9432.1960852479879</c:v>
                </c:pt>
                <c:pt idx="4">
                  <c:v>12731.438543366046</c:v>
                </c:pt>
                <c:pt idx="5">
                  <c:v>16377.271775551195</c:v>
                </c:pt>
                <c:pt idx="6">
                  <c:v>20099.664375923887</c:v>
                </c:pt>
                <c:pt idx="7">
                  <c:v>23519.504615502457</c:v>
                </c:pt>
                <c:pt idx="8">
                  <c:v>26183.876041534972</c:v>
                </c:pt>
                <c:pt idx="9">
                  <c:v>27639.919473886388</c:v>
                </c:pt>
                <c:pt idx="10">
                  <c:v>27541.284266143586</c:v>
                </c:pt>
                <c:pt idx="11">
                  <c:v>25762.103324634591</c:v>
                </c:pt>
                <c:pt idx="12">
                  <c:v>22475.985884405425</c:v>
                </c:pt>
                <c:pt idx="13">
                  <c:v>18444.060018159485</c:v>
                </c:pt>
                <c:pt idx="14">
                  <c:v>3294.5146159423703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41-4C09-8809-45ABEFF1E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7961664"/>
        <c:axId val="1787962144"/>
      </c:areaChart>
      <c:catAx>
        <c:axId val="178796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7962144"/>
        <c:crosses val="autoZero"/>
        <c:auto val="1"/>
        <c:lblAlgn val="ctr"/>
        <c:lblOffset val="100"/>
        <c:tickLblSkip val="4"/>
        <c:noMultiLvlLbl val="0"/>
      </c:catAx>
      <c:valAx>
        <c:axId val="1787962144"/>
        <c:scaling>
          <c:orientation val="minMax"/>
          <c:max val="12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7961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 Cost-Effective Potential by End Use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1"/>
          <c:order val="0"/>
          <c:tx>
            <c:strRef>
              <c:f>'Summary-Therms'!$B$78</c:f>
              <c:strCache>
                <c:ptCount val="1"/>
                <c:pt idx="0">
                  <c:v>HVAC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numRef>
              <c:f>'Summary-Therms'!$C$56:$AA$56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'Summary-Therms'!$C$78:$AA$78</c:f>
              <c:numCache>
                <c:formatCode>_(* #,##0_);_(* \(#,##0\);_(* "-"??_);_(@_)</c:formatCode>
                <c:ptCount val="25"/>
                <c:pt idx="0">
                  <c:v>80747.753820783415</c:v>
                </c:pt>
                <c:pt idx="1">
                  <c:v>112741.68276408617</c:v>
                </c:pt>
                <c:pt idx="2">
                  <c:v>159630.40390959632</c:v>
                </c:pt>
                <c:pt idx="3">
                  <c:v>215122.61993808145</c:v>
                </c:pt>
                <c:pt idx="4">
                  <c:v>283012.27676407946</c:v>
                </c:pt>
                <c:pt idx="5">
                  <c:v>362537.17809609394</c:v>
                </c:pt>
                <c:pt idx="6">
                  <c:v>450856.02231416717</c:v>
                </c:pt>
                <c:pt idx="7">
                  <c:v>542761.96551808459</c:v>
                </c:pt>
                <c:pt idx="8">
                  <c:v>630617.42036128626</c:v>
                </c:pt>
                <c:pt idx="9">
                  <c:v>704938.81715522485</c:v>
                </c:pt>
                <c:pt idx="10">
                  <c:v>756206.27180445485</c:v>
                </c:pt>
                <c:pt idx="11">
                  <c:v>776719.54879446723</c:v>
                </c:pt>
                <c:pt idx="12">
                  <c:v>762837.35382740921</c:v>
                </c:pt>
                <c:pt idx="13">
                  <c:v>719531.94362716633</c:v>
                </c:pt>
                <c:pt idx="14">
                  <c:v>651132.50836926268</c:v>
                </c:pt>
                <c:pt idx="15">
                  <c:v>570424.40310988156</c:v>
                </c:pt>
                <c:pt idx="16">
                  <c:v>471285.38388120895</c:v>
                </c:pt>
                <c:pt idx="17">
                  <c:v>401516.35571924481</c:v>
                </c:pt>
                <c:pt idx="18">
                  <c:v>302950.07998337923</c:v>
                </c:pt>
                <c:pt idx="19">
                  <c:v>294665.41246772482</c:v>
                </c:pt>
                <c:pt idx="20">
                  <c:v>291958.68414218334</c:v>
                </c:pt>
                <c:pt idx="21">
                  <c:v>288378.91041538661</c:v>
                </c:pt>
                <c:pt idx="22">
                  <c:v>284355.14075206564</c:v>
                </c:pt>
                <c:pt idx="23">
                  <c:v>280189.64081862743</c:v>
                </c:pt>
                <c:pt idx="24">
                  <c:v>235537.72346878357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40-4825-A89D-5119E93E8ACA}"/>
            </c:ext>
          </c:extLst>
        </c:ser>
        <c:ser>
          <c:idx val="2"/>
          <c:order val="1"/>
          <c:tx>
            <c:strRef>
              <c:f>'Summary-Therms'!$B$79</c:f>
              <c:strCache>
                <c:ptCount val="1"/>
                <c:pt idx="0">
                  <c:v>Water Heat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cat>
            <c:numRef>
              <c:f>'Summary-Therms'!$C$56:$AA$56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'Summary-Therms'!$C$79:$AA$79</c:f>
              <c:numCache>
                <c:formatCode>_(* #,##0_);_(* \(#,##0\);_(* "-"??_);_(@_)</c:formatCode>
                <c:ptCount val="25"/>
                <c:pt idx="0">
                  <c:v>2842.4776741629676</c:v>
                </c:pt>
                <c:pt idx="1">
                  <c:v>5443.0345682110092</c:v>
                </c:pt>
                <c:pt idx="2">
                  <c:v>9653.7173752675626</c:v>
                </c:pt>
                <c:pt idx="3">
                  <c:v>15542.360806662558</c:v>
                </c:pt>
                <c:pt idx="4">
                  <c:v>23477.551561309971</c:v>
                </c:pt>
                <c:pt idx="5">
                  <c:v>33593.238364678393</c:v>
                </c:pt>
                <c:pt idx="6">
                  <c:v>45829.106006872229</c:v>
                </c:pt>
                <c:pt idx="7">
                  <c:v>59883.843305502247</c:v>
                </c:pt>
                <c:pt idx="8">
                  <c:v>75180.200428823562</c:v>
                </c:pt>
                <c:pt idx="9">
                  <c:v>90874.589985246435</c:v>
                </c:pt>
                <c:pt idx="10">
                  <c:v>105925.66376454725</c:v>
                </c:pt>
                <c:pt idx="11">
                  <c:v>119233.92393769023</c:v>
                </c:pt>
                <c:pt idx="12">
                  <c:v>129842.75648202268</c:v>
                </c:pt>
                <c:pt idx="13">
                  <c:v>137153.61892619383</c:v>
                </c:pt>
                <c:pt idx="14">
                  <c:v>141081.74778718705</c:v>
                </c:pt>
                <c:pt idx="15">
                  <c:v>143178.24783621042</c:v>
                </c:pt>
                <c:pt idx="16">
                  <c:v>142235.12009613935</c:v>
                </c:pt>
                <c:pt idx="17">
                  <c:v>140608.79720622659</c:v>
                </c:pt>
                <c:pt idx="18">
                  <c:v>133860.63276046558</c:v>
                </c:pt>
                <c:pt idx="19">
                  <c:v>128122.96964604617</c:v>
                </c:pt>
                <c:pt idx="20">
                  <c:v>120130.06948400344</c:v>
                </c:pt>
                <c:pt idx="21">
                  <c:v>119159.77059726439</c:v>
                </c:pt>
                <c:pt idx="22">
                  <c:v>117994.8336141373</c:v>
                </c:pt>
                <c:pt idx="23">
                  <c:v>114528.75206456437</c:v>
                </c:pt>
                <c:pt idx="24">
                  <c:v>105067.2431768239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40-4825-A89D-5119E93E8ACA}"/>
            </c:ext>
          </c:extLst>
        </c:ser>
        <c:ser>
          <c:idx val="0"/>
          <c:order val="2"/>
          <c:tx>
            <c:strRef>
              <c:f>'Summary-Therms'!$B$77</c:f>
              <c:strCache>
                <c:ptCount val="1"/>
                <c:pt idx="0">
                  <c:v>Appliances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'Summary-Therms'!$C$56:$AA$56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'Summary-Therms'!$C$77:$AA$77</c:f>
              <c:numCache>
                <c:formatCode>_(* #,##0_);_(* \(#,##0\);_(* "-"??_);_(@_)</c:formatCode>
                <c:ptCount val="25"/>
                <c:pt idx="0">
                  <c:v>2.0462968610513483</c:v>
                </c:pt>
                <c:pt idx="1">
                  <c:v>2.5159291589519199</c:v>
                </c:pt>
                <c:pt idx="2">
                  <c:v>5.6815511156350711</c:v>
                </c:pt>
                <c:pt idx="3">
                  <c:v>10.715300781172594</c:v>
                </c:pt>
                <c:pt idx="4">
                  <c:v>18.249339918842448</c:v>
                </c:pt>
                <c:pt idx="5">
                  <c:v>28.902421073212903</c:v>
                </c:pt>
                <c:pt idx="6">
                  <c:v>43.147845736163383</c:v>
                </c:pt>
                <c:pt idx="7">
                  <c:v>61.403000083315462</c:v>
                </c:pt>
                <c:pt idx="8">
                  <c:v>83.672845575204221</c:v>
                </c:pt>
                <c:pt idx="9">
                  <c:v>109.52458529689102</c:v>
                </c:pt>
                <c:pt idx="10">
                  <c:v>138.0404271186876</c:v>
                </c:pt>
                <c:pt idx="11">
                  <c:v>167.79263072482479</c:v>
                </c:pt>
                <c:pt idx="12">
                  <c:v>284.34565790814048</c:v>
                </c:pt>
                <c:pt idx="13">
                  <c:v>264.88998608151286</c:v>
                </c:pt>
                <c:pt idx="14">
                  <c:v>300.79950493916795</c:v>
                </c:pt>
                <c:pt idx="15">
                  <c:v>322.68565791164445</c:v>
                </c:pt>
                <c:pt idx="16">
                  <c:v>335.30352513392324</c:v>
                </c:pt>
                <c:pt idx="17">
                  <c:v>341.21461971858253</c:v>
                </c:pt>
                <c:pt idx="18">
                  <c:v>339.45921677185038</c:v>
                </c:pt>
                <c:pt idx="19">
                  <c:v>335.60061469596468</c:v>
                </c:pt>
                <c:pt idx="20">
                  <c:v>326.99494880511878</c:v>
                </c:pt>
                <c:pt idx="21">
                  <c:v>316.64728344656851</c:v>
                </c:pt>
                <c:pt idx="22">
                  <c:v>239.89941468838816</c:v>
                </c:pt>
                <c:pt idx="23">
                  <c:v>38.308038769342744</c:v>
                </c:pt>
                <c:pt idx="24">
                  <c:v>29.41461127893081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40-4825-A89D-5119E93E8ACA}"/>
            </c:ext>
          </c:extLst>
        </c:ser>
        <c:ser>
          <c:idx val="3"/>
          <c:order val="3"/>
          <c:tx>
            <c:strRef>
              <c:f>'Summary-Therms'!$B$80</c:f>
              <c:strCache>
                <c:ptCount val="1"/>
                <c:pt idx="0">
                  <c:v>Whole Building</c:v>
                </c:pt>
              </c:strCache>
            </c:strRef>
          </c:tx>
          <c:spPr>
            <a:solidFill>
              <a:schemeClr val="tx2"/>
            </a:solidFill>
            <a:ln w="25400">
              <a:noFill/>
            </a:ln>
            <a:effectLst/>
          </c:spPr>
          <c:cat>
            <c:numRef>
              <c:f>'Summary-Therms'!$C$56:$AA$56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'Summary-Therms'!$C$80:$AA$80</c:f>
              <c:numCache>
                <c:formatCode>_(* #,##0_);_(* \(#,##0\);_(* "-"??_);_(@_)</c:formatCode>
                <c:ptCount val="25"/>
                <c:pt idx="0">
                  <c:v>1886.3080401306549</c:v>
                </c:pt>
                <c:pt idx="1">
                  <c:v>3406.7232310052659</c:v>
                </c:pt>
                <c:pt idx="2">
                  <c:v>5393.8382662474669</c:v>
                </c:pt>
                <c:pt idx="3">
                  <c:v>7702.71784744248</c:v>
                </c:pt>
                <c:pt idx="4">
                  <c:v>9999.2078388564223</c:v>
                </c:pt>
                <c:pt idx="5">
                  <c:v>11895.012014094265</c:v>
                </c:pt>
                <c:pt idx="6">
                  <c:v>13059.280102311079</c:v>
                </c:pt>
                <c:pt idx="7">
                  <c:v>13320.020963532177</c:v>
                </c:pt>
                <c:pt idx="8">
                  <c:v>12700.06567690148</c:v>
                </c:pt>
                <c:pt idx="9">
                  <c:v>11388.434600644139</c:v>
                </c:pt>
                <c:pt idx="10">
                  <c:v>9667.4676131251854</c:v>
                </c:pt>
                <c:pt idx="11">
                  <c:v>7826.5626904702576</c:v>
                </c:pt>
                <c:pt idx="12">
                  <c:v>6096.6152987941159</c:v>
                </c:pt>
                <c:pt idx="13">
                  <c:v>4619.0328168245123</c:v>
                </c:pt>
                <c:pt idx="14">
                  <c:v>1699.3123450664541</c:v>
                </c:pt>
                <c:pt idx="15">
                  <c:v>1300.8199083277227</c:v>
                </c:pt>
                <c:pt idx="16">
                  <c:v>1171.1673234064804</c:v>
                </c:pt>
                <c:pt idx="17">
                  <c:v>1071.8939934935488</c:v>
                </c:pt>
                <c:pt idx="18">
                  <c:v>889.84843774055548</c:v>
                </c:pt>
                <c:pt idx="19">
                  <c:v>815.90182739699947</c:v>
                </c:pt>
                <c:pt idx="20">
                  <c:v>730.09607756762693</c:v>
                </c:pt>
                <c:pt idx="21">
                  <c:v>640.78708462176689</c:v>
                </c:pt>
                <c:pt idx="22">
                  <c:v>551.28007091812833</c:v>
                </c:pt>
                <c:pt idx="23">
                  <c:v>461.60736429746061</c:v>
                </c:pt>
                <c:pt idx="24">
                  <c:v>371.80680029327021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40-4825-A89D-5119E93E8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7961664"/>
        <c:axId val="1787962144"/>
      </c:areaChart>
      <c:catAx>
        <c:axId val="178796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7962144"/>
        <c:crosses val="autoZero"/>
        <c:auto val="1"/>
        <c:lblAlgn val="ctr"/>
        <c:lblOffset val="100"/>
        <c:tickLblSkip val="4"/>
        <c:noMultiLvlLbl val="0"/>
      </c:catAx>
      <c:valAx>
        <c:axId val="1787962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Annual therms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7961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Commercial Cost-Effective Potential by End Use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1"/>
          <c:order val="0"/>
          <c:tx>
            <c:strRef>
              <c:f>'Summary-Therms'!$B$84</c:f>
              <c:strCache>
                <c:ptCount val="1"/>
                <c:pt idx="0">
                  <c:v>HVAC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numRef>
              <c:f>'Summary-Therms'!$C$75:$AA$75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'Summary-Therms'!$C$84:$AA$84</c:f>
              <c:numCache>
                <c:formatCode>_(* #,##0_);_(* \(#,##0\);_(* "-"??_);_(@_)</c:formatCode>
                <c:ptCount val="25"/>
                <c:pt idx="0">
                  <c:v>56388.859497737038</c:v>
                </c:pt>
                <c:pt idx="1">
                  <c:v>45531.867157653942</c:v>
                </c:pt>
                <c:pt idx="2">
                  <c:v>43482.077438011758</c:v>
                </c:pt>
                <c:pt idx="3">
                  <c:v>43009.702228628681</c:v>
                </c:pt>
                <c:pt idx="4">
                  <c:v>48875.962603546235</c:v>
                </c:pt>
                <c:pt idx="5">
                  <c:v>64162.848033749477</c:v>
                </c:pt>
                <c:pt idx="6">
                  <c:v>82084.556856821189</c:v>
                </c:pt>
                <c:pt idx="7">
                  <c:v>100892.76458750035</c:v>
                </c:pt>
                <c:pt idx="8">
                  <c:v>119211.76957412605</c:v>
                </c:pt>
                <c:pt idx="9">
                  <c:v>135388.24531892964</c:v>
                </c:pt>
                <c:pt idx="10">
                  <c:v>147681.10945702397</c:v>
                </c:pt>
                <c:pt idx="11">
                  <c:v>154511.89316714372</c:v>
                </c:pt>
                <c:pt idx="12">
                  <c:v>154787.68329556508</c:v>
                </c:pt>
                <c:pt idx="13">
                  <c:v>148899.46331188225</c:v>
                </c:pt>
                <c:pt idx="14">
                  <c:v>137258.45686298126</c:v>
                </c:pt>
                <c:pt idx="15">
                  <c:v>116796.19909152153</c:v>
                </c:pt>
                <c:pt idx="16">
                  <c:v>99216.107068135185</c:v>
                </c:pt>
                <c:pt idx="17">
                  <c:v>86824.826655407393</c:v>
                </c:pt>
                <c:pt idx="18">
                  <c:v>68181.126629986669</c:v>
                </c:pt>
                <c:pt idx="19">
                  <c:v>65499.970485356396</c:v>
                </c:pt>
                <c:pt idx="20">
                  <c:v>66028.672964214944</c:v>
                </c:pt>
                <c:pt idx="21">
                  <c:v>65940.746416960945</c:v>
                </c:pt>
                <c:pt idx="22">
                  <c:v>66471.83832814834</c:v>
                </c:pt>
                <c:pt idx="23">
                  <c:v>66089.95327942312</c:v>
                </c:pt>
                <c:pt idx="24">
                  <c:v>36171.589768240701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42-4E6D-A5A9-029E60B4CF6E}"/>
            </c:ext>
          </c:extLst>
        </c:ser>
        <c:ser>
          <c:idx val="2"/>
          <c:order val="1"/>
          <c:tx>
            <c:strRef>
              <c:f>'Summary-Therms'!$B$85</c:f>
              <c:strCache>
                <c:ptCount val="1"/>
                <c:pt idx="0">
                  <c:v>Water Heat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cat>
            <c:numRef>
              <c:f>'Summary-Therms'!$C$75:$AA$75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'Summary-Therms'!$C$85:$AA$85</c:f>
              <c:numCache>
                <c:formatCode>_(* #,##0_);_(* \(#,##0\);_(* "-"??_);_(@_)</c:formatCode>
                <c:ptCount val="25"/>
                <c:pt idx="0">
                  <c:v>1275.9336369712962</c:v>
                </c:pt>
                <c:pt idx="1">
                  <c:v>2585.5412632772018</c:v>
                </c:pt>
                <c:pt idx="2">
                  <c:v>4616.4777470872405</c:v>
                </c:pt>
                <c:pt idx="3">
                  <c:v>7444.8127447661727</c:v>
                </c:pt>
                <c:pt idx="4">
                  <c:v>11138.402386476624</c:v>
                </c:pt>
                <c:pt idx="5">
                  <c:v>15629.343436485662</c:v>
                </c:pt>
                <c:pt idx="6">
                  <c:v>20745.468873374692</c:v>
                </c:pt>
                <c:pt idx="7">
                  <c:v>26226.236712012738</c:v>
                </c:pt>
                <c:pt idx="8">
                  <c:v>31747.467729199245</c:v>
                </c:pt>
                <c:pt idx="9">
                  <c:v>36949.702190498392</c:v>
                </c:pt>
                <c:pt idx="10">
                  <c:v>41470.762997401478</c:v>
                </c:pt>
                <c:pt idx="11">
                  <c:v>44987.103634001011</c:v>
                </c:pt>
                <c:pt idx="12">
                  <c:v>47265.97295805785</c:v>
                </c:pt>
                <c:pt idx="13">
                  <c:v>48220.677328629979</c:v>
                </c:pt>
                <c:pt idx="14">
                  <c:v>47949.288222192343</c:v>
                </c:pt>
                <c:pt idx="15">
                  <c:v>48540.950851277848</c:v>
                </c:pt>
                <c:pt idx="16">
                  <c:v>47133.009106399819</c:v>
                </c:pt>
                <c:pt idx="17">
                  <c:v>44418.389089234399</c:v>
                </c:pt>
                <c:pt idx="18">
                  <c:v>41015.24906825785</c:v>
                </c:pt>
                <c:pt idx="19">
                  <c:v>40560.400772961613</c:v>
                </c:pt>
                <c:pt idx="20">
                  <c:v>39808.625641363433</c:v>
                </c:pt>
                <c:pt idx="21">
                  <c:v>29516.058749222</c:v>
                </c:pt>
                <c:pt idx="22">
                  <c:v>21738.041699896257</c:v>
                </c:pt>
                <c:pt idx="23">
                  <c:v>18399.303763020915</c:v>
                </c:pt>
                <c:pt idx="24">
                  <c:v>10383.083909671175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42-4E6D-A5A9-029E60B4CF6E}"/>
            </c:ext>
          </c:extLst>
        </c:ser>
        <c:ser>
          <c:idx val="0"/>
          <c:order val="2"/>
          <c:tx>
            <c:strRef>
              <c:f>'Summary-Therms'!$B$82</c:f>
              <c:strCache>
                <c:ptCount val="1"/>
                <c:pt idx="0">
                  <c:v>Appliances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'Summary-Therms'!$C$75:$AA$75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'Summary-Therms'!$C$82:$AA$82</c:f>
              <c:numCache>
                <c:formatCode>_(* #,##0_);_(* \(#,##0\);_(* "-"??_);_(@_)</c:formatCode>
                <c:ptCount val="25"/>
                <c:pt idx="0">
                  <c:v>3457.2235623829833</c:v>
                </c:pt>
                <c:pt idx="1">
                  <c:v>5032.4751782392896</c:v>
                </c:pt>
                <c:pt idx="2">
                  <c:v>7273.0330253673174</c:v>
                </c:pt>
                <c:pt idx="3">
                  <c:v>10439.013666756415</c:v>
                </c:pt>
                <c:pt idx="4">
                  <c:v>14239.375184834827</c:v>
                </c:pt>
                <c:pt idx="5">
                  <c:v>18496.747629419919</c:v>
                </c:pt>
                <c:pt idx="6">
                  <c:v>22986.048739452239</c:v>
                </c:pt>
                <c:pt idx="7">
                  <c:v>27531.780298930928</c:v>
                </c:pt>
                <c:pt idx="8">
                  <c:v>31951.852271730535</c:v>
                </c:pt>
                <c:pt idx="9">
                  <c:v>35570.373873708486</c:v>
                </c:pt>
                <c:pt idx="10">
                  <c:v>39303.112937564139</c:v>
                </c:pt>
                <c:pt idx="11">
                  <c:v>43596.857812982606</c:v>
                </c:pt>
                <c:pt idx="12">
                  <c:v>52399.704359361262</c:v>
                </c:pt>
                <c:pt idx="13">
                  <c:v>59206.697362217623</c:v>
                </c:pt>
                <c:pt idx="14">
                  <c:v>61775.692552962748</c:v>
                </c:pt>
                <c:pt idx="15">
                  <c:v>63408.233132423105</c:v>
                </c:pt>
                <c:pt idx="16">
                  <c:v>64131.282012874362</c:v>
                </c:pt>
                <c:pt idx="17">
                  <c:v>58877.394521509428</c:v>
                </c:pt>
                <c:pt idx="18">
                  <c:v>40422.737104662468</c:v>
                </c:pt>
                <c:pt idx="19">
                  <c:v>36678.499481190207</c:v>
                </c:pt>
                <c:pt idx="20">
                  <c:v>35460.27942710153</c:v>
                </c:pt>
                <c:pt idx="21">
                  <c:v>33925.919037044878</c:v>
                </c:pt>
                <c:pt idx="22">
                  <c:v>21075.735727876996</c:v>
                </c:pt>
                <c:pt idx="23">
                  <c:v>15290.583548793755</c:v>
                </c:pt>
                <c:pt idx="24">
                  <c:v>14618.47592471347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42-4E6D-A5A9-029E60B4CF6E}"/>
            </c:ext>
          </c:extLst>
        </c:ser>
        <c:ser>
          <c:idx val="3"/>
          <c:order val="3"/>
          <c:tx>
            <c:strRef>
              <c:f>'Summary-Therms'!$B$83</c:f>
              <c:strCache>
                <c:ptCount val="1"/>
                <c:pt idx="0">
                  <c:v>Whole Building</c:v>
                </c:pt>
              </c:strCache>
            </c:strRef>
          </c:tx>
          <c:spPr>
            <a:solidFill>
              <a:schemeClr val="tx2"/>
            </a:solidFill>
            <a:ln w="25400">
              <a:noFill/>
            </a:ln>
            <a:effectLst/>
          </c:spPr>
          <c:cat>
            <c:numRef>
              <c:f>'Summary-Therms'!$C$75:$AA$75</c:f>
              <c:numCache>
                <c:formatCode>General</c:formatCode>
                <c:ptCount val="2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</c:numCache>
            </c:numRef>
          </c:cat>
          <c:val>
            <c:numRef>
              <c:f>'Summary-Therms'!$C$83:$AA$83</c:f>
              <c:numCache>
                <c:formatCode>_(* #,##0_);_(* \(#,##0\);_(* "-"??_);_(@_)</c:formatCode>
                <c:ptCount val="25"/>
                <c:pt idx="0">
                  <c:v>84019.48372315451</c:v>
                </c:pt>
                <c:pt idx="1">
                  <c:v>97098.187597026903</c:v>
                </c:pt>
                <c:pt idx="2">
                  <c:v>110259.08371438885</c:v>
                </c:pt>
                <c:pt idx="3">
                  <c:v>128332.06875536981</c:v>
                </c:pt>
                <c:pt idx="4">
                  <c:v>140155.94371851438</c:v>
                </c:pt>
                <c:pt idx="5">
                  <c:v>142542.8257306114</c:v>
                </c:pt>
                <c:pt idx="6">
                  <c:v>133733.05016035563</c:v>
                </c:pt>
                <c:pt idx="7">
                  <c:v>114444.95219201413</c:v>
                </c:pt>
                <c:pt idx="8">
                  <c:v>77948.777908115298</c:v>
                </c:pt>
                <c:pt idx="9">
                  <c:v>31652.612947343059</c:v>
                </c:pt>
                <c:pt idx="10">
                  <c:v>2224.2148961821517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42-4E6D-A5A9-029E60B4C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7961664"/>
        <c:axId val="1787962144"/>
      </c:areaChart>
      <c:catAx>
        <c:axId val="178796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7962144"/>
        <c:crosses val="autoZero"/>
        <c:auto val="1"/>
        <c:lblAlgn val="ctr"/>
        <c:lblOffset val="100"/>
        <c:tickLblSkip val="4"/>
        <c:noMultiLvlLbl val="0"/>
      </c:catAx>
      <c:valAx>
        <c:axId val="1787962144"/>
        <c:scaling>
          <c:orientation val="minMax"/>
          <c:max val="12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7961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10" Type="http://schemas.openxmlformats.org/officeDocument/2006/relationships/chart" Target="../charts/chart22.xml"/><Relationship Id="rId4" Type="http://schemas.openxmlformats.org/officeDocument/2006/relationships/chart" Target="../charts/chart16.xml"/><Relationship Id="rId9" Type="http://schemas.openxmlformats.org/officeDocument/2006/relationships/chart" Target="../charts/chart2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3" Type="http://schemas.openxmlformats.org/officeDocument/2006/relationships/chart" Target="../charts/chart25.xml"/><Relationship Id="rId7" Type="http://schemas.openxmlformats.org/officeDocument/2006/relationships/chart" Target="../charts/chart29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5" Type="http://schemas.openxmlformats.org/officeDocument/2006/relationships/chart" Target="../charts/chart27.xml"/><Relationship Id="rId10" Type="http://schemas.openxmlformats.org/officeDocument/2006/relationships/chart" Target="../charts/chart32.xml"/><Relationship Id="rId4" Type="http://schemas.openxmlformats.org/officeDocument/2006/relationships/chart" Target="../charts/chart26.xml"/><Relationship Id="rId9" Type="http://schemas.openxmlformats.org/officeDocument/2006/relationships/chart" Target="../charts/chart3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207308</xdr:colOff>
      <xdr:row>16</xdr:row>
      <xdr:rowOff>45944</xdr:rowOff>
    </xdr:from>
    <xdr:to>
      <xdr:col>34</xdr:col>
      <xdr:colOff>677955</xdr:colOff>
      <xdr:row>32</xdr:row>
      <xdr:rowOff>77320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3DAE19C-F25E-67F9-2880-3E5CBE65C27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78442</xdr:colOff>
      <xdr:row>16</xdr:row>
      <xdr:rowOff>33618</xdr:rowOff>
    </xdr:from>
    <xdr:to>
      <xdr:col>41</xdr:col>
      <xdr:colOff>549089</xdr:colOff>
      <xdr:row>32</xdr:row>
      <xdr:rowOff>64994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920A2FA-8EA2-48A5-B08C-B9B78D125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190071</xdr:colOff>
      <xdr:row>33</xdr:row>
      <xdr:rowOff>64218</xdr:rowOff>
    </xdr:from>
    <xdr:to>
      <xdr:col>34</xdr:col>
      <xdr:colOff>660718</xdr:colOff>
      <xdr:row>49</xdr:row>
      <xdr:rowOff>106800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F1E782D-3868-4D4C-852E-3DE64B3EE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35</xdr:col>
      <xdr:colOff>85725</xdr:colOff>
      <xdr:row>33</xdr:row>
      <xdr:rowOff>66675</xdr:rowOff>
    </xdr:from>
    <xdr:to>
      <xdr:col>41</xdr:col>
      <xdr:colOff>600808</xdr:colOff>
      <xdr:row>49</xdr:row>
      <xdr:rowOff>109257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4E18C57-43FC-4240-931E-F7D673DF3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82826</xdr:colOff>
      <xdr:row>52</xdr:row>
      <xdr:rowOff>24849</xdr:rowOff>
    </xdr:from>
    <xdr:to>
      <xdr:col>33</xdr:col>
      <xdr:colOff>8282</xdr:colOff>
      <xdr:row>67</xdr:row>
      <xdr:rowOff>142462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4CF70F5-6B8F-5040-EE38-0CB01CA7786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33</xdr:col>
      <xdr:colOff>41413</xdr:colOff>
      <xdr:row>52</xdr:row>
      <xdr:rowOff>24849</xdr:rowOff>
    </xdr:from>
    <xdr:to>
      <xdr:col>37</xdr:col>
      <xdr:colOff>654326</xdr:colOff>
      <xdr:row>67</xdr:row>
      <xdr:rowOff>142462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F9A33E61-C601-45C5-A238-9862A1E592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37</xdr:col>
      <xdr:colOff>687456</xdr:colOff>
      <xdr:row>52</xdr:row>
      <xdr:rowOff>24849</xdr:rowOff>
    </xdr:from>
    <xdr:to>
      <xdr:col>42</xdr:col>
      <xdr:colOff>612912</xdr:colOff>
      <xdr:row>67</xdr:row>
      <xdr:rowOff>142462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0B49CE5-6033-47D1-AC53-35E2A0169B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28</xdr:col>
      <xdr:colOff>91108</xdr:colOff>
      <xdr:row>68</xdr:row>
      <xdr:rowOff>124232</xdr:rowOff>
    </xdr:from>
    <xdr:to>
      <xdr:col>33</xdr:col>
      <xdr:colOff>16564</xdr:colOff>
      <xdr:row>84</xdr:row>
      <xdr:rowOff>43063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55E0B09-26BB-4229-9B55-83680EB451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33</xdr:col>
      <xdr:colOff>53836</xdr:colOff>
      <xdr:row>68</xdr:row>
      <xdr:rowOff>124232</xdr:rowOff>
    </xdr:from>
    <xdr:to>
      <xdr:col>37</xdr:col>
      <xdr:colOff>666749</xdr:colOff>
      <xdr:row>84</xdr:row>
      <xdr:rowOff>43063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81997AA-C515-4A50-9D30-100D34CBD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38</xdr:col>
      <xdr:colOff>16564</xdr:colOff>
      <xdr:row>68</xdr:row>
      <xdr:rowOff>124232</xdr:rowOff>
    </xdr:from>
    <xdr:to>
      <xdr:col>42</xdr:col>
      <xdr:colOff>629476</xdr:colOff>
      <xdr:row>84</xdr:row>
      <xdr:rowOff>43063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51690DC-6CDE-48F4-B760-9CB5F3FF60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28</xdr:col>
      <xdr:colOff>201705</xdr:colOff>
      <xdr:row>1</xdr:row>
      <xdr:rowOff>78441</xdr:rowOff>
    </xdr:from>
    <xdr:to>
      <xdr:col>34</xdr:col>
      <xdr:colOff>683558</xdr:colOff>
      <xdr:row>16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C55BC84-6F28-BEDF-AC31-F16F65FDD6C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35</xdr:col>
      <xdr:colOff>81891</xdr:colOff>
      <xdr:row>1</xdr:row>
      <xdr:rowOff>85767</xdr:rowOff>
    </xdr:from>
    <xdr:to>
      <xdr:col>41</xdr:col>
      <xdr:colOff>552538</xdr:colOff>
      <xdr:row>15</xdr:row>
      <xdr:rowOff>164209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5398C4BB-04B9-4BB4-8E01-4A286D5F1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207308</xdr:colOff>
      <xdr:row>16</xdr:row>
      <xdr:rowOff>45944</xdr:rowOff>
    </xdr:from>
    <xdr:to>
      <xdr:col>34</xdr:col>
      <xdr:colOff>677955</xdr:colOff>
      <xdr:row>32</xdr:row>
      <xdr:rowOff>77320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B9989D2-2B99-4CC8-90ED-05F3BF8324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78442</xdr:colOff>
      <xdr:row>16</xdr:row>
      <xdr:rowOff>33618</xdr:rowOff>
    </xdr:from>
    <xdr:to>
      <xdr:col>41</xdr:col>
      <xdr:colOff>549089</xdr:colOff>
      <xdr:row>32</xdr:row>
      <xdr:rowOff>64994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C5925E4-48CF-4C9F-BE0D-1305E98AB8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190071</xdr:colOff>
      <xdr:row>33</xdr:row>
      <xdr:rowOff>64218</xdr:rowOff>
    </xdr:from>
    <xdr:to>
      <xdr:col>34</xdr:col>
      <xdr:colOff>660718</xdr:colOff>
      <xdr:row>49</xdr:row>
      <xdr:rowOff>106800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72A0932-2186-42B7-A4BF-26ED9F1FE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35</xdr:col>
      <xdr:colOff>85725</xdr:colOff>
      <xdr:row>33</xdr:row>
      <xdr:rowOff>66675</xdr:rowOff>
    </xdr:from>
    <xdr:to>
      <xdr:col>41</xdr:col>
      <xdr:colOff>600808</xdr:colOff>
      <xdr:row>49</xdr:row>
      <xdr:rowOff>109257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C304698-5F71-46BF-A2BC-CB5FBC4C7F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82826</xdr:colOff>
      <xdr:row>52</xdr:row>
      <xdr:rowOff>24849</xdr:rowOff>
    </xdr:from>
    <xdr:to>
      <xdr:col>33</xdr:col>
      <xdr:colOff>8282</xdr:colOff>
      <xdr:row>67</xdr:row>
      <xdr:rowOff>142462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E660CBD-0418-4AFB-924C-4A29FB2EC6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33</xdr:col>
      <xdr:colOff>41413</xdr:colOff>
      <xdr:row>52</xdr:row>
      <xdr:rowOff>24849</xdr:rowOff>
    </xdr:from>
    <xdr:to>
      <xdr:col>37</xdr:col>
      <xdr:colOff>654326</xdr:colOff>
      <xdr:row>67</xdr:row>
      <xdr:rowOff>142462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9C44FD7-2CF9-42D0-B7CA-7A6C6F32C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37</xdr:col>
      <xdr:colOff>687456</xdr:colOff>
      <xdr:row>52</xdr:row>
      <xdr:rowOff>24849</xdr:rowOff>
    </xdr:from>
    <xdr:to>
      <xdr:col>42</xdr:col>
      <xdr:colOff>612912</xdr:colOff>
      <xdr:row>67</xdr:row>
      <xdr:rowOff>142462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562DF79-BC8C-4A04-B843-CC92A9A395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28</xdr:col>
      <xdr:colOff>91108</xdr:colOff>
      <xdr:row>68</xdr:row>
      <xdr:rowOff>124232</xdr:rowOff>
    </xdr:from>
    <xdr:to>
      <xdr:col>33</xdr:col>
      <xdr:colOff>16564</xdr:colOff>
      <xdr:row>84</xdr:row>
      <xdr:rowOff>43063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0CCEC5D-CC86-447F-A596-B29F6AA71C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33</xdr:col>
      <xdr:colOff>53836</xdr:colOff>
      <xdr:row>68</xdr:row>
      <xdr:rowOff>124232</xdr:rowOff>
    </xdr:from>
    <xdr:to>
      <xdr:col>37</xdr:col>
      <xdr:colOff>666749</xdr:colOff>
      <xdr:row>84</xdr:row>
      <xdr:rowOff>43063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1809097-D1D6-4698-9A6C-51CF8FD9E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38</xdr:col>
      <xdr:colOff>16564</xdr:colOff>
      <xdr:row>68</xdr:row>
      <xdr:rowOff>124232</xdr:rowOff>
    </xdr:from>
    <xdr:to>
      <xdr:col>42</xdr:col>
      <xdr:colOff>629476</xdr:colOff>
      <xdr:row>84</xdr:row>
      <xdr:rowOff>43063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B6D732B-D96F-458E-BAC2-9C836B165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207308</xdr:colOff>
      <xdr:row>16</xdr:row>
      <xdr:rowOff>45944</xdr:rowOff>
    </xdr:from>
    <xdr:to>
      <xdr:col>34</xdr:col>
      <xdr:colOff>677955</xdr:colOff>
      <xdr:row>32</xdr:row>
      <xdr:rowOff>77320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2AC9BAE-DC2F-4116-979F-8ADA427E3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78442</xdr:colOff>
      <xdr:row>16</xdr:row>
      <xdr:rowOff>33618</xdr:rowOff>
    </xdr:from>
    <xdr:to>
      <xdr:col>41</xdr:col>
      <xdr:colOff>549089</xdr:colOff>
      <xdr:row>32</xdr:row>
      <xdr:rowOff>64994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A0A705D-05DD-46AD-99C1-E4AE19186E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190071</xdr:colOff>
      <xdr:row>33</xdr:row>
      <xdr:rowOff>64218</xdr:rowOff>
    </xdr:from>
    <xdr:to>
      <xdr:col>34</xdr:col>
      <xdr:colOff>660718</xdr:colOff>
      <xdr:row>49</xdr:row>
      <xdr:rowOff>106800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C1118E-D3B3-47BB-BCEA-7797FE56AD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35</xdr:col>
      <xdr:colOff>85725</xdr:colOff>
      <xdr:row>33</xdr:row>
      <xdr:rowOff>66675</xdr:rowOff>
    </xdr:from>
    <xdr:to>
      <xdr:col>41</xdr:col>
      <xdr:colOff>600808</xdr:colOff>
      <xdr:row>49</xdr:row>
      <xdr:rowOff>109257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D53C909-EB9A-45C2-A621-40197E1188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82826</xdr:colOff>
      <xdr:row>52</xdr:row>
      <xdr:rowOff>24849</xdr:rowOff>
    </xdr:from>
    <xdr:to>
      <xdr:col>33</xdr:col>
      <xdr:colOff>8282</xdr:colOff>
      <xdr:row>67</xdr:row>
      <xdr:rowOff>142462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C1943B1-545C-4C57-AD24-F5DC10D4B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33</xdr:col>
      <xdr:colOff>41413</xdr:colOff>
      <xdr:row>52</xdr:row>
      <xdr:rowOff>24849</xdr:rowOff>
    </xdr:from>
    <xdr:to>
      <xdr:col>37</xdr:col>
      <xdr:colOff>654326</xdr:colOff>
      <xdr:row>67</xdr:row>
      <xdr:rowOff>142462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75E963C-E29B-48DB-A697-FFC7EF7462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37</xdr:col>
      <xdr:colOff>687456</xdr:colOff>
      <xdr:row>52</xdr:row>
      <xdr:rowOff>24849</xdr:rowOff>
    </xdr:from>
    <xdr:to>
      <xdr:col>42</xdr:col>
      <xdr:colOff>612912</xdr:colOff>
      <xdr:row>67</xdr:row>
      <xdr:rowOff>142462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C24FE09-2E6C-490A-B569-F2E3F74434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28</xdr:col>
      <xdr:colOff>91108</xdr:colOff>
      <xdr:row>68</xdr:row>
      <xdr:rowOff>124232</xdr:rowOff>
    </xdr:from>
    <xdr:to>
      <xdr:col>33</xdr:col>
      <xdr:colOff>16564</xdr:colOff>
      <xdr:row>84</xdr:row>
      <xdr:rowOff>43063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4914D5A-6412-4620-A64A-D4944DB6CA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33</xdr:col>
      <xdr:colOff>53836</xdr:colOff>
      <xdr:row>68</xdr:row>
      <xdr:rowOff>124232</xdr:rowOff>
    </xdr:from>
    <xdr:to>
      <xdr:col>37</xdr:col>
      <xdr:colOff>666749</xdr:colOff>
      <xdr:row>84</xdr:row>
      <xdr:rowOff>43063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4033DA0-B43E-4592-8200-E39AD2544C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38</xdr:col>
      <xdr:colOff>16564</xdr:colOff>
      <xdr:row>68</xdr:row>
      <xdr:rowOff>124232</xdr:rowOff>
    </xdr:from>
    <xdr:to>
      <xdr:col>42</xdr:col>
      <xdr:colOff>629476</xdr:colOff>
      <xdr:row>84</xdr:row>
      <xdr:rowOff>43063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D62954C-ED6D-4657-AEC3-E1B0696A5B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442630</xdr:colOff>
      <xdr:row>1</xdr:row>
      <xdr:rowOff>108696</xdr:rowOff>
    </xdr:from>
    <xdr:to>
      <xdr:col>12</xdr:col>
      <xdr:colOff>257735</xdr:colOff>
      <xdr:row>28</xdr:row>
      <xdr:rowOff>168088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B13AEFC-5166-A03F-F267-E72466EA422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9B7DF8E3-3663-42E4-81FD-BC3D8266D70B}" name="Supply_Curve" displayName="Supply_Curve" ref="N3:Q330" totalsRowShown="0">
  <autoFilter ref="N3:Q330" xr:uid="{9B7DF8E3-3663-42E4-81FD-BC3D8266D70B}"/>
  <tableColumns count="4">
    <tableColumn id="1" xr3:uid="{063209F3-6DCE-44FB-9F2F-F085FFD97123}" name="TRC-Net Levelized Cost ($/Therm)" dataDxfId="140"/>
    <tableColumn id="4" xr3:uid="{3B0C2611-2AC8-42E2-A774-25EFAFD8E8ED}" name="TRC-Gross Levelized Cost ($/Therm)" dataDxfId="139"/>
    <tableColumn id="2" xr3:uid="{5DEE2E17-F6F3-47E9-A4E6-5979EE383B7F}" name="Total Potential" dataDxfId="138"/>
    <tableColumn id="3" xr3:uid="{FF0122F9-C16E-459B-846C-916373A476A0}" name="Cumulative Therms" dataDxfId="137">
      <calculatedColumnFormula>SUM($P$4:P4)</calculatedColumnFormula>
    </tableColumn>
  </tableColumns>
  <tableStyleInfo name="TableStyleMedium1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81F9C62-375F-46D2-8E5A-D013041F4A64}" name="Combined_Results" displayName="Combined_Results" ref="A1:AR1541" totalsRowShown="0">
  <autoFilter ref="A1:AR1541" xr:uid="{C81F9C62-375F-46D2-8E5A-D013041F4A64}"/>
  <tableColumns count="44">
    <tableColumn id="1" xr3:uid="{DCD15DA4-8AF3-4D72-A986-A8F1CF47C38C}" name="File" dataDxfId="136"/>
    <tableColumn id="2" xr3:uid="{55704E2E-B1EC-4961-AF6C-4C8BAC266E36}" name="Measure Name" dataDxfId="135"/>
    <tableColumn id="3" xr3:uid="{B4674AB6-62BC-4AA2-B9B7-753CF5EAA91A}" name="End Use" dataDxfId="134"/>
    <tableColumn id="4" xr3:uid="{6D3E5341-904D-44CE-BE38-D36D92D4FBF8}" name="Measure Category" dataDxfId="133"/>
    <tableColumn id="5" xr3:uid="{DCB1EDC2-58DA-45B6-84DD-3910BCE4A88D}" name="Install Type" dataDxfId="132"/>
    <tableColumn id="6" xr3:uid="{60FB8A11-BC18-49A3-A13B-FFF02D15F63B}" name="Measure Index" dataDxfId="131"/>
    <tableColumn id="7" xr3:uid="{D7175BB1-12B4-4C8F-AB32-E7DDDD6D8543}" name="Sector"/>
    <tableColumn id="8" xr3:uid="{C96A3D4B-19F9-4AE6-91E2-3A28CBBD0A60}" name="Segment" dataDxfId="130"/>
    <tableColumn id="9" xr3:uid="{3BF0CE35-F855-4997-8E90-743961096B91}" name="Firm/Interruptible" dataDxfId="129"/>
    <tableColumn id="10" xr3:uid="{61E80C01-61B2-4941-8BCA-BC85701BCF77}" name="Sales/Transport" dataDxfId="128"/>
    <tableColumn id="11" xr3:uid="{AB26139C-7CBC-4AC5-9568-F10C67C4053C}" name="Rate Class" dataDxfId="127"/>
    <tableColumn id="12" xr3:uid="{758D223A-6F96-4ADC-B06F-494350B0BED6}" name="Energy Savings (therms/yr)" dataDxfId="126"/>
    <tableColumn id="13" xr3:uid="{4A2B7F41-CFCE-4EF1-A8D4-002F3BF54B9E}" name="Cost-Effective" dataDxfId="125"/>
    <tableColumn id="14" xr3:uid="{5913381A-F84F-4E08-B5FD-AA33DE690BB7}" name="TRC BCR" dataDxfId="124"/>
    <tableColumn id="15" xr3:uid="{E87AA13C-B839-4990-B6E4-7077AD533DD1}" name="UCT BCR" dataDxfId="123"/>
    <tableColumn id="16" xr3:uid="{EACB5B22-53C1-4704-8B90-F0B5A97B50E7}" name="TRC-Net Levelized Cost ($/Therm)" dataDxfId="122" dataCellStyle="Comma"/>
    <tableColumn id="44" xr3:uid="{8903F166-EE9C-4286-B648-F7F48DAE82E2}" name="TRC-Gross Levelized Cost ($/Therm)" dataDxfId="121" dataCellStyle="Comma"/>
    <tableColumn id="17" xr3:uid="{5C2B534F-FB0D-4566-ABD6-8EB0482551F9}" name="UCT Levelized Cost ($/Therm)" dataDxfId="120"/>
    <tableColumn id="18" xr3:uid="{54955ED3-9E0C-413D-BA41-11EA93AF3BB5}" name="Achievable therm 2026" dataDxfId="119" dataCellStyle="Comma"/>
    <tableColumn id="19" xr3:uid="{50B740BA-9930-4791-ADBD-DDEB8CC33E6B}" name="Achievable therm 2027" dataDxfId="118" dataCellStyle="Comma"/>
    <tableColumn id="20" xr3:uid="{0D2040BD-5A36-482D-BC36-AD693BCC3201}" name="Achievable therm 2028" dataDxfId="117" dataCellStyle="Comma"/>
    <tableColumn id="21" xr3:uid="{7F3618C7-0DC4-4252-BE9E-0B8C3F130C15}" name="Achievable therm 2029" dataDxfId="116" dataCellStyle="Comma"/>
    <tableColumn id="22" xr3:uid="{539F7AC4-36B4-47C3-8160-C8AB5997263C}" name="Achievable therm 2030" dataDxfId="115" dataCellStyle="Comma"/>
    <tableColumn id="23" xr3:uid="{5D911E09-47FD-4D46-B800-CE0F8B965D02}" name="Achievable therm 2031" dataDxfId="114" dataCellStyle="Comma"/>
    <tableColumn id="24" xr3:uid="{F3ED63EB-31F1-4A96-B3BB-7ECF56E47323}" name="Achievable therm 2032" dataDxfId="113" dataCellStyle="Comma"/>
    <tableColumn id="25" xr3:uid="{44EDEB48-7676-46D0-B2D5-628F43915CEA}" name="Achievable therm 2033" dataDxfId="112" dataCellStyle="Comma"/>
    <tableColumn id="26" xr3:uid="{78FDD03C-8E17-4E2E-8901-48CFCD6DBAFD}" name="Achievable therm 2034" dataDxfId="111" dataCellStyle="Comma"/>
    <tableColumn id="27" xr3:uid="{10173716-1594-4E3D-A51D-5D8295B43F81}" name="Achievable therm 2035" dataDxfId="110" dataCellStyle="Comma"/>
    <tableColumn id="28" xr3:uid="{6C6002DD-CC94-44C1-84C8-BA7A0F0CA337}" name="Achievable therm 2036" dataDxfId="109" dataCellStyle="Comma"/>
    <tableColumn id="29" xr3:uid="{B123C564-4B6E-4DD9-A625-10124898AA79}" name="Achievable therm 2037" dataDxfId="108" dataCellStyle="Comma"/>
    <tableColumn id="30" xr3:uid="{1542B8F3-E358-4B9E-8196-5AEF3220CF72}" name="Achievable therm 2038" dataDxfId="107" dataCellStyle="Comma"/>
    <tableColumn id="31" xr3:uid="{9006F4F5-7702-472C-BAC2-1298BDF089F0}" name="Achievable therm 2039" dataDxfId="106" dataCellStyle="Comma"/>
    <tableColumn id="32" xr3:uid="{8D7DC951-222B-4B74-B011-8E5E7F8C6791}" name="Achievable therm 2040" dataDxfId="105" dataCellStyle="Comma"/>
    <tableColumn id="33" xr3:uid="{AF54B32E-B702-4B18-AE55-80FAB651F2DF}" name="Achievable therm 2041" dataDxfId="104" dataCellStyle="Comma"/>
    <tableColumn id="34" xr3:uid="{23904F6B-A6C1-457E-A56E-F610C8E346CA}" name="Achievable therm 2042" dataDxfId="103" dataCellStyle="Comma"/>
    <tableColumn id="35" xr3:uid="{17164A89-3D6D-4034-BB9D-564CC88E2EC0}" name="Achievable therm 2043" dataDxfId="102" dataCellStyle="Comma"/>
    <tableColumn id="36" xr3:uid="{AD73CB2C-5015-414E-B912-BBCFBD637C8A}" name="Achievable therm 2044" dataDxfId="101" dataCellStyle="Comma"/>
    <tableColumn id="37" xr3:uid="{6F25C5B9-FBF0-4BD5-AA9B-A2F1EA4F2A65}" name="Achievable therm 2045" dataDxfId="100" dataCellStyle="Comma"/>
    <tableColumn id="38" xr3:uid="{7E53961F-EDE3-4BAF-8093-A85ED77824B3}" name="Achievable therm 2046" dataDxfId="99" dataCellStyle="Comma"/>
    <tableColumn id="39" xr3:uid="{90C7E2EB-DCD8-4EC1-8B2B-D0BC785F0FF7}" name="Achievable therm 2047" dataDxfId="98" dataCellStyle="Comma"/>
    <tableColumn id="40" xr3:uid="{C09604FE-05A9-49D1-9540-CF974A52F17E}" name="Achievable therm 2048" dataDxfId="97" dataCellStyle="Comma"/>
    <tableColumn id="41" xr3:uid="{8C47C942-8A7B-4610-BE20-C60607AA6E73}" name="Achievable therm 2049" dataDxfId="96" dataCellStyle="Comma"/>
    <tableColumn id="42" xr3:uid="{47FC56BD-1E55-4146-8F91-AE57D0CA8485}" name="Achievable therm 2050" dataDxfId="95" dataCellStyle="Comma"/>
    <tableColumn id="43" xr3:uid="{8C051E4C-8330-4A03-B754-3AA0A7A47A4C}" name="Total therm" dataDxfId="94" dataCellStyle="Comma"/>
  </tableColumns>
  <tableStyleInfo name="TableStyleMedium16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A0D7FB95-FAF4-43C5-BDAD-7FA6321E8386}" name="Peak_Hour" displayName="Peak_Hour" ref="A1:AR1541" totalsRowShown="0">
  <autoFilter ref="A1:AR1541" xr:uid="{A0D7FB95-FAF4-43C5-BDAD-7FA6321E8386}"/>
  <tableColumns count="44">
    <tableColumn id="1" xr3:uid="{7BE1E821-9AB9-4B95-8F45-1DA016EFA2F0}" name="File" dataDxfId="93"/>
    <tableColumn id="2" xr3:uid="{0C138B5C-9411-42FD-8EEC-60EE1403D44E}" name="Measure Name" dataDxfId="92"/>
    <tableColumn id="3" xr3:uid="{697A7855-C3A9-4FC4-B30B-E92E88951059}" name="End Use" dataDxfId="91"/>
    <tableColumn id="4" xr3:uid="{830D042C-A312-43F2-9E42-B195735FF007}" name="Measure Category" dataDxfId="90"/>
    <tableColumn id="5" xr3:uid="{13BDC21F-3679-458E-A8EA-49714EAB112D}" name="Install Type" dataDxfId="89"/>
    <tableColumn id="6" xr3:uid="{55FB3B81-6272-4A07-92FF-5DD893F1E46A}" name="Measure Index" dataDxfId="88"/>
    <tableColumn id="7" xr3:uid="{CAEA8989-DFDD-4857-91C5-68EC5E11F6A7}" name="Sector"/>
    <tableColumn id="8" xr3:uid="{9F92D807-C3D8-4D48-8875-91BDB187FBC0}" name="Segment" dataDxfId="87"/>
    <tableColumn id="9" xr3:uid="{759F593B-0090-4AE0-802A-BCAD1BAFEBDE}" name="Firm/Interruptible" dataDxfId="86"/>
    <tableColumn id="10" xr3:uid="{7C8E57E0-C14D-4DD9-BB73-A910192EA029}" name="Sales/Transport" dataDxfId="85"/>
    <tableColumn id="11" xr3:uid="{D0E69ABE-EAC2-42A4-8706-4DB867799EB7}" name="Rate Class" dataDxfId="84"/>
    <tableColumn id="12" xr3:uid="{BB94A14C-E9D7-4811-AF13-CF79F1EA089E}" name="Energy Savings (therms/yr)" dataDxfId="83"/>
    <tableColumn id="13" xr3:uid="{14DF1269-B589-48C0-BB2D-B3FEC21130EF}" name="Cost-Effective" dataDxfId="82"/>
    <tableColumn id="14" xr3:uid="{253446F9-5BF7-4A01-B669-A67E2BD6E57F}" name="TRC BCR" dataDxfId="81"/>
    <tableColumn id="15" xr3:uid="{F5A4A773-E5C8-455D-9C19-F5A60CED149C}" name="UCT BCR" dataDxfId="80"/>
    <tableColumn id="16" xr3:uid="{B34395E8-97BD-45D0-833F-8C16129BBC2C}" name="TRC-Net Levelized Cost ($/Therm)"/>
    <tableColumn id="18" xr3:uid="{EC51566B-79DF-4D99-A4AA-B989CD0656B8}" name="TRC-Gross Levelized Cost ($/Therm)"/>
    <tableColumn id="17" xr3:uid="{77879D3D-4757-4347-90B3-02011925E849}" name="UCT Levelized Cost ($/Therm)" dataDxfId="79"/>
    <tableColumn id="44" xr3:uid="{04462997-1D1B-4B83-AFDF-034F02B5FB0E}" name="Achievable Peak Hour therm 2026" dataDxfId="78"/>
    <tableColumn id="45" xr3:uid="{0501892A-64C1-4DBB-A69B-09DB77D5B21D}" name="Achievable Peak Hour therm 2027" dataDxfId="77"/>
    <tableColumn id="46" xr3:uid="{47F00389-4430-4232-BB88-B9BD5DA3EDC3}" name="Achievable Peak Hour therm 2028" dataDxfId="76"/>
    <tableColumn id="47" xr3:uid="{2092D6D5-7FC1-487F-83ED-4D656D33FDC2}" name="Achievable Peak Hour therm 2029" dataDxfId="75"/>
    <tableColumn id="48" xr3:uid="{45AEF28A-EE4D-440E-B64C-2796E8B1A889}" name="Achievable Peak Hour therm 2030" dataDxfId="74"/>
    <tableColumn id="49" xr3:uid="{26968845-5408-4029-9AA7-6C9C8A0C3F09}" name="Achievable Peak Hour therm 2031" dataDxfId="73"/>
    <tableColumn id="50" xr3:uid="{2983319D-A0AF-4468-AA5D-11A552057A5B}" name="Achievable Peak Hour therm 2032" dataDxfId="72"/>
    <tableColumn id="51" xr3:uid="{1C85FEA1-6C4D-45C5-BA80-74C4A8A70ADA}" name="Achievable Peak Hour therm 2033" dataDxfId="71"/>
    <tableColumn id="52" xr3:uid="{6D95EA45-D7E7-47EC-AA70-39EB9D99A65D}" name="Achievable Peak Hour therm 2034" dataDxfId="70"/>
    <tableColumn id="53" xr3:uid="{865379E3-DB91-4104-83B2-8021EB72EA51}" name="Achievable Peak Hour therm 2035" dataDxfId="69"/>
    <tableColumn id="54" xr3:uid="{23ACF7E6-8EA6-4EC0-8660-2A2B76CCF3F8}" name="Achievable Peak Hour therm 2036" dataDxfId="68"/>
    <tableColumn id="55" xr3:uid="{2ABF112C-E131-4A77-9DD8-072C8500B484}" name="Achievable Peak Hour therm 2037" dataDxfId="67"/>
    <tableColumn id="56" xr3:uid="{3E1606AF-2649-406C-AF33-93B0EF96EEAC}" name="Achievable Peak Hour therm 2038" dataDxfId="66"/>
    <tableColumn id="57" xr3:uid="{D70FF33A-6CF7-4777-8B4B-81D3E1506D5A}" name="Achievable Peak Hour therm 2039" dataDxfId="65"/>
    <tableColumn id="58" xr3:uid="{911B368A-33BD-4154-B879-0C70740FF5DD}" name="Achievable Peak Hour therm 2040" dataDxfId="64"/>
    <tableColumn id="59" xr3:uid="{1F640B50-0D06-4817-8599-1C5A11684D71}" name="Achievable Peak Hour therm 2041" dataDxfId="63"/>
    <tableColumn id="60" xr3:uid="{CC0FC823-0066-4B9E-A154-8D2BF48B68B1}" name="Achievable Peak Hour therm 2042" dataDxfId="62"/>
    <tableColumn id="61" xr3:uid="{43812539-8964-49A2-ACF3-500986027148}" name="Achievable Peak Hour therm 2043" dataDxfId="61"/>
    <tableColumn id="62" xr3:uid="{401492B9-D978-4CAF-84D3-C58C57DC7A3D}" name="Achievable Peak Hour therm 2044" dataDxfId="60"/>
    <tableColumn id="63" xr3:uid="{63B58E81-C633-4957-BADB-5185FC75E8F4}" name="Achievable Peak Hour therm 2045" dataDxfId="59"/>
    <tableColumn id="64" xr3:uid="{8F7FFAD8-0BCD-4016-9DF3-068B28D5D598}" name="Achievable Peak Hour therm 2046" dataDxfId="58"/>
    <tableColumn id="65" xr3:uid="{4BAD7FBA-CEF6-44C5-B8BE-D00EA0B5CB5C}" name="Achievable Peak Hour therm 2047" dataDxfId="57"/>
    <tableColumn id="66" xr3:uid="{54B23F2B-523F-4A3D-80A2-1CC3A16F3F40}" name="Achievable Peak Hour therm 2048" dataDxfId="56"/>
    <tableColumn id="67" xr3:uid="{7FCD2992-86D7-4898-BB0F-878AC207E60C}" name="Achievable Peak Hour therm 2049" dataDxfId="55"/>
    <tableColumn id="68" xr3:uid="{7BA4033D-62F4-47A0-A142-1BB998BFEF0C}" name="Achievable Peak Hour therm 2050" dataDxfId="54"/>
    <tableColumn id="69" xr3:uid="{FA7D0D35-1590-468B-998C-D46C783A6ADC}" name="Total Peak Hour therm" dataDxfId="53"/>
  </tableColumns>
  <tableStyleInfo name="TableStyleMedium16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A1A7AB4-40B4-4B21-A574-744C0BE28782}" name="Peak_Day" displayName="Peak_Day" ref="A1:AR1541" totalsRowShown="0">
  <autoFilter ref="A1:AR1541" xr:uid="{BA1A7AB4-40B4-4B21-A574-744C0BE28782}"/>
  <tableColumns count="44">
    <tableColumn id="1" xr3:uid="{023BE5D3-8EC9-4CF8-86C2-F507C5FCB582}" name="File" dataDxfId="52"/>
    <tableColumn id="2" xr3:uid="{E28A7629-77FC-40DA-BA65-12994C88D13E}" name="Measure Name" dataDxfId="51"/>
    <tableColumn id="3" xr3:uid="{BD26FBCD-3480-4FE9-8392-C1574E8F961A}" name="End Use" dataDxfId="50"/>
    <tableColumn id="4" xr3:uid="{56AD8E9A-08EC-4641-BE5E-ED8F259874B7}" name="Measure Category" dataDxfId="49"/>
    <tableColumn id="5" xr3:uid="{57EC482C-045E-480F-9FE9-4946E370E618}" name="Install Type" dataDxfId="48"/>
    <tableColumn id="6" xr3:uid="{9E8C0872-3EED-48CE-A09A-4E9868A447E6}" name="Measure Index" dataDxfId="47"/>
    <tableColumn id="7" xr3:uid="{B95F6FCD-35E3-4473-BB48-80D781747395}" name="Sector"/>
    <tableColumn id="8" xr3:uid="{6FB5B3BD-9795-4365-9668-00F7365B45CB}" name="Segment" dataDxfId="46"/>
    <tableColumn id="9" xr3:uid="{4BE91451-DE3B-422B-ACB9-A1637517DBA7}" name="Firm/Interruptible" dataDxfId="45"/>
    <tableColumn id="10" xr3:uid="{E37C214D-7077-443B-9ADF-7CA62A69F51D}" name="Sales/Transport" dataDxfId="44"/>
    <tableColumn id="11" xr3:uid="{81032EAB-091B-4014-AA66-D87DC3BC9349}" name="Rate Class" dataDxfId="43"/>
    <tableColumn id="12" xr3:uid="{8EBA3D75-7188-4FCA-9C90-849A5E3B09B2}" name="Energy Savings (therms/yr)" dataDxfId="42"/>
    <tableColumn id="13" xr3:uid="{F8F77686-E4A8-4077-A4B3-A997B8FD1089}" name="Cost-Effective" dataDxfId="41"/>
    <tableColumn id="14" xr3:uid="{B5B759F0-FA2B-4743-ADF5-25EF7F193362}" name="TRC BCR" dataDxfId="40"/>
    <tableColumn id="15" xr3:uid="{89B30E6F-8FD5-4AB1-B242-55B78376EECA}" name="UCT BCR" dataDxfId="39"/>
    <tableColumn id="16" xr3:uid="{60964ABB-5AED-48C8-925D-AF32E7697A0C}" name="TRC-Net Levelized Cost ($/Therm)"/>
    <tableColumn id="44" xr3:uid="{9EFEC377-9031-4D14-B499-4DFAB0A6C857}" name="TRC-Gross Levelized Cost ($/Therm)"/>
    <tableColumn id="17" xr3:uid="{D16DE374-7F52-4D7B-9077-C6EF1002EDA4}" name="UCT Levelized Cost ($/Therm)" dataDxfId="38"/>
    <tableColumn id="18" xr3:uid="{EC939E02-8BEA-4F21-9BEF-85350096BE73}" name="Achievable Peak Day therm 2026" dataDxfId="37"/>
    <tableColumn id="19" xr3:uid="{EA2589F0-8539-448E-A7FE-114E1E52AAFE}" name="Achievable Peak Day therm 2027" dataDxfId="36"/>
    <tableColumn id="20" xr3:uid="{784D3602-A102-4DF1-8BBE-7D633B691005}" name="Achievable Peak Day therm 2028" dataDxfId="35"/>
    <tableColumn id="21" xr3:uid="{A95DCF3B-B4CA-49D0-B30F-2993B5CE018E}" name="Achievable Peak Day therm 2029" dataDxfId="34"/>
    <tableColumn id="22" xr3:uid="{991DEBB7-8B4E-45BE-BC67-26D01E5B1725}" name="Achievable Peak Day therm 2030" dataDxfId="33"/>
    <tableColumn id="23" xr3:uid="{2FC940A9-20B4-4FA6-B9C0-EB0424A1A9F4}" name="Achievable Peak Day therm 2031" dataDxfId="32"/>
    <tableColumn id="24" xr3:uid="{CA9C52E9-E7B9-475C-A9EE-9A2DBD9D7B64}" name="Achievable Peak Day therm 2032" dataDxfId="31"/>
    <tableColumn id="25" xr3:uid="{370C122E-47F6-4B79-84A4-A4A0B90EB516}" name="Achievable Peak Day therm 2033" dataDxfId="30"/>
    <tableColumn id="26" xr3:uid="{4E358655-98DF-44B7-B800-B8EBA0FDCF88}" name="Achievable Peak Day therm 2034" dataDxfId="29"/>
    <tableColumn id="27" xr3:uid="{D15B506C-2D6D-4303-83AD-DB17CFF20960}" name="Achievable Peak Day therm 2035" dataDxfId="28"/>
    <tableColumn id="28" xr3:uid="{B3BCEEC5-55EB-4FA0-8828-22E1B5EAE5FA}" name="Achievable Peak Day therm 2036" dataDxfId="27"/>
    <tableColumn id="29" xr3:uid="{52F898A7-B7E7-4924-A472-32DC425EA04D}" name="Achievable Peak Day therm 2037" dataDxfId="26"/>
    <tableColumn id="30" xr3:uid="{47BC84C7-C539-46FD-81DC-6A4CD71A0C6A}" name="Achievable Peak Day therm 2038" dataDxfId="25"/>
    <tableColumn id="31" xr3:uid="{4ABDF66E-FED9-4430-A051-5D931173BBB3}" name="Achievable Peak Day therm 2039" dataDxfId="24"/>
    <tableColumn id="32" xr3:uid="{E668F3D4-8CD9-460A-9668-1AF45F7974B3}" name="Achievable Peak Day therm 2040" dataDxfId="23"/>
    <tableColumn id="33" xr3:uid="{901127D6-06FD-44C0-A620-2CC7B595E74A}" name="Achievable Peak Day therm 2041" dataDxfId="22"/>
    <tableColumn id="34" xr3:uid="{65CDCC46-0325-4F93-9F2A-E9F640BA1066}" name="Achievable Peak Day therm 2042" dataDxfId="21"/>
    <tableColumn id="35" xr3:uid="{6D8371A3-7440-4770-95FE-BBA98104AAA3}" name="Achievable Peak Day therm 2043" dataDxfId="20"/>
    <tableColumn id="36" xr3:uid="{A3B8ECED-D946-4D8C-A176-B7E607CD1BC3}" name="Achievable Peak Day therm 2044" dataDxfId="19"/>
    <tableColumn id="37" xr3:uid="{1785301E-31D2-4DB3-B697-AB2D14615C0F}" name="Achievable Peak Day therm 2045" dataDxfId="18"/>
    <tableColumn id="38" xr3:uid="{AC2CD463-05A0-4F35-B17A-92246143DC0A}" name="Achievable Peak Day therm 2046" dataDxfId="17"/>
    <tableColumn id="39" xr3:uid="{81EEE5D2-BD96-451C-89BD-16546E1966FA}" name="Achievable Peak Day therm 2047" dataDxfId="16"/>
    <tableColumn id="40" xr3:uid="{53EAA135-0E14-4DC9-A0F5-83B01DF45AFD}" name="Achievable Peak Day therm 2048" dataDxfId="15"/>
    <tableColumn id="41" xr3:uid="{DA9AA9FB-3311-4609-96B2-CBDEDD0DF3B3}" name="Achievable Peak Day therm 2049" dataDxfId="14"/>
    <tableColumn id="42" xr3:uid="{A0F8662A-9563-438E-BB56-FFA1D5BF9449}" name="Achievable Peak Day therm 2050" dataDxfId="13"/>
    <tableColumn id="43" xr3:uid="{E3FC6BFA-4401-486D-8A23-4A0D34AFC319}" name="Total Peak Day therm" dataDxfId="12"/>
  </tableColumns>
  <tableStyleInfo name="TableStyleMedium16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86B512CA-956E-42A9-9C02-F6508D56A7C4}" name="Income_Groups" displayName="Income_Groups" ref="A1:F13" totalsRowShown="0">
  <autoFilter ref="A1:F13" xr:uid="{86B512CA-956E-42A9-9C02-F6508D56A7C4}"/>
  <tableColumns count="6">
    <tableColumn id="1" xr3:uid="{895CD3CB-4210-4848-BD87-086F99AC0644}" name="segment" dataDxfId="11"/>
    <tableColumn id="2" xr3:uid="{DD20D76A-8752-4F9F-9663-4F39D082DF05}" name="income_eligibility" dataDxfId="10"/>
    <tableColumn id="3" xr3:uid="{A48BE625-F5FD-49BE-A6E2-27BBF9438C00}" name="count" dataDxfId="9" dataCellStyle="Comma"/>
    <tableColumn id="5" xr3:uid="{3411FCEF-FE8C-483B-A054-2E1FD94A4EC8}" name="Portion" dataDxfId="8" dataCellStyle="Percent">
      <calculatedColumnFormula>Income_Groups[[#This Row],[count]]/SUMIFS(Income_Groups[count],Income_Groups[segment],Income_Groups[[#This Row],[segment]])</calculatedColumnFormula>
    </tableColumn>
    <tableColumn id="6" xr3:uid="{75B5BE73-1BFE-4E30-BEF5-B9CCD903DDF3}" name="CPA Seg Name" dataDxfId="7">
      <calculatedColumnFormula>IF(Income_Groups[[#This Row],[income_eligibility]]="Income Qualifying",Income_Groups[[#This Row],[segment]]&amp;" LI",Income_Groups[[#This Row],[segment]])</calculatedColumnFormula>
    </tableColumn>
    <tableColumn id="7" xr3:uid="{1EAB763B-69F5-4A18-8F0B-ED8C9554C1A0}" name="Weight Factor for CPA non-qual" dataDxfId="6" dataCellStyle="Percent">
      <calculatedColumnFormula>Income_Groups[[#This Row],[count]]/SUMIFS(Income_Groups[count],Income_Groups[CPA Seg Name],Income_Groups[[#This Row],[CPA Seg Name]])</calculatedColumnFormula>
    </tableColumn>
  </tableColumns>
  <tableStyleInfo name="TableStyleMedium1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8E38EA0-F405-4673-962D-AD3E1B9FB91A}" name="PeakFactors" displayName="PeakFactors" ref="B3:D11" totalsRowShown="0" headerRowDxfId="5" dataDxfId="4">
  <tableColumns count="3">
    <tableColumn id="1" xr3:uid="{01454F36-629A-48E0-9389-C36C23724185}" name="Energy Trust Shape" dataDxfId="3"/>
    <tableColumn id="2" xr3:uid="{FAF9253C-3E5A-4F24-85B2-D6EB8012B495}" name="Peak Day" dataDxfId="2" dataCellStyle="Comma"/>
    <tableColumn id="3" xr3:uid="{5393451F-1A61-4D8B-92A6-CD8404247B10}" name="Peak Hour" dataDxfId="1" dataCellStyle="Comma"/>
  </tableColumns>
  <tableStyleInfo name="TableStyleMedium1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D6073CD4-7537-4A2C-9023-32F694B57695}" name="ShapeAssignments" displayName="ShapeAssignments" ref="B14:D278" totalsRowShown="0" headerRowDxfId="0">
  <autoFilter ref="B14:D278" xr:uid="{D6073CD4-7537-4A2C-9023-32F694B57695}">
    <filterColumn colId="0" hiddenButton="1"/>
    <filterColumn colId="1" hiddenButton="1"/>
    <filterColumn colId="2" hiddenButton="1"/>
  </autoFilter>
  <tableColumns count="3">
    <tableColumn id="1" xr3:uid="{5D0A565A-55F4-46A5-92FA-231B5A3928B5}" name="Sector"/>
    <tableColumn id="2" xr3:uid="{2C867865-721C-43AE-8481-716FA10BFE89}" name="Measure Application"/>
    <tableColumn id="3" xr3:uid="{466EB56D-CC4A-44C2-973C-151B33A66B66}" name="Assigned Shape"/>
  </tableColumns>
  <tableStyleInfo name="TableStyleMedium1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Custom 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002C7C"/>
      </a:accent1>
      <a:accent2>
        <a:srgbClr val="27AAE1"/>
      </a:accent2>
      <a:accent3>
        <a:srgbClr val="EED31D"/>
      </a:accent3>
      <a:accent4>
        <a:srgbClr val="E26500"/>
      </a:accent4>
      <a:accent5>
        <a:srgbClr val="6F4421"/>
      </a:accent5>
      <a:accent6>
        <a:srgbClr val="007C6F"/>
      </a:accent6>
      <a:hlink>
        <a:srgbClr val="0563C1"/>
      </a:hlink>
      <a:folHlink>
        <a:srgbClr val="954F72"/>
      </a:folHlink>
    </a:clrScheme>
    <a:fontScheme name="Custom 1">
      <a:majorFont>
        <a:latin typeface="Aptos Display"/>
        <a:ea typeface=""/>
        <a:cs typeface=""/>
      </a:majorFont>
      <a:minorFont>
        <a:latin typeface="Apto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FA630-66ED-4F91-8AC0-0710D370AE53}">
  <dimension ref="B2:C13"/>
  <sheetViews>
    <sheetView showGridLines="0" tabSelected="1" view="pageLayout" zoomScaleNormal="100" workbookViewId="0"/>
  </sheetViews>
  <sheetFormatPr defaultRowHeight="15" x14ac:dyDescent="0.25"/>
  <cols>
    <col min="1" max="1" width="4.7109375" customWidth="1"/>
    <col min="2" max="2" width="17.7109375" bestFit="1" customWidth="1"/>
    <col min="3" max="3" width="42" bestFit="1" customWidth="1"/>
  </cols>
  <sheetData>
    <row r="2" spans="2:3" x14ac:dyDescent="0.25">
      <c r="B2" s="3" t="s">
        <v>0</v>
      </c>
    </row>
    <row r="3" spans="2:3" x14ac:dyDescent="0.25">
      <c r="B3" s="37"/>
      <c r="C3" s="38"/>
    </row>
    <row r="4" spans="2:3" x14ac:dyDescent="0.25">
      <c r="B4" s="39" t="s">
        <v>1</v>
      </c>
      <c r="C4" s="40" t="s">
        <v>2</v>
      </c>
    </row>
    <row r="5" spans="2:3" x14ac:dyDescent="0.25">
      <c r="B5" s="41" t="s">
        <v>3</v>
      </c>
      <c r="C5" s="42" t="s">
        <v>4</v>
      </c>
    </row>
    <row r="6" spans="2:3" x14ac:dyDescent="0.25">
      <c r="B6" s="43" t="s">
        <v>5</v>
      </c>
      <c r="C6" s="44" t="s">
        <v>6</v>
      </c>
    </row>
    <row r="7" spans="2:3" x14ac:dyDescent="0.25">
      <c r="B7" s="43" t="s">
        <v>7</v>
      </c>
      <c r="C7" s="44" t="s">
        <v>8</v>
      </c>
    </row>
    <row r="8" spans="2:3" x14ac:dyDescent="0.25">
      <c r="B8" s="43" t="s">
        <v>9</v>
      </c>
      <c r="C8" s="44" t="s">
        <v>10</v>
      </c>
    </row>
    <row r="9" spans="2:3" x14ac:dyDescent="0.25">
      <c r="B9" s="45" t="s">
        <v>11</v>
      </c>
      <c r="C9" s="46" t="s">
        <v>12</v>
      </c>
    </row>
    <row r="10" spans="2:3" x14ac:dyDescent="0.25">
      <c r="B10" s="45" t="s">
        <v>13</v>
      </c>
      <c r="C10" s="46" t="s">
        <v>14</v>
      </c>
    </row>
    <row r="11" spans="2:3" x14ac:dyDescent="0.25">
      <c r="B11" s="45" t="s">
        <v>15</v>
      </c>
      <c r="C11" s="46" t="s">
        <v>16</v>
      </c>
    </row>
    <row r="12" spans="2:3" x14ac:dyDescent="0.25">
      <c r="B12" s="47" t="s">
        <v>17</v>
      </c>
      <c r="C12" s="48" t="s">
        <v>18</v>
      </c>
    </row>
    <row r="13" spans="2:3" x14ac:dyDescent="0.25">
      <c r="B13" s="49" t="s">
        <v>19</v>
      </c>
      <c r="C13" s="50" t="s">
        <v>20</v>
      </c>
    </row>
  </sheetData>
  <pageMargins left="0.7" right="0.7" top="0.75" bottom="0.75" header="0.3" footer="0.3"/>
  <pageSetup orientation="portrait" r:id="rId1"/>
  <headerFooter>
    <oddHeader>&amp;RNWN 2025 CPA 
CPA Summary/ &amp;A &amp;P of &amp;N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/>
  </sheetPr>
  <dimension ref="B2:D278"/>
  <sheetViews>
    <sheetView showGridLines="0" topLeftCell="A222" zoomScale="85" zoomScaleNormal="85" workbookViewId="0">
      <selection activeCell="C243" sqref="C243"/>
    </sheetView>
  </sheetViews>
  <sheetFormatPr defaultRowHeight="15" x14ac:dyDescent="0.25"/>
  <cols>
    <col min="1" max="1" width="5.7109375" customWidth="1"/>
    <col min="2" max="2" width="26.7109375" customWidth="1"/>
    <col min="3" max="3" width="108.42578125" customWidth="1"/>
    <col min="4" max="4" width="34.5703125" customWidth="1"/>
  </cols>
  <sheetData>
    <row r="2" spans="2:4" x14ac:dyDescent="0.25">
      <c r="B2" s="3" t="s">
        <v>19</v>
      </c>
    </row>
    <row r="3" spans="2:4" x14ac:dyDescent="0.25">
      <c r="B3" s="4" t="s">
        <v>543</v>
      </c>
      <c r="C3" s="5" t="s">
        <v>15</v>
      </c>
      <c r="D3" s="5" t="s">
        <v>13</v>
      </c>
    </row>
    <row r="4" spans="2:4" x14ac:dyDescent="0.25">
      <c r="B4" s="4" t="s">
        <v>544</v>
      </c>
      <c r="C4" s="6">
        <v>1.9832963947072756E-2</v>
      </c>
      <c r="D4" s="6">
        <v>1.1494104105689892E-3</v>
      </c>
    </row>
    <row r="5" spans="2:4" x14ac:dyDescent="0.25">
      <c r="B5" s="4" t="s">
        <v>545</v>
      </c>
      <c r="C5" s="6">
        <v>1.9832963947072756E-2</v>
      </c>
      <c r="D5" s="6">
        <v>5.7846144845628855E-4</v>
      </c>
    </row>
    <row r="6" spans="2:4" x14ac:dyDescent="0.25">
      <c r="B6" s="4" t="s">
        <v>546</v>
      </c>
      <c r="C6" s="6">
        <v>1.7691905339150125E-2</v>
      </c>
      <c r="D6" s="6">
        <v>1.3860537303920163E-3</v>
      </c>
    </row>
    <row r="7" spans="2:4" x14ac:dyDescent="0.25">
      <c r="B7" s="4" t="s">
        <v>547</v>
      </c>
      <c r="C7" s="6">
        <v>3.3E-3</v>
      </c>
      <c r="D7" s="6">
        <v>2.5975446000000001E-4</v>
      </c>
    </row>
    <row r="8" spans="2:4" x14ac:dyDescent="0.25">
      <c r="B8" s="4" t="s">
        <v>548</v>
      </c>
      <c r="C8" s="6">
        <v>3.5616438356164386E-3</v>
      </c>
      <c r="D8" s="6">
        <v>7.1232876712328777E-4</v>
      </c>
    </row>
    <row r="9" spans="2:4" x14ac:dyDescent="0.25">
      <c r="B9" s="4" t="s">
        <v>549</v>
      </c>
      <c r="C9" s="6">
        <v>2.7397260273972603E-3</v>
      </c>
      <c r="D9" s="6">
        <v>1.1415525114155251E-4</v>
      </c>
    </row>
    <row r="10" spans="2:4" x14ac:dyDescent="0.25">
      <c r="B10" s="4" t="s">
        <v>550</v>
      </c>
      <c r="C10" s="6">
        <v>1.9572456320419542E-3</v>
      </c>
      <c r="D10" s="6">
        <v>2.37410468558259E-4</v>
      </c>
    </row>
    <row r="11" spans="2:4" x14ac:dyDescent="0.25">
      <c r="B11" s="4" t="s">
        <v>551</v>
      </c>
      <c r="C11" s="6">
        <v>3.0273678768138485E-3</v>
      </c>
      <c r="D11" s="6">
        <v>1.2588033140609515E-4</v>
      </c>
    </row>
    <row r="13" spans="2:4" x14ac:dyDescent="0.25">
      <c r="B13" s="3" t="s">
        <v>552</v>
      </c>
    </row>
    <row r="14" spans="2:4" x14ac:dyDescent="0.25">
      <c r="B14" s="3" t="s">
        <v>60</v>
      </c>
      <c r="C14" s="3" t="s">
        <v>553</v>
      </c>
      <c r="D14" s="3" t="s">
        <v>554</v>
      </c>
    </row>
    <row r="15" spans="2:4" x14ac:dyDescent="0.25">
      <c r="B15" t="s">
        <v>28</v>
      </c>
      <c r="C15" t="s">
        <v>132</v>
      </c>
      <c r="D15" t="s">
        <v>544</v>
      </c>
    </row>
    <row r="16" spans="2:4" x14ac:dyDescent="0.25">
      <c r="B16" t="s">
        <v>28</v>
      </c>
      <c r="C16" t="s">
        <v>137</v>
      </c>
      <c r="D16" t="s">
        <v>544</v>
      </c>
    </row>
    <row r="17" spans="2:4" x14ac:dyDescent="0.25">
      <c r="B17" t="s">
        <v>28</v>
      </c>
      <c r="C17" t="s">
        <v>146</v>
      </c>
      <c r="D17" t="s">
        <v>545</v>
      </c>
    </row>
    <row r="18" spans="2:4" x14ac:dyDescent="0.25">
      <c r="B18" t="s">
        <v>28</v>
      </c>
      <c r="C18" t="s">
        <v>149</v>
      </c>
      <c r="D18" t="s">
        <v>545</v>
      </c>
    </row>
    <row r="19" spans="2:4" x14ac:dyDescent="0.25">
      <c r="B19" t="s">
        <v>28</v>
      </c>
      <c r="C19" t="s">
        <v>150</v>
      </c>
      <c r="D19" t="s">
        <v>545</v>
      </c>
    </row>
    <row r="20" spans="2:4" x14ac:dyDescent="0.25">
      <c r="B20" t="s">
        <v>28</v>
      </c>
      <c r="C20" t="s">
        <v>151</v>
      </c>
      <c r="D20" t="s">
        <v>544</v>
      </c>
    </row>
    <row r="21" spans="2:4" x14ac:dyDescent="0.25">
      <c r="B21" t="s">
        <v>28</v>
      </c>
      <c r="C21" t="s">
        <v>154</v>
      </c>
      <c r="D21" t="s">
        <v>544</v>
      </c>
    </row>
    <row r="22" spans="2:4" x14ac:dyDescent="0.25">
      <c r="B22" t="s">
        <v>28</v>
      </c>
      <c r="C22" t="s">
        <v>155</v>
      </c>
      <c r="D22" t="s">
        <v>544</v>
      </c>
    </row>
    <row r="23" spans="2:4" x14ac:dyDescent="0.25">
      <c r="B23" t="s">
        <v>28</v>
      </c>
      <c r="C23" t="s">
        <v>156</v>
      </c>
      <c r="D23" t="s">
        <v>544</v>
      </c>
    </row>
    <row r="24" spans="2:4" x14ac:dyDescent="0.25">
      <c r="B24" t="s">
        <v>28</v>
      </c>
      <c r="C24" t="s">
        <v>158</v>
      </c>
      <c r="D24" t="s">
        <v>544</v>
      </c>
    </row>
    <row r="25" spans="2:4" x14ac:dyDescent="0.25">
      <c r="B25" t="s">
        <v>28</v>
      </c>
      <c r="C25" t="s">
        <v>159</v>
      </c>
      <c r="D25" t="s">
        <v>544</v>
      </c>
    </row>
    <row r="26" spans="2:4" x14ac:dyDescent="0.25">
      <c r="B26" t="s">
        <v>28</v>
      </c>
      <c r="C26" t="s">
        <v>218</v>
      </c>
      <c r="D26" t="s">
        <v>544</v>
      </c>
    </row>
    <row r="27" spans="2:4" x14ac:dyDescent="0.25">
      <c r="B27" t="s">
        <v>28</v>
      </c>
      <c r="C27" t="s">
        <v>221</v>
      </c>
      <c r="D27" t="s">
        <v>544</v>
      </c>
    </row>
    <row r="28" spans="2:4" x14ac:dyDescent="0.25">
      <c r="B28" t="s">
        <v>28</v>
      </c>
      <c r="C28" t="s">
        <v>139</v>
      </c>
      <c r="D28" t="s">
        <v>544</v>
      </c>
    </row>
    <row r="29" spans="2:4" x14ac:dyDescent="0.25">
      <c r="B29" t="s">
        <v>28</v>
      </c>
      <c r="C29" t="s">
        <v>143</v>
      </c>
      <c r="D29" t="s">
        <v>544</v>
      </c>
    </row>
    <row r="30" spans="2:4" x14ac:dyDescent="0.25">
      <c r="B30" t="s">
        <v>28</v>
      </c>
      <c r="C30" t="s">
        <v>555</v>
      </c>
      <c r="D30" t="s">
        <v>545</v>
      </c>
    </row>
    <row r="31" spans="2:4" x14ac:dyDescent="0.25">
      <c r="B31" t="s">
        <v>28</v>
      </c>
      <c r="C31" t="s">
        <v>556</v>
      </c>
      <c r="D31" t="s">
        <v>544</v>
      </c>
    </row>
    <row r="32" spans="2:4" x14ac:dyDescent="0.25">
      <c r="B32" t="s">
        <v>28</v>
      </c>
      <c r="C32" t="s">
        <v>557</v>
      </c>
      <c r="D32" t="s">
        <v>544</v>
      </c>
    </row>
    <row r="33" spans="2:4" x14ac:dyDescent="0.25">
      <c r="B33" t="s">
        <v>28</v>
      </c>
      <c r="C33" t="s">
        <v>160</v>
      </c>
      <c r="D33" t="s">
        <v>544</v>
      </c>
    </row>
    <row r="34" spans="2:4" x14ac:dyDescent="0.25">
      <c r="B34" t="s">
        <v>28</v>
      </c>
      <c r="C34" t="s">
        <v>162</v>
      </c>
      <c r="D34" t="s">
        <v>544</v>
      </c>
    </row>
    <row r="35" spans="2:4" x14ac:dyDescent="0.25">
      <c r="B35" t="s">
        <v>28</v>
      </c>
      <c r="C35" t="s">
        <v>164</v>
      </c>
      <c r="D35" t="s">
        <v>544</v>
      </c>
    </row>
    <row r="36" spans="2:4" x14ac:dyDescent="0.25">
      <c r="B36" t="s">
        <v>28</v>
      </c>
      <c r="C36" t="s">
        <v>165</v>
      </c>
      <c r="D36" t="s">
        <v>544</v>
      </c>
    </row>
    <row r="37" spans="2:4" x14ac:dyDescent="0.25">
      <c r="B37" t="s">
        <v>28</v>
      </c>
      <c r="C37" t="s">
        <v>167</v>
      </c>
      <c r="D37" t="s">
        <v>544</v>
      </c>
    </row>
    <row r="38" spans="2:4" x14ac:dyDescent="0.25">
      <c r="B38" t="s">
        <v>28</v>
      </c>
      <c r="C38" t="s">
        <v>169</v>
      </c>
      <c r="D38" t="s">
        <v>544</v>
      </c>
    </row>
    <row r="39" spans="2:4" x14ac:dyDescent="0.25">
      <c r="B39" t="s">
        <v>28</v>
      </c>
      <c r="C39" t="s">
        <v>171</v>
      </c>
      <c r="D39" t="s">
        <v>550</v>
      </c>
    </row>
    <row r="40" spans="2:4" x14ac:dyDescent="0.25">
      <c r="B40" t="s">
        <v>28</v>
      </c>
      <c r="C40" t="s">
        <v>173</v>
      </c>
      <c r="D40" t="s">
        <v>550</v>
      </c>
    </row>
    <row r="41" spans="2:4" x14ac:dyDescent="0.25">
      <c r="B41" t="s">
        <v>28</v>
      </c>
      <c r="C41" t="s">
        <v>175</v>
      </c>
      <c r="D41" t="s">
        <v>547</v>
      </c>
    </row>
    <row r="42" spans="2:4" x14ac:dyDescent="0.25">
      <c r="B42" t="s">
        <v>28</v>
      </c>
      <c r="C42" t="s">
        <v>177</v>
      </c>
      <c r="D42" t="s">
        <v>547</v>
      </c>
    </row>
    <row r="43" spans="2:4" x14ac:dyDescent="0.25">
      <c r="B43" t="s">
        <v>28</v>
      </c>
      <c r="C43" t="s">
        <v>180</v>
      </c>
      <c r="D43" t="s">
        <v>547</v>
      </c>
    </row>
    <row r="44" spans="2:4" x14ac:dyDescent="0.25">
      <c r="B44" t="s">
        <v>28</v>
      </c>
      <c r="C44" t="s">
        <v>182</v>
      </c>
      <c r="D44" t="s">
        <v>547</v>
      </c>
    </row>
    <row r="45" spans="2:4" x14ac:dyDescent="0.25">
      <c r="B45" t="s">
        <v>28</v>
      </c>
      <c r="C45" t="s">
        <v>184</v>
      </c>
      <c r="D45" t="s">
        <v>547</v>
      </c>
    </row>
    <row r="46" spans="2:4" x14ac:dyDescent="0.25">
      <c r="B46" t="s">
        <v>28</v>
      </c>
      <c r="C46" t="s">
        <v>186</v>
      </c>
      <c r="D46" t="s">
        <v>547</v>
      </c>
    </row>
    <row r="47" spans="2:4" x14ac:dyDescent="0.25">
      <c r="B47" t="s">
        <v>28</v>
      </c>
      <c r="C47" t="s">
        <v>188</v>
      </c>
      <c r="D47" t="s">
        <v>547</v>
      </c>
    </row>
    <row r="48" spans="2:4" x14ac:dyDescent="0.25">
      <c r="B48" t="s">
        <v>28</v>
      </c>
      <c r="C48" t="s">
        <v>190</v>
      </c>
      <c r="D48" t="s">
        <v>544</v>
      </c>
    </row>
    <row r="49" spans="2:4" x14ac:dyDescent="0.25">
      <c r="B49" t="s">
        <v>28</v>
      </c>
      <c r="C49" t="s">
        <v>193</v>
      </c>
      <c r="D49" t="s">
        <v>544</v>
      </c>
    </row>
    <row r="50" spans="2:4" x14ac:dyDescent="0.25">
      <c r="B50" t="s">
        <v>28</v>
      </c>
      <c r="C50" t="s">
        <v>194</v>
      </c>
      <c r="D50" t="s">
        <v>544</v>
      </c>
    </row>
    <row r="51" spans="2:4" x14ac:dyDescent="0.25">
      <c r="B51" t="s">
        <v>28</v>
      </c>
      <c r="C51" t="s">
        <v>195</v>
      </c>
      <c r="D51" t="s">
        <v>544</v>
      </c>
    </row>
    <row r="52" spans="2:4" x14ac:dyDescent="0.25">
      <c r="B52" t="s">
        <v>28</v>
      </c>
      <c r="C52" t="s">
        <v>197</v>
      </c>
      <c r="D52" t="s">
        <v>544</v>
      </c>
    </row>
    <row r="53" spans="2:4" x14ac:dyDescent="0.25">
      <c r="B53" t="s">
        <v>28</v>
      </c>
      <c r="C53" t="s">
        <v>198</v>
      </c>
      <c r="D53" t="s">
        <v>544</v>
      </c>
    </row>
    <row r="54" spans="2:4" x14ac:dyDescent="0.25">
      <c r="B54" t="s">
        <v>28</v>
      </c>
      <c r="C54" t="s">
        <v>199</v>
      </c>
      <c r="D54" t="s">
        <v>544</v>
      </c>
    </row>
    <row r="55" spans="2:4" x14ac:dyDescent="0.25">
      <c r="B55" t="s">
        <v>28</v>
      </c>
      <c r="C55" t="s">
        <v>201</v>
      </c>
      <c r="D55" t="s">
        <v>544</v>
      </c>
    </row>
    <row r="56" spans="2:4" x14ac:dyDescent="0.25">
      <c r="B56" t="s">
        <v>28</v>
      </c>
      <c r="C56" t="s">
        <v>558</v>
      </c>
      <c r="D56" t="s">
        <v>544</v>
      </c>
    </row>
    <row r="57" spans="2:4" x14ac:dyDescent="0.25">
      <c r="B57" t="s">
        <v>28</v>
      </c>
      <c r="C57" t="s">
        <v>203</v>
      </c>
      <c r="D57" t="s">
        <v>544</v>
      </c>
    </row>
    <row r="58" spans="2:4" x14ac:dyDescent="0.25">
      <c r="B58" t="s">
        <v>28</v>
      </c>
      <c r="C58" t="s">
        <v>206</v>
      </c>
      <c r="D58" t="s">
        <v>544</v>
      </c>
    </row>
    <row r="59" spans="2:4" x14ac:dyDescent="0.25">
      <c r="B59" t="s">
        <v>28</v>
      </c>
      <c r="C59" t="s">
        <v>207</v>
      </c>
      <c r="D59" t="s">
        <v>544</v>
      </c>
    </row>
    <row r="60" spans="2:4" x14ac:dyDescent="0.25">
      <c r="B60" t="s">
        <v>28</v>
      </c>
      <c r="C60" t="s">
        <v>209</v>
      </c>
      <c r="D60" t="s">
        <v>544</v>
      </c>
    </row>
    <row r="61" spans="2:4" x14ac:dyDescent="0.25">
      <c r="B61" t="s">
        <v>28</v>
      </c>
      <c r="C61" t="s">
        <v>211</v>
      </c>
      <c r="D61" t="s">
        <v>544</v>
      </c>
    </row>
    <row r="62" spans="2:4" x14ac:dyDescent="0.25">
      <c r="B62" t="s">
        <v>28</v>
      </c>
      <c r="C62" t="s">
        <v>214</v>
      </c>
      <c r="D62" t="s">
        <v>544</v>
      </c>
    </row>
    <row r="63" spans="2:4" x14ac:dyDescent="0.25">
      <c r="B63" t="s">
        <v>28</v>
      </c>
      <c r="C63" t="s">
        <v>216</v>
      </c>
      <c r="D63" t="s">
        <v>544</v>
      </c>
    </row>
    <row r="64" spans="2:4" x14ac:dyDescent="0.25">
      <c r="B64" t="s">
        <v>28</v>
      </c>
      <c r="C64" t="s">
        <v>559</v>
      </c>
      <c r="D64" t="s">
        <v>544</v>
      </c>
    </row>
    <row r="65" spans="2:4" x14ac:dyDescent="0.25">
      <c r="B65" t="s">
        <v>28</v>
      </c>
      <c r="C65" t="s">
        <v>560</v>
      </c>
      <c r="D65" t="s">
        <v>544</v>
      </c>
    </row>
    <row r="66" spans="2:4" x14ac:dyDescent="0.25">
      <c r="B66" t="s">
        <v>28</v>
      </c>
      <c r="C66" t="s">
        <v>223</v>
      </c>
      <c r="D66" t="s">
        <v>544</v>
      </c>
    </row>
    <row r="67" spans="2:4" x14ac:dyDescent="0.25">
      <c r="B67" t="s">
        <v>28</v>
      </c>
      <c r="C67" t="s">
        <v>225</v>
      </c>
      <c r="D67" t="s">
        <v>544</v>
      </c>
    </row>
    <row r="68" spans="2:4" x14ac:dyDescent="0.25">
      <c r="B68" t="s">
        <v>28</v>
      </c>
      <c r="C68" t="s">
        <v>226</v>
      </c>
      <c r="D68" t="s">
        <v>544</v>
      </c>
    </row>
    <row r="69" spans="2:4" x14ac:dyDescent="0.25">
      <c r="B69" t="s">
        <v>28</v>
      </c>
      <c r="C69" t="s">
        <v>227</v>
      </c>
      <c r="D69" t="s">
        <v>544</v>
      </c>
    </row>
    <row r="70" spans="2:4" x14ac:dyDescent="0.25">
      <c r="B70" t="s">
        <v>28</v>
      </c>
      <c r="C70" t="s">
        <v>229</v>
      </c>
      <c r="D70" t="s">
        <v>544</v>
      </c>
    </row>
    <row r="71" spans="2:4" x14ac:dyDescent="0.25">
      <c r="B71" t="s">
        <v>28</v>
      </c>
      <c r="C71" t="s">
        <v>230</v>
      </c>
      <c r="D71" t="s">
        <v>544</v>
      </c>
    </row>
    <row r="72" spans="2:4" x14ac:dyDescent="0.25">
      <c r="B72" t="s">
        <v>28</v>
      </c>
      <c r="C72" t="s">
        <v>231</v>
      </c>
      <c r="D72" t="s">
        <v>544</v>
      </c>
    </row>
    <row r="73" spans="2:4" x14ac:dyDescent="0.25">
      <c r="B73" t="s">
        <v>28</v>
      </c>
      <c r="C73" t="s">
        <v>233</v>
      </c>
      <c r="D73" t="s">
        <v>544</v>
      </c>
    </row>
    <row r="74" spans="2:4" x14ac:dyDescent="0.25">
      <c r="B74" t="s">
        <v>28</v>
      </c>
      <c r="C74" t="s">
        <v>234</v>
      </c>
      <c r="D74" t="s">
        <v>544</v>
      </c>
    </row>
    <row r="75" spans="2:4" x14ac:dyDescent="0.25">
      <c r="B75" t="s">
        <v>28</v>
      </c>
      <c r="C75" t="s">
        <v>235</v>
      </c>
      <c r="D75" t="s">
        <v>544</v>
      </c>
    </row>
    <row r="76" spans="2:4" x14ac:dyDescent="0.25">
      <c r="B76" t="s">
        <v>28</v>
      </c>
      <c r="C76" t="s">
        <v>237</v>
      </c>
      <c r="D76" t="s">
        <v>544</v>
      </c>
    </row>
    <row r="77" spans="2:4" x14ac:dyDescent="0.25">
      <c r="B77" t="s">
        <v>28</v>
      </c>
      <c r="C77" t="s">
        <v>239</v>
      </c>
      <c r="D77" t="s">
        <v>544</v>
      </c>
    </row>
    <row r="78" spans="2:4" x14ac:dyDescent="0.25">
      <c r="B78" t="s">
        <v>28</v>
      </c>
      <c r="C78" t="s">
        <v>242</v>
      </c>
      <c r="D78" t="s">
        <v>544</v>
      </c>
    </row>
    <row r="79" spans="2:4" x14ac:dyDescent="0.25">
      <c r="B79" t="s">
        <v>28</v>
      </c>
      <c r="C79" t="s">
        <v>244</v>
      </c>
      <c r="D79" t="s">
        <v>544</v>
      </c>
    </row>
    <row r="80" spans="2:4" x14ac:dyDescent="0.25">
      <c r="B80" t="s">
        <v>28</v>
      </c>
      <c r="C80" t="s">
        <v>246</v>
      </c>
      <c r="D80" t="s">
        <v>544</v>
      </c>
    </row>
    <row r="81" spans="2:4" x14ac:dyDescent="0.25">
      <c r="B81" t="s">
        <v>28</v>
      </c>
      <c r="C81" t="s">
        <v>248</v>
      </c>
      <c r="D81" t="s">
        <v>544</v>
      </c>
    </row>
    <row r="82" spans="2:4" x14ac:dyDescent="0.25">
      <c r="B82" t="s">
        <v>31</v>
      </c>
      <c r="C82" t="s">
        <v>251</v>
      </c>
      <c r="D82" t="s">
        <v>550</v>
      </c>
    </row>
    <row r="83" spans="2:4" x14ac:dyDescent="0.25">
      <c r="B83" t="s">
        <v>31</v>
      </c>
      <c r="C83" t="s">
        <v>257</v>
      </c>
      <c r="D83" t="s">
        <v>550</v>
      </c>
    </row>
    <row r="84" spans="2:4" x14ac:dyDescent="0.25">
      <c r="B84" t="s">
        <v>31</v>
      </c>
      <c r="C84" t="s">
        <v>259</v>
      </c>
      <c r="D84" t="s">
        <v>550</v>
      </c>
    </row>
    <row r="85" spans="2:4" x14ac:dyDescent="0.25">
      <c r="B85" t="s">
        <v>31</v>
      </c>
      <c r="C85" t="s">
        <v>261</v>
      </c>
      <c r="D85" t="s">
        <v>551</v>
      </c>
    </row>
    <row r="86" spans="2:4" x14ac:dyDescent="0.25">
      <c r="B86" t="s">
        <v>31</v>
      </c>
      <c r="C86" t="s">
        <v>263</v>
      </c>
      <c r="D86" t="s">
        <v>551</v>
      </c>
    </row>
    <row r="87" spans="2:4" x14ac:dyDescent="0.25">
      <c r="B87" t="s">
        <v>31</v>
      </c>
      <c r="C87" t="s">
        <v>266</v>
      </c>
      <c r="D87" t="s">
        <v>551</v>
      </c>
    </row>
    <row r="88" spans="2:4" x14ac:dyDescent="0.25">
      <c r="B88" t="s">
        <v>31</v>
      </c>
      <c r="C88" t="s">
        <v>268</v>
      </c>
      <c r="D88" t="s">
        <v>550</v>
      </c>
    </row>
    <row r="89" spans="2:4" x14ac:dyDescent="0.25">
      <c r="B89" t="s">
        <v>31</v>
      </c>
      <c r="C89" t="s">
        <v>270</v>
      </c>
      <c r="D89" t="s">
        <v>548</v>
      </c>
    </row>
    <row r="90" spans="2:4" x14ac:dyDescent="0.25">
      <c r="B90" t="s">
        <v>31</v>
      </c>
      <c r="C90" t="s">
        <v>279</v>
      </c>
      <c r="D90" t="s">
        <v>548</v>
      </c>
    </row>
    <row r="91" spans="2:4" x14ac:dyDescent="0.25">
      <c r="B91" t="s">
        <v>31</v>
      </c>
      <c r="C91" t="s">
        <v>281</v>
      </c>
      <c r="D91" t="s">
        <v>548</v>
      </c>
    </row>
    <row r="92" spans="2:4" x14ac:dyDescent="0.25">
      <c r="B92" t="s">
        <v>31</v>
      </c>
      <c r="C92" t="s">
        <v>283</v>
      </c>
      <c r="D92" t="s">
        <v>548</v>
      </c>
    </row>
    <row r="93" spans="2:4" x14ac:dyDescent="0.25">
      <c r="B93" t="s">
        <v>31</v>
      </c>
      <c r="C93" t="s">
        <v>285</v>
      </c>
      <c r="D93" t="s">
        <v>548</v>
      </c>
    </row>
    <row r="94" spans="2:4" x14ac:dyDescent="0.25">
      <c r="B94" t="s">
        <v>31</v>
      </c>
      <c r="C94" t="s">
        <v>286</v>
      </c>
      <c r="D94" t="s">
        <v>546</v>
      </c>
    </row>
    <row r="95" spans="2:4" x14ac:dyDescent="0.25">
      <c r="B95" t="s">
        <v>31</v>
      </c>
      <c r="C95" t="s">
        <v>291</v>
      </c>
      <c r="D95" t="s">
        <v>546</v>
      </c>
    </row>
    <row r="96" spans="2:4" x14ac:dyDescent="0.25">
      <c r="B96" t="s">
        <v>31</v>
      </c>
      <c r="C96" t="s">
        <v>293</v>
      </c>
      <c r="D96" t="s">
        <v>546</v>
      </c>
    </row>
    <row r="97" spans="2:4" x14ac:dyDescent="0.25">
      <c r="B97" t="s">
        <v>31</v>
      </c>
      <c r="C97" t="s">
        <v>294</v>
      </c>
      <c r="D97" t="s">
        <v>546</v>
      </c>
    </row>
    <row r="98" spans="2:4" x14ac:dyDescent="0.25">
      <c r="B98" t="s">
        <v>31</v>
      </c>
      <c r="C98" t="s">
        <v>295</v>
      </c>
      <c r="D98" t="s">
        <v>546</v>
      </c>
    </row>
    <row r="99" spans="2:4" x14ac:dyDescent="0.25">
      <c r="B99" t="s">
        <v>31</v>
      </c>
      <c r="C99" t="s">
        <v>561</v>
      </c>
      <c r="D99" t="s">
        <v>546</v>
      </c>
    </row>
    <row r="100" spans="2:4" x14ac:dyDescent="0.25">
      <c r="B100" t="s">
        <v>31</v>
      </c>
      <c r="C100" t="s">
        <v>296</v>
      </c>
      <c r="D100" t="s">
        <v>546</v>
      </c>
    </row>
    <row r="101" spans="2:4" x14ac:dyDescent="0.25">
      <c r="B101" t="s">
        <v>31</v>
      </c>
      <c r="C101" t="s">
        <v>562</v>
      </c>
      <c r="D101" t="s">
        <v>546</v>
      </c>
    </row>
    <row r="102" spans="2:4" x14ac:dyDescent="0.25">
      <c r="B102" t="s">
        <v>31</v>
      </c>
      <c r="C102" t="s">
        <v>297</v>
      </c>
      <c r="D102" t="s">
        <v>546</v>
      </c>
    </row>
    <row r="103" spans="2:4" x14ac:dyDescent="0.25">
      <c r="B103" t="s">
        <v>31</v>
      </c>
      <c r="C103" t="s">
        <v>563</v>
      </c>
      <c r="D103" t="s">
        <v>546</v>
      </c>
    </row>
    <row r="104" spans="2:4" x14ac:dyDescent="0.25">
      <c r="B104" t="s">
        <v>31</v>
      </c>
      <c r="C104" t="s">
        <v>298</v>
      </c>
      <c r="D104" t="s">
        <v>546</v>
      </c>
    </row>
    <row r="105" spans="2:4" x14ac:dyDescent="0.25">
      <c r="B105" t="s">
        <v>31</v>
      </c>
      <c r="C105" t="s">
        <v>300</v>
      </c>
      <c r="D105" t="s">
        <v>546</v>
      </c>
    </row>
    <row r="106" spans="2:4" x14ac:dyDescent="0.25">
      <c r="B106" t="s">
        <v>31</v>
      </c>
      <c r="C106" t="s">
        <v>302</v>
      </c>
      <c r="D106" t="s">
        <v>546</v>
      </c>
    </row>
    <row r="107" spans="2:4" x14ac:dyDescent="0.25">
      <c r="B107" t="s">
        <v>31</v>
      </c>
      <c r="C107" t="s">
        <v>304</v>
      </c>
      <c r="D107" t="s">
        <v>546</v>
      </c>
    </row>
    <row r="108" spans="2:4" x14ac:dyDescent="0.25">
      <c r="B108" t="s">
        <v>31</v>
      </c>
      <c r="C108" t="s">
        <v>305</v>
      </c>
      <c r="D108" t="s">
        <v>546</v>
      </c>
    </row>
    <row r="109" spans="2:4" x14ac:dyDescent="0.25">
      <c r="B109" t="s">
        <v>31</v>
      </c>
      <c r="C109" t="s">
        <v>306</v>
      </c>
      <c r="D109" t="s">
        <v>546</v>
      </c>
    </row>
    <row r="110" spans="2:4" x14ac:dyDescent="0.25">
      <c r="B110" t="s">
        <v>31</v>
      </c>
      <c r="C110" t="s">
        <v>564</v>
      </c>
      <c r="D110" t="s">
        <v>546</v>
      </c>
    </row>
    <row r="111" spans="2:4" x14ac:dyDescent="0.25">
      <c r="B111" t="s">
        <v>31</v>
      </c>
      <c r="C111" t="s">
        <v>307</v>
      </c>
      <c r="D111" t="s">
        <v>546</v>
      </c>
    </row>
    <row r="112" spans="2:4" x14ac:dyDescent="0.25">
      <c r="B112" t="s">
        <v>31</v>
      </c>
      <c r="C112" t="s">
        <v>565</v>
      </c>
      <c r="D112" t="s">
        <v>546</v>
      </c>
    </row>
    <row r="113" spans="2:4" x14ac:dyDescent="0.25">
      <c r="B113" t="s">
        <v>31</v>
      </c>
      <c r="C113" t="s">
        <v>308</v>
      </c>
      <c r="D113" t="s">
        <v>546</v>
      </c>
    </row>
    <row r="114" spans="2:4" x14ac:dyDescent="0.25">
      <c r="B114" t="s">
        <v>31</v>
      </c>
      <c r="C114" t="s">
        <v>566</v>
      </c>
      <c r="D114" t="s">
        <v>546</v>
      </c>
    </row>
    <row r="115" spans="2:4" x14ac:dyDescent="0.25">
      <c r="B115" t="s">
        <v>31</v>
      </c>
      <c r="C115" t="s">
        <v>309</v>
      </c>
      <c r="D115" t="s">
        <v>546</v>
      </c>
    </row>
    <row r="116" spans="2:4" x14ac:dyDescent="0.25">
      <c r="B116" t="s">
        <v>31</v>
      </c>
      <c r="C116" t="s">
        <v>310</v>
      </c>
      <c r="D116" t="s">
        <v>546</v>
      </c>
    </row>
    <row r="117" spans="2:4" x14ac:dyDescent="0.25">
      <c r="B117" t="s">
        <v>31</v>
      </c>
      <c r="C117" t="s">
        <v>311</v>
      </c>
      <c r="D117" t="s">
        <v>546</v>
      </c>
    </row>
    <row r="118" spans="2:4" x14ac:dyDescent="0.25">
      <c r="B118" t="s">
        <v>31</v>
      </c>
      <c r="C118" t="s">
        <v>313</v>
      </c>
      <c r="D118" t="s">
        <v>546</v>
      </c>
    </row>
    <row r="119" spans="2:4" x14ac:dyDescent="0.25">
      <c r="B119" t="s">
        <v>31</v>
      </c>
      <c r="C119" t="s">
        <v>315</v>
      </c>
      <c r="D119" t="s">
        <v>546</v>
      </c>
    </row>
    <row r="120" spans="2:4" x14ac:dyDescent="0.25">
      <c r="B120" t="s">
        <v>31</v>
      </c>
      <c r="C120" t="s">
        <v>316</v>
      </c>
      <c r="D120" t="s">
        <v>546</v>
      </c>
    </row>
    <row r="121" spans="2:4" x14ac:dyDescent="0.25">
      <c r="B121" t="s">
        <v>31</v>
      </c>
      <c r="C121" t="s">
        <v>317</v>
      </c>
      <c r="D121" t="s">
        <v>546</v>
      </c>
    </row>
    <row r="122" spans="2:4" x14ac:dyDescent="0.25">
      <c r="B122" t="s">
        <v>31</v>
      </c>
      <c r="C122" t="s">
        <v>318</v>
      </c>
      <c r="D122" t="s">
        <v>546</v>
      </c>
    </row>
    <row r="123" spans="2:4" x14ac:dyDescent="0.25">
      <c r="B123" t="s">
        <v>31</v>
      </c>
      <c r="C123" t="s">
        <v>567</v>
      </c>
      <c r="D123" t="s">
        <v>546</v>
      </c>
    </row>
    <row r="124" spans="2:4" x14ac:dyDescent="0.25">
      <c r="B124" t="s">
        <v>31</v>
      </c>
      <c r="C124" t="s">
        <v>319</v>
      </c>
      <c r="D124" t="s">
        <v>546</v>
      </c>
    </row>
    <row r="125" spans="2:4" x14ac:dyDescent="0.25">
      <c r="B125" t="s">
        <v>31</v>
      </c>
      <c r="C125" t="s">
        <v>568</v>
      </c>
      <c r="D125" t="s">
        <v>546</v>
      </c>
    </row>
    <row r="126" spans="2:4" x14ac:dyDescent="0.25">
      <c r="B126" t="s">
        <v>31</v>
      </c>
      <c r="C126" t="s">
        <v>320</v>
      </c>
      <c r="D126" t="s">
        <v>546</v>
      </c>
    </row>
    <row r="127" spans="2:4" x14ac:dyDescent="0.25">
      <c r="B127" t="s">
        <v>31</v>
      </c>
      <c r="C127" t="s">
        <v>569</v>
      </c>
      <c r="D127" t="s">
        <v>546</v>
      </c>
    </row>
    <row r="128" spans="2:4" x14ac:dyDescent="0.25">
      <c r="B128" t="s">
        <v>31</v>
      </c>
      <c r="C128" t="s">
        <v>321</v>
      </c>
      <c r="D128" t="s">
        <v>546</v>
      </c>
    </row>
    <row r="129" spans="2:4" x14ac:dyDescent="0.25">
      <c r="B129" t="s">
        <v>31</v>
      </c>
      <c r="C129" t="s">
        <v>322</v>
      </c>
      <c r="D129" t="s">
        <v>546</v>
      </c>
    </row>
    <row r="130" spans="2:4" x14ac:dyDescent="0.25">
      <c r="B130" t="s">
        <v>31</v>
      </c>
      <c r="C130" t="s">
        <v>323</v>
      </c>
      <c r="D130" t="s">
        <v>546</v>
      </c>
    </row>
    <row r="131" spans="2:4" x14ac:dyDescent="0.25">
      <c r="B131" t="s">
        <v>31</v>
      </c>
      <c r="C131" t="s">
        <v>325</v>
      </c>
      <c r="D131" t="s">
        <v>546</v>
      </c>
    </row>
    <row r="132" spans="2:4" x14ac:dyDescent="0.25">
      <c r="B132" t="s">
        <v>31</v>
      </c>
      <c r="C132" t="s">
        <v>326</v>
      </c>
      <c r="D132" t="s">
        <v>546</v>
      </c>
    </row>
    <row r="133" spans="2:4" x14ac:dyDescent="0.25">
      <c r="B133" t="s">
        <v>31</v>
      </c>
      <c r="C133" t="s">
        <v>327</v>
      </c>
      <c r="D133" t="s">
        <v>546</v>
      </c>
    </row>
    <row r="134" spans="2:4" x14ac:dyDescent="0.25">
      <c r="B134" t="s">
        <v>31</v>
      </c>
      <c r="C134" t="s">
        <v>570</v>
      </c>
      <c r="D134" t="s">
        <v>546</v>
      </c>
    </row>
    <row r="135" spans="2:4" x14ac:dyDescent="0.25">
      <c r="B135" t="s">
        <v>31</v>
      </c>
      <c r="C135" t="s">
        <v>328</v>
      </c>
      <c r="D135" t="s">
        <v>546</v>
      </c>
    </row>
    <row r="136" spans="2:4" x14ac:dyDescent="0.25">
      <c r="B136" t="s">
        <v>31</v>
      </c>
      <c r="C136" t="s">
        <v>571</v>
      </c>
      <c r="D136" t="s">
        <v>546</v>
      </c>
    </row>
    <row r="137" spans="2:4" x14ac:dyDescent="0.25">
      <c r="B137" t="s">
        <v>31</v>
      </c>
      <c r="C137" t="s">
        <v>329</v>
      </c>
      <c r="D137" t="s">
        <v>546</v>
      </c>
    </row>
    <row r="138" spans="2:4" x14ac:dyDescent="0.25">
      <c r="B138" t="s">
        <v>31</v>
      </c>
      <c r="C138" t="s">
        <v>572</v>
      </c>
      <c r="D138" t="s">
        <v>546</v>
      </c>
    </row>
    <row r="139" spans="2:4" x14ac:dyDescent="0.25">
      <c r="B139" t="s">
        <v>31</v>
      </c>
      <c r="C139" t="s">
        <v>330</v>
      </c>
      <c r="D139" t="s">
        <v>546</v>
      </c>
    </row>
    <row r="140" spans="2:4" x14ac:dyDescent="0.25">
      <c r="B140" t="s">
        <v>31</v>
      </c>
      <c r="C140" t="s">
        <v>331</v>
      </c>
      <c r="D140" t="s">
        <v>546</v>
      </c>
    </row>
    <row r="141" spans="2:4" x14ac:dyDescent="0.25">
      <c r="B141" t="s">
        <v>31</v>
      </c>
      <c r="C141" t="s">
        <v>332</v>
      </c>
      <c r="D141" t="s">
        <v>546</v>
      </c>
    </row>
    <row r="142" spans="2:4" x14ac:dyDescent="0.25">
      <c r="B142" t="s">
        <v>31</v>
      </c>
      <c r="C142" t="s">
        <v>335</v>
      </c>
      <c r="D142" t="s">
        <v>546</v>
      </c>
    </row>
    <row r="143" spans="2:4" x14ac:dyDescent="0.25">
      <c r="B143" t="s">
        <v>31</v>
      </c>
      <c r="C143" t="s">
        <v>336</v>
      </c>
      <c r="D143" t="s">
        <v>546</v>
      </c>
    </row>
    <row r="144" spans="2:4" x14ac:dyDescent="0.25">
      <c r="B144" t="s">
        <v>31</v>
      </c>
      <c r="C144" t="s">
        <v>337</v>
      </c>
      <c r="D144" t="s">
        <v>546</v>
      </c>
    </row>
    <row r="145" spans="2:4" x14ac:dyDescent="0.25">
      <c r="B145" t="s">
        <v>31</v>
      </c>
      <c r="C145" t="s">
        <v>338</v>
      </c>
      <c r="D145" t="s">
        <v>546</v>
      </c>
    </row>
    <row r="146" spans="2:4" x14ac:dyDescent="0.25">
      <c r="B146" t="s">
        <v>31</v>
      </c>
      <c r="C146" t="s">
        <v>573</v>
      </c>
      <c r="D146" t="s">
        <v>546</v>
      </c>
    </row>
    <row r="147" spans="2:4" x14ac:dyDescent="0.25">
      <c r="B147" t="s">
        <v>31</v>
      </c>
      <c r="C147" t="s">
        <v>339</v>
      </c>
      <c r="D147" t="s">
        <v>546</v>
      </c>
    </row>
    <row r="148" spans="2:4" x14ac:dyDescent="0.25">
      <c r="B148" t="s">
        <v>31</v>
      </c>
      <c r="C148" t="s">
        <v>574</v>
      </c>
      <c r="D148" t="s">
        <v>546</v>
      </c>
    </row>
    <row r="149" spans="2:4" x14ac:dyDescent="0.25">
      <c r="B149" t="s">
        <v>31</v>
      </c>
      <c r="C149" t="s">
        <v>340</v>
      </c>
      <c r="D149" t="s">
        <v>546</v>
      </c>
    </row>
    <row r="150" spans="2:4" x14ac:dyDescent="0.25">
      <c r="B150" t="s">
        <v>31</v>
      </c>
      <c r="C150" t="s">
        <v>575</v>
      </c>
      <c r="D150" t="s">
        <v>546</v>
      </c>
    </row>
    <row r="151" spans="2:4" x14ac:dyDescent="0.25">
      <c r="B151" t="s">
        <v>31</v>
      </c>
      <c r="C151" t="s">
        <v>341</v>
      </c>
      <c r="D151" t="s">
        <v>546</v>
      </c>
    </row>
    <row r="152" spans="2:4" x14ac:dyDescent="0.25">
      <c r="B152" t="s">
        <v>31</v>
      </c>
      <c r="C152" t="s">
        <v>342</v>
      </c>
      <c r="D152" t="s">
        <v>546</v>
      </c>
    </row>
    <row r="153" spans="2:4" x14ac:dyDescent="0.25">
      <c r="B153" t="s">
        <v>31</v>
      </c>
      <c r="C153" t="s">
        <v>343</v>
      </c>
      <c r="D153" t="s">
        <v>546</v>
      </c>
    </row>
    <row r="154" spans="2:4" x14ac:dyDescent="0.25">
      <c r="B154" t="s">
        <v>31</v>
      </c>
      <c r="C154" t="s">
        <v>344</v>
      </c>
      <c r="D154" t="s">
        <v>547</v>
      </c>
    </row>
    <row r="155" spans="2:4" x14ac:dyDescent="0.25">
      <c r="B155" t="s">
        <v>31</v>
      </c>
      <c r="C155" t="s">
        <v>346</v>
      </c>
      <c r="D155" t="s">
        <v>547</v>
      </c>
    </row>
    <row r="156" spans="2:4" x14ac:dyDescent="0.25">
      <c r="B156" t="s">
        <v>31</v>
      </c>
      <c r="C156" t="s">
        <v>347</v>
      </c>
      <c r="D156" t="s">
        <v>547</v>
      </c>
    </row>
    <row r="157" spans="2:4" x14ac:dyDescent="0.25">
      <c r="B157" t="s">
        <v>31</v>
      </c>
      <c r="C157" t="s">
        <v>348</v>
      </c>
      <c r="D157" t="s">
        <v>547</v>
      </c>
    </row>
    <row r="158" spans="2:4" x14ac:dyDescent="0.25">
      <c r="B158" t="s">
        <v>31</v>
      </c>
      <c r="C158" t="s">
        <v>576</v>
      </c>
      <c r="D158" t="s">
        <v>547</v>
      </c>
    </row>
    <row r="159" spans="2:4" x14ac:dyDescent="0.25">
      <c r="B159" t="s">
        <v>31</v>
      </c>
      <c r="C159" t="s">
        <v>349</v>
      </c>
      <c r="D159" t="s">
        <v>547</v>
      </c>
    </row>
    <row r="160" spans="2:4" x14ac:dyDescent="0.25">
      <c r="B160" t="s">
        <v>31</v>
      </c>
      <c r="C160" t="s">
        <v>577</v>
      </c>
      <c r="D160" t="s">
        <v>547</v>
      </c>
    </row>
    <row r="161" spans="2:4" x14ac:dyDescent="0.25">
      <c r="B161" t="s">
        <v>31</v>
      </c>
      <c r="C161" t="s">
        <v>350</v>
      </c>
      <c r="D161" t="s">
        <v>547</v>
      </c>
    </row>
    <row r="162" spans="2:4" x14ac:dyDescent="0.25">
      <c r="B162" t="s">
        <v>31</v>
      </c>
      <c r="C162" t="s">
        <v>578</v>
      </c>
      <c r="D162" t="s">
        <v>547</v>
      </c>
    </row>
    <row r="163" spans="2:4" x14ac:dyDescent="0.25">
      <c r="B163" t="s">
        <v>31</v>
      </c>
      <c r="C163" t="s">
        <v>351</v>
      </c>
      <c r="D163" t="s">
        <v>547</v>
      </c>
    </row>
    <row r="164" spans="2:4" x14ac:dyDescent="0.25">
      <c r="B164" t="s">
        <v>31</v>
      </c>
      <c r="C164" t="s">
        <v>352</v>
      </c>
      <c r="D164" t="s">
        <v>547</v>
      </c>
    </row>
    <row r="165" spans="2:4" x14ac:dyDescent="0.25">
      <c r="B165" t="s">
        <v>31</v>
      </c>
      <c r="C165" t="s">
        <v>353</v>
      </c>
      <c r="D165" t="s">
        <v>547</v>
      </c>
    </row>
    <row r="166" spans="2:4" x14ac:dyDescent="0.25">
      <c r="B166" t="s">
        <v>31</v>
      </c>
      <c r="C166" t="s">
        <v>355</v>
      </c>
      <c r="D166" t="s">
        <v>547</v>
      </c>
    </row>
    <row r="167" spans="2:4" x14ac:dyDescent="0.25">
      <c r="B167" t="s">
        <v>31</v>
      </c>
      <c r="C167" t="s">
        <v>357</v>
      </c>
      <c r="D167" t="s">
        <v>547</v>
      </c>
    </row>
    <row r="168" spans="2:4" x14ac:dyDescent="0.25">
      <c r="B168" t="s">
        <v>31</v>
      </c>
      <c r="C168" t="s">
        <v>360</v>
      </c>
      <c r="D168" t="s">
        <v>547</v>
      </c>
    </row>
    <row r="169" spans="2:4" x14ac:dyDescent="0.25">
      <c r="B169" t="s">
        <v>31</v>
      </c>
      <c r="C169" t="s">
        <v>361</v>
      </c>
      <c r="D169" t="s">
        <v>547</v>
      </c>
    </row>
    <row r="170" spans="2:4" x14ac:dyDescent="0.25">
      <c r="B170" t="s">
        <v>31</v>
      </c>
      <c r="C170" t="s">
        <v>362</v>
      </c>
      <c r="D170" t="s">
        <v>547</v>
      </c>
    </row>
    <row r="171" spans="2:4" x14ac:dyDescent="0.25">
      <c r="B171" t="s">
        <v>31</v>
      </c>
      <c r="C171" t="s">
        <v>579</v>
      </c>
      <c r="D171" t="s">
        <v>547</v>
      </c>
    </row>
    <row r="172" spans="2:4" x14ac:dyDescent="0.25">
      <c r="B172" t="s">
        <v>31</v>
      </c>
      <c r="C172" t="s">
        <v>363</v>
      </c>
      <c r="D172" t="s">
        <v>547</v>
      </c>
    </row>
    <row r="173" spans="2:4" x14ac:dyDescent="0.25">
      <c r="B173" t="s">
        <v>31</v>
      </c>
      <c r="C173" t="s">
        <v>580</v>
      </c>
      <c r="D173" t="s">
        <v>547</v>
      </c>
    </row>
    <row r="174" spans="2:4" x14ac:dyDescent="0.25">
      <c r="B174" t="s">
        <v>31</v>
      </c>
      <c r="C174" t="s">
        <v>364</v>
      </c>
      <c r="D174" t="s">
        <v>547</v>
      </c>
    </row>
    <row r="175" spans="2:4" x14ac:dyDescent="0.25">
      <c r="B175" t="s">
        <v>31</v>
      </c>
      <c r="C175" t="s">
        <v>581</v>
      </c>
      <c r="D175" t="s">
        <v>547</v>
      </c>
    </row>
    <row r="176" spans="2:4" x14ac:dyDescent="0.25">
      <c r="B176" t="s">
        <v>31</v>
      </c>
      <c r="C176" t="s">
        <v>365</v>
      </c>
      <c r="D176" t="s">
        <v>547</v>
      </c>
    </row>
    <row r="177" spans="2:4" x14ac:dyDescent="0.25">
      <c r="B177" t="s">
        <v>31</v>
      </c>
      <c r="C177" t="s">
        <v>366</v>
      </c>
      <c r="D177" t="s">
        <v>547</v>
      </c>
    </row>
    <row r="178" spans="2:4" x14ac:dyDescent="0.25">
      <c r="B178" t="s">
        <v>31</v>
      </c>
      <c r="C178" t="s">
        <v>367</v>
      </c>
      <c r="D178" t="s">
        <v>547</v>
      </c>
    </row>
    <row r="179" spans="2:4" x14ac:dyDescent="0.25">
      <c r="B179" t="s">
        <v>31</v>
      </c>
      <c r="C179" t="s">
        <v>369</v>
      </c>
      <c r="D179" t="s">
        <v>547</v>
      </c>
    </row>
    <row r="180" spans="2:4" x14ac:dyDescent="0.25">
      <c r="B180" t="s">
        <v>31</v>
      </c>
      <c r="C180" t="s">
        <v>370</v>
      </c>
      <c r="D180" t="s">
        <v>547</v>
      </c>
    </row>
    <row r="181" spans="2:4" x14ac:dyDescent="0.25">
      <c r="B181" t="s">
        <v>31</v>
      </c>
      <c r="C181" t="s">
        <v>371</v>
      </c>
      <c r="D181" t="s">
        <v>547</v>
      </c>
    </row>
    <row r="182" spans="2:4" x14ac:dyDescent="0.25">
      <c r="B182" t="s">
        <v>31</v>
      </c>
      <c r="C182" t="s">
        <v>582</v>
      </c>
      <c r="D182" t="s">
        <v>547</v>
      </c>
    </row>
    <row r="183" spans="2:4" x14ac:dyDescent="0.25">
      <c r="B183" t="s">
        <v>31</v>
      </c>
      <c r="C183" t="s">
        <v>372</v>
      </c>
      <c r="D183" t="s">
        <v>547</v>
      </c>
    </row>
    <row r="184" spans="2:4" x14ac:dyDescent="0.25">
      <c r="B184" t="s">
        <v>31</v>
      </c>
      <c r="C184" t="s">
        <v>583</v>
      </c>
      <c r="D184" t="s">
        <v>547</v>
      </c>
    </row>
    <row r="185" spans="2:4" x14ac:dyDescent="0.25">
      <c r="B185" t="s">
        <v>31</v>
      </c>
      <c r="C185" t="s">
        <v>373</v>
      </c>
      <c r="D185" t="s">
        <v>547</v>
      </c>
    </row>
    <row r="186" spans="2:4" x14ac:dyDescent="0.25">
      <c r="B186" t="s">
        <v>31</v>
      </c>
      <c r="C186" t="s">
        <v>584</v>
      </c>
      <c r="D186" t="s">
        <v>547</v>
      </c>
    </row>
    <row r="187" spans="2:4" x14ac:dyDescent="0.25">
      <c r="B187" t="s">
        <v>31</v>
      </c>
      <c r="C187" t="s">
        <v>374</v>
      </c>
      <c r="D187" t="s">
        <v>547</v>
      </c>
    </row>
    <row r="188" spans="2:4" x14ac:dyDescent="0.25">
      <c r="B188" t="s">
        <v>31</v>
      </c>
      <c r="C188" t="s">
        <v>375</v>
      </c>
      <c r="D188" t="s">
        <v>547</v>
      </c>
    </row>
    <row r="189" spans="2:4" x14ac:dyDescent="0.25">
      <c r="B189" t="s">
        <v>31</v>
      </c>
      <c r="C189" t="s">
        <v>376</v>
      </c>
      <c r="D189" t="s">
        <v>547</v>
      </c>
    </row>
    <row r="190" spans="2:4" x14ac:dyDescent="0.25">
      <c r="B190" t="s">
        <v>31</v>
      </c>
      <c r="C190" t="s">
        <v>378</v>
      </c>
      <c r="D190" t="s">
        <v>547</v>
      </c>
    </row>
    <row r="191" spans="2:4" x14ac:dyDescent="0.25">
      <c r="B191" t="s">
        <v>31</v>
      </c>
      <c r="C191" t="s">
        <v>379</v>
      </c>
      <c r="D191" t="s">
        <v>547</v>
      </c>
    </row>
    <row r="192" spans="2:4" x14ac:dyDescent="0.25">
      <c r="B192" t="s">
        <v>31</v>
      </c>
      <c r="C192" t="s">
        <v>380</v>
      </c>
      <c r="D192" t="s">
        <v>547</v>
      </c>
    </row>
    <row r="193" spans="2:4" x14ac:dyDescent="0.25">
      <c r="B193" t="s">
        <v>31</v>
      </c>
      <c r="C193" t="s">
        <v>585</v>
      </c>
      <c r="D193" t="s">
        <v>547</v>
      </c>
    </row>
    <row r="194" spans="2:4" x14ac:dyDescent="0.25">
      <c r="B194" t="s">
        <v>31</v>
      </c>
      <c r="C194" t="s">
        <v>381</v>
      </c>
      <c r="D194" t="s">
        <v>547</v>
      </c>
    </row>
    <row r="195" spans="2:4" x14ac:dyDescent="0.25">
      <c r="B195" t="s">
        <v>31</v>
      </c>
      <c r="C195" t="s">
        <v>586</v>
      </c>
      <c r="D195" t="s">
        <v>547</v>
      </c>
    </row>
    <row r="196" spans="2:4" x14ac:dyDescent="0.25">
      <c r="B196" t="s">
        <v>31</v>
      </c>
      <c r="C196" t="s">
        <v>382</v>
      </c>
      <c r="D196" t="s">
        <v>547</v>
      </c>
    </row>
    <row r="197" spans="2:4" x14ac:dyDescent="0.25">
      <c r="B197" t="s">
        <v>31</v>
      </c>
      <c r="C197" t="s">
        <v>587</v>
      </c>
      <c r="D197" t="s">
        <v>547</v>
      </c>
    </row>
    <row r="198" spans="2:4" x14ac:dyDescent="0.25">
      <c r="B198" t="s">
        <v>31</v>
      </c>
      <c r="C198" t="s">
        <v>383</v>
      </c>
      <c r="D198" t="s">
        <v>547</v>
      </c>
    </row>
    <row r="199" spans="2:4" x14ac:dyDescent="0.25">
      <c r="B199" t="s">
        <v>31</v>
      </c>
      <c r="C199" t="s">
        <v>384</v>
      </c>
      <c r="D199" t="s">
        <v>546</v>
      </c>
    </row>
    <row r="200" spans="2:4" x14ac:dyDescent="0.25">
      <c r="B200" t="s">
        <v>31</v>
      </c>
      <c r="C200" t="s">
        <v>386</v>
      </c>
      <c r="D200" t="s">
        <v>546</v>
      </c>
    </row>
    <row r="201" spans="2:4" x14ac:dyDescent="0.25">
      <c r="B201" t="s">
        <v>31</v>
      </c>
      <c r="C201" t="s">
        <v>388</v>
      </c>
      <c r="D201" t="s">
        <v>546</v>
      </c>
    </row>
    <row r="202" spans="2:4" x14ac:dyDescent="0.25">
      <c r="B202" t="s">
        <v>31</v>
      </c>
      <c r="C202" t="s">
        <v>389</v>
      </c>
      <c r="D202" t="s">
        <v>546</v>
      </c>
    </row>
    <row r="203" spans="2:4" x14ac:dyDescent="0.25">
      <c r="B203" t="s">
        <v>31</v>
      </c>
      <c r="C203" t="s">
        <v>391</v>
      </c>
      <c r="D203" t="s">
        <v>546</v>
      </c>
    </row>
    <row r="204" spans="2:4" x14ac:dyDescent="0.25">
      <c r="B204" t="s">
        <v>31</v>
      </c>
      <c r="C204" t="s">
        <v>392</v>
      </c>
      <c r="D204" t="s">
        <v>546</v>
      </c>
    </row>
    <row r="205" spans="2:4" x14ac:dyDescent="0.25">
      <c r="B205" t="s">
        <v>31</v>
      </c>
      <c r="C205" t="s">
        <v>393</v>
      </c>
      <c r="D205" t="s">
        <v>546</v>
      </c>
    </row>
    <row r="206" spans="2:4" x14ac:dyDescent="0.25">
      <c r="B206" t="s">
        <v>31</v>
      </c>
      <c r="C206" t="s">
        <v>588</v>
      </c>
      <c r="D206" t="s">
        <v>546</v>
      </c>
    </row>
    <row r="207" spans="2:4" x14ac:dyDescent="0.25">
      <c r="B207" t="s">
        <v>31</v>
      </c>
      <c r="C207" t="s">
        <v>394</v>
      </c>
      <c r="D207" t="s">
        <v>546</v>
      </c>
    </row>
    <row r="208" spans="2:4" x14ac:dyDescent="0.25">
      <c r="B208" t="s">
        <v>31</v>
      </c>
      <c r="C208" t="s">
        <v>589</v>
      </c>
      <c r="D208" t="s">
        <v>546</v>
      </c>
    </row>
    <row r="209" spans="2:4" x14ac:dyDescent="0.25">
      <c r="B209" t="s">
        <v>31</v>
      </c>
      <c r="C209" t="s">
        <v>395</v>
      </c>
      <c r="D209" t="s">
        <v>546</v>
      </c>
    </row>
    <row r="210" spans="2:4" x14ac:dyDescent="0.25">
      <c r="B210" t="s">
        <v>31</v>
      </c>
      <c r="C210" t="s">
        <v>590</v>
      </c>
      <c r="D210" t="s">
        <v>546</v>
      </c>
    </row>
    <row r="211" spans="2:4" x14ac:dyDescent="0.25">
      <c r="B211" t="s">
        <v>31</v>
      </c>
      <c r="C211" t="s">
        <v>396</v>
      </c>
      <c r="D211" t="s">
        <v>546</v>
      </c>
    </row>
    <row r="212" spans="2:4" x14ac:dyDescent="0.25">
      <c r="B212" t="s">
        <v>31</v>
      </c>
      <c r="C212" t="s">
        <v>397</v>
      </c>
      <c r="D212" t="s">
        <v>546</v>
      </c>
    </row>
    <row r="213" spans="2:4" x14ac:dyDescent="0.25">
      <c r="B213" t="s">
        <v>31</v>
      </c>
      <c r="C213" t="s">
        <v>398</v>
      </c>
      <c r="D213" t="s">
        <v>546</v>
      </c>
    </row>
    <row r="214" spans="2:4" x14ac:dyDescent="0.25">
      <c r="B214" t="s">
        <v>31</v>
      </c>
      <c r="C214" t="s">
        <v>400</v>
      </c>
      <c r="D214" t="s">
        <v>546</v>
      </c>
    </row>
    <row r="215" spans="2:4" x14ac:dyDescent="0.25">
      <c r="B215" t="s">
        <v>31</v>
      </c>
      <c r="C215" t="s">
        <v>401</v>
      </c>
      <c r="D215" t="s">
        <v>546</v>
      </c>
    </row>
    <row r="216" spans="2:4" x14ac:dyDescent="0.25">
      <c r="B216" t="s">
        <v>31</v>
      </c>
      <c r="C216" t="s">
        <v>402</v>
      </c>
      <c r="D216" t="s">
        <v>546</v>
      </c>
    </row>
    <row r="217" spans="2:4" x14ac:dyDescent="0.25">
      <c r="B217" t="s">
        <v>31</v>
      </c>
      <c r="C217" t="s">
        <v>591</v>
      </c>
      <c r="D217" t="s">
        <v>546</v>
      </c>
    </row>
    <row r="218" spans="2:4" x14ac:dyDescent="0.25">
      <c r="B218" t="s">
        <v>31</v>
      </c>
      <c r="C218" t="s">
        <v>403</v>
      </c>
      <c r="D218" t="s">
        <v>546</v>
      </c>
    </row>
    <row r="219" spans="2:4" x14ac:dyDescent="0.25">
      <c r="B219" t="s">
        <v>31</v>
      </c>
      <c r="C219" t="s">
        <v>592</v>
      </c>
      <c r="D219" t="s">
        <v>546</v>
      </c>
    </row>
    <row r="220" spans="2:4" x14ac:dyDescent="0.25">
      <c r="B220" t="s">
        <v>31</v>
      </c>
      <c r="C220" t="s">
        <v>404</v>
      </c>
      <c r="D220" t="s">
        <v>546</v>
      </c>
    </row>
    <row r="221" spans="2:4" x14ac:dyDescent="0.25">
      <c r="B221" t="s">
        <v>31</v>
      </c>
      <c r="C221" t="s">
        <v>593</v>
      </c>
      <c r="D221" t="s">
        <v>546</v>
      </c>
    </row>
    <row r="222" spans="2:4" x14ac:dyDescent="0.25">
      <c r="B222" t="s">
        <v>31</v>
      </c>
      <c r="C222" t="s">
        <v>405</v>
      </c>
      <c r="D222" t="s">
        <v>546</v>
      </c>
    </row>
    <row r="223" spans="2:4" x14ac:dyDescent="0.25">
      <c r="B223" t="s">
        <v>31</v>
      </c>
      <c r="C223" t="s">
        <v>406</v>
      </c>
      <c r="D223" t="s">
        <v>546</v>
      </c>
    </row>
    <row r="224" spans="2:4" x14ac:dyDescent="0.25">
      <c r="B224" t="s">
        <v>31</v>
      </c>
      <c r="C224" t="s">
        <v>407</v>
      </c>
      <c r="D224" t="s">
        <v>546</v>
      </c>
    </row>
    <row r="225" spans="2:4" x14ac:dyDescent="0.25">
      <c r="B225" t="s">
        <v>31</v>
      </c>
      <c r="C225" t="s">
        <v>409</v>
      </c>
      <c r="D225" t="s">
        <v>546</v>
      </c>
    </row>
    <row r="226" spans="2:4" x14ac:dyDescent="0.25">
      <c r="B226" t="s">
        <v>31</v>
      </c>
      <c r="C226" t="s">
        <v>410</v>
      </c>
      <c r="D226" t="s">
        <v>546</v>
      </c>
    </row>
    <row r="227" spans="2:4" x14ac:dyDescent="0.25">
      <c r="B227" t="s">
        <v>31</v>
      </c>
      <c r="C227" t="s">
        <v>411</v>
      </c>
      <c r="D227" t="s">
        <v>546</v>
      </c>
    </row>
    <row r="228" spans="2:4" x14ac:dyDescent="0.25">
      <c r="B228" t="s">
        <v>31</v>
      </c>
      <c r="C228" t="s">
        <v>594</v>
      </c>
      <c r="D228" t="s">
        <v>546</v>
      </c>
    </row>
    <row r="229" spans="2:4" x14ac:dyDescent="0.25">
      <c r="B229" t="s">
        <v>31</v>
      </c>
      <c r="C229" t="s">
        <v>412</v>
      </c>
      <c r="D229" t="s">
        <v>546</v>
      </c>
    </row>
    <row r="230" spans="2:4" x14ac:dyDescent="0.25">
      <c r="B230" t="s">
        <v>31</v>
      </c>
      <c r="C230" t="s">
        <v>595</v>
      </c>
      <c r="D230" t="s">
        <v>546</v>
      </c>
    </row>
    <row r="231" spans="2:4" x14ac:dyDescent="0.25">
      <c r="B231" t="s">
        <v>31</v>
      </c>
      <c r="C231" t="s">
        <v>413</v>
      </c>
      <c r="D231" t="s">
        <v>546</v>
      </c>
    </row>
    <row r="232" spans="2:4" x14ac:dyDescent="0.25">
      <c r="B232" t="s">
        <v>31</v>
      </c>
      <c r="C232" t="s">
        <v>596</v>
      </c>
      <c r="D232" t="s">
        <v>546</v>
      </c>
    </row>
    <row r="233" spans="2:4" x14ac:dyDescent="0.25">
      <c r="B233" t="s">
        <v>31</v>
      </c>
      <c r="C233" t="s">
        <v>414</v>
      </c>
      <c r="D233" t="s">
        <v>546</v>
      </c>
    </row>
    <row r="234" spans="2:4" x14ac:dyDescent="0.25">
      <c r="B234" t="s">
        <v>31</v>
      </c>
      <c r="C234" t="s">
        <v>415</v>
      </c>
      <c r="D234" t="s">
        <v>546</v>
      </c>
    </row>
    <row r="235" spans="2:4" x14ac:dyDescent="0.25">
      <c r="B235" t="s">
        <v>31</v>
      </c>
      <c r="C235" t="s">
        <v>416</v>
      </c>
      <c r="D235" t="s">
        <v>546</v>
      </c>
    </row>
    <row r="236" spans="2:4" x14ac:dyDescent="0.25">
      <c r="B236" t="s">
        <v>31</v>
      </c>
      <c r="C236" t="s">
        <v>418</v>
      </c>
      <c r="D236" t="s">
        <v>546</v>
      </c>
    </row>
    <row r="237" spans="2:4" x14ac:dyDescent="0.25">
      <c r="B237" t="s">
        <v>31</v>
      </c>
      <c r="C237" t="s">
        <v>597</v>
      </c>
      <c r="D237" t="s">
        <v>546</v>
      </c>
    </row>
    <row r="238" spans="2:4" x14ac:dyDescent="0.25">
      <c r="B238" t="s">
        <v>31</v>
      </c>
      <c r="C238" t="s">
        <v>419</v>
      </c>
      <c r="D238" t="s">
        <v>546</v>
      </c>
    </row>
    <row r="239" spans="2:4" x14ac:dyDescent="0.25">
      <c r="B239" t="s">
        <v>31</v>
      </c>
      <c r="C239" t="s">
        <v>598</v>
      </c>
      <c r="D239" t="s">
        <v>546</v>
      </c>
    </row>
    <row r="240" spans="2:4" x14ac:dyDescent="0.25">
      <c r="B240" t="s">
        <v>31</v>
      </c>
      <c r="C240" t="s">
        <v>420</v>
      </c>
      <c r="D240" t="s">
        <v>546</v>
      </c>
    </row>
    <row r="241" spans="2:4" x14ac:dyDescent="0.25">
      <c r="B241" t="s">
        <v>31</v>
      </c>
      <c r="C241" t="s">
        <v>421</v>
      </c>
      <c r="D241" t="s">
        <v>546</v>
      </c>
    </row>
    <row r="242" spans="2:4" x14ac:dyDescent="0.25">
      <c r="B242" t="s">
        <v>31</v>
      </c>
      <c r="C242" t="s">
        <v>422</v>
      </c>
      <c r="D242" t="s">
        <v>546</v>
      </c>
    </row>
    <row r="243" spans="2:4" x14ac:dyDescent="0.25">
      <c r="B243" t="s">
        <v>31</v>
      </c>
      <c r="C243" t="s">
        <v>423</v>
      </c>
      <c r="D243" t="s">
        <v>546</v>
      </c>
    </row>
    <row r="244" spans="2:4" x14ac:dyDescent="0.25">
      <c r="B244" t="s">
        <v>31</v>
      </c>
      <c r="C244" t="s">
        <v>424</v>
      </c>
      <c r="D244" t="s">
        <v>546</v>
      </c>
    </row>
    <row r="245" spans="2:4" x14ac:dyDescent="0.25">
      <c r="B245" t="s">
        <v>31</v>
      </c>
      <c r="C245" t="s">
        <v>599</v>
      </c>
      <c r="D245" t="s">
        <v>546</v>
      </c>
    </row>
    <row r="246" spans="2:4" x14ac:dyDescent="0.25">
      <c r="B246" t="s">
        <v>31</v>
      </c>
      <c r="C246" t="s">
        <v>425</v>
      </c>
      <c r="D246" t="s">
        <v>546</v>
      </c>
    </row>
    <row r="247" spans="2:4" x14ac:dyDescent="0.25">
      <c r="B247" t="s">
        <v>31</v>
      </c>
      <c r="C247" t="s">
        <v>428</v>
      </c>
      <c r="D247" t="s">
        <v>546</v>
      </c>
    </row>
    <row r="248" spans="2:4" x14ac:dyDescent="0.25">
      <c r="B248" t="s">
        <v>31</v>
      </c>
      <c r="C248" t="s">
        <v>600</v>
      </c>
      <c r="D248" t="s">
        <v>546</v>
      </c>
    </row>
    <row r="249" spans="2:4" x14ac:dyDescent="0.25">
      <c r="B249" t="s">
        <v>31</v>
      </c>
      <c r="C249" t="s">
        <v>429</v>
      </c>
      <c r="D249" t="s">
        <v>546</v>
      </c>
    </row>
    <row r="250" spans="2:4" x14ac:dyDescent="0.25">
      <c r="B250" t="s">
        <v>31</v>
      </c>
      <c r="C250" t="s">
        <v>601</v>
      </c>
      <c r="D250" t="s">
        <v>546</v>
      </c>
    </row>
    <row r="251" spans="2:4" x14ac:dyDescent="0.25">
      <c r="B251" t="s">
        <v>31</v>
      </c>
      <c r="C251" t="s">
        <v>430</v>
      </c>
      <c r="D251" t="s">
        <v>546</v>
      </c>
    </row>
    <row r="252" spans="2:4" x14ac:dyDescent="0.25">
      <c r="B252" t="s">
        <v>31</v>
      </c>
      <c r="C252" t="s">
        <v>431</v>
      </c>
      <c r="D252" t="s">
        <v>546</v>
      </c>
    </row>
    <row r="253" spans="2:4" x14ac:dyDescent="0.25">
      <c r="B253" t="s">
        <v>31</v>
      </c>
      <c r="C253" t="s">
        <v>432</v>
      </c>
      <c r="D253" t="s">
        <v>546</v>
      </c>
    </row>
    <row r="254" spans="2:4" x14ac:dyDescent="0.25">
      <c r="B254" t="s">
        <v>31</v>
      </c>
      <c r="C254" t="s">
        <v>433</v>
      </c>
      <c r="D254" t="s">
        <v>546</v>
      </c>
    </row>
    <row r="255" spans="2:4" x14ac:dyDescent="0.25">
      <c r="B255" t="s">
        <v>31</v>
      </c>
      <c r="C255" t="s">
        <v>434</v>
      </c>
      <c r="D255" t="s">
        <v>546</v>
      </c>
    </row>
    <row r="256" spans="2:4" x14ac:dyDescent="0.25">
      <c r="B256" t="s">
        <v>31</v>
      </c>
      <c r="C256" t="s">
        <v>602</v>
      </c>
      <c r="D256" t="s">
        <v>546</v>
      </c>
    </row>
    <row r="257" spans="2:4" x14ac:dyDescent="0.25">
      <c r="B257" t="s">
        <v>33</v>
      </c>
      <c r="C257" t="s">
        <v>436</v>
      </c>
      <c r="D257" t="s">
        <v>546</v>
      </c>
    </row>
    <row r="258" spans="2:4" x14ac:dyDescent="0.25">
      <c r="B258" t="s">
        <v>33</v>
      </c>
      <c r="C258" t="s">
        <v>438</v>
      </c>
      <c r="D258" t="s">
        <v>546</v>
      </c>
    </row>
    <row r="259" spans="2:4" x14ac:dyDescent="0.25">
      <c r="B259" t="s">
        <v>33</v>
      </c>
      <c r="C259" t="s">
        <v>440</v>
      </c>
      <c r="D259" t="s">
        <v>546</v>
      </c>
    </row>
    <row r="260" spans="2:4" x14ac:dyDescent="0.25">
      <c r="B260" t="s">
        <v>33</v>
      </c>
      <c r="C260" t="s">
        <v>442</v>
      </c>
      <c r="D260" t="s">
        <v>546</v>
      </c>
    </row>
    <row r="261" spans="2:4" x14ac:dyDescent="0.25">
      <c r="B261" t="s">
        <v>33</v>
      </c>
      <c r="C261" t="s">
        <v>444</v>
      </c>
      <c r="D261" t="s">
        <v>546</v>
      </c>
    </row>
    <row r="262" spans="2:4" x14ac:dyDescent="0.25">
      <c r="B262" t="s">
        <v>33</v>
      </c>
      <c r="C262" t="s">
        <v>446</v>
      </c>
      <c r="D262" t="s">
        <v>546</v>
      </c>
    </row>
    <row r="263" spans="2:4" x14ac:dyDescent="0.25">
      <c r="B263" t="s">
        <v>33</v>
      </c>
      <c r="C263" t="s">
        <v>448</v>
      </c>
      <c r="D263" t="s">
        <v>546</v>
      </c>
    </row>
    <row r="264" spans="2:4" x14ac:dyDescent="0.25">
      <c r="B264" t="s">
        <v>33</v>
      </c>
      <c r="C264" t="s">
        <v>458</v>
      </c>
      <c r="D264" t="s">
        <v>546</v>
      </c>
    </row>
    <row r="265" spans="2:4" x14ac:dyDescent="0.25">
      <c r="B265" t="s">
        <v>33</v>
      </c>
      <c r="C265" t="s">
        <v>460</v>
      </c>
      <c r="D265" t="s">
        <v>546</v>
      </c>
    </row>
    <row r="266" spans="2:4" x14ac:dyDescent="0.25">
      <c r="B266" t="s">
        <v>33</v>
      </c>
      <c r="C266" t="s">
        <v>462</v>
      </c>
      <c r="D266" t="s">
        <v>549</v>
      </c>
    </row>
    <row r="267" spans="2:4" x14ac:dyDescent="0.25">
      <c r="B267" t="s">
        <v>33</v>
      </c>
      <c r="C267" t="s">
        <v>464</v>
      </c>
      <c r="D267" t="s">
        <v>549</v>
      </c>
    </row>
    <row r="268" spans="2:4" x14ac:dyDescent="0.25">
      <c r="B268" t="s">
        <v>33</v>
      </c>
      <c r="C268" t="s">
        <v>466</v>
      </c>
      <c r="D268" t="s">
        <v>549</v>
      </c>
    </row>
    <row r="269" spans="2:4" x14ac:dyDescent="0.25">
      <c r="B269" t="s">
        <v>33</v>
      </c>
      <c r="C269" t="s">
        <v>468</v>
      </c>
      <c r="D269" t="s">
        <v>549</v>
      </c>
    </row>
    <row r="270" spans="2:4" x14ac:dyDescent="0.25">
      <c r="B270" t="s">
        <v>33</v>
      </c>
      <c r="C270" t="s">
        <v>469</v>
      </c>
      <c r="D270" t="s">
        <v>549</v>
      </c>
    </row>
    <row r="271" spans="2:4" x14ac:dyDescent="0.25">
      <c r="B271" t="s">
        <v>33</v>
      </c>
      <c r="C271" t="s">
        <v>471</v>
      </c>
      <c r="D271" t="s">
        <v>546</v>
      </c>
    </row>
    <row r="272" spans="2:4" x14ac:dyDescent="0.25">
      <c r="B272" t="s">
        <v>33</v>
      </c>
      <c r="C272" t="s">
        <v>473</v>
      </c>
      <c r="D272" t="s">
        <v>549</v>
      </c>
    </row>
    <row r="273" spans="2:4" x14ac:dyDescent="0.25">
      <c r="B273" t="s">
        <v>33</v>
      </c>
      <c r="C273" t="s">
        <v>474</v>
      </c>
      <c r="D273" t="s">
        <v>549</v>
      </c>
    </row>
    <row r="274" spans="2:4" x14ac:dyDescent="0.25">
      <c r="B274" t="s">
        <v>33</v>
      </c>
      <c r="C274" t="s">
        <v>476</v>
      </c>
      <c r="D274" t="s">
        <v>547</v>
      </c>
    </row>
    <row r="275" spans="2:4" x14ac:dyDescent="0.25">
      <c r="B275" t="s">
        <v>33</v>
      </c>
      <c r="C275" t="s">
        <v>478</v>
      </c>
      <c r="D275" t="s">
        <v>547</v>
      </c>
    </row>
    <row r="276" spans="2:4" x14ac:dyDescent="0.25">
      <c r="B276" t="s">
        <v>33</v>
      </c>
      <c r="C276" t="s">
        <v>479</v>
      </c>
      <c r="D276" t="s">
        <v>546</v>
      </c>
    </row>
    <row r="277" spans="2:4" x14ac:dyDescent="0.25">
      <c r="B277" t="s">
        <v>33</v>
      </c>
      <c r="C277" t="s">
        <v>480</v>
      </c>
      <c r="D277" t="s">
        <v>546</v>
      </c>
    </row>
    <row r="278" spans="2:4" x14ac:dyDescent="0.25">
      <c r="B278" t="s">
        <v>33</v>
      </c>
      <c r="C278" t="s">
        <v>482</v>
      </c>
      <c r="D278" t="s">
        <v>546</v>
      </c>
    </row>
  </sheetData>
  <phoneticPr fontId="3" type="noConversion"/>
  <pageMargins left="0.7" right="0.7" top="0.75" bottom="0.75" header="0.3" footer="0.3"/>
  <pageSetup orientation="portrait" r:id="rId1"/>
  <headerFooter>
    <oddHeader>&amp;RNWN 2025 CPA 
CPA Summary/ &amp;A &amp;P of &amp;N</oddHeader>
  </headerFooter>
  <tableParts count="2">
    <tablePart r:id="rId2"/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CB7B1-64BD-4CA3-A8CE-B377204CB2AC}">
  <sheetPr>
    <tabColor theme="6"/>
  </sheetPr>
  <dimension ref="B2:AB147"/>
  <sheetViews>
    <sheetView showGridLines="0" topLeftCell="A112" zoomScaleNormal="100" workbookViewId="0">
      <selection activeCell="H129" sqref="H129:H148"/>
    </sheetView>
  </sheetViews>
  <sheetFormatPr defaultColWidth="9" defaultRowHeight="12.75" x14ac:dyDescent="0.2"/>
  <cols>
    <col min="1" max="1" width="4.28515625" style="10" customWidth="1"/>
    <col min="2" max="2" width="24.7109375" style="10" customWidth="1"/>
    <col min="3" max="3" width="10.140625" style="10" bestFit="1" customWidth="1"/>
    <col min="4" max="4" width="9" style="10" bestFit="1" customWidth="1"/>
    <col min="5" max="5" width="9.28515625" style="10" bestFit="1" customWidth="1"/>
    <col min="6" max="6" width="11.42578125" style="10" bestFit="1" customWidth="1"/>
    <col min="7" max="7" width="9.28515625" style="10" bestFit="1" customWidth="1"/>
    <col min="8" max="8" width="11.28515625" style="10" customWidth="1"/>
    <col min="9" max="9" width="11.7109375" style="10" customWidth="1"/>
    <col min="10" max="10" width="11.28515625" style="10" bestFit="1" customWidth="1"/>
    <col min="11" max="11" width="12.140625" style="10" bestFit="1" customWidth="1"/>
    <col min="12" max="14" width="9.7109375" style="10" bestFit="1" customWidth="1"/>
    <col min="15" max="15" width="9" style="10" bestFit="1" customWidth="1"/>
    <col min="16" max="19" width="9.7109375" style="10" bestFit="1" customWidth="1"/>
    <col min="20" max="27" width="8.28515625" style="10" bestFit="1" customWidth="1"/>
    <col min="28" max="16384" width="9" style="10"/>
  </cols>
  <sheetData>
    <row r="2" spans="2:11" x14ac:dyDescent="0.2">
      <c r="B2" s="9" t="s">
        <v>21</v>
      </c>
    </row>
    <row r="3" spans="2:11" x14ac:dyDescent="0.2">
      <c r="B3" s="11"/>
      <c r="C3" s="20" t="s">
        <v>22</v>
      </c>
      <c r="D3" s="20" t="s">
        <v>23</v>
      </c>
      <c r="E3" s="20" t="s">
        <v>24</v>
      </c>
      <c r="F3" s="20" t="s">
        <v>25</v>
      </c>
      <c r="I3" s="22" t="s">
        <v>26</v>
      </c>
      <c r="J3" s="23">
        <v>112021419.80552006</v>
      </c>
      <c r="K3" s="24" t="s">
        <v>27</v>
      </c>
    </row>
    <row r="4" spans="2:11" x14ac:dyDescent="0.2">
      <c r="B4" s="10" t="s">
        <v>28</v>
      </c>
      <c r="C4" s="21">
        <f>SUM(C19:D19)</f>
        <v>306292.20407107985</v>
      </c>
      <c r="D4" s="21">
        <f>SUM(C19:G19)</f>
        <v>1250060.5943453019</v>
      </c>
      <c r="E4" s="21">
        <f>SUM(C19:L19)</f>
        <v>4950232.8609887082</v>
      </c>
      <c r="F4" s="21">
        <f>SUM(C19:AA19)</f>
        <v>15258047.295005176</v>
      </c>
      <c r="G4" s="59"/>
      <c r="I4" s="25" t="s">
        <v>29</v>
      </c>
      <c r="J4" s="26">
        <f>F7/J3</f>
        <v>0.23518527718523385</v>
      </c>
      <c r="K4" s="27" t="s">
        <v>30</v>
      </c>
    </row>
    <row r="5" spans="2:11" x14ac:dyDescent="0.2">
      <c r="B5" s="10" t="s">
        <v>31</v>
      </c>
      <c r="C5" s="21">
        <f t="shared" ref="C5:C6" si="0">SUM(C20:D20)</f>
        <v>298513.64611738443</v>
      </c>
      <c r="D5" s="21">
        <f t="shared" ref="D5:D6" si="1">SUM(C20:G20)</f>
        <v>882637.5187637012</v>
      </c>
      <c r="E5" s="21">
        <f t="shared" ref="E5:E6" si="2">SUM(C20:L20)</f>
        <v>2220951.295531821</v>
      </c>
      <c r="F5" s="21">
        <f t="shared" ref="F5:F6" si="3">SUM(C20:AA20)</f>
        <v>5032539.3536417214</v>
      </c>
      <c r="G5" s="59"/>
      <c r="I5" s="28" t="s">
        <v>32</v>
      </c>
      <c r="J5" s="29">
        <f>F14/J3</f>
        <v>0.21070714753582498</v>
      </c>
      <c r="K5" s="30" t="s">
        <v>30</v>
      </c>
    </row>
    <row r="6" spans="2:11" x14ac:dyDescent="0.2">
      <c r="B6" s="10" t="s">
        <v>33</v>
      </c>
      <c r="C6" s="21">
        <f t="shared" si="0"/>
        <v>76861.598527406648</v>
      </c>
      <c r="D6" s="21">
        <f t="shared" si="1"/>
        <v>461595.15554342198</v>
      </c>
      <c r="E6" s="21">
        <f t="shared" si="2"/>
        <v>2458982.4861036618</v>
      </c>
      <c r="F6" s="21">
        <f t="shared" si="3"/>
        <v>6055202.0189977791</v>
      </c>
      <c r="G6" s="59"/>
    </row>
    <row r="7" spans="2:11" ht="13.5" thickBot="1" x14ac:dyDescent="0.25">
      <c r="B7" s="14" t="s">
        <v>34</v>
      </c>
      <c r="C7" s="15">
        <f>SUM(C4:C6)</f>
        <v>681667.44871587097</v>
      </c>
      <c r="D7" s="15">
        <f t="shared" ref="D7:F7" si="4">SUM(D4:D6)</f>
        <v>2594293.2686524247</v>
      </c>
      <c r="E7" s="15">
        <f t="shared" si="4"/>
        <v>9630166.6426241901</v>
      </c>
      <c r="F7" s="15">
        <f t="shared" si="4"/>
        <v>26345788.66764468</v>
      </c>
    </row>
    <row r="9" spans="2:11" x14ac:dyDescent="0.2">
      <c r="B9" s="9" t="s">
        <v>35</v>
      </c>
    </row>
    <row r="10" spans="2:11" x14ac:dyDescent="0.2">
      <c r="B10" s="11"/>
      <c r="C10" s="20" t="s">
        <v>22</v>
      </c>
      <c r="D10" s="20" t="s">
        <v>23</v>
      </c>
      <c r="E10" s="20" t="s">
        <v>24</v>
      </c>
      <c r="F10" s="20" t="s">
        <v>25</v>
      </c>
    </row>
    <row r="11" spans="2:11" x14ac:dyDescent="0.2">
      <c r="B11" s="10" t="s">
        <v>28</v>
      </c>
      <c r="C11" s="21">
        <f>SUM(C26:D26)</f>
        <v>207072.54232439946</v>
      </c>
      <c r="D11" s="21">
        <f>SUM(C26:G26)</f>
        <v>936641.88282375876</v>
      </c>
      <c r="E11" s="21">
        <f>SUM(C26:L26)</f>
        <v>3996403.7284149863</v>
      </c>
      <c r="F11" s="21">
        <f>SUM(C26:AA26)</f>
        <v>13023912.832766091</v>
      </c>
      <c r="H11" s="13"/>
      <c r="I11" s="13"/>
      <c r="J11" s="13"/>
      <c r="K11" s="13"/>
    </row>
    <row r="12" spans="2:11" x14ac:dyDescent="0.2">
      <c r="B12" s="10" t="s">
        <v>31</v>
      </c>
      <c r="C12" s="21">
        <f t="shared" ref="C12:C13" si="5">SUM(C27:D27)</f>
        <v>295389.57161644317</v>
      </c>
      <c r="D12" s="21">
        <f t="shared" ref="D12:D13" si="6">SUM(C27:G27)</f>
        <v>864655.52483019128</v>
      </c>
      <c r="E12" s="21">
        <f t="shared" ref="E12:E13" si="7">SUM(C27:L27)</f>
        <v>2134552.9498945712</v>
      </c>
      <c r="F12" s="21">
        <f t="shared" ref="F12:F13" si="8">SUM(C27:AA27)</f>
        <v>4828714.9243076108</v>
      </c>
      <c r="H12" s="13"/>
      <c r="I12" s="13"/>
      <c r="J12" s="13"/>
      <c r="K12" s="13"/>
    </row>
    <row r="13" spans="2:11" x14ac:dyDescent="0.2">
      <c r="B13" s="10" t="s">
        <v>33</v>
      </c>
      <c r="C13" s="21">
        <f t="shared" si="5"/>
        <v>68973.719475001009</v>
      </c>
      <c r="D13" s="21">
        <f t="shared" si="6"/>
        <v>421093.41821761528</v>
      </c>
      <c r="E13" s="21">
        <f t="shared" si="7"/>
        <v>2284630.3548745532</v>
      </c>
      <c r="F13" s="21">
        <f t="shared" si="8"/>
        <v>5751086.0730606001</v>
      </c>
      <c r="H13" s="13"/>
      <c r="I13" s="13"/>
      <c r="J13" s="13"/>
      <c r="K13" s="13"/>
    </row>
    <row r="14" spans="2:11" ht="13.5" thickBot="1" x14ac:dyDescent="0.25">
      <c r="B14" s="14" t="s">
        <v>34</v>
      </c>
      <c r="C14" s="15">
        <f>SUM(C11:C13)</f>
        <v>571435.83341584366</v>
      </c>
      <c r="D14" s="15">
        <f t="shared" ref="D14" si="9">SUM(D11:D13)</f>
        <v>2222390.8258715654</v>
      </c>
      <c r="E14" s="15">
        <f t="shared" ref="E14" si="10">SUM(E11:E13)</f>
        <v>8415587.0331841111</v>
      </c>
      <c r="F14" s="15">
        <f t="shared" ref="F14" si="11">SUM(F11:F13)</f>
        <v>23603713.830134302</v>
      </c>
      <c r="H14" s="13"/>
      <c r="I14" s="13"/>
      <c r="J14" s="13"/>
      <c r="K14" s="13"/>
    </row>
    <row r="15" spans="2:11" x14ac:dyDescent="0.2">
      <c r="H15" s="21"/>
    </row>
    <row r="17" spans="2:27" x14ac:dyDescent="0.2">
      <c r="B17" s="9" t="s">
        <v>36</v>
      </c>
    </row>
    <row r="18" spans="2:27" x14ac:dyDescent="0.2">
      <c r="B18" s="11"/>
      <c r="C18" s="12">
        <v>2026</v>
      </c>
      <c r="D18" s="12">
        <v>2027</v>
      </c>
      <c r="E18" s="12">
        <v>2028</v>
      </c>
      <c r="F18" s="12">
        <v>2029</v>
      </c>
      <c r="G18" s="12">
        <v>2030</v>
      </c>
      <c r="H18" s="12">
        <v>2031</v>
      </c>
      <c r="I18" s="12">
        <v>2032</v>
      </c>
      <c r="J18" s="12">
        <v>2033</v>
      </c>
      <c r="K18" s="12">
        <v>2034</v>
      </c>
      <c r="L18" s="12">
        <v>2035</v>
      </c>
      <c r="M18" s="12">
        <v>2036</v>
      </c>
      <c r="N18" s="12">
        <v>2037</v>
      </c>
      <c r="O18" s="12">
        <v>2038</v>
      </c>
      <c r="P18" s="12">
        <v>2039</v>
      </c>
      <c r="Q18" s="12">
        <v>2040</v>
      </c>
      <c r="R18" s="12">
        <v>2041</v>
      </c>
      <c r="S18" s="12">
        <v>2042</v>
      </c>
      <c r="T18" s="12">
        <v>2043</v>
      </c>
      <c r="U18" s="12">
        <v>2044</v>
      </c>
      <c r="V18" s="12">
        <v>2045</v>
      </c>
      <c r="W18" s="12">
        <v>2046</v>
      </c>
      <c r="X18" s="12">
        <v>2047</v>
      </c>
      <c r="Y18" s="12">
        <v>2048</v>
      </c>
      <c r="Z18" s="12">
        <v>2049</v>
      </c>
      <c r="AA18" s="12">
        <v>2050</v>
      </c>
    </row>
    <row r="19" spans="2:27" x14ac:dyDescent="0.2">
      <c r="B19" s="10" t="s">
        <v>28</v>
      </c>
      <c r="C19" s="13">
        <f>SUMIFS(Combined_Results[Achievable therm 2026], Combined_Results[[Sector]:[Sector]], $B19)</f>
        <v>132343.88904963929</v>
      </c>
      <c r="D19" s="13">
        <f>SUMIFS(Combined_Results[Achievable therm 2027], Combined_Results[[Sector]:[Sector]], $B19)</f>
        <v>173948.31502144053</v>
      </c>
      <c r="E19" s="13">
        <f>SUMIFS(Combined_Results[Achievable therm 2028], Combined_Results[[Sector]:[Sector]], $B19)</f>
        <v>237874.81296795802</v>
      </c>
      <c r="F19" s="13">
        <f>SUMIFS(Combined_Results[Achievable therm 2029], Combined_Results[[Sector]:[Sector]], $B19)</f>
        <v>309770.37905277929</v>
      </c>
      <c r="G19" s="13">
        <f>SUMIFS(Combined_Results[Achievable therm 2030], Combined_Results[[Sector]:[Sector]], $B19)</f>
        <v>396123.19825348462</v>
      </c>
      <c r="H19" s="13">
        <f>SUMIFS(Combined_Results[Achievable therm 2031], Combined_Results[[Sector]:[Sector]], $B19)</f>
        <v>500212.54342641379</v>
      </c>
      <c r="I19" s="13">
        <f>SUMIFS(Combined_Results[Achievable therm 2032], Combined_Results[[Sector]:[Sector]], $B19)</f>
        <v>618192.86540144996</v>
      </c>
      <c r="J19" s="13">
        <f>SUMIFS(Combined_Results[Achievable therm 2033], Combined_Results[[Sector]:[Sector]], $B19)</f>
        <v>743290.6097460998</v>
      </c>
      <c r="K19" s="13">
        <f>SUMIFS(Combined_Results[Achievable therm 2034], Combined_Results[[Sector]:[Sector]], $B19)</f>
        <v>865633.23854048713</v>
      </c>
      <c r="L19" s="13">
        <f>SUMIFS(Combined_Results[Achievable therm 2035], Combined_Results[[Sector]:[Sector]], $B19)</f>
        <v>972843.00952895498</v>
      </c>
      <c r="M19" s="13">
        <f>SUMIFS(Combined_Results[Achievable therm 2036], Combined_Results[[Sector]:[Sector]], $B19)</f>
        <v>1052017.9978314433</v>
      </c>
      <c r="N19" s="13">
        <f>SUMIFS(Combined_Results[Achievable therm 2037], Combined_Results[[Sector]:[Sector]], $B19)</f>
        <v>1088093.1498594</v>
      </c>
      <c r="O19" s="13">
        <f>SUMIFS(Combined_Results[Achievable therm 2038], Combined_Results[[Sector]:[Sector]], $B19)</f>
        <v>1082091.0374268943</v>
      </c>
      <c r="P19" s="13">
        <f>SUMIFS(Combined_Results[Achievable therm 2039], Combined_Results[[Sector]:[Sector]], $B19)</f>
        <v>1035362.8684150177</v>
      </c>
      <c r="Q19" s="13">
        <f>SUMIFS(Combined_Results[Achievable therm 2040], Combined_Results[[Sector]:[Sector]], $B19)</f>
        <v>950963.41004539863</v>
      </c>
      <c r="R19" s="13">
        <f>SUMIFS(Combined_Results[Achievable therm 2041], Combined_Results[[Sector]:[Sector]], $B19)</f>
        <v>848632.00974000443</v>
      </c>
      <c r="S19" s="13">
        <f>SUMIFS(Combined_Results[Achievable therm 2042], Combined_Results[[Sector]:[Sector]], $B19)</f>
        <v>716751.67371058301</v>
      </c>
      <c r="T19" s="13">
        <f>SUMIFS(Combined_Results[Achievable therm 2043], Combined_Results[[Sector]:[Sector]], $B19)</f>
        <v>612882.65475952195</v>
      </c>
      <c r="U19" s="13">
        <f>SUMIFS(Combined_Results[Achievable therm 2044], Combined_Results[[Sector]:[Sector]], $B19)</f>
        <v>458034.3980999575</v>
      </c>
      <c r="V19" s="13">
        <f>SUMIFS(Combined_Results[Achievable therm 2045], Combined_Results[[Sector]:[Sector]], $B19)</f>
        <v>437211.51901903556</v>
      </c>
      <c r="W19" s="13">
        <f>SUMIFS(Combined_Results[Achievable therm 2046], Combined_Results[[Sector]:[Sector]], $B19)</f>
        <v>426301.11847072642</v>
      </c>
      <c r="X19" s="13">
        <f>SUMIFS(Combined_Results[Achievable therm 2047], Combined_Results[[Sector]:[Sector]], $B19)</f>
        <v>421544.52987822884</v>
      </c>
      <c r="Y19" s="13">
        <f>SUMIFS(Combined_Results[Achievable therm 2048], Combined_Results[[Sector]:[Sector]], $B19)</f>
        <v>416089.39446848625</v>
      </c>
      <c r="Z19" s="13">
        <f>SUMIFS(Combined_Results[Achievable therm 2049], Combined_Results[[Sector]:[Sector]], $B19)</f>
        <v>408071.25361636141</v>
      </c>
      <c r="AA19" s="13">
        <f>SUMIFS(Combined_Results[Achievable therm 2050], Combined_Results[[Sector]:[Sector]], $B19)</f>
        <v>353767.41867540864</v>
      </c>
    </row>
    <row r="20" spans="2:27" x14ac:dyDescent="0.2">
      <c r="B20" s="10" t="s">
        <v>31</v>
      </c>
      <c r="C20" s="13">
        <f>SUMIFS(Combined_Results[Achievable therm 2026], Combined_Results[[Sector]:[Sector]], $B20)</f>
        <v>146310.20797955096</v>
      </c>
      <c r="D20" s="13">
        <f>SUMIFS(Combined_Results[Achievable therm 2027], Combined_Results[[Sector]:[Sector]], $B20)</f>
        <v>152203.43813783347</v>
      </c>
      <c r="E20" s="13">
        <f>SUMIFS(Combined_Results[Achievable therm 2028], Combined_Results[[Sector]:[Sector]], $B20)</f>
        <v>168948.75452278781</v>
      </c>
      <c r="F20" s="13">
        <f>SUMIFS(Combined_Results[Achievable therm 2029], Combined_Results[[Sector]:[Sector]], $B20)</f>
        <v>194057.11106635831</v>
      </c>
      <c r="G20" s="13">
        <f>SUMIFS(Combined_Results[Achievable therm 2030], Combined_Results[[Sector]:[Sector]], $B20)</f>
        <v>221118.00705717065</v>
      </c>
      <c r="H20" s="13">
        <f>SUMIFS(Combined_Results[Achievable therm 2031], Combined_Results[[Sector]:[Sector]], $B20)</f>
        <v>249744.72338471271</v>
      </c>
      <c r="I20" s="13">
        <f>SUMIFS(Combined_Results[Achievable therm 2032], Combined_Results[[Sector]:[Sector]], $B20)</f>
        <v>270899.28665278439</v>
      </c>
      <c r="J20" s="13">
        <f>SUMIFS(Combined_Results[Achievable therm 2033], Combined_Results[[Sector]:[Sector]], $B20)</f>
        <v>282951.24449378095</v>
      </c>
      <c r="K20" s="13">
        <f>SUMIFS(Combined_Results[Achievable therm 2034], Combined_Results[[Sector]:[Sector]], $B20)</f>
        <v>277057.68131161976</v>
      </c>
      <c r="L20" s="13">
        <f>SUMIFS(Combined_Results[Achievable therm 2035], Combined_Results[[Sector]:[Sector]], $B20)</f>
        <v>257660.84092522206</v>
      </c>
      <c r="M20" s="13">
        <f>SUMIFS(Combined_Results[Achievable therm 2036], Combined_Results[[Sector]:[Sector]], $B20)</f>
        <v>249960.49646219876</v>
      </c>
      <c r="N20" s="13">
        <f>SUMIFS(Combined_Results[Achievable therm 2037], Combined_Results[[Sector]:[Sector]], $B20)</f>
        <v>262614.68669097574</v>
      </c>
      <c r="O20" s="13">
        <f>SUMIFS(Combined_Results[Achievable therm 2038], Combined_Results[[Sector]:[Sector]], $B20)</f>
        <v>273296.52940799261</v>
      </c>
      <c r="P20" s="13">
        <f>SUMIFS(Combined_Results[Achievable therm 2039], Combined_Results[[Sector]:[Sector]], $B20)</f>
        <v>273537.20438598481</v>
      </c>
      <c r="Q20" s="13">
        <f>SUMIFS(Combined_Results[Achievable therm 2040], Combined_Results[[Sector]:[Sector]], $B20)</f>
        <v>261618.89100918561</v>
      </c>
      <c r="R20" s="13">
        <f>SUMIFS(Combined_Results[Achievable therm 2041], Combined_Results[[Sector]:[Sector]], $B20)</f>
        <v>239886.52453489168</v>
      </c>
      <c r="S20" s="13">
        <f>SUMIFS(Combined_Results[Achievable therm 2042], Combined_Results[[Sector]:[Sector]], $B20)</f>
        <v>218188.35578177671</v>
      </c>
      <c r="T20" s="13">
        <f>SUMIFS(Combined_Results[Achievable therm 2043], Combined_Results[[Sector]:[Sector]], $B20)</f>
        <v>194602.29966793722</v>
      </c>
      <c r="U20" s="13">
        <f>SUMIFS(Combined_Results[Achievable therm 2044], Combined_Results[[Sector]:[Sector]], $B20)</f>
        <v>151036.43032803253</v>
      </c>
      <c r="V20" s="13">
        <f>SUMIFS(Combined_Results[Achievable therm 2045], Combined_Results[[Sector]:[Sector]], $B20)</f>
        <v>143329.4793985452</v>
      </c>
      <c r="W20" s="13">
        <f>SUMIFS(Combined_Results[Achievable therm 2046], Combined_Results[[Sector]:[Sector]], $B20)</f>
        <v>141850.9604256466</v>
      </c>
      <c r="X20" s="13">
        <f>SUMIFS(Combined_Results[Achievable therm 2047], Combined_Results[[Sector]:[Sector]], $B20)</f>
        <v>129918.76846412488</v>
      </c>
      <c r="Y20" s="13">
        <f>SUMIFS(Combined_Results[Achievable therm 2048], Combined_Results[[Sector]:[Sector]], $B20)</f>
        <v>109804.72954320777</v>
      </c>
      <c r="Z20" s="13">
        <f>SUMIFS(Combined_Results[Achievable therm 2049], Combined_Results[[Sector]:[Sector]], $B20)</f>
        <v>100282.58773591835</v>
      </c>
      <c r="AA20" s="13">
        <f>SUMIFS(Combined_Results[Achievable therm 2050], Combined_Results[[Sector]:[Sector]], $B20)</f>
        <v>61660.114273480991</v>
      </c>
    </row>
    <row r="21" spans="2:27" x14ac:dyDescent="0.2">
      <c r="B21" s="10" t="s">
        <v>33</v>
      </c>
      <c r="C21" s="13">
        <f>SUMIFS(Combined_Results[Achievable therm 2026], Combined_Results[[Sector]:[Sector]], $B21)</f>
        <v>27568.208573465083</v>
      </c>
      <c r="D21" s="13">
        <f>SUMIFS(Combined_Results[Achievable therm 2027], Combined_Results[[Sector]:[Sector]], $B21)</f>
        <v>49293.389953941565</v>
      </c>
      <c r="E21" s="13">
        <f>SUMIFS(Combined_Results[Achievable therm 2028], Combined_Results[[Sector]:[Sector]], $B21)</f>
        <v>81133.876254310744</v>
      </c>
      <c r="F21" s="13">
        <f>SUMIFS(Combined_Results[Achievable therm 2029], Combined_Results[[Sector]:[Sector]], $B21)</f>
        <v>124218.22500987219</v>
      </c>
      <c r="G21" s="13">
        <f>SUMIFS(Combined_Results[Achievable therm 2030], Combined_Results[[Sector]:[Sector]], $B21)</f>
        <v>179381.4557518324</v>
      </c>
      <c r="H21" s="13">
        <f>SUMIFS(Combined_Results[Achievable therm 2031], Combined_Results[[Sector]:[Sector]], $B21)</f>
        <v>246035.67734870018</v>
      </c>
      <c r="I21" s="13">
        <f>SUMIFS(Combined_Results[Achievable therm 2032], Combined_Results[[Sector]:[Sector]], $B21)</f>
        <v>321803.98968547088</v>
      </c>
      <c r="J21" s="13">
        <f>SUMIFS(Combined_Results[Achievable therm 2033], Combined_Results[[Sector]:[Sector]], $B21)</f>
        <v>402125.24840849353</v>
      </c>
      <c r="K21" s="13">
        <f>SUMIFS(Combined_Results[Achievable therm 2034], Combined_Results[[Sector]:[Sector]], $B21)</f>
        <v>480165.01185052103</v>
      </c>
      <c r="L21" s="13">
        <f>SUMIFS(Combined_Results[Achievable therm 2035], Combined_Results[[Sector]:[Sector]], $B21)</f>
        <v>547257.40326705424</v>
      </c>
      <c r="M21" s="13">
        <f>SUMIFS(Combined_Results[Achievable therm 2036], Combined_Results[[Sector]:[Sector]], $B21)</f>
        <v>594044.69304434722</v>
      </c>
      <c r="N21" s="13">
        <f>SUMIFS(Combined_Results[Achievable therm 2037], Combined_Results[[Sector]:[Sector]], $B21)</f>
        <v>612296.36961015698</v>
      </c>
      <c r="O21" s="13">
        <f>SUMIFS(Combined_Results[Achievable therm 2038], Combined_Results[[Sector]:[Sector]], $B21)</f>
        <v>597084.43667776894</v>
      </c>
      <c r="P21" s="13">
        <f>SUMIFS(Combined_Results[Achievable therm 2039], Combined_Results[[Sector]:[Sector]], $B21)</f>
        <v>550191.07967087661</v>
      </c>
      <c r="Q21" s="13">
        <f>SUMIFS(Combined_Results[Achievable therm 2040], Combined_Results[[Sector]:[Sector]], $B21)</f>
        <v>419495.83168027014</v>
      </c>
      <c r="R21" s="13">
        <f>SUMIFS(Combined_Results[Achievable therm 2041], Combined_Results[[Sector]:[Sector]], $B21)</f>
        <v>338738.30956878321</v>
      </c>
      <c r="S21" s="13">
        <f>SUMIFS(Combined_Results[Achievable therm 2042], Combined_Results[[Sector]:[Sector]], $B21)</f>
        <v>149508.36410895368</v>
      </c>
      <c r="T21" s="13">
        <f>SUMIFS(Combined_Results[Achievable therm 2043], Combined_Results[[Sector]:[Sector]], $B21)</f>
        <v>42397.539189268347</v>
      </c>
      <c r="U21" s="13">
        <f>SUMIFS(Combined_Results[Achievable therm 2044], Combined_Results[[Sector]:[Sector]], $B21)</f>
        <v>42495.487642415763</v>
      </c>
      <c r="V21" s="13">
        <f>SUMIFS(Combined_Results[Achievable therm 2045], Combined_Results[[Sector]:[Sector]], $B21)</f>
        <v>42419.474139826518</v>
      </c>
      <c r="W21" s="13">
        <f>SUMIFS(Combined_Results[Achievable therm 2046], Combined_Results[[Sector]:[Sector]], $B21)</f>
        <v>42154.78102490781</v>
      </c>
      <c r="X21" s="13">
        <f>SUMIFS(Combined_Results[Achievable therm 2047], Combined_Results[[Sector]:[Sector]], $B21)</f>
        <v>41829.687739869783</v>
      </c>
      <c r="Y21" s="13">
        <f>SUMIFS(Combined_Results[Achievable therm 2048], Combined_Results[[Sector]:[Sector]], $B21)</f>
        <v>41507.101636988577</v>
      </c>
      <c r="Z21" s="13">
        <f>SUMIFS(Combined_Results[Achievable therm 2049], Combined_Results[[Sector]:[Sector]], $B21)</f>
        <v>41187.003379580696</v>
      </c>
      <c r="AA21" s="13">
        <f>SUMIFS(Combined_Results[Achievable therm 2050], Combined_Results[[Sector]:[Sector]], $B21)</f>
        <v>40869.373780103895</v>
      </c>
    </row>
    <row r="22" spans="2:27" ht="13.5" thickBot="1" x14ac:dyDescent="0.25">
      <c r="B22" s="14" t="s">
        <v>34</v>
      </c>
      <c r="C22" s="15">
        <f>SUM(C19:C21)</f>
        <v>306222.30560265534</v>
      </c>
      <c r="D22" s="15">
        <f t="shared" ref="D22:AA22" si="12">SUM(D19:D21)</f>
        <v>375445.14311321557</v>
      </c>
      <c r="E22" s="15">
        <f t="shared" si="12"/>
        <v>487957.44374505652</v>
      </c>
      <c r="F22" s="15">
        <f t="shared" si="12"/>
        <v>628045.7151290098</v>
      </c>
      <c r="G22" s="15">
        <f t="shared" si="12"/>
        <v>796622.66106248763</v>
      </c>
      <c r="H22" s="15">
        <f t="shared" si="12"/>
        <v>995992.94415982673</v>
      </c>
      <c r="I22" s="15">
        <f t="shared" si="12"/>
        <v>1210896.1417397053</v>
      </c>
      <c r="J22" s="15">
        <f t="shared" si="12"/>
        <v>1428367.1026483744</v>
      </c>
      <c r="K22" s="15">
        <f t="shared" si="12"/>
        <v>1622855.9317026278</v>
      </c>
      <c r="L22" s="15">
        <f t="shared" si="12"/>
        <v>1777761.2537212311</v>
      </c>
      <c r="M22" s="15">
        <f t="shared" si="12"/>
        <v>1896023.1873379892</v>
      </c>
      <c r="N22" s="15">
        <f t="shared" si="12"/>
        <v>1963004.2061605328</v>
      </c>
      <c r="O22" s="15">
        <f t="shared" si="12"/>
        <v>1952472.0035126559</v>
      </c>
      <c r="P22" s="15">
        <f t="shared" si="12"/>
        <v>1859091.152471879</v>
      </c>
      <c r="Q22" s="15">
        <f t="shared" si="12"/>
        <v>1632078.1327348545</v>
      </c>
      <c r="R22" s="15">
        <f t="shared" si="12"/>
        <v>1427256.8438436794</v>
      </c>
      <c r="S22" s="15">
        <f t="shared" si="12"/>
        <v>1084448.3936013135</v>
      </c>
      <c r="T22" s="15">
        <f t="shared" si="12"/>
        <v>849882.49361672753</v>
      </c>
      <c r="U22" s="15">
        <f t="shared" si="12"/>
        <v>651566.31607040577</v>
      </c>
      <c r="V22" s="15">
        <f t="shared" si="12"/>
        <v>622960.47255740722</v>
      </c>
      <c r="W22" s="15">
        <f t="shared" si="12"/>
        <v>610306.85992128088</v>
      </c>
      <c r="X22" s="15">
        <f t="shared" si="12"/>
        <v>593292.98608222348</v>
      </c>
      <c r="Y22" s="15">
        <f t="shared" si="12"/>
        <v>567401.22564868256</v>
      </c>
      <c r="Z22" s="15">
        <f t="shared" si="12"/>
        <v>549540.84473186044</v>
      </c>
      <c r="AA22" s="15">
        <f t="shared" si="12"/>
        <v>456296.90672899352</v>
      </c>
    </row>
    <row r="24" spans="2:27" x14ac:dyDescent="0.2">
      <c r="B24" s="9" t="s">
        <v>37</v>
      </c>
    </row>
    <row r="25" spans="2:27" x14ac:dyDescent="0.2">
      <c r="B25" s="11"/>
      <c r="C25" s="12">
        <v>2026</v>
      </c>
      <c r="D25" s="12">
        <v>2027</v>
      </c>
      <c r="E25" s="12">
        <v>2028</v>
      </c>
      <c r="F25" s="12">
        <v>2029</v>
      </c>
      <c r="G25" s="12">
        <v>2030</v>
      </c>
      <c r="H25" s="12">
        <v>2031</v>
      </c>
      <c r="I25" s="12">
        <v>2032</v>
      </c>
      <c r="J25" s="12">
        <v>2033</v>
      </c>
      <c r="K25" s="12">
        <v>2034</v>
      </c>
      <c r="L25" s="12">
        <v>2035</v>
      </c>
      <c r="M25" s="12">
        <v>2036</v>
      </c>
      <c r="N25" s="12">
        <v>2037</v>
      </c>
      <c r="O25" s="12">
        <v>2038</v>
      </c>
      <c r="P25" s="12">
        <v>2039</v>
      </c>
      <c r="Q25" s="12">
        <v>2040</v>
      </c>
      <c r="R25" s="12">
        <v>2041</v>
      </c>
      <c r="S25" s="12">
        <v>2042</v>
      </c>
      <c r="T25" s="12">
        <v>2043</v>
      </c>
      <c r="U25" s="12">
        <v>2044</v>
      </c>
      <c r="V25" s="12">
        <v>2045</v>
      </c>
      <c r="W25" s="12">
        <v>2046</v>
      </c>
      <c r="X25" s="12">
        <v>2047</v>
      </c>
      <c r="Y25" s="12">
        <v>2048</v>
      </c>
      <c r="Z25" s="12">
        <v>2049</v>
      </c>
      <c r="AA25" s="12">
        <v>2050</v>
      </c>
    </row>
    <row r="26" spans="2:27" x14ac:dyDescent="0.2">
      <c r="B26" s="10" t="s">
        <v>28</v>
      </c>
      <c r="C26" s="13">
        <f>SUMIFS(Combined_Results[Achievable therm 2026], Combined_Results[[Sector]:[Sector]], $B26, Combined_Results[[Cost-Effective]:[Cost-Effective]], 1)</f>
        <v>85478.585831938108</v>
      </c>
      <c r="D26" s="13">
        <f>SUMIFS(Combined_Results[Achievable therm 2027], Combined_Results[[Sector]:[Sector]], $B26, Combined_Results[[Cost-Effective]:[Cost-Effective]], 1)</f>
        <v>121593.95649246135</v>
      </c>
      <c r="E26" s="13">
        <f>SUMIFS(Combined_Results[Achievable therm 2028], Combined_Results[[Sector]:[Sector]], $B26, Combined_Results[[Cost-Effective]:[Cost-Effective]], 1)</f>
        <v>174683.64110222686</v>
      </c>
      <c r="F26" s="13">
        <f>SUMIFS(Combined_Results[Achievable therm 2029], Combined_Results[[Sector]:[Sector]], $B26, Combined_Results[[Cost-Effective]:[Cost-Effective]], 1)</f>
        <v>238378.41389296774</v>
      </c>
      <c r="G26" s="13">
        <f>SUMIFS(Combined_Results[Achievable therm 2030], Combined_Results[[Sector]:[Sector]], $B26, Combined_Results[[Cost-Effective]:[Cost-Effective]], 1)</f>
        <v>316507.28550416464</v>
      </c>
      <c r="H26" s="13">
        <f>SUMIFS(Combined_Results[Achievable therm 2031], Combined_Results[[Sector]:[Sector]], $B26, Combined_Results[[Cost-Effective]:[Cost-Effective]], 1)</f>
        <v>408054.33089593973</v>
      </c>
      <c r="I26" s="13">
        <f>SUMIFS(Combined_Results[Achievable therm 2032], Combined_Results[[Sector]:[Sector]], $B26, Combined_Results[[Cost-Effective]:[Cost-Effective]], 1)</f>
        <v>509787.55626908661</v>
      </c>
      <c r="J26" s="13">
        <f>SUMIFS(Combined_Results[Achievable therm 2033], Combined_Results[[Sector]:[Sector]], $B26, Combined_Results[[Cost-Effective]:[Cost-Effective]], 1)</f>
        <v>616027.23278720246</v>
      </c>
      <c r="K26" s="13">
        <f>SUMIFS(Combined_Results[Achievable therm 2034], Combined_Results[[Sector]:[Sector]], $B26, Combined_Results[[Cost-Effective]:[Cost-Effective]], 1)</f>
        <v>718581.35931258637</v>
      </c>
      <c r="L26" s="13">
        <f>SUMIFS(Combined_Results[Achievable therm 2035], Combined_Results[[Sector]:[Sector]], $B26, Combined_Results[[Cost-Effective]:[Cost-Effective]], 1)</f>
        <v>807311.36632641219</v>
      </c>
      <c r="M26" s="13">
        <f>SUMIFS(Combined_Results[Achievable therm 2036], Combined_Results[[Sector]:[Sector]], $B26, Combined_Results[[Cost-Effective]:[Cost-Effective]], 1)</f>
        <v>871937.44360924594</v>
      </c>
      <c r="N26" s="13">
        <f>SUMIFS(Combined_Results[Achievable therm 2037], Combined_Results[[Sector]:[Sector]], $B26, Combined_Results[[Cost-Effective]:[Cost-Effective]], 1)</f>
        <v>903947.82805335254</v>
      </c>
      <c r="O26" s="13">
        <f>SUMIFS(Combined_Results[Achievable therm 2038], Combined_Results[[Sector]:[Sector]], $B26, Combined_Results[[Cost-Effective]:[Cost-Effective]], 1)</f>
        <v>899061.07126613427</v>
      </c>
      <c r="P26" s="13">
        <f>SUMIFS(Combined_Results[Achievable therm 2039], Combined_Results[[Sector]:[Sector]], $B26, Combined_Results[[Cost-Effective]:[Cost-Effective]], 1)</f>
        <v>861569.48535626603</v>
      </c>
      <c r="Q26" s="13">
        <f>SUMIFS(Combined_Results[Achievable therm 2040], Combined_Results[[Sector]:[Sector]], $B26, Combined_Results[[Cost-Effective]:[Cost-Effective]], 1)</f>
        <v>794214.36800645571</v>
      </c>
      <c r="R26" s="13">
        <f>SUMIFS(Combined_Results[Achievable therm 2041], Combined_Results[[Sector]:[Sector]], $B26, Combined_Results[[Cost-Effective]:[Cost-Effective]], 1)</f>
        <v>715226.15651233145</v>
      </c>
      <c r="S26" s="13">
        <f>SUMIFS(Combined_Results[Achievable therm 2042], Combined_Results[[Sector]:[Sector]], $B26, Combined_Results[[Cost-Effective]:[Cost-Effective]], 1)</f>
        <v>615026.97482588876</v>
      </c>
      <c r="T26" s="13">
        <f>SUMIFS(Combined_Results[Achievable therm 2043], Combined_Results[[Sector]:[Sector]], $B26, Combined_Results[[Cost-Effective]:[Cost-Effective]], 1)</f>
        <v>543538.26153868355</v>
      </c>
      <c r="U26" s="13">
        <f>SUMIFS(Combined_Results[Achievable therm 2044], Combined_Results[[Sector]:[Sector]], $B26, Combined_Results[[Cost-Effective]:[Cost-Effective]], 1)</f>
        <v>438040.02039835724</v>
      </c>
      <c r="V26" s="13">
        <f>SUMIFS(Combined_Results[Achievable therm 2045], Combined_Results[[Sector]:[Sector]], $B26, Combined_Results[[Cost-Effective]:[Cost-Effective]], 1)</f>
        <v>423939.88455586392</v>
      </c>
      <c r="W26" s="13">
        <f>SUMIFS(Combined_Results[Achievable therm 2046], Combined_Results[[Sector]:[Sector]], $B26, Combined_Results[[Cost-Effective]:[Cost-Effective]], 1)</f>
        <v>413145.84465255949</v>
      </c>
      <c r="X26" s="13">
        <f>SUMIFS(Combined_Results[Achievable therm 2047], Combined_Results[[Sector]:[Sector]], $B26, Combined_Results[[Cost-Effective]:[Cost-Effective]], 1)</f>
        <v>408496.11538071936</v>
      </c>
      <c r="Y26" s="13">
        <f>SUMIFS(Combined_Results[Achievable therm 2048], Combined_Results[[Sector]:[Sector]], $B26, Combined_Results[[Cost-Effective]:[Cost-Effective]], 1)</f>
        <v>403141.15385180945</v>
      </c>
      <c r="Z26" s="13">
        <f>SUMIFS(Combined_Results[Achievable therm 2049], Combined_Results[[Sector]:[Sector]], $B26, Combined_Results[[Cost-Effective]:[Cost-Effective]], 1)</f>
        <v>395218.3082862586</v>
      </c>
      <c r="AA26" s="13">
        <f>SUMIFS(Combined_Results[Achievable therm 2050], Combined_Results[[Sector]:[Sector]], $B26, Combined_Results[[Cost-Effective]:[Cost-Effective]], 1)</f>
        <v>341006.1880571795</v>
      </c>
    </row>
    <row r="27" spans="2:27" x14ac:dyDescent="0.2">
      <c r="B27" s="10" t="s">
        <v>31</v>
      </c>
      <c r="C27" s="13">
        <f>SUMIFS(Combined_Results[Achievable therm 2026], Combined_Results[[Sector]:[Sector]], $B27, Combined_Results[[Cost-Effective]:[Cost-Effective]], 1)</f>
        <v>145141.50042024587</v>
      </c>
      <c r="D27" s="13">
        <f>SUMIFS(Combined_Results[Achievable therm 2027], Combined_Results[[Sector]:[Sector]], $B27, Combined_Results[[Cost-Effective]:[Cost-Effective]], 1)</f>
        <v>150248.0711961973</v>
      </c>
      <c r="E27" s="13">
        <f>SUMIFS(Combined_Results[Achievable therm 2028], Combined_Results[[Sector]:[Sector]], $B27, Combined_Results[[Cost-Effective]:[Cost-Effective]], 1)</f>
        <v>165630.67192485515</v>
      </c>
      <c r="F27" s="13">
        <f>SUMIFS(Combined_Results[Achievable therm 2029], Combined_Results[[Sector]:[Sector]], $B27, Combined_Results[[Cost-Effective]:[Cost-Effective]], 1)</f>
        <v>189225.59739552106</v>
      </c>
      <c r="G27" s="13">
        <f>SUMIFS(Combined_Results[Achievable therm 2030], Combined_Results[[Sector]:[Sector]], $B27, Combined_Results[[Cost-Effective]:[Cost-Effective]], 1)</f>
        <v>214409.68389337193</v>
      </c>
      <c r="H27" s="13">
        <f>SUMIFS(Combined_Results[Achievable therm 2031], Combined_Results[[Sector]:[Sector]], $B27, Combined_Results[[Cost-Effective]:[Cost-Effective]], 1)</f>
        <v>240831.76483026642</v>
      </c>
      <c r="I27" s="13">
        <f>SUMIFS(Combined_Results[Achievable therm 2032], Combined_Results[[Sector]:[Sector]], $B27, Combined_Results[[Cost-Effective]:[Cost-Effective]], 1)</f>
        <v>259549.12463000382</v>
      </c>
      <c r="J27" s="13">
        <f>SUMIFS(Combined_Results[Achievable therm 2033], Combined_Results[[Sector]:[Sector]], $B27, Combined_Results[[Cost-Effective]:[Cost-Effective]], 1)</f>
        <v>269095.73379045806</v>
      </c>
      <c r="K27" s="13">
        <f>SUMIFS(Combined_Results[Achievable therm 2034], Combined_Results[[Sector]:[Sector]], $B27, Combined_Results[[Cost-Effective]:[Cost-Effective]], 1)</f>
        <v>260859.86748317134</v>
      </c>
      <c r="L27" s="13">
        <f>SUMIFS(Combined_Results[Achievable therm 2035], Combined_Results[[Sector]:[Sector]], $B27, Combined_Results[[Cost-Effective]:[Cost-Effective]], 1)</f>
        <v>239560.93433047977</v>
      </c>
      <c r="M27" s="13">
        <f>SUMIFS(Combined_Results[Achievable therm 2036], Combined_Results[[Sector]:[Sector]], $B27, Combined_Results[[Cost-Effective]:[Cost-Effective]], 1)</f>
        <v>230679.20028817141</v>
      </c>
      <c r="N27" s="13">
        <f>SUMIFS(Combined_Results[Achievable therm 2037], Combined_Results[[Sector]:[Sector]], $B27, Combined_Results[[Cost-Effective]:[Cost-Effective]], 1)</f>
        <v>243095.85461412743</v>
      </c>
      <c r="O27" s="13">
        <f>SUMIFS(Combined_Results[Achievable therm 2038], Combined_Results[[Sector]:[Sector]], $B27, Combined_Results[[Cost-Effective]:[Cost-Effective]], 1)</f>
        <v>254453.36061298408</v>
      </c>
      <c r="P27" s="13">
        <f>SUMIFS(Combined_Results[Achievable therm 2039], Combined_Results[[Sector]:[Sector]], $B27, Combined_Results[[Cost-Effective]:[Cost-Effective]], 1)</f>
        <v>256326.8380027299</v>
      </c>
      <c r="Q27" s="13">
        <f>SUMIFS(Combined_Results[Achievable therm 2040], Combined_Results[[Sector]:[Sector]], $B27, Combined_Results[[Cost-Effective]:[Cost-Effective]], 1)</f>
        <v>246983.43763813624</v>
      </c>
      <c r="R27" s="13">
        <f>SUMIFS(Combined_Results[Achievable therm 2041], Combined_Results[[Sector]:[Sector]], $B27, Combined_Results[[Cost-Effective]:[Cost-Effective]], 1)</f>
        <v>228745.38307522249</v>
      </c>
      <c r="S27" s="13">
        <f>SUMIFS(Combined_Results[Achievable therm 2042], Combined_Results[[Sector]:[Sector]], $B27, Combined_Results[[Cost-Effective]:[Cost-Effective]], 1)</f>
        <v>210480.3981874091</v>
      </c>
      <c r="T27" s="13">
        <f>SUMIFS(Combined_Results[Achievable therm 2043], Combined_Results[[Sector]:[Sector]], $B27, Combined_Results[[Cost-Effective]:[Cost-Effective]], 1)</f>
        <v>190120.61026615126</v>
      </c>
      <c r="U27" s="13">
        <f>SUMIFS(Combined_Results[Achievable therm 2044], Combined_Results[[Sector]:[Sector]], $B27, Combined_Results[[Cost-Effective]:[Cost-Effective]], 1)</f>
        <v>149619.11280290704</v>
      </c>
      <c r="V27" s="13">
        <f>SUMIFS(Combined_Results[Achievable therm 2045], Combined_Results[[Sector]:[Sector]], $B27, Combined_Results[[Cost-Effective]:[Cost-Effective]], 1)</f>
        <v>142738.87073950825</v>
      </c>
      <c r="W27" s="13">
        <f>SUMIFS(Combined_Results[Achievable therm 2046], Combined_Results[[Sector]:[Sector]], $B27, Combined_Results[[Cost-Effective]:[Cost-Effective]], 1)</f>
        <v>141297.57803267988</v>
      </c>
      <c r="X27" s="13">
        <f>SUMIFS(Combined_Results[Achievable therm 2047], Combined_Results[[Sector]:[Sector]], $B27, Combined_Results[[Cost-Effective]:[Cost-Effective]], 1)</f>
        <v>129382.72420322783</v>
      </c>
      <c r="Y27" s="13">
        <f>SUMIFS(Combined_Results[Achievable therm 2048], Combined_Results[[Sector]:[Sector]], $B27, Combined_Results[[Cost-Effective]:[Cost-Effective]], 1)</f>
        <v>109285.61575592165</v>
      </c>
      <c r="Z27" s="13">
        <f>SUMIFS(Combined_Results[Achievable therm 2049], Combined_Results[[Sector]:[Sector]], $B27, Combined_Results[[Cost-Effective]:[Cost-Effective]], 1)</f>
        <v>99779.84059123772</v>
      </c>
      <c r="AA27" s="13">
        <f>SUMIFS(Combined_Results[Achievable therm 2050], Combined_Results[[Sector]:[Sector]], $B27, Combined_Results[[Cost-Effective]:[Cost-Effective]], 1)</f>
        <v>61173.14960262533</v>
      </c>
    </row>
    <row r="28" spans="2:27" x14ac:dyDescent="0.2">
      <c r="B28" s="10" t="s">
        <v>33</v>
      </c>
      <c r="C28" s="13">
        <f>SUMIFS(Combined_Results[Achievable therm 2026], Combined_Results[[Sector]:[Sector]], $B28, Combined_Results[[Cost-Effective]:[Cost-Effective]], 1)</f>
        <v>24570.514252836256</v>
      </c>
      <c r="D28" s="13">
        <f>SUMIFS(Combined_Results[Achievable therm 2027], Combined_Results[[Sector]:[Sector]], $B28, Combined_Results[[Cost-Effective]:[Cost-Effective]], 1)</f>
        <v>44403.205222164754</v>
      </c>
      <c r="E28" s="13">
        <f>SUMIFS(Combined_Results[Achievable therm 2028], Combined_Results[[Sector]:[Sector]], $B28, Combined_Results[[Cost-Effective]:[Cost-Effective]], 1)</f>
        <v>73697.620594440552</v>
      </c>
      <c r="F28" s="13">
        <f>SUMIFS(Combined_Results[Achievable therm 2029], Combined_Results[[Sector]:[Sector]], $B28, Combined_Results[[Cost-Effective]:[Cost-Effective]], 1)</f>
        <v>113555.82840464523</v>
      </c>
      <c r="G28" s="13">
        <f>SUMIFS(Combined_Results[Achievable therm 2030], Combined_Results[[Sector]:[Sector]], $B28, Combined_Results[[Cost-Effective]:[Cost-Effective]], 1)</f>
        <v>164866.24974352849</v>
      </c>
      <c r="H28" s="13">
        <f>SUMIFS(Combined_Results[Achievable therm 2031], Combined_Results[[Sector]:[Sector]], $B28, Combined_Results[[Cost-Effective]:[Cost-Effective]], 1)</f>
        <v>227203.78365168671</v>
      </c>
      <c r="I28" s="13">
        <f>SUMIFS(Combined_Results[Achievable therm 2032], Combined_Results[[Sector]:[Sector]], $B28, Combined_Results[[Cost-Effective]:[Cost-Effective]], 1)</f>
        <v>298485.10881013959</v>
      </c>
      <c r="J28" s="13">
        <f>SUMIFS(Combined_Results[Achievable therm 2033], Combined_Results[[Sector]:[Sector]], $B28, Combined_Results[[Cost-Effective]:[Cost-Effective]], 1)</f>
        <v>374574.10868084949</v>
      </c>
      <c r="K28" s="13">
        <f>SUMIFS(Combined_Results[Achievable therm 2034], Combined_Results[[Sector]:[Sector]], $B28, Combined_Results[[Cost-Effective]:[Cost-Effective]], 1)</f>
        <v>449158.78364268085</v>
      </c>
      <c r="L28" s="13">
        <f>SUMIFS(Combined_Results[Achievable therm 2035], Combined_Results[[Sector]:[Sector]], $B28, Combined_Results[[Cost-Effective]:[Cost-Effective]], 1)</f>
        <v>514115.1518715815</v>
      </c>
      <c r="M28" s="13">
        <f>SUMIFS(Combined_Results[Achievable therm 2036], Combined_Results[[Sector]:[Sector]], $B28, Combined_Results[[Cost-Effective]:[Cost-Effective]], 1)</f>
        <v>560529.08232533268</v>
      </c>
      <c r="N28" s="13">
        <f>SUMIFS(Combined_Results[Achievable therm 2037], Combined_Results[[Sector]:[Sector]], $B28, Combined_Results[[Cost-Effective]:[Cost-Effective]], 1)</f>
        <v>580382.83762706653</v>
      </c>
      <c r="O28" s="13">
        <f>SUMIFS(Combined_Results[Achievable therm 2038], Combined_Results[[Sector]:[Sector]], $B28, Combined_Results[[Cost-Effective]:[Cost-Effective]], 1)</f>
        <v>568628.63486012898</v>
      </c>
      <c r="P28" s="13">
        <f>SUMIFS(Combined_Results[Achievable therm 2039], Combined_Results[[Sector]:[Sector]], $B28, Combined_Results[[Cost-Effective]:[Cost-Effective]], 1)</f>
        <v>526274.38506622752</v>
      </c>
      <c r="Q28" s="13">
        <f>SUMIFS(Combined_Results[Achievable therm 2040], Combined_Results[[Sector]:[Sector]], $B28, Combined_Results[[Cost-Effective]:[Cost-Effective]], 1)</f>
        <v>412026.33922944171</v>
      </c>
      <c r="R28" s="13">
        <f>SUMIFS(Combined_Results[Achievable therm 2041], Combined_Results[[Sector]:[Sector]], $B28, Combined_Results[[Cost-Effective]:[Cost-Effective]], 1)</f>
        <v>335438.94447989517</v>
      </c>
      <c r="S28" s="13">
        <f>SUMIFS(Combined_Results[Achievable therm 2042], Combined_Results[[Sector]:[Sector]], $B28, Combined_Results[[Cost-Effective]:[Cost-Effective]], 1)</f>
        <v>148315.04606499331</v>
      </c>
      <c r="T28" s="13">
        <f>SUMIFS(Combined_Results[Achievable therm 2043], Combined_Results[[Sector]:[Sector]], $B28, Combined_Results[[Cost-Effective]:[Cost-Effective]], 1)</f>
        <v>42397.539189268347</v>
      </c>
      <c r="U28" s="13">
        <f>SUMIFS(Combined_Results[Achievable therm 2044], Combined_Results[[Sector]:[Sector]], $B28, Combined_Results[[Cost-Effective]:[Cost-Effective]], 1)</f>
        <v>42495.487642415763</v>
      </c>
      <c r="V28" s="13">
        <f>SUMIFS(Combined_Results[Achievable therm 2045], Combined_Results[[Sector]:[Sector]], $B28, Combined_Results[[Cost-Effective]:[Cost-Effective]], 1)</f>
        <v>42419.474139826518</v>
      </c>
      <c r="W28" s="13">
        <f>SUMIFS(Combined_Results[Achievable therm 2046], Combined_Results[[Sector]:[Sector]], $B28, Combined_Results[[Cost-Effective]:[Cost-Effective]], 1)</f>
        <v>42154.78102490781</v>
      </c>
      <c r="X28" s="13">
        <f>SUMIFS(Combined_Results[Achievable therm 2047], Combined_Results[[Sector]:[Sector]], $B28, Combined_Results[[Cost-Effective]:[Cost-Effective]], 1)</f>
        <v>41829.687739869783</v>
      </c>
      <c r="Y28" s="13">
        <f>SUMIFS(Combined_Results[Achievable therm 2048], Combined_Results[[Sector]:[Sector]], $B28, Combined_Results[[Cost-Effective]:[Cost-Effective]], 1)</f>
        <v>41507.101636988577</v>
      </c>
      <c r="Z28" s="13">
        <f>SUMIFS(Combined_Results[Achievable therm 2049], Combined_Results[[Sector]:[Sector]], $B28, Combined_Results[[Cost-Effective]:[Cost-Effective]], 1)</f>
        <v>41187.003379580696</v>
      </c>
      <c r="AA28" s="13">
        <f>SUMIFS(Combined_Results[Achievable therm 2050], Combined_Results[[Sector]:[Sector]], $B28, Combined_Results[[Cost-Effective]:[Cost-Effective]], 1)</f>
        <v>40869.373780103895</v>
      </c>
    </row>
    <row r="29" spans="2:27" ht="13.5" thickBot="1" x14ac:dyDescent="0.25">
      <c r="B29" s="14" t="s">
        <v>34</v>
      </c>
      <c r="C29" s="15">
        <f>SUM(C26:C28)</f>
        <v>255190.60050502024</v>
      </c>
      <c r="D29" s="15">
        <f t="shared" ref="D29" si="13">SUM(D26:D28)</f>
        <v>316245.23291082343</v>
      </c>
      <c r="E29" s="15">
        <f t="shared" ref="E29" si="14">SUM(E26:E28)</f>
        <v>414011.93362152256</v>
      </c>
      <c r="F29" s="15">
        <f t="shared" ref="F29" si="15">SUM(F26:F28)</f>
        <v>541159.83969313407</v>
      </c>
      <c r="G29" s="15">
        <f t="shared" ref="G29" si="16">SUM(G26:G28)</f>
        <v>695783.21914106514</v>
      </c>
      <c r="H29" s="15">
        <f t="shared" ref="H29" si="17">SUM(H26:H28)</f>
        <v>876089.87937789294</v>
      </c>
      <c r="I29" s="15">
        <f t="shared" ref="I29" si="18">SUM(I26:I28)</f>
        <v>1067821.78970923</v>
      </c>
      <c r="J29" s="15">
        <f t="shared" ref="J29" si="19">SUM(J26:J28)</f>
        <v>1259697.07525851</v>
      </c>
      <c r="K29" s="15">
        <f t="shared" ref="K29" si="20">SUM(K26:K28)</f>
        <v>1428600.0104384385</v>
      </c>
      <c r="L29" s="15">
        <f t="shared" ref="L29" si="21">SUM(L26:L28)</f>
        <v>1560987.4525284735</v>
      </c>
      <c r="M29" s="15">
        <f t="shared" ref="M29" si="22">SUM(M26:M28)</f>
        <v>1663145.7262227503</v>
      </c>
      <c r="N29" s="15">
        <f t="shared" ref="N29" si="23">SUM(N26:N28)</f>
        <v>1727426.5202945464</v>
      </c>
      <c r="O29" s="15">
        <f t="shared" ref="O29" si="24">SUM(O26:O28)</f>
        <v>1722143.0667392472</v>
      </c>
      <c r="P29" s="15">
        <f t="shared" ref="P29" si="25">SUM(P26:P28)</f>
        <v>1644170.7084252234</v>
      </c>
      <c r="Q29" s="15">
        <f t="shared" ref="Q29" si="26">SUM(Q26:Q28)</f>
        <v>1453224.1448740335</v>
      </c>
      <c r="R29" s="15">
        <f t="shared" ref="R29" si="27">SUM(R26:R28)</f>
        <v>1279410.4840674491</v>
      </c>
      <c r="S29" s="15">
        <f t="shared" ref="S29" si="28">SUM(S26:S28)</f>
        <v>973822.41907829116</v>
      </c>
      <c r="T29" s="15">
        <f t="shared" ref="T29" si="29">SUM(T26:T28)</f>
        <v>776056.41099410318</v>
      </c>
      <c r="U29" s="15">
        <f t="shared" ref="U29" si="30">SUM(U26:U28)</f>
        <v>630154.62084368011</v>
      </c>
      <c r="V29" s="15">
        <f t="shared" ref="V29" si="31">SUM(V26:V28)</f>
        <v>609098.22943519859</v>
      </c>
      <c r="W29" s="15">
        <f t="shared" ref="W29" si="32">SUM(W26:W28)</f>
        <v>596598.20371014718</v>
      </c>
      <c r="X29" s="15">
        <f t="shared" ref="X29" si="33">SUM(X26:X28)</f>
        <v>579708.52732381702</v>
      </c>
      <c r="Y29" s="15">
        <f t="shared" ref="Y29" si="34">SUM(Y26:Y28)</f>
        <v>553933.87124471972</v>
      </c>
      <c r="Z29" s="15">
        <f t="shared" ref="Z29" si="35">SUM(Z26:Z28)</f>
        <v>536185.15225707705</v>
      </c>
      <c r="AA29" s="15">
        <f t="shared" ref="AA29" si="36">SUM(AA26:AA28)</f>
        <v>443048.71143990871</v>
      </c>
    </row>
    <row r="32" spans="2:27" x14ac:dyDescent="0.2">
      <c r="B32" s="9" t="s">
        <v>38</v>
      </c>
    </row>
    <row r="33" spans="2:27" x14ac:dyDescent="0.2">
      <c r="B33" s="11"/>
      <c r="C33" s="12">
        <v>2026</v>
      </c>
      <c r="D33" s="12">
        <v>2027</v>
      </c>
      <c r="E33" s="12">
        <v>2028</v>
      </c>
      <c r="F33" s="12">
        <v>2029</v>
      </c>
      <c r="G33" s="12">
        <v>2030</v>
      </c>
      <c r="H33" s="12">
        <v>2031</v>
      </c>
      <c r="I33" s="12">
        <v>2032</v>
      </c>
      <c r="J33" s="12">
        <v>2033</v>
      </c>
      <c r="K33" s="12">
        <v>2034</v>
      </c>
      <c r="L33" s="12">
        <v>2035</v>
      </c>
      <c r="M33" s="12">
        <v>2036</v>
      </c>
      <c r="N33" s="12">
        <v>2037</v>
      </c>
      <c r="O33" s="12">
        <v>2038</v>
      </c>
      <c r="P33" s="12">
        <v>2039</v>
      </c>
      <c r="Q33" s="12">
        <v>2040</v>
      </c>
      <c r="R33" s="12">
        <v>2041</v>
      </c>
      <c r="S33" s="12">
        <v>2042</v>
      </c>
      <c r="T33" s="12">
        <v>2043</v>
      </c>
      <c r="U33" s="12">
        <v>2044</v>
      </c>
      <c r="V33" s="12">
        <v>2045</v>
      </c>
      <c r="W33" s="12">
        <v>2046</v>
      </c>
      <c r="X33" s="12">
        <v>2047</v>
      </c>
      <c r="Y33" s="12">
        <v>2048</v>
      </c>
      <c r="Z33" s="12">
        <v>2049</v>
      </c>
      <c r="AA33" s="12">
        <v>2050</v>
      </c>
    </row>
    <row r="34" spans="2:27" x14ac:dyDescent="0.2">
      <c r="B34" s="9" t="s">
        <v>28</v>
      </c>
      <c r="C34" s="18">
        <f>SUMIFS(Combined_Results[Achievable therm 2026], Combined_Results[[Rate Class]:[Rate Class]], $B34)</f>
        <v>132343.88904963929</v>
      </c>
      <c r="D34" s="18">
        <f>SUMIFS(Combined_Results[Achievable therm 2027], Combined_Results[[Rate Class]:[Rate Class]], $B34)</f>
        <v>173948.31502144053</v>
      </c>
      <c r="E34" s="18">
        <f>SUMIFS(Combined_Results[Achievable therm 2028], Combined_Results[[Rate Class]:[Rate Class]], $B34)</f>
        <v>237874.81296795802</v>
      </c>
      <c r="F34" s="18">
        <f>SUMIFS(Combined_Results[Achievable therm 2029], Combined_Results[[Rate Class]:[Rate Class]], $B34)</f>
        <v>309770.37905277929</v>
      </c>
      <c r="G34" s="18">
        <f>SUMIFS(Combined_Results[Achievable therm 2030], Combined_Results[[Rate Class]:[Rate Class]], $B34)</f>
        <v>396123.19825348462</v>
      </c>
      <c r="H34" s="18">
        <f>SUMIFS(Combined_Results[Achievable therm 2031], Combined_Results[[Rate Class]:[Rate Class]], $B34)</f>
        <v>500212.54342641379</v>
      </c>
      <c r="I34" s="18">
        <f>SUMIFS(Combined_Results[Achievable therm 2032], Combined_Results[[Rate Class]:[Rate Class]], $B34)</f>
        <v>618192.86540144996</v>
      </c>
      <c r="J34" s="18">
        <f>SUMIFS(Combined_Results[Achievable therm 2033], Combined_Results[[Rate Class]:[Rate Class]], $B34)</f>
        <v>743290.6097460998</v>
      </c>
      <c r="K34" s="18">
        <f>SUMIFS(Combined_Results[Achievable therm 2034], Combined_Results[[Rate Class]:[Rate Class]], $B34)</f>
        <v>865633.23854048713</v>
      </c>
      <c r="L34" s="18">
        <f>SUMIFS(Combined_Results[Achievable therm 2035], Combined_Results[[Rate Class]:[Rate Class]], $B34)</f>
        <v>972843.00952895498</v>
      </c>
      <c r="M34" s="18">
        <f>SUMIFS(Combined_Results[Achievable therm 2036], Combined_Results[[Rate Class]:[Rate Class]], $B34)</f>
        <v>1052017.9978314433</v>
      </c>
      <c r="N34" s="18">
        <f>SUMIFS(Combined_Results[Achievable therm 2037], Combined_Results[[Rate Class]:[Rate Class]], $B34)</f>
        <v>1088093.1498594</v>
      </c>
      <c r="O34" s="18">
        <f>SUMIFS(Combined_Results[Achievable therm 2038], Combined_Results[[Rate Class]:[Rate Class]], $B34)</f>
        <v>1082091.0374268943</v>
      </c>
      <c r="P34" s="18">
        <f>SUMIFS(Combined_Results[Achievable therm 2039], Combined_Results[[Rate Class]:[Rate Class]], $B34)</f>
        <v>1035362.8684150177</v>
      </c>
      <c r="Q34" s="18">
        <f>SUMIFS(Combined_Results[Achievable therm 2040], Combined_Results[[Rate Class]:[Rate Class]], $B34)</f>
        <v>950963.41004539863</v>
      </c>
      <c r="R34" s="18">
        <f>SUMIFS(Combined_Results[Achievable therm 2041], Combined_Results[[Rate Class]:[Rate Class]], $B34)</f>
        <v>848632.00974000443</v>
      </c>
      <c r="S34" s="18">
        <f>SUMIFS(Combined_Results[Achievable therm 2042], Combined_Results[[Rate Class]:[Rate Class]], $B34)</f>
        <v>716751.67371058301</v>
      </c>
      <c r="T34" s="18">
        <f>SUMIFS(Combined_Results[Achievable therm 2043], Combined_Results[[Rate Class]:[Rate Class]], $B34)</f>
        <v>612882.65475952195</v>
      </c>
      <c r="U34" s="18">
        <f>SUMIFS(Combined_Results[Achievable therm 2044], Combined_Results[[Rate Class]:[Rate Class]], $B34)</f>
        <v>458034.3980999575</v>
      </c>
      <c r="V34" s="18">
        <f>SUMIFS(Combined_Results[Achievable therm 2045], Combined_Results[[Rate Class]:[Rate Class]], $B34)</f>
        <v>437211.51901903556</v>
      </c>
      <c r="W34" s="18">
        <f>SUMIFS(Combined_Results[Achievable therm 2046], Combined_Results[[Rate Class]:[Rate Class]], $B34)</f>
        <v>426301.11847072642</v>
      </c>
      <c r="X34" s="18">
        <f>SUMIFS(Combined_Results[Achievable therm 2047], Combined_Results[[Rate Class]:[Rate Class]], $B34)</f>
        <v>421544.52987822884</v>
      </c>
      <c r="Y34" s="18">
        <f>SUMIFS(Combined_Results[Achievable therm 2048], Combined_Results[[Rate Class]:[Rate Class]], $B34)</f>
        <v>416089.39446848625</v>
      </c>
      <c r="Z34" s="18">
        <f>SUMIFS(Combined_Results[Achievable therm 2049], Combined_Results[[Rate Class]:[Rate Class]], $B34)</f>
        <v>408071.25361636141</v>
      </c>
      <c r="AA34" s="18">
        <f>SUMIFS(Combined_Results[Achievable therm 2050], Combined_Results[[Rate Class]:[Rate Class]], $B34)</f>
        <v>353767.41867540864</v>
      </c>
    </row>
    <row r="35" spans="2:27" x14ac:dyDescent="0.2">
      <c r="B35" s="9" t="s">
        <v>31</v>
      </c>
      <c r="C35" s="18">
        <f>SUMIFS(Combined_Results[Achievable therm 2026], Combined_Results[[Rate Class]:[Rate Class]], $B35)</f>
        <v>148969.58271442048</v>
      </c>
      <c r="D35" s="18">
        <f>SUMIFS(Combined_Results[Achievable therm 2027], Combined_Results[[Rate Class]:[Rate Class]], $B35)</f>
        <v>157012.92780821229</v>
      </c>
      <c r="E35" s="18">
        <f>SUMIFS(Combined_Results[Achievable therm 2028], Combined_Results[[Rate Class]:[Rate Class]], $B35)</f>
        <v>176887.00053257518</v>
      </c>
      <c r="F35" s="18">
        <f>SUMIFS(Combined_Results[Achievable therm 2029], Combined_Results[[Rate Class]:[Rate Class]], $B35)</f>
        <v>206214.31881080827</v>
      </c>
      <c r="G35" s="18">
        <f>SUMIFS(Combined_Results[Achievable therm 2030], Combined_Results[[Rate Class]:[Rate Class]], $B35)</f>
        <v>238664.3866239372</v>
      </c>
      <c r="H35" s="18">
        <f>SUMIFS(Combined_Results[Achievable therm 2031], Combined_Results[[Rate Class]:[Rate Class]], $B35)</f>
        <v>273781.38293207315</v>
      </c>
      <c r="I35" s="18">
        <f>SUMIFS(Combined_Results[Achievable therm 2032], Combined_Results[[Rate Class]:[Rate Class]], $B35)</f>
        <v>302297.54866677063</v>
      </c>
      <c r="J35" s="18">
        <f>SUMIFS(Combined_Results[Achievable therm 2033], Combined_Results[[Rate Class]:[Rate Class]], $B35)</f>
        <v>322130.58550887502</v>
      </c>
      <c r="K35" s="18">
        <f>SUMIFS(Combined_Results[Achievable therm 2034], Combined_Results[[Rate Class]:[Rate Class]], $B35)</f>
        <v>323765.28265151154</v>
      </c>
      <c r="L35" s="18">
        <f>SUMIFS(Combined_Results[Achievable therm 2035], Combined_Results[[Rate Class]:[Rate Class]], $B35)</f>
        <v>310804.38122175011</v>
      </c>
      <c r="M35" s="18">
        <f>SUMIFS(Combined_Results[Achievable therm 2036], Combined_Results[[Rate Class]:[Rate Class]], $B35)</f>
        <v>307542.90589587018</v>
      </c>
      <c r="N35" s="18">
        <f>SUMIFS(Combined_Results[Achievable therm 2037], Combined_Results[[Rate Class]:[Rate Class]], $B35)</f>
        <v>321819.18676209496</v>
      </c>
      <c r="O35" s="18">
        <f>SUMIFS(Combined_Results[Achievable therm 2038], Combined_Results[[Rate Class]:[Rate Class]], $B35)</f>
        <v>330880.26981726574</v>
      </c>
      <c r="P35" s="18">
        <f>SUMIFS(Combined_Results[Achievable therm 2039], Combined_Results[[Rate Class]:[Rate Class]], $B35)</f>
        <v>326467.89245796076</v>
      </c>
      <c r="Q35" s="18">
        <f>SUMIFS(Combined_Results[Achievable therm 2040], Combined_Results[[Rate Class]:[Rate Class]], $B35)</f>
        <v>301365.85974142893</v>
      </c>
      <c r="R35" s="18">
        <f>SUMIFS(Combined_Results[Achievable therm 2041], Combined_Results[[Rate Class]:[Rate Class]], $B35)</f>
        <v>271817.1347606912</v>
      </c>
      <c r="S35" s="18">
        <f>SUMIFS(Combined_Results[Achievable therm 2042], Combined_Results[[Rate Class]:[Rate Class]], $B35)</f>
        <v>232248.17055878037</v>
      </c>
      <c r="T35" s="18">
        <f>SUMIFS(Combined_Results[Achievable therm 2043], Combined_Results[[Rate Class]:[Rate Class]], $B35)</f>
        <v>198524.57729105413</v>
      </c>
      <c r="U35" s="18">
        <f>SUMIFS(Combined_Results[Achievable therm 2044], Combined_Results[[Rate Class]:[Rate Class]], $B35)</f>
        <v>154995.55177591884</v>
      </c>
      <c r="V35" s="18">
        <f>SUMIFS(Combined_Results[Achievable therm 2045], Combined_Results[[Rate Class]:[Rate Class]], $B35)</f>
        <v>147282.02417442243</v>
      </c>
      <c r="W35" s="18">
        <f>SUMIFS(Combined_Results[Achievable therm 2046], Combined_Results[[Rate Class]:[Rate Class]], $B35)</f>
        <v>145778.15844472969</v>
      </c>
      <c r="X35" s="18">
        <f>SUMIFS(Combined_Results[Achievable therm 2047], Combined_Results[[Rate Class]:[Rate Class]], $B35)</f>
        <v>133824.56409898182</v>
      </c>
      <c r="Y35" s="18">
        <f>SUMIFS(Combined_Results[Achievable therm 2048], Combined_Results[[Rate Class]:[Rate Class]], $B35)</f>
        <v>113689.9803832843</v>
      </c>
      <c r="Z35" s="18">
        <f>SUMIFS(Combined_Results[Achievable therm 2049], Combined_Results[[Rate Class]:[Rate Class]], $B35)</f>
        <v>104141.55984947374</v>
      </c>
      <c r="AA35" s="18">
        <f>SUMIFS(Combined_Results[Achievable therm 2050], Combined_Results[[Rate Class]:[Rate Class]], $B35)</f>
        <v>65528.889847475926</v>
      </c>
    </row>
    <row r="36" spans="2:27" x14ac:dyDescent="0.2">
      <c r="B36" s="16" t="s">
        <v>39</v>
      </c>
      <c r="C36" s="17">
        <f>SUMIFS(Combined_Results[Achievable therm 2026], Combined_Results[[Rate Class]:[Rate Class]], $B35, Combined_Results[[Sales/Transport]:[Sales/Transport]], $B36)</f>
        <v>141158.07862201642</v>
      </c>
      <c r="D36" s="17">
        <f>SUMIFS(Combined_Results[Achievable therm 2027], Combined_Results[[Rate Class]:[Rate Class]], $B35, Combined_Results[[Sales/Transport]:[Sales/Transport]], $B36)</f>
        <v>148125.33509063939</v>
      </c>
      <c r="E36" s="17">
        <f>SUMIFS(Combined_Results[Achievable therm 2028], Combined_Results[[Rate Class]:[Rate Class]], $B35, Combined_Results[[Sales/Transport]:[Sales/Transport]], $B36)</f>
        <v>166591.71873308357</v>
      </c>
      <c r="F36" s="17">
        <f>SUMIFS(Combined_Results[Achievable therm 2029], Combined_Results[[Rate Class]:[Rate Class]], $B35, Combined_Results[[Sales/Transport]:[Sales/Transport]], $B36)</f>
        <v>194052.01732062787</v>
      </c>
      <c r="G36" s="17">
        <f>SUMIFS(Combined_Results[Achievable therm 2030], Combined_Results[[Rate Class]:[Rate Class]], $B35, Combined_Results[[Sales/Transport]:[Sales/Transport]], $B36)</f>
        <v>224700.4184991105</v>
      </c>
      <c r="H36" s="17">
        <f>SUMIFS(Combined_Results[Achievable therm 2031], Combined_Results[[Rate Class]:[Rate Class]], $B35, Combined_Results[[Sales/Transport]:[Sales/Transport]], $B36)</f>
        <v>258383.02985228685</v>
      </c>
      <c r="I36" s="17">
        <f>SUMIFS(Combined_Results[Achievable therm 2032], Combined_Results[[Rate Class]:[Rate Class]], $B35, Combined_Results[[Sales/Transport]:[Sales/Transport]], $B36)</f>
        <v>286154.49592627428</v>
      </c>
      <c r="J36" s="17">
        <f>SUMIFS(Combined_Results[Achievable therm 2033], Combined_Results[[Rate Class]:[Rate Class]], $B35, Combined_Results[[Sales/Transport]:[Sales/Transport]], $B36)</f>
        <v>305968.81576108438</v>
      </c>
      <c r="K36" s="17">
        <f>SUMIFS(Combined_Results[Achievable therm 2034], Combined_Results[[Rate Class]:[Rate Class]], $B35, Combined_Results[[Sales/Transport]:[Sales/Transport]], $B36)</f>
        <v>308168.31759854051</v>
      </c>
      <c r="L36" s="17">
        <f>SUMIFS(Combined_Results[Achievable therm 2035], Combined_Results[[Rate Class]:[Rate Class]], $B35, Combined_Results[[Sales/Transport]:[Sales/Transport]], $B36)</f>
        <v>298461.36201986321</v>
      </c>
      <c r="M36" s="17">
        <f>SUMIFS(Combined_Results[Achievable therm 2036], Combined_Results[[Rate Class]:[Rate Class]], $B35, Combined_Results[[Sales/Transport]:[Sales/Transport]], $B36)</f>
        <v>296310.91597548482</v>
      </c>
      <c r="N36" s="17">
        <f>SUMIFS(Combined_Results[Achievable therm 2037], Combined_Results[[Rate Class]:[Rate Class]], $B35, Combined_Results[[Sales/Transport]:[Sales/Transport]], $B36)</f>
        <v>310151.70316469576</v>
      </c>
      <c r="O36" s="17">
        <f>SUMIFS(Combined_Results[Achievable therm 2038], Combined_Results[[Rate Class]:[Rate Class]], $B35, Combined_Results[[Sales/Transport]:[Sales/Transport]], $B36)</f>
        <v>319016.05879788997</v>
      </c>
      <c r="P36" s="17">
        <f>SUMIFS(Combined_Results[Achievable therm 2039], Combined_Results[[Rate Class]:[Rate Class]], $B35, Combined_Results[[Sales/Transport]:[Sales/Transport]], $B36)</f>
        <v>314849.60026671441</v>
      </c>
      <c r="Q36" s="17">
        <f>SUMIFS(Combined_Results[Achievable therm 2040], Combined_Results[[Rate Class]:[Rate Class]], $B35, Combined_Results[[Sales/Transport]:[Sales/Transport]], $B36)</f>
        <v>290373.09210200823</v>
      </c>
      <c r="R36" s="17">
        <f>SUMIFS(Combined_Results[Achievable therm 2041], Combined_Results[[Rate Class]:[Rate Class]], $B35, Combined_Results[[Sales/Transport]:[Sales/Transport]], $B36)</f>
        <v>262404.25534130365</v>
      </c>
      <c r="S36" s="17">
        <f>SUMIFS(Combined_Results[Achievable therm 2042], Combined_Results[[Rate Class]:[Rate Class]], $B35, Combined_Results[[Sales/Transport]:[Sales/Transport]], $B36)</f>
        <v>223454.36609727616</v>
      </c>
      <c r="T36" s="17">
        <f>SUMIFS(Combined_Results[Achievable therm 2043], Combined_Results[[Rate Class]:[Rate Class]], $B35, Combined_Results[[Sales/Transport]:[Sales/Transport]], $B36)</f>
        <v>190710.87983854016</v>
      </c>
      <c r="U36" s="17">
        <f>SUMIFS(Combined_Results[Achievable therm 2044], Combined_Results[[Rate Class]:[Rate Class]], $B35, Combined_Results[[Sales/Transport]:[Sales/Transport]], $B36)</f>
        <v>148486.73552359649</v>
      </c>
      <c r="V36" s="17">
        <f>SUMIFS(Combined_Results[Achievable therm 2045], Combined_Results[[Rate Class]:[Rate Class]], $B35, Combined_Results[[Sales/Transport]:[Sales/Transport]], $B36)</f>
        <v>141172.96303863105</v>
      </c>
      <c r="W36" s="17">
        <f>SUMIFS(Combined_Results[Achievable therm 2046], Combined_Results[[Rate Class]:[Rate Class]], $B35, Combined_Results[[Sales/Transport]:[Sales/Transport]], $B36)</f>
        <v>139678.58630093237</v>
      </c>
      <c r="X36" s="17">
        <f>SUMIFS(Combined_Results[Achievable therm 2047], Combined_Results[[Rate Class]:[Rate Class]], $B35, Combined_Results[[Sales/Transport]:[Sales/Transport]], $B36)</f>
        <v>128152.45409043228</v>
      </c>
      <c r="Y36" s="17">
        <f>SUMIFS(Combined_Results[Achievable therm 2048], Combined_Results[[Rate Class]:[Rate Class]], $B35, Combined_Results[[Sales/Transport]:[Sales/Transport]], $B36)</f>
        <v>108388.14244033315</v>
      </c>
      <c r="Z36" s="17">
        <f>SUMIFS(Combined_Results[Achievable therm 2049], Combined_Results[[Rate Class]:[Rate Class]], $B35, Combined_Results[[Sales/Transport]:[Sales/Transport]], $B36)</f>
        <v>99324.832945781629</v>
      </c>
      <c r="AA36" s="17">
        <f>SUMIFS(Combined_Results[Achievable therm 2050], Combined_Results[[Rate Class]:[Rate Class]], $B35, Combined_Results[[Sales/Transport]:[Sales/Transport]], $B36)</f>
        <v>62293.558777698243</v>
      </c>
    </row>
    <row r="37" spans="2:27" x14ac:dyDescent="0.2">
      <c r="B37" s="16" t="s">
        <v>40</v>
      </c>
      <c r="C37" s="17">
        <f>SUMIFS(Combined_Results[Achievable therm 2026], Combined_Results[[Rate Class]:[Rate Class]], $B35, Combined_Results[[Sales/Transport]:[Sales/Transport]], $B37)</f>
        <v>7811.5040924040995</v>
      </c>
      <c r="D37" s="17">
        <f>SUMIFS(Combined_Results[Achievable therm 2027], Combined_Results[[Rate Class]:[Rate Class]], $B35, Combined_Results[[Sales/Transport]:[Sales/Transport]], $B37)</f>
        <v>8887.5927175728793</v>
      </c>
      <c r="E37" s="17">
        <f>SUMIFS(Combined_Results[Achievable therm 2028], Combined_Results[[Rate Class]:[Rate Class]], $B35, Combined_Results[[Sales/Transport]:[Sales/Transport]], $B37)</f>
        <v>10295.281799491582</v>
      </c>
      <c r="F37" s="17">
        <f>SUMIFS(Combined_Results[Achievable therm 2029], Combined_Results[[Rate Class]:[Rate Class]], $B35, Combined_Results[[Sales/Transport]:[Sales/Transport]], $B37)</f>
        <v>12162.301490180391</v>
      </c>
      <c r="G37" s="17">
        <f>SUMIFS(Combined_Results[Achievable therm 2030], Combined_Results[[Rate Class]:[Rate Class]], $B35, Combined_Results[[Sales/Transport]:[Sales/Transport]], $B37)</f>
        <v>13963.968124826801</v>
      </c>
      <c r="H37" s="17">
        <f>SUMIFS(Combined_Results[Achievable therm 2031], Combined_Results[[Rate Class]:[Rate Class]], $B35, Combined_Results[[Sales/Transport]:[Sales/Transport]], $B37)</f>
        <v>15398.353079786371</v>
      </c>
      <c r="I37" s="17">
        <f>SUMIFS(Combined_Results[Achievable therm 2032], Combined_Results[[Rate Class]:[Rate Class]], $B35, Combined_Results[[Sales/Transport]:[Sales/Transport]], $B37)</f>
        <v>16143.05274049625</v>
      </c>
      <c r="J37" s="17">
        <f>SUMIFS(Combined_Results[Achievable therm 2033], Combined_Results[[Rate Class]:[Rate Class]], $B35, Combined_Results[[Sales/Transport]:[Sales/Transport]], $B37)</f>
        <v>16161.769747790653</v>
      </c>
      <c r="K37" s="17">
        <f>SUMIFS(Combined_Results[Achievable therm 2034], Combined_Results[[Rate Class]:[Rate Class]], $B35, Combined_Results[[Sales/Transport]:[Sales/Transport]], $B37)</f>
        <v>15596.965052971096</v>
      </c>
      <c r="L37" s="17">
        <f>SUMIFS(Combined_Results[Achievable therm 2035], Combined_Results[[Rate Class]:[Rate Class]], $B35, Combined_Results[[Sales/Transport]:[Sales/Transport]], $B37)</f>
        <v>12343.019201886807</v>
      </c>
      <c r="M37" s="17">
        <f>SUMIFS(Combined_Results[Achievable therm 2036], Combined_Results[[Rate Class]:[Rate Class]], $B35, Combined_Results[[Sales/Transport]:[Sales/Transport]], $B37)</f>
        <v>11231.989920385484</v>
      </c>
      <c r="N37" s="17">
        <f>SUMIFS(Combined_Results[Achievable therm 2037], Combined_Results[[Rate Class]:[Rate Class]], $B35, Combined_Results[[Sales/Transport]:[Sales/Transport]], $B37)</f>
        <v>11667.483597399394</v>
      </c>
      <c r="O37" s="17">
        <f>SUMIFS(Combined_Results[Achievable therm 2038], Combined_Results[[Rate Class]:[Rate Class]], $B35, Combined_Results[[Sales/Transport]:[Sales/Transport]], $B37)</f>
        <v>11864.211019375825</v>
      </c>
      <c r="P37" s="17">
        <f>SUMIFS(Combined_Results[Achievable therm 2039], Combined_Results[[Rate Class]:[Rate Class]], $B35, Combined_Results[[Sales/Transport]:[Sales/Transport]], $B37)</f>
        <v>11618.292191246534</v>
      </c>
      <c r="Q37" s="17">
        <f>SUMIFS(Combined_Results[Achievable therm 2040], Combined_Results[[Rate Class]:[Rate Class]], $B35, Combined_Results[[Sales/Transport]:[Sales/Transport]], $B37)</f>
        <v>10992.767639420685</v>
      </c>
      <c r="R37" s="17">
        <f>SUMIFS(Combined_Results[Achievable therm 2041], Combined_Results[[Rate Class]:[Rate Class]], $B35, Combined_Results[[Sales/Transport]:[Sales/Transport]], $B37)</f>
        <v>9412.8794193875183</v>
      </c>
      <c r="S37" s="17">
        <f>SUMIFS(Combined_Results[Achievable therm 2042], Combined_Results[[Rate Class]:[Rate Class]], $B35, Combined_Results[[Sales/Transport]:[Sales/Transport]], $B37)</f>
        <v>8793.8044615042709</v>
      </c>
      <c r="T37" s="17">
        <f>SUMIFS(Combined_Results[Achievable therm 2043], Combined_Results[[Rate Class]:[Rate Class]], $B35, Combined_Results[[Sales/Transport]:[Sales/Transport]], $B37)</f>
        <v>7813.6974525139658</v>
      </c>
      <c r="U37" s="17">
        <f>SUMIFS(Combined_Results[Achievable therm 2044], Combined_Results[[Rate Class]:[Rate Class]], $B35, Combined_Results[[Sales/Transport]:[Sales/Transport]], $B37)</f>
        <v>6508.8162523223336</v>
      </c>
      <c r="V37" s="17">
        <f>SUMIFS(Combined_Results[Achievable therm 2045], Combined_Results[[Rate Class]:[Rate Class]], $B35, Combined_Results[[Sales/Transport]:[Sales/Transport]], $B37)</f>
        <v>6109.0611357913585</v>
      </c>
      <c r="W37" s="17">
        <f>SUMIFS(Combined_Results[Achievable therm 2046], Combined_Results[[Rate Class]:[Rate Class]], $B35, Combined_Results[[Sales/Transport]:[Sales/Transport]], $B37)</f>
        <v>6099.5721437973207</v>
      </c>
      <c r="X37" s="17">
        <f>SUMIFS(Combined_Results[Achievable therm 2047], Combined_Results[[Rate Class]:[Rate Class]], $B35, Combined_Results[[Sales/Transport]:[Sales/Transport]], $B37)</f>
        <v>5672.1100085495555</v>
      </c>
      <c r="Y37" s="17">
        <f>SUMIFS(Combined_Results[Achievable therm 2048], Combined_Results[[Rate Class]:[Rate Class]], $B35, Combined_Results[[Sales/Transport]:[Sales/Transport]], $B37)</f>
        <v>5301.8379429511206</v>
      </c>
      <c r="Z37" s="17">
        <f>SUMIFS(Combined_Results[Achievable therm 2049], Combined_Results[[Rate Class]:[Rate Class]], $B35, Combined_Results[[Sales/Transport]:[Sales/Transport]], $B37)</f>
        <v>4816.726903692188</v>
      </c>
      <c r="AA37" s="17">
        <f>SUMIFS(Combined_Results[Achievable therm 2050], Combined_Results[[Rate Class]:[Rate Class]], $B35, Combined_Results[[Sales/Transport]:[Sales/Transport]], $B37)</f>
        <v>3235.3310697776792</v>
      </c>
    </row>
    <row r="38" spans="2:27" x14ac:dyDescent="0.2">
      <c r="B38" s="9" t="s">
        <v>33</v>
      </c>
      <c r="C38" s="18">
        <f>SUMIFS(Combined_Results[Achievable therm 2026], Combined_Results[[Rate Class]:[Rate Class]], $B38)</f>
        <v>24908.833838595678</v>
      </c>
      <c r="D38" s="18">
        <f>SUMIFS(Combined_Results[Achievable therm 2027], Combined_Results[[Rate Class]:[Rate Class]], $B38)</f>
        <v>44483.900283562638</v>
      </c>
      <c r="E38" s="18">
        <f>SUMIFS(Combined_Results[Achievable therm 2028], Combined_Results[[Rate Class]:[Rate Class]], $B38)</f>
        <v>73195.630244523403</v>
      </c>
      <c r="F38" s="18">
        <f>SUMIFS(Combined_Results[Achievable therm 2029], Combined_Results[[Rate Class]:[Rate Class]], $B38)</f>
        <v>112061.01726542215</v>
      </c>
      <c r="G38" s="18">
        <f>SUMIFS(Combined_Results[Achievable therm 2030], Combined_Results[[Rate Class]:[Rate Class]], $B38)</f>
        <v>161835.0761850659</v>
      </c>
      <c r="H38" s="18">
        <f>SUMIFS(Combined_Results[Achievable therm 2031], Combined_Results[[Rate Class]:[Rate Class]], $B38)</f>
        <v>221999.01780133948</v>
      </c>
      <c r="I38" s="18">
        <f>SUMIFS(Combined_Results[Achievable therm 2032], Combined_Results[[Rate Class]:[Rate Class]], $B38)</f>
        <v>290405.7276714847</v>
      </c>
      <c r="J38" s="18">
        <f>SUMIFS(Combined_Results[Achievable therm 2033], Combined_Results[[Rate Class]:[Rate Class]], $B38)</f>
        <v>362945.90739339968</v>
      </c>
      <c r="K38" s="18">
        <f>SUMIFS(Combined_Results[Achievable therm 2034], Combined_Results[[Rate Class]:[Rate Class]], $B38)</f>
        <v>433457.41051062907</v>
      </c>
      <c r="L38" s="18">
        <f>SUMIFS(Combined_Results[Achievable therm 2035], Combined_Results[[Rate Class]:[Rate Class]], $B38)</f>
        <v>494113.86297052633</v>
      </c>
      <c r="M38" s="18">
        <f>SUMIFS(Combined_Results[Achievable therm 2036], Combined_Results[[Rate Class]:[Rate Class]], $B38)</f>
        <v>536462.28361067618</v>
      </c>
      <c r="N38" s="18">
        <f>SUMIFS(Combined_Results[Achievable therm 2037], Combined_Results[[Rate Class]:[Rate Class]], $B38)</f>
        <v>553091.86953903758</v>
      </c>
      <c r="O38" s="18">
        <f>SUMIFS(Combined_Results[Achievable therm 2038], Combined_Results[[Rate Class]:[Rate Class]], $B38)</f>
        <v>539500.69626849587</v>
      </c>
      <c r="P38" s="18">
        <f>SUMIFS(Combined_Results[Achievable therm 2039], Combined_Results[[Rate Class]:[Rate Class]], $B38)</f>
        <v>497260.39159890055</v>
      </c>
      <c r="Q38" s="18">
        <f>SUMIFS(Combined_Results[Achievable therm 2040], Combined_Results[[Rate Class]:[Rate Class]], $B38)</f>
        <v>379748.86294802674</v>
      </c>
      <c r="R38" s="18">
        <f>SUMIFS(Combined_Results[Achievable therm 2041], Combined_Results[[Rate Class]:[Rate Class]], $B38)</f>
        <v>306807.69934298366</v>
      </c>
      <c r="S38" s="18">
        <f>SUMIFS(Combined_Results[Achievable therm 2042], Combined_Results[[Rate Class]:[Rate Class]], $B38)</f>
        <v>135448.54933195011</v>
      </c>
      <c r="T38" s="18">
        <f>SUMIFS(Combined_Results[Achievable therm 2043], Combined_Results[[Rate Class]:[Rate Class]], $B38)</f>
        <v>38475.261566151406</v>
      </c>
      <c r="U38" s="18">
        <f>SUMIFS(Combined_Results[Achievable therm 2044], Combined_Results[[Rate Class]:[Rate Class]], $B38)</f>
        <v>38536.366194529437</v>
      </c>
      <c r="V38" s="18">
        <f>SUMIFS(Combined_Results[Achievable therm 2045], Combined_Results[[Rate Class]:[Rate Class]], $B38)</f>
        <v>38466.92936394929</v>
      </c>
      <c r="W38" s="18">
        <f>SUMIFS(Combined_Results[Achievable therm 2046], Combined_Results[[Rate Class]:[Rate Class]], $B38)</f>
        <v>38227.58300582481</v>
      </c>
      <c r="X38" s="18">
        <f>SUMIFS(Combined_Results[Achievable therm 2047], Combined_Results[[Rate Class]:[Rate Class]], $B38)</f>
        <v>37923.892105012885</v>
      </c>
      <c r="Y38" s="18">
        <f>SUMIFS(Combined_Results[Achievable therm 2048], Combined_Results[[Rate Class]:[Rate Class]], $B38)</f>
        <v>37621.850796912091</v>
      </c>
      <c r="Z38" s="18">
        <f>SUMIFS(Combined_Results[Achievable therm 2049], Combined_Results[[Rate Class]:[Rate Class]], $B38)</f>
        <v>37328.031266025384</v>
      </c>
      <c r="AA38" s="18">
        <f>SUMIFS(Combined_Results[Achievable therm 2050], Combined_Results[[Rate Class]:[Rate Class]], $B38)</f>
        <v>37000.59820610896</v>
      </c>
    </row>
    <row r="39" spans="2:27" x14ac:dyDescent="0.2">
      <c r="B39" s="16" t="s">
        <v>39</v>
      </c>
      <c r="C39" s="17">
        <f>SUMIFS(Combined_Results[Achievable therm 2026], Combined_Results[[Rate Class]:[Rate Class]], $B38, Combined_Results[[Sales/Transport]:[Sales/Transport]], $B39)</f>
        <v>4102.7408726175045</v>
      </c>
      <c r="D39" s="17">
        <f>SUMIFS(Combined_Results[Achievable therm 2027], Combined_Results[[Rate Class]:[Rate Class]], $B38, Combined_Results[[Sales/Transport]:[Sales/Transport]], $B39)</f>
        <v>7234.4066881564613</v>
      </c>
      <c r="E39" s="17">
        <f>SUMIFS(Combined_Results[Achievable therm 2028], Combined_Results[[Rate Class]:[Rate Class]], $B38, Combined_Results[[Sales/Transport]:[Sales/Transport]], $B39)</f>
        <v>11830.326858315748</v>
      </c>
      <c r="F39" s="17">
        <f>SUMIFS(Combined_Results[Achievable therm 2029], Combined_Results[[Rate Class]:[Rate Class]], $B38, Combined_Results[[Sales/Transport]:[Sales/Transport]], $B39)</f>
        <v>18039.106535860694</v>
      </c>
      <c r="G39" s="17">
        <f>SUMIFS(Combined_Results[Achievable therm 2030], Combined_Results[[Rate Class]:[Rate Class]], $B38, Combined_Results[[Sales/Transport]:[Sales/Transport]], $B39)</f>
        <v>25974.952547903689</v>
      </c>
      <c r="H39" s="17">
        <f>SUMIFS(Combined_Results[Achievable therm 2031], Combined_Results[[Rate Class]:[Rate Class]], $B38, Combined_Results[[Sales/Transport]:[Sales/Transport]], $B39)</f>
        <v>35553.929596054651</v>
      </c>
      <c r="I39" s="17">
        <f>SUMIFS(Combined_Results[Achievable therm 2032], Combined_Results[[Rate Class]:[Rate Class]], $B38, Combined_Results[[Sales/Transport]:[Sales/Transport]], $B39)</f>
        <v>46420.397390177015</v>
      </c>
      <c r="J39" s="17">
        <f>SUMIFS(Combined_Results[Achievable therm 2033], Combined_Results[[Rate Class]:[Rate Class]], $B38, Combined_Results[[Sales/Transport]:[Sales/Transport]], $B39)</f>
        <v>57915.565781836282</v>
      </c>
      <c r="K39" s="17">
        <f>SUMIFS(Combined_Results[Achievable therm 2034], Combined_Results[[Rate Class]:[Rate Class]], $B38, Combined_Results[[Sales/Transport]:[Sales/Transport]], $B39)</f>
        <v>69058.26163604985</v>
      </c>
      <c r="L39" s="17">
        <f>SUMIFS(Combined_Results[Achievable therm 2035], Combined_Results[[Rate Class]:[Rate Class]], $B38, Combined_Results[[Sales/Transport]:[Sales/Transport]], $B39)</f>
        <v>78602.869820396896</v>
      </c>
      <c r="M39" s="17">
        <f>SUMIFS(Combined_Results[Achievable therm 2036], Combined_Results[[Rate Class]:[Rate Class]], $B38, Combined_Results[[Sales/Transport]:[Sales/Transport]], $B39)</f>
        <v>85216.061735880634</v>
      </c>
      <c r="N39" s="17">
        <f>SUMIFS(Combined_Results[Achievable therm 2037], Combined_Results[[Rate Class]:[Rate Class]], $B38, Combined_Results[[Sales/Transport]:[Sales/Transport]], $B39)</f>
        <v>87765.968770735402</v>
      </c>
      <c r="O39" s="17">
        <f>SUMIFS(Combined_Results[Achievable therm 2038], Combined_Results[[Rate Class]:[Rate Class]], $B38, Combined_Results[[Sales/Transport]:[Sales/Transport]], $B39)</f>
        <v>85533.540115720549</v>
      </c>
      <c r="P39" s="17">
        <f>SUMIFS(Combined_Results[Achievable therm 2039], Combined_Results[[Rate Class]:[Rate Class]], $B38, Combined_Results[[Sales/Transport]:[Sales/Transport]], $B39)</f>
        <v>78800.327684922973</v>
      </c>
      <c r="Q39" s="17">
        <f>SUMIFS(Combined_Results[Achievable therm 2040], Combined_Results[[Rate Class]:[Rate Class]], $B38, Combined_Results[[Sales/Transport]:[Sales/Transport]], $B39)</f>
        <v>59720.746062754202</v>
      </c>
      <c r="R39" s="17">
        <f>SUMIFS(Combined_Results[Achievable therm 2041], Combined_Results[[Rate Class]:[Rate Class]], $B38, Combined_Results[[Sales/Transport]:[Sales/Transport]], $B39)</f>
        <v>48290.169693640346</v>
      </c>
      <c r="S39" s="17">
        <f>SUMIFS(Combined_Results[Achievable therm 2042], Combined_Results[[Rate Class]:[Rate Class]], $B38, Combined_Results[[Sales/Transport]:[Sales/Transport]], $B39)</f>
        <v>21552.390972943231</v>
      </c>
      <c r="T39" s="17">
        <f>SUMIFS(Combined_Results[Achievable therm 2043], Combined_Results[[Rate Class]:[Rate Class]], $B38, Combined_Results[[Sales/Transport]:[Sales/Transport]], $B39)</f>
        <v>6623.7518651686314</v>
      </c>
      <c r="U39" s="17">
        <f>SUMIFS(Combined_Results[Achievable therm 2044], Combined_Results[[Rate Class]:[Rate Class]], $B38, Combined_Results[[Sales/Transport]:[Sales/Transport]], $B39)</f>
        <v>6613.3728073367438</v>
      </c>
      <c r="V39" s="17">
        <f>SUMIFS(Combined_Results[Achievable therm 2045], Combined_Results[[Rate Class]:[Rate Class]], $B38, Combined_Results[[Sales/Transport]:[Sales/Transport]], $B39)</f>
        <v>6603.0893327048052</v>
      </c>
      <c r="W39" s="17">
        <f>SUMIFS(Combined_Results[Achievable therm 2046], Combined_Results[[Rate Class]:[Rate Class]], $B38, Combined_Results[[Sales/Transport]:[Sales/Transport]], $B39)</f>
        <v>6562.9959867930384</v>
      </c>
      <c r="X39" s="17">
        <f>SUMIFS(Combined_Results[Achievable therm 2047], Combined_Results[[Rate Class]:[Rate Class]], $B38, Combined_Results[[Sales/Transport]:[Sales/Transport]], $B39)</f>
        <v>6503.3937103866992</v>
      </c>
      <c r="Y39" s="17">
        <f>SUMIFS(Combined_Results[Achievable therm 2048], Combined_Results[[Rate Class]:[Rate Class]], $B38, Combined_Results[[Sales/Transport]:[Sales/Transport]], $B39)</f>
        <v>6443.5594529154469</v>
      </c>
      <c r="Z39" s="17">
        <f>SUMIFS(Combined_Results[Achievable therm 2049], Combined_Results[[Rate Class]:[Rate Class]], $B38, Combined_Results[[Sales/Transport]:[Sales/Transport]], $B39)</f>
        <v>6390.0799031217721</v>
      </c>
      <c r="AA39" s="17">
        <f>SUMIFS(Combined_Results[Achievable therm 2050], Combined_Results[[Rate Class]:[Rate Class]], $B38, Combined_Results[[Sales/Transport]:[Sales/Transport]], $B39)</f>
        <v>6301.1341471944834</v>
      </c>
    </row>
    <row r="40" spans="2:27" x14ac:dyDescent="0.2">
      <c r="B40" s="16" t="s">
        <v>40</v>
      </c>
      <c r="C40" s="17">
        <f>SUMIFS(Combined_Results[Achievable therm 2026], Combined_Results[[Rate Class]:[Rate Class]], $B38, Combined_Results[[Sales/Transport]:[Sales/Transport]], $B40)</f>
        <v>20806.092965978187</v>
      </c>
      <c r="D40" s="17">
        <f>SUMIFS(Combined_Results[Achievable therm 2027], Combined_Results[[Rate Class]:[Rate Class]], $B38, Combined_Results[[Sales/Transport]:[Sales/Transport]], $B40)</f>
        <v>37249.493595406151</v>
      </c>
      <c r="E40" s="17">
        <f>SUMIFS(Combined_Results[Achievable therm 2028], Combined_Results[[Rate Class]:[Rate Class]], $B38, Combined_Results[[Sales/Transport]:[Sales/Transport]], $B40)</f>
        <v>61365.303386207619</v>
      </c>
      <c r="F40" s="17">
        <f>SUMIFS(Combined_Results[Achievable therm 2029], Combined_Results[[Rate Class]:[Rate Class]], $B38, Combined_Results[[Sales/Transport]:[Sales/Transport]], $B40)</f>
        <v>94021.910729561481</v>
      </c>
      <c r="G40" s="17">
        <f>SUMIFS(Combined_Results[Achievable therm 2030], Combined_Results[[Rate Class]:[Rate Class]], $B38, Combined_Results[[Sales/Transport]:[Sales/Transport]], $B40)</f>
        <v>135860.12363716209</v>
      </c>
      <c r="H40" s="17">
        <f>SUMIFS(Combined_Results[Achievable therm 2031], Combined_Results[[Rate Class]:[Rate Class]], $B38, Combined_Results[[Sales/Transport]:[Sales/Transport]], $B40)</f>
        <v>186445.08820528476</v>
      </c>
      <c r="I40" s="17">
        <f>SUMIFS(Combined_Results[Achievable therm 2032], Combined_Results[[Rate Class]:[Rate Class]], $B38, Combined_Results[[Sales/Transport]:[Sales/Transport]], $B40)</f>
        <v>243985.3302813078</v>
      </c>
      <c r="J40" s="17">
        <f>SUMIFS(Combined_Results[Achievable therm 2033], Combined_Results[[Rate Class]:[Rate Class]], $B38, Combined_Results[[Sales/Transport]:[Sales/Transport]], $B40)</f>
        <v>305030.34161156329</v>
      </c>
      <c r="K40" s="17">
        <f>SUMIFS(Combined_Results[Achievable therm 2034], Combined_Results[[Rate Class]:[Rate Class]], $B38, Combined_Results[[Sales/Transport]:[Sales/Transport]], $B40)</f>
        <v>364399.14887457876</v>
      </c>
      <c r="L40" s="17">
        <f>SUMIFS(Combined_Results[Achievable therm 2035], Combined_Results[[Rate Class]:[Rate Class]], $B38, Combined_Results[[Sales/Transport]:[Sales/Transport]], $B40)</f>
        <v>415510.99315012933</v>
      </c>
      <c r="M40" s="17">
        <f>SUMIFS(Combined_Results[Achievable therm 2036], Combined_Results[[Rate Class]:[Rate Class]], $B38, Combined_Results[[Sales/Transport]:[Sales/Transport]], $B40)</f>
        <v>451246.2218747955</v>
      </c>
      <c r="N40" s="17">
        <f>SUMIFS(Combined_Results[Achievable therm 2037], Combined_Results[[Rate Class]:[Rate Class]], $B38, Combined_Results[[Sales/Transport]:[Sales/Transport]], $B40)</f>
        <v>465325.90076830226</v>
      </c>
      <c r="O40" s="17">
        <f>SUMIFS(Combined_Results[Achievable therm 2038], Combined_Results[[Rate Class]:[Rate Class]], $B38, Combined_Results[[Sales/Transport]:[Sales/Transport]], $B40)</f>
        <v>453967.1561527751</v>
      </c>
      <c r="P40" s="17">
        <f>SUMIFS(Combined_Results[Achievable therm 2039], Combined_Results[[Rate Class]:[Rate Class]], $B38, Combined_Results[[Sales/Transport]:[Sales/Transport]], $B40)</f>
        <v>418460.06391397736</v>
      </c>
      <c r="Q40" s="17">
        <f>SUMIFS(Combined_Results[Achievable therm 2040], Combined_Results[[Rate Class]:[Rate Class]], $B38, Combined_Results[[Sales/Transport]:[Sales/Transport]], $B40)</f>
        <v>320028.11688527238</v>
      </c>
      <c r="R40" s="17">
        <f>SUMIFS(Combined_Results[Achievable therm 2041], Combined_Results[[Rate Class]:[Rate Class]], $B38, Combined_Results[[Sales/Transport]:[Sales/Transport]], $B40)</f>
        <v>258517.52964934331</v>
      </c>
      <c r="S40" s="17">
        <f>SUMIFS(Combined_Results[Achievable therm 2042], Combined_Results[[Rate Class]:[Rate Class]], $B38, Combined_Results[[Sales/Transport]:[Sales/Transport]], $B40)</f>
        <v>113896.15835900682</v>
      </c>
      <c r="T40" s="17">
        <f>SUMIFS(Combined_Results[Achievable therm 2043], Combined_Results[[Rate Class]:[Rate Class]], $B38, Combined_Results[[Sales/Transport]:[Sales/Transport]], $B40)</f>
        <v>31851.50970098277</v>
      </c>
      <c r="U40" s="17">
        <f>SUMIFS(Combined_Results[Achievable therm 2044], Combined_Results[[Rate Class]:[Rate Class]], $B38, Combined_Results[[Sales/Transport]:[Sales/Transport]], $B40)</f>
        <v>31922.993387192695</v>
      </c>
      <c r="V40" s="17">
        <f>SUMIFS(Combined_Results[Achievable therm 2045], Combined_Results[[Rate Class]:[Rate Class]], $B38, Combined_Results[[Sales/Transport]:[Sales/Transport]], $B40)</f>
        <v>31863.840031244472</v>
      </c>
      <c r="W40" s="17">
        <f>SUMIFS(Combined_Results[Achievable therm 2046], Combined_Results[[Rate Class]:[Rate Class]], $B38, Combined_Results[[Sales/Transport]:[Sales/Transport]], $B40)</f>
        <v>31664.587019031773</v>
      </c>
      <c r="X40" s="17">
        <f>SUMIFS(Combined_Results[Achievable therm 2047], Combined_Results[[Rate Class]:[Rate Class]], $B38, Combined_Results[[Sales/Transport]:[Sales/Transport]], $B40)</f>
        <v>31420.498394626189</v>
      </c>
      <c r="Y40" s="17">
        <f>SUMIFS(Combined_Results[Achievable therm 2048], Combined_Results[[Rate Class]:[Rate Class]], $B38, Combined_Results[[Sales/Transport]:[Sales/Transport]], $B40)</f>
        <v>31178.291343996651</v>
      </c>
      <c r="Z40" s="17">
        <f>SUMIFS(Combined_Results[Achievable therm 2049], Combined_Results[[Rate Class]:[Rate Class]], $B38, Combined_Results[[Sales/Transport]:[Sales/Transport]], $B40)</f>
        <v>30937.951362903612</v>
      </c>
      <c r="AA40" s="17">
        <f>SUMIFS(Combined_Results[Achievable therm 2050], Combined_Results[[Rate Class]:[Rate Class]], $B38, Combined_Results[[Sales/Transport]:[Sales/Transport]], $B40)</f>
        <v>30699.464058914487</v>
      </c>
    </row>
    <row r="41" spans="2:27" ht="13.5" thickBot="1" x14ac:dyDescent="0.25">
      <c r="B41" s="14" t="s">
        <v>34</v>
      </c>
      <c r="C41" s="15">
        <f>SUM(C34,C35,C38)</f>
        <v>306222.3056026554</v>
      </c>
      <c r="D41" s="15">
        <f t="shared" ref="D41:AA41" si="37">SUM(D34,D35,D38)</f>
        <v>375445.14311321551</v>
      </c>
      <c r="E41" s="15">
        <f t="shared" si="37"/>
        <v>487957.44374505663</v>
      </c>
      <c r="F41" s="15">
        <f t="shared" si="37"/>
        <v>628045.71512900968</v>
      </c>
      <c r="G41" s="15">
        <f t="shared" si="37"/>
        <v>796622.66106248775</v>
      </c>
      <c r="H41" s="15">
        <f t="shared" si="37"/>
        <v>995992.9441598265</v>
      </c>
      <c r="I41" s="15">
        <f t="shared" si="37"/>
        <v>1210896.1417397053</v>
      </c>
      <c r="J41" s="15">
        <f t="shared" si="37"/>
        <v>1428367.1026483744</v>
      </c>
      <c r="K41" s="15">
        <f t="shared" si="37"/>
        <v>1622855.9317026278</v>
      </c>
      <c r="L41" s="15">
        <f t="shared" si="37"/>
        <v>1777761.2537212314</v>
      </c>
      <c r="M41" s="15">
        <f t="shared" si="37"/>
        <v>1896023.1873379897</v>
      </c>
      <c r="N41" s="15">
        <f t="shared" si="37"/>
        <v>1963004.2061605325</v>
      </c>
      <c r="O41" s="15">
        <f t="shared" si="37"/>
        <v>1952472.0035126559</v>
      </c>
      <c r="P41" s="15">
        <f t="shared" si="37"/>
        <v>1859091.152471879</v>
      </c>
      <c r="Q41" s="15">
        <f t="shared" si="37"/>
        <v>1632078.1327348542</v>
      </c>
      <c r="R41" s="15">
        <f t="shared" si="37"/>
        <v>1427256.8438436794</v>
      </c>
      <c r="S41" s="15">
        <f t="shared" si="37"/>
        <v>1084448.3936013135</v>
      </c>
      <c r="T41" s="15">
        <f t="shared" si="37"/>
        <v>849882.49361672741</v>
      </c>
      <c r="U41" s="15">
        <f t="shared" si="37"/>
        <v>651566.31607040577</v>
      </c>
      <c r="V41" s="15">
        <f t="shared" si="37"/>
        <v>622960.47255740734</v>
      </c>
      <c r="W41" s="15">
        <f t="shared" si="37"/>
        <v>610306.85992128099</v>
      </c>
      <c r="X41" s="15">
        <f t="shared" si="37"/>
        <v>593292.98608222359</v>
      </c>
      <c r="Y41" s="15">
        <f t="shared" si="37"/>
        <v>567401.22564868268</v>
      </c>
      <c r="Z41" s="15">
        <f t="shared" si="37"/>
        <v>549540.84473186056</v>
      </c>
      <c r="AA41" s="15">
        <f t="shared" si="37"/>
        <v>456296.90672899352</v>
      </c>
    </row>
    <row r="43" spans="2:27" x14ac:dyDescent="0.2">
      <c r="B43" s="9" t="s">
        <v>41</v>
      </c>
    </row>
    <row r="44" spans="2:27" x14ac:dyDescent="0.2">
      <c r="B44" s="11"/>
      <c r="C44" s="12">
        <v>2026</v>
      </c>
      <c r="D44" s="12">
        <v>2027</v>
      </c>
      <c r="E44" s="12">
        <v>2028</v>
      </c>
      <c r="F44" s="12">
        <v>2029</v>
      </c>
      <c r="G44" s="12">
        <v>2030</v>
      </c>
      <c r="H44" s="12">
        <v>2031</v>
      </c>
      <c r="I44" s="12">
        <v>2032</v>
      </c>
      <c r="J44" s="12">
        <v>2033</v>
      </c>
      <c r="K44" s="12">
        <v>2034</v>
      </c>
      <c r="L44" s="12">
        <v>2035</v>
      </c>
      <c r="M44" s="12">
        <v>2036</v>
      </c>
      <c r="N44" s="12">
        <v>2037</v>
      </c>
      <c r="O44" s="12">
        <v>2038</v>
      </c>
      <c r="P44" s="12">
        <v>2039</v>
      </c>
      <c r="Q44" s="12">
        <v>2040</v>
      </c>
      <c r="R44" s="12">
        <v>2041</v>
      </c>
      <c r="S44" s="12">
        <v>2042</v>
      </c>
      <c r="T44" s="12">
        <v>2043</v>
      </c>
      <c r="U44" s="12">
        <v>2044</v>
      </c>
      <c r="V44" s="12">
        <v>2045</v>
      </c>
      <c r="W44" s="12">
        <v>2046</v>
      </c>
      <c r="X44" s="12">
        <v>2047</v>
      </c>
      <c r="Y44" s="12">
        <v>2048</v>
      </c>
      <c r="Z44" s="12">
        <v>2049</v>
      </c>
      <c r="AA44" s="12">
        <v>2050</v>
      </c>
    </row>
    <row r="45" spans="2:27" x14ac:dyDescent="0.2">
      <c r="B45" s="9" t="s">
        <v>28</v>
      </c>
      <c r="C45" s="18">
        <f>SUMIFS(Combined_Results[Achievable therm 2026], Combined_Results[[Rate Class]:[Rate Class]], $B45, Combined_Results[[Cost-Effective]:[Cost-Effective]], 1)</f>
        <v>85478.585831938108</v>
      </c>
      <c r="D45" s="18">
        <f>SUMIFS(Combined_Results[Achievable therm 2027], Combined_Results[[Rate Class]:[Rate Class]], $B45, Combined_Results[[Cost-Effective]:[Cost-Effective]], 1)</f>
        <v>121593.95649246135</v>
      </c>
      <c r="E45" s="18">
        <f>SUMIFS(Combined_Results[Achievable therm 2028], Combined_Results[[Rate Class]:[Rate Class]], $B45, Combined_Results[[Cost-Effective]:[Cost-Effective]], 1)</f>
        <v>174683.64110222686</v>
      </c>
      <c r="F45" s="18">
        <f>SUMIFS(Combined_Results[Achievable therm 2029], Combined_Results[[Rate Class]:[Rate Class]], $B45, Combined_Results[[Cost-Effective]:[Cost-Effective]], 1)</f>
        <v>238378.41389296774</v>
      </c>
      <c r="G45" s="18">
        <f>SUMIFS(Combined_Results[Achievable therm 2030], Combined_Results[[Rate Class]:[Rate Class]], $B45, Combined_Results[[Cost-Effective]:[Cost-Effective]], 1)</f>
        <v>316507.28550416464</v>
      </c>
      <c r="H45" s="18">
        <f>SUMIFS(Combined_Results[Achievable therm 2031], Combined_Results[[Rate Class]:[Rate Class]], $B45, Combined_Results[[Cost-Effective]:[Cost-Effective]], 1)</f>
        <v>408054.33089593973</v>
      </c>
      <c r="I45" s="18">
        <f>SUMIFS(Combined_Results[Achievable therm 2032], Combined_Results[[Rate Class]:[Rate Class]], $B45, Combined_Results[[Cost-Effective]:[Cost-Effective]], 1)</f>
        <v>509787.55626908661</v>
      </c>
      <c r="J45" s="18">
        <f>SUMIFS(Combined_Results[Achievable therm 2033], Combined_Results[[Rate Class]:[Rate Class]], $B45, Combined_Results[[Cost-Effective]:[Cost-Effective]], 1)</f>
        <v>616027.23278720246</v>
      </c>
      <c r="K45" s="18">
        <f>SUMIFS(Combined_Results[Achievable therm 2034], Combined_Results[[Rate Class]:[Rate Class]], $B45, Combined_Results[[Cost-Effective]:[Cost-Effective]], 1)</f>
        <v>718581.35931258637</v>
      </c>
      <c r="L45" s="18">
        <f>SUMIFS(Combined_Results[Achievable therm 2035], Combined_Results[[Rate Class]:[Rate Class]], $B45, Combined_Results[[Cost-Effective]:[Cost-Effective]], 1)</f>
        <v>807311.36632641219</v>
      </c>
      <c r="M45" s="18">
        <f>SUMIFS(Combined_Results[Achievable therm 2036], Combined_Results[[Rate Class]:[Rate Class]], $B45, Combined_Results[[Cost-Effective]:[Cost-Effective]], 1)</f>
        <v>871937.44360924594</v>
      </c>
      <c r="N45" s="18">
        <f>SUMIFS(Combined_Results[Achievable therm 2037], Combined_Results[[Rate Class]:[Rate Class]], $B45, Combined_Results[[Cost-Effective]:[Cost-Effective]], 1)</f>
        <v>903947.82805335254</v>
      </c>
      <c r="O45" s="18">
        <f>SUMIFS(Combined_Results[Achievable therm 2038], Combined_Results[[Rate Class]:[Rate Class]], $B45, Combined_Results[[Cost-Effective]:[Cost-Effective]], 1)</f>
        <v>899061.07126613427</v>
      </c>
      <c r="P45" s="18">
        <f>SUMIFS(Combined_Results[Achievable therm 2039], Combined_Results[[Rate Class]:[Rate Class]], $B45, Combined_Results[[Cost-Effective]:[Cost-Effective]], 1)</f>
        <v>861569.48535626603</v>
      </c>
      <c r="Q45" s="18">
        <f>SUMIFS(Combined_Results[Achievable therm 2040], Combined_Results[[Rate Class]:[Rate Class]], $B45, Combined_Results[[Cost-Effective]:[Cost-Effective]], 1)</f>
        <v>794214.36800645571</v>
      </c>
      <c r="R45" s="18">
        <f>SUMIFS(Combined_Results[Achievable therm 2041], Combined_Results[[Rate Class]:[Rate Class]], $B45, Combined_Results[[Cost-Effective]:[Cost-Effective]], 1)</f>
        <v>715226.15651233145</v>
      </c>
      <c r="S45" s="18">
        <f>SUMIFS(Combined_Results[Achievable therm 2042], Combined_Results[[Rate Class]:[Rate Class]], $B45, Combined_Results[[Cost-Effective]:[Cost-Effective]], 1)</f>
        <v>615026.97482588876</v>
      </c>
      <c r="T45" s="18">
        <f>SUMIFS(Combined_Results[Achievable therm 2043], Combined_Results[[Rate Class]:[Rate Class]], $B45, Combined_Results[[Cost-Effective]:[Cost-Effective]], 1)</f>
        <v>543538.26153868355</v>
      </c>
      <c r="U45" s="18">
        <f>SUMIFS(Combined_Results[Achievable therm 2044], Combined_Results[[Rate Class]:[Rate Class]], $B45, Combined_Results[[Cost-Effective]:[Cost-Effective]], 1)</f>
        <v>438040.02039835724</v>
      </c>
      <c r="V45" s="18">
        <f>SUMIFS(Combined_Results[Achievable therm 2045], Combined_Results[[Rate Class]:[Rate Class]], $B45, Combined_Results[[Cost-Effective]:[Cost-Effective]], 1)</f>
        <v>423939.88455586392</v>
      </c>
      <c r="W45" s="18">
        <f>SUMIFS(Combined_Results[Achievable therm 2046], Combined_Results[[Rate Class]:[Rate Class]], $B45, Combined_Results[[Cost-Effective]:[Cost-Effective]], 1)</f>
        <v>413145.84465255949</v>
      </c>
      <c r="X45" s="18">
        <f>SUMIFS(Combined_Results[Achievable therm 2047], Combined_Results[[Rate Class]:[Rate Class]], $B45, Combined_Results[[Cost-Effective]:[Cost-Effective]], 1)</f>
        <v>408496.11538071936</v>
      </c>
      <c r="Y45" s="18">
        <f>SUMIFS(Combined_Results[Achievable therm 2048], Combined_Results[[Rate Class]:[Rate Class]], $B45, Combined_Results[[Cost-Effective]:[Cost-Effective]], 1)</f>
        <v>403141.15385180945</v>
      </c>
      <c r="Z45" s="18">
        <f>SUMIFS(Combined_Results[Achievable therm 2049], Combined_Results[[Rate Class]:[Rate Class]], $B45, Combined_Results[[Cost-Effective]:[Cost-Effective]], 1)</f>
        <v>395218.3082862586</v>
      </c>
      <c r="AA45" s="18">
        <f>SUMIFS(Combined_Results[Achievable therm 2050], Combined_Results[[Rate Class]:[Rate Class]], $B45, Combined_Results[[Cost-Effective]:[Cost-Effective]], 1)</f>
        <v>341006.1880571795</v>
      </c>
    </row>
    <row r="46" spans="2:27" x14ac:dyDescent="0.2">
      <c r="B46" s="9" t="s">
        <v>31</v>
      </c>
      <c r="C46" s="18">
        <f>SUMIFS(Combined_Results[Achievable therm 2026], Combined_Results[[Rate Class]:[Rate Class]], $B46, Combined_Results[[Cost-Effective]:[Cost-Effective]], 1)</f>
        <v>147517.92691089166</v>
      </c>
      <c r="D46" s="18">
        <f>SUMIFS(Combined_Results[Achievable therm 2027], Combined_Results[[Rate Class]:[Rate Class]], $B46, Combined_Results[[Cost-Effective]:[Cost-Effective]], 1)</f>
        <v>154595.97125442149</v>
      </c>
      <c r="E46" s="18">
        <f>SUMIFS(Combined_Results[Achievable therm 2028], Combined_Results[[Rate Class]:[Rate Class]], $B46, Combined_Results[[Cost-Effective]:[Cost-Effective]], 1)</f>
        <v>172867.29935985283</v>
      </c>
      <c r="F46" s="18">
        <f>SUMIFS(Combined_Results[Achievable therm 2029], Combined_Results[[Rate Class]:[Rate Class]], $B46, Combined_Results[[Cost-Effective]:[Cost-Effective]], 1)</f>
        <v>200376.77335073627</v>
      </c>
      <c r="G46" s="18">
        <f>SUMIFS(Combined_Results[Achievable therm 2030], Combined_Results[[Rate Class]:[Rate Class]], $B46, Combined_Results[[Cost-Effective]:[Cost-Effective]], 1)</f>
        <v>230586.47919819551</v>
      </c>
      <c r="H46" s="18">
        <f>SUMIFS(Combined_Results[Achievable therm 2031], Combined_Results[[Rate Class]:[Rate Class]], $B46, Combined_Results[[Cost-Effective]:[Cost-Effective]], 1)</f>
        <v>263091.50594590191</v>
      </c>
      <c r="I46" s="18">
        <f>SUMIFS(Combined_Results[Achievable therm 2032], Combined_Results[[Rate Class]:[Rate Class]], $B46, Combined_Results[[Cost-Effective]:[Cost-Effective]], 1)</f>
        <v>288747.05095507798</v>
      </c>
      <c r="J46" s="18">
        <f>SUMIFS(Combined_Results[Achievable therm 2033], Combined_Results[[Rate Class]:[Rate Class]], $B46, Combined_Results[[Cost-Effective]:[Cost-Effective]], 1)</f>
        <v>305675.34162838728</v>
      </c>
      <c r="K46" s="18">
        <f>SUMIFS(Combined_Results[Achievable therm 2034], Combined_Results[[Rate Class]:[Rate Class]], $B46, Combined_Results[[Cost-Effective]:[Cost-Effective]], 1)</f>
        <v>304641.65481881821</v>
      </c>
      <c r="L46" s="18">
        <f>SUMIFS(Combined_Results[Achievable therm 2035], Combined_Results[[Rate Class]:[Rate Class]], $B46, Combined_Results[[Cost-Effective]:[Cost-Effective]], 1)</f>
        <v>289577.03243404912</v>
      </c>
      <c r="M46" s="18">
        <f>SUMIFS(Combined_Results[Achievable therm 2036], Combined_Results[[Rate Class]:[Rate Class]], $B46, Combined_Results[[Cost-Effective]:[Cost-Effective]], 1)</f>
        <v>285098.85735789232</v>
      </c>
      <c r="N46" s="18">
        <f>SUMIFS(Combined_Results[Achievable therm 2037], Combined_Results[[Rate Class]:[Rate Class]], $B46, Combined_Results[[Cost-Effective]:[Cost-Effective]], 1)</f>
        <v>299288.69945882837</v>
      </c>
      <c r="O46" s="18">
        <f>SUMIFS(Combined_Results[Achievable therm 2038], Combined_Results[[Rate Class]:[Rate Class]], $B46, Combined_Results[[Cost-Effective]:[Cost-Effective]], 1)</f>
        <v>309351.66619418847</v>
      </c>
      <c r="P46" s="18">
        <f>SUMIFS(Combined_Results[Achievable therm 2039], Combined_Results[[Rate Class]:[Rate Class]], $B46, Combined_Results[[Cost-Effective]:[Cost-Effective]], 1)</f>
        <v>307000.39167801337</v>
      </c>
      <c r="Q46" s="18">
        <f>SUMIFS(Combined_Results[Achievable therm 2040], Combined_Results[[Rate Class]:[Rate Class]], $B46, Combined_Results[[Cost-Effective]:[Cost-Effective]], 1)</f>
        <v>286027.02173351584</v>
      </c>
      <c r="R46" s="18">
        <f>SUMIFS(Combined_Results[Achievable therm 2041], Combined_Results[[Rate Class]:[Rate Class]], $B46, Combined_Results[[Cost-Effective]:[Cost-Effective]], 1)</f>
        <v>260366.40313888431</v>
      </c>
      <c r="S46" s="18">
        <f>SUMIFS(Combined_Results[Achievable therm 2042], Combined_Results[[Rate Class]:[Rate Class]], $B46, Combined_Results[[Cost-Effective]:[Cost-Effective]], 1)</f>
        <v>224427.67160062568</v>
      </c>
      <c r="T46" s="18">
        <f>SUMIFS(Combined_Results[Achievable therm 2043], Combined_Results[[Rate Class]:[Rate Class]], $B46, Combined_Results[[Cost-Effective]:[Cost-Effective]], 1)</f>
        <v>194043.1639463008</v>
      </c>
      <c r="U46" s="18">
        <f>SUMIFS(Combined_Results[Achievable therm 2044], Combined_Results[[Rate Class]:[Rate Class]], $B46, Combined_Results[[Cost-Effective]:[Cost-Effective]], 1)</f>
        <v>153578.43959908863</v>
      </c>
      <c r="V46" s="18">
        <f>SUMIFS(Combined_Results[Achievable therm 2045], Combined_Results[[Rate Class]:[Rate Class]], $B46, Combined_Results[[Cost-Effective]:[Cost-Effective]], 1)</f>
        <v>146691.48286977052</v>
      </c>
      <c r="W46" s="18">
        <f>SUMIFS(Combined_Results[Achievable therm 2046], Combined_Results[[Rate Class]:[Rate Class]], $B46, Combined_Results[[Cost-Effective]:[Cost-Effective]], 1)</f>
        <v>145224.83985347589</v>
      </c>
      <c r="X46" s="18">
        <f>SUMIFS(Combined_Results[Achievable therm 2047], Combined_Results[[Rate Class]:[Rate Class]], $B46, Combined_Results[[Cost-Effective]:[Cost-Effective]], 1)</f>
        <v>133288.58023598403</v>
      </c>
      <c r="Y46" s="18">
        <f>SUMIFS(Combined_Results[Achievable therm 2048], Combined_Results[[Rate Class]:[Rate Class]], $B46, Combined_Results[[Cost-Effective]:[Cost-Effective]], 1)</f>
        <v>113170.92401636747</v>
      </c>
      <c r="Z46" s="18">
        <f>SUMIFS(Combined_Results[Achievable therm 2049], Combined_Results[[Rate Class]:[Rate Class]], $B46, Combined_Results[[Cost-Effective]:[Cost-Effective]], 1)</f>
        <v>103638.86777271387</v>
      </c>
      <c r="AA46" s="18">
        <f>SUMIFS(Combined_Results[Achievable therm 2050], Combined_Results[[Rate Class]:[Rate Class]], $B46, Combined_Results[[Cost-Effective]:[Cost-Effective]], 1)</f>
        <v>65041.978583354437</v>
      </c>
    </row>
    <row r="47" spans="2:27" x14ac:dyDescent="0.2">
      <c r="B47" s="16" t="s">
        <v>39</v>
      </c>
      <c r="C47" s="17">
        <f>SUMIFS(Combined_Results[Achievable therm 2026], Combined_Results[[Rate Class]:[Rate Class]], $B46, Combined_Results[[Sales/Transport]:[Sales/Transport]], $B47, Combined_Results[[Cost-Effective]:[Cost-Effective]], 1)</f>
        <v>139739.56923689327</v>
      </c>
      <c r="D47" s="17">
        <f>SUMIFS(Combined_Results[Achievable therm 2027], Combined_Results[[Rate Class]:[Rate Class]], $B46, Combined_Results[[Sales/Transport]:[Sales/Transport]], $B47, Combined_Results[[Cost-Effective]:[Cost-Effective]], 1)</f>
        <v>145761.17624192109</v>
      </c>
      <c r="E47" s="17">
        <f>SUMIFS(Combined_Results[Achievable therm 2028], Combined_Results[[Rate Class]:[Rate Class]], $B46, Combined_Results[[Sales/Transport]:[Sales/Transport]], $B47, Combined_Results[[Cost-Effective]:[Cost-Effective]], 1)</f>
        <v>162659.38996243765</v>
      </c>
      <c r="F47" s="17">
        <f>SUMIFS(Combined_Results[Achievable therm 2029], Combined_Results[[Rate Class]:[Rate Class]], $B46, Combined_Results[[Sales/Transport]:[Sales/Transport]], $B47, Combined_Results[[Cost-Effective]:[Cost-Effective]], 1)</f>
        <v>188337.62205267895</v>
      </c>
      <c r="G47" s="17">
        <f>SUMIFS(Combined_Results[Achievable therm 2030], Combined_Results[[Rate Class]:[Rate Class]], $B46, Combined_Results[[Sales/Transport]:[Sales/Transport]], $B47, Combined_Results[[Cost-Effective]:[Cost-Effective]], 1)</f>
        <v>216788.7538060105</v>
      </c>
      <c r="H47" s="17">
        <f>SUMIFS(Combined_Results[Achievable therm 2031], Combined_Results[[Rate Class]:[Rate Class]], $B46, Combined_Results[[Sales/Transport]:[Sales/Transport]], $B47, Combined_Results[[Cost-Effective]:[Cost-Effective]], 1)</f>
        <v>247908.63330906647</v>
      </c>
      <c r="I47" s="17">
        <f>SUMIFS(Combined_Results[Achievable therm 2032], Combined_Results[[Rate Class]:[Rate Class]], $B46, Combined_Results[[Sales/Transport]:[Sales/Transport]], $B47, Combined_Results[[Cost-Effective]:[Cost-Effective]], 1)</f>
        <v>272872.35318115418</v>
      </c>
      <c r="J47" s="17">
        <f>SUMIFS(Combined_Results[Achievable therm 2033], Combined_Results[[Rate Class]:[Rate Class]], $B46, Combined_Results[[Sales/Transport]:[Sales/Transport]], $B47, Combined_Results[[Cost-Effective]:[Cost-Effective]], 1)</f>
        <v>289834.46560675569</v>
      </c>
      <c r="K47" s="17">
        <f>SUMIFS(Combined_Results[Achievable therm 2034], Combined_Results[[Rate Class]:[Rate Class]], $B46, Combined_Results[[Sales/Transport]:[Sales/Transport]], $B47, Combined_Results[[Cost-Effective]:[Cost-Effective]], 1)</f>
        <v>289412.53258872876</v>
      </c>
      <c r="L47" s="17">
        <f>SUMIFS(Combined_Results[Achievable therm 2035], Combined_Results[[Rate Class]:[Rate Class]], $B46, Combined_Results[[Sales/Transport]:[Sales/Transport]], $B47, Combined_Results[[Cost-Effective]:[Cost-Effective]], 1)</f>
        <v>277637.29810678103</v>
      </c>
      <c r="M47" s="17">
        <f>SUMIFS(Combined_Results[Achievable therm 2036], Combined_Results[[Rate Class]:[Rate Class]], $B46, Combined_Results[[Sales/Transport]:[Sales/Transport]], $B47, Combined_Results[[Cost-Effective]:[Cost-Effective]], 1)</f>
        <v>274288.58418797189</v>
      </c>
      <c r="N47" s="17">
        <f>SUMIFS(Combined_Results[Achievable therm 2037], Combined_Results[[Rate Class]:[Rate Class]], $B46, Combined_Results[[Sales/Transport]:[Sales/Transport]], $B47, Combined_Results[[Cost-Effective]:[Cost-Effective]], 1)</f>
        <v>288040.63951220829</v>
      </c>
      <c r="O47" s="17">
        <f>SUMIFS(Combined_Results[Achievable therm 2038], Combined_Results[[Rate Class]:[Rate Class]], $B46, Combined_Results[[Sales/Transport]:[Sales/Transport]], $B47, Combined_Results[[Cost-Effective]:[Cost-Effective]], 1)</f>
        <v>297888.63368591608</v>
      </c>
      <c r="P47" s="17">
        <f>SUMIFS(Combined_Results[Achievable therm 2039], Combined_Results[[Rate Class]:[Rate Class]], $B46, Combined_Results[[Sales/Transport]:[Sales/Transport]], $B47, Combined_Results[[Cost-Effective]:[Cost-Effective]], 1)</f>
        <v>295746.0713518447</v>
      </c>
      <c r="Q47" s="17">
        <f>SUMIFS(Combined_Results[Achievable therm 2040], Combined_Results[[Rate Class]:[Rate Class]], $B46, Combined_Results[[Sales/Transport]:[Sales/Transport]], $B47, Combined_Results[[Cost-Effective]:[Cost-Effective]], 1)</f>
        <v>275346.59365188977</v>
      </c>
      <c r="R47" s="17">
        <f>SUMIFS(Combined_Results[Achievable therm 2041], Combined_Results[[Rate Class]:[Rate Class]], $B46, Combined_Results[[Sales/Transport]:[Sales/Transport]], $B47, Combined_Results[[Cost-Effective]:[Cost-Effective]], 1)</f>
        <v>251162.7242647981</v>
      </c>
      <c r="S47" s="17">
        <f>SUMIFS(Combined_Results[Achievable therm 2042], Combined_Results[[Rate Class]:[Rate Class]], $B46, Combined_Results[[Sales/Transport]:[Sales/Transport]], $B47, Combined_Results[[Cost-Effective]:[Cost-Effective]], 1)</f>
        <v>215787.8463605768</v>
      </c>
      <c r="T47" s="17">
        <f>SUMIFS(Combined_Results[Achievable therm 2043], Combined_Results[[Rate Class]:[Rate Class]], $B46, Combined_Results[[Sales/Transport]:[Sales/Transport]], $B47, Combined_Results[[Cost-Effective]:[Cost-Effective]], 1)</f>
        <v>186337.89302198723</v>
      </c>
      <c r="U47" s="17">
        <f>SUMIFS(Combined_Results[Achievable therm 2044], Combined_Results[[Rate Class]:[Rate Class]], $B46, Combined_Results[[Sales/Transport]:[Sales/Transport]], $B47, Combined_Results[[Cost-Effective]:[Cost-Effective]], 1)</f>
        <v>147145.1741808283</v>
      </c>
      <c r="V47" s="17">
        <f>SUMIFS(Combined_Results[Achievable therm 2045], Combined_Results[[Rate Class]:[Rate Class]], $B46, Combined_Results[[Sales/Transport]:[Sales/Transport]], $B47, Combined_Results[[Cost-Effective]:[Cost-Effective]], 1)</f>
        <v>140602.5840509492</v>
      </c>
      <c r="W47" s="17">
        <f>SUMIFS(Combined_Results[Achievable therm 2046], Combined_Results[[Rate Class]:[Rate Class]], $B46, Combined_Results[[Sales/Transport]:[Sales/Transport]], $B47, Combined_Results[[Cost-Effective]:[Cost-Effective]], 1)</f>
        <v>139144.67641158195</v>
      </c>
      <c r="X47" s="17">
        <f>SUMIFS(Combined_Results[Achievable therm 2047], Combined_Results[[Rate Class]:[Rate Class]], $B46, Combined_Results[[Sales/Transport]:[Sales/Transport]], $B47, Combined_Results[[Cost-Effective]:[Cost-Effective]], 1)</f>
        <v>127635.38429410679</v>
      </c>
      <c r="Y47" s="17">
        <f>SUMIFS(Combined_Results[Achievable therm 2048], Combined_Results[[Rate Class]:[Rate Class]], $B46, Combined_Results[[Sales/Transport]:[Sales/Transport]], $B47, Combined_Results[[Cost-Effective]:[Cost-Effective]], 1)</f>
        <v>107887.49925868641</v>
      </c>
      <c r="Z47" s="17">
        <f>SUMIFS(Combined_Results[Achievable therm 2049], Combined_Results[[Rate Class]:[Rate Class]], $B46, Combined_Results[[Sales/Transport]:[Sales/Transport]], $B47, Combined_Results[[Cost-Effective]:[Cost-Effective]], 1)</f>
        <v>98840.047055164061</v>
      </c>
      <c r="AA47" s="17">
        <f>SUMIFS(Combined_Results[Achievable therm 2050], Combined_Results[[Rate Class]:[Rate Class]], $B46, Combined_Results[[Sales/Transport]:[Sales/Transport]], $B47, Combined_Results[[Cost-Effective]:[Cost-Effective]], 1)</f>
        <v>61824.040509365434</v>
      </c>
    </row>
    <row r="48" spans="2:27" x14ac:dyDescent="0.2">
      <c r="B48" s="16" t="s">
        <v>40</v>
      </c>
      <c r="C48" s="17">
        <f>SUMIFS(Combined_Results[Achievable therm 2026], Combined_Results[[Rate Class]:[Rate Class]], $B46, Combined_Results[[Sales/Transport]:[Sales/Transport]], $B48, Combined_Results[[Cost-Effective]:[Cost-Effective]], 1)</f>
        <v>7778.3576739984364</v>
      </c>
      <c r="D48" s="17">
        <f>SUMIFS(Combined_Results[Achievable therm 2027], Combined_Results[[Rate Class]:[Rate Class]], $B46, Combined_Results[[Sales/Transport]:[Sales/Transport]], $B48, Combined_Results[[Cost-Effective]:[Cost-Effective]], 1)</f>
        <v>8834.7950125003681</v>
      </c>
      <c r="E48" s="17">
        <f>SUMIFS(Combined_Results[Achievable therm 2028], Combined_Results[[Rate Class]:[Rate Class]], $B46, Combined_Results[[Sales/Transport]:[Sales/Transport]], $B48, Combined_Results[[Cost-Effective]:[Cost-Effective]], 1)</f>
        <v>10207.909397415191</v>
      </c>
      <c r="F48" s="17">
        <f>SUMIFS(Combined_Results[Achievable therm 2029], Combined_Results[[Rate Class]:[Rate Class]], $B46, Combined_Results[[Sales/Transport]:[Sales/Transport]], $B48, Combined_Results[[Cost-Effective]:[Cost-Effective]], 1)</f>
        <v>12039.151298057306</v>
      </c>
      <c r="G48" s="17">
        <f>SUMIFS(Combined_Results[Achievable therm 2030], Combined_Results[[Rate Class]:[Rate Class]], $B46, Combined_Results[[Sales/Transport]:[Sales/Transport]], $B48, Combined_Results[[Cost-Effective]:[Cost-Effective]], 1)</f>
        <v>13797.725392185142</v>
      </c>
      <c r="H48" s="17">
        <f>SUMIFS(Combined_Results[Achievable therm 2031], Combined_Results[[Rate Class]:[Rate Class]], $B46, Combined_Results[[Sales/Transport]:[Sales/Transport]], $B48, Combined_Results[[Cost-Effective]:[Cost-Effective]], 1)</f>
        <v>15182.872636835371</v>
      </c>
      <c r="I48" s="17">
        <f>SUMIFS(Combined_Results[Achievable therm 2032], Combined_Results[[Rate Class]:[Rate Class]], $B46, Combined_Results[[Sales/Transport]:[Sales/Transport]], $B48, Combined_Results[[Cost-Effective]:[Cost-Effective]], 1)</f>
        <v>15874.697773923657</v>
      </c>
      <c r="J48" s="17">
        <f>SUMIFS(Combined_Results[Achievable therm 2033], Combined_Results[[Rate Class]:[Rate Class]], $B46, Combined_Results[[Sales/Transport]:[Sales/Transport]], $B48, Combined_Results[[Cost-Effective]:[Cost-Effective]], 1)</f>
        <v>15840.876021631464</v>
      </c>
      <c r="K48" s="17">
        <f>SUMIFS(Combined_Results[Achievable therm 2034], Combined_Results[[Rate Class]:[Rate Class]], $B46, Combined_Results[[Sales/Transport]:[Sales/Transport]], $B48, Combined_Results[[Cost-Effective]:[Cost-Effective]], 1)</f>
        <v>15229.122230089415</v>
      </c>
      <c r="L48" s="17">
        <f>SUMIFS(Combined_Results[Achievable therm 2035], Combined_Results[[Rate Class]:[Rate Class]], $B46, Combined_Results[[Sales/Transport]:[Sales/Transport]], $B48, Combined_Results[[Cost-Effective]:[Cost-Effective]], 1)</f>
        <v>11939.734327267926</v>
      </c>
      <c r="M48" s="17">
        <f>SUMIFS(Combined_Results[Achievable therm 2036], Combined_Results[[Rate Class]:[Rate Class]], $B46, Combined_Results[[Sales/Transport]:[Sales/Transport]], $B48, Combined_Results[[Cost-Effective]:[Cost-Effective]], 1)</f>
        <v>10810.273169920283</v>
      </c>
      <c r="N48" s="17">
        <f>SUMIFS(Combined_Results[Achievable therm 2037], Combined_Results[[Rate Class]:[Rate Class]], $B46, Combined_Results[[Sales/Transport]:[Sales/Transport]], $B48, Combined_Results[[Cost-Effective]:[Cost-Effective]], 1)</f>
        <v>11248.059946620086</v>
      </c>
      <c r="O48" s="17">
        <f>SUMIFS(Combined_Results[Achievable therm 2038], Combined_Results[[Rate Class]:[Rate Class]], $B46, Combined_Results[[Sales/Transport]:[Sales/Transport]], $B48, Combined_Results[[Cost-Effective]:[Cost-Effective]], 1)</f>
        <v>11463.032508272379</v>
      </c>
      <c r="P48" s="17">
        <f>SUMIFS(Combined_Results[Achievable therm 2039], Combined_Results[[Rate Class]:[Rate Class]], $B46, Combined_Results[[Sales/Transport]:[Sales/Transport]], $B48, Combined_Results[[Cost-Effective]:[Cost-Effective]], 1)</f>
        <v>11254.320326168621</v>
      </c>
      <c r="Q48" s="17">
        <f>SUMIFS(Combined_Results[Achievable therm 2040], Combined_Results[[Rate Class]:[Rate Class]], $B46, Combined_Results[[Sales/Transport]:[Sales/Transport]], $B48, Combined_Results[[Cost-Effective]:[Cost-Effective]], 1)</f>
        <v>10680.428081625991</v>
      </c>
      <c r="R48" s="17">
        <f>SUMIFS(Combined_Results[Achievable therm 2041], Combined_Results[[Rate Class]:[Rate Class]], $B46, Combined_Results[[Sales/Transport]:[Sales/Transport]], $B48, Combined_Results[[Cost-Effective]:[Cost-Effective]], 1)</f>
        <v>9203.6788740862339</v>
      </c>
      <c r="S48" s="17">
        <f>SUMIFS(Combined_Results[Achievable therm 2042], Combined_Results[[Rate Class]:[Rate Class]], $B46, Combined_Results[[Sales/Transport]:[Sales/Transport]], $B48, Combined_Results[[Cost-Effective]:[Cost-Effective]], 1)</f>
        <v>8639.8252400489419</v>
      </c>
      <c r="T48" s="17">
        <f>SUMIFS(Combined_Results[Achievable therm 2043], Combined_Results[[Rate Class]:[Rate Class]], $B46, Combined_Results[[Sales/Transport]:[Sales/Transport]], $B48, Combined_Results[[Cost-Effective]:[Cost-Effective]], 1)</f>
        <v>7705.2709243136178</v>
      </c>
      <c r="U48" s="17">
        <f>SUMIFS(Combined_Results[Achievable therm 2044], Combined_Results[[Rate Class]:[Rate Class]], $B46, Combined_Results[[Sales/Transport]:[Sales/Transport]], $B48, Combined_Results[[Cost-Effective]:[Cost-Effective]], 1)</f>
        <v>6433.2654182602855</v>
      </c>
      <c r="V48" s="17">
        <f>SUMIFS(Combined_Results[Achievable therm 2045], Combined_Results[[Rate Class]:[Rate Class]], $B46, Combined_Results[[Sales/Transport]:[Sales/Transport]], $B48, Combined_Results[[Cost-Effective]:[Cost-Effective]], 1)</f>
        <v>6088.8988188212843</v>
      </c>
      <c r="W48" s="17">
        <f>SUMIFS(Combined_Results[Achievable therm 2046], Combined_Results[[Rate Class]:[Rate Class]], $B46, Combined_Results[[Sales/Transport]:[Sales/Transport]], $B48, Combined_Results[[Cost-Effective]:[Cost-Effective]], 1)</f>
        <v>6080.163441893942</v>
      </c>
      <c r="X48" s="17">
        <f>SUMIFS(Combined_Results[Achievable therm 2047], Combined_Results[[Rate Class]:[Rate Class]], $B46, Combined_Results[[Sales/Transport]:[Sales/Transport]], $B48, Combined_Results[[Cost-Effective]:[Cost-Effective]], 1)</f>
        <v>5653.1959418772676</v>
      </c>
      <c r="Y48" s="17">
        <f>SUMIFS(Combined_Results[Achievable therm 2048], Combined_Results[[Rate Class]:[Rate Class]], $B46, Combined_Results[[Sales/Transport]:[Sales/Transport]], $B48, Combined_Results[[Cost-Effective]:[Cost-Effective]], 1)</f>
        <v>5283.4247576810185</v>
      </c>
      <c r="Z48" s="17">
        <f>SUMIFS(Combined_Results[Achievable therm 2049], Combined_Results[[Rate Class]:[Rate Class]], $B46, Combined_Results[[Sales/Transport]:[Sales/Transport]], $B48, Combined_Results[[Cost-Effective]:[Cost-Effective]], 1)</f>
        <v>4798.8207175498928</v>
      </c>
      <c r="AA48" s="17">
        <f>SUMIFS(Combined_Results[Achievable therm 2050], Combined_Results[[Rate Class]:[Rate Class]], $B46, Combined_Results[[Sales/Transport]:[Sales/Transport]], $B48, Combined_Results[[Cost-Effective]:[Cost-Effective]], 1)</f>
        <v>3217.9380739890034</v>
      </c>
    </row>
    <row r="49" spans="2:27" x14ac:dyDescent="0.2">
      <c r="B49" s="9" t="s">
        <v>33</v>
      </c>
      <c r="C49" s="18">
        <f>SUMIFS(Combined_Results[Achievable therm 2026], Combined_Results[[Rate Class]:[Rate Class]], $B49, Combined_Results[[Cost-Effective]:[Cost-Effective]], 1)</f>
        <v>22194.087762190527</v>
      </c>
      <c r="D49" s="18">
        <f>SUMIFS(Combined_Results[Achievable therm 2027], Combined_Results[[Rate Class]:[Rate Class]], $B49, Combined_Results[[Cost-Effective]:[Cost-Effective]], 1)</f>
        <v>40055.305163940466</v>
      </c>
      <c r="E49" s="18">
        <f>SUMIFS(Combined_Results[Achievable therm 2028], Combined_Results[[Rate Class]:[Rate Class]], $B49, Combined_Results[[Cost-Effective]:[Cost-Effective]], 1)</f>
        <v>66460.993159442922</v>
      </c>
      <c r="F49" s="18">
        <f>SUMIFS(Combined_Results[Achievable therm 2029], Combined_Results[[Rate Class]:[Rate Class]], $B49, Combined_Results[[Cost-Effective]:[Cost-Effective]], 1)</f>
        <v>102404.65244942998</v>
      </c>
      <c r="G49" s="18">
        <f>SUMIFS(Combined_Results[Achievable therm 2030], Combined_Results[[Rate Class]:[Rate Class]], $B49, Combined_Results[[Cost-Effective]:[Cost-Effective]], 1)</f>
        <v>148689.45443870485</v>
      </c>
      <c r="H49" s="18">
        <f>SUMIFS(Combined_Results[Achievable therm 2031], Combined_Results[[Rate Class]:[Rate Class]], $B49, Combined_Results[[Cost-Effective]:[Cost-Effective]], 1)</f>
        <v>204944.04253605125</v>
      </c>
      <c r="I49" s="18">
        <f>SUMIFS(Combined_Results[Achievable therm 2032], Combined_Results[[Rate Class]:[Rate Class]], $B49, Combined_Results[[Cost-Effective]:[Cost-Effective]], 1)</f>
        <v>269287.18248506566</v>
      </c>
      <c r="J49" s="18">
        <f>SUMIFS(Combined_Results[Achievable therm 2033], Combined_Results[[Rate Class]:[Rate Class]], $B49, Combined_Results[[Cost-Effective]:[Cost-Effective]], 1)</f>
        <v>337994.5008429205</v>
      </c>
      <c r="K49" s="18">
        <f>SUMIFS(Combined_Results[Achievable therm 2034], Combined_Results[[Rate Class]:[Rate Class]], $B49, Combined_Results[[Cost-Effective]:[Cost-Effective]], 1)</f>
        <v>405376.99630703393</v>
      </c>
      <c r="L49" s="18">
        <f>SUMIFS(Combined_Results[Achievable therm 2035], Combined_Results[[Rate Class]:[Rate Class]], $B49, Combined_Results[[Cost-Effective]:[Cost-Effective]], 1)</f>
        <v>464099.05376801215</v>
      </c>
      <c r="M49" s="18">
        <f>SUMIFS(Combined_Results[Achievable therm 2036], Combined_Results[[Rate Class]:[Rate Class]], $B49, Combined_Results[[Cost-Effective]:[Cost-Effective]], 1)</f>
        <v>506109.42525561206</v>
      </c>
      <c r="N49" s="18">
        <f>SUMIFS(Combined_Results[Achievable therm 2037], Combined_Results[[Rate Class]:[Rate Class]], $B49, Combined_Results[[Cost-Effective]:[Cost-Effective]], 1)</f>
        <v>524189.99278236565</v>
      </c>
      <c r="O49" s="18">
        <f>SUMIFS(Combined_Results[Achievable therm 2038], Combined_Results[[Rate Class]:[Rate Class]], $B49, Combined_Results[[Cost-Effective]:[Cost-Effective]], 1)</f>
        <v>513730.32927892462</v>
      </c>
      <c r="P49" s="18">
        <f>SUMIFS(Combined_Results[Achievable therm 2039], Combined_Results[[Rate Class]:[Rate Class]], $B49, Combined_Results[[Cost-Effective]:[Cost-Effective]], 1)</f>
        <v>475600.83139094402</v>
      </c>
      <c r="Q49" s="18">
        <f>SUMIFS(Combined_Results[Achievable therm 2040], Combined_Results[[Rate Class]:[Rate Class]], $B49, Combined_Results[[Cost-Effective]:[Cost-Effective]], 1)</f>
        <v>372982.75513406208</v>
      </c>
      <c r="R49" s="18">
        <f>SUMIFS(Combined_Results[Achievable therm 2041], Combined_Results[[Rate Class]:[Rate Class]], $B49, Combined_Results[[Cost-Effective]:[Cost-Effective]], 1)</f>
        <v>303817.92441623338</v>
      </c>
      <c r="S49" s="18">
        <f>SUMIFS(Combined_Results[Achievable therm 2042], Combined_Results[[Rate Class]:[Rate Class]], $B49, Combined_Results[[Cost-Effective]:[Cost-Effective]], 1)</f>
        <v>134367.77265177673</v>
      </c>
      <c r="T49" s="18">
        <f>SUMIFS(Combined_Results[Achievable therm 2043], Combined_Results[[Rate Class]:[Rate Class]], $B49, Combined_Results[[Cost-Effective]:[Cost-Effective]], 1)</f>
        <v>38474.985509118749</v>
      </c>
      <c r="U49" s="18">
        <f>SUMIFS(Combined_Results[Achievable therm 2044], Combined_Results[[Rate Class]:[Rate Class]], $B49, Combined_Results[[Cost-Effective]:[Cost-Effective]], 1)</f>
        <v>38536.160846234183</v>
      </c>
      <c r="V49" s="18">
        <f>SUMIFS(Combined_Results[Achievable therm 2045], Combined_Results[[Rate Class]:[Rate Class]], $B49, Combined_Results[[Cost-Effective]:[Cost-Effective]], 1)</f>
        <v>38466.862009564262</v>
      </c>
      <c r="W49" s="18">
        <f>SUMIFS(Combined_Results[Achievable therm 2046], Combined_Results[[Rate Class]:[Rate Class]], $B49, Combined_Results[[Cost-Effective]:[Cost-Effective]], 1)</f>
        <v>38227.519204111901</v>
      </c>
      <c r="X49" s="18">
        <f>SUMIFS(Combined_Results[Achievable therm 2047], Combined_Results[[Rate Class]:[Rate Class]], $B49, Combined_Results[[Cost-Effective]:[Cost-Effective]], 1)</f>
        <v>37923.831707113612</v>
      </c>
      <c r="Y49" s="18">
        <f>SUMIFS(Combined_Results[Achievable therm 2048], Combined_Results[[Rate Class]:[Rate Class]], $B49, Combined_Results[[Cost-Effective]:[Cost-Effective]], 1)</f>
        <v>37621.79337654281</v>
      </c>
      <c r="Z49" s="18">
        <f>SUMIFS(Combined_Results[Achievable therm 2049], Combined_Results[[Rate Class]:[Rate Class]], $B49, Combined_Results[[Cost-Effective]:[Cost-Effective]], 1)</f>
        <v>37327.976198104596</v>
      </c>
      <c r="AA49" s="18">
        <f>SUMIFS(Combined_Results[Achievable therm 2050], Combined_Results[[Rate Class]:[Rate Class]], $B49, Combined_Results[[Cost-Effective]:[Cost-Effective]], 1)</f>
        <v>37000.544799374795</v>
      </c>
    </row>
    <row r="50" spans="2:27" x14ac:dyDescent="0.2">
      <c r="B50" s="16" t="s">
        <v>39</v>
      </c>
      <c r="C50" s="17">
        <f>SUMIFS(Combined_Results[Achievable therm 2026], Combined_Results[[Rate Class]:[Rate Class]], $B49, Combined_Results[[Sales/Transport]:[Sales/Transport]], $B50, Combined_Results[[Cost-Effective]:[Cost-Effective]], 1)</f>
        <v>3680.4777841846394</v>
      </c>
      <c r="D50" s="17">
        <f>SUMIFS(Combined_Results[Achievable therm 2027], Combined_Results[[Rate Class]:[Rate Class]], $B49, Combined_Results[[Sales/Transport]:[Sales/Transport]], $B50, Combined_Results[[Cost-Effective]:[Cost-Effective]], 1)</f>
        <v>6545.5844151014717</v>
      </c>
      <c r="E50" s="17">
        <f>SUMIFS(Combined_Results[Achievable therm 2028], Combined_Results[[Rate Class]:[Rate Class]], $B49, Combined_Results[[Sales/Transport]:[Sales/Transport]], $B50, Combined_Results[[Cost-Effective]:[Cost-Effective]], 1)</f>
        <v>10782.587952354972</v>
      </c>
      <c r="F50" s="17">
        <f>SUMIFS(Combined_Results[Achievable therm 2029], Combined_Results[[Rate Class]:[Rate Class]], $B49, Combined_Results[[Sales/Transport]:[Sales/Transport]], $B50, Combined_Results[[Cost-Effective]:[Cost-Effective]], 1)</f>
        <v>16536.862751067649</v>
      </c>
      <c r="G50" s="17">
        <f>SUMIFS(Combined_Results[Achievable therm 2030], Combined_Results[[Rate Class]:[Rate Class]], $B49, Combined_Results[[Sales/Transport]:[Sales/Transport]], $B50, Combined_Results[[Cost-Effective]:[Cost-Effective]], 1)</f>
        <v>23929.937211588782</v>
      </c>
      <c r="H50" s="17">
        <f>SUMIFS(Combined_Results[Achievable therm 2031], Combined_Results[[Rate Class]:[Rate Class]], $B49, Combined_Results[[Sales/Transport]:[Sales/Transport]], $B50, Combined_Results[[Cost-Effective]:[Cost-Effective]], 1)</f>
        <v>32900.817262512704</v>
      </c>
      <c r="I50" s="17">
        <f>SUMIFS(Combined_Results[Achievable therm 2032], Combined_Results[[Rate Class]:[Rate Class]], $B49, Combined_Results[[Sales/Transport]:[Sales/Transport]], $B50, Combined_Results[[Cost-Effective]:[Cost-Effective]], 1)</f>
        <v>43135.227992273874</v>
      </c>
      <c r="J50" s="17">
        <f>SUMIFS(Combined_Results[Achievable therm 2033], Combined_Results[[Rate Class]:[Rate Class]], $B49, Combined_Results[[Sales/Transport]:[Sales/Transport]], $B50, Combined_Results[[Cost-Effective]:[Cost-Effective]], 1)</f>
        <v>54034.259580340171</v>
      </c>
      <c r="K50" s="17">
        <f>SUMIFS(Combined_Results[Achievable therm 2034], Combined_Results[[Rate Class]:[Rate Class]], $B49, Combined_Results[[Sales/Transport]:[Sales/Transport]], $B50, Combined_Results[[Cost-Effective]:[Cost-Effective]], 1)</f>
        <v>64690.336861143624</v>
      </c>
      <c r="L50" s="17">
        <f>SUMIFS(Combined_Results[Achievable therm 2035], Combined_Results[[Rate Class]:[Rate Class]], $B49, Combined_Results[[Sales/Transport]:[Sales/Transport]], $B50, Combined_Results[[Cost-Effective]:[Cost-Effective]], 1)</f>
        <v>73934.175212092407</v>
      </c>
      <c r="M50" s="17">
        <f>SUMIFS(Combined_Results[Achievable therm 2036], Combined_Results[[Rate Class]:[Rate Class]], $B49, Combined_Results[[Sales/Transport]:[Sales/Transport]], $B50, Combined_Results[[Cost-Effective]:[Cost-Effective]], 1)</f>
        <v>80494.920365287442</v>
      </c>
      <c r="N50" s="17">
        <f>SUMIFS(Combined_Results[Achievable therm 2037], Combined_Results[[Rate Class]:[Rate Class]], $B49, Combined_Results[[Sales/Transport]:[Sales/Transport]], $B50, Combined_Results[[Cost-Effective]:[Cost-Effective]], 1)</f>
        <v>83270.654016281143</v>
      </c>
      <c r="O50" s="17">
        <f>SUMIFS(Combined_Results[Achievable therm 2038], Combined_Results[[Rate Class]:[Rate Class]], $B49, Combined_Results[[Sales/Transport]:[Sales/Transport]], $B50, Combined_Results[[Cost-Effective]:[Cost-Effective]], 1)</f>
        <v>81525.420185144845</v>
      </c>
      <c r="P50" s="17">
        <f>SUMIFS(Combined_Results[Achievable therm 2039], Combined_Results[[Rate Class]:[Rate Class]], $B49, Combined_Results[[Sales/Transport]:[Sales/Transport]], $B50, Combined_Results[[Cost-Effective]:[Cost-Effective]], 1)</f>
        <v>75431.674379401025</v>
      </c>
      <c r="Q50" s="17">
        <f>SUMIFS(Combined_Results[Achievable therm 2040], Combined_Results[[Rate Class]:[Rate Class]], $B49, Combined_Results[[Sales/Transport]:[Sales/Transport]], $B50, Combined_Results[[Cost-Effective]:[Cost-Effective]], 1)</f>
        <v>58675.545450609941</v>
      </c>
      <c r="R50" s="17">
        <f>SUMIFS(Combined_Results[Achievable therm 2041], Combined_Results[[Rate Class]:[Rate Class]], $B49, Combined_Results[[Sales/Transport]:[Sales/Transport]], $B50, Combined_Results[[Cost-Effective]:[Cost-Effective]], 1)</f>
        <v>47823.682627630653</v>
      </c>
      <c r="S50" s="17">
        <f>SUMIFS(Combined_Results[Achievable therm 2042], Combined_Results[[Rate Class]:[Rate Class]], $B49, Combined_Results[[Sales/Transport]:[Sales/Transport]], $B50, Combined_Results[[Cost-Effective]:[Cost-Effective]], 1)</f>
        <v>21385.525585725271</v>
      </c>
      <c r="T50" s="17">
        <f>SUMIFS(Combined_Results[Achievable therm 2043], Combined_Results[[Rate Class]:[Rate Class]], $B49, Combined_Results[[Sales/Transport]:[Sales/Transport]], $B50, Combined_Results[[Cost-Effective]:[Cost-Effective]], 1)</f>
        <v>6623.4758081359705</v>
      </c>
      <c r="U50" s="17">
        <f>SUMIFS(Combined_Results[Achievable therm 2044], Combined_Results[[Rate Class]:[Rate Class]], $B49, Combined_Results[[Sales/Transport]:[Sales/Transport]], $B50, Combined_Results[[Cost-Effective]:[Cost-Effective]], 1)</f>
        <v>6613.1674590414896</v>
      </c>
      <c r="V50" s="17">
        <f>SUMIFS(Combined_Results[Achievable therm 2045], Combined_Results[[Rate Class]:[Rate Class]], $B49, Combined_Results[[Sales/Transport]:[Sales/Transport]], $B50, Combined_Results[[Cost-Effective]:[Cost-Effective]], 1)</f>
        <v>6603.021978319779</v>
      </c>
      <c r="W50" s="17">
        <f>SUMIFS(Combined_Results[Achievable therm 2046], Combined_Results[[Rate Class]:[Rate Class]], $B49, Combined_Results[[Sales/Transport]:[Sales/Transport]], $B50, Combined_Results[[Cost-Effective]:[Cost-Effective]], 1)</f>
        <v>6562.9321850801271</v>
      </c>
      <c r="X50" s="17">
        <f>SUMIFS(Combined_Results[Achievable therm 2047], Combined_Results[[Rate Class]:[Rate Class]], $B49, Combined_Results[[Sales/Transport]:[Sales/Transport]], $B50, Combined_Results[[Cost-Effective]:[Cost-Effective]], 1)</f>
        <v>6503.3333124874271</v>
      </c>
      <c r="Y50" s="17">
        <f>SUMIFS(Combined_Results[Achievable therm 2048], Combined_Results[[Rate Class]:[Rate Class]], $B49, Combined_Results[[Sales/Transport]:[Sales/Transport]], $B50, Combined_Results[[Cost-Effective]:[Cost-Effective]], 1)</f>
        <v>6443.5020325461637</v>
      </c>
      <c r="Z50" s="17">
        <f>SUMIFS(Combined_Results[Achievable therm 2049], Combined_Results[[Rate Class]:[Rate Class]], $B49, Combined_Results[[Sales/Transport]:[Sales/Transport]], $B50, Combined_Results[[Cost-Effective]:[Cost-Effective]], 1)</f>
        <v>6390.0248352009867</v>
      </c>
      <c r="AA50" s="17">
        <f>SUMIFS(Combined_Results[Achievable therm 2050], Combined_Results[[Rate Class]:[Rate Class]], $B49, Combined_Results[[Sales/Transport]:[Sales/Transport]], $B50, Combined_Results[[Cost-Effective]:[Cost-Effective]], 1)</f>
        <v>6301.080740460312</v>
      </c>
    </row>
    <row r="51" spans="2:27" x14ac:dyDescent="0.2">
      <c r="B51" s="16" t="s">
        <v>40</v>
      </c>
      <c r="C51" s="17">
        <f>SUMIFS(Combined_Results[Achievable therm 2026], Combined_Results[[Rate Class]:[Rate Class]], $B49, Combined_Results[[Sales/Transport]:[Sales/Transport]], $B51, Combined_Results[[Cost-Effective]:[Cost-Effective]], 1)</f>
        <v>18513.609978005898</v>
      </c>
      <c r="D51" s="17">
        <f>SUMIFS(Combined_Results[Achievable therm 2027], Combined_Results[[Rate Class]:[Rate Class]], $B49, Combined_Results[[Sales/Transport]:[Sales/Transport]], $B51, Combined_Results[[Cost-Effective]:[Cost-Effective]], 1)</f>
        <v>33509.720748838983</v>
      </c>
      <c r="E51" s="17">
        <f>SUMIFS(Combined_Results[Achievable therm 2028], Combined_Results[[Rate Class]:[Rate Class]], $B49, Combined_Results[[Sales/Transport]:[Sales/Transport]], $B51, Combined_Results[[Cost-Effective]:[Cost-Effective]], 1)</f>
        <v>55678.405207087941</v>
      </c>
      <c r="F51" s="17">
        <f>SUMIFS(Combined_Results[Achievable therm 2029], Combined_Results[[Rate Class]:[Rate Class]], $B49, Combined_Results[[Sales/Transport]:[Sales/Transport]], $B51, Combined_Results[[Cost-Effective]:[Cost-Effective]], 1)</f>
        <v>85867.789698362307</v>
      </c>
      <c r="G51" s="17">
        <f>SUMIFS(Combined_Results[Achievable therm 2030], Combined_Results[[Rate Class]:[Rate Class]], $B49, Combined_Results[[Sales/Transport]:[Sales/Transport]], $B51, Combined_Results[[Cost-Effective]:[Cost-Effective]], 1)</f>
        <v>124759.51722711603</v>
      </c>
      <c r="H51" s="17">
        <f>SUMIFS(Combined_Results[Achievable therm 2031], Combined_Results[[Rate Class]:[Rate Class]], $B49, Combined_Results[[Sales/Transport]:[Sales/Transport]], $B51, Combined_Results[[Cost-Effective]:[Cost-Effective]], 1)</f>
        <v>172043.22527353841</v>
      </c>
      <c r="I51" s="17">
        <f>SUMIFS(Combined_Results[Achievable therm 2032], Combined_Results[[Rate Class]:[Rate Class]], $B49, Combined_Results[[Sales/Transport]:[Sales/Transport]], $B51, Combined_Results[[Cost-Effective]:[Cost-Effective]], 1)</f>
        <v>226151.95449279191</v>
      </c>
      <c r="J51" s="17">
        <f>SUMIFS(Combined_Results[Achievable therm 2033], Combined_Results[[Rate Class]:[Rate Class]], $B49, Combined_Results[[Sales/Transport]:[Sales/Transport]], $B51, Combined_Results[[Cost-Effective]:[Cost-Effective]], 1)</f>
        <v>283960.24126258009</v>
      </c>
      <c r="K51" s="17">
        <f>SUMIFS(Combined_Results[Achievable therm 2034], Combined_Results[[Rate Class]:[Rate Class]], $B49, Combined_Results[[Sales/Transport]:[Sales/Transport]], $B51, Combined_Results[[Cost-Effective]:[Cost-Effective]], 1)</f>
        <v>340686.65944588993</v>
      </c>
      <c r="L51" s="17">
        <f>SUMIFS(Combined_Results[Achievable therm 2035], Combined_Results[[Rate Class]:[Rate Class]], $B49, Combined_Results[[Sales/Transport]:[Sales/Transport]], $B51, Combined_Results[[Cost-Effective]:[Cost-Effective]], 1)</f>
        <v>390164.87855591986</v>
      </c>
      <c r="M51" s="17">
        <f>SUMIFS(Combined_Results[Achievable therm 2036], Combined_Results[[Rate Class]:[Rate Class]], $B49, Combined_Results[[Sales/Transport]:[Sales/Transport]], $B51, Combined_Results[[Cost-Effective]:[Cost-Effective]], 1)</f>
        <v>425614.50489032443</v>
      </c>
      <c r="N51" s="17">
        <f>SUMIFS(Combined_Results[Achievable therm 2037], Combined_Results[[Rate Class]:[Rate Class]], $B49, Combined_Results[[Sales/Transport]:[Sales/Transport]], $B51, Combined_Results[[Cost-Effective]:[Cost-Effective]], 1)</f>
        <v>440919.33876608446</v>
      </c>
      <c r="O51" s="17">
        <f>SUMIFS(Combined_Results[Achievable therm 2038], Combined_Results[[Rate Class]:[Rate Class]], $B49, Combined_Results[[Sales/Transport]:[Sales/Transport]], $B51, Combined_Results[[Cost-Effective]:[Cost-Effective]], 1)</f>
        <v>432204.90909377974</v>
      </c>
      <c r="P51" s="17">
        <f>SUMIFS(Combined_Results[Achievable therm 2039], Combined_Results[[Rate Class]:[Rate Class]], $B49, Combined_Results[[Sales/Transport]:[Sales/Transport]], $B51, Combined_Results[[Cost-Effective]:[Cost-Effective]], 1)</f>
        <v>400169.15701154288</v>
      </c>
      <c r="Q51" s="17">
        <f>SUMIFS(Combined_Results[Achievable therm 2040], Combined_Results[[Rate Class]:[Rate Class]], $B49, Combined_Results[[Sales/Transport]:[Sales/Transport]], $B51, Combined_Results[[Cost-Effective]:[Cost-Effective]], 1)</f>
        <v>314307.20968345186</v>
      </c>
      <c r="R51" s="17">
        <f>SUMIFS(Combined_Results[Achievable therm 2041], Combined_Results[[Rate Class]:[Rate Class]], $B49, Combined_Results[[Sales/Transport]:[Sales/Transport]], $B51, Combined_Results[[Cost-Effective]:[Cost-Effective]], 1)</f>
        <v>255994.24178860273</v>
      </c>
      <c r="S51" s="17">
        <f>SUMIFS(Combined_Results[Achievable therm 2042], Combined_Results[[Rate Class]:[Rate Class]], $B49, Combined_Results[[Sales/Transport]:[Sales/Transport]], $B51, Combined_Results[[Cost-Effective]:[Cost-Effective]], 1)</f>
        <v>112982.2470660515</v>
      </c>
      <c r="T51" s="17">
        <f>SUMIFS(Combined_Results[Achievable therm 2043], Combined_Results[[Rate Class]:[Rate Class]], $B49, Combined_Results[[Sales/Transport]:[Sales/Transport]], $B51, Combined_Results[[Cost-Effective]:[Cost-Effective]], 1)</f>
        <v>31851.50970098277</v>
      </c>
      <c r="U51" s="17">
        <f>SUMIFS(Combined_Results[Achievable therm 2044], Combined_Results[[Rate Class]:[Rate Class]], $B49, Combined_Results[[Sales/Transport]:[Sales/Transport]], $B51, Combined_Results[[Cost-Effective]:[Cost-Effective]], 1)</f>
        <v>31922.993387192695</v>
      </c>
      <c r="V51" s="17">
        <f>SUMIFS(Combined_Results[Achievable therm 2045], Combined_Results[[Rate Class]:[Rate Class]], $B49, Combined_Results[[Sales/Transport]:[Sales/Transport]], $B51, Combined_Results[[Cost-Effective]:[Cost-Effective]], 1)</f>
        <v>31863.840031244472</v>
      </c>
      <c r="W51" s="17">
        <f>SUMIFS(Combined_Results[Achievable therm 2046], Combined_Results[[Rate Class]:[Rate Class]], $B49, Combined_Results[[Sales/Transport]:[Sales/Transport]], $B51, Combined_Results[[Cost-Effective]:[Cost-Effective]], 1)</f>
        <v>31664.587019031773</v>
      </c>
      <c r="X51" s="17">
        <f>SUMIFS(Combined_Results[Achievable therm 2047], Combined_Results[[Rate Class]:[Rate Class]], $B49, Combined_Results[[Sales/Transport]:[Sales/Transport]], $B51, Combined_Results[[Cost-Effective]:[Cost-Effective]], 1)</f>
        <v>31420.498394626189</v>
      </c>
      <c r="Y51" s="17">
        <f>SUMIFS(Combined_Results[Achievable therm 2048], Combined_Results[[Rate Class]:[Rate Class]], $B49, Combined_Results[[Sales/Transport]:[Sales/Transport]], $B51, Combined_Results[[Cost-Effective]:[Cost-Effective]], 1)</f>
        <v>31178.291343996651</v>
      </c>
      <c r="Z51" s="17">
        <f>SUMIFS(Combined_Results[Achievable therm 2049], Combined_Results[[Rate Class]:[Rate Class]], $B49, Combined_Results[[Sales/Transport]:[Sales/Transport]], $B51, Combined_Results[[Cost-Effective]:[Cost-Effective]], 1)</f>
        <v>30937.951362903612</v>
      </c>
      <c r="AA51" s="17">
        <f>SUMIFS(Combined_Results[Achievable therm 2050], Combined_Results[[Rate Class]:[Rate Class]], $B49, Combined_Results[[Sales/Transport]:[Sales/Transport]], $B51, Combined_Results[[Cost-Effective]:[Cost-Effective]], 1)</f>
        <v>30699.464058914487</v>
      </c>
    </row>
    <row r="52" spans="2:27" ht="13.5" thickBot="1" x14ac:dyDescent="0.25">
      <c r="B52" s="14" t="s">
        <v>34</v>
      </c>
      <c r="C52" s="15">
        <f>SUM(C45,C46,C49)</f>
        <v>255190.60050502029</v>
      </c>
      <c r="D52" s="15">
        <f t="shared" ref="D52:AA52" si="38">SUM(D45,D46,D49)</f>
        <v>316245.23291082331</v>
      </c>
      <c r="E52" s="15">
        <f t="shared" si="38"/>
        <v>414011.93362152262</v>
      </c>
      <c r="F52" s="15">
        <f t="shared" si="38"/>
        <v>541159.83969313395</v>
      </c>
      <c r="G52" s="15">
        <f t="shared" si="38"/>
        <v>695783.21914106503</v>
      </c>
      <c r="H52" s="15">
        <f t="shared" si="38"/>
        <v>876089.87937789294</v>
      </c>
      <c r="I52" s="15">
        <f t="shared" si="38"/>
        <v>1067821.7897092302</v>
      </c>
      <c r="J52" s="15">
        <f t="shared" si="38"/>
        <v>1259697.0752585102</v>
      </c>
      <c r="K52" s="15">
        <f t="shared" si="38"/>
        <v>1428600.0104384385</v>
      </c>
      <c r="L52" s="15">
        <f t="shared" si="38"/>
        <v>1560987.4525284735</v>
      </c>
      <c r="M52" s="15">
        <f t="shared" si="38"/>
        <v>1663145.7262227503</v>
      </c>
      <c r="N52" s="15">
        <f t="shared" si="38"/>
        <v>1727426.5202945466</v>
      </c>
      <c r="O52" s="15">
        <f t="shared" si="38"/>
        <v>1722143.0667392472</v>
      </c>
      <c r="P52" s="15">
        <f t="shared" si="38"/>
        <v>1644170.7084252236</v>
      </c>
      <c r="Q52" s="15">
        <f t="shared" si="38"/>
        <v>1453224.1448740338</v>
      </c>
      <c r="R52" s="15">
        <f t="shared" si="38"/>
        <v>1279410.4840674491</v>
      </c>
      <c r="S52" s="15">
        <f t="shared" si="38"/>
        <v>973822.41907829116</v>
      </c>
      <c r="T52" s="15">
        <f t="shared" si="38"/>
        <v>776056.41099410318</v>
      </c>
      <c r="U52" s="15">
        <f t="shared" si="38"/>
        <v>630154.62084367999</v>
      </c>
      <c r="V52" s="15">
        <f t="shared" si="38"/>
        <v>609098.22943519871</v>
      </c>
      <c r="W52" s="15">
        <f t="shared" si="38"/>
        <v>596598.2037101473</v>
      </c>
      <c r="X52" s="15">
        <f t="shared" si="38"/>
        <v>579708.52732381702</v>
      </c>
      <c r="Y52" s="15">
        <f t="shared" si="38"/>
        <v>553933.87124471972</v>
      </c>
      <c r="Z52" s="15">
        <f t="shared" si="38"/>
        <v>536185.15225707705</v>
      </c>
      <c r="AA52" s="15">
        <f t="shared" si="38"/>
        <v>443048.71143990871</v>
      </c>
    </row>
    <row r="55" spans="2:27" x14ac:dyDescent="0.2">
      <c r="B55" s="9" t="s">
        <v>42</v>
      </c>
    </row>
    <row r="56" spans="2:27" x14ac:dyDescent="0.2">
      <c r="B56" s="11"/>
      <c r="C56" s="12">
        <v>2026</v>
      </c>
      <c r="D56" s="12">
        <v>2027</v>
      </c>
      <c r="E56" s="12">
        <v>2028</v>
      </c>
      <c r="F56" s="12">
        <v>2029</v>
      </c>
      <c r="G56" s="12">
        <v>2030</v>
      </c>
      <c r="H56" s="12">
        <v>2031</v>
      </c>
      <c r="I56" s="12">
        <v>2032</v>
      </c>
      <c r="J56" s="12">
        <v>2033</v>
      </c>
      <c r="K56" s="12">
        <v>2034</v>
      </c>
      <c r="L56" s="12">
        <v>2035</v>
      </c>
      <c r="M56" s="12">
        <v>2036</v>
      </c>
      <c r="N56" s="12">
        <v>2037</v>
      </c>
      <c r="O56" s="12">
        <v>2038</v>
      </c>
      <c r="P56" s="12">
        <v>2039</v>
      </c>
      <c r="Q56" s="12">
        <v>2040</v>
      </c>
      <c r="R56" s="12">
        <v>2041</v>
      </c>
      <c r="S56" s="12">
        <v>2042</v>
      </c>
      <c r="T56" s="12">
        <v>2043</v>
      </c>
      <c r="U56" s="12">
        <v>2044</v>
      </c>
      <c r="V56" s="12">
        <v>2045</v>
      </c>
      <c r="W56" s="12">
        <v>2046</v>
      </c>
      <c r="X56" s="12">
        <v>2047</v>
      </c>
      <c r="Y56" s="12">
        <v>2048</v>
      </c>
      <c r="Z56" s="12">
        <v>2049</v>
      </c>
      <c r="AA56" s="12">
        <v>2050</v>
      </c>
    </row>
    <row r="57" spans="2:27" x14ac:dyDescent="0.2">
      <c r="B57" s="9" t="s">
        <v>28</v>
      </c>
      <c r="C57" s="18">
        <f>SUMIFS(Combined_Results[Achievable therm 2026], Combined_Results[[Sector]:[Sector]], $B57)</f>
        <v>132343.88904963929</v>
      </c>
      <c r="D57" s="18">
        <f>SUMIFS(Combined_Results[Achievable therm 2027], Combined_Results[[Sector]:[Sector]], $B57)</f>
        <v>173948.31502144053</v>
      </c>
      <c r="E57" s="18">
        <f>SUMIFS(Combined_Results[Achievable therm 2028], Combined_Results[[Sector]:[Sector]], $B57)</f>
        <v>237874.81296795802</v>
      </c>
      <c r="F57" s="18">
        <f>SUMIFS(Combined_Results[Achievable therm 2029], Combined_Results[[Sector]:[Sector]], $B57)</f>
        <v>309770.37905277929</v>
      </c>
      <c r="G57" s="18">
        <f>SUMIFS(Combined_Results[Achievable therm 2030], Combined_Results[[Sector]:[Sector]], $B57)</f>
        <v>396123.19825348462</v>
      </c>
      <c r="H57" s="18">
        <f>SUMIFS(Combined_Results[Achievable therm 2031], Combined_Results[[Sector]:[Sector]], $B57)</f>
        <v>500212.54342641379</v>
      </c>
      <c r="I57" s="18">
        <f>SUMIFS(Combined_Results[Achievable therm 2032], Combined_Results[[Sector]:[Sector]], $B57)</f>
        <v>618192.86540144996</v>
      </c>
      <c r="J57" s="18">
        <f>SUMIFS(Combined_Results[Achievable therm 2033], Combined_Results[[Sector]:[Sector]], $B57)</f>
        <v>743290.6097460998</v>
      </c>
      <c r="K57" s="18">
        <f>SUMIFS(Combined_Results[Achievable therm 2034], Combined_Results[[Sector]:[Sector]], $B57)</f>
        <v>865633.23854048713</v>
      </c>
      <c r="L57" s="18">
        <f>SUMIFS(Combined_Results[Achievable therm 2035], Combined_Results[[Sector]:[Sector]], $B57)</f>
        <v>972843.00952895498</v>
      </c>
      <c r="M57" s="18">
        <f>SUMIFS(Combined_Results[Achievable therm 2036], Combined_Results[[Sector]:[Sector]], $B57)</f>
        <v>1052017.9978314433</v>
      </c>
      <c r="N57" s="18">
        <f>SUMIFS(Combined_Results[Achievable therm 2037], Combined_Results[[Sector]:[Sector]], $B57)</f>
        <v>1088093.1498594</v>
      </c>
      <c r="O57" s="18">
        <f>SUMIFS(Combined_Results[Achievable therm 2038], Combined_Results[[Sector]:[Sector]], $B57)</f>
        <v>1082091.0374268943</v>
      </c>
      <c r="P57" s="18">
        <f>SUMIFS(Combined_Results[Achievable therm 2039], Combined_Results[[Sector]:[Sector]], $B57)</f>
        <v>1035362.8684150177</v>
      </c>
      <c r="Q57" s="18">
        <f>SUMIFS(Combined_Results[Achievable therm 2040], Combined_Results[[Sector]:[Sector]], $B57)</f>
        <v>950963.41004539863</v>
      </c>
      <c r="R57" s="18">
        <f>SUMIFS(Combined_Results[Achievable therm 2041], Combined_Results[[Sector]:[Sector]], $B57)</f>
        <v>848632.00974000443</v>
      </c>
      <c r="S57" s="18">
        <f>SUMIFS(Combined_Results[Achievable therm 2042], Combined_Results[[Sector]:[Sector]], $B57)</f>
        <v>716751.67371058301</v>
      </c>
      <c r="T57" s="18">
        <f>SUMIFS(Combined_Results[Achievable therm 2043], Combined_Results[[Sector]:[Sector]], $B57)</f>
        <v>612882.65475952195</v>
      </c>
      <c r="U57" s="18">
        <f>SUMIFS(Combined_Results[Achievable therm 2044], Combined_Results[[Sector]:[Sector]], $B57)</f>
        <v>458034.3980999575</v>
      </c>
      <c r="V57" s="18">
        <f>SUMIFS(Combined_Results[Achievable therm 2045], Combined_Results[[Sector]:[Sector]], $B57)</f>
        <v>437211.51901903556</v>
      </c>
      <c r="W57" s="18">
        <f>SUMIFS(Combined_Results[Achievable therm 2046], Combined_Results[[Sector]:[Sector]], $B57)</f>
        <v>426301.11847072642</v>
      </c>
      <c r="X57" s="18">
        <f>SUMIFS(Combined_Results[Achievable therm 2047], Combined_Results[[Sector]:[Sector]], $B57)</f>
        <v>421544.52987822884</v>
      </c>
      <c r="Y57" s="18">
        <f>SUMIFS(Combined_Results[Achievable therm 2048], Combined_Results[[Sector]:[Sector]], $B57)</f>
        <v>416089.39446848625</v>
      </c>
      <c r="Z57" s="18">
        <f>SUMIFS(Combined_Results[Achievable therm 2049], Combined_Results[[Sector]:[Sector]], $B57)</f>
        <v>408071.25361636141</v>
      </c>
      <c r="AA57" s="18">
        <f>SUMIFS(Combined_Results[Achievable therm 2050], Combined_Results[[Sector]:[Sector]], $B57)</f>
        <v>353767.41867540864</v>
      </c>
    </row>
    <row r="58" spans="2:27" x14ac:dyDescent="0.2">
      <c r="B58" s="16" t="s">
        <v>43</v>
      </c>
      <c r="C58" s="17">
        <f>SUMIFS(Combined_Results[Achievable therm 2026], Combined_Results[[Sector]:[Sector]], $B$57, Combined_Results[[End Use]:[End Use]], $B58)</f>
        <v>5107.4373392437919</v>
      </c>
      <c r="D58" s="17">
        <f>SUMIFS(Combined_Results[Achievable therm 2027], Combined_Results[[Sector]:[Sector]], $B$57, Combined_Results[[End Use]:[End Use]], $B58)</f>
        <v>6388.282758345721</v>
      </c>
      <c r="E58" s="17">
        <f>SUMIFS(Combined_Results[Achievable therm 2028], Combined_Results[[Sector]:[Sector]], $B$57, Combined_Results[[End Use]:[End Use]], $B58)</f>
        <v>8054.6475119498255</v>
      </c>
      <c r="F58" s="17">
        <f>SUMIFS(Combined_Results[Achievable therm 2029], Combined_Results[[Sector]:[Sector]], $B$57, Combined_Results[[End Use]:[End Use]], $B58)</f>
        <v>9507.9581875884978</v>
      </c>
      <c r="G58" s="17">
        <f>SUMIFS(Combined_Results[Achievable therm 2030], Combined_Results[[Sector]:[Sector]], $B$57, Combined_Results[[End Use]:[End Use]], $B58)</f>
        <v>10652.697434757021</v>
      </c>
      <c r="H58" s="17">
        <f>SUMIFS(Combined_Results[Achievable therm 2031], Combined_Results[[Sector]:[Sector]], $B$57, Combined_Results[[End Use]:[End Use]], $B58)</f>
        <v>11556.185664924402</v>
      </c>
      <c r="I58" s="17">
        <f>SUMIFS(Combined_Results[Achievable therm 2032], Combined_Results[[Sector]:[Sector]], $B$57, Combined_Results[[End Use]:[End Use]], $B58)</f>
        <v>12264.6981270544</v>
      </c>
      <c r="J58" s="17">
        <f>SUMIFS(Combined_Results[Achievable therm 2033], Combined_Results[[Sector]:[Sector]], $B$57, Combined_Results[[End Use]:[End Use]], $B58)</f>
        <v>12825.908685211851</v>
      </c>
      <c r="K58" s="17">
        <f>SUMIFS(Combined_Results[Achievable therm 2034], Combined_Results[[Sector]:[Sector]], $B$57, Combined_Results[[End Use]:[End Use]], $B58)</f>
        <v>13268.383545764984</v>
      </c>
      <c r="L58" s="17">
        <f>SUMIFS(Combined_Results[Achievable therm 2035], Combined_Results[[Sector]:[Sector]], $B$57, Combined_Results[[End Use]:[End Use]], $B58)</f>
        <v>13615.481430758078</v>
      </c>
      <c r="M58" s="17">
        <f>SUMIFS(Combined_Results[Achievable therm 2036], Combined_Results[[Sector]:[Sector]], $B$57, Combined_Results[[End Use]:[End Use]], $B58)</f>
        <v>13886.373146439086</v>
      </c>
      <c r="N58" s="17">
        <f>SUMIFS(Combined_Results[Achievable therm 2037], Combined_Results[[Sector]:[Sector]], $B$57, Combined_Results[[End Use]:[End Use]], $B58)</f>
        <v>14095.245650440427</v>
      </c>
      <c r="O58" s="17">
        <f>SUMIFS(Combined_Results[Achievable therm 2038], Combined_Results[[Sector]:[Sector]], $B$57, Combined_Results[[End Use]:[End Use]], $B58)</f>
        <v>14340.138458825064</v>
      </c>
      <c r="P58" s="17">
        <f>SUMIFS(Combined_Results[Achievable therm 2039], Combined_Results[[Sector]:[Sector]], $B$57, Combined_Results[[End Use]:[End Use]], $B58)</f>
        <v>14408.208240528327</v>
      </c>
      <c r="Q58" s="17">
        <f>SUMIFS(Combined_Results[Achievable therm 2040], Combined_Results[[Sector]:[Sector]], $B$57, Combined_Results[[End Use]:[End Use]], $B58)</f>
        <v>15466.161061001789</v>
      </c>
      <c r="R58" s="17">
        <f>SUMIFS(Combined_Results[Achievable therm 2041], Combined_Results[[Sector]:[Sector]], $B$57, Combined_Results[[End Use]:[End Use]], $B58)</f>
        <v>14710.349490737568</v>
      </c>
      <c r="S58" s="17">
        <f>SUMIFS(Combined_Results[Achievable therm 2042], Combined_Results[[Sector]:[Sector]], $B$57, Combined_Results[[End Use]:[End Use]], $B58)</f>
        <v>8325.7501891463326</v>
      </c>
      <c r="T58" s="17">
        <f>SUMIFS(Combined_Results[Achievable therm 2043], Combined_Results[[Sector]:[Sector]], $B$57, Combined_Results[[End Use]:[End Use]], $B58)</f>
        <v>1005.6776898343109</v>
      </c>
      <c r="U58" s="17">
        <f>SUMIFS(Combined_Results[Achievable therm 2044], Combined_Results[[Sector]:[Sector]], $B$57, Combined_Results[[End Use]:[End Use]], $B58)</f>
        <v>904.18644679920135</v>
      </c>
      <c r="V58" s="17">
        <f>SUMIFS(Combined_Results[Achievable therm 2045], Combined_Results[[Sector]:[Sector]], $B$57, Combined_Results[[End Use]:[End Use]], $B58)</f>
        <v>811.1715721648394</v>
      </c>
      <c r="W58" s="17">
        <f>SUMIFS(Combined_Results[Achievable therm 2046], Combined_Results[[Sector]:[Sector]], $B$57, Combined_Results[[End Use]:[End Use]], $B58)</f>
        <v>724.31981640636252</v>
      </c>
      <c r="X58" s="17">
        <f>SUMIFS(Combined_Results[Achievable therm 2047], Combined_Results[[Sector]:[Sector]], $B$57, Combined_Results[[End Use]:[End Use]], $B58)</f>
        <v>646.44969295172052</v>
      </c>
      <c r="Y58" s="17">
        <f>SUMIFS(Combined_Results[Achievable therm 2048], Combined_Results[[Sector]:[Sector]], $B$57, Combined_Results[[End Use]:[End Use]], $B58)</f>
        <v>510.069616574083</v>
      </c>
      <c r="Z58" s="17">
        <f>SUMIFS(Combined_Results[Achievable therm 2049], Combined_Results[[Sector]:[Sector]], $B$57, Combined_Results[[End Use]:[End Use]], $B58)</f>
        <v>254.91570405017961</v>
      </c>
      <c r="AA58" s="17">
        <f>SUMIFS(Combined_Results[Achievable therm 2050], Combined_Results[[Sector]:[Sector]], $B$57, Combined_Results[[End Use]:[End Use]], $B58)</f>
        <v>197.22211316955998</v>
      </c>
    </row>
    <row r="59" spans="2:27" x14ac:dyDescent="0.2">
      <c r="B59" s="16" t="s">
        <v>44</v>
      </c>
      <c r="C59" s="17">
        <f>SUMIFS(Combined_Results[Achievable therm 2026], Combined_Results[[Sector]:[Sector]], $B$57, Combined_Results[[End Use]:[End Use]], $B59)</f>
        <v>122507.66599610182</v>
      </c>
      <c r="D59" s="17">
        <f>SUMIFS(Combined_Results[Achievable therm 2027], Combined_Results[[Sector]:[Sector]], $B$57, Combined_Results[[End Use]:[End Use]], $B59)</f>
        <v>158710.27446387857</v>
      </c>
      <c r="E59" s="17">
        <f>SUMIFS(Combined_Results[Achievable therm 2028], Combined_Results[[Sector]:[Sector]], $B$57, Combined_Results[[End Use]:[End Use]], $B59)</f>
        <v>214772.60981449325</v>
      </c>
      <c r="F59" s="17">
        <f>SUMIFS(Combined_Results[Achievable therm 2029], Combined_Results[[Sector]:[Sector]], $B$57, Combined_Results[[End Use]:[End Use]], $B59)</f>
        <v>277017.34221108572</v>
      </c>
      <c r="G59" s="17">
        <f>SUMIFS(Combined_Results[Achievable therm 2030], Combined_Results[[Sector]:[Sector]], $B$57, Combined_Results[[End Use]:[End Use]], $B59)</f>
        <v>351993.74141856126</v>
      </c>
      <c r="H59" s="17">
        <f>SUMIFS(Combined_Results[Achievable therm 2031], Combined_Results[[Sector]:[Sector]], $B$57, Combined_Results[[End Use]:[End Use]], $B59)</f>
        <v>443168.10738271696</v>
      </c>
      <c r="I59" s="17">
        <f>SUMIFS(Combined_Results[Achievable therm 2032], Combined_Results[[Sector]:[Sector]], $B$57, Combined_Results[[End Use]:[End Use]], $B59)</f>
        <v>547039.78116521239</v>
      </c>
      <c r="J59" s="17">
        <f>SUMIFS(Combined_Results[Achievable therm 2033], Combined_Results[[Sector]:[Sector]], $B$57, Combined_Results[[End Use]:[End Use]], $B59)</f>
        <v>657260.83679185354</v>
      </c>
      <c r="K59" s="17">
        <f>SUMIFS(Combined_Results[Achievable therm 2034], Combined_Results[[Sector]:[Sector]], $B$57, Combined_Results[[End Use]:[End Use]], $B59)</f>
        <v>764484.58888899721</v>
      </c>
      <c r="L59" s="17">
        <f>SUMIFS(Combined_Results[Achievable therm 2035], Combined_Results[[Sector]:[Sector]], $B$57, Combined_Results[[End Use]:[End Use]], $B59)</f>
        <v>856964.50351230649</v>
      </c>
      <c r="M59" s="17">
        <f>SUMIFS(Combined_Results[Achievable therm 2036], Combined_Results[[Sector]:[Sector]], $B$57, Combined_Results[[End Use]:[End Use]], $B59)</f>
        <v>922538.49330733169</v>
      </c>
      <c r="N59" s="17">
        <f>SUMIFS(Combined_Results[Achievable therm 2037], Combined_Results[[Sector]:[Sector]], $B$57, Combined_Results[[End Use]:[End Use]], $B59)</f>
        <v>946937.41758079838</v>
      </c>
      <c r="O59" s="17">
        <f>SUMIFS(Combined_Results[Achievable therm 2038], Combined_Results[[Sector]:[Sector]], $B$57, Combined_Results[[End Use]:[End Use]], $B59)</f>
        <v>931811.52718725218</v>
      </c>
      <c r="P59" s="17">
        <f>SUMIFS(Combined_Results[Achievable therm 2039], Combined_Results[[Sector]:[Sector]], $B$57, Combined_Results[[End Use]:[End Use]], $B59)</f>
        <v>879182.00843147095</v>
      </c>
      <c r="Q59" s="17">
        <f>SUMIFS(Combined_Results[Achievable therm 2040], Combined_Results[[Sector]:[Sector]], $B$57, Combined_Results[[End Use]:[End Use]], $B59)</f>
        <v>792716.18885214301</v>
      </c>
      <c r="R59" s="17">
        <f>SUMIFS(Combined_Results[Achievable therm 2041], Combined_Results[[Sector]:[Sector]], $B$57, Combined_Results[[End Use]:[End Use]], $B59)</f>
        <v>689442.59250472859</v>
      </c>
      <c r="S59" s="17">
        <f>SUMIFS(Combined_Results[Achievable therm 2042], Combined_Results[[Sector]:[Sector]], $B$57, Combined_Results[[End Use]:[End Use]], $B59)</f>
        <v>565019.63610189059</v>
      </c>
      <c r="T59" s="17">
        <f>SUMIFS(Combined_Results[Achievable therm 2043], Combined_Results[[Sector]:[Sector]], $B$57, Combined_Results[[End Use]:[End Use]], $B59)</f>
        <v>470196.28586996743</v>
      </c>
      <c r="U59" s="17">
        <f>SUMIFS(Combined_Results[Achievable therm 2044], Combined_Results[[Sector]:[Sector]], $B$57, Combined_Results[[End Use]:[End Use]], $B59)</f>
        <v>322379.73045495217</v>
      </c>
      <c r="V59" s="17">
        <f>SUMIFS(Combined_Results[Achievable therm 2045], Combined_Results[[Sector]:[Sector]], $B$57, Combined_Results[[End Use]:[End Use]], $B59)</f>
        <v>307461.47597342764</v>
      </c>
      <c r="W59" s="17">
        <f>SUMIFS(Combined_Results[Achievable therm 2046], Combined_Results[[Sector]:[Sector]], $B$57, Combined_Results[[End Use]:[End Use]], $B59)</f>
        <v>304716.63309274905</v>
      </c>
      <c r="X59" s="17">
        <f>SUMIFS(Combined_Results[Achievable therm 2047], Combined_Results[[Sector]:[Sector]], $B$57, Combined_Results[[End Use]:[End Use]], $B59)</f>
        <v>301097.52250339108</v>
      </c>
      <c r="Y59" s="17">
        <f>SUMIFS(Combined_Results[Achievable therm 2048], Combined_Results[[Sector]:[Sector]], $B$57, Combined_Results[[End Use]:[End Use]], $B59)</f>
        <v>297033.21116685664</v>
      </c>
      <c r="Z59" s="17">
        <f>SUMIFS(Combined_Results[Achievable therm 2049], Combined_Results[[Sector]:[Sector]], $B$57, Combined_Results[[End Use]:[End Use]], $B59)</f>
        <v>292825.97848344943</v>
      </c>
      <c r="AA59" s="17">
        <f>SUMIFS(Combined_Results[Achievable therm 2050], Combined_Results[[Sector]:[Sector]], $B$57, Combined_Results[[End Use]:[End Use]], $B59)</f>
        <v>248131.14658512213</v>
      </c>
    </row>
    <row r="60" spans="2:27" ht="15" x14ac:dyDescent="0.25">
      <c r="B60" s="8" t="s">
        <v>45</v>
      </c>
      <c r="C60" s="17">
        <f>SUMIFS(Combined_Results[Achievable therm 2026], Combined_Results[[Sector]:[Sector]], $B$57, Combined_Results[[End Use]:[End Use]], $B60)</f>
        <v>2842.4776741629676</v>
      </c>
      <c r="D60" s="17">
        <f>SUMIFS(Combined_Results[Achievable therm 2027], Combined_Results[[Sector]:[Sector]], $B$57, Combined_Results[[End Use]:[End Use]], $B60)</f>
        <v>5443.0345682110092</v>
      </c>
      <c r="E60" s="17">
        <f>SUMIFS(Combined_Results[Achievable therm 2028], Combined_Results[[Sector]:[Sector]], $B$57, Combined_Results[[End Use]:[End Use]], $B60)</f>
        <v>9653.7173752675626</v>
      </c>
      <c r="F60" s="17">
        <f>SUMIFS(Combined_Results[Achievable therm 2029], Combined_Results[[Sector]:[Sector]], $B$57, Combined_Results[[End Use]:[End Use]], $B60)</f>
        <v>15542.360806662558</v>
      </c>
      <c r="G60" s="17">
        <f>SUMIFS(Combined_Results[Achievable therm 2030], Combined_Results[[Sector]:[Sector]], $B$57, Combined_Results[[End Use]:[End Use]], $B60)</f>
        <v>23477.551561309971</v>
      </c>
      <c r="H60" s="17">
        <f>SUMIFS(Combined_Results[Achievable therm 2031], Combined_Results[[Sector]:[Sector]], $B$57, Combined_Results[[End Use]:[End Use]], $B60)</f>
        <v>33593.238364678393</v>
      </c>
      <c r="I60" s="17">
        <f>SUMIFS(Combined_Results[Achievable therm 2032], Combined_Results[[Sector]:[Sector]], $B$57, Combined_Results[[End Use]:[End Use]], $B60)</f>
        <v>45829.106006872229</v>
      </c>
      <c r="J60" s="17">
        <f>SUMIFS(Combined_Results[Achievable therm 2033], Combined_Results[[Sector]:[Sector]], $B$57, Combined_Results[[End Use]:[End Use]], $B60)</f>
        <v>59883.843305502247</v>
      </c>
      <c r="K60" s="17">
        <f>SUMIFS(Combined_Results[Achievable therm 2034], Combined_Results[[Sector]:[Sector]], $B$57, Combined_Results[[End Use]:[End Use]], $B60)</f>
        <v>75180.200428823562</v>
      </c>
      <c r="L60" s="17">
        <f>SUMIFS(Combined_Results[Achievable therm 2035], Combined_Results[[Sector]:[Sector]], $B$57, Combined_Results[[End Use]:[End Use]], $B60)</f>
        <v>90874.589985246435</v>
      </c>
      <c r="M60" s="17">
        <f>SUMIFS(Combined_Results[Achievable therm 2036], Combined_Results[[Sector]:[Sector]], $B$57, Combined_Results[[End Use]:[End Use]], $B60)</f>
        <v>105925.66376454725</v>
      </c>
      <c r="N60" s="17">
        <f>SUMIFS(Combined_Results[Achievable therm 2037], Combined_Results[[Sector]:[Sector]], $B$57, Combined_Results[[End Use]:[End Use]], $B60)</f>
        <v>119233.92393769023</v>
      </c>
      <c r="O60" s="17">
        <f>SUMIFS(Combined_Results[Achievable therm 2038], Combined_Results[[Sector]:[Sector]], $B$57, Combined_Results[[End Use]:[End Use]], $B60)</f>
        <v>129842.75648202268</v>
      </c>
      <c r="P60" s="17">
        <f>SUMIFS(Combined_Results[Achievable therm 2039], Combined_Results[[Sector]:[Sector]], $B$57, Combined_Results[[End Use]:[End Use]], $B60)</f>
        <v>137153.61892619383</v>
      </c>
      <c r="Q60" s="17">
        <f>SUMIFS(Combined_Results[Achievable therm 2040], Combined_Results[[Sector]:[Sector]], $B$57, Combined_Results[[End Use]:[End Use]], $B60)</f>
        <v>141081.74778718705</v>
      </c>
      <c r="R60" s="17">
        <f>SUMIFS(Combined_Results[Achievable therm 2041], Combined_Results[[Sector]:[Sector]], $B$57, Combined_Results[[End Use]:[End Use]], $B60)</f>
        <v>143178.24783621042</v>
      </c>
      <c r="S60" s="17">
        <f>SUMIFS(Combined_Results[Achievable therm 2042], Combined_Results[[Sector]:[Sector]], $B$57, Combined_Results[[End Use]:[End Use]], $B60)</f>
        <v>142235.12009613935</v>
      </c>
      <c r="T60" s="17">
        <f>SUMIFS(Combined_Results[Achievable therm 2043], Combined_Results[[Sector]:[Sector]], $B$57, Combined_Results[[End Use]:[End Use]], $B60)</f>
        <v>140608.79720622659</v>
      </c>
      <c r="U60" s="17">
        <f>SUMIFS(Combined_Results[Achievable therm 2044], Combined_Results[[Sector]:[Sector]], $B$57, Combined_Results[[End Use]:[End Use]], $B60)</f>
        <v>133860.63276046558</v>
      </c>
      <c r="V60" s="17">
        <f>SUMIFS(Combined_Results[Achievable therm 2045], Combined_Results[[Sector]:[Sector]], $B$57, Combined_Results[[End Use]:[End Use]], $B60)</f>
        <v>128122.96964604617</v>
      </c>
      <c r="W60" s="17">
        <f>SUMIFS(Combined_Results[Achievable therm 2046], Combined_Results[[Sector]:[Sector]], $B$57, Combined_Results[[End Use]:[End Use]], $B60)</f>
        <v>120130.06948400344</v>
      </c>
      <c r="X60" s="17">
        <f>SUMIFS(Combined_Results[Achievable therm 2047], Combined_Results[[Sector]:[Sector]], $B$57, Combined_Results[[End Use]:[End Use]], $B60)</f>
        <v>119159.77059726439</v>
      </c>
      <c r="Y60" s="17">
        <f>SUMIFS(Combined_Results[Achievable therm 2048], Combined_Results[[Sector]:[Sector]], $B$57, Combined_Results[[End Use]:[End Use]], $B60)</f>
        <v>117994.8336141373</v>
      </c>
      <c r="Z60" s="17">
        <f>SUMIFS(Combined_Results[Achievable therm 2049], Combined_Results[[Sector]:[Sector]], $B$57, Combined_Results[[End Use]:[End Use]], $B60)</f>
        <v>114528.75206456437</v>
      </c>
      <c r="AA60" s="17">
        <f>SUMIFS(Combined_Results[Achievable therm 2050], Combined_Results[[Sector]:[Sector]], $B$57, Combined_Results[[End Use]:[End Use]], $B60)</f>
        <v>105067.2431768239</v>
      </c>
    </row>
    <row r="61" spans="2:27" x14ac:dyDescent="0.2">
      <c r="B61" s="16" t="s">
        <v>46</v>
      </c>
      <c r="C61" s="17">
        <f>SUMIFS(Combined_Results[Achievable therm 2026], Combined_Results[[Sector]:[Sector]], $B$57, Combined_Results[[End Use]:[End Use]], $B61)</f>
        <v>1886.3080401306549</v>
      </c>
      <c r="D61" s="17">
        <f>SUMIFS(Combined_Results[Achievable therm 2027], Combined_Results[[Sector]:[Sector]], $B$57, Combined_Results[[End Use]:[End Use]], $B61)</f>
        <v>3406.7232310052659</v>
      </c>
      <c r="E61" s="17">
        <f>SUMIFS(Combined_Results[Achievable therm 2028], Combined_Results[[Sector]:[Sector]], $B$57, Combined_Results[[End Use]:[End Use]], $B61)</f>
        <v>5393.8382662474669</v>
      </c>
      <c r="F61" s="17">
        <f>SUMIFS(Combined_Results[Achievable therm 2029], Combined_Results[[Sector]:[Sector]], $B$57, Combined_Results[[End Use]:[End Use]], $B61)</f>
        <v>7702.71784744248</v>
      </c>
      <c r="G61" s="17">
        <f>SUMIFS(Combined_Results[Achievable therm 2030], Combined_Results[[Sector]:[Sector]], $B$57, Combined_Results[[End Use]:[End Use]], $B61)</f>
        <v>9999.2078388564223</v>
      </c>
      <c r="H61" s="17">
        <f>SUMIFS(Combined_Results[Achievable therm 2031], Combined_Results[[Sector]:[Sector]], $B$57, Combined_Results[[End Use]:[End Use]], $B61)</f>
        <v>11895.012014094265</v>
      </c>
      <c r="I61" s="17">
        <f>SUMIFS(Combined_Results[Achievable therm 2032], Combined_Results[[Sector]:[Sector]], $B$57, Combined_Results[[End Use]:[End Use]], $B61)</f>
        <v>13059.280102311079</v>
      </c>
      <c r="J61" s="17">
        <f>SUMIFS(Combined_Results[Achievable therm 2033], Combined_Results[[Sector]:[Sector]], $B$57, Combined_Results[[End Use]:[End Use]], $B61)</f>
        <v>13320.020963532177</v>
      </c>
      <c r="K61" s="17">
        <f>SUMIFS(Combined_Results[Achievable therm 2034], Combined_Results[[Sector]:[Sector]], $B$57, Combined_Results[[End Use]:[End Use]], $B61)</f>
        <v>12700.06567690148</v>
      </c>
      <c r="L61" s="17">
        <f>SUMIFS(Combined_Results[Achievable therm 2035], Combined_Results[[Sector]:[Sector]], $B$57, Combined_Results[[End Use]:[End Use]], $B61)</f>
        <v>11388.434600644139</v>
      </c>
      <c r="M61" s="17">
        <f>SUMIFS(Combined_Results[Achievable therm 2036], Combined_Results[[Sector]:[Sector]], $B$57, Combined_Results[[End Use]:[End Use]], $B61)</f>
        <v>9667.4676131251854</v>
      </c>
      <c r="N61" s="17">
        <f>SUMIFS(Combined_Results[Achievable therm 2037], Combined_Results[[Sector]:[Sector]], $B$57, Combined_Results[[End Use]:[End Use]], $B61)</f>
        <v>7826.5626904702576</v>
      </c>
      <c r="O61" s="17">
        <f>SUMIFS(Combined_Results[Achievable therm 2038], Combined_Results[[Sector]:[Sector]], $B$57, Combined_Results[[End Use]:[End Use]], $B61)</f>
        <v>6096.6152987941159</v>
      </c>
      <c r="P61" s="17">
        <f>SUMIFS(Combined_Results[Achievable therm 2039], Combined_Results[[Sector]:[Sector]], $B$57, Combined_Results[[End Use]:[End Use]], $B61)</f>
        <v>4619.0328168245123</v>
      </c>
      <c r="Q61" s="17">
        <f>SUMIFS(Combined_Results[Achievable therm 2040], Combined_Results[[Sector]:[Sector]], $B$57, Combined_Results[[End Use]:[End Use]], $B61)</f>
        <v>1699.3123450664541</v>
      </c>
      <c r="R61" s="17">
        <f>SUMIFS(Combined_Results[Achievable therm 2041], Combined_Results[[Sector]:[Sector]], $B$57, Combined_Results[[End Use]:[End Use]], $B61)</f>
        <v>1300.8199083277227</v>
      </c>
      <c r="S61" s="17">
        <f>SUMIFS(Combined_Results[Achievable therm 2042], Combined_Results[[Sector]:[Sector]], $B$57, Combined_Results[[End Use]:[End Use]], $B61)</f>
        <v>1171.1673234064804</v>
      </c>
      <c r="T61" s="17">
        <f>SUMIFS(Combined_Results[Achievable therm 2043], Combined_Results[[Sector]:[Sector]], $B$57, Combined_Results[[End Use]:[End Use]], $B61)</f>
        <v>1071.8939934935488</v>
      </c>
      <c r="U61" s="17">
        <f>SUMIFS(Combined_Results[Achievable therm 2044], Combined_Results[[Sector]:[Sector]], $B$57, Combined_Results[[End Use]:[End Use]], $B61)</f>
        <v>889.84843774055548</v>
      </c>
      <c r="V61" s="17">
        <f>SUMIFS(Combined_Results[Achievable therm 2045], Combined_Results[[Sector]:[Sector]], $B$57, Combined_Results[[End Use]:[End Use]], $B61)</f>
        <v>815.90182739699947</v>
      </c>
      <c r="W61" s="17">
        <f>SUMIFS(Combined_Results[Achievable therm 2046], Combined_Results[[Sector]:[Sector]], $B$57, Combined_Results[[End Use]:[End Use]], $B61)</f>
        <v>730.09607756762693</v>
      </c>
      <c r="X61" s="17">
        <f>SUMIFS(Combined_Results[Achievable therm 2047], Combined_Results[[Sector]:[Sector]], $B$57, Combined_Results[[End Use]:[End Use]], $B61)</f>
        <v>640.78708462176689</v>
      </c>
      <c r="Y61" s="17">
        <f>SUMIFS(Combined_Results[Achievable therm 2048], Combined_Results[[Sector]:[Sector]], $B$57, Combined_Results[[End Use]:[End Use]], $B61)</f>
        <v>551.28007091812833</v>
      </c>
      <c r="Z61" s="17">
        <f>SUMIFS(Combined_Results[Achievable therm 2049], Combined_Results[[Sector]:[Sector]], $B$57, Combined_Results[[End Use]:[End Use]], $B61)</f>
        <v>461.60736429746061</v>
      </c>
      <c r="AA61" s="17">
        <f>SUMIFS(Combined_Results[Achievable therm 2050], Combined_Results[[Sector]:[Sector]], $B$57, Combined_Results[[End Use]:[End Use]], $B61)</f>
        <v>371.80680029327021</v>
      </c>
    </row>
    <row r="62" spans="2:27" x14ac:dyDescent="0.2">
      <c r="B62" s="9" t="s">
        <v>31</v>
      </c>
      <c r="C62" s="18">
        <f>SUMIFS(Combined_Results[Achievable therm 2026], Combined_Results[[Sector]:[Sector]], $B62)</f>
        <v>146310.20797955096</v>
      </c>
      <c r="D62" s="18">
        <f>SUMIFS(Combined_Results[Achievable therm 2027], Combined_Results[[Sector]:[Sector]], $B62)</f>
        <v>152203.43813783347</v>
      </c>
      <c r="E62" s="18">
        <f>SUMIFS(Combined_Results[Achievable therm 2028], Combined_Results[[Sector]:[Sector]], $B62)</f>
        <v>168948.75452278781</v>
      </c>
      <c r="F62" s="18">
        <f>SUMIFS(Combined_Results[Achievable therm 2029], Combined_Results[[Sector]:[Sector]], $B62)</f>
        <v>194057.11106635831</v>
      </c>
      <c r="G62" s="18">
        <f>SUMIFS(Combined_Results[Achievable therm 2030], Combined_Results[[Sector]:[Sector]], $B62)</f>
        <v>221118.00705717065</v>
      </c>
      <c r="H62" s="18">
        <f>SUMIFS(Combined_Results[Achievable therm 2031], Combined_Results[[Sector]:[Sector]], $B62)</f>
        <v>249744.72338471271</v>
      </c>
      <c r="I62" s="18">
        <f>SUMIFS(Combined_Results[Achievable therm 2032], Combined_Results[[Sector]:[Sector]], $B62)</f>
        <v>270899.28665278439</v>
      </c>
      <c r="J62" s="18">
        <f>SUMIFS(Combined_Results[Achievable therm 2033], Combined_Results[[Sector]:[Sector]], $B62)</f>
        <v>282951.24449378095</v>
      </c>
      <c r="K62" s="18">
        <f>SUMIFS(Combined_Results[Achievable therm 2034], Combined_Results[[Sector]:[Sector]], $B62)</f>
        <v>277057.68131161976</v>
      </c>
      <c r="L62" s="18">
        <f>SUMIFS(Combined_Results[Achievable therm 2035], Combined_Results[[Sector]:[Sector]], $B62)</f>
        <v>257660.84092522206</v>
      </c>
      <c r="M62" s="18">
        <f>SUMIFS(Combined_Results[Achievable therm 2036], Combined_Results[[Sector]:[Sector]], $B62)</f>
        <v>249960.49646219876</v>
      </c>
      <c r="N62" s="18">
        <f>SUMIFS(Combined_Results[Achievable therm 2037], Combined_Results[[Sector]:[Sector]], $B62)</f>
        <v>262614.68669097574</v>
      </c>
      <c r="O62" s="18">
        <f>SUMIFS(Combined_Results[Achievable therm 2038], Combined_Results[[Sector]:[Sector]], $B62)</f>
        <v>273296.52940799261</v>
      </c>
      <c r="P62" s="18">
        <f>SUMIFS(Combined_Results[Achievable therm 2039], Combined_Results[[Sector]:[Sector]], $B62)</f>
        <v>273537.20438598481</v>
      </c>
      <c r="Q62" s="18">
        <f>SUMIFS(Combined_Results[Achievable therm 2040], Combined_Results[[Sector]:[Sector]], $B62)</f>
        <v>261618.89100918561</v>
      </c>
      <c r="R62" s="18">
        <f>SUMIFS(Combined_Results[Achievable therm 2041], Combined_Results[[Sector]:[Sector]], $B62)</f>
        <v>239886.52453489168</v>
      </c>
      <c r="S62" s="18">
        <f>SUMIFS(Combined_Results[Achievable therm 2042], Combined_Results[[Sector]:[Sector]], $B62)</f>
        <v>218188.35578177671</v>
      </c>
      <c r="T62" s="18">
        <f>SUMIFS(Combined_Results[Achievable therm 2043], Combined_Results[[Sector]:[Sector]], $B62)</f>
        <v>194602.29966793722</v>
      </c>
      <c r="U62" s="18">
        <f>SUMIFS(Combined_Results[Achievable therm 2044], Combined_Results[[Sector]:[Sector]], $B62)</f>
        <v>151036.43032803253</v>
      </c>
      <c r="V62" s="18">
        <f>SUMIFS(Combined_Results[Achievable therm 2045], Combined_Results[[Sector]:[Sector]], $B62)</f>
        <v>143329.4793985452</v>
      </c>
      <c r="W62" s="18">
        <f>SUMIFS(Combined_Results[Achievable therm 2046], Combined_Results[[Sector]:[Sector]], $B62)</f>
        <v>141850.9604256466</v>
      </c>
      <c r="X62" s="18">
        <f>SUMIFS(Combined_Results[Achievable therm 2047], Combined_Results[[Sector]:[Sector]], $B62)</f>
        <v>129918.76846412488</v>
      </c>
      <c r="Y62" s="18">
        <f>SUMIFS(Combined_Results[Achievable therm 2048], Combined_Results[[Sector]:[Sector]], $B62)</f>
        <v>109804.72954320777</v>
      </c>
      <c r="Z62" s="18">
        <f>SUMIFS(Combined_Results[Achievable therm 2049], Combined_Results[[Sector]:[Sector]], $B62)</f>
        <v>100282.58773591835</v>
      </c>
      <c r="AA62" s="18">
        <f>SUMIFS(Combined_Results[Achievable therm 2050], Combined_Results[[Sector]:[Sector]], $B62)</f>
        <v>61660.114273480991</v>
      </c>
    </row>
    <row r="63" spans="2:27" x14ac:dyDescent="0.2">
      <c r="B63" s="16" t="s">
        <v>43</v>
      </c>
      <c r="C63" s="17">
        <f>SUMIFS(Combined_Results[Achievable therm 2026], Combined_Results[[Sector]:[Sector]], $B$62, Combined_Results[[End Use]:[End Use]], $B63)</f>
        <v>4000.8498329350377</v>
      </c>
      <c r="D63" s="17">
        <f>SUMIFS(Combined_Results[Achievable therm 2027], Combined_Results[[Sector]:[Sector]], $B$62, Combined_Results[[End Use]:[End Use]], $B63)</f>
        <v>5975.8288947126748</v>
      </c>
      <c r="E63" s="17">
        <f>SUMIFS(Combined_Results[Achievable therm 2028], Combined_Results[[Sector]:[Sector]], $B$62, Combined_Results[[End Use]:[End Use]], $B63)</f>
        <v>8756.6726273019667</v>
      </c>
      <c r="F63" s="17">
        <f>SUMIFS(Combined_Results[Achievable therm 2029], Combined_Results[[Sector]:[Sector]], $B$62, Combined_Results[[End Use]:[End Use]], $B63)</f>
        <v>12656.124309513852</v>
      </c>
      <c r="G63" s="17">
        <f>SUMIFS(Combined_Results[Achievable therm 2030], Combined_Results[[Sector]:[Sector]], $B$62, Combined_Results[[End Use]:[End Use]], $B63)</f>
        <v>17407.438019555564</v>
      </c>
      <c r="H63" s="17">
        <f>SUMIFS(Combined_Results[Achievable therm 2031], Combined_Results[[Sector]:[Sector]], $B$62, Combined_Results[[End Use]:[End Use]], $B63)</f>
        <v>22839.626539638411</v>
      </c>
      <c r="I63" s="17">
        <f>SUMIFS(Combined_Results[Achievable therm 2032], Combined_Results[[Sector]:[Sector]], $B$62, Combined_Results[[End Use]:[End Use]], $B63)</f>
        <v>28706.133802309461</v>
      </c>
      <c r="J63" s="17">
        <f>SUMIFS(Combined_Results[Achievable therm 2033], Combined_Results[[Sector]:[Sector]], $B$62, Combined_Results[[End Use]:[End Use]], $B63)</f>
        <v>34772.159182579882</v>
      </c>
      <c r="K63" s="17">
        <f>SUMIFS(Combined_Results[Achievable therm 2034], Combined_Results[[Sector]:[Sector]], $B$62, Combined_Results[[End Use]:[End Use]], $B63)</f>
        <v>40751.578885429539</v>
      </c>
      <c r="L63" s="17">
        <f>SUMIFS(Combined_Results[Achievable therm 2035], Combined_Results[[Sector]:[Sector]], $B$62, Combined_Results[[End Use]:[End Use]], $B63)</f>
        <v>45820.38901822293</v>
      </c>
      <c r="M63" s="17">
        <f>SUMIFS(Combined_Results[Achievable therm 2036], Combined_Results[[Sector]:[Sector]], $B$62, Combined_Results[[End Use]:[End Use]], $B63)</f>
        <v>50715.244252172219</v>
      </c>
      <c r="N63" s="17">
        <f>SUMIFS(Combined_Results[Achievable therm 2037], Combined_Results[[Sector]:[Sector]], $B$62, Combined_Results[[End Use]:[End Use]], $B63)</f>
        <v>55701.354988409919</v>
      </c>
      <c r="O63" s="17">
        <f>SUMIFS(Combined_Results[Achievable therm 2038], Combined_Results[[Sector]:[Sector]], $B$62, Combined_Results[[End Use]:[End Use]], $B63)</f>
        <v>64716.002037660743</v>
      </c>
      <c r="P63" s="17">
        <f>SUMIFS(Combined_Results[Achievable therm 2039], Combined_Results[[Sector]:[Sector]], $B$62, Combined_Results[[End Use]:[End Use]], $B63)</f>
        <v>71018.144944259038</v>
      </c>
      <c r="Q63" s="17">
        <f>SUMIFS(Combined_Results[Achievable therm 2040], Combined_Results[[Sector]:[Sector]], $B$62, Combined_Results[[End Use]:[End Use]], $B63)</f>
        <v>72392.877658911384</v>
      </c>
      <c r="R63" s="17">
        <f>SUMIFS(Combined_Results[Achievable therm 2041], Combined_Results[[Sector]:[Sector]], $B$62, Combined_Results[[End Use]:[End Use]], $B63)</f>
        <v>72520.704198857769</v>
      </c>
      <c r="S63" s="17">
        <f>SUMIFS(Combined_Results[Achievable therm 2042], Combined_Results[[Sector]:[Sector]], $B$62, Combined_Results[[End Use]:[End Use]], $B63)</f>
        <v>71366.681544356237</v>
      </c>
      <c r="T63" s="17">
        <f>SUMIFS(Combined_Results[Achievable therm 2043], Combined_Results[[Sector]:[Sector]], $B$62, Combined_Results[[End Use]:[End Use]], $B63)</f>
        <v>63150.584646489719</v>
      </c>
      <c r="U63" s="17">
        <f>SUMIFS(Combined_Results[Achievable therm 2044], Combined_Results[[Sector]:[Sector]], $B$62, Combined_Results[[End Use]:[End Use]], $B63)</f>
        <v>41717.912483101398</v>
      </c>
      <c r="V63" s="17">
        <f>SUMIFS(Combined_Results[Achievable therm 2045], Combined_Results[[Sector]:[Sector]], $B$62, Combined_Results[[End Use]:[End Use]], $B63)</f>
        <v>37226.40550746808</v>
      </c>
      <c r="W63" s="17">
        <f>SUMIFS(Combined_Results[Achievable therm 2046], Combined_Results[[Sector]:[Sector]], $B$62, Combined_Results[[End Use]:[End Use]], $B63)</f>
        <v>35973.612431780319</v>
      </c>
      <c r="X63" s="17">
        <f>SUMIFS(Combined_Results[Achievable therm 2047], Combined_Results[[Sector]:[Sector]], $B$62, Combined_Results[[End Use]:[End Use]], $B63)</f>
        <v>34424.436266250807</v>
      </c>
      <c r="Y63" s="17">
        <f>SUMIFS(Combined_Results[Achievable therm 2048], Combined_Results[[Sector]:[Sector]], $B$62, Combined_Results[[End Use]:[End Use]], $B63)</f>
        <v>21559.475201596448</v>
      </c>
      <c r="Z63" s="17">
        <f>SUMIFS(Combined_Results[Achievable therm 2049], Combined_Results[[Sector]:[Sector]], $B$62, Combined_Results[[End Use]:[End Use]], $B63)</f>
        <v>15759.586814595457</v>
      </c>
      <c r="AA63" s="17">
        <f>SUMIFS(Combined_Results[Achievable therm 2050], Combined_Results[[Sector]:[Sector]], $B$62, Combined_Results[[End Use]:[End Use]], $B63)</f>
        <v>15072.770944924929</v>
      </c>
    </row>
    <row r="64" spans="2:27" x14ac:dyDescent="0.2">
      <c r="B64" s="16" t="s">
        <v>46</v>
      </c>
      <c r="C64" s="17">
        <f>SUMIFS(Combined_Results[Achievable therm 2026], Combined_Results[[Sector]:[Sector]], $B$62, Combined_Results[[End Use]:[End Use]], $B64)</f>
        <v>84019.48372315451</v>
      </c>
      <c r="D64" s="17">
        <f>SUMIFS(Combined_Results[Achievable therm 2027], Combined_Results[[Sector]:[Sector]], $B$62, Combined_Results[[End Use]:[End Use]], $B64)</f>
        <v>97098.187597026903</v>
      </c>
      <c r="E64" s="17">
        <f>SUMIFS(Combined_Results[Achievable therm 2028], Combined_Results[[Sector]:[Sector]], $B$62, Combined_Results[[End Use]:[End Use]], $B64)</f>
        <v>110259.08371438885</v>
      </c>
      <c r="F64" s="17">
        <f>SUMIFS(Combined_Results[Achievable therm 2029], Combined_Results[[Sector]:[Sector]], $B$62, Combined_Results[[End Use]:[End Use]], $B64)</f>
        <v>128332.06875536981</v>
      </c>
      <c r="G64" s="17">
        <f>SUMIFS(Combined_Results[Achievable therm 2030], Combined_Results[[Sector]:[Sector]], $B$62, Combined_Results[[End Use]:[End Use]], $B64)</f>
        <v>140155.94371851438</v>
      </c>
      <c r="H64" s="17">
        <f>SUMIFS(Combined_Results[Achievable therm 2031], Combined_Results[[Sector]:[Sector]], $B$62, Combined_Results[[End Use]:[End Use]], $B64)</f>
        <v>142542.8257306114</v>
      </c>
      <c r="I64" s="17">
        <f>SUMIFS(Combined_Results[Achievable therm 2032], Combined_Results[[Sector]:[Sector]], $B$62, Combined_Results[[End Use]:[End Use]], $B64)</f>
        <v>133733.05016035563</v>
      </c>
      <c r="J64" s="17">
        <f>SUMIFS(Combined_Results[Achievable therm 2033], Combined_Results[[Sector]:[Sector]], $B$62, Combined_Results[[End Use]:[End Use]], $B64)</f>
        <v>114444.95219201413</v>
      </c>
      <c r="K64" s="17">
        <f>SUMIFS(Combined_Results[Achievable therm 2034], Combined_Results[[Sector]:[Sector]], $B$62, Combined_Results[[End Use]:[End Use]], $B64)</f>
        <v>77948.777908115298</v>
      </c>
      <c r="L64" s="17">
        <f>SUMIFS(Combined_Results[Achievable therm 2035], Combined_Results[[Sector]:[Sector]], $B$62, Combined_Results[[End Use]:[End Use]], $B64)</f>
        <v>31652.612947343059</v>
      </c>
      <c r="M64" s="17">
        <f>SUMIFS(Combined_Results[Achievable therm 2036], Combined_Results[[Sector]:[Sector]], $B$62, Combined_Results[[End Use]:[End Use]], $B64)</f>
        <v>2224.2148961821517</v>
      </c>
      <c r="N64" s="17">
        <f>SUMIFS(Combined_Results[Achievable therm 2037], Combined_Results[[Sector]:[Sector]], $B$62, Combined_Results[[End Use]:[End Use]], $B64)</f>
        <v>0</v>
      </c>
      <c r="O64" s="17">
        <f>SUMIFS(Combined_Results[Achievable therm 2038], Combined_Results[[Sector]:[Sector]], $B$62, Combined_Results[[End Use]:[End Use]], $B64)</f>
        <v>0</v>
      </c>
      <c r="P64" s="17">
        <f>SUMIFS(Combined_Results[Achievable therm 2039], Combined_Results[[Sector]:[Sector]], $B$62, Combined_Results[[End Use]:[End Use]], $B64)</f>
        <v>0</v>
      </c>
      <c r="Q64" s="17">
        <f>SUMIFS(Combined_Results[Achievable therm 2040], Combined_Results[[Sector]:[Sector]], $B$62, Combined_Results[[End Use]:[End Use]], $B64)</f>
        <v>0</v>
      </c>
      <c r="R64" s="17">
        <f>SUMIFS(Combined_Results[Achievable therm 2041], Combined_Results[[Sector]:[Sector]], $B$62, Combined_Results[[End Use]:[End Use]], $B64)</f>
        <v>0</v>
      </c>
      <c r="S64" s="17">
        <f>SUMIFS(Combined_Results[Achievable therm 2042], Combined_Results[[Sector]:[Sector]], $B$62, Combined_Results[[End Use]:[End Use]], $B64)</f>
        <v>0</v>
      </c>
      <c r="T64" s="17">
        <f>SUMIFS(Combined_Results[Achievable therm 2043], Combined_Results[[Sector]:[Sector]], $B$62, Combined_Results[[End Use]:[End Use]], $B64)</f>
        <v>0</v>
      </c>
      <c r="U64" s="17">
        <f>SUMIFS(Combined_Results[Achievable therm 2044], Combined_Results[[Sector]:[Sector]], $B$62, Combined_Results[[End Use]:[End Use]], $B64)</f>
        <v>0</v>
      </c>
      <c r="V64" s="17">
        <f>SUMIFS(Combined_Results[Achievable therm 2045], Combined_Results[[Sector]:[Sector]], $B$62, Combined_Results[[End Use]:[End Use]], $B64)</f>
        <v>0</v>
      </c>
      <c r="W64" s="17">
        <f>SUMIFS(Combined_Results[Achievable therm 2046], Combined_Results[[Sector]:[Sector]], $B$62, Combined_Results[[End Use]:[End Use]], $B64)</f>
        <v>0</v>
      </c>
      <c r="X64" s="17">
        <f>SUMIFS(Combined_Results[Achievable therm 2047], Combined_Results[[Sector]:[Sector]], $B$62, Combined_Results[[End Use]:[End Use]], $B64)</f>
        <v>0</v>
      </c>
      <c r="Y64" s="17">
        <f>SUMIFS(Combined_Results[Achievable therm 2048], Combined_Results[[Sector]:[Sector]], $B$62, Combined_Results[[End Use]:[End Use]], $B64)</f>
        <v>0</v>
      </c>
      <c r="Z64" s="17">
        <f>SUMIFS(Combined_Results[Achievable therm 2049], Combined_Results[[Sector]:[Sector]], $B$62, Combined_Results[[End Use]:[End Use]], $B64)</f>
        <v>0</v>
      </c>
      <c r="AA64" s="17">
        <f>SUMIFS(Combined_Results[Achievable therm 2050], Combined_Results[[Sector]:[Sector]], $B$62, Combined_Results[[End Use]:[End Use]], $B64)</f>
        <v>0</v>
      </c>
    </row>
    <row r="65" spans="2:27" x14ac:dyDescent="0.2">
      <c r="B65" s="16" t="s">
        <v>44</v>
      </c>
      <c r="C65" s="17">
        <f>SUMIFS(Combined_Results[Achievable therm 2026], Combined_Results[[Sector]:[Sector]], $B$62, Combined_Results[[End Use]:[End Use]], $B65)</f>
        <v>57012.361359268216</v>
      </c>
      <c r="D65" s="17">
        <f>SUMIFS(Combined_Results[Achievable therm 2027], Combined_Results[[Sector]:[Sector]], $B$62, Combined_Results[[End Use]:[End Use]], $B65)</f>
        <v>46540.734162084744</v>
      </c>
      <c r="E65" s="17">
        <f>SUMIFS(Combined_Results[Achievable therm 2028], Combined_Results[[Sector]:[Sector]], $B$62, Combined_Results[[End Use]:[End Use]], $B65)</f>
        <v>45310.953541944844</v>
      </c>
      <c r="F65" s="17">
        <f>SUMIFS(Combined_Results[Achievable therm 2029], Combined_Results[[Sector]:[Sector]], $B$62, Combined_Results[[End Use]:[End Use]], $B65)</f>
        <v>45615.081317636461</v>
      </c>
      <c r="G65" s="17">
        <f>SUMIFS(Combined_Results[Achievable therm 2030], Combined_Results[[Sector]:[Sector]], $B$62, Combined_Results[[End Use]:[End Use]], $B65)</f>
        <v>52402.573283619189</v>
      </c>
      <c r="H65" s="17">
        <f>SUMIFS(Combined_Results[Achievable therm 2031], Combined_Results[[Sector]:[Sector]], $B$62, Combined_Results[[End Use]:[End Use]], $B65)</f>
        <v>68713.446121708737</v>
      </c>
      <c r="I65" s="17">
        <f>SUMIFS(Combined_Results[Achievable therm 2032], Combined_Results[[Sector]:[Sector]], $B$62, Combined_Results[[End Use]:[End Use]], $B65)</f>
        <v>87688.225214580365</v>
      </c>
      <c r="J65" s="17">
        <f>SUMIFS(Combined_Results[Achievable therm 2033], Combined_Results[[Sector]:[Sector]], $B$62, Combined_Results[[End Use]:[End Use]], $B65)</f>
        <v>107473.77967518153</v>
      </c>
      <c r="K65" s="17">
        <f>SUMIFS(Combined_Results[Achievable therm 2034], Combined_Results[[Sector]:[Sector]], $B$62, Combined_Results[[End Use]:[End Use]], $B65)</f>
        <v>126567.8060699714</v>
      </c>
      <c r="L65" s="17">
        <f>SUMIFS(Combined_Results[Achievable therm 2035], Combined_Results[[Sector]:[Sector]], $B$62, Combined_Results[[End Use]:[End Use]], $B65)</f>
        <v>143188.72022635583</v>
      </c>
      <c r="M65" s="17">
        <f>SUMIFS(Combined_Results[Achievable therm 2036], Combined_Results[[Sector]:[Sector]], $B$62, Combined_Results[[End Use]:[End Use]], $B65)</f>
        <v>155495.02352416489</v>
      </c>
      <c r="N65" s="17">
        <f>SUMIFS(Combined_Results[Achievable therm 2037], Combined_Results[[Sector]:[Sector]], $B$62, Combined_Results[[End Use]:[End Use]], $B65)</f>
        <v>161867.65438374309</v>
      </c>
      <c r="O65" s="17">
        <f>SUMIFS(Combined_Results[Achievable therm 2038], Combined_Results[[Sector]:[Sector]], $B$62, Combined_Results[[End Use]:[End Use]], $B65)</f>
        <v>161255.93898017882</v>
      </c>
      <c r="P65" s="17">
        <f>SUMIFS(Combined_Results[Achievable therm 2039], Combined_Results[[Sector]:[Sector]], $B$62, Combined_Results[[End Use]:[End Use]], $B65)</f>
        <v>154243.31758510368</v>
      </c>
      <c r="Q65" s="17">
        <f>SUMIFS(Combined_Results[Achievable therm 2040], Combined_Results[[Sector]:[Sector]], $B$62, Combined_Results[[End Use]:[End Use]], $B65)</f>
        <v>141228.47783175265</v>
      </c>
      <c r="R65" s="17">
        <f>SUMIFS(Combined_Results[Achievable therm 2041], Combined_Results[[Sector]:[Sector]], $B$62, Combined_Results[[End Use]:[End Use]], $B65)</f>
        <v>118785.10684662341</v>
      </c>
      <c r="S65" s="17">
        <f>SUMIFS(Combined_Results[Achievable therm 2042], Combined_Results[[Sector]:[Sector]], $B$62, Combined_Results[[End Use]:[End Use]], $B65)</f>
        <v>99659.074681241895</v>
      </c>
      <c r="T65" s="17">
        <f>SUMIFS(Combined_Results[Achievable therm 2043], Combined_Results[[Sector]:[Sector]], $B$62, Combined_Results[[End Use]:[End Use]], $B65)</f>
        <v>87017.643590942622</v>
      </c>
      <c r="U65" s="17">
        <f>SUMIFS(Combined_Results[Achievable therm 2044], Combined_Results[[Sector]:[Sector]], $B$62, Combined_Results[[End Use]:[End Use]], $B65)</f>
        <v>68301.572332161057</v>
      </c>
      <c r="V65" s="17">
        <f>SUMIFS(Combined_Results[Achievable therm 2045], Combined_Results[[Sector]:[Sector]], $B$62, Combined_Results[[End Use]:[End Use]], $B65)</f>
        <v>65542.673118115505</v>
      </c>
      <c r="W65" s="17">
        <f>SUMIFS(Combined_Results[Achievable therm 2046], Combined_Results[[Sector]:[Sector]], $B$62, Combined_Results[[End Use]:[End Use]], $B65)</f>
        <v>66068.722352502868</v>
      </c>
      <c r="X65" s="17">
        <f>SUMIFS(Combined_Results[Achievable therm 2047], Combined_Results[[Sector]:[Sector]], $B$62, Combined_Results[[End Use]:[End Use]], $B65)</f>
        <v>65978.273448652064</v>
      </c>
      <c r="Y65" s="17">
        <f>SUMIFS(Combined_Results[Achievable therm 2048], Combined_Results[[Sector]:[Sector]], $B$62, Combined_Results[[End Use]:[End Use]], $B65)</f>
        <v>66507.212641714999</v>
      </c>
      <c r="Z65" s="17">
        <f>SUMIFS(Combined_Results[Achievable therm 2049], Combined_Results[[Sector]:[Sector]], $B$62, Combined_Results[[End Use]:[End Use]], $B65)</f>
        <v>66123.69715830205</v>
      </c>
      <c r="AA65" s="17">
        <f>SUMIFS(Combined_Results[Achievable therm 2050], Combined_Results[[Sector]:[Sector]], $B$62, Combined_Results[[End Use]:[End Use]], $B65)</f>
        <v>36204.259418884903</v>
      </c>
    </row>
    <row r="66" spans="2:27" x14ac:dyDescent="0.2">
      <c r="B66" s="16" t="s">
        <v>45</v>
      </c>
      <c r="C66" s="17">
        <f>SUMIFS(Combined_Results[Achievable therm 2026], Combined_Results[[Sector]:[Sector]], $B$62, Combined_Results[[End Use]:[End Use]], $B66)</f>
        <v>1277.513064193173</v>
      </c>
      <c r="D66" s="17">
        <f>SUMIFS(Combined_Results[Achievable therm 2027], Combined_Results[[Sector]:[Sector]], $B$62, Combined_Results[[End Use]:[End Use]], $B66)</f>
        <v>2588.6874840091632</v>
      </c>
      <c r="E66" s="17">
        <f>SUMIFS(Combined_Results[Achievable therm 2028], Combined_Results[[Sector]:[Sector]], $B$62, Combined_Results[[End Use]:[End Use]], $B66)</f>
        <v>4622.0446391521427</v>
      </c>
      <c r="F66" s="17">
        <f>SUMIFS(Combined_Results[Achievable therm 2029], Combined_Results[[Sector]:[Sector]], $B$62, Combined_Results[[End Use]:[End Use]], $B66)</f>
        <v>7453.836683838209</v>
      </c>
      <c r="G66" s="17">
        <f>SUMIFS(Combined_Results[Achievable therm 2030], Combined_Results[[Sector]:[Sector]], $B$62, Combined_Results[[End Use]:[End Use]], $B66)</f>
        <v>11152.052035481638</v>
      </c>
      <c r="H66" s="17">
        <f>SUMIFS(Combined_Results[Achievable therm 2031], Combined_Results[[Sector]:[Sector]], $B$62, Combined_Results[[End Use]:[End Use]], $B66)</f>
        <v>15648.824992754147</v>
      </c>
      <c r="I66" s="17">
        <f>SUMIFS(Combined_Results[Achievable therm 2032], Combined_Results[[Sector]:[Sector]], $B$62, Combined_Results[[End Use]:[End Use]], $B66)</f>
        <v>20771.877475538848</v>
      </c>
      <c r="J66" s="17">
        <f>SUMIFS(Combined_Results[Achievable therm 2033], Combined_Results[[Sector]:[Sector]], $B$62, Combined_Results[[End Use]:[End Use]], $B66)</f>
        <v>26260.353444005224</v>
      </c>
      <c r="K66" s="17">
        <f>SUMIFS(Combined_Results[Achievable therm 2034], Combined_Results[[Sector]:[Sector]], $B$62, Combined_Results[[End Use]:[End Use]], $B66)</f>
        <v>31789.51844810343</v>
      </c>
      <c r="L66" s="17">
        <f>SUMIFS(Combined_Results[Achievable therm 2035], Combined_Results[[Sector]:[Sector]], $B$62, Combined_Results[[End Use]:[End Use]], $B66)</f>
        <v>36999.11873330002</v>
      </c>
      <c r="M66" s="17">
        <f>SUMIFS(Combined_Results[Achievable therm 2036], Combined_Results[[Sector]:[Sector]], $B$62, Combined_Results[[End Use]:[End Use]], $B66)</f>
        <v>41526.013789679862</v>
      </c>
      <c r="N66" s="17">
        <f>SUMIFS(Combined_Results[Achievable therm 2037], Combined_Results[[Sector]:[Sector]], $B$62, Combined_Results[[End Use]:[End Use]], $B66)</f>
        <v>45045.677318822629</v>
      </c>
      <c r="O66" s="17">
        <f>SUMIFS(Combined_Results[Achievable therm 2038], Combined_Results[[Sector]:[Sector]], $B$62, Combined_Results[[End Use]:[End Use]], $B66)</f>
        <v>47324.588390153287</v>
      </c>
      <c r="P66" s="17">
        <f>SUMIFS(Combined_Results[Achievable therm 2039], Combined_Results[[Sector]:[Sector]], $B$62, Combined_Results[[End Use]:[End Use]], $B66)</f>
        <v>48275.741856622262</v>
      </c>
      <c r="Q66" s="17">
        <f>SUMIFS(Combined_Results[Achievable therm 2040], Combined_Results[[Sector]:[Sector]], $B$62, Combined_Results[[End Use]:[End Use]], $B66)</f>
        <v>47997.535518521712</v>
      </c>
      <c r="R66" s="17">
        <f>SUMIFS(Combined_Results[Achievable therm 2041], Combined_Results[[Sector]:[Sector]], $B$62, Combined_Results[[End Use]:[End Use]], $B66)</f>
        <v>48580.713489410417</v>
      </c>
      <c r="S66" s="17">
        <f>SUMIFS(Combined_Results[Achievable therm 2042], Combined_Results[[Sector]:[Sector]], $B$62, Combined_Results[[End Use]:[End Use]], $B66)</f>
        <v>47162.599556178779</v>
      </c>
      <c r="T66" s="17">
        <f>SUMIFS(Combined_Results[Achievable therm 2043], Combined_Results[[Sector]:[Sector]], $B$62, Combined_Results[[End Use]:[End Use]], $B66)</f>
        <v>44434.071430504773</v>
      </c>
      <c r="U66" s="17">
        <f>SUMIFS(Combined_Results[Achievable therm 2044], Combined_Results[[Sector]:[Sector]], $B$62, Combined_Results[[End Use]:[End Use]], $B66)</f>
        <v>41016.945512770071</v>
      </c>
      <c r="V66" s="17">
        <f>SUMIFS(Combined_Results[Achievable therm 2045], Combined_Results[[Sector]:[Sector]], $B$62, Combined_Results[[End Use]:[End Use]], $B66)</f>
        <v>40560.400772961613</v>
      </c>
      <c r="W66" s="17">
        <f>SUMIFS(Combined_Results[Achievable therm 2046], Combined_Results[[Sector]:[Sector]], $B$62, Combined_Results[[End Use]:[End Use]], $B66)</f>
        <v>39808.625641363433</v>
      </c>
      <c r="X66" s="17">
        <f>SUMIFS(Combined_Results[Achievable therm 2047], Combined_Results[[Sector]:[Sector]], $B$62, Combined_Results[[End Use]:[End Use]], $B66)</f>
        <v>29516.058749222</v>
      </c>
      <c r="Y66" s="17">
        <f>SUMIFS(Combined_Results[Achievable therm 2048], Combined_Results[[Sector]:[Sector]], $B$62, Combined_Results[[End Use]:[End Use]], $B66)</f>
        <v>21738.041699896257</v>
      </c>
      <c r="Z66" s="17">
        <f>SUMIFS(Combined_Results[Achievable therm 2049], Combined_Results[[Sector]:[Sector]], $B$62, Combined_Results[[End Use]:[End Use]], $B66)</f>
        <v>18399.303763020915</v>
      </c>
      <c r="AA66" s="17">
        <f>SUMIFS(Combined_Results[Achievable therm 2050], Combined_Results[[Sector]:[Sector]], $B$62, Combined_Results[[End Use]:[End Use]], $B66)</f>
        <v>10383.083909671175</v>
      </c>
    </row>
    <row r="67" spans="2:27" x14ac:dyDescent="0.2">
      <c r="B67" s="9" t="s">
        <v>33</v>
      </c>
      <c r="C67" s="18">
        <f>SUMIFS(Combined_Results[Achievable therm 2026], Combined_Results[[Sector]:[Sector]], $B67)</f>
        <v>27568.208573465083</v>
      </c>
      <c r="D67" s="18">
        <f>SUMIFS(Combined_Results[Achievable therm 2027], Combined_Results[[Sector]:[Sector]], $B67)</f>
        <v>49293.389953941565</v>
      </c>
      <c r="E67" s="18">
        <f>SUMIFS(Combined_Results[Achievable therm 2028], Combined_Results[[Sector]:[Sector]], $B67)</f>
        <v>81133.876254310744</v>
      </c>
      <c r="F67" s="18">
        <f>SUMIFS(Combined_Results[Achievable therm 2029], Combined_Results[[Sector]:[Sector]], $B67)</f>
        <v>124218.22500987219</v>
      </c>
      <c r="G67" s="18">
        <f>SUMIFS(Combined_Results[Achievable therm 2030], Combined_Results[[Sector]:[Sector]], $B67)</f>
        <v>179381.4557518324</v>
      </c>
      <c r="H67" s="18">
        <f>SUMIFS(Combined_Results[Achievable therm 2031], Combined_Results[[Sector]:[Sector]], $B67)</f>
        <v>246035.67734870018</v>
      </c>
      <c r="I67" s="18">
        <f>SUMIFS(Combined_Results[Achievable therm 2032], Combined_Results[[Sector]:[Sector]], $B67)</f>
        <v>321803.98968547088</v>
      </c>
      <c r="J67" s="18">
        <f>SUMIFS(Combined_Results[Achievable therm 2033], Combined_Results[[Sector]:[Sector]], $B67)</f>
        <v>402125.24840849353</v>
      </c>
      <c r="K67" s="18">
        <f>SUMIFS(Combined_Results[Achievable therm 2034], Combined_Results[[Sector]:[Sector]], $B67)</f>
        <v>480165.01185052103</v>
      </c>
      <c r="L67" s="18">
        <f>SUMIFS(Combined_Results[Achievable therm 2035], Combined_Results[[Sector]:[Sector]], $B67)</f>
        <v>547257.40326705424</v>
      </c>
      <c r="M67" s="18">
        <f>SUMIFS(Combined_Results[Achievable therm 2036], Combined_Results[[Sector]:[Sector]], $B67)</f>
        <v>594044.69304434722</v>
      </c>
      <c r="N67" s="18">
        <f>SUMIFS(Combined_Results[Achievable therm 2037], Combined_Results[[Sector]:[Sector]], $B67)</f>
        <v>612296.36961015698</v>
      </c>
      <c r="O67" s="18">
        <f>SUMIFS(Combined_Results[Achievable therm 2038], Combined_Results[[Sector]:[Sector]], $B67)</f>
        <v>597084.43667776894</v>
      </c>
      <c r="P67" s="18">
        <f>SUMIFS(Combined_Results[Achievable therm 2039], Combined_Results[[Sector]:[Sector]], $B67)</f>
        <v>550191.07967087661</v>
      </c>
      <c r="Q67" s="18">
        <f>SUMIFS(Combined_Results[Achievable therm 2040], Combined_Results[[Sector]:[Sector]], $B67)</f>
        <v>419495.83168027014</v>
      </c>
      <c r="R67" s="18">
        <f>SUMIFS(Combined_Results[Achievable therm 2041], Combined_Results[[Sector]:[Sector]], $B67)</f>
        <v>338738.30956878321</v>
      </c>
      <c r="S67" s="18">
        <f>SUMIFS(Combined_Results[Achievable therm 2042], Combined_Results[[Sector]:[Sector]], $B67)</f>
        <v>149508.36410895368</v>
      </c>
      <c r="T67" s="18">
        <f>SUMIFS(Combined_Results[Achievable therm 2043], Combined_Results[[Sector]:[Sector]], $B67)</f>
        <v>42397.539189268347</v>
      </c>
      <c r="U67" s="18">
        <f>SUMIFS(Combined_Results[Achievable therm 2044], Combined_Results[[Sector]:[Sector]], $B67)</f>
        <v>42495.487642415763</v>
      </c>
      <c r="V67" s="18">
        <f>SUMIFS(Combined_Results[Achievable therm 2045], Combined_Results[[Sector]:[Sector]], $B67)</f>
        <v>42419.474139826518</v>
      </c>
      <c r="W67" s="18">
        <f>SUMIFS(Combined_Results[Achievable therm 2046], Combined_Results[[Sector]:[Sector]], $B67)</f>
        <v>42154.78102490781</v>
      </c>
      <c r="X67" s="18">
        <f>SUMIFS(Combined_Results[Achievable therm 2047], Combined_Results[[Sector]:[Sector]], $B67)</f>
        <v>41829.687739869783</v>
      </c>
      <c r="Y67" s="18">
        <f>SUMIFS(Combined_Results[Achievable therm 2048], Combined_Results[[Sector]:[Sector]], $B67)</f>
        <v>41507.101636988577</v>
      </c>
      <c r="Z67" s="18">
        <f>SUMIFS(Combined_Results[Achievable therm 2049], Combined_Results[[Sector]:[Sector]], $B67)</f>
        <v>41187.003379580696</v>
      </c>
      <c r="AA67" s="18">
        <f>SUMIFS(Combined_Results[Achievable therm 2050], Combined_Results[[Sector]:[Sector]], $B67)</f>
        <v>40869.373780103895</v>
      </c>
    </row>
    <row r="68" spans="2:27" x14ac:dyDescent="0.2">
      <c r="B68" s="16" t="s">
        <v>44</v>
      </c>
      <c r="C68" s="17">
        <f>SUMIFS(Combined_Results[Achievable therm 2026], Combined_Results[[Sector]:[Sector]], $B$67, Combined_Results[[End Use]:[End Use]], $B68)</f>
        <v>13349.57755986226</v>
      </c>
      <c r="D68" s="17">
        <f>SUMIFS(Combined_Results[Achievable therm 2027], Combined_Results[[Sector]:[Sector]], $B$67, Combined_Results[[End Use]:[End Use]], $B68)</f>
        <v>23870.827149630357</v>
      </c>
      <c r="E68" s="17">
        <f>SUMIFS(Combined_Results[Achievable therm 2028], Combined_Results[[Sector]:[Sector]], $B$67, Combined_Results[[End Use]:[End Use]], $B68)</f>
        <v>39146.386249241557</v>
      </c>
      <c r="F68" s="17">
        <f>SUMIFS(Combined_Results[Achievable therm 2029], Combined_Results[[Sector]:[Sector]], $B$67, Combined_Results[[End Use]:[End Use]], $B68)</f>
        <v>59889.320570213014</v>
      </c>
      <c r="G68" s="17">
        <f>SUMIFS(Combined_Results[Achievable therm 2030], Combined_Results[[Sector]:[Sector]], $B$67, Combined_Results[[End Use]:[End Use]], $B68)</f>
        <v>86423.7992992496</v>
      </c>
      <c r="H68" s="17">
        <f>SUMIFS(Combined_Results[Achievable therm 2031], Combined_Results[[Sector]:[Sector]], $B$67, Combined_Results[[End Use]:[End Use]], $B68)</f>
        <v>118452.72792775111</v>
      </c>
      <c r="I68" s="17">
        <f>SUMIFS(Combined_Results[Achievable therm 2032], Combined_Results[[Sector]:[Sector]], $B$67, Combined_Results[[End Use]:[End Use]], $B68)</f>
        <v>154815.38696347026</v>
      </c>
      <c r="J68" s="17">
        <f>SUMIFS(Combined_Results[Achievable therm 2033], Combined_Results[[Sector]:[Sector]], $B$67, Combined_Results[[End Use]:[End Use]], $B68)</f>
        <v>193298.705437267</v>
      </c>
      <c r="K68" s="17">
        <f>SUMIFS(Combined_Results[Achievable therm 2034], Combined_Results[[Sector]:[Sector]], $B$67, Combined_Results[[End Use]:[End Use]], $B68)</f>
        <v>230597.07218926869</v>
      </c>
      <c r="L68" s="17">
        <f>SUMIFS(Combined_Results[Achievable therm 2035], Combined_Results[[Sector]:[Sector]], $B$67, Combined_Results[[End Use]:[End Use]], $B68)</f>
        <v>262528.8368839075</v>
      </c>
      <c r="M68" s="17">
        <f>SUMIFS(Combined_Results[Achievable therm 2036], Combined_Results[[Sector]:[Sector]], $B$67, Combined_Results[[End Use]:[End Use]], $B68)</f>
        <v>284589.26527853339</v>
      </c>
      <c r="N68" s="17">
        <f>SUMIFS(Combined_Results[Achievable therm 2037], Combined_Results[[Sector]:[Sector]], $B$67, Combined_Results[[End Use]:[End Use]], $B68)</f>
        <v>292829.99378765572</v>
      </c>
      <c r="O68" s="17">
        <f>SUMIFS(Combined_Results[Achievable therm 2038], Combined_Results[[Sector]:[Sector]], $B$67, Combined_Results[[End Use]:[End Use]], $B68)</f>
        <v>284907.68331867259</v>
      </c>
      <c r="P68" s="17">
        <f>SUMIFS(Combined_Results[Achievable therm 2039], Combined_Results[[Sector]:[Sector]], $B$67, Combined_Results[[End Use]:[End Use]], $B68)</f>
        <v>261724.60275863911</v>
      </c>
      <c r="Q68" s="17">
        <f>SUMIFS(Combined_Results[Achievable therm 2040], Combined_Results[[Sector]:[Sector]], $B$67, Combined_Results[[End Use]:[End Use]], $B68)</f>
        <v>198139.52530077592</v>
      </c>
      <c r="R68" s="17">
        <f>SUMIFS(Combined_Results[Achievable therm 2041], Combined_Results[[Sector]:[Sector]], $B$67, Combined_Results[[End Use]:[End Use]], $B68)</f>
        <v>158786.30361826741</v>
      </c>
      <c r="S68" s="17">
        <f>SUMIFS(Combined_Results[Achievable therm 2042], Combined_Results[[Sector]:[Sector]], $B$67, Combined_Results[[End Use]:[End Use]], $B68)</f>
        <v>67250.346133020808</v>
      </c>
      <c r="T68" s="17">
        <f>SUMIFS(Combined_Results[Achievable therm 2043], Combined_Results[[Sector]:[Sector]], $B$67, Combined_Results[[End Use]:[End Use]], $B68)</f>
        <v>15403.787817992008</v>
      </c>
      <c r="U68" s="17">
        <f>SUMIFS(Combined_Results[Achievable therm 2044], Combined_Results[[Sector]:[Sector]], $B$67, Combined_Results[[End Use]:[End Use]], $B68)</f>
        <v>15347.140907610234</v>
      </c>
      <c r="V68" s="17">
        <f>SUMIFS(Combined_Results[Achievable therm 2045], Combined_Results[[Sector]:[Sector]], $B$67, Combined_Results[[End Use]:[End Use]], $B68)</f>
        <v>15229.532839368338</v>
      </c>
      <c r="W68" s="17">
        <f>SUMIFS(Combined_Results[Achievable therm 2046], Combined_Results[[Sector]:[Sector]], $B$67, Combined_Results[[End Use]:[End Use]], $B68)</f>
        <v>15112.277360199927</v>
      </c>
      <c r="X68" s="17">
        <f>SUMIFS(Combined_Results[Achievable therm 2047], Combined_Results[[Sector]:[Sector]], $B$67, Combined_Results[[End Use]:[End Use]], $B68)</f>
        <v>14995.743206005753</v>
      </c>
      <c r="Y68" s="17">
        <f>SUMIFS(Combined_Results[Achievable therm 2048], Combined_Results[[Sector]:[Sector]], $B$67, Combined_Results[[End Use]:[End Use]], $B68)</f>
        <v>14880.107700420302</v>
      </c>
      <c r="Z68" s="17">
        <f>SUMIFS(Combined_Results[Achievable therm 2049], Combined_Results[[Sector]:[Sector]], $B$67, Combined_Results[[End Use]:[End Use]], $B68)</f>
        <v>14765.363913317466</v>
      </c>
      <c r="AA68" s="17">
        <f>SUMIFS(Combined_Results[Achievable therm 2050], Combined_Results[[Sector]:[Sector]], $B$67, Combined_Results[[End Use]:[End Use]], $B68)</f>
        <v>14651.504968016281</v>
      </c>
    </row>
    <row r="69" spans="2:27" x14ac:dyDescent="0.2">
      <c r="B69" s="16" t="s">
        <v>47</v>
      </c>
      <c r="C69" s="17">
        <f>SUMIFS(Combined_Results[Achievable therm 2026], Combined_Results[[Sector]:[Sector]], $B$67, Combined_Results[[End Use]:[End Use]], $B69)</f>
        <v>11263.580477282971</v>
      </c>
      <c r="D69" s="17">
        <f>SUMIFS(Combined_Results[Achievable therm 2027], Combined_Results[[Sector]:[Sector]], $B$67, Combined_Results[[End Use]:[End Use]], $B69)</f>
        <v>20595.892558722619</v>
      </c>
      <c r="E69" s="17">
        <f>SUMIFS(Combined_Results[Achievable therm 2028], Combined_Results[[Sector]:[Sector]], $B$67, Combined_Results[[End Use]:[End Use]], $B69)</f>
        <v>34336.724922735251</v>
      </c>
      <c r="F69" s="17">
        <f>SUMIFS(Combined_Results[Achievable therm 2029], Combined_Results[[Sector]:[Sector]], $B$67, Combined_Results[[End Use]:[End Use]], $B69)</f>
        <v>53206.465666375727</v>
      </c>
      <c r="G69" s="17">
        <f>SUMIFS(Combined_Results[Achievable therm 2030], Combined_Results[[Sector]:[Sector]], $B$67, Combined_Results[[End Use]:[End Use]], $B69)</f>
        <v>77584.357135978717</v>
      </c>
      <c r="H69" s="17">
        <f>SUMIFS(Combined_Results[Achievable therm 2031], Combined_Results[[Sector]:[Sector]], $B$67, Combined_Results[[End Use]:[End Use]], $B69)</f>
        <v>107289.92855676438</v>
      </c>
      <c r="I69" s="17">
        <f>SUMIFS(Combined_Results[Achievable therm 2032], Combined_Results[[Sector]:[Sector]], $B$67, Combined_Results[[End Use]:[End Use]], $B69)</f>
        <v>141346.03489739296</v>
      </c>
      <c r="J69" s="17">
        <f>SUMIFS(Combined_Results[Achievable therm 2033], Combined_Results[[Sector]:[Sector]], $B$67, Combined_Results[[End Use]:[End Use]], $B69)</f>
        <v>177779.28189157366</v>
      </c>
      <c r="K69" s="17">
        <f>SUMIFS(Combined_Results[Achievable therm 2034], Combined_Results[[Sector]:[Sector]], $B$67, Combined_Results[[End Use]:[End Use]], $B69)</f>
        <v>213545.69777004857</v>
      </c>
      <c r="L69" s="17">
        <f>SUMIFS(Combined_Results[Achievable therm 2035], Combined_Results[[Sector]:[Sector]], $B$67, Combined_Results[[End Use]:[End Use]], $B69)</f>
        <v>244688.45582451235</v>
      </c>
      <c r="M69" s="17">
        <f>SUMIFS(Combined_Results[Achievable therm 2036], Combined_Results[[Sector]:[Sector]], $B$67, Combined_Results[[End Use]:[End Use]], $B69)</f>
        <v>266817.3656675627</v>
      </c>
      <c r="N69" s="17">
        <f>SUMIFS(Combined_Results[Achievable therm 2037], Combined_Results[[Sector]:[Sector]], $B$67, Combined_Results[[End Use]:[End Use]], $B69)</f>
        <v>275924.33793603833</v>
      </c>
      <c r="O69" s="17">
        <f>SUMIFS(Combined_Results[Achievable therm 2038], Combined_Results[[Sector]:[Sector]], $B$67, Combined_Results[[End Use]:[End Use]], $B69)</f>
        <v>269411.05821183487</v>
      </c>
      <c r="P69" s="17">
        <f>SUMIFS(Combined_Results[Achievable therm 2039], Combined_Results[[Sector]:[Sector]], $B$67, Combined_Results[[End Use]:[End Use]], $B69)</f>
        <v>247541.46057487928</v>
      </c>
      <c r="Q69" s="17">
        <f>SUMIFS(Combined_Results[Achievable therm 2040], Combined_Results[[Sector]:[Sector]], $B$67, Combined_Results[[End Use]:[End Use]], $B69)</f>
        <v>193812.00558795949</v>
      </c>
      <c r="R69" s="17">
        <f>SUMIFS(Combined_Results[Achievable therm 2041], Combined_Results[[Sector]:[Sector]], $B$67, Combined_Results[[End Use]:[End Use]], $B69)</f>
        <v>154368.99898577275</v>
      </c>
      <c r="S69" s="17">
        <f>SUMIFS(Combined_Results[Achievable therm 2042], Combined_Results[[Sector]:[Sector]], $B$67, Combined_Results[[End Use]:[End Use]], $B69)</f>
        <v>55832.351666149327</v>
      </c>
      <c r="T69" s="17">
        <f>SUMIFS(Combined_Results[Achievable therm 2043], Combined_Results[[Sector]:[Sector]], $B$67, Combined_Results[[End Use]:[End Use]], $B69)</f>
        <v>0</v>
      </c>
      <c r="U69" s="17">
        <f>SUMIFS(Combined_Results[Achievable therm 2044], Combined_Results[[Sector]:[Sector]], $B$67, Combined_Results[[End Use]:[End Use]], $B69)</f>
        <v>0</v>
      </c>
      <c r="V69" s="17">
        <f>SUMIFS(Combined_Results[Achievable therm 2045], Combined_Results[[Sector]:[Sector]], $B$67, Combined_Results[[End Use]:[End Use]], $B69)</f>
        <v>0</v>
      </c>
      <c r="W69" s="17">
        <f>SUMIFS(Combined_Results[Achievable therm 2046], Combined_Results[[Sector]:[Sector]], $B$67, Combined_Results[[End Use]:[End Use]], $B69)</f>
        <v>0</v>
      </c>
      <c r="X69" s="17">
        <f>SUMIFS(Combined_Results[Achievable therm 2047], Combined_Results[[Sector]:[Sector]], $B$67, Combined_Results[[End Use]:[End Use]], $B69)</f>
        <v>0</v>
      </c>
      <c r="Y69" s="17">
        <f>SUMIFS(Combined_Results[Achievable therm 2048], Combined_Results[[Sector]:[Sector]], $B$67, Combined_Results[[End Use]:[End Use]], $B69)</f>
        <v>0</v>
      </c>
      <c r="Z69" s="17">
        <f>SUMIFS(Combined_Results[Achievable therm 2049], Combined_Results[[Sector]:[Sector]], $B$67, Combined_Results[[End Use]:[End Use]], $B69)</f>
        <v>0</v>
      </c>
      <c r="AA69" s="17">
        <f>SUMIFS(Combined_Results[Achievable therm 2050], Combined_Results[[Sector]:[Sector]], $B$67, Combined_Results[[End Use]:[End Use]], $B69)</f>
        <v>0</v>
      </c>
    </row>
    <row r="70" spans="2:27" x14ac:dyDescent="0.2">
      <c r="B70" s="16" t="s">
        <v>45</v>
      </c>
      <c r="C70" s="17">
        <f>SUMIFS(Combined_Results[Achievable therm 2026], Combined_Results[[Sector]:[Sector]], $B$67, Combined_Results[[End Use]:[End Use]], $B70)</f>
        <v>225.01468225816222</v>
      </c>
      <c r="D70" s="17">
        <f>SUMIFS(Combined_Results[Achievable therm 2027], Combined_Results[[Sector]:[Sector]], $B$67, Combined_Results[[End Use]:[End Use]], $B70)</f>
        <v>420.13677784298227</v>
      </c>
      <c r="E70" s="17">
        <f>SUMIFS(Combined_Results[Achievable therm 2028], Combined_Results[[Sector]:[Sector]], $B$67, Combined_Results[[End Use]:[End Use]], $B70)</f>
        <v>1013.8395784550173</v>
      </c>
      <c r="F70" s="17">
        <f>SUMIFS(Combined_Results[Achievable therm 2029], Combined_Results[[Sector]:[Sector]], $B$67, Combined_Results[[End Use]:[End Use]], $B70)</f>
        <v>1690.2426880354828</v>
      </c>
      <c r="G70" s="17">
        <f>SUMIFS(Combined_Results[Achievable therm 2030], Combined_Results[[Sector]:[Sector]], $B$67, Combined_Results[[End Use]:[End Use]], $B70)</f>
        <v>2641.8607732379041</v>
      </c>
      <c r="H70" s="17">
        <f>SUMIFS(Combined_Results[Achievable therm 2031], Combined_Results[[Sector]:[Sector]], $B$67, Combined_Results[[End Use]:[End Use]], $B70)</f>
        <v>3915.7490886330002</v>
      </c>
      <c r="I70" s="17">
        <f>SUMIFS(Combined_Results[Achievable therm 2032], Combined_Results[[Sector]:[Sector]], $B$67, Combined_Results[[End Use]:[End Use]], $B70)</f>
        <v>5542.9034486835271</v>
      </c>
      <c r="J70" s="17">
        <f>SUMIFS(Combined_Results[Achievable therm 2033], Combined_Results[[Sector]:[Sector]], $B$67, Combined_Results[[End Use]:[End Use]], $B70)</f>
        <v>7527.7564641501613</v>
      </c>
      <c r="K70" s="17">
        <f>SUMIFS(Combined_Results[Achievable therm 2034], Combined_Results[[Sector]:[Sector]], $B$67, Combined_Results[[End Use]:[End Use]], $B70)</f>
        <v>9838.3658496683402</v>
      </c>
      <c r="L70" s="17">
        <f>SUMIFS(Combined_Results[Achievable therm 2035], Combined_Results[[Sector]:[Sector]], $B$67, Combined_Results[[End Use]:[End Use]], $B70)</f>
        <v>12400.191084748478</v>
      </c>
      <c r="M70" s="17">
        <f>SUMIFS(Combined_Results[Achievable therm 2036], Combined_Results[[Sector]:[Sector]], $B$67, Combined_Results[[End Use]:[End Use]], $B70)</f>
        <v>15096.777832107948</v>
      </c>
      <c r="N70" s="17">
        <f>SUMIFS(Combined_Results[Achievable therm 2037], Combined_Results[[Sector]:[Sector]], $B$67, Combined_Results[[End Use]:[End Use]], $B70)</f>
        <v>17779.934561828479</v>
      </c>
      <c r="O70" s="17">
        <f>SUMIFS(Combined_Results[Achievable therm 2038], Combined_Results[[Sector]:[Sector]], $B$67, Combined_Results[[End Use]:[End Use]], $B70)</f>
        <v>20289.70926285618</v>
      </c>
      <c r="P70" s="17">
        <f>SUMIFS(Combined_Results[Achievable therm 2039], Combined_Results[[Sector]:[Sector]], $B$67, Combined_Results[[End Use]:[End Use]], $B70)</f>
        <v>22480.956319198329</v>
      </c>
      <c r="Q70" s="17">
        <f>SUMIFS(Combined_Results[Achievable therm 2040], Combined_Results[[Sector]:[Sector]], $B$67, Combined_Results[[End Use]:[End Use]], $B70)</f>
        <v>24249.786175591849</v>
      </c>
      <c r="R70" s="17">
        <f>SUMIFS(Combined_Results[Achievable therm 2041], Combined_Results[[Sector]:[Sector]], $B$67, Combined_Results[[End Use]:[End Use]], $B70)</f>
        <v>25583.006964743057</v>
      </c>
      <c r="S70" s="17">
        <f>SUMIFS(Combined_Results[Achievable therm 2042], Combined_Results[[Sector]:[Sector]], $B$67, Combined_Results[[End Use]:[End Use]], $B70)</f>
        <v>26425.666309783446</v>
      </c>
      <c r="T70" s="17">
        <f>SUMIFS(Combined_Results[Achievable therm 2043], Combined_Results[[Sector]:[Sector]], $B$67, Combined_Results[[End Use]:[End Use]], $B70)</f>
        <v>26993.751371276336</v>
      </c>
      <c r="U70" s="17">
        <f>SUMIFS(Combined_Results[Achievable therm 2044], Combined_Results[[Sector]:[Sector]], $B$67, Combined_Results[[End Use]:[End Use]], $B70)</f>
        <v>27148.346734805535</v>
      </c>
      <c r="V70" s="17">
        <f>SUMIFS(Combined_Results[Achievable therm 2045], Combined_Results[[Sector]:[Sector]], $B$67, Combined_Results[[End Use]:[End Use]], $B70)</f>
        <v>27189.94130045818</v>
      </c>
      <c r="W70" s="17">
        <f>SUMIFS(Combined_Results[Achievable therm 2046], Combined_Results[[Sector]:[Sector]], $B$67, Combined_Results[[End Use]:[End Use]], $B70)</f>
        <v>27042.503664707896</v>
      </c>
      <c r="X70" s="17">
        <f>SUMIFS(Combined_Results[Achievable therm 2047], Combined_Results[[Sector]:[Sector]], $B$67, Combined_Results[[End Use]:[End Use]], $B70)</f>
        <v>26833.94453386404</v>
      </c>
      <c r="Y70" s="17">
        <f>SUMIFS(Combined_Results[Achievable therm 2048], Combined_Results[[Sector]:[Sector]], $B$67, Combined_Results[[End Use]:[End Use]], $B70)</f>
        <v>26626.993936568288</v>
      </c>
      <c r="Z70" s="17">
        <f>SUMIFS(Combined_Results[Achievable therm 2049], Combined_Results[[Sector]:[Sector]], $B$67, Combined_Results[[End Use]:[End Use]], $B70)</f>
        <v>26421.639466263237</v>
      </c>
      <c r="AA70" s="17">
        <f>SUMIFS(Combined_Results[Achievable therm 2050], Combined_Results[[Sector]:[Sector]], $B$67, Combined_Results[[End Use]:[End Use]], $B70)</f>
        <v>26217.868812087621</v>
      </c>
    </row>
    <row r="71" spans="2:27" x14ac:dyDescent="0.2">
      <c r="B71" s="16" t="s">
        <v>46</v>
      </c>
      <c r="C71" s="17">
        <f>SUMIFS(Combined_Results[Achievable therm 2026], Combined_Results[[Sector]:[Sector]], $B$67, Combined_Results[[End Use]:[End Use]], $B71)</f>
        <v>2730.0358540616817</v>
      </c>
      <c r="D71" s="17">
        <f>SUMIFS(Combined_Results[Achievable therm 2027], Combined_Results[[Sector]:[Sector]], $B$67, Combined_Results[[End Use]:[End Use]], $B71)</f>
        <v>4406.5334677455685</v>
      </c>
      <c r="E71" s="17">
        <f>SUMIFS(Combined_Results[Achievable therm 2028], Combined_Results[[Sector]:[Sector]], $B$67, Combined_Results[[End Use]:[End Use]], $B71)</f>
        <v>6636.9255038788715</v>
      </c>
      <c r="F71" s="17">
        <f>SUMIFS(Combined_Results[Achievable therm 2029], Combined_Results[[Sector]:[Sector]], $B$67, Combined_Results[[End Use]:[End Use]], $B71)</f>
        <v>9432.1960852479879</v>
      </c>
      <c r="G71" s="17">
        <f>SUMIFS(Combined_Results[Achievable therm 2030], Combined_Results[[Sector]:[Sector]], $B$67, Combined_Results[[End Use]:[End Use]], $B71)</f>
        <v>12731.438543366046</v>
      </c>
      <c r="H71" s="17">
        <f>SUMIFS(Combined_Results[Achievable therm 2031], Combined_Results[[Sector]:[Sector]], $B$67, Combined_Results[[End Use]:[End Use]], $B71)</f>
        <v>16377.271775551195</v>
      </c>
      <c r="I71" s="17">
        <f>SUMIFS(Combined_Results[Achievable therm 2032], Combined_Results[[Sector]:[Sector]], $B$67, Combined_Results[[End Use]:[End Use]], $B71)</f>
        <v>20099.664375923887</v>
      </c>
      <c r="J71" s="17">
        <f>SUMIFS(Combined_Results[Achievable therm 2033], Combined_Results[[Sector]:[Sector]], $B$67, Combined_Results[[End Use]:[End Use]], $B71)</f>
        <v>23519.504615502457</v>
      </c>
      <c r="K71" s="17">
        <f>SUMIFS(Combined_Results[Achievable therm 2034], Combined_Results[[Sector]:[Sector]], $B$67, Combined_Results[[End Use]:[End Use]], $B71)</f>
        <v>26183.876041534972</v>
      </c>
      <c r="L71" s="17">
        <f>SUMIFS(Combined_Results[Achievable therm 2035], Combined_Results[[Sector]:[Sector]], $B$67, Combined_Results[[End Use]:[End Use]], $B71)</f>
        <v>27639.919473886388</v>
      </c>
      <c r="M71" s="17">
        <f>SUMIFS(Combined_Results[Achievable therm 2036], Combined_Results[[Sector]:[Sector]], $B$67, Combined_Results[[End Use]:[End Use]], $B71)</f>
        <v>27541.284266143586</v>
      </c>
      <c r="N71" s="17">
        <f>SUMIFS(Combined_Results[Achievable therm 2037], Combined_Results[[Sector]:[Sector]], $B$67, Combined_Results[[End Use]:[End Use]], $B71)</f>
        <v>25762.103324634591</v>
      </c>
      <c r="O71" s="17">
        <f>SUMIFS(Combined_Results[Achievable therm 2038], Combined_Results[[Sector]:[Sector]], $B$67, Combined_Results[[End Use]:[End Use]], $B71)</f>
        <v>22475.985884405425</v>
      </c>
      <c r="P71" s="17">
        <f>SUMIFS(Combined_Results[Achievable therm 2039], Combined_Results[[Sector]:[Sector]], $B$67, Combined_Results[[End Use]:[End Use]], $B71)</f>
        <v>18444.060018159485</v>
      </c>
      <c r="Q71" s="17">
        <f>SUMIFS(Combined_Results[Achievable therm 2040], Combined_Results[[Sector]:[Sector]], $B$67, Combined_Results[[End Use]:[End Use]], $B71)</f>
        <v>3294.5146159423703</v>
      </c>
      <c r="R71" s="17">
        <f>SUMIFS(Combined_Results[Achievable therm 2041], Combined_Results[[Sector]:[Sector]], $B$67, Combined_Results[[End Use]:[End Use]], $B71)</f>
        <v>0</v>
      </c>
      <c r="S71" s="17">
        <f>SUMIFS(Combined_Results[Achievable therm 2042], Combined_Results[[Sector]:[Sector]], $B$67, Combined_Results[[End Use]:[End Use]], $B71)</f>
        <v>0</v>
      </c>
      <c r="T71" s="17">
        <f>SUMIFS(Combined_Results[Achievable therm 2043], Combined_Results[[Sector]:[Sector]], $B$67, Combined_Results[[End Use]:[End Use]], $B71)</f>
        <v>0</v>
      </c>
      <c r="U71" s="17">
        <f>SUMIFS(Combined_Results[Achievable therm 2044], Combined_Results[[Sector]:[Sector]], $B$67, Combined_Results[[End Use]:[End Use]], $B71)</f>
        <v>0</v>
      </c>
      <c r="V71" s="17">
        <f>SUMIFS(Combined_Results[Achievable therm 2045], Combined_Results[[Sector]:[Sector]], $B$67, Combined_Results[[End Use]:[End Use]], $B71)</f>
        <v>0</v>
      </c>
      <c r="W71" s="17">
        <f>SUMIFS(Combined_Results[Achievable therm 2046], Combined_Results[[Sector]:[Sector]], $B$67, Combined_Results[[End Use]:[End Use]], $B71)</f>
        <v>0</v>
      </c>
      <c r="X71" s="17">
        <f>SUMIFS(Combined_Results[Achievable therm 2047], Combined_Results[[Sector]:[Sector]], $B$67, Combined_Results[[End Use]:[End Use]], $B71)</f>
        <v>0</v>
      </c>
      <c r="Y71" s="17">
        <f>SUMIFS(Combined_Results[Achievable therm 2048], Combined_Results[[Sector]:[Sector]], $B$67, Combined_Results[[End Use]:[End Use]], $B71)</f>
        <v>0</v>
      </c>
      <c r="Z71" s="17">
        <f>SUMIFS(Combined_Results[Achievable therm 2049], Combined_Results[[Sector]:[Sector]], $B$67, Combined_Results[[End Use]:[End Use]], $B71)</f>
        <v>0</v>
      </c>
      <c r="AA71" s="17">
        <f>SUMIFS(Combined_Results[Achievable therm 2050], Combined_Results[[Sector]:[Sector]], $B$67, Combined_Results[[End Use]:[End Use]], $B71)</f>
        <v>0</v>
      </c>
    </row>
    <row r="72" spans="2:27" ht="13.5" thickBot="1" x14ac:dyDescent="0.25">
      <c r="B72" s="14" t="s">
        <v>34</v>
      </c>
      <c r="C72" s="15">
        <f>SUM(C57,C62,C67)</f>
        <v>306222.30560265534</v>
      </c>
      <c r="D72" s="15">
        <f t="shared" ref="D72:AA72" si="39">SUM(D57,D62,D67)</f>
        <v>375445.14311321557</v>
      </c>
      <c r="E72" s="15">
        <f t="shared" si="39"/>
        <v>487957.44374505652</v>
      </c>
      <c r="F72" s="15">
        <f t="shared" si="39"/>
        <v>628045.7151290098</v>
      </c>
      <c r="G72" s="15">
        <f t="shared" si="39"/>
        <v>796622.66106248763</v>
      </c>
      <c r="H72" s="15">
        <f t="shared" si="39"/>
        <v>995992.94415982673</v>
      </c>
      <c r="I72" s="15">
        <f t="shared" si="39"/>
        <v>1210896.1417397053</v>
      </c>
      <c r="J72" s="15">
        <f t="shared" si="39"/>
        <v>1428367.1026483744</v>
      </c>
      <c r="K72" s="15">
        <f t="shared" si="39"/>
        <v>1622855.9317026278</v>
      </c>
      <c r="L72" s="15">
        <f t="shared" si="39"/>
        <v>1777761.2537212311</v>
      </c>
      <c r="M72" s="15">
        <f t="shared" si="39"/>
        <v>1896023.1873379892</v>
      </c>
      <c r="N72" s="15">
        <f t="shared" si="39"/>
        <v>1963004.2061605328</v>
      </c>
      <c r="O72" s="15">
        <f t="shared" si="39"/>
        <v>1952472.0035126559</v>
      </c>
      <c r="P72" s="15">
        <f t="shared" si="39"/>
        <v>1859091.152471879</v>
      </c>
      <c r="Q72" s="15">
        <f t="shared" si="39"/>
        <v>1632078.1327348545</v>
      </c>
      <c r="R72" s="15">
        <f t="shared" si="39"/>
        <v>1427256.8438436794</v>
      </c>
      <c r="S72" s="15">
        <f t="shared" si="39"/>
        <v>1084448.3936013135</v>
      </c>
      <c r="T72" s="15">
        <f t="shared" si="39"/>
        <v>849882.49361672753</v>
      </c>
      <c r="U72" s="15">
        <f t="shared" si="39"/>
        <v>651566.31607040577</v>
      </c>
      <c r="V72" s="15">
        <f t="shared" si="39"/>
        <v>622960.47255740722</v>
      </c>
      <c r="W72" s="15">
        <f t="shared" si="39"/>
        <v>610306.85992128088</v>
      </c>
      <c r="X72" s="15">
        <f t="shared" si="39"/>
        <v>593292.98608222348</v>
      </c>
      <c r="Y72" s="15">
        <f t="shared" si="39"/>
        <v>567401.22564868256</v>
      </c>
      <c r="Z72" s="15">
        <f t="shared" si="39"/>
        <v>549540.84473186044</v>
      </c>
      <c r="AA72" s="15">
        <f t="shared" si="39"/>
        <v>456296.90672899352</v>
      </c>
    </row>
    <row r="73" spans="2:27" ht="15" x14ac:dyDescent="0.25">
      <c r="O73"/>
      <c r="P73"/>
      <c r="Q73"/>
    </row>
    <row r="74" spans="2:27" x14ac:dyDescent="0.2">
      <c r="B74" s="9" t="s">
        <v>48</v>
      </c>
    </row>
    <row r="75" spans="2:27" x14ac:dyDescent="0.2">
      <c r="B75" s="11"/>
      <c r="C75" s="12">
        <v>2026</v>
      </c>
      <c r="D75" s="12">
        <v>2027</v>
      </c>
      <c r="E75" s="12">
        <v>2028</v>
      </c>
      <c r="F75" s="12">
        <v>2029</v>
      </c>
      <c r="G75" s="12">
        <v>2030</v>
      </c>
      <c r="H75" s="12">
        <v>2031</v>
      </c>
      <c r="I75" s="12">
        <v>2032</v>
      </c>
      <c r="J75" s="12">
        <v>2033</v>
      </c>
      <c r="K75" s="12">
        <v>2034</v>
      </c>
      <c r="L75" s="12">
        <v>2035</v>
      </c>
      <c r="M75" s="12">
        <v>2036</v>
      </c>
      <c r="N75" s="12">
        <v>2037</v>
      </c>
      <c r="O75" s="12">
        <v>2038</v>
      </c>
      <c r="P75" s="12">
        <v>2039</v>
      </c>
      <c r="Q75" s="12">
        <v>2040</v>
      </c>
      <c r="R75" s="12">
        <v>2041</v>
      </c>
      <c r="S75" s="12">
        <v>2042</v>
      </c>
      <c r="T75" s="12">
        <v>2043</v>
      </c>
      <c r="U75" s="12">
        <v>2044</v>
      </c>
      <c r="V75" s="12">
        <v>2045</v>
      </c>
      <c r="W75" s="12">
        <v>2046</v>
      </c>
      <c r="X75" s="12">
        <v>2047</v>
      </c>
      <c r="Y75" s="12">
        <v>2048</v>
      </c>
      <c r="Z75" s="12">
        <v>2049</v>
      </c>
      <c r="AA75" s="12">
        <v>2050</v>
      </c>
    </row>
    <row r="76" spans="2:27" x14ac:dyDescent="0.2">
      <c r="B76" s="9" t="s">
        <v>28</v>
      </c>
      <c r="C76" s="18">
        <f>SUMIFS(Combined_Results[Achievable therm 2026], Combined_Results[[Sector]:[Sector]], $B76, Combined_Results[[Cost-Effective]:[Cost-Effective]], 1)</f>
        <v>85478.585831938108</v>
      </c>
      <c r="D76" s="18">
        <f>SUMIFS(Combined_Results[Achievable therm 2027], Combined_Results[[Sector]:[Sector]], $B76, Combined_Results[[Cost-Effective]:[Cost-Effective]], 1)</f>
        <v>121593.95649246135</v>
      </c>
      <c r="E76" s="18">
        <f>SUMIFS(Combined_Results[Achievable therm 2028], Combined_Results[[Sector]:[Sector]], $B76, Combined_Results[[Cost-Effective]:[Cost-Effective]], 1)</f>
        <v>174683.64110222686</v>
      </c>
      <c r="F76" s="18">
        <f>SUMIFS(Combined_Results[Achievable therm 2029], Combined_Results[[Sector]:[Sector]], $B76, Combined_Results[[Cost-Effective]:[Cost-Effective]], 1)</f>
        <v>238378.41389296774</v>
      </c>
      <c r="G76" s="18">
        <f>SUMIFS(Combined_Results[Achievable therm 2030], Combined_Results[[Sector]:[Sector]], $B76, Combined_Results[[Cost-Effective]:[Cost-Effective]], 1)</f>
        <v>316507.28550416464</v>
      </c>
      <c r="H76" s="18">
        <f>SUMIFS(Combined_Results[Achievable therm 2031], Combined_Results[[Sector]:[Sector]], $B76, Combined_Results[[Cost-Effective]:[Cost-Effective]], 1)</f>
        <v>408054.33089593973</v>
      </c>
      <c r="I76" s="18">
        <f>SUMIFS(Combined_Results[Achievable therm 2032], Combined_Results[[Sector]:[Sector]], $B76, Combined_Results[[Cost-Effective]:[Cost-Effective]], 1)</f>
        <v>509787.55626908661</v>
      </c>
      <c r="J76" s="18">
        <f>SUMIFS(Combined_Results[Achievable therm 2033], Combined_Results[[Sector]:[Sector]], $B76, Combined_Results[[Cost-Effective]:[Cost-Effective]], 1)</f>
        <v>616027.23278720246</v>
      </c>
      <c r="K76" s="18">
        <f>SUMIFS(Combined_Results[Achievable therm 2034], Combined_Results[[Sector]:[Sector]], $B76, Combined_Results[[Cost-Effective]:[Cost-Effective]], 1)</f>
        <v>718581.35931258637</v>
      </c>
      <c r="L76" s="18">
        <f>SUMIFS(Combined_Results[Achievable therm 2035], Combined_Results[[Sector]:[Sector]], $B76, Combined_Results[[Cost-Effective]:[Cost-Effective]], 1)</f>
        <v>807311.36632641219</v>
      </c>
      <c r="M76" s="18">
        <f>SUMIFS(Combined_Results[Achievable therm 2036], Combined_Results[[Sector]:[Sector]], $B76, Combined_Results[[Cost-Effective]:[Cost-Effective]], 1)</f>
        <v>871937.44360924594</v>
      </c>
      <c r="N76" s="18">
        <f>SUMIFS(Combined_Results[Achievable therm 2037], Combined_Results[[Sector]:[Sector]], $B76, Combined_Results[[Cost-Effective]:[Cost-Effective]], 1)</f>
        <v>903947.82805335254</v>
      </c>
      <c r="O76" s="18">
        <f>SUMIFS(Combined_Results[Achievable therm 2038], Combined_Results[[Sector]:[Sector]], $B76, Combined_Results[[Cost-Effective]:[Cost-Effective]], 1)</f>
        <v>899061.07126613427</v>
      </c>
      <c r="P76" s="18">
        <f>SUMIFS(Combined_Results[Achievable therm 2039], Combined_Results[[Sector]:[Sector]], $B76, Combined_Results[[Cost-Effective]:[Cost-Effective]], 1)</f>
        <v>861569.48535626603</v>
      </c>
      <c r="Q76" s="18">
        <f>SUMIFS(Combined_Results[Achievable therm 2040], Combined_Results[[Sector]:[Sector]], $B76, Combined_Results[[Cost-Effective]:[Cost-Effective]], 1)</f>
        <v>794214.36800645571</v>
      </c>
      <c r="R76" s="18">
        <f>SUMIFS(Combined_Results[Achievable therm 2041], Combined_Results[[Sector]:[Sector]], $B76, Combined_Results[[Cost-Effective]:[Cost-Effective]], 1)</f>
        <v>715226.15651233145</v>
      </c>
      <c r="S76" s="18">
        <f>SUMIFS(Combined_Results[Achievable therm 2042], Combined_Results[[Sector]:[Sector]], $B76, Combined_Results[[Cost-Effective]:[Cost-Effective]], 1)</f>
        <v>615026.97482588876</v>
      </c>
      <c r="T76" s="18">
        <f>SUMIFS(Combined_Results[Achievable therm 2043], Combined_Results[[Sector]:[Sector]], $B76, Combined_Results[[Cost-Effective]:[Cost-Effective]], 1)</f>
        <v>543538.26153868355</v>
      </c>
      <c r="U76" s="18">
        <f>SUMIFS(Combined_Results[Achievable therm 2044], Combined_Results[[Sector]:[Sector]], $B76, Combined_Results[[Cost-Effective]:[Cost-Effective]], 1)</f>
        <v>438040.02039835724</v>
      </c>
      <c r="V76" s="18">
        <f>SUMIFS(Combined_Results[Achievable therm 2045], Combined_Results[[Sector]:[Sector]], $B76, Combined_Results[[Cost-Effective]:[Cost-Effective]], 1)</f>
        <v>423939.88455586392</v>
      </c>
      <c r="W76" s="18">
        <f>SUMIFS(Combined_Results[Achievable therm 2046], Combined_Results[[Sector]:[Sector]], $B76, Combined_Results[[Cost-Effective]:[Cost-Effective]], 1)</f>
        <v>413145.84465255949</v>
      </c>
      <c r="X76" s="18">
        <f>SUMIFS(Combined_Results[Achievable therm 2047], Combined_Results[[Sector]:[Sector]], $B76, Combined_Results[[Cost-Effective]:[Cost-Effective]], 1)</f>
        <v>408496.11538071936</v>
      </c>
      <c r="Y76" s="18">
        <f>SUMIFS(Combined_Results[Achievable therm 2048], Combined_Results[[Sector]:[Sector]], $B76, Combined_Results[[Cost-Effective]:[Cost-Effective]], 1)</f>
        <v>403141.15385180945</v>
      </c>
      <c r="Z76" s="18">
        <f>SUMIFS(Combined_Results[Achievable therm 2049], Combined_Results[[Sector]:[Sector]], $B76, Combined_Results[[Cost-Effective]:[Cost-Effective]], 1)</f>
        <v>395218.3082862586</v>
      </c>
      <c r="AA76" s="18">
        <f>SUMIFS(Combined_Results[Achievable therm 2050], Combined_Results[[Sector]:[Sector]], $B76, Combined_Results[[Cost-Effective]:[Cost-Effective]], 1)</f>
        <v>341006.1880571795</v>
      </c>
    </row>
    <row r="77" spans="2:27" x14ac:dyDescent="0.2">
      <c r="B77" s="16" t="s">
        <v>43</v>
      </c>
      <c r="C77" s="17">
        <f>SUMIFS(Combined_Results[Achievable therm 2026], Combined_Results[[Sector]:[Sector]], $B$57, Combined_Results[[End Use]:[End Use]], $B77, Combined_Results[[Cost-Effective]:[Cost-Effective]], 1)</f>
        <v>2.0462968610513483</v>
      </c>
      <c r="D77" s="17">
        <f>SUMIFS(Combined_Results[Achievable therm 2027], Combined_Results[[Sector]:[Sector]], $B$57, Combined_Results[[End Use]:[End Use]], $B77, Combined_Results[[Cost-Effective]:[Cost-Effective]], 1)</f>
        <v>2.5159291589519199</v>
      </c>
      <c r="E77" s="17">
        <f>SUMIFS(Combined_Results[Achievable therm 2028], Combined_Results[[Sector]:[Sector]], $B$57, Combined_Results[[End Use]:[End Use]], $B77, Combined_Results[[Cost-Effective]:[Cost-Effective]], 1)</f>
        <v>5.6815511156350711</v>
      </c>
      <c r="F77" s="17">
        <f>SUMIFS(Combined_Results[Achievable therm 2029], Combined_Results[[Sector]:[Sector]], $B$57, Combined_Results[[End Use]:[End Use]], $B77, Combined_Results[[Cost-Effective]:[Cost-Effective]], 1)</f>
        <v>10.715300781172594</v>
      </c>
      <c r="G77" s="17">
        <f>SUMIFS(Combined_Results[Achievable therm 2030], Combined_Results[[Sector]:[Sector]], $B$57, Combined_Results[[End Use]:[End Use]], $B77, Combined_Results[[Cost-Effective]:[Cost-Effective]], 1)</f>
        <v>18.249339918842448</v>
      </c>
      <c r="H77" s="17">
        <f>SUMIFS(Combined_Results[Achievable therm 2031], Combined_Results[[Sector]:[Sector]], $B$57, Combined_Results[[End Use]:[End Use]], $B77, Combined_Results[[Cost-Effective]:[Cost-Effective]], 1)</f>
        <v>28.902421073212903</v>
      </c>
      <c r="I77" s="17">
        <f>SUMIFS(Combined_Results[Achievable therm 2032], Combined_Results[[Sector]:[Sector]], $B$57, Combined_Results[[End Use]:[End Use]], $B77, Combined_Results[[Cost-Effective]:[Cost-Effective]], 1)</f>
        <v>43.147845736163383</v>
      </c>
      <c r="J77" s="17">
        <f>SUMIFS(Combined_Results[Achievable therm 2033], Combined_Results[[Sector]:[Sector]], $B$57, Combined_Results[[End Use]:[End Use]], $B77, Combined_Results[[Cost-Effective]:[Cost-Effective]], 1)</f>
        <v>61.403000083315462</v>
      </c>
      <c r="K77" s="17">
        <f>SUMIFS(Combined_Results[Achievable therm 2034], Combined_Results[[Sector]:[Sector]], $B$57, Combined_Results[[End Use]:[End Use]], $B77, Combined_Results[[Cost-Effective]:[Cost-Effective]], 1)</f>
        <v>83.672845575204221</v>
      </c>
      <c r="L77" s="17">
        <f>SUMIFS(Combined_Results[Achievable therm 2035], Combined_Results[[Sector]:[Sector]], $B$57, Combined_Results[[End Use]:[End Use]], $B77, Combined_Results[[Cost-Effective]:[Cost-Effective]], 1)</f>
        <v>109.52458529689102</v>
      </c>
      <c r="M77" s="17">
        <f>SUMIFS(Combined_Results[Achievable therm 2036], Combined_Results[[Sector]:[Sector]], $B$57, Combined_Results[[End Use]:[End Use]], $B77, Combined_Results[[Cost-Effective]:[Cost-Effective]], 1)</f>
        <v>138.0404271186876</v>
      </c>
      <c r="N77" s="17">
        <f>SUMIFS(Combined_Results[Achievable therm 2037], Combined_Results[[Sector]:[Sector]], $B$57, Combined_Results[[End Use]:[End Use]], $B77, Combined_Results[[Cost-Effective]:[Cost-Effective]], 1)</f>
        <v>167.79263072482479</v>
      </c>
      <c r="O77" s="17">
        <f>SUMIFS(Combined_Results[Achievable therm 2038], Combined_Results[[Sector]:[Sector]], $B$57, Combined_Results[[End Use]:[End Use]], $B77, Combined_Results[[Cost-Effective]:[Cost-Effective]], 1)</f>
        <v>284.34565790814048</v>
      </c>
      <c r="P77" s="17">
        <f>SUMIFS(Combined_Results[Achievable therm 2039], Combined_Results[[Sector]:[Sector]], $B$57, Combined_Results[[End Use]:[End Use]], $B77, Combined_Results[[Cost-Effective]:[Cost-Effective]], 1)</f>
        <v>264.88998608151286</v>
      </c>
      <c r="Q77" s="17">
        <f>SUMIFS(Combined_Results[Achievable therm 2040], Combined_Results[[Sector]:[Sector]], $B$57, Combined_Results[[End Use]:[End Use]], $B77, Combined_Results[[Cost-Effective]:[Cost-Effective]], 1)</f>
        <v>300.79950493916795</v>
      </c>
      <c r="R77" s="17">
        <f>SUMIFS(Combined_Results[Achievable therm 2041], Combined_Results[[Sector]:[Sector]], $B$57, Combined_Results[[End Use]:[End Use]], $B77, Combined_Results[[Cost-Effective]:[Cost-Effective]], 1)</f>
        <v>322.68565791164445</v>
      </c>
      <c r="S77" s="17">
        <f>SUMIFS(Combined_Results[Achievable therm 2042], Combined_Results[[Sector]:[Sector]], $B$57, Combined_Results[[End Use]:[End Use]], $B77, Combined_Results[[Cost-Effective]:[Cost-Effective]], 1)</f>
        <v>335.30352513392324</v>
      </c>
      <c r="T77" s="17">
        <f>SUMIFS(Combined_Results[Achievable therm 2043], Combined_Results[[Sector]:[Sector]], $B$57, Combined_Results[[End Use]:[End Use]], $B77, Combined_Results[[Cost-Effective]:[Cost-Effective]], 1)</f>
        <v>341.21461971858253</v>
      </c>
      <c r="U77" s="17">
        <f>SUMIFS(Combined_Results[Achievable therm 2044], Combined_Results[[Sector]:[Sector]], $B$57, Combined_Results[[End Use]:[End Use]], $B77, Combined_Results[[Cost-Effective]:[Cost-Effective]], 1)</f>
        <v>339.45921677185038</v>
      </c>
      <c r="V77" s="17">
        <f>SUMIFS(Combined_Results[Achievable therm 2045], Combined_Results[[Sector]:[Sector]], $B$57, Combined_Results[[End Use]:[End Use]], $B77, Combined_Results[[Cost-Effective]:[Cost-Effective]], 1)</f>
        <v>335.60061469596468</v>
      </c>
      <c r="W77" s="17">
        <f>SUMIFS(Combined_Results[Achievable therm 2046], Combined_Results[[Sector]:[Sector]], $B$57, Combined_Results[[End Use]:[End Use]], $B77, Combined_Results[[Cost-Effective]:[Cost-Effective]], 1)</f>
        <v>326.99494880511878</v>
      </c>
      <c r="X77" s="17">
        <f>SUMIFS(Combined_Results[Achievable therm 2047], Combined_Results[[Sector]:[Sector]], $B$57, Combined_Results[[End Use]:[End Use]], $B77, Combined_Results[[Cost-Effective]:[Cost-Effective]], 1)</f>
        <v>316.64728344656851</v>
      </c>
      <c r="Y77" s="17">
        <f>SUMIFS(Combined_Results[Achievable therm 2048], Combined_Results[[Sector]:[Sector]], $B$57, Combined_Results[[End Use]:[End Use]], $B77, Combined_Results[[Cost-Effective]:[Cost-Effective]], 1)</f>
        <v>239.89941468838816</v>
      </c>
      <c r="Z77" s="17">
        <f>SUMIFS(Combined_Results[Achievable therm 2049], Combined_Results[[Sector]:[Sector]], $B$57, Combined_Results[[End Use]:[End Use]], $B77, Combined_Results[[Cost-Effective]:[Cost-Effective]], 1)</f>
        <v>38.308038769342744</v>
      </c>
      <c r="AA77" s="17">
        <f>SUMIFS(Combined_Results[Achievable therm 2050], Combined_Results[[Sector]:[Sector]], $B$57, Combined_Results[[End Use]:[End Use]], $B77, Combined_Results[[Cost-Effective]:[Cost-Effective]], 1)</f>
        <v>29.41461127893081</v>
      </c>
    </row>
    <row r="78" spans="2:27" x14ac:dyDescent="0.2">
      <c r="B78" s="16" t="s">
        <v>44</v>
      </c>
      <c r="C78" s="17">
        <f>SUMIFS(Combined_Results[Achievable therm 2026], Combined_Results[[Sector]:[Sector]], $B$57, Combined_Results[[End Use]:[End Use]], $B78, Combined_Results[[Cost-Effective]:[Cost-Effective]], 1)</f>
        <v>80747.753820783415</v>
      </c>
      <c r="D78" s="17">
        <f>SUMIFS(Combined_Results[Achievable therm 2027], Combined_Results[[Sector]:[Sector]], $B$57, Combined_Results[[End Use]:[End Use]], $B78, Combined_Results[[Cost-Effective]:[Cost-Effective]], 1)</f>
        <v>112741.68276408617</v>
      </c>
      <c r="E78" s="17">
        <f>SUMIFS(Combined_Results[Achievable therm 2028], Combined_Results[[Sector]:[Sector]], $B$57, Combined_Results[[End Use]:[End Use]], $B78, Combined_Results[[Cost-Effective]:[Cost-Effective]], 1)</f>
        <v>159630.40390959632</v>
      </c>
      <c r="F78" s="17">
        <f>SUMIFS(Combined_Results[Achievable therm 2029], Combined_Results[[Sector]:[Sector]], $B$57, Combined_Results[[End Use]:[End Use]], $B78, Combined_Results[[Cost-Effective]:[Cost-Effective]], 1)</f>
        <v>215122.61993808145</v>
      </c>
      <c r="G78" s="17">
        <f>SUMIFS(Combined_Results[Achievable therm 2030], Combined_Results[[Sector]:[Sector]], $B$57, Combined_Results[[End Use]:[End Use]], $B78, Combined_Results[[Cost-Effective]:[Cost-Effective]], 1)</f>
        <v>283012.27676407946</v>
      </c>
      <c r="H78" s="17">
        <f>SUMIFS(Combined_Results[Achievable therm 2031], Combined_Results[[Sector]:[Sector]], $B$57, Combined_Results[[End Use]:[End Use]], $B78, Combined_Results[[Cost-Effective]:[Cost-Effective]], 1)</f>
        <v>362537.17809609394</v>
      </c>
      <c r="I78" s="17">
        <f>SUMIFS(Combined_Results[Achievable therm 2032], Combined_Results[[Sector]:[Sector]], $B$57, Combined_Results[[End Use]:[End Use]], $B78, Combined_Results[[Cost-Effective]:[Cost-Effective]], 1)</f>
        <v>450856.02231416717</v>
      </c>
      <c r="J78" s="17">
        <f>SUMIFS(Combined_Results[Achievable therm 2033], Combined_Results[[Sector]:[Sector]], $B$57, Combined_Results[[End Use]:[End Use]], $B78, Combined_Results[[Cost-Effective]:[Cost-Effective]], 1)</f>
        <v>542761.96551808459</v>
      </c>
      <c r="K78" s="17">
        <f>SUMIFS(Combined_Results[Achievable therm 2034], Combined_Results[[Sector]:[Sector]], $B$57, Combined_Results[[End Use]:[End Use]], $B78, Combined_Results[[Cost-Effective]:[Cost-Effective]], 1)</f>
        <v>630617.42036128626</v>
      </c>
      <c r="L78" s="17">
        <f>SUMIFS(Combined_Results[Achievable therm 2035], Combined_Results[[Sector]:[Sector]], $B$57, Combined_Results[[End Use]:[End Use]], $B78, Combined_Results[[Cost-Effective]:[Cost-Effective]], 1)</f>
        <v>704938.81715522485</v>
      </c>
      <c r="M78" s="17">
        <f>SUMIFS(Combined_Results[Achievable therm 2036], Combined_Results[[Sector]:[Sector]], $B$57, Combined_Results[[End Use]:[End Use]], $B78, Combined_Results[[Cost-Effective]:[Cost-Effective]], 1)</f>
        <v>756206.27180445485</v>
      </c>
      <c r="N78" s="17">
        <f>SUMIFS(Combined_Results[Achievable therm 2037], Combined_Results[[Sector]:[Sector]], $B$57, Combined_Results[[End Use]:[End Use]], $B78, Combined_Results[[Cost-Effective]:[Cost-Effective]], 1)</f>
        <v>776719.54879446723</v>
      </c>
      <c r="O78" s="17">
        <f>SUMIFS(Combined_Results[Achievable therm 2038], Combined_Results[[Sector]:[Sector]], $B$57, Combined_Results[[End Use]:[End Use]], $B78, Combined_Results[[Cost-Effective]:[Cost-Effective]], 1)</f>
        <v>762837.35382740921</v>
      </c>
      <c r="P78" s="17">
        <f>SUMIFS(Combined_Results[Achievable therm 2039], Combined_Results[[Sector]:[Sector]], $B$57, Combined_Results[[End Use]:[End Use]], $B78, Combined_Results[[Cost-Effective]:[Cost-Effective]], 1)</f>
        <v>719531.94362716633</v>
      </c>
      <c r="Q78" s="17">
        <f>SUMIFS(Combined_Results[Achievable therm 2040], Combined_Results[[Sector]:[Sector]], $B$57, Combined_Results[[End Use]:[End Use]], $B78, Combined_Results[[Cost-Effective]:[Cost-Effective]], 1)</f>
        <v>651132.50836926268</v>
      </c>
      <c r="R78" s="17">
        <f>SUMIFS(Combined_Results[Achievable therm 2041], Combined_Results[[Sector]:[Sector]], $B$57, Combined_Results[[End Use]:[End Use]], $B78, Combined_Results[[Cost-Effective]:[Cost-Effective]], 1)</f>
        <v>570424.40310988156</v>
      </c>
      <c r="S78" s="17">
        <f>SUMIFS(Combined_Results[Achievable therm 2042], Combined_Results[[Sector]:[Sector]], $B$57, Combined_Results[[End Use]:[End Use]], $B78, Combined_Results[[Cost-Effective]:[Cost-Effective]], 1)</f>
        <v>471285.38388120895</v>
      </c>
      <c r="T78" s="17">
        <f>SUMIFS(Combined_Results[Achievable therm 2043], Combined_Results[[Sector]:[Sector]], $B$57, Combined_Results[[End Use]:[End Use]], $B78, Combined_Results[[Cost-Effective]:[Cost-Effective]], 1)</f>
        <v>401516.35571924481</v>
      </c>
      <c r="U78" s="17">
        <f>SUMIFS(Combined_Results[Achievable therm 2044], Combined_Results[[Sector]:[Sector]], $B$57, Combined_Results[[End Use]:[End Use]], $B78, Combined_Results[[Cost-Effective]:[Cost-Effective]], 1)</f>
        <v>302950.07998337923</v>
      </c>
      <c r="V78" s="17">
        <f>SUMIFS(Combined_Results[Achievable therm 2045], Combined_Results[[Sector]:[Sector]], $B$57, Combined_Results[[End Use]:[End Use]], $B78, Combined_Results[[Cost-Effective]:[Cost-Effective]], 1)</f>
        <v>294665.41246772482</v>
      </c>
      <c r="W78" s="17">
        <f>SUMIFS(Combined_Results[Achievable therm 2046], Combined_Results[[Sector]:[Sector]], $B$57, Combined_Results[[End Use]:[End Use]], $B78, Combined_Results[[Cost-Effective]:[Cost-Effective]], 1)</f>
        <v>291958.68414218334</v>
      </c>
      <c r="X78" s="17">
        <f>SUMIFS(Combined_Results[Achievable therm 2047], Combined_Results[[Sector]:[Sector]], $B$57, Combined_Results[[End Use]:[End Use]], $B78, Combined_Results[[Cost-Effective]:[Cost-Effective]], 1)</f>
        <v>288378.91041538661</v>
      </c>
      <c r="Y78" s="17">
        <f>SUMIFS(Combined_Results[Achievable therm 2048], Combined_Results[[Sector]:[Sector]], $B$57, Combined_Results[[End Use]:[End Use]], $B78, Combined_Results[[Cost-Effective]:[Cost-Effective]], 1)</f>
        <v>284355.14075206564</v>
      </c>
      <c r="Z78" s="17">
        <f>SUMIFS(Combined_Results[Achievable therm 2049], Combined_Results[[Sector]:[Sector]], $B$57, Combined_Results[[End Use]:[End Use]], $B78, Combined_Results[[Cost-Effective]:[Cost-Effective]], 1)</f>
        <v>280189.64081862743</v>
      </c>
      <c r="AA78" s="17">
        <f>SUMIFS(Combined_Results[Achievable therm 2050], Combined_Results[[Sector]:[Sector]], $B$57, Combined_Results[[End Use]:[End Use]], $B78, Combined_Results[[Cost-Effective]:[Cost-Effective]], 1)</f>
        <v>235537.72346878357</v>
      </c>
    </row>
    <row r="79" spans="2:27" ht="15" x14ac:dyDescent="0.25">
      <c r="B79" s="8" t="s">
        <v>45</v>
      </c>
      <c r="C79" s="17">
        <f>SUMIFS(Combined_Results[Achievable therm 2026], Combined_Results[[Sector]:[Sector]], $B$57, Combined_Results[[End Use]:[End Use]], $B79, Combined_Results[[Cost-Effective]:[Cost-Effective]], 1)</f>
        <v>2842.4776741629676</v>
      </c>
      <c r="D79" s="17">
        <f>SUMIFS(Combined_Results[Achievable therm 2027], Combined_Results[[Sector]:[Sector]], $B$57, Combined_Results[[End Use]:[End Use]], $B79, Combined_Results[[Cost-Effective]:[Cost-Effective]], 1)</f>
        <v>5443.0345682110092</v>
      </c>
      <c r="E79" s="17">
        <f>SUMIFS(Combined_Results[Achievable therm 2028], Combined_Results[[Sector]:[Sector]], $B$57, Combined_Results[[End Use]:[End Use]], $B79, Combined_Results[[Cost-Effective]:[Cost-Effective]], 1)</f>
        <v>9653.7173752675626</v>
      </c>
      <c r="F79" s="17">
        <f>SUMIFS(Combined_Results[Achievable therm 2029], Combined_Results[[Sector]:[Sector]], $B$57, Combined_Results[[End Use]:[End Use]], $B79, Combined_Results[[Cost-Effective]:[Cost-Effective]], 1)</f>
        <v>15542.360806662558</v>
      </c>
      <c r="G79" s="17">
        <f>SUMIFS(Combined_Results[Achievable therm 2030], Combined_Results[[Sector]:[Sector]], $B$57, Combined_Results[[End Use]:[End Use]], $B79, Combined_Results[[Cost-Effective]:[Cost-Effective]], 1)</f>
        <v>23477.551561309971</v>
      </c>
      <c r="H79" s="17">
        <f>SUMIFS(Combined_Results[Achievable therm 2031], Combined_Results[[Sector]:[Sector]], $B$57, Combined_Results[[End Use]:[End Use]], $B79, Combined_Results[[Cost-Effective]:[Cost-Effective]], 1)</f>
        <v>33593.238364678393</v>
      </c>
      <c r="I79" s="17">
        <f>SUMIFS(Combined_Results[Achievable therm 2032], Combined_Results[[Sector]:[Sector]], $B$57, Combined_Results[[End Use]:[End Use]], $B79, Combined_Results[[Cost-Effective]:[Cost-Effective]], 1)</f>
        <v>45829.106006872229</v>
      </c>
      <c r="J79" s="17">
        <f>SUMIFS(Combined_Results[Achievable therm 2033], Combined_Results[[Sector]:[Sector]], $B$57, Combined_Results[[End Use]:[End Use]], $B79, Combined_Results[[Cost-Effective]:[Cost-Effective]], 1)</f>
        <v>59883.843305502247</v>
      </c>
      <c r="K79" s="17">
        <f>SUMIFS(Combined_Results[Achievable therm 2034], Combined_Results[[Sector]:[Sector]], $B$57, Combined_Results[[End Use]:[End Use]], $B79, Combined_Results[[Cost-Effective]:[Cost-Effective]], 1)</f>
        <v>75180.200428823562</v>
      </c>
      <c r="L79" s="17">
        <f>SUMIFS(Combined_Results[Achievable therm 2035], Combined_Results[[Sector]:[Sector]], $B$57, Combined_Results[[End Use]:[End Use]], $B79, Combined_Results[[Cost-Effective]:[Cost-Effective]], 1)</f>
        <v>90874.589985246435</v>
      </c>
      <c r="M79" s="17">
        <f>SUMIFS(Combined_Results[Achievable therm 2036], Combined_Results[[Sector]:[Sector]], $B$57, Combined_Results[[End Use]:[End Use]], $B79, Combined_Results[[Cost-Effective]:[Cost-Effective]], 1)</f>
        <v>105925.66376454725</v>
      </c>
      <c r="N79" s="17">
        <f>SUMIFS(Combined_Results[Achievable therm 2037], Combined_Results[[Sector]:[Sector]], $B$57, Combined_Results[[End Use]:[End Use]], $B79, Combined_Results[[Cost-Effective]:[Cost-Effective]], 1)</f>
        <v>119233.92393769023</v>
      </c>
      <c r="O79" s="17">
        <f>SUMIFS(Combined_Results[Achievable therm 2038], Combined_Results[[Sector]:[Sector]], $B$57, Combined_Results[[End Use]:[End Use]], $B79, Combined_Results[[Cost-Effective]:[Cost-Effective]], 1)</f>
        <v>129842.75648202268</v>
      </c>
      <c r="P79" s="17">
        <f>SUMIFS(Combined_Results[Achievable therm 2039], Combined_Results[[Sector]:[Sector]], $B$57, Combined_Results[[End Use]:[End Use]], $B79, Combined_Results[[Cost-Effective]:[Cost-Effective]], 1)</f>
        <v>137153.61892619383</v>
      </c>
      <c r="Q79" s="17">
        <f>SUMIFS(Combined_Results[Achievable therm 2040], Combined_Results[[Sector]:[Sector]], $B$57, Combined_Results[[End Use]:[End Use]], $B79, Combined_Results[[Cost-Effective]:[Cost-Effective]], 1)</f>
        <v>141081.74778718705</v>
      </c>
      <c r="R79" s="17">
        <f>SUMIFS(Combined_Results[Achievable therm 2041], Combined_Results[[Sector]:[Sector]], $B$57, Combined_Results[[End Use]:[End Use]], $B79, Combined_Results[[Cost-Effective]:[Cost-Effective]], 1)</f>
        <v>143178.24783621042</v>
      </c>
      <c r="S79" s="17">
        <f>SUMIFS(Combined_Results[Achievable therm 2042], Combined_Results[[Sector]:[Sector]], $B$57, Combined_Results[[End Use]:[End Use]], $B79, Combined_Results[[Cost-Effective]:[Cost-Effective]], 1)</f>
        <v>142235.12009613935</v>
      </c>
      <c r="T79" s="17">
        <f>SUMIFS(Combined_Results[Achievable therm 2043], Combined_Results[[Sector]:[Sector]], $B$57, Combined_Results[[End Use]:[End Use]], $B79, Combined_Results[[Cost-Effective]:[Cost-Effective]], 1)</f>
        <v>140608.79720622659</v>
      </c>
      <c r="U79" s="17">
        <f>SUMIFS(Combined_Results[Achievable therm 2044], Combined_Results[[Sector]:[Sector]], $B$57, Combined_Results[[End Use]:[End Use]], $B79, Combined_Results[[Cost-Effective]:[Cost-Effective]], 1)</f>
        <v>133860.63276046558</v>
      </c>
      <c r="V79" s="17">
        <f>SUMIFS(Combined_Results[Achievable therm 2045], Combined_Results[[Sector]:[Sector]], $B$57, Combined_Results[[End Use]:[End Use]], $B79, Combined_Results[[Cost-Effective]:[Cost-Effective]], 1)</f>
        <v>128122.96964604617</v>
      </c>
      <c r="W79" s="17">
        <f>SUMIFS(Combined_Results[Achievable therm 2046], Combined_Results[[Sector]:[Sector]], $B$57, Combined_Results[[End Use]:[End Use]], $B79, Combined_Results[[Cost-Effective]:[Cost-Effective]], 1)</f>
        <v>120130.06948400344</v>
      </c>
      <c r="X79" s="17">
        <f>SUMIFS(Combined_Results[Achievable therm 2047], Combined_Results[[Sector]:[Sector]], $B$57, Combined_Results[[End Use]:[End Use]], $B79, Combined_Results[[Cost-Effective]:[Cost-Effective]], 1)</f>
        <v>119159.77059726439</v>
      </c>
      <c r="Y79" s="17">
        <f>SUMIFS(Combined_Results[Achievable therm 2048], Combined_Results[[Sector]:[Sector]], $B$57, Combined_Results[[End Use]:[End Use]], $B79, Combined_Results[[Cost-Effective]:[Cost-Effective]], 1)</f>
        <v>117994.8336141373</v>
      </c>
      <c r="Z79" s="17">
        <f>SUMIFS(Combined_Results[Achievable therm 2049], Combined_Results[[Sector]:[Sector]], $B$57, Combined_Results[[End Use]:[End Use]], $B79, Combined_Results[[Cost-Effective]:[Cost-Effective]], 1)</f>
        <v>114528.75206456437</v>
      </c>
      <c r="AA79" s="17">
        <f>SUMIFS(Combined_Results[Achievable therm 2050], Combined_Results[[Sector]:[Sector]], $B$57, Combined_Results[[End Use]:[End Use]], $B79, Combined_Results[[Cost-Effective]:[Cost-Effective]], 1)</f>
        <v>105067.2431768239</v>
      </c>
    </row>
    <row r="80" spans="2:27" x14ac:dyDescent="0.2">
      <c r="B80" s="16" t="s">
        <v>46</v>
      </c>
      <c r="C80" s="17">
        <f>SUMIFS(Combined_Results[Achievable therm 2026], Combined_Results[[Sector]:[Sector]], $B$57, Combined_Results[[End Use]:[End Use]], $B80, Combined_Results[[Cost-Effective]:[Cost-Effective]], 1)</f>
        <v>1886.3080401306549</v>
      </c>
      <c r="D80" s="17">
        <f>SUMIFS(Combined_Results[Achievable therm 2027], Combined_Results[[Sector]:[Sector]], $B$57, Combined_Results[[End Use]:[End Use]], $B80, Combined_Results[[Cost-Effective]:[Cost-Effective]], 1)</f>
        <v>3406.7232310052659</v>
      </c>
      <c r="E80" s="17">
        <f>SUMIFS(Combined_Results[Achievable therm 2028], Combined_Results[[Sector]:[Sector]], $B$57, Combined_Results[[End Use]:[End Use]], $B80, Combined_Results[[Cost-Effective]:[Cost-Effective]], 1)</f>
        <v>5393.8382662474669</v>
      </c>
      <c r="F80" s="17">
        <f>SUMIFS(Combined_Results[Achievable therm 2029], Combined_Results[[Sector]:[Sector]], $B$57, Combined_Results[[End Use]:[End Use]], $B80, Combined_Results[[Cost-Effective]:[Cost-Effective]], 1)</f>
        <v>7702.71784744248</v>
      </c>
      <c r="G80" s="17">
        <f>SUMIFS(Combined_Results[Achievable therm 2030], Combined_Results[[Sector]:[Sector]], $B$57, Combined_Results[[End Use]:[End Use]], $B80, Combined_Results[[Cost-Effective]:[Cost-Effective]], 1)</f>
        <v>9999.2078388564223</v>
      </c>
      <c r="H80" s="17">
        <f>SUMIFS(Combined_Results[Achievable therm 2031], Combined_Results[[Sector]:[Sector]], $B$57, Combined_Results[[End Use]:[End Use]], $B80, Combined_Results[[Cost-Effective]:[Cost-Effective]], 1)</f>
        <v>11895.012014094265</v>
      </c>
      <c r="I80" s="17">
        <f>SUMIFS(Combined_Results[Achievable therm 2032], Combined_Results[[Sector]:[Sector]], $B$57, Combined_Results[[End Use]:[End Use]], $B80, Combined_Results[[Cost-Effective]:[Cost-Effective]], 1)</f>
        <v>13059.280102311079</v>
      </c>
      <c r="J80" s="17">
        <f>SUMIFS(Combined_Results[Achievable therm 2033], Combined_Results[[Sector]:[Sector]], $B$57, Combined_Results[[End Use]:[End Use]], $B80, Combined_Results[[Cost-Effective]:[Cost-Effective]], 1)</f>
        <v>13320.020963532177</v>
      </c>
      <c r="K80" s="17">
        <f>SUMIFS(Combined_Results[Achievable therm 2034], Combined_Results[[Sector]:[Sector]], $B$57, Combined_Results[[End Use]:[End Use]], $B80, Combined_Results[[Cost-Effective]:[Cost-Effective]], 1)</f>
        <v>12700.06567690148</v>
      </c>
      <c r="L80" s="17">
        <f>SUMIFS(Combined_Results[Achievable therm 2035], Combined_Results[[Sector]:[Sector]], $B$57, Combined_Results[[End Use]:[End Use]], $B80, Combined_Results[[Cost-Effective]:[Cost-Effective]], 1)</f>
        <v>11388.434600644139</v>
      </c>
      <c r="M80" s="17">
        <f>SUMIFS(Combined_Results[Achievable therm 2036], Combined_Results[[Sector]:[Sector]], $B$57, Combined_Results[[End Use]:[End Use]], $B80, Combined_Results[[Cost-Effective]:[Cost-Effective]], 1)</f>
        <v>9667.4676131251854</v>
      </c>
      <c r="N80" s="17">
        <f>SUMIFS(Combined_Results[Achievable therm 2037], Combined_Results[[Sector]:[Sector]], $B$57, Combined_Results[[End Use]:[End Use]], $B80, Combined_Results[[Cost-Effective]:[Cost-Effective]], 1)</f>
        <v>7826.5626904702576</v>
      </c>
      <c r="O80" s="17">
        <f>SUMIFS(Combined_Results[Achievable therm 2038], Combined_Results[[Sector]:[Sector]], $B$57, Combined_Results[[End Use]:[End Use]], $B80, Combined_Results[[Cost-Effective]:[Cost-Effective]], 1)</f>
        <v>6096.6152987941159</v>
      </c>
      <c r="P80" s="17">
        <f>SUMIFS(Combined_Results[Achievable therm 2039], Combined_Results[[Sector]:[Sector]], $B$57, Combined_Results[[End Use]:[End Use]], $B80, Combined_Results[[Cost-Effective]:[Cost-Effective]], 1)</f>
        <v>4619.0328168245123</v>
      </c>
      <c r="Q80" s="17">
        <f>SUMIFS(Combined_Results[Achievable therm 2040], Combined_Results[[Sector]:[Sector]], $B$57, Combined_Results[[End Use]:[End Use]], $B80, Combined_Results[[Cost-Effective]:[Cost-Effective]], 1)</f>
        <v>1699.3123450664541</v>
      </c>
      <c r="R80" s="17">
        <f>SUMIFS(Combined_Results[Achievable therm 2041], Combined_Results[[Sector]:[Sector]], $B$57, Combined_Results[[End Use]:[End Use]], $B80, Combined_Results[[Cost-Effective]:[Cost-Effective]], 1)</f>
        <v>1300.8199083277227</v>
      </c>
      <c r="S80" s="17">
        <f>SUMIFS(Combined_Results[Achievable therm 2042], Combined_Results[[Sector]:[Sector]], $B$57, Combined_Results[[End Use]:[End Use]], $B80, Combined_Results[[Cost-Effective]:[Cost-Effective]], 1)</f>
        <v>1171.1673234064804</v>
      </c>
      <c r="T80" s="17">
        <f>SUMIFS(Combined_Results[Achievable therm 2043], Combined_Results[[Sector]:[Sector]], $B$57, Combined_Results[[End Use]:[End Use]], $B80, Combined_Results[[Cost-Effective]:[Cost-Effective]], 1)</f>
        <v>1071.8939934935488</v>
      </c>
      <c r="U80" s="17">
        <f>SUMIFS(Combined_Results[Achievable therm 2044], Combined_Results[[Sector]:[Sector]], $B$57, Combined_Results[[End Use]:[End Use]], $B80, Combined_Results[[Cost-Effective]:[Cost-Effective]], 1)</f>
        <v>889.84843774055548</v>
      </c>
      <c r="V80" s="17">
        <f>SUMIFS(Combined_Results[Achievable therm 2045], Combined_Results[[Sector]:[Sector]], $B$57, Combined_Results[[End Use]:[End Use]], $B80, Combined_Results[[Cost-Effective]:[Cost-Effective]], 1)</f>
        <v>815.90182739699947</v>
      </c>
      <c r="W80" s="17">
        <f>SUMIFS(Combined_Results[Achievable therm 2046], Combined_Results[[Sector]:[Sector]], $B$57, Combined_Results[[End Use]:[End Use]], $B80, Combined_Results[[Cost-Effective]:[Cost-Effective]], 1)</f>
        <v>730.09607756762693</v>
      </c>
      <c r="X80" s="17">
        <f>SUMIFS(Combined_Results[Achievable therm 2047], Combined_Results[[Sector]:[Sector]], $B$57, Combined_Results[[End Use]:[End Use]], $B80, Combined_Results[[Cost-Effective]:[Cost-Effective]], 1)</f>
        <v>640.78708462176689</v>
      </c>
      <c r="Y80" s="17">
        <f>SUMIFS(Combined_Results[Achievable therm 2048], Combined_Results[[Sector]:[Sector]], $B$57, Combined_Results[[End Use]:[End Use]], $B80, Combined_Results[[Cost-Effective]:[Cost-Effective]], 1)</f>
        <v>551.28007091812833</v>
      </c>
      <c r="Z80" s="17">
        <f>SUMIFS(Combined_Results[Achievable therm 2049], Combined_Results[[Sector]:[Sector]], $B$57, Combined_Results[[End Use]:[End Use]], $B80, Combined_Results[[Cost-Effective]:[Cost-Effective]], 1)</f>
        <v>461.60736429746061</v>
      </c>
      <c r="AA80" s="17">
        <f>SUMIFS(Combined_Results[Achievable therm 2050], Combined_Results[[Sector]:[Sector]], $B$57, Combined_Results[[End Use]:[End Use]], $B80, Combined_Results[[Cost-Effective]:[Cost-Effective]], 1)</f>
        <v>371.80680029327021</v>
      </c>
    </row>
    <row r="81" spans="2:28" x14ac:dyDescent="0.2">
      <c r="B81" s="9" t="s">
        <v>31</v>
      </c>
      <c r="C81" s="18">
        <f>SUMIFS(Combined_Results[Achievable therm 2026], Combined_Results[[Sector]:[Sector]], $B81, Combined_Results[[Cost-Effective]:[Cost-Effective]], 1)</f>
        <v>145141.50042024587</v>
      </c>
      <c r="D81" s="18">
        <f>SUMIFS(Combined_Results[Achievable therm 2027], Combined_Results[[Sector]:[Sector]], $B81, Combined_Results[[Cost-Effective]:[Cost-Effective]], 1)</f>
        <v>150248.0711961973</v>
      </c>
      <c r="E81" s="18">
        <f>SUMIFS(Combined_Results[Achievable therm 2028], Combined_Results[[Sector]:[Sector]], $B81, Combined_Results[[Cost-Effective]:[Cost-Effective]], 1)</f>
        <v>165630.67192485515</v>
      </c>
      <c r="F81" s="18">
        <f>SUMIFS(Combined_Results[Achievable therm 2029], Combined_Results[[Sector]:[Sector]], $B81, Combined_Results[[Cost-Effective]:[Cost-Effective]], 1)</f>
        <v>189225.59739552106</v>
      </c>
      <c r="G81" s="18">
        <f>SUMIFS(Combined_Results[Achievable therm 2030], Combined_Results[[Sector]:[Sector]], $B81, Combined_Results[[Cost-Effective]:[Cost-Effective]], 1)</f>
        <v>214409.68389337193</v>
      </c>
      <c r="H81" s="18">
        <f>SUMIFS(Combined_Results[Achievable therm 2031], Combined_Results[[Sector]:[Sector]], $B81, Combined_Results[[Cost-Effective]:[Cost-Effective]], 1)</f>
        <v>240831.76483026642</v>
      </c>
      <c r="I81" s="18">
        <f>SUMIFS(Combined_Results[Achievable therm 2032], Combined_Results[[Sector]:[Sector]], $B81, Combined_Results[[Cost-Effective]:[Cost-Effective]], 1)</f>
        <v>259549.12463000382</v>
      </c>
      <c r="J81" s="18">
        <f>SUMIFS(Combined_Results[Achievable therm 2033], Combined_Results[[Sector]:[Sector]], $B81, Combined_Results[[Cost-Effective]:[Cost-Effective]], 1)</f>
        <v>269095.73379045806</v>
      </c>
      <c r="K81" s="18">
        <f>SUMIFS(Combined_Results[Achievable therm 2034], Combined_Results[[Sector]:[Sector]], $B81, Combined_Results[[Cost-Effective]:[Cost-Effective]], 1)</f>
        <v>260859.86748317134</v>
      </c>
      <c r="L81" s="18">
        <f>SUMIFS(Combined_Results[Achievable therm 2035], Combined_Results[[Sector]:[Sector]], $B81, Combined_Results[[Cost-Effective]:[Cost-Effective]], 1)</f>
        <v>239560.93433047977</v>
      </c>
      <c r="M81" s="18">
        <f>SUMIFS(Combined_Results[Achievable therm 2036], Combined_Results[[Sector]:[Sector]], $B81, Combined_Results[[Cost-Effective]:[Cost-Effective]], 1)</f>
        <v>230679.20028817141</v>
      </c>
      <c r="N81" s="18">
        <f>SUMIFS(Combined_Results[Achievable therm 2037], Combined_Results[[Sector]:[Sector]], $B81, Combined_Results[[Cost-Effective]:[Cost-Effective]], 1)</f>
        <v>243095.85461412743</v>
      </c>
      <c r="O81" s="18">
        <f>SUMIFS(Combined_Results[Achievable therm 2038], Combined_Results[[Sector]:[Sector]], $B81, Combined_Results[[Cost-Effective]:[Cost-Effective]], 1)</f>
        <v>254453.36061298408</v>
      </c>
      <c r="P81" s="18">
        <f>SUMIFS(Combined_Results[Achievable therm 2039], Combined_Results[[Sector]:[Sector]], $B81, Combined_Results[[Cost-Effective]:[Cost-Effective]], 1)</f>
        <v>256326.8380027299</v>
      </c>
      <c r="Q81" s="18">
        <f>SUMIFS(Combined_Results[Achievable therm 2040], Combined_Results[[Sector]:[Sector]], $B81, Combined_Results[[Cost-Effective]:[Cost-Effective]], 1)</f>
        <v>246983.43763813624</v>
      </c>
      <c r="R81" s="18">
        <f>SUMIFS(Combined_Results[Achievable therm 2041], Combined_Results[[Sector]:[Sector]], $B81, Combined_Results[[Cost-Effective]:[Cost-Effective]], 1)</f>
        <v>228745.38307522249</v>
      </c>
      <c r="S81" s="18">
        <f>SUMIFS(Combined_Results[Achievable therm 2042], Combined_Results[[Sector]:[Sector]], $B81, Combined_Results[[Cost-Effective]:[Cost-Effective]], 1)</f>
        <v>210480.3981874091</v>
      </c>
      <c r="T81" s="18">
        <f>SUMIFS(Combined_Results[Achievable therm 2043], Combined_Results[[Sector]:[Sector]], $B81, Combined_Results[[Cost-Effective]:[Cost-Effective]], 1)</f>
        <v>190120.61026615126</v>
      </c>
      <c r="U81" s="18">
        <f>SUMIFS(Combined_Results[Achievable therm 2044], Combined_Results[[Sector]:[Sector]], $B81, Combined_Results[[Cost-Effective]:[Cost-Effective]], 1)</f>
        <v>149619.11280290704</v>
      </c>
      <c r="V81" s="18">
        <f>SUMIFS(Combined_Results[Achievable therm 2045], Combined_Results[[Sector]:[Sector]], $B81, Combined_Results[[Cost-Effective]:[Cost-Effective]], 1)</f>
        <v>142738.87073950825</v>
      </c>
      <c r="W81" s="18">
        <f>SUMIFS(Combined_Results[Achievable therm 2046], Combined_Results[[Sector]:[Sector]], $B81, Combined_Results[[Cost-Effective]:[Cost-Effective]], 1)</f>
        <v>141297.57803267988</v>
      </c>
      <c r="X81" s="18">
        <f>SUMIFS(Combined_Results[Achievable therm 2047], Combined_Results[[Sector]:[Sector]], $B81, Combined_Results[[Cost-Effective]:[Cost-Effective]], 1)</f>
        <v>129382.72420322783</v>
      </c>
      <c r="Y81" s="18">
        <f>SUMIFS(Combined_Results[Achievable therm 2048], Combined_Results[[Sector]:[Sector]], $B81, Combined_Results[[Cost-Effective]:[Cost-Effective]], 1)</f>
        <v>109285.61575592165</v>
      </c>
      <c r="Z81" s="18">
        <f>SUMIFS(Combined_Results[Achievable therm 2049], Combined_Results[[Sector]:[Sector]], $B81, Combined_Results[[Cost-Effective]:[Cost-Effective]], 1)</f>
        <v>99779.84059123772</v>
      </c>
      <c r="AA81" s="18">
        <f>SUMIFS(Combined_Results[Achievable therm 2050], Combined_Results[[Sector]:[Sector]], $B81, Combined_Results[[Cost-Effective]:[Cost-Effective]], 1)</f>
        <v>61173.14960262533</v>
      </c>
    </row>
    <row r="82" spans="2:28" x14ac:dyDescent="0.2">
      <c r="B82" s="16" t="s">
        <v>43</v>
      </c>
      <c r="C82" s="17">
        <f>SUMIFS(Combined_Results[Achievable therm 2026], Combined_Results[[Sector]:[Sector]], $B$62, Combined_Results[[End Use]:[End Use]], $B82, Combined_Results[[Cost-Effective]:[Cost-Effective]], 1)</f>
        <v>3457.2235623829833</v>
      </c>
      <c r="D82" s="17">
        <f>SUMIFS(Combined_Results[Achievable therm 2027], Combined_Results[[Sector]:[Sector]], $B$62, Combined_Results[[End Use]:[End Use]], $B82, Combined_Results[[Cost-Effective]:[Cost-Effective]], 1)</f>
        <v>5032.4751782392896</v>
      </c>
      <c r="E82" s="17">
        <f>SUMIFS(Combined_Results[Achievable therm 2028], Combined_Results[[Sector]:[Sector]], $B$62, Combined_Results[[End Use]:[End Use]], $B82, Combined_Results[[Cost-Effective]:[Cost-Effective]], 1)</f>
        <v>7273.0330253673174</v>
      </c>
      <c r="F82" s="17">
        <f>SUMIFS(Combined_Results[Achievable therm 2029], Combined_Results[[Sector]:[Sector]], $B$62, Combined_Results[[End Use]:[End Use]], $B82, Combined_Results[[Cost-Effective]:[Cost-Effective]], 1)</f>
        <v>10439.013666756415</v>
      </c>
      <c r="G82" s="17">
        <f>SUMIFS(Combined_Results[Achievable therm 2030], Combined_Results[[Sector]:[Sector]], $B$62, Combined_Results[[End Use]:[End Use]], $B82, Combined_Results[[Cost-Effective]:[Cost-Effective]], 1)</f>
        <v>14239.375184834827</v>
      </c>
      <c r="H82" s="17">
        <f>SUMIFS(Combined_Results[Achievable therm 2031], Combined_Results[[Sector]:[Sector]], $B$62, Combined_Results[[End Use]:[End Use]], $B82, Combined_Results[[Cost-Effective]:[Cost-Effective]], 1)</f>
        <v>18496.747629419919</v>
      </c>
      <c r="I82" s="17">
        <f>SUMIFS(Combined_Results[Achievable therm 2032], Combined_Results[[Sector]:[Sector]], $B$62, Combined_Results[[End Use]:[End Use]], $B82, Combined_Results[[Cost-Effective]:[Cost-Effective]], 1)</f>
        <v>22986.048739452239</v>
      </c>
      <c r="J82" s="17">
        <f>SUMIFS(Combined_Results[Achievable therm 2033], Combined_Results[[Sector]:[Sector]], $B$62, Combined_Results[[End Use]:[End Use]], $B82, Combined_Results[[Cost-Effective]:[Cost-Effective]], 1)</f>
        <v>27531.780298930928</v>
      </c>
      <c r="K82" s="17">
        <f>SUMIFS(Combined_Results[Achievable therm 2034], Combined_Results[[Sector]:[Sector]], $B$62, Combined_Results[[End Use]:[End Use]], $B82, Combined_Results[[Cost-Effective]:[Cost-Effective]], 1)</f>
        <v>31951.852271730535</v>
      </c>
      <c r="L82" s="17">
        <f>SUMIFS(Combined_Results[Achievable therm 2035], Combined_Results[[Sector]:[Sector]], $B$62, Combined_Results[[End Use]:[End Use]], $B82, Combined_Results[[Cost-Effective]:[Cost-Effective]], 1)</f>
        <v>35570.373873708486</v>
      </c>
      <c r="M82" s="17">
        <f>SUMIFS(Combined_Results[Achievable therm 2036], Combined_Results[[Sector]:[Sector]], $B$62, Combined_Results[[End Use]:[End Use]], $B82, Combined_Results[[Cost-Effective]:[Cost-Effective]], 1)</f>
        <v>39303.112937564139</v>
      </c>
      <c r="N82" s="17">
        <f>SUMIFS(Combined_Results[Achievable therm 2037], Combined_Results[[Sector]:[Sector]], $B$62, Combined_Results[[End Use]:[End Use]], $B82, Combined_Results[[Cost-Effective]:[Cost-Effective]], 1)</f>
        <v>43596.857812982606</v>
      </c>
      <c r="O82" s="17">
        <f>SUMIFS(Combined_Results[Achievable therm 2038], Combined_Results[[Sector]:[Sector]], $B$62, Combined_Results[[End Use]:[End Use]], $B82, Combined_Results[[Cost-Effective]:[Cost-Effective]], 1)</f>
        <v>52399.704359361262</v>
      </c>
      <c r="P82" s="17">
        <f>SUMIFS(Combined_Results[Achievable therm 2039], Combined_Results[[Sector]:[Sector]], $B$62, Combined_Results[[End Use]:[End Use]], $B82, Combined_Results[[Cost-Effective]:[Cost-Effective]], 1)</f>
        <v>59206.697362217623</v>
      </c>
      <c r="Q82" s="17">
        <f>SUMIFS(Combined_Results[Achievable therm 2040], Combined_Results[[Sector]:[Sector]], $B$62, Combined_Results[[End Use]:[End Use]], $B82, Combined_Results[[Cost-Effective]:[Cost-Effective]], 1)</f>
        <v>61775.692552962748</v>
      </c>
      <c r="R82" s="17">
        <f>SUMIFS(Combined_Results[Achievable therm 2041], Combined_Results[[Sector]:[Sector]], $B$62, Combined_Results[[End Use]:[End Use]], $B82, Combined_Results[[Cost-Effective]:[Cost-Effective]], 1)</f>
        <v>63408.233132423105</v>
      </c>
      <c r="S82" s="17">
        <f>SUMIFS(Combined_Results[Achievable therm 2042], Combined_Results[[Sector]:[Sector]], $B$62, Combined_Results[[End Use]:[End Use]], $B82, Combined_Results[[Cost-Effective]:[Cost-Effective]], 1)</f>
        <v>64131.282012874362</v>
      </c>
      <c r="T82" s="17">
        <f>SUMIFS(Combined_Results[Achievable therm 2043], Combined_Results[[Sector]:[Sector]], $B$62, Combined_Results[[End Use]:[End Use]], $B82, Combined_Results[[Cost-Effective]:[Cost-Effective]], 1)</f>
        <v>58877.394521509428</v>
      </c>
      <c r="U82" s="17">
        <f>SUMIFS(Combined_Results[Achievable therm 2044], Combined_Results[[Sector]:[Sector]], $B$62, Combined_Results[[End Use]:[End Use]], $B82, Combined_Results[[Cost-Effective]:[Cost-Effective]], 1)</f>
        <v>40422.737104662468</v>
      </c>
      <c r="V82" s="17">
        <f>SUMIFS(Combined_Results[Achievable therm 2045], Combined_Results[[Sector]:[Sector]], $B$62, Combined_Results[[End Use]:[End Use]], $B82, Combined_Results[[Cost-Effective]:[Cost-Effective]], 1)</f>
        <v>36678.499481190207</v>
      </c>
      <c r="W82" s="17">
        <f>SUMIFS(Combined_Results[Achievable therm 2046], Combined_Results[[Sector]:[Sector]], $B$62, Combined_Results[[End Use]:[End Use]], $B82, Combined_Results[[Cost-Effective]:[Cost-Effective]], 1)</f>
        <v>35460.27942710153</v>
      </c>
      <c r="X82" s="17">
        <f>SUMIFS(Combined_Results[Achievable therm 2047], Combined_Results[[Sector]:[Sector]], $B$62, Combined_Results[[End Use]:[End Use]], $B82, Combined_Results[[Cost-Effective]:[Cost-Effective]], 1)</f>
        <v>33925.919037044878</v>
      </c>
      <c r="Y82" s="17">
        <f>SUMIFS(Combined_Results[Achievable therm 2048], Combined_Results[[Sector]:[Sector]], $B$62, Combined_Results[[End Use]:[End Use]], $B82, Combined_Results[[Cost-Effective]:[Cost-Effective]], 1)</f>
        <v>21075.735727876996</v>
      </c>
      <c r="Z82" s="17">
        <f>SUMIFS(Combined_Results[Achievable therm 2049], Combined_Results[[Sector]:[Sector]], $B$62, Combined_Results[[End Use]:[End Use]], $B82, Combined_Results[[Cost-Effective]:[Cost-Effective]], 1)</f>
        <v>15290.583548793755</v>
      </c>
      <c r="AA82" s="17">
        <f>SUMIFS(Combined_Results[Achievable therm 2050], Combined_Results[[Sector]:[Sector]], $B$62, Combined_Results[[End Use]:[End Use]], $B82, Combined_Results[[Cost-Effective]:[Cost-Effective]], 1)</f>
        <v>14618.47592471347</v>
      </c>
    </row>
    <row r="83" spans="2:28" x14ac:dyDescent="0.2">
      <c r="B83" s="16" t="s">
        <v>46</v>
      </c>
      <c r="C83" s="17">
        <f>SUMIFS(Combined_Results[Achievable therm 2026], Combined_Results[[Sector]:[Sector]], $B$62, Combined_Results[[End Use]:[End Use]], $B83, Combined_Results[[Cost-Effective]:[Cost-Effective]], 1)</f>
        <v>84019.48372315451</v>
      </c>
      <c r="D83" s="17">
        <f>SUMIFS(Combined_Results[Achievable therm 2027], Combined_Results[[Sector]:[Sector]], $B$62, Combined_Results[[End Use]:[End Use]], $B83, Combined_Results[[Cost-Effective]:[Cost-Effective]], 1)</f>
        <v>97098.187597026903</v>
      </c>
      <c r="E83" s="17">
        <f>SUMIFS(Combined_Results[Achievable therm 2028], Combined_Results[[Sector]:[Sector]], $B$62, Combined_Results[[End Use]:[End Use]], $B83, Combined_Results[[Cost-Effective]:[Cost-Effective]], 1)</f>
        <v>110259.08371438885</v>
      </c>
      <c r="F83" s="17">
        <f>SUMIFS(Combined_Results[Achievable therm 2029], Combined_Results[[Sector]:[Sector]], $B$62, Combined_Results[[End Use]:[End Use]], $B83, Combined_Results[[Cost-Effective]:[Cost-Effective]], 1)</f>
        <v>128332.06875536981</v>
      </c>
      <c r="G83" s="17">
        <f>SUMIFS(Combined_Results[Achievable therm 2030], Combined_Results[[Sector]:[Sector]], $B$62, Combined_Results[[End Use]:[End Use]], $B83, Combined_Results[[Cost-Effective]:[Cost-Effective]], 1)</f>
        <v>140155.94371851438</v>
      </c>
      <c r="H83" s="17">
        <f>SUMIFS(Combined_Results[Achievable therm 2031], Combined_Results[[Sector]:[Sector]], $B$62, Combined_Results[[End Use]:[End Use]], $B83, Combined_Results[[Cost-Effective]:[Cost-Effective]], 1)</f>
        <v>142542.8257306114</v>
      </c>
      <c r="I83" s="17">
        <f>SUMIFS(Combined_Results[Achievable therm 2032], Combined_Results[[Sector]:[Sector]], $B$62, Combined_Results[[End Use]:[End Use]], $B83, Combined_Results[[Cost-Effective]:[Cost-Effective]], 1)</f>
        <v>133733.05016035563</v>
      </c>
      <c r="J83" s="17">
        <f>SUMIFS(Combined_Results[Achievable therm 2033], Combined_Results[[Sector]:[Sector]], $B$62, Combined_Results[[End Use]:[End Use]], $B83, Combined_Results[[Cost-Effective]:[Cost-Effective]], 1)</f>
        <v>114444.95219201413</v>
      </c>
      <c r="K83" s="17">
        <f>SUMIFS(Combined_Results[Achievable therm 2034], Combined_Results[[Sector]:[Sector]], $B$62, Combined_Results[[End Use]:[End Use]], $B83, Combined_Results[[Cost-Effective]:[Cost-Effective]], 1)</f>
        <v>77948.777908115298</v>
      </c>
      <c r="L83" s="17">
        <f>SUMIFS(Combined_Results[Achievable therm 2035], Combined_Results[[Sector]:[Sector]], $B$62, Combined_Results[[End Use]:[End Use]], $B83, Combined_Results[[Cost-Effective]:[Cost-Effective]], 1)</f>
        <v>31652.612947343059</v>
      </c>
      <c r="M83" s="17">
        <f>SUMIFS(Combined_Results[Achievable therm 2036], Combined_Results[[Sector]:[Sector]], $B$62, Combined_Results[[End Use]:[End Use]], $B83, Combined_Results[[Cost-Effective]:[Cost-Effective]], 1)</f>
        <v>2224.2148961821517</v>
      </c>
      <c r="N83" s="17">
        <f>SUMIFS(Combined_Results[Achievable therm 2037], Combined_Results[[Sector]:[Sector]], $B$62, Combined_Results[[End Use]:[End Use]], $B83, Combined_Results[[Cost-Effective]:[Cost-Effective]], 1)</f>
        <v>0</v>
      </c>
      <c r="O83" s="17">
        <f>SUMIFS(Combined_Results[Achievable therm 2038], Combined_Results[[Sector]:[Sector]], $B$62, Combined_Results[[End Use]:[End Use]], $B83, Combined_Results[[Cost-Effective]:[Cost-Effective]], 1)</f>
        <v>0</v>
      </c>
      <c r="P83" s="17">
        <f>SUMIFS(Combined_Results[Achievable therm 2039], Combined_Results[[Sector]:[Sector]], $B$62, Combined_Results[[End Use]:[End Use]], $B83, Combined_Results[[Cost-Effective]:[Cost-Effective]], 1)</f>
        <v>0</v>
      </c>
      <c r="Q83" s="17">
        <f>SUMIFS(Combined_Results[Achievable therm 2040], Combined_Results[[Sector]:[Sector]], $B$62, Combined_Results[[End Use]:[End Use]], $B83, Combined_Results[[Cost-Effective]:[Cost-Effective]], 1)</f>
        <v>0</v>
      </c>
      <c r="R83" s="17">
        <f>SUMIFS(Combined_Results[Achievable therm 2041], Combined_Results[[Sector]:[Sector]], $B$62, Combined_Results[[End Use]:[End Use]], $B83, Combined_Results[[Cost-Effective]:[Cost-Effective]], 1)</f>
        <v>0</v>
      </c>
      <c r="S83" s="17">
        <f>SUMIFS(Combined_Results[Achievable therm 2042], Combined_Results[[Sector]:[Sector]], $B$62, Combined_Results[[End Use]:[End Use]], $B83, Combined_Results[[Cost-Effective]:[Cost-Effective]], 1)</f>
        <v>0</v>
      </c>
      <c r="T83" s="17">
        <f>SUMIFS(Combined_Results[Achievable therm 2043], Combined_Results[[Sector]:[Sector]], $B$62, Combined_Results[[End Use]:[End Use]], $B83, Combined_Results[[Cost-Effective]:[Cost-Effective]], 1)</f>
        <v>0</v>
      </c>
      <c r="U83" s="17">
        <f>SUMIFS(Combined_Results[Achievable therm 2044], Combined_Results[[Sector]:[Sector]], $B$62, Combined_Results[[End Use]:[End Use]], $B83, Combined_Results[[Cost-Effective]:[Cost-Effective]], 1)</f>
        <v>0</v>
      </c>
      <c r="V83" s="17">
        <f>SUMIFS(Combined_Results[Achievable therm 2045], Combined_Results[[Sector]:[Sector]], $B$62, Combined_Results[[End Use]:[End Use]], $B83, Combined_Results[[Cost-Effective]:[Cost-Effective]], 1)</f>
        <v>0</v>
      </c>
      <c r="W83" s="17">
        <f>SUMIFS(Combined_Results[Achievable therm 2046], Combined_Results[[Sector]:[Sector]], $B$62, Combined_Results[[End Use]:[End Use]], $B83, Combined_Results[[Cost-Effective]:[Cost-Effective]], 1)</f>
        <v>0</v>
      </c>
      <c r="X83" s="17">
        <f>SUMIFS(Combined_Results[Achievable therm 2047], Combined_Results[[Sector]:[Sector]], $B$62, Combined_Results[[End Use]:[End Use]], $B83, Combined_Results[[Cost-Effective]:[Cost-Effective]], 1)</f>
        <v>0</v>
      </c>
      <c r="Y83" s="17">
        <f>SUMIFS(Combined_Results[Achievable therm 2048], Combined_Results[[Sector]:[Sector]], $B$62, Combined_Results[[End Use]:[End Use]], $B83, Combined_Results[[Cost-Effective]:[Cost-Effective]], 1)</f>
        <v>0</v>
      </c>
      <c r="Z83" s="17">
        <f>SUMIFS(Combined_Results[Achievable therm 2049], Combined_Results[[Sector]:[Sector]], $B$62, Combined_Results[[End Use]:[End Use]], $B83, Combined_Results[[Cost-Effective]:[Cost-Effective]], 1)</f>
        <v>0</v>
      </c>
      <c r="AA83" s="17">
        <f>SUMIFS(Combined_Results[Achievable therm 2050], Combined_Results[[Sector]:[Sector]], $B$62, Combined_Results[[End Use]:[End Use]], $B83, Combined_Results[[Cost-Effective]:[Cost-Effective]], 1)</f>
        <v>0</v>
      </c>
    </row>
    <row r="84" spans="2:28" x14ac:dyDescent="0.2">
      <c r="B84" s="16" t="s">
        <v>44</v>
      </c>
      <c r="C84" s="17">
        <f>SUMIFS(Combined_Results[Achievable therm 2026], Combined_Results[[Sector]:[Sector]], $B$62, Combined_Results[[End Use]:[End Use]], $B84, Combined_Results[[Cost-Effective]:[Cost-Effective]], 1)</f>
        <v>56388.859497737038</v>
      </c>
      <c r="D84" s="17">
        <f>SUMIFS(Combined_Results[Achievable therm 2027], Combined_Results[[Sector]:[Sector]], $B$62, Combined_Results[[End Use]:[End Use]], $B84, Combined_Results[[Cost-Effective]:[Cost-Effective]], 1)</f>
        <v>45531.867157653942</v>
      </c>
      <c r="E84" s="17">
        <f>SUMIFS(Combined_Results[Achievable therm 2028], Combined_Results[[Sector]:[Sector]], $B$62, Combined_Results[[End Use]:[End Use]], $B84, Combined_Results[[Cost-Effective]:[Cost-Effective]], 1)</f>
        <v>43482.077438011758</v>
      </c>
      <c r="F84" s="17">
        <f>SUMIFS(Combined_Results[Achievable therm 2029], Combined_Results[[Sector]:[Sector]], $B$62, Combined_Results[[End Use]:[End Use]], $B84, Combined_Results[[Cost-Effective]:[Cost-Effective]], 1)</f>
        <v>43009.702228628681</v>
      </c>
      <c r="G84" s="17">
        <f>SUMIFS(Combined_Results[Achievable therm 2030], Combined_Results[[Sector]:[Sector]], $B$62, Combined_Results[[End Use]:[End Use]], $B84, Combined_Results[[Cost-Effective]:[Cost-Effective]], 1)</f>
        <v>48875.962603546235</v>
      </c>
      <c r="H84" s="17">
        <f>SUMIFS(Combined_Results[Achievable therm 2031], Combined_Results[[Sector]:[Sector]], $B$62, Combined_Results[[End Use]:[End Use]], $B84, Combined_Results[[Cost-Effective]:[Cost-Effective]], 1)</f>
        <v>64162.848033749477</v>
      </c>
      <c r="I84" s="17">
        <f>SUMIFS(Combined_Results[Achievable therm 2032], Combined_Results[[Sector]:[Sector]], $B$62, Combined_Results[[End Use]:[End Use]], $B84, Combined_Results[[Cost-Effective]:[Cost-Effective]], 1)</f>
        <v>82084.556856821189</v>
      </c>
      <c r="J84" s="17">
        <f>SUMIFS(Combined_Results[Achievable therm 2033], Combined_Results[[Sector]:[Sector]], $B$62, Combined_Results[[End Use]:[End Use]], $B84, Combined_Results[[Cost-Effective]:[Cost-Effective]], 1)</f>
        <v>100892.76458750035</v>
      </c>
      <c r="K84" s="17">
        <f>SUMIFS(Combined_Results[Achievable therm 2034], Combined_Results[[Sector]:[Sector]], $B$62, Combined_Results[[End Use]:[End Use]], $B84, Combined_Results[[Cost-Effective]:[Cost-Effective]], 1)</f>
        <v>119211.76957412605</v>
      </c>
      <c r="L84" s="17">
        <f>SUMIFS(Combined_Results[Achievable therm 2035], Combined_Results[[Sector]:[Sector]], $B$62, Combined_Results[[End Use]:[End Use]], $B84, Combined_Results[[Cost-Effective]:[Cost-Effective]], 1)</f>
        <v>135388.24531892964</v>
      </c>
      <c r="M84" s="17">
        <f>SUMIFS(Combined_Results[Achievable therm 2036], Combined_Results[[Sector]:[Sector]], $B$62, Combined_Results[[End Use]:[End Use]], $B84, Combined_Results[[Cost-Effective]:[Cost-Effective]], 1)</f>
        <v>147681.10945702397</v>
      </c>
      <c r="N84" s="17">
        <f>SUMIFS(Combined_Results[Achievable therm 2037], Combined_Results[[Sector]:[Sector]], $B$62, Combined_Results[[End Use]:[End Use]], $B84, Combined_Results[[Cost-Effective]:[Cost-Effective]], 1)</f>
        <v>154511.89316714372</v>
      </c>
      <c r="O84" s="17">
        <f>SUMIFS(Combined_Results[Achievable therm 2038], Combined_Results[[Sector]:[Sector]], $B$62, Combined_Results[[End Use]:[End Use]], $B84, Combined_Results[[Cost-Effective]:[Cost-Effective]], 1)</f>
        <v>154787.68329556508</v>
      </c>
      <c r="P84" s="17">
        <f>SUMIFS(Combined_Results[Achievable therm 2039], Combined_Results[[Sector]:[Sector]], $B$62, Combined_Results[[End Use]:[End Use]], $B84, Combined_Results[[Cost-Effective]:[Cost-Effective]], 1)</f>
        <v>148899.46331188225</v>
      </c>
      <c r="Q84" s="17">
        <f>SUMIFS(Combined_Results[Achievable therm 2040], Combined_Results[[Sector]:[Sector]], $B$62, Combined_Results[[End Use]:[End Use]], $B84, Combined_Results[[Cost-Effective]:[Cost-Effective]], 1)</f>
        <v>137258.45686298126</v>
      </c>
      <c r="R84" s="17">
        <f>SUMIFS(Combined_Results[Achievable therm 2041], Combined_Results[[Sector]:[Sector]], $B$62, Combined_Results[[End Use]:[End Use]], $B84, Combined_Results[[Cost-Effective]:[Cost-Effective]], 1)</f>
        <v>116796.19909152153</v>
      </c>
      <c r="S84" s="17">
        <f>SUMIFS(Combined_Results[Achievable therm 2042], Combined_Results[[Sector]:[Sector]], $B$62, Combined_Results[[End Use]:[End Use]], $B84, Combined_Results[[Cost-Effective]:[Cost-Effective]], 1)</f>
        <v>99216.107068135185</v>
      </c>
      <c r="T84" s="17">
        <f>SUMIFS(Combined_Results[Achievable therm 2043], Combined_Results[[Sector]:[Sector]], $B$62, Combined_Results[[End Use]:[End Use]], $B84, Combined_Results[[Cost-Effective]:[Cost-Effective]], 1)</f>
        <v>86824.826655407393</v>
      </c>
      <c r="U84" s="17">
        <f>SUMIFS(Combined_Results[Achievable therm 2044], Combined_Results[[Sector]:[Sector]], $B$62, Combined_Results[[End Use]:[End Use]], $B84, Combined_Results[[Cost-Effective]:[Cost-Effective]], 1)</f>
        <v>68181.126629986669</v>
      </c>
      <c r="V84" s="17">
        <f>SUMIFS(Combined_Results[Achievable therm 2045], Combined_Results[[Sector]:[Sector]], $B$62, Combined_Results[[End Use]:[End Use]], $B84, Combined_Results[[Cost-Effective]:[Cost-Effective]], 1)</f>
        <v>65499.970485356396</v>
      </c>
      <c r="W84" s="17">
        <f>SUMIFS(Combined_Results[Achievable therm 2046], Combined_Results[[Sector]:[Sector]], $B$62, Combined_Results[[End Use]:[End Use]], $B84, Combined_Results[[Cost-Effective]:[Cost-Effective]], 1)</f>
        <v>66028.672964214944</v>
      </c>
      <c r="X84" s="17">
        <f>SUMIFS(Combined_Results[Achievable therm 2047], Combined_Results[[Sector]:[Sector]], $B$62, Combined_Results[[End Use]:[End Use]], $B84, Combined_Results[[Cost-Effective]:[Cost-Effective]], 1)</f>
        <v>65940.746416960945</v>
      </c>
      <c r="Y84" s="17">
        <f>SUMIFS(Combined_Results[Achievable therm 2048], Combined_Results[[Sector]:[Sector]], $B$62, Combined_Results[[End Use]:[End Use]], $B84, Combined_Results[[Cost-Effective]:[Cost-Effective]], 1)</f>
        <v>66471.83832814834</v>
      </c>
      <c r="Z84" s="17">
        <f>SUMIFS(Combined_Results[Achievable therm 2049], Combined_Results[[Sector]:[Sector]], $B$62, Combined_Results[[End Use]:[End Use]], $B84, Combined_Results[[Cost-Effective]:[Cost-Effective]], 1)</f>
        <v>66089.95327942312</v>
      </c>
      <c r="AA84" s="17">
        <f>SUMIFS(Combined_Results[Achievable therm 2050], Combined_Results[[Sector]:[Sector]], $B$62, Combined_Results[[End Use]:[End Use]], $B84, Combined_Results[[Cost-Effective]:[Cost-Effective]], 1)</f>
        <v>36171.589768240701</v>
      </c>
    </row>
    <row r="85" spans="2:28" x14ac:dyDescent="0.2">
      <c r="B85" s="16" t="s">
        <v>45</v>
      </c>
      <c r="C85" s="17">
        <f>SUMIFS(Combined_Results[Achievable therm 2026], Combined_Results[[Sector]:[Sector]], $B$62, Combined_Results[[End Use]:[End Use]], $B85, Combined_Results[[Cost-Effective]:[Cost-Effective]], 1)</f>
        <v>1275.9336369712962</v>
      </c>
      <c r="D85" s="17">
        <f>SUMIFS(Combined_Results[Achievable therm 2027], Combined_Results[[Sector]:[Sector]], $B$62, Combined_Results[[End Use]:[End Use]], $B85, Combined_Results[[Cost-Effective]:[Cost-Effective]], 1)</f>
        <v>2585.5412632772018</v>
      </c>
      <c r="E85" s="17">
        <f>SUMIFS(Combined_Results[Achievable therm 2028], Combined_Results[[Sector]:[Sector]], $B$62, Combined_Results[[End Use]:[End Use]], $B85, Combined_Results[[Cost-Effective]:[Cost-Effective]], 1)</f>
        <v>4616.4777470872405</v>
      </c>
      <c r="F85" s="17">
        <f>SUMIFS(Combined_Results[Achievable therm 2029], Combined_Results[[Sector]:[Sector]], $B$62, Combined_Results[[End Use]:[End Use]], $B85, Combined_Results[[Cost-Effective]:[Cost-Effective]], 1)</f>
        <v>7444.8127447661727</v>
      </c>
      <c r="G85" s="17">
        <f>SUMIFS(Combined_Results[Achievable therm 2030], Combined_Results[[Sector]:[Sector]], $B$62, Combined_Results[[End Use]:[End Use]], $B85, Combined_Results[[Cost-Effective]:[Cost-Effective]], 1)</f>
        <v>11138.402386476624</v>
      </c>
      <c r="H85" s="17">
        <f>SUMIFS(Combined_Results[Achievable therm 2031], Combined_Results[[Sector]:[Sector]], $B$62, Combined_Results[[End Use]:[End Use]], $B85, Combined_Results[[Cost-Effective]:[Cost-Effective]], 1)</f>
        <v>15629.343436485662</v>
      </c>
      <c r="I85" s="17">
        <f>SUMIFS(Combined_Results[Achievable therm 2032], Combined_Results[[Sector]:[Sector]], $B$62, Combined_Results[[End Use]:[End Use]], $B85, Combined_Results[[Cost-Effective]:[Cost-Effective]], 1)</f>
        <v>20745.468873374692</v>
      </c>
      <c r="J85" s="17">
        <f>SUMIFS(Combined_Results[Achievable therm 2033], Combined_Results[[Sector]:[Sector]], $B$62, Combined_Results[[End Use]:[End Use]], $B85, Combined_Results[[Cost-Effective]:[Cost-Effective]], 1)</f>
        <v>26226.236712012738</v>
      </c>
      <c r="K85" s="17">
        <f>SUMIFS(Combined_Results[Achievable therm 2034], Combined_Results[[Sector]:[Sector]], $B$62, Combined_Results[[End Use]:[End Use]], $B85, Combined_Results[[Cost-Effective]:[Cost-Effective]], 1)</f>
        <v>31747.467729199245</v>
      </c>
      <c r="L85" s="17">
        <f>SUMIFS(Combined_Results[Achievable therm 2035], Combined_Results[[Sector]:[Sector]], $B$62, Combined_Results[[End Use]:[End Use]], $B85, Combined_Results[[Cost-Effective]:[Cost-Effective]], 1)</f>
        <v>36949.702190498392</v>
      </c>
      <c r="M85" s="17">
        <f>SUMIFS(Combined_Results[Achievable therm 2036], Combined_Results[[Sector]:[Sector]], $B$62, Combined_Results[[End Use]:[End Use]], $B85, Combined_Results[[Cost-Effective]:[Cost-Effective]], 1)</f>
        <v>41470.762997401478</v>
      </c>
      <c r="N85" s="17">
        <f>SUMIFS(Combined_Results[Achievable therm 2037], Combined_Results[[Sector]:[Sector]], $B$62, Combined_Results[[End Use]:[End Use]], $B85, Combined_Results[[Cost-Effective]:[Cost-Effective]], 1)</f>
        <v>44987.103634001011</v>
      </c>
      <c r="O85" s="17">
        <f>SUMIFS(Combined_Results[Achievable therm 2038], Combined_Results[[Sector]:[Sector]], $B$62, Combined_Results[[End Use]:[End Use]], $B85, Combined_Results[[Cost-Effective]:[Cost-Effective]], 1)</f>
        <v>47265.97295805785</v>
      </c>
      <c r="P85" s="17">
        <f>SUMIFS(Combined_Results[Achievable therm 2039], Combined_Results[[Sector]:[Sector]], $B$62, Combined_Results[[End Use]:[End Use]], $B85, Combined_Results[[Cost-Effective]:[Cost-Effective]], 1)</f>
        <v>48220.677328629979</v>
      </c>
      <c r="Q85" s="17">
        <f>SUMIFS(Combined_Results[Achievable therm 2040], Combined_Results[[Sector]:[Sector]], $B$62, Combined_Results[[End Use]:[End Use]], $B85, Combined_Results[[Cost-Effective]:[Cost-Effective]], 1)</f>
        <v>47949.288222192343</v>
      </c>
      <c r="R85" s="17">
        <f>SUMIFS(Combined_Results[Achievable therm 2041], Combined_Results[[Sector]:[Sector]], $B$62, Combined_Results[[End Use]:[End Use]], $B85, Combined_Results[[Cost-Effective]:[Cost-Effective]], 1)</f>
        <v>48540.950851277848</v>
      </c>
      <c r="S85" s="17">
        <f>SUMIFS(Combined_Results[Achievable therm 2042], Combined_Results[[Sector]:[Sector]], $B$62, Combined_Results[[End Use]:[End Use]], $B85, Combined_Results[[Cost-Effective]:[Cost-Effective]], 1)</f>
        <v>47133.009106399819</v>
      </c>
      <c r="T85" s="17">
        <f>SUMIFS(Combined_Results[Achievable therm 2043], Combined_Results[[Sector]:[Sector]], $B$62, Combined_Results[[End Use]:[End Use]], $B85, Combined_Results[[Cost-Effective]:[Cost-Effective]], 1)</f>
        <v>44418.389089234399</v>
      </c>
      <c r="U85" s="17">
        <f>SUMIFS(Combined_Results[Achievable therm 2044], Combined_Results[[Sector]:[Sector]], $B$62, Combined_Results[[End Use]:[End Use]], $B85, Combined_Results[[Cost-Effective]:[Cost-Effective]], 1)</f>
        <v>41015.24906825785</v>
      </c>
      <c r="V85" s="17">
        <f>SUMIFS(Combined_Results[Achievable therm 2045], Combined_Results[[Sector]:[Sector]], $B$62, Combined_Results[[End Use]:[End Use]], $B85, Combined_Results[[Cost-Effective]:[Cost-Effective]], 1)</f>
        <v>40560.400772961613</v>
      </c>
      <c r="W85" s="17">
        <f>SUMIFS(Combined_Results[Achievable therm 2046], Combined_Results[[Sector]:[Sector]], $B$62, Combined_Results[[End Use]:[End Use]], $B85, Combined_Results[[Cost-Effective]:[Cost-Effective]], 1)</f>
        <v>39808.625641363433</v>
      </c>
      <c r="X85" s="17">
        <f>SUMIFS(Combined_Results[Achievable therm 2047], Combined_Results[[Sector]:[Sector]], $B$62, Combined_Results[[End Use]:[End Use]], $B85, Combined_Results[[Cost-Effective]:[Cost-Effective]], 1)</f>
        <v>29516.058749222</v>
      </c>
      <c r="Y85" s="17">
        <f>SUMIFS(Combined_Results[Achievable therm 2048], Combined_Results[[Sector]:[Sector]], $B$62, Combined_Results[[End Use]:[End Use]], $B85, Combined_Results[[Cost-Effective]:[Cost-Effective]], 1)</f>
        <v>21738.041699896257</v>
      </c>
      <c r="Z85" s="17">
        <f>SUMIFS(Combined_Results[Achievable therm 2049], Combined_Results[[Sector]:[Sector]], $B$62, Combined_Results[[End Use]:[End Use]], $B85, Combined_Results[[Cost-Effective]:[Cost-Effective]], 1)</f>
        <v>18399.303763020915</v>
      </c>
      <c r="AA85" s="17">
        <f>SUMIFS(Combined_Results[Achievable therm 2050], Combined_Results[[Sector]:[Sector]], $B$62, Combined_Results[[End Use]:[End Use]], $B85, Combined_Results[[Cost-Effective]:[Cost-Effective]], 1)</f>
        <v>10383.083909671175</v>
      </c>
    </row>
    <row r="86" spans="2:28" x14ac:dyDescent="0.2">
      <c r="B86" s="9" t="s">
        <v>33</v>
      </c>
      <c r="C86" s="18">
        <f>SUMIFS(Combined_Results[Achievable therm 2026], Combined_Results[[Sector]:[Sector]], $B86, Combined_Results[[Cost-Effective]:[Cost-Effective]], 1)</f>
        <v>24570.514252836256</v>
      </c>
      <c r="D86" s="18">
        <f>SUMIFS(Combined_Results[Achievable therm 2027], Combined_Results[[Sector]:[Sector]], $B86, Combined_Results[[Cost-Effective]:[Cost-Effective]], 1)</f>
        <v>44403.205222164754</v>
      </c>
      <c r="E86" s="18">
        <f>SUMIFS(Combined_Results[Achievable therm 2028], Combined_Results[[Sector]:[Sector]], $B86, Combined_Results[[Cost-Effective]:[Cost-Effective]], 1)</f>
        <v>73697.620594440552</v>
      </c>
      <c r="F86" s="18">
        <f>SUMIFS(Combined_Results[Achievable therm 2029], Combined_Results[[Sector]:[Sector]], $B86, Combined_Results[[Cost-Effective]:[Cost-Effective]], 1)</f>
        <v>113555.82840464523</v>
      </c>
      <c r="G86" s="18">
        <f>SUMIFS(Combined_Results[Achievable therm 2030], Combined_Results[[Sector]:[Sector]], $B86, Combined_Results[[Cost-Effective]:[Cost-Effective]], 1)</f>
        <v>164866.24974352849</v>
      </c>
      <c r="H86" s="18">
        <f>SUMIFS(Combined_Results[Achievable therm 2031], Combined_Results[[Sector]:[Sector]], $B86, Combined_Results[[Cost-Effective]:[Cost-Effective]], 1)</f>
        <v>227203.78365168671</v>
      </c>
      <c r="I86" s="18">
        <f>SUMIFS(Combined_Results[Achievable therm 2032], Combined_Results[[Sector]:[Sector]], $B86, Combined_Results[[Cost-Effective]:[Cost-Effective]], 1)</f>
        <v>298485.10881013959</v>
      </c>
      <c r="J86" s="18">
        <f>SUMIFS(Combined_Results[Achievable therm 2033], Combined_Results[[Sector]:[Sector]], $B86, Combined_Results[[Cost-Effective]:[Cost-Effective]], 1)</f>
        <v>374574.10868084949</v>
      </c>
      <c r="K86" s="18">
        <f>SUMIFS(Combined_Results[Achievable therm 2034], Combined_Results[[Sector]:[Sector]], $B86, Combined_Results[[Cost-Effective]:[Cost-Effective]], 1)</f>
        <v>449158.78364268085</v>
      </c>
      <c r="L86" s="18">
        <f>SUMIFS(Combined_Results[Achievable therm 2035], Combined_Results[[Sector]:[Sector]], $B86, Combined_Results[[Cost-Effective]:[Cost-Effective]], 1)</f>
        <v>514115.1518715815</v>
      </c>
      <c r="M86" s="18">
        <f>SUMIFS(Combined_Results[Achievable therm 2036], Combined_Results[[Sector]:[Sector]], $B86, Combined_Results[[Cost-Effective]:[Cost-Effective]], 1)</f>
        <v>560529.08232533268</v>
      </c>
      <c r="N86" s="18">
        <f>SUMIFS(Combined_Results[Achievable therm 2037], Combined_Results[[Sector]:[Sector]], $B86, Combined_Results[[Cost-Effective]:[Cost-Effective]], 1)</f>
        <v>580382.83762706653</v>
      </c>
      <c r="O86" s="18">
        <f>SUMIFS(Combined_Results[Achievable therm 2038], Combined_Results[[Sector]:[Sector]], $B86, Combined_Results[[Cost-Effective]:[Cost-Effective]], 1)</f>
        <v>568628.63486012898</v>
      </c>
      <c r="P86" s="18">
        <f>SUMIFS(Combined_Results[Achievable therm 2039], Combined_Results[[Sector]:[Sector]], $B86, Combined_Results[[Cost-Effective]:[Cost-Effective]], 1)</f>
        <v>526274.38506622752</v>
      </c>
      <c r="Q86" s="18">
        <f>SUMIFS(Combined_Results[Achievable therm 2040], Combined_Results[[Sector]:[Sector]], $B86, Combined_Results[[Cost-Effective]:[Cost-Effective]], 1)</f>
        <v>412026.33922944171</v>
      </c>
      <c r="R86" s="18">
        <f>SUMIFS(Combined_Results[Achievable therm 2041], Combined_Results[[Sector]:[Sector]], $B86, Combined_Results[[Cost-Effective]:[Cost-Effective]], 1)</f>
        <v>335438.94447989517</v>
      </c>
      <c r="S86" s="18">
        <f>SUMIFS(Combined_Results[Achievable therm 2042], Combined_Results[[Sector]:[Sector]], $B86, Combined_Results[[Cost-Effective]:[Cost-Effective]], 1)</f>
        <v>148315.04606499331</v>
      </c>
      <c r="T86" s="18">
        <f>SUMIFS(Combined_Results[Achievable therm 2043], Combined_Results[[Sector]:[Sector]], $B86, Combined_Results[[Cost-Effective]:[Cost-Effective]], 1)</f>
        <v>42397.539189268347</v>
      </c>
      <c r="U86" s="18">
        <f>SUMIFS(Combined_Results[Achievable therm 2044], Combined_Results[[Sector]:[Sector]], $B86, Combined_Results[[Cost-Effective]:[Cost-Effective]], 1)</f>
        <v>42495.487642415763</v>
      </c>
      <c r="V86" s="18">
        <f>SUMIFS(Combined_Results[Achievable therm 2045], Combined_Results[[Sector]:[Sector]], $B86, Combined_Results[[Cost-Effective]:[Cost-Effective]], 1)</f>
        <v>42419.474139826518</v>
      </c>
      <c r="W86" s="18">
        <f>SUMIFS(Combined_Results[Achievable therm 2046], Combined_Results[[Sector]:[Sector]], $B86, Combined_Results[[Cost-Effective]:[Cost-Effective]], 1)</f>
        <v>42154.78102490781</v>
      </c>
      <c r="X86" s="18">
        <f>SUMIFS(Combined_Results[Achievable therm 2047], Combined_Results[[Sector]:[Sector]], $B86, Combined_Results[[Cost-Effective]:[Cost-Effective]], 1)</f>
        <v>41829.687739869783</v>
      </c>
      <c r="Y86" s="18">
        <f>SUMIFS(Combined_Results[Achievable therm 2048], Combined_Results[[Sector]:[Sector]], $B86, Combined_Results[[Cost-Effective]:[Cost-Effective]], 1)</f>
        <v>41507.101636988577</v>
      </c>
      <c r="Z86" s="18">
        <f>SUMIFS(Combined_Results[Achievable therm 2049], Combined_Results[[Sector]:[Sector]], $B86, Combined_Results[[Cost-Effective]:[Cost-Effective]], 1)</f>
        <v>41187.003379580696</v>
      </c>
      <c r="AA86" s="18">
        <f>SUMIFS(Combined_Results[Achievable therm 2050], Combined_Results[[Sector]:[Sector]], $B86, Combined_Results[[Cost-Effective]:[Cost-Effective]], 1)</f>
        <v>40869.373780103895</v>
      </c>
    </row>
    <row r="87" spans="2:28" x14ac:dyDescent="0.2">
      <c r="B87" s="16" t="s">
        <v>44</v>
      </c>
      <c r="C87" s="17">
        <f>SUMIFS(Combined_Results[Achievable therm 2026], Combined_Results[[Sector]:[Sector]], $B$67, Combined_Results[[End Use]:[End Use]], $B87, Combined_Results[[Cost-Effective]:[Cost-Effective]], 1)</f>
        <v>10351.883239233443</v>
      </c>
      <c r="D87" s="17">
        <f>SUMIFS(Combined_Results[Achievable therm 2027], Combined_Results[[Sector]:[Sector]], $B$67, Combined_Results[[End Use]:[End Use]], $B87, Combined_Results[[Cost-Effective]:[Cost-Effective]], 1)</f>
        <v>18980.642417853567</v>
      </c>
      <c r="E87" s="17">
        <f>SUMIFS(Combined_Results[Achievable therm 2028], Combined_Results[[Sector]:[Sector]], $B$67, Combined_Results[[End Use]:[End Use]], $B87, Combined_Results[[Cost-Effective]:[Cost-Effective]], 1)</f>
        <v>31710.130589371376</v>
      </c>
      <c r="F87" s="17">
        <f>SUMIFS(Combined_Results[Achievable therm 2029], Combined_Results[[Sector]:[Sector]], $B$67, Combined_Results[[End Use]:[End Use]], $B87, Combined_Results[[Cost-Effective]:[Cost-Effective]], 1)</f>
        <v>49226.923964985996</v>
      </c>
      <c r="G87" s="17">
        <f>SUMIFS(Combined_Results[Achievable therm 2030], Combined_Results[[Sector]:[Sector]], $B$67, Combined_Results[[End Use]:[End Use]], $B87, Combined_Results[[Cost-Effective]:[Cost-Effective]], 1)</f>
        <v>71908.593290945733</v>
      </c>
      <c r="H87" s="17">
        <f>SUMIFS(Combined_Results[Achievable therm 2031], Combined_Results[[Sector]:[Sector]], $B$67, Combined_Results[[End Use]:[End Use]], $B87, Combined_Results[[Cost-Effective]:[Cost-Effective]], 1)</f>
        <v>99620.834230737746</v>
      </c>
      <c r="I87" s="17">
        <f>SUMIFS(Combined_Results[Achievable therm 2032], Combined_Results[[Sector]:[Sector]], $B$67, Combined_Results[[End Use]:[End Use]], $B87, Combined_Results[[Cost-Effective]:[Cost-Effective]], 1)</f>
        <v>131496.50608813923</v>
      </c>
      <c r="J87" s="17">
        <f>SUMIFS(Combined_Results[Achievable therm 2033], Combined_Results[[Sector]:[Sector]], $B$67, Combined_Results[[End Use]:[End Use]], $B87, Combined_Results[[Cost-Effective]:[Cost-Effective]], 1)</f>
        <v>165747.56570962293</v>
      </c>
      <c r="K87" s="17">
        <f>SUMIFS(Combined_Results[Achievable therm 2034], Combined_Results[[Sector]:[Sector]], $B$67, Combined_Results[[End Use]:[End Use]], $B87, Combined_Results[[Cost-Effective]:[Cost-Effective]], 1)</f>
        <v>199590.84398142883</v>
      </c>
      <c r="L87" s="17">
        <f>SUMIFS(Combined_Results[Achievable therm 2035], Combined_Results[[Sector]:[Sector]], $B$67, Combined_Results[[End Use]:[End Use]], $B87, Combined_Results[[Cost-Effective]:[Cost-Effective]], 1)</f>
        <v>229386.58548843479</v>
      </c>
      <c r="M87" s="17">
        <f>SUMIFS(Combined_Results[Achievable therm 2036], Combined_Results[[Sector]:[Sector]], $B$67, Combined_Results[[End Use]:[End Use]], $B87, Combined_Results[[Cost-Effective]:[Cost-Effective]], 1)</f>
        <v>251073.65455951859</v>
      </c>
      <c r="N87" s="17">
        <f>SUMIFS(Combined_Results[Achievable therm 2037], Combined_Results[[Sector]:[Sector]], $B$67, Combined_Results[[End Use]:[End Use]], $B87, Combined_Results[[Cost-Effective]:[Cost-Effective]], 1)</f>
        <v>260916.46180456516</v>
      </c>
      <c r="O87" s="17">
        <f>SUMIFS(Combined_Results[Achievable therm 2038], Combined_Results[[Sector]:[Sector]], $B$67, Combined_Results[[End Use]:[End Use]], $B87, Combined_Results[[Cost-Effective]:[Cost-Effective]], 1)</f>
        <v>256451.88150103268</v>
      </c>
      <c r="P87" s="17">
        <f>SUMIFS(Combined_Results[Achievable therm 2039], Combined_Results[[Sector]:[Sector]], $B$67, Combined_Results[[End Use]:[End Use]], $B87, Combined_Results[[Cost-Effective]:[Cost-Effective]], 1)</f>
        <v>237807.90815399005</v>
      </c>
      <c r="Q87" s="17">
        <f>SUMIFS(Combined_Results[Achievable therm 2040], Combined_Results[[Sector]:[Sector]], $B$67, Combined_Results[[End Use]:[End Use]], $B87, Combined_Results[[Cost-Effective]:[Cost-Effective]], 1)</f>
        <v>190670.03284994757</v>
      </c>
      <c r="R87" s="17">
        <f>SUMIFS(Combined_Results[Achievable therm 2041], Combined_Results[[Sector]:[Sector]], $B$67, Combined_Results[[End Use]:[End Use]], $B87, Combined_Results[[Cost-Effective]:[Cost-Effective]], 1)</f>
        <v>155486.9385293794</v>
      </c>
      <c r="S87" s="17">
        <f>SUMIFS(Combined_Results[Achievable therm 2042], Combined_Results[[Sector]:[Sector]], $B$67, Combined_Results[[End Use]:[End Use]], $B87, Combined_Results[[Cost-Effective]:[Cost-Effective]], 1)</f>
        <v>66057.028089060535</v>
      </c>
      <c r="T87" s="17">
        <f>SUMIFS(Combined_Results[Achievable therm 2043], Combined_Results[[Sector]:[Sector]], $B$67, Combined_Results[[End Use]:[End Use]], $B87, Combined_Results[[Cost-Effective]:[Cost-Effective]], 1)</f>
        <v>15403.787817992008</v>
      </c>
      <c r="U87" s="17">
        <f>SUMIFS(Combined_Results[Achievable therm 2044], Combined_Results[[Sector]:[Sector]], $B$67, Combined_Results[[End Use]:[End Use]], $B87, Combined_Results[[Cost-Effective]:[Cost-Effective]], 1)</f>
        <v>15347.140907610234</v>
      </c>
      <c r="V87" s="17">
        <f>SUMIFS(Combined_Results[Achievable therm 2045], Combined_Results[[Sector]:[Sector]], $B$67, Combined_Results[[End Use]:[End Use]], $B87, Combined_Results[[Cost-Effective]:[Cost-Effective]], 1)</f>
        <v>15229.532839368338</v>
      </c>
      <c r="W87" s="17">
        <f>SUMIFS(Combined_Results[Achievable therm 2046], Combined_Results[[Sector]:[Sector]], $B$67, Combined_Results[[End Use]:[End Use]], $B87, Combined_Results[[Cost-Effective]:[Cost-Effective]], 1)</f>
        <v>15112.277360199927</v>
      </c>
      <c r="X87" s="17">
        <f>SUMIFS(Combined_Results[Achievable therm 2047], Combined_Results[[Sector]:[Sector]], $B$67, Combined_Results[[End Use]:[End Use]], $B87, Combined_Results[[Cost-Effective]:[Cost-Effective]], 1)</f>
        <v>14995.743206005753</v>
      </c>
      <c r="Y87" s="17">
        <f>SUMIFS(Combined_Results[Achievable therm 2048], Combined_Results[[Sector]:[Sector]], $B$67, Combined_Results[[End Use]:[End Use]], $B87, Combined_Results[[Cost-Effective]:[Cost-Effective]], 1)</f>
        <v>14880.107700420302</v>
      </c>
      <c r="Z87" s="17">
        <f>SUMIFS(Combined_Results[Achievable therm 2049], Combined_Results[[Sector]:[Sector]], $B$67, Combined_Results[[End Use]:[End Use]], $B87, Combined_Results[[Cost-Effective]:[Cost-Effective]], 1)</f>
        <v>14765.363913317466</v>
      </c>
      <c r="AA87" s="17">
        <f>SUMIFS(Combined_Results[Achievable therm 2050], Combined_Results[[Sector]:[Sector]], $B$67, Combined_Results[[End Use]:[End Use]], $B87, Combined_Results[[Cost-Effective]:[Cost-Effective]], 1)</f>
        <v>14651.504968016281</v>
      </c>
    </row>
    <row r="88" spans="2:28" x14ac:dyDescent="0.2">
      <c r="B88" s="16" t="s">
        <v>47</v>
      </c>
      <c r="C88" s="17">
        <f>SUMIFS(Combined_Results[Achievable therm 2026], Combined_Results[[Sector]:[Sector]], $B$67, Combined_Results[[End Use]:[End Use]], $B88, Combined_Results[[Cost-Effective]:[Cost-Effective]], 1)</f>
        <v>11263.580477282971</v>
      </c>
      <c r="D88" s="17">
        <f>SUMIFS(Combined_Results[Achievable therm 2027], Combined_Results[[Sector]:[Sector]], $B$67, Combined_Results[[End Use]:[End Use]], $B88, Combined_Results[[Cost-Effective]:[Cost-Effective]], 1)</f>
        <v>20595.892558722619</v>
      </c>
      <c r="E88" s="17">
        <f>SUMIFS(Combined_Results[Achievable therm 2028], Combined_Results[[Sector]:[Sector]], $B$67, Combined_Results[[End Use]:[End Use]], $B88, Combined_Results[[Cost-Effective]:[Cost-Effective]], 1)</f>
        <v>34336.724922735251</v>
      </c>
      <c r="F88" s="17">
        <f>SUMIFS(Combined_Results[Achievable therm 2029], Combined_Results[[Sector]:[Sector]], $B$67, Combined_Results[[End Use]:[End Use]], $B88, Combined_Results[[Cost-Effective]:[Cost-Effective]], 1)</f>
        <v>53206.465666375727</v>
      </c>
      <c r="G88" s="17">
        <f>SUMIFS(Combined_Results[Achievable therm 2030], Combined_Results[[Sector]:[Sector]], $B$67, Combined_Results[[End Use]:[End Use]], $B88, Combined_Results[[Cost-Effective]:[Cost-Effective]], 1)</f>
        <v>77584.357135978717</v>
      </c>
      <c r="H88" s="17">
        <f>SUMIFS(Combined_Results[Achievable therm 2031], Combined_Results[[Sector]:[Sector]], $B$67, Combined_Results[[End Use]:[End Use]], $B88, Combined_Results[[Cost-Effective]:[Cost-Effective]], 1)</f>
        <v>107289.92855676438</v>
      </c>
      <c r="I88" s="17">
        <f>SUMIFS(Combined_Results[Achievable therm 2032], Combined_Results[[Sector]:[Sector]], $B$67, Combined_Results[[End Use]:[End Use]], $B88, Combined_Results[[Cost-Effective]:[Cost-Effective]], 1)</f>
        <v>141346.03489739296</v>
      </c>
      <c r="J88" s="17">
        <f>SUMIFS(Combined_Results[Achievable therm 2033], Combined_Results[[Sector]:[Sector]], $B$67, Combined_Results[[End Use]:[End Use]], $B88, Combined_Results[[Cost-Effective]:[Cost-Effective]], 1)</f>
        <v>177779.28189157366</v>
      </c>
      <c r="K88" s="17">
        <f>SUMIFS(Combined_Results[Achievable therm 2034], Combined_Results[[Sector]:[Sector]], $B$67, Combined_Results[[End Use]:[End Use]], $B88, Combined_Results[[Cost-Effective]:[Cost-Effective]], 1)</f>
        <v>213545.69777004857</v>
      </c>
      <c r="L88" s="17">
        <f>SUMIFS(Combined_Results[Achievable therm 2035], Combined_Results[[Sector]:[Sector]], $B$67, Combined_Results[[End Use]:[End Use]], $B88, Combined_Results[[Cost-Effective]:[Cost-Effective]], 1)</f>
        <v>244688.45582451235</v>
      </c>
      <c r="M88" s="17">
        <f>SUMIFS(Combined_Results[Achievable therm 2036], Combined_Results[[Sector]:[Sector]], $B$67, Combined_Results[[End Use]:[End Use]], $B88, Combined_Results[[Cost-Effective]:[Cost-Effective]], 1)</f>
        <v>266817.3656675627</v>
      </c>
      <c r="N88" s="17">
        <f>SUMIFS(Combined_Results[Achievable therm 2037], Combined_Results[[Sector]:[Sector]], $B$67, Combined_Results[[End Use]:[End Use]], $B88, Combined_Results[[Cost-Effective]:[Cost-Effective]], 1)</f>
        <v>275924.33793603833</v>
      </c>
      <c r="O88" s="17">
        <f>SUMIFS(Combined_Results[Achievable therm 2038], Combined_Results[[Sector]:[Sector]], $B$67, Combined_Results[[End Use]:[End Use]], $B88, Combined_Results[[Cost-Effective]:[Cost-Effective]], 1)</f>
        <v>269411.05821183487</v>
      </c>
      <c r="P88" s="17">
        <f>SUMIFS(Combined_Results[Achievable therm 2039], Combined_Results[[Sector]:[Sector]], $B$67, Combined_Results[[End Use]:[End Use]], $B88, Combined_Results[[Cost-Effective]:[Cost-Effective]], 1)</f>
        <v>247541.46057487928</v>
      </c>
      <c r="Q88" s="17">
        <f>SUMIFS(Combined_Results[Achievable therm 2040], Combined_Results[[Sector]:[Sector]], $B$67, Combined_Results[[End Use]:[End Use]], $B88, Combined_Results[[Cost-Effective]:[Cost-Effective]], 1)</f>
        <v>193812.00558795949</v>
      </c>
      <c r="R88" s="17">
        <f>SUMIFS(Combined_Results[Achievable therm 2041], Combined_Results[[Sector]:[Sector]], $B$67, Combined_Results[[End Use]:[End Use]], $B88, Combined_Results[[Cost-Effective]:[Cost-Effective]], 1)</f>
        <v>154368.99898577275</v>
      </c>
      <c r="S88" s="17">
        <f>SUMIFS(Combined_Results[Achievable therm 2042], Combined_Results[[Sector]:[Sector]], $B$67, Combined_Results[[End Use]:[End Use]], $B88, Combined_Results[[Cost-Effective]:[Cost-Effective]], 1)</f>
        <v>55832.351666149327</v>
      </c>
      <c r="T88" s="17">
        <f>SUMIFS(Combined_Results[Achievable therm 2043], Combined_Results[[Sector]:[Sector]], $B$67, Combined_Results[[End Use]:[End Use]], $B88, Combined_Results[[Cost-Effective]:[Cost-Effective]], 1)</f>
        <v>0</v>
      </c>
      <c r="U88" s="17">
        <f>SUMIFS(Combined_Results[Achievable therm 2044], Combined_Results[[Sector]:[Sector]], $B$67, Combined_Results[[End Use]:[End Use]], $B88, Combined_Results[[Cost-Effective]:[Cost-Effective]], 1)</f>
        <v>0</v>
      </c>
      <c r="V88" s="17">
        <f>SUMIFS(Combined_Results[Achievable therm 2045], Combined_Results[[Sector]:[Sector]], $B$67, Combined_Results[[End Use]:[End Use]], $B88, Combined_Results[[Cost-Effective]:[Cost-Effective]], 1)</f>
        <v>0</v>
      </c>
      <c r="W88" s="17">
        <f>SUMIFS(Combined_Results[Achievable therm 2046], Combined_Results[[Sector]:[Sector]], $B$67, Combined_Results[[End Use]:[End Use]], $B88, Combined_Results[[Cost-Effective]:[Cost-Effective]], 1)</f>
        <v>0</v>
      </c>
      <c r="X88" s="17">
        <f>SUMIFS(Combined_Results[Achievable therm 2047], Combined_Results[[Sector]:[Sector]], $B$67, Combined_Results[[End Use]:[End Use]], $B88, Combined_Results[[Cost-Effective]:[Cost-Effective]], 1)</f>
        <v>0</v>
      </c>
      <c r="Y88" s="17">
        <f>SUMIFS(Combined_Results[Achievable therm 2048], Combined_Results[[Sector]:[Sector]], $B$67, Combined_Results[[End Use]:[End Use]], $B88, Combined_Results[[Cost-Effective]:[Cost-Effective]], 1)</f>
        <v>0</v>
      </c>
      <c r="Z88" s="17">
        <f>SUMIFS(Combined_Results[Achievable therm 2049], Combined_Results[[Sector]:[Sector]], $B$67, Combined_Results[[End Use]:[End Use]], $B88, Combined_Results[[Cost-Effective]:[Cost-Effective]], 1)</f>
        <v>0</v>
      </c>
      <c r="AA88" s="17">
        <f>SUMIFS(Combined_Results[Achievable therm 2050], Combined_Results[[Sector]:[Sector]], $B$67, Combined_Results[[End Use]:[End Use]], $B88, Combined_Results[[Cost-Effective]:[Cost-Effective]], 1)</f>
        <v>0</v>
      </c>
    </row>
    <row r="89" spans="2:28" x14ac:dyDescent="0.2">
      <c r="B89" s="16" t="s">
        <v>45</v>
      </c>
      <c r="C89" s="17">
        <f>SUMIFS(Combined_Results[Achievable therm 2026], Combined_Results[[Sector]:[Sector]], $B$67, Combined_Results[[End Use]:[End Use]], $B89, Combined_Results[[Cost-Effective]:[Cost-Effective]], 1)</f>
        <v>225.01468225816222</v>
      </c>
      <c r="D89" s="17">
        <f>SUMIFS(Combined_Results[Achievable therm 2027], Combined_Results[[Sector]:[Sector]], $B$67, Combined_Results[[End Use]:[End Use]], $B89, Combined_Results[[Cost-Effective]:[Cost-Effective]], 1)</f>
        <v>420.13677784298227</v>
      </c>
      <c r="E89" s="17">
        <f>SUMIFS(Combined_Results[Achievable therm 2028], Combined_Results[[Sector]:[Sector]], $B$67, Combined_Results[[End Use]:[End Use]], $B89, Combined_Results[[Cost-Effective]:[Cost-Effective]], 1)</f>
        <v>1013.8395784550173</v>
      </c>
      <c r="F89" s="17">
        <f>SUMIFS(Combined_Results[Achievable therm 2029], Combined_Results[[Sector]:[Sector]], $B$67, Combined_Results[[End Use]:[End Use]], $B89, Combined_Results[[Cost-Effective]:[Cost-Effective]], 1)</f>
        <v>1690.2426880354828</v>
      </c>
      <c r="G89" s="17">
        <f>SUMIFS(Combined_Results[Achievable therm 2030], Combined_Results[[Sector]:[Sector]], $B$67, Combined_Results[[End Use]:[End Use]], $B89, Combined_Results[[Cost-Effective]:[Cost-Effective]], 1)</f>
        <v>2641.8607732379041</v>
      </c>
      <c r="H89" s="17">
        <f>SUMIFS(Combined_Results[Achievable therm 2031], Combined_Results[[Sector]:[Sector]], $B$67, Combined_Results[[End Use]:[End Use]], $B89, Combined_Results[[Cost-Effective]:[Cost-Effective]], 1)</f>
        <v>3915.7490886330002</v>
      </c>
      <c r="I89" s="17">
        <f>SUMIFS(Combined_Results[Achievable therm 2032], Combined_Results[[Sector]:[Sector]], $B$67, Combined_Results[[End Use]:[End Use]], $B89, Combined_Results[[Cost-Effective]:[Cost-Effective]], 1)</f>
        <v>5542.9034486835271</v>
      </c>
      <c r="J89" s="17">
        <f>SUMIFS(Combined_Results[Achievable therm 2033], Combined_Results[[Sector]:[Sector]], $B$67, Combined_Results[[End Use]:[End Use]], $B89, Combined_Results[[Cost-Effective]:[Cost-Effective]], 1)</f>
        <v>7527.7564641501613</v>
      </c>
      <c r="K89" s="17">
        <f>SUMIFS(Combined_Results[Achievable therm 2034], Combined_Results[[Sector]:[Sector]], $B$67, Combined_Results[[End Use]:[End Use]], $B89, Combined_Results[[Cost-Effective]:[Cost-Effective]], 1)</f>
        <v>9838.3658496683402</v>
      </c>
      <c r="L89" s="17">
        <f>SUMIFS(Combined_Results[Achievable therm 2035], Combined_Results[[Sector]:[Sector]], $B$67, Combined_Results[[End Use]:[End Use]], $B89, Combined_Results[[Cost-Effective]:[Cost-Effective]], 1)</f>
        <v>12400.191084748478</v>
      </c>
      <c r="M89" s="17">
        <f>SUMIFS(Combined_Results[Achievable therm 2036], Combined_Results[[Sector]:[Sector]], $B$67, Combined_Results[[End Use]:[End Use]], $B89, Combined_Results[[Cost-Effective]:[Cost-Effective]], 1)</f>
        <v>15096.777832107948</v>
      </c>
      <c r="N89" s="17">
        <f>SUMIFS(Combined_Results[Achievable therm 2037], Combined_Results[[Sector]:[Sector]], $B$67, Combined_Results[[End Use]:[End Use]], $B89, Combined_Results[[Cost-Effective]:[Cost-Effective]], 1)</f>
        <v>17779.934561828479</v>
      </c>
      <c r="O89" s="17">
        <f>SUMIFS(Combined_Results[Achievable therm 2038], Combined_Results[[Sector]:[Sector]], $B$67, Combined_Results[[End Use]:[End Use]], $B89, Combined_Results[[Cost-Effective]:[Cost-Effective]], 1)</f>
        <v>20289.70926285618</v>
      </c>
      <c r="P89" s="17">
        <f>SUMIFS(Combined_Results[Achievable therm 2039], Combined_Results[[Sector]:[Sector]], $B$67, Combined_Results[[End Use]:[End Use]], $B89, Combined_Results[[Cost-Effective]:[Cost-Effective]], 1)</f>
        <v>22480.956319198329</v>
      </c>
      <c r="Q89" s="17">
        <f>SUMIFS(Combined_Results[Achievable therm 2040], Combined_Results[[Sector]:[Sector]], $B$67, Combined_Results[[End Use]:[End Use]], $B89, Combined_Results[[Cost-Effective]:[Cost-Effective]], 1)</f>
        <v>24249.786175591849</v>
      </c>
      <c r="R89" s="17">
        <f>SUMIFS(Combined_Results[Achievable therm 2041], Combined_Results[[Sector]:[Sector]], $B$67, Combined_Results[[End Use]:[End Use]], $B89, Combined_Results[[Cost-Effective]:[Cost-Effective]], 1)</f>
        <v>25583.006964743057</v>
      </c>
      <c r="S89" s="17">
        <f>SUMIFS(Combined_Results[Achievable therm 2042], Combined_Results[[Sector]:[Sector]], $B$67, Combined_Results[[End Use]:[End Use]], $B89, Combined_Results[[Cost-Effective]:[Cost-Effective]], 1)</f>
        <v>26425.666309783446</v>
      </c>
      <c r="T89" s="17">
        <f>SUMIFS(Combined_Results[Achievable therm 2043], Combined_Results[[Sector]:[Sector]], $B$67, Combined_Results[[End Use]:[End Use]], $B89, Combined_Results[[Cost-Effective]:[Cost-Effective]], 1)</f>
        <v>26993.751371276336</v>
      </c>
      <c r="U89" s="17">
        <f>SUMIFS(Combined_Results[Achievable therm 2044], Combined_Results[[Sector]:[Sector]], $B$67, Combined_Results[[End Use]:[End Use]], $B89, Combined_Results[[Cost-Effective]:[Cost-Effective]], 1)</f>
        <v>27148.346734805535</v>
      </c>
      <c r="V89" s="17">
        <f>SUMIFS(Combined_Results[Achievable therm 2045], Combined_Results[[Sector]:[Sector]], $B$67, Combined_Results[[End Use]:[End Use]], $B89, Combined_Results[[Cost-Effective]:[Cost-Effective]], 1)</f>
        <v>27189.94130045818</v>
      </c>
      <c r="W89" s="17">
        <f>SUMIFS(Combined_Results[Achievable therm 2046], Combined_Results[[Sector]:[Sector]], $B$67, Combined_Results[[End Use]:[End Use]], $B89, Combined_Results[[Cost-Effective]:[Cost-Effective]], 1)</f>
        <v>27042.503664707896</v>
      </c>
      <c r="X89" s="17">
        <f>SUMIFS(Combined_Results[Achievable therm 2047], Combined_Results[[Sector]:[Sector]], $B$67, Combined_Results[[End Use]:[End Use]], $B89, Combined_Results[[Cost-Effective]:[Cost-Effective]], 1)</f>
        <v>26833.94453386404</v>
      </c>
      <c r="Y89" s="17">
        <f>SUMIFS(Combined_Results[Achievable therm 2048], Combined_Results[[Sector]:[Sector]], $B$67, Combined_Results[[End Use]:[End Use]], $B89, Combined_Results[[Cost-Effective]:[Cost-Effective]], 1)</f>
        <v>26626.993936568288</v>
      </c>
      <c r="Z89" s="17">
        <f>SUMIFS(Combined_Results[Achievable therm 2049], Combined_Results[[Sector]:[Sector]], $B$67, Combined_Results[[End Use]:[End Use]], $B89, Combined_Results[[Cost-Effective]:[Cost-Effective]], 1)</f>
        <v>26421.639466263237</v>
      </c>
      <c r="AA89" s="17">
        <f>SUMIFS(Combined_Results[Achievable therm 2050], Combined_Results[[Sector]:[Sector]], $B$67, Combined_Results[[End Use]:[End Use]], $B89, Combined_Results[[Cost-Effective]:[Cost-Effective]], 1)</f>
        <v>26217.868812087621</v>
      </c>
    </row>
    <row r="90" spans="2:28" x14ac:dyDescent="0.2">
      <c r="B90" s="16" t="s">
        <v>46</v>
      </c>
      <c r="C90" s="17">
        <f>SUMIFS(Combined_Results[Achievable therm 2026], Combined_Results[[Sector]:[Sector]], $B$67, Combined_Results[[End Use]:[End Use]], $B90, Combined_Results[[Cost-Effective]:[Cost-Effective]], 1)</f>
        <v>2730.0358540616817</v>
      </c>
      <c r="D90" s="17">
        <f>SUMIFS(Combined_Results[Achievable therm 2027], Combined_Results[[Sector]:[Sector]], $B$67, Combined_Results[[End Use]:[End Use]], $B90, Combined_Results[[Cost-Effective]:[Cost-Effective]], 1)</f>
        <v>4406.5334677455685</v>
      </c>
      <c r="E90" s="17">
        <f>SUMIFS(Combined_Results[Achievable therm 2028], Combined_Results[[Sector]:[Sector]], $B$67, Combined_Results[[End Use]:[End Use]], $B90, Combined_Results[[Cost-Effective]:[Cost-Effective]], 1)</f>
        <v>6636.9255038788715</v>
      </c>
      <c r="F90" s="17">
        <f>SUMIFS(Combined_Results[Achievable therm 2029], Combined_Results[[Sector]:[Sector]], $B$67, Combined_Results[[End Use]:[End Use]], $B90, Combined_Results[[Cost-Effective]:[Cost-Effective]], 1)</f>
        <v>9432.1960852479879</v>
      </c>
      <c r="G90" s="17">
        <f>SUMIFS(Combined_Results[Achievable therm 2030], Combined_Results[[Sector]:[Sector]], $B$67, Combined_Results[[End Use]:[End Use]], $B90, Combined_Results[[Cost-Effective]:[Cost-Effective]], 1)</f>
        <v>12731.438543366046</v>
      </c>
      <c r="H90" s="17">
        <f>SUMIFS(Combined_Results[Achievable therm 2031], Combined_Results[[Sector]:[Sector]], $B$67, Combined_Results[[End Use]:[End Use]], $B90, Combined_Results[[Cost-Effective]:[Cost-Effective]], 1)</f>
        <v>16377.271775551195</v>
      </c>
      <c r="I90" s="17">
        <f>SUMIFS(Combined_Results[Achievable therm 2032], Combined_Results[[Sector]:[Sector]], $B$67, Combined_Results[[End Use]:[End Use]], $B90, Combined_Results[[Cost-Effective]:[Cost-Effective]], 1)</f>
        <v>20099.664375923887</v>
      </c>
      <c r="J90" s="17">
        <f>SUMIFS(Combined_Results[Achievable therm 2033], Combined_Results[[Sector]:[Sector]], $B$67, Combined_Results[[End Use]:[End Use]], $B90, Combined_Results[[Cost-Effective]:[Cost-Effective]], 1)</f>
        <v>23519.504615502457</v>
      </c>
      <c r="K90" s="17">
        <f>SUMIFS(Combined_Results[Achievable therm 2034], Combined_Results[[Sector]:[Sector]], $B$67, Combined_Results[[End Use]:[End Use]], $B90, Combined_Results[[Cost-Effective]:[Cost-Effective]], 1)</f>
        <v>26183.876041534972</v>
      </c>
      <c r="L90" s="17">
        <f>SUMIFS(Combined_Results[Achievable therm 2035], Combined_Results[[Sector]:[Sector]], $B$67, Combined_Results[[End Use]:[End Use]], $B90, Combined_Results[[Cost-Effective]:[Cost-Effective]], 1)</f>
        <v>27639.919473886388</v>
      </c>
      <c r="M90" s="17">
        <f>SUMIFS(Combined_Results[Achievable therm 2036], Combined_Results[[Sector]:[Sector]], $B$67, Combined_Results[[End Use]:[End Use]], $B90, Combined_Results[[Cost-Effective]:[Cost-Effective]], 1)</f>
        <v>27541.284266143586</v>
      </c>
      <c r="N90" s="17">
        <f>SUMIFS(Combined_Results[Achievable therm 2037], Combined_Results[[Sector]:[Sector]], $B$67, Combined_Results[[End Use]:[End Use]], $B90, Combined_Results[[Cost-Effective]:[Cost-Effective]], 1)</f>
        <v>25762.103324634591</v>
      </c>
      <c r="O90" s="17">
        <f>SUMIFS(Combined_Results[Achievable therm 2038], Combined_Results[[Sector]:[Sector]], $B$67, Combined_Results[[End Use]:[End Use]], $B90, Combined_Results[[Cost-Effective]:[Cost-Effective]], 1)</f>
        <v>22475.985884405425</v>
      </c>
      <c r="P90" s="17">
        <f>SUMIFS(Combined_Results[Achievable therm 2039], Combined_Results[[Sector]:[Sector]], $B$67, Combined_Results[[End Use]:[End Use]], $B90, Combined_Results[[Cost-Effective]:[Cost-Effective]], 1)</f>
        <v>18444.060018159485</v>
      </c>
      <c r="Q90" s="17">
        <f>SUMIFS(Combined_Results[Achievable therm 2040], Combined_Results[[Sector]:[Sector]], $B$67, Combined_Results[[End Use]:[End Use]], $B90, Combined_Results[[Cost-Effective]:[Cost-Effective]], 1)</f>
        <v>3294.5146159423703</v>
      </c>
      <c r="R90" s="17">
        <f>SUMIFS(Combined_Results[Achievable therm 2041], Combined_Results[[Sector]:[Sector]], $B$67, Combined_Results[[End Use]:[End Use]], $B90, Combined_Results[[Cost-Effective]:[Cost-Effective]], 1)</f>
        <v>0</v>
      </c>
      <c r="S90" s="17">
        <f>SUMIFS(Combined_Results[Achievable therm 2042], Combined_Results[[Sector]:[Sector]], $B$67, Combined_Results[[End Use]:[End Use]], $B90, Combined_Results[[Cost-Effective]:[Cost-Effective]], 1)</f>
        <v>0</v>
      </c>
      <c r="T90" s="17">
        <f>SUMIFS(Combined_Results[Achievable therm 2043], Combined_Results[[Sector]:[Sector]], $B$67, Combined_Results[[End Use]:[End Use]], $B90, Combined_Results[[Cost-Effective]:[Cost-Effective]], 1)</f>
        <v>0</v>
      </c>
      <c r="U90" s="17">
        <f>SUMIFS(Combined_Results[Achievable therm 2044], Combined_Results[[Sector]:[Sector]], $B$67, Combined_Results[[End Use]:[End Use]], $B90, Combined_Results[[Cost-Effective]:[Cost-Effective]], 1)</f>
        <v>0</v>
      </c>
      <c r="V90" s="17">
        <f>SUMIFS(Combined_Results[Achievable therm 2045], Combined_Results[[Sector]:[Sector]], $B$67, Combined_Results[[End Use]:[End Use]], $B90, Combined_Results[[Cost-Effective]:[Cost-Effective]], 1)</f>
        <v>0</v>
      </c>
      <c r="W90" s="17">
        <f>SUMIFS(Combined_Results[Achievable therm 2046], Combined_Results[[Sector]:[Sector]], $B$67, Combined_Results[[End Use]:[End Use]], $B90, Combined_Results[[Cost-Effective]:[Cost-Effective]], 1)</f>
        <v>0</v>
      </c>
      <c r="X90" s="17">
        <f>SUMIFS(Combined_Results[Achievable therm 2047], Combined_Results[[Sector]:[Sector]], $B$67, Combined_Results[[End Use]:[End Use]], $B90, Combined_Results[[Cost-Effective]:[Cost-Effective]], 1)</f>
        <v>0</v>
      </c>
      <c r="Y90" s="17">
        <f>SUMIFS(Combined_Results[Achievable therm 2048], Combined_Results[[Sector]:[Sector]], $B$67, Combined_Results[[End Use]:[End Use]], $B90, Combined_Results[[Cost-Effective]:[Cost-Effective]], 1)</f>
        <v>0</v>
      </c>
      <c r="Z90" s="17">
        <f>SUMIFS(Combined_Results[Achievable therm 2049], Combined_Results[[Sector]:[Sector]], $B$67, Combined_Results[[End Use]:[End Use]], $B90, Combined_Results[[Cost-Effective]:[Cost-Effective]], 1)</f>
        <v>0</v>
      </c>
      <c r="AA90" s="17">
        <f>SUMIFS(Combined_Results[Achievable therm 2050], Combined_Results[[Sector]:[Sector]], $B$67, Combined_Results[[End Use]:[End Use]], $B90, Combined_Results[[Cost-Effective]:[Cost-Effective]], 1)</f>
        <v>0</v>
      </c>
    </row>
    <row r="91" spans="2:28" ht="13.5" thickBot="1" x14ac:dyDescent="0.25">
      <c r="B91" s="14" t="s">
        <v>34</v>
      </c>
      <c r="C91" s="15">
        <f>SUM(C76,C81,C86)</f>
        <v>255190.60050502024</v>
      </c>
      <c r="D91" s="15">
        <f t="shared" ref="D91:AA91" si="40">SUM(D76,D81,D86)</f>
        <v>316245.23291082343</v>
      </c>
      <c r="E91" s="15">
        <f t="shared" si="40"/>
        <v>414011.93362152256</v>
      </c>
      <c r="F91" s="15">
        <f t="shared" si="40"/>
        <v>541159.83969313407</v>
      </c>
      <c r="G91" s="15">
        <f t="shared" si="40"/>
        <v>695783.21914106514</v>
      </c>
      <c r="H91" s="15">
        <f t="shared" si="40"/>
        <v>876089.87937789294</v>
      </c>
      <c r="I91" s="15">
        <f t="shared" si="40"/>
        <v>1067821.78970923</v>
      </c>
      <c r="J91" s="15">
        <f t="shared" si="40"/>
        <v>1259697.07525851</v>
      </c>
      <c r="K91" s="15">
        <f t="shared" si="40"/>
        <v>1428600.0104384385</v>
      </c>
      <c r="L91" s="15">
        <f t="shared" si="40"/>
        <v>1560987.4525284735</v>
      </c>
      <c r="M91" s="15">
        <f t="shared" si="40"/>
        <v>1663145.7262227503</v>
      </c>
      <c r="N91" s="15">
        <f t="shared" si="40"/>
        <v>1727426.5202945464</v>
      </c>
      <c r="O91" s="15">
        <f t="shared" si="40"/>
        <v>1722143.0667392472</v>
      </c>
      <c r="P91" s="15">
        <f t="shared" si="40"/>
        <v>1644170.7084252234</v>
      </c>
      <c r="Q91" s="15">
        <f t="shared" si="40"/>
        <v>1453224.1448740335</v>
      </c>
      <c r="R91" s="15">
        <f t="shared" si="40"/>
        <v>1279410.4840674491</v>
      </c>
      <c r="S91" s="15">
        <f t="shared" si="40"/>
        <v>973822.41907829116</v>
      </c>
      <c r="T91" s="15">
        <f t="shared" si="40"/>
        <v>776056.41099410318</v>
      </c>
      <c r="U91" s="15">
        <f t="shared" si="40"/>
        <v>630154.62084368011</v>
      </c>
      <c r="V91" s="15">
        <f t="shared" si="40"/>
        <v>609098.22943519859</v>
      </c>
      <c r="W91" s="15">
        <f t="shared" si="40"/>
        <v>596598.20371014718</v>
      </c>
      <c r="X91" s="15">
        <f t="shared" si="40"/>
        <v>579708.52732381702</v>
      </c>
      <c r="Y91" s="15">
        <f t="shared" si="40"/>
        <v>553933.87124471972</v>
      </c>
      <c r="Z91" s="15">
        <f t="shared" si="40"/>
        <v>536185.15225707705</v>
      </c>
      <c r="AA91" s="15">
        <f t="shared" si="40"/>
        <v>443048.71143990871</v>
      </c>
    </row>
    <row r="93" spans="2:28" x14ac:dyDescent="0.2">
      <c r="B93" s="9" t="s">
        <v>49</v>
      </c>
    </row>
    <row r="94" spans="2:28" x14ac:dyDescent="0.2">
      <c r="B94" s="11"/>
      <c r="C94" s="11" t="s">
        <v>50</v>
      </c>
      <c r="D94" s="12">
        <v>2026</v>
      </c>
      <c r="E94" s="12">
        <v>2027</v>
      </c>
      <c r="F94" s="12">
        <v>2028</v>
      </c>
      <c r="G94" s="12">
        <v>2029</v>
      </c>
      <c r="H94" s="12">
        <v>2030</v>
      </c>
      <c r="I94" s="12">
        <v>2031</v>
      </c>
      <c r="J94" s="12">
        <v>2032</v>
      </c>
      <c r="K94" s="12">
        <v>2033</v>
      </c>
      <c r="L94" s="12">
        <v>2034</v>
      </c>
      <c r="M94" s="12">
        <v>2035</v>
      </c>
      <c r="N94" s="12">
        <v>2036</v>
      </c>
      <c r="O94" s="12">
        <v>2037</v>
      </c>
      <c r="P94" s="12">
        <v>2038</v>
      </c>
      <c r="Q94" s="12">
        <v>2039</v>
      </c>
      <c r="R94" s="12">
        <v>2040</v>
      </c>
      <c r="S94" s="12">
        <v>2041</v>
      </c>
      <c r="T94" s="12">
        <v>2042</v>
      </c>
      <c r="U94" s="12">
        <v>2043</v>
      </c>
      <c r="V94" s="12">
        <v>2044</v>
      </c>
      <c r="W94" s="12">
        <v>2045</v>
      </c>
      <c r="X94" s="12">
        <v>2046</v>
      </c>
      <c r="Y94" s="12">
        <v>2047</v>
      </c>
      <c r="Z94" s="12">
        <v>2048</v>
      </c>
      <c r="AA94" s="12">
        <v>2049</v>
      </c>
      <c r="AB94" s="12">
        <v>2050</v>
      </c>
    </row>
    <row r="95" spans="2:28" x14ac:dyDescent="0.2">
      <c r="B95" s="10" t="s">
        <v>51</v>
      </c>
      <c r="C95" s="10" t="s">
        <v>52</v>
      </c>
      <c r="D95" s="17" cm="1">
        <f t="array" ref="D95">SUMIFS(Combined_Results[Achievable therm 2026], Combined_Results[[Segment]:[Segment]], IF($B95="Income Qualifying",$C95&amp;" LI",$C95), Combined_Results[[Cost-Effective]:[Cost-Effective]], 1)*_xlfn.XLOOKUP($C95&amp;$B95,Income_Groups[[segment]:[segment]]&amp;Income_Groups[[income_eligibility]:[income_eligibility]],Income_Groups[[Weight Factor for CPA non-qual]:[Weight Factor for CPA non-qual]])</f>
        <v>21163.714600921507</v>
      </c>
      <c r="E95" s="17" cm="1">
        <f t="array" ref="E95">SUMIFS(Combined_Results[Achievable therm 2027], Combined_Results[[Segment]:[Segment]], IF($B95="Income Qualifying",$C95&amp;" LI",$C95), Combined_Results[[Cost-Effective]:[Cost-Effective]], 1)*_xlfn.XLOOKUP($C95&amp;$B95,Income_Groups[[segment]:[segment]]&amp;Income_Groups[[income_eligibility]:[income_eligibility]],Income_Groups[[Weight Factor for CPA non-qual]:[Weight Factor for CPA non-qual]])</f>
        <v>29985.217782952863</v>
      </c>
      <c r="F95" s="17" cm="1">
        <f t="array" ref="F95">SUMIFS(Combined_Results[Achievable therm 2028], Combined_Results[[Segment]:[Segment]], IF($B95="Income Qualifying",$C95&amp;" LI",$C95), Combined_Results[[Cost-Effective]:[Cost-Effective]], 1)*_xlfn.XLOOKUP($C95&amp;$B95,Income_Groups[[segment]:[segment]]&amp;Income_Groups[[income_eligibility]:[income_eligibility]],Income_Groups[[Weight Factor for CPA non-qual]:[Weight Factor for CPA non-qual]])</f>
        <v>42953.433667469653</v>
      </c>
      <c r="G95" s="17" cm="1">
        <f t="array" ref="G95">SUMIFS(Combined_Results[Achievable therm 2029], Combined_Results[[Segment]:[Segment]], IF($B95="Income Qualifying",$C95&amp;" LI",$C95), Combined_Results[[Cost-Effective]:[Cost-Effective]], 1)*_xlfn.XLOOKUP($C95&amp;$B95,Income_Groups[[segment]:[segment]]&amp;Income_Groups[[income_eligibility]:[income_eligibility]],Income_Groups[[Weight Factor for CPA non-qual]:[Weight Factor for CPA non-qual]])</f>
        <v>58470.541719834604</v>
      </c>
      <c r="H95" s="17" cm="1">
        <f t="array" ref="H95">SUMIFS(Combined_Results[Achievable therm 2030], Combined_Results[[Segment]:[Segment]], IF($B95="Income Qualifying",$C95&amp;" LI",$C95), Combined_Results[[Cost-Effective]:[Cost-Effective]], 1)*_xlfn.XLOOKUP($C95&amp;$B95,Income_Groups[[segment]:[segment]]&amp;Income_Groups[[income_eligibility]:[income_eligibility]],Income_Groups[[Weight Factor for CPA non-qual]:[Weight Factor for CPA non-qual]])</f>
        <v>77506.582375833343</v>
      </c>
      <c r="I95" s="17" cm="1">
        <f t="array" ref="I95">SUMIFS(Combined_Results[Achievable therm 2031], Combined_Results[[Segment]:[Segment]], IF($B95="Income Qualifying",$C95&amp;" LI",$C95), Combined_Results[[Cost-Effective]:[Cost-Effective]], 1)*_xlfn.XLOOKUP($C95&amp;$B95,Income_Groups[[segment]:[segment]]&amp;Income_Groups[[income_eligibility]:[income_eligibility]],Income_Groups[[Weight Factor for CPA non-qual]:[Weight Factor for CPA non-qual]])</f>
        <v>99831.155724771001</v>
      </c>
      <c r="J95" s="17" cm="1">
        <f t="array" ref="J95">SUMIFS(Combined_Results[Achievable therm 2032], Combined_Results[[Segment]:[Segment]], IF($B95="Income Qualifying",$C95&amp;" LI",$C95), Combined_Results[[Cost-Effective]:[Cost-Effective]], 1)*_xlfn.XLOOKUP($C95&amp;$B95,Income_Groups[[segment]:[segment]]&amp;Income_Groups[[income_eligibility]:[income_eligibility]],Income_Groups[[Weight Factor for CPA non-qual]:[Weight Factor for CPA non-qual]])</f>
        <v>124666.39104819167</v>
      </c>
      <c r="K95" s="17" cm="1">
        <f t="array" ref="K95">SUMIFS(Combined_Results[Achievable therm 2033], Combined_Results[[Segment]:[Segment]], IF($B95="Income Qualifying",$C95&amp;" LI",$C95), Combined_Results[[Cost-Effective]:[Cost-Effective]], 1)*_xlfn.XLOOKUP($C95&amp;$B95,Income_Groups[[segment]:[segment]]&amp;Income_Groups[[income_eligibility]:[income_eligibility]],Income_Groups[[Weight Factor for CPA non-qual]:[Weight Factor for CPA non-qual]])</f>
        <v>150624.8574276662</v>
      </c>
      <c r="L95" s="17" cm="1">
        <f t="array" ref="L95">SUMIFS(Combined_Results[Achievable therm 2034], Combined_Results[[Segment]:[Segment]], IF($B95="Income Qualifying",$C95&amp;" LI",$C95), Combined_Results[[Cost-Effective]:[Cost-Effective]], 1)*_xlfn.XLOOKUP($C95&amp;$B95,Income_Groups[[segment]:[segment]]&amp;Income_Groups[[income_eligibility]:[income_eligibility]],Income_Groups[[Weight Factor for CPA non-qual]:[Weight Factor for CPA non-qual]])</f>
        <v>175693.99478354669</v>
      </c>
      <c r="M95" s="17" cm="1">
        <f t="array" ref="M95">SUMIFS(Combined_Results[Achievable therm 2035], Combined_Results[[Segment]:[Segment]], IF($B95="Income Qualifying",$C95&amp;" LI",$C95), Combined_Results[[Cost-Effective]:[Cost-Effective]], 1)*_xlfn.XLOOKUP($C95&amp;$B95,Income_Groups[[segment]:[segment]]&amp;Income_Groups[[income_eligibility]:[income_eligibility]],Income_Groups[[Weight Factor for CPA non-qual]:[Weight Factor for CPA non-qual]])</f>
        <v>197380.15852790381</v>
      </c>
      <c r="N95" s="17" cm="1">
        <f t="array" ref="N95">SUMIFS(Combined_Results[Achievable therm 2036], Combined_Results[[Segment]:[Segment]], IF($B95="Income Qualifying",$C95&amp;" LI",$C95), Combined_Results[[Cost-Effective]:[Cost-Effective]], 1)*_xlfn.XLOOKUP($C95&amp;$B95,Income_Groups[[segment]:[segment]]&amp;Income_Groups[[income_eligibility]:[income_eligibility]],Income_Groups[[Weight Factor for CPA non-qual]:[Weight Factor for CPA non-qual]])</f>
        <v>213161.73481185248</v>
      </c>
      <c r="O95" s="17" cm="1">
        <f t="array" ref="O95">SUMIFS(Combined_Results[Achievable therm 2037], Combined_Results[[Segment]:[Segment]], IF($B95="Income Qualifying",$C95&amp;" LI",$C95), Combined_Results[[Cost-Effective]:[Cost-Effective]], 1)*_xlfn.XLOOKUP($C95&amp;$B95,Income_Groups[[segment]:[segment]]&amp;Income_Groups[[income_eligibility]:[income_eligibility]],Income_Groups[[Weight Factor for CPA non-qual]:[Weight Factor for CPA non-qual]])</f>
        <v>220963.37014825654</v>
      </c>
      <c r="P95" s="17" cm="1">
        <f t="array" ref="P95">SUMIFS(Combined_Results[Achievable therm 2038], Combined_Results[[Segment]:[Segment]], IF($B95="Income Qualifying",$C95&amp;" LI",$C95), Combined_Results[[Cost-Effective]:[Cost-Effective]], 1)*_xlfn.XLOOKUP($C95&amp;$B95,Income_Groups[[segment]:[segment]]&amp;Income_Groups[[income_eligibility]:[income_eligibility]],Income_Groups[[Weight Factor for CPA non-qual]:[Weight Factor for CPA non-qual]])</f>
        <v>219759.440802625</v>
      </c>
      <c r="Q95" s="17" cm="1">
        <f t="array" ref="Q95">SUMIFS(Combined_Results[Achievable therm 2039], Combined_Results[[Segment]:[Segment]], IF($B95="Income Qualifying",$C95&amp;" LI",$C95), Combined_Results[[Cost-Effective]:[Cost-Effective]], 1)*_xlfn.XLOOKUP($C95&amp;$B95,Income_Groups[[segment]:[segment]]&amp;Income_Groups[[income_eligibility]:[income_eligibility]],Income_Groups[[Weight Factor for CPA non-qual]:[Weight Factor for CPA non-qual]])</f>
        <v>210655.55522278283</v>
      </c>
      <c r="R95" s="17" cm="1">
        <f t="array" ref="R95">SUMIFS(Combined_Results[Achievable therm 2040], Combined_Results[[Segment]:[Segment]], IF($B95="Income Qualifying",$C95&amp;" LI",$C95), Combined_Results[[Cost-Effective]:[Cost-Effective]], 1)*_xlfn.XLOOKUP($C95&amp;$B95,Income_Groups[[segment]:[segment]]&amp;Income_Groups[[income_eligibility]:[income_eligibility]],Income_Groups[[Weight Factor for CPA non-qual]:[Weight Factor for CPA non-qual]])</f>
        <v>194437.07106820293</v>
      </c>
      <c r="S95" s="17" cm="1">
        <f t="array" ref="S95">SUMIFS(Combined_Results[Achievable therm 2041], Combined_Results[[Segment]:[Segment]], IF($B95="Income Qualifying",$C95&amp;" LI",$C95), Combined_Results[[Cost-Effective]:[Cost-Effective]], 1)*_xlfn.XLOOKUP($C95&amp;$B95,Income_Groups[[segment]:[segment]]&amp;Income_Groups[[income_eligibility]:[income_eligibility]],Income_Groups[[Weight Factor for CPA non-qual]:[Weight Factor for CPA non-qual]])</f>
        <v>175247.96954017287</v>
      </c>
      <c r="T95" s="17" cm="1">
        <f t="array" ref="T95">SUMIFS(Combined_Results[Achievable therm 2042], Combined_Results[[Segment]:[Segment]], IF($B95="Income Qualifying",$C95&amp;" LI",$C95), Combined_Results[[Cost-Effective]:[Cost-Effective]], 1)*_xlfn.XLOOKUP($C95&amp;$B95,Income_Groups[[segment]:[segment]]&amp;Income_Groups[[income_eligibility]:[income_eligibility]],Income_Groups[[Weight Factor for CPA non-qual]:[Weight Factor for CPA non-qual]])</f>
        <v>150674.19717914026</v>
      </c>
      <c r="U95" s="17" cm="1">
        <f t="array" ref="U95">SUMIFS(Combined_Results[Achievable therm 2043], Combined_Results[[Segment]:[Segment]], IF($B95="Income Qualifying",$C95&amp;" LI",$C95), Combined_Results[[Cost-Effective]:[Cost-Effective]], 1)*_xlfn.XLOOKUP($C95&amp;$B95,Income_Groups[[segment]:[segment]]&amp;Income_Groups[[income_eligibility]:[income_eligibility]],Income_Groups[[Weight Factor for CPA non-qual]:[Weight Factor for CPA non-qual]])</f>
        <v>133551.20071892091</v>
      </c>
      <c r="V95" s="17" cm="1">
        <f t="array" ref="V95">SUMIFS(Combined_Results[Achievable therm 2044], Combined_Results[[Segment]:[Segment]], IF($B95="Income Qualifying",$C95&amp;" LI",$C95), Combined_Results[[Cost-Effective]:[Cost-Effective]], 1)*_xlfn.XLOOKUP($C95&amp;$B95,Income_Groups[[segment]:[segment]]&amp;Income_Groups[[income_eligibility]:[income_eligibility]],Income_Groups[[Weight Factor for CPA non-qual]:[Weight Factor for CPA non-qual]])</f>
        <v>108680.7561950759</v>
      </c>
      <c r="W95" s="17" cm="1">
        <f t="array" ref="W95">SUMIFS(Combined_Results[Achievable therm 2045], Combined_Results[[Segment]:[Segment]], IF($B95="Income Qualifying",$C95&amp;" LI",$C95), Combined_Results[[Cost-Effective]:[Cost-Effective]], 1)*_xlfn.XLOOKUP($C95&amp;$B95,Income_Groups[[segment]:[segment]]&amp;Income_Groups[[income_eligibility]:[income_eligibility]],Income_Groups[[Weight Factor for CPA non-qual]:[Weight Factor for CPA non-qual]])</f>
        <v>105283.70905046877</v>
      </c>
      <c r="X95" s="17" cm="1">
        <f t="array" ref="X95">SUMIFS(Combined_Results[Achievable therm 2046], Combined_Results[[Segment]:[Segment]], IF($B95="Income Qualifying",$C95&amp;" LI",$C95), Combined_Results[[Cost-Effective]:[Cost-Effective]], 1)*_xlfn.XLOOKUP($C95&amp;$B95,Income_Groups[[segment]:[segment]]&amp;Income_Groups[[income_eligibility]:[income_eligibility]],Income_Groups[[Weight Factor for CPA non-qual]:[Weight Factor for CPA non-qual]])</f>
        <v>102603.27299502501</v>
      </c>
      <c r="Y95" s="17" cm="1">
        <f t="array" ref="Y95">SUMIFS(Combined_Results[Achievable therm 2047], Combined_Results[[Segment]:[Segment]], IF($B95="Income Qualifying",$C95&amp;" LI",$C95), Combined_Results[[Cost-Effective]:[Cost-Effective]], 1)*_xlfn.XLOOKUP($C95&amp;$B95,Income_Groups[[segment]:[segment]]&amp;Income_Groups[[income_eligibility]:[income_eligibility]],Income_Groups[[Weight Factor for CPA non-qual]:[Weight Factor for CPA non-qual]])</f>
        <v>101577.78480326223</v>
      </c>
      <c r="Z95" s="17" cm="1">
        <f t="array" ref="Z95">SUMIFS(Combined_Results[Achievable therm 2048], Combined_Results[[Segment]:[Segment]], IF($B95="Income Qualifying",$C95&amp;" LI",$C95), Combined_Results[[Cost-Effective]:[Cost-Effective]], 1)*_xlfn.XLOOKUP($C95&amp;$B95,Income_Groups[[segment]:[segment]]&amp;Income_Groups[[income_eligibility]:[income_eligibility]],Income_Groups[[Weight Factor for CPA non-qual]:[Weight Factor for CPA non-qual]])</f>
        <v>100420.95449330031</v>
      </c>
      <c r="AA95" s="17" cm="1">
        <f t="array" ref="AA95">SUMIFS(Combined_Results[Achievable therm 2049], Combined_Results[[Segment]:[Segment]], IF($B95="Income Qualifying",$C95&amp;" LI",$C95), Combined_Results[[Cost-Effective]:[Cost-Effective]], 1)*_xlfn.XLOOKUP($C95&amp;$B95,Income_Groups[[segment]:[segment]]&amp;Income_Groups[[income_eligibility]:[income_eligibility]],Income_Groups[[Weight Factor for CPA non-qual]:[Weight Factor for CPA non-qual]])</f>
        <v>98455.181739535197</v>
      </c>
      <c r="AB95" s="17" cm="1">
        <f t="array" ref="AB95">SUMIFS(Combined_Results[Achievable therm 2050], Combined_Results[[Segment]:[Segment]], IF($B95="Income Qualifying",$C95&amp;" LI",$C95), Combined_Results[[Cost-Effective]:[Cost-Effective]], 1)*_xlfn.XLOOKUP($C95&amp;$B95,Income_Groups[[segment]:[segment]]&amp;Income_Groups[[income_eligibility]:[income_eligibility]],Income_Groups[[Weight Factor for CPA non-qual]:[Weight Factor for CPA non-qual]])</f>
        <v>84912.267512883089</v>
      </c>
    </row>
    <row r="96" spans="2:28" x14ac:dyDescent="0.2">
      <c r="B96" s="10" t="s">
        <v>51</v>
      </c>
      <c r="C96" s="10" t="s">
        <v>53</v>
      </c>
      <c r="D96" s="17" cm="1">
        <f t="array" ref="D96">SUMIFS(Combined_Results[Achievable therm 2026], Combined_Results[[Segment]:[Segment]], IF($B96="Income Qualifying",$C96&amp;" LI",$C96), Combined_Results[[Cost-Effective]:[Cost-Effective]], 1)*_xlfn.XLOOKUP($C96&amp;$B96,Income_Groups[[segment]:[segment]]&amp;Income_Groups[[income_eligibility]:[income_eligibility]],Income_Groups[[Weight Factor for CPA non-qual]:[Weight Factor for CPA non-qual]])</f>
        <v>1224.7452862248601</v>
      </c>
      <c r="E96" s="17" cm="1">
        <f t="array" ref="E96">SUMIFS(Combined_Results[Achievable therm 2027], Combined_Results[[Segment]:[Segment]], IF($B96="Income Qualifying",$C96&amp;" LI",$C96), Combined_Results[[Cost-Effective]:[Cost-Effective]], 1)*_xlfn.XLOOKUP($C96&amp;$B96,Income_Groups[[segment]:[segment]]&amp;Income_Groups[[income_eligibility]:[income_eligibility]],Income_Groups[[Weight Factor for CPA non-qual]:[Weight Factor for CPA non-qual]])</f>
        <v>1879.3282075398495</v>
      </c>
      <c r="F96" s="17" cm="1">
        <f t="array" ref="F96">SUMIFS(Combined_Results[Achievable therm 2028], Combined_Results[[Segment]:[Segment]], IF($B96="Income Qualifying",$C96&amp;" LI",$C96), Combined_Results[[Cost-Effective]:[Cost-Effective]], 1)*_xlfn.XLOOKUP($C96&amp;$B96,Income_Groups[[segment]:[segment]]&amp;Income_Groups[[income_eligibility]:[income_eligibility]],Income_Groups[[Weight Factor for CPA non-qual]:[Weight Factor for CPA non-qual]])</f>
        <v>2856.985716860921</v>
      </c>
      <c r="G96" s="17" cm="1">
        <f t="array" ref="G96">SUMIFS(Combined_Results[Achievable therm 2029], Combined_Results[[Segment]:[Segment]], IF($B96="Income Qualifying",$C96&amp;" LI",$C96), Combined_Results[[Cost-Effective]:[Cost-Effective]], 1)*_xlfn.XLOOKUP($C96&amp;$B96,Income_Groups[[segment]:[segment]]&amp;Income_Groups[[income_eligibility]:[income_eligibility]],Income_Groups[[Weight Factor for CPA non-qual]:[Weight Factor for CPA non-qual]])</f>
        <v>4103.4761285745371</v>
      </c>
      <c r="H96" s="17" cm="1">
        <f t="array" ref="H96">SUMIFS(Combined_Results[Achievable therm 2030], Combined_Results[[Segment]:[Segment]], IF($B96="Income Qualifying",$C96&amp;" LI",$C96), Combined_Results[[Cost-Effective]:[Cost-Effective]], 1)*_xlfn.XLOOKUP($C96&amp;$B96,Income_Groups[[segment]:[segment]]&amp;Income_Groups[[income_eligibility]:[income_eligibility]],Income_Groups[[Weight Factor for CPA non-qual]:[Weight Factor for CPA non-qual]])</f>
        <v>5674.1859696741167</v>
      </c>
      <c r="I96" s="17" cm="1">
        <f t="array" ref="I96">SUMIFS(Combined_Results[Achievable therm 2031], Combined_Results[[Segment]:[Segment]], IF($B96="Income Qualifying",$C96&amp;" LI",$C96), Combined_Results[[Cost-Effective]:[Cost-Effective]], 1)*_xlfn.XLOOKUP($C96&amp;$B96,Income_Groups[[segment]:[segment]]&amp;Income_Groups[[income_eligibility]:[income_eligibility]],Income_Groups[[Weight Factor for CPA non-qual]:[Weight Factor for CPA non-qual]])</f>
        <v>7551.7799448782034</v>
      </c>
      <c r="J96" s="17" cm="1">
        <f t="array" ref="J96">SUMIFS(Combined_Results[Achievable therm 2032], Combined_Results[[Segment]:[Segment]], IF($B96="Income Qualifying",$C96&amp;" LI",$C96), Combined_Results[[Cost-Effective]:[Cost-Effective]], 1)*_xlfn.XLOOKUP($C96&amp;$B96,Income_Groups[[segment]:[segment]]&amp;Income_Groups[[income_eligibility]:[income_eligibility]],Income_Groups[[Weight Factor for CPA non-qual]:[Weight Factor for CPA non-qual]])</f>
        <v>9675.9437945789432</v>
      </c>
      <c r="K96" s="17" cm="1">
        <f t="array" ref="K96">SUMIFS(Combined_Results[Achievable therm 2033], Combined_Results[[Segment]:[Segment]], IF($B96="Income Qualifying",$C96&amp;" LI",$C96), Combined_Results[[Cost-Effective]:[Cost-Effective]], 1)*_xlfn.XLOOKUP($C96&amp;$B96,Income_Groups[[segment]:[segment]]&amp;Income_Groups[[income_eligibility]:[income_eligibility]],Income_Groups[[Weight Factor for CPA non-qual]:[Weight Factor for CPA non-qual]])</f>
        <v>11937.464113586713</v>
      </c>
      <c r="L96" s="17" cm="1">
        <f t="array" ref="L96">SUMIFS(Combined_Results[Achievable therm 2034], Combined_Results[[Segment]:[Segment]], IF($B96="Income Qualifying",$C96&amp;" LI",$C96), Combined_Results[[Cost-Effective]:[Cost-Effective]], 1)*_xlfn.XLOOKUP($C96&amp;$B96,Income_Groups[[segment]:[segment]]&amp;Income_Groups[[income_eligibility]:[income_eligibility]],Income_Groups[[Weight Factor for CPA non-qual]:[Weight Factor for CPA non-qual]])</f>
        <v>14173.606872027589</v>
      </c>
      <c r="M96" s="17" cm="1">
        <f t="array" ref="M96">SUMIFS(Combined_Results[Achievable therm 2035], Combined_Results[[Segment]:[Segment]], IF($B96="Income Qualifying",$C96&amp;" LI",$C96), Combined_Results[[Cost-Effective]:[Cost-Effective]], 1)*_xlfn.XLOOKUP($C96&amp;$B96,Income_Groups[[segment]:[segment]]&amp;Income_Groups[[income_eligibility]:[income_eligibility]],Income_Groups[[Weight Factor for CPA non-qual]:[Weight Factor for CPA non-qual]])</f>
        <v>16172.786401158217</v>
      </c>
      <c r="N96" s="17" cm="1">
        <f t="array" ref="N96">SUMIFS(Combined_Results[Achievable therm 2036], Combined_Results[[Segment]:[Segment]], IF($B96="Income Qualifying",$C96&amp;" LI",$C96), Combined_Results[[Cost-Effective]:[Cost-Effective]], 1)*_xlfn.XLOOKUP($C96&amp;$B96,Income_Groups[[segment]:[segment]]&amp;Income_Groups[[income_eligibility]:[income_eligibility]],Income_Groups[[Weight Factor for CPA non-qual]:[Weight Factor for CPA non-qual]])</f>
        <v>17700.438341412733</v>
      </c>
      <c r="O96" s="17" cm="1">
        <f t="array" ref="O96">SUMIFS(Combined_Results[Achievable therm 2037], Combined_Results[[Segment]:[Segment]], IF($B96="Income Qualifying",$C96&amp;" LI",$C96), Combined_Results[[Cost-Effective]:[Cost-Effective]], 1)*_xlfn.XLOOKUP($C96&amp;$B96,Income_Groups[[segment]:[segment]]&amp;Income_Groups[[income_eligibility]:[income_eligibility]],Income_Groups[[Weight Factor for CPA non-qual]:[Weight Factor for CPA non-qual]])</f>
        <v>18536.084944287217</v>
      </c>
      <c r="P96" s="17" cm="1">
        <f t="array" ref="P96">SUMIFS(Combined_Results[Achievable therm 2038], Combined_Results[[Segment]:[Segment]], IF($B96="Income Qualifying",$C96&amp;" LI",$C96), Combined_Results[[Cost-Effective]:[Cost-Effective]], 1)*_xlfn.XLOOKUP($C96&amp;$B96,Income_Groups[[segment]:[segment]]&amp;Income_Groups[[income_eligibility]:[income_eligibility]],Income_Groups[[Weight Factor for CPA non-qual]:[Weight Factor for CPA non-qual]])</f>
        <v>18527.299971779536</v>
      </c>
      <c r="Q96" s="17" cm="1">
        <f t="array" ref="Q96">SUMIFS(Combined_Results[Achievable therm 2039], Combined_Results[[Segment]:[Segment]], IF($B96="Income Qualifying",$C96&amp;" LI",$C96), Combined_Results[[Cost-Effective]:[Cost-Effective]], 1)*_xlfn.XLOOKUP($C96&amp;$B96,Income_Groups[[segment]:[segment]]&amp;Income_Groups[[income_eligibility]:[income_eligibility]],Income_Groups[[Weight Factor for CPA non-qual]:[Weight Factor for CPA non-qual]])</f>
        <v>17668.627526467033</v>
      </c>
      <c r="R96" s="17" cm="1">
        <f t="array" ref="R96">SUMIFS(Combined_Results[Achievable therm 2040], Combined_Results[[Segment]:[Segment]], IF($B96="Income Qualifying",$C96&amp;" LI",$C96), Combined_Results[[Cost-Effective]:[Cost-Effective]], 1)*_xlfn.XLOOKUP($C96&amp;$B96,Income_Groups[[segment]:[segment]]&amp;Income_Groups[[income_eligibility]:[income_eligibility]],Income_Groups[[Weight Factor for CPA non-qual]:[Weight Factor for CPA non-qual]])</f>
        <v>15974.176556241191</v>
      </c>
      <c r="S96" s="17" cm="1">
        <f t="array" ref="S96">SUMIFS(Combined_Results[Achievable therm 2041], Combined_Results[[Segment]:[Segment]], IF($B96="Income Qualifying",$C96&amp;" LI",$C96), Combined_Results[[Cost-Effective]:[Cost-Effective]], 1)*_xlfn.XLOOKUP($C96&amp;$B96,Income_Groups[[segment]:[segment]]&amp;Income_Groups[[income_eligibility]:[income_eligibility]],Income_Groups[[Weight Factor for CPA non-qual]:[Weight Factor for CPA non-qual]])</f>
        <v>14022.640541678064</v>
      </c>
      <c r="T96" s="17" cm="1">
        <f t="array" ref="T96">SUMIFS(Combined_Results[Achievable therm 2042], Combined_Results[[Segment]:[Segment]], IF($B96="Income Qualifying",$C96&amp;" LI",$C96), Combined_Results[[Cost-Effective]:[Cost-Effective]], 1)*_xlfn.XLOOKUP($C96&amp;$B96,Income_Groups[[segment]:[segment]]&amp;Income_Groups[[income_eligibility]:[income_eligibility]],Income_Groups[[Weight Factor for CPA non-qual]:[Weight Factor for CPA non-qual]])</f>
        <v>11569.091741721671</v>
      </c>
      <c r="U96" s="17" cm="1">
        <f t="array" ref="U96">SUMIFS(Combined_Results[Achievable therm 2043], Combined_Results[[Segment]:[Segment]], IF($B96="Income Qualifying",$C96&amp;" LI",$C96), Combined_Results[[Cost-Effective]:[Cost-Effective]], 1)*_xlfn.XLOOKUP($C96&amp;$B96,Income_Groups[[segment]:[segment]]&amp;Income_Groups[[income_eligibility]:[income_eligibility]],Income_Groups[[Weight Factor for CPA non-qual]:[Weight Factor for CPA non-qual]])</f>
        <v>9585.8295940477474</v>
      </c>
      <c r="V96" s="17" cm="1">
        <f t="array" ref="V96">SUMIFS(Combined_Results[Achievable therm 2044], Combined_Results[[Segment]:[Segment]], IF($B96="Income Qualifying",$C96&amp;" LI",$C96), Combined_Results[[Cost-Effective]:[Cost-Effective]], 1)*_xlfn.XLOOKUP($C96&amp;$B96,Income_Groups[[segment]:[segment]]&amp;Income_Groups[[income_eligibility]:[income_eligibility]],Income_Groups[[Weight Factor for CPA non-qual]:[Weight Factor for CPA non-qual]])</f>
        <v>5627.8647393693736</v>
      </c>
      <c r="W96" s="17" cm="1">
        <f t="array" ref="W96">SUMIFS(Combined_Results[Achievable therm 2045], Combined_Results[[Segment]:[Segment]], IF($B96="Income Qualifying",$C96&amp;" LI",$C96), Combined_Results[[Cost-Effective]:[Cost-Effective]], 1)*_xlfn.XLOOKUP($C96&amp;$B96,Income_Groups[[segment]:[segment]]&amp;Income_Groups[[income_eligibility]:[income_eligibility]],Income_Groups[[Weight Factor for CPA non-qual]:[Weight Factor for CPA non-qual]])</f>
        <v>5238.3166144873057</v>
      </c>
      <c r="X96" s="17" cm="1">
        <f t="array" ref="X96">SUMIFS(Combined_Results[Achievable therm 2046], Combined_Results[[Segment]:[Segment]], IF($B96="Income Qualifying",$C96&amp;" LI",$C96), Combined_Results[[Cost-Effective]:[Cost-Effective]], 1)*_xlfn.XLOOKUP($C96&amp;$B96,Income_Groups[[segment]:[segment]]&amp;Income_Groups[[income_eligibility]:[income_eligibility]],Income_Groups[[Weight Factor for CPA non-qual]:[Weight Factor for CPA non-qual]])</f>
        <v>5104.8563139470934</v>
      </c>
      <c r="Y96" s="17" cm="1">
        <f t="array" ref="Y96">SUMIFS(Combined_Results[Achievable therm 2047], Combined_Results[[Segment]:[Segment]], IF($B96="Income Qualifying",$C96&amp;" LI",$C96), Combined_Results[[Cost-Effective]:[Cost-Effective]], 1)*_xlfn.XLOOKUP($C96&amp;$B96,Income_Groups[[segment]:[segment]]&amp;Income_Groups[[income_eligibility]:[income_eligibility]],Income_Groups[[Weight Factor for CPA non-qual]:[Weight Factor for CPA non-qual]])</f>
        <v>4938.4251626067553</v>
      </c>
      <c r="Z96" s="17" cm="1">
        <f t="array" ref="Z96">SUMIFS(Combined_Results[Achievable therm 2048], Combined_Results[[Segment]:[Segment]], IF($B96="Income Qualifying",$C96&amp;" LI",$C96), Combined_Results[[Cost-Effective]:[Cost-Effective]], 1)*_xlfn.XLOOKUP($C96&amp;$B96,Income_Groups[[segment]:[segment]]&amp;Income_Groups[[income_eligibility]:[income_eligibility]],Income_Groups[[Weight Factor for CPA non-qual]:[Weight Factor for CPA non-qual]])</f>
        <v>4725.1046831634449</v>
      </c>
      <c r="AA96" s="17" cm="1">
        <f t="array" ref="AA96">SUMIFS(Combined_Results[Achievable therm 2049], Combined_Results[[Segment]:[Segment]], IF($B96="Income Qualifying",$C96&amp;" LI",$C96), Combined_Results[[Cost-Effective]:[Cost-Effective]], 1)*_xlfn.XLOOKUP($C96&amp;$B96,Income_Groups[[segment]:[segment]]&amp;Income_Groups[[income_eligibility]:[income_eligibility]],Income_Groups[[Weight Factor for CPA non-qual]:[Weight Factor for CPA non-qual]])</f>
        <v>4640.5847423042505</v>
      </c>
      <c r="AB96" s="17" cm="1">
        <f t="array" ref="AB96">SUMIFS(Combined_Results[Achievable therm 2050], Combined_Results[[Segment]:[Segment]], IF($B96="Income Qualifying",$C96&amp;" LI",$C96), Combined_Results[[Cost-Effective]:[Cost-Effective]], 1)*_xlfn.XLOOKUP($C96&amp;$B96,Income_Groups[[segment]:[segment]]&amp;Income_Groups[[income_eligibility]:[income_eligibility]],Income_Groups[[Weight Factor for CPA non-qual]:[Weight Factor for CPA non-qual]])</f>
        <v>3994.6256217895193</v>
      </c>
    </row>
    <row r="97" spans="2:28" x14ac:dyDescent="0.2">
      <c r="B97" s="10" t="s">
        <v>51</v>
      </c>
      <c r="C97" s="10" t="s">
        <v>54</v>
      </c>
      <c r="D97" s="17" cm="1">
        <f t="array" ref="D97">SUMIFS(Combined_Results[Achievable therm 2026], Combined_Results[[Segment]:[Segment]], IF($B97="Income Qualifying",$C97&amp;" LI",$C97), Combined_Results[[Cost-Effective]:[Cost-Effective]], 1)*_xlfn.XLOOKUP($C97&amp;$B97,Income_Groups[[segment]:[segment]]&amp;Income_Groups[[income_eligibility]:[income_eligibility]],Income_Groups[[Weight Factor for CPA non-qual]:[Weight Factor for CPA non-qual]])</f>
        <v>193.98068063034884</v>
      </c>
      <c r="E97" s="17" cm="1">
        <f t="array" ref="E97">SUMIFS(Combined_Results[Achievable therm 2027], Combined_Results[[Segment]:[Segment]], IF($B97="Income Qualifying",$C97&amp;" LI",$C97), Combined_Results[[Cost-Effective]:[Cost-Effective]], 1)*_xlfn.XLOOKUP($C97&amp;$B97,Income_Groups[[segment]:[segment]]&amp;Income_Groups[[income_eligibility]:[income_eligibility]],Income_Groups[[Weight Factor for CPA non-qual]:[Weight Factor for CPA non-qual]])</f>
        <v>349.61844158768446</v>
      </c>
      <c r="F97" s="17" cm="1">
        <f t="array" ref="F97">SUMIFS(Combined_Results[Achievable therm 2028], Combined_Results[[Segment]:[Segment]], IF($B97="Income Qualifying",$C97&amp;" LI",$C97), Combined_Results[[Cost-Effective]:[Cost-Effective]], 1)*_xlfn.XLOOKUP($C97&amp;$B97,Income_Groups[[segment]:[segment]]&amp;Income_Groups[[income_eligibility]:[income_eligibility]],Income_Groups[[Weight Factor for CPA non-qual]:[Weight Factor for CPA non-qual]])</f>
        <v>562.18042494424765</v>
      </c>
      <c r="G97" s="17" cm="1">
        <f t="array" ref="G97">SUMIFS(Combined_Results[Achievable therm 2029], Combined_Results[[Segment]:[Segment]], IF($B97="Income Qualifying",$C97&amp;" LI",$C97), Combined_Results[[Cost-Effective]:[Cost-Effective]], 1)*_xlfn.XLOOKUP($C97&amp;$B97,Income_Groups[[segment]:[segment]]&amp;Income_Groups[[income_eligibility]:[income_eligibility]],Income_Groups[[Weight Factor for CPA non-qual]:[Weight Factor for CPA non-qual]])</f>
        <v>816.89354899030229</v>
      </c>
      <c r="H97" s="17" cm="1">
        <f t="array" ref="H97">SUMIFS(Combined_Results[Achievable therm 2030], Combined_Results[[Segment]:[Segment]], IF($B97="Income Qualifying",$C97&amp;" LI",$C97), Combined_Results[[Cost-Effective]:[Cost-Effective]], 1)*_xlfn.XLOOKUP($C97&amp;$B97,Income_Groups[[segment]:[segment]]&amp;Income_Groups[[income_eligibility]:[income_eligibility]],Income_Groups[[Weight Factor for CPA non-qual]:[Weight Factor for CPA non-qual]])</f>
        <v>1083.4693218876419</v>
      </c>
      <c r="I97" s="17" cm="1">
        <f t="array" ref="I97">SUMIFS(Combined_Results[Achievable therm 2031], Combined_Results[[Segment]:[Segment]], IF($B97="Income Qualifying",$C97&amp;" LI",$C97), Combined_Results[[Cost-Effective]:[Cost-Effective]], 1)*_xlfn.XLOOKUP($C97&amp;$B97,Income_Groups[[segment]:[segment]]&amp;Income_Groups[[income_eligibility]:[income_eligibility]],Income_Groups[[Weight Factor for CPA non-qual]:[Weight Factor for CPA non-qual]])</f>
        <v>1325.1749899874831</v>
      </c>
      <c r="J97" s="17" cm="1">
        <f t="array" ref="J97">SUMIFS(Combined_Results[Achievable therm 2032], Combined_Results[[Segment]:[Segment]], IF($B97="Income Qualifying",$C97&amp;" LI",$C97), Combined_Results[[Cost-Effective]:[Cost-Effective]], 1)*_xlfn.XLOOKUP($C97&amp;$B97,Income_Groups[[segment]:[segment]]&amp;Income_Groups[[income_eligibility]:[income_eligibility]],Income_Groups[[Weight Factor for CPA non-qual]:[Weight Factor for CPA non-qual]])</f>
        <v>1509.2383276840524</v>
      </c>
      <c r="K97" s="17" cm="1">
        <f t="array" ref="K97">SUMIFS(Combined_Results[Achievable therm 2033], Combined_Results[[Segment]:[Segment]], IF($B97="Income Qualifying",$C97&amp;" LI",$C97), Combined_Results[[Cost-Effective]:[Cost-Effective]], 1)*_xlfn.XLOOKUP($C97&amp;$B97,Income_Groups[[segment]:[segment]]&amp;Income_Groups[[income_eligibility]:[income_eligibility]],Income_Groups[[Weight Factor for CPA non-qual]:[Weight Factor for CPA non-qual]])</f>
        <v>1617.2824052502478</v>
      </c>
      <c r="L97" s="17" cm="1">
        <f t="array" ref="L97">SUMIFS(Combined_Results[Achievable therm 2034], Combined_Results[[Segment]:[Segment]], IF($B97="Income Qualifying",$C97&amp;" LI",$C97), Combined_Results[[Cost-Effective]:[Cost-Effective]], 1)*_xlfn.XLOOKUP($C97&amp;$B97,Income_Groups[[segment]:[segment]]&amp;Income_Groups[[income_eligibility]:[income_eligibility]],Income_Groups[[Weight Factor for CPA non-qual]:[Weight Factor for CPA non-qual]])</f>
        <v>1648.3967439525231</v>
      </c>
      <c r="M97" s="17" cm="1">
        <f t="array" ref="M97">SUMIFS(Combined_Results[Achievable therm 2035], Combined_Results[[Segment]:[Segment]], IF($B97="Income Qualifying",$C97&amp;" LI",$C97), Combined_Results[[Cost-Effective]:[Cost-Effective]], 1)*_xlfn.XLOOKUP($C97&amp;$B97,Income_Groups[[segment]:[segment]]&amp;Income_Groups[[income_eligibility]:[income_eligibility]],Income_Groups[[Weight Factor for CPA non-qual]:[Weight Factor for CPA non-qual]])</f>
        <v>1616.9615841461446</v>
      </c>
      <c r="N97" s="17" cm="1">
        <f t="array" ref="N97">SUMIFS(Combined_Results[Achievable therm 2036], Combined_Results[[Segment]:[Segment]], IF($B97="Income Qualifying",$C97&amp;" LI",$C97), Combined_Results[[Cost-Effective]:[Cost-Effective]], 1)*_xlfn.XLOOKUP($C97&amp;$B97,Income_Groups[[segment]:[segment]]&amp;Income_Groups[[income_eligibility]:[income_eligibility]],Income_Groups[[Weight Factor for CPA non-qual]:[Weight Factor for CPA non-qual]])</f>
        <v>1545.9841484474598</v>
      </c>
      <c r="O97" s="17" cm="1">
        <f t="array" ref="O97">SUMIFS(Combined_Results[Achievable therm 2037], Combined_Results[[Segment]:[Segment]], IF($B97="Income Qualifying",$C97&amp;" LI",$C97), Combined_Results[[Cost-Effective]:[Cost-Effective]], 1)*_xlfn.XLOOKUP($C97&amp;$B97,Income_Groups[[segment]:[segment]]&amp;Income_Groups[[income_eligibility]:[income_eligibility]],Income_Groups[[Weight Factor for CPA non-qual]:[Weight Factor for CPA non-qual]])</f>
        <v>1458.9329987233709</v>
      </c>
      <c r="P97" s="17" cm="1">
        <f t="array" ref="P97">SUMIFS(Combined_Results[Achievable therm 2038], Combined_Results[[Segment]:[Segment]], IF($B97="Income Qualifying",$C97&amp;" LI",$C97), Combined_Results[[Cost-Effective]:[Cost-Effective]], 1)*_xlfn.XLOOKUP($C97&amp;$B97,Income_Groups[[segment]:[segment]]&amp;Income_Groups[[income_eligibility]:[income_eligibility]],Income_Groups[[Weight Factor for CPA non-qual]:[Weight Factor for CPA non-qual]])</f>
        <v>1377.2435463142208</v>
      </c>
      <c r="Q97" s="17" cm="1">
        <f t="array" ref="Q97">SUMIFS(Combined_Results[Achievable therm 2039], Combined_Results[[Segment]:[Segment]], IF($B97="Income Qualifying",$C97&amp;" LI",$C97), Combined_Results[[Cost-Effective]:[Cost-Effective]], 1)*_xlfn.XLOOKUP($C97&amp;$B97,Income_Groups[[segment]:[segment]]&amp;Income_Groups[[income_eligibility]:[income_eligibility]],Income_Groups[[Weight Factor for CPA non-qual]:[Weight Factor for CPA non-qual]])</f>
        <v>1302.0530126714918</v>
      </c>
      <c r="R97" s="17" cm="1">
        <f t="array" ref="R97">SUMIFS(Combined_Results[Achievable therm 2040], Combined_Results[[Segment]:[Segment]], IF($B97="Income Qualifying",$C97&amp;" LI",$C97), Combined_Results[[Cost-Effective]:[Cost-Effective]], 1)*_xlfn.XLOOKUP($C97&amp;$B97,Income_Groups[[segment]:[segment]]&amp;Income_Groups[[income_eligibility]:[income_eligibility]],Income_Groups[[Weight Factor for CPA non-qual]:[Weight Factor for CPA non-qual]])</f>
        <v>1079.8846037675228</v>
      </c>
      <c r="S97" s="17" cm="1">
        <f t="array" ref="S97">SUMIFS(Combined_Results[Achievable therm 2041], Combined_Results[[Segment]:[Segment]], IF($B97="Income Qualifying",$C97&amp;" LI",$C97), Combined_Results[[Cost-Effective]:[Cost-Effective]], 1)*_xlfn.XLOOKUP($C97&amp;$B97,Income_Groups[[segment]:[segment]]&amp;Income_Groups[[income_eligibility]:[income_eligibility]],Income_Groups[[Weight Factor for CPA non-qual]:[Weight Factor for CPA non-qual]])</f>
        <v>1078.6174606098555</v>
      </c>
      <c r="T97" s="17" cm="1">
        <f t="array" ref="T97">SUMIFS(Combined_Results[Achievable therm 2042], Combined_Results[[Segment]:[Segment]], IF($B97="Income Qualifying",$C97&amp;" LI",$C97), Combined_Results[[Cost-Effective]:[Cost-Effective]], 1)*_xlfn.XLOOKUP($C97&amp;$B97,Income_Groups[[segment]:[segment]]&amp;Income_Groups[[income_eligibility]:[income_eligibility]],Income_Groups[[Weight Factor for CPA non-qual]:[Weight Factor for CPA non-qual]])</f>
        <v>1449.4307724064893</v>
      </c>
      <c r="U97" s="17" cm="1">
        <f t="array" ref="U97">SUMIFS(Combined_Results[Achievable therm 2043], Combined_Results[[Segment]:[Segment]], IF($B97="Income Qualifying",$C97&amp;" LI",$C97), Combined_Results[[Cost-Effective]:[Cost-Effective]], 1)*_xlfn.XLOOKUP($C97&amp;$B97,Income_Groups[[segment]:[segment]]&amp;Income_Groups[[income_eligibility]:[income_eligibility]],Income_Groups[[Weight Factor for CPA non-qual]:[Weight Factor for CPA non-qual]])</f>
        <v>1243.9450075899042</v>
      </c>
      <c r="V97" s="17" cm="1">
        <f t="array" ref="V97">SUMIFS(Combined_Results[Achievable therm 2044], Combined_Results[[Segment]:[Segment]], IF($B97="Income Qualifying",$C97&amp;" LI",$C97), Combined_Results[[Cost-Effective]:[Cost-Effective]], 1)*_xlfn.XLOOKUP($C97&amp;$B97,Income_Groups[[segment]:[segment]]&amp;Income_Groups[[income_eligibility]:[income_eligibility]],Income_Groups[[Weight Factor for CPA non-qual]:[Weight Factor for CPA non-qual]])</f>
        <v>1254.346757742577</v>
      </c>
      <c r="W97" s="17" cm="1">
        <f t="array" ref="W97">SUMIFS(Combined_Results[Achievable therm 2045], Combined_Results[[Segment]:[Segment]], IF($B97="Income Qualifying",$C97&amp;" LI",$C97), Combined_Results[[Cost-Effective]:[Cost-Effective]], 1)*_xlfn.XLOOKUP($C97&amp;$B97,Income_Groups[[segment]:[segment]]&amp;Income_Groups[[income_eligibility]:[income_eligibility]],Income_Groups[[Weight Factor for CPA non-qual]:[Weight Factor for CPA non-qual]])</f>
        <v>1248.4955622195941</v>
      </c>
      <c r="X97" s="17" cm="1">
        <f t="array" ref="X97">SUMIFS(Combined_Results[Achievable therm 2046], Combined_Results[[Segment]:[Segment]], IF($B97="Income Qualifying",$C97&amp;" LI",$C97), Combined_Results[[Cost-Effective]:[Cost-Effective]], 1)*_xlfn.XLOOKUP($C97&amp;$B97,Income_Groups[[segment]:[segment]]&amp;Income_Groups[[income_eligibility]:[income_eligibility]],Income_Groups[[Weight Factor for CPA non-qual]:[Weight Factor for CPA non-qual]])</f>
        <v>1224.1383600944255</v>
      </c>
      <c r="Y97" s="17" cm="1">
        <f t="array" ref="Y97">SUMIFS(Combined_Results[Achievable therm 2047], Combined_Results[[Segment]:[Segment]], IF($B97="Income Qualifying",$C97&amp;" LI",$C97), Combined_Results[[Cost-Effective]:[Cost-Effective]], 1)*_xlfn.XLOOKUP($C97&amp;$B97,Income_Groups[[segment]:[segment]]&amp;Income_Groups[[income_eligibility]:[income_eligibility]],Income_Groups[[Weight Factor for CPA non-qual]:[Weight Factor for CPA non-qual]])</f>
        <v>1042.8318156425341</v>
      </c>
      <c r="Z97" s="17" cm="1">
        <f t="array" ref="Z97">SUMIFS(Combined_Results[Achievable therm 2048], Combined_Results[[Segment]:[Segment]], IF($B97="Income Qualifying",$C97&amp;" LI",$C97), Combined_Results[[Cost-Effective]:[Cost-Effective]], 1)*_xlfn.XLOOKUP($C97&amp;$B97,Income_Groups[[segment]:[segment]]&amp;Income_Groups[[income_eligibility]:[income_eligibility]],Income_Groups[[Weight Factor for CPA non-qual]:[Weight Factor for CPA non-qual]])</f>
        <v>801.71093102208465</v>
      </c>
      <c r="AA97" s="17" cm="1">
        <f t="array" ref="AA97">SUMIFS(Combined_Results[Achievable therm 2049], Combined_Results[[Segment]:[Segment]], IF($B97="Income Qualifying",$C97&amp;" LI",$C97), Combined_Results[[Cost-Effective]:[Cost-Effective]], 1)*_xlfn.XLOOKUP($C97&amp;$B97,Income_Groups[[segment]:[segment]]&amp;Income_Groups[[income_eligibility]:[income_eligibility]],Income_Groups[[Weight Factor for CPA non-qual]:[Weight Factor for CPA non-qual]])</f>
        <v>766.16124274900346</v>
      </c>
      <c r="AB97" s="17" cm="1">
        <f t="array" ref="AB97">SUMIFS(Combined_Results[Achievable therm 2050], Combined_Results[[Segment]:[Segment]], IF($B97="Income Qualifying",$C97&amp;" LI",$C97), Combined_Results[[Cost-Effective]:[Cost-Effective]], 1)*_xlfn.XLOOKUP($C97&amp;$B97,Income_Groups[[segment]:[segment]]&amp;Income_Groups[[income_eligibility]:[income_eligibility]],Income_Groups[[Weight Factor for CPA non-qual]:[Weight Factor for CPA non-qual]])</f>
        <v>729.19743421597434</v>
      </c>
    </row>
    <row r="98" spans="2:28" x14ac:dyDescent="0.2">
      <c r="B98" s="10" t="s">
        <v>51</v>
      </c>
      <c r="C98" s="10" t="s">
        <v>55</v>
      </c>
      <c r="D98" s="17" cm="1">
        <f t="array" ref="D98">SUMIFS(Combined_Results[Achievable therm 2026], Combined_Results[[Segment]:[Segment]], IF($B98="Income Qualifying",$C98&amp;" LI",$C98), Combined_Results[[Cost-Effective]:[Cost-Effective]], 1)*_xlfn.XLOOKUP($C98&amp;$B98,Income_Groups[[segment]:[segment]]&amp;Income_Groups[[income_eligibility]:[income_eligibility]],Income_Groups[[Weight Factor for CPA non-qual]:[Weight Factor for CPA non-qual]])</f>
        <v>99.769420620099424</v>
      </c>
      <c r="E98" s="17" cm="1">
        <f t="array" ref="E98">SUMIFS(Combined_Results[Achievable therm 2027], Combined_Results[[Segment]:[Segment]], IF($B98="Income Qualifying",$C98&amp;" LI",$C98), Combined_Results[[Cost-Effective]:[Cost-Effective]], 1)*_xlfn.XLOOKUP($C98&amp;$B98,Income_Groups[[segment]:[segment]]&amp;Income_Groups[[income_eligibility]:[income_eligibility]],Income_Groups[[Weight Factor for CPA non-qual]:[Weight Factor for CPA non-qual]])</f>
        <v>139.90153055198229</v>
      </c>
      <c r="F98" s="17" cm="1">
        <f t="array" ref="F98">SUMIFS(Combined_Results[Achievable therm 2028], Combined_Results[[Segment]:[Segment]], IF($B98="Income Qualifying",$C98&amp;" LI",$C98), Combined_Results[[Cost-Effective]:[Cost-Effective]], 1)*_xlfn.XLOOKUP($C98&amp;$B98,Income_Groups[[segment]:[segment]]&amp;Income_Groups[[income_eligibility]:[income_eligibility]],Income_Groups[[Weight Factor for CPA non-qual]:[Weight Factor for CPA non-qual]])</f>
        <v>198.55251613917775</v>
      </c>
      <c r="G98" s="17" cm="1">
        <f t="array" ref="G98">SUMIFS(Combined_Results[Achievable therm 2029], Combined_Results[[Segment]:[Segment]], IF($B98="Income Qualifying",$C98&amp;" LI",$C98), Combined_Results[[Cost-Effective]:[Cost-Effective]], 1)*_xlfn.XLOOKUP($C98&amp;$B98,Income_Groups[[segment]:[segment]]&amp;Income_Groups[[income_eligibility]:[income_eligibility]],Income_Groups[[Weight Factor for CPA non-qual]:[Weight Factor for CPA non-qual]])</f>
        <v>267.45748221828336</v>
      </c>
      <c r="H98" s="17" cm="1">
        <f t="array" ref="H98">SUMIFS(Combined_Results[Achievable therm 2030], Combined_Results[[Segment]:[Segment]], IF($B98="Income Qualifying",$C98&amp;" LI",$C98), Combined_Results[[Cost-Effective]:[Cost-Effective]], 1)*_xlfn.XLOOKUP($C98&amp;$B98,Income_Groups[[segment]:[segment]]&amp;Income_Groups[[income_eligibility]:[income_eligibility]],Income_Groups[[Weight Factor for CPA non-qual]:[Weight Factor for CPA non-qual]])</f>
        <v>350.74155522107702</v>
      </c>
      <c r="I98" s="17" cm="1">
        <f t="array" ref="I98">SUMIFS(Combined_Results[Achievable therm 2031], Combined_Results[[Segment]:[Segment]], IF($B98="Income Qualifying",$C98&amp;" LI",$C98), Combined_Results[[Cost-Effective]:[Cost-Effective]], 1)*_xlfn.XLOOKUP($C98&amp;$B98,Income_Groups[[segment]:[segment]]&amp;Income_Groups[[income_eligibility]:[income_eligibility]],Income_Groups[[Weight Factor for CPA non-qual]:[Weight Factor for CPA non-qual]])</f>
        <v>446.92939599830686</v>
      </c>
      <c r="J98" s="17" cm="1">
        <f t="array" ref="J98">SUMIFS(Combined_Results[Achievable therm 2032], Combined_Results[[Segment]:[Segment]], IF($B98="Income Qualifying",$C98&amp;" LI",$C98), Combined_Results[[Cost-Effective]:[Cost-Effective]], 1)*_xlfn.XLOOKUP($C98&amp;$B98,Income_Groups[[segment]:[segment]]&amp;Income_Groups[[income_eligibility]:[income_eligibility]],Income_Groups[[Weight Factor for CPA non-qual]:[Weight Factor for CPA non-qual]])</f>
        <v>552.24511962310407</v>
      </c>
      <c r="K98" s="17" cm="1">
        <f t="array" ref="K98">SUMIFS(Combined_Results[Achievable therm 2033], Combined_Results[[Segment]:[Segment]], IF($B98="Income Qualifying",$C98&amp;" LI",$C98), Combined_Results[[Cost-Effective]:[Cost-Effective]], 1)*_xlfn.XLOOKUP($C98&amp;$B98,Income_Groups[[segment]:[segment]]&amp;Income_Groups[[income_eligibility]:[income_eligibility]],Income_Groups[[Weight Factor for CPA non-qual]:[Weight Factor for CPA non-qual]])</f>
        <v>660.57762196918122</v>
      </c>
      <c r="L98" s="17" cm="1">
        <f t="array" ref="L98">SUMIFS(Combined_Results[Achievable therm 2034], Combined_Results[[Segment]:[Segment]], IF($B98="Income Qualifying",$C98&amp;" LI",$C98), Combined_Results[[Cost-Effective]:[Cost-Effective]], 1)*_xlfn.XLOOKUP($C98&amp;$B98,Income_Groups[[segment]:[segment]]&amp;Income_Groups[[income_eligibility]:[income_eligibility]],Income_Groups[[Weight Factor for CPA non-qual]:[Weight Factor for CPA non-qual]])</f>
        <v>763.56197608995285</v>
      </c>
      <c r="M98" s="17" cm="1">
        <f t="array" ref="M98">SUMIFS(Combined_Results[Achievable therm 2035], Combined_Results[[Segment]:[Segment]], IF($B98="Income Qualifying",$C98&amp;" LI",$C98), Combined_Results[[Cost-Effective]:[Cost-Effective]], 1)*_xlfn.XLOOKUP($C98&amp;$B98,Income_Groups[[segment]:[segment]]&amp;Income_Groups[[income_eligibility]:[income_eligibility]],Income_Groups[[Weight Factor for CPA non-qual]:[Weight Factor for CPA non-qual]])</f>
        <v>851.37836220541362</v>
      </c>
      <c r="N98" s="17" cm="1">
        <f t="array" ref="N98">SUMIFS(Combined_Results[Achievable therm 2036], Combined_Results[[Segment]:[Segment]], IF($B98="Income Qualifying",$C98&amp;" LI",$C98), Combined_Results[[Cost-Effective]:[Cost-Effective]], 1)*_xlfn.XLOOKUP($C98&amp;$B98,Income_Groups[[segment]:[segment]]&amp;Income_Groups[[income_eligibility]:[income_eligibility]],Income_Groups[[Weight Factor for CPA non-qual]:[Weight Factor for CPA non-qual]])</f>
        <v>914.81022299233598</v>
      </c>
      <c r="O98" s="17" cm="1">
        <f t="array" ref="O98">SUMIFS(Combined_Results[Achievable therm 2037], Combined_Results[[Segment]:[Segment]], IF($B98="Income Qualifying",$C98&amp;" LI",$C98), Combined_Results[[Cost-Effective]:[Cost-Effective]], 1)*_xlfn.XLOOKUP($C98&amp;$B98,Income_Groups[[segment]:[segment]]&amp;Income_Groups[[income_eligibility]:[income_eligibility]],Income_Groups[[Weight Factor for CPA non-qual]:[Weight Factor for CPA non-qual]])</f>
        <v>947.1163528635559</v>
      </c>
      <c r="P98" s="17" cm="1">
        <f t="array" ref="P98">SUMIFS(Combined_Results[Achievable therm 2038], Combined_Results[[Segment]:[Segment]], IF($B98="Income Qualifying",$C98&amp;" LI",$C98), Combined_Results[[Cost-Effective]:[Cost-Effective]], 1)*_xlfn.XLOOKUP($C98&amp;$B98,Income_Groups[[segment]:[segment]]&amp;Income_Groups[[income_eligibility]:[income_eligibility]],Income_Groups[[Weight Factor for CPA non-qual]:[Weight Factor for CPA non-qual]])</f>
        <v>946.11303148187869</v>
      </c>
      <c r="Q98" s="17" cm="1">
        <f t="array" ref="Q98">SUMIFS(Combined_Results[Achievable therm 2039], Combined_Results[[Segment]:[Segment]], IF($B98="Income Qualifying",$C98&amp;" LI",$C98), Combined_Results[[Cost-Effective]:[Cost-Effective]], 1)*_xlfn.XLOOKUP($C98&amp;$B98,Income_Groups[[segment]:[segment]]&amp;Income_Groups[[income_eligibility]:[income_eligibility]],Income_Groups[[Weight Factor for CPA non-qual]:[Weight Factor for CPA non-qual]])</f>
        <v>919.35208297010422</v>
      </c>
      <c r="R98" s="17" cm="1">
        <f t="array" ref="R98">SUMIFS(Combined_Results[Achievable therm 2040], Combined_Results[[Segment]:[Segment]], IF($B98="Income Qualifying",$C98&amp;" LI",$C98), Combined_Results[[Cost-Effective]:[Cost-Effective]], 1)*_xlfn.XLOOKUP($C98&amp;$B98,Income_Groups[[segment]:[segment]]&amp;Income_Groups[[income_eligibility]:[income_eligibility]],Income_Groups[[Weight Factor for CPA non-qual]:[Weight Factor for CPA non-qual]])</f>
        <v>868.61191352219248</v>
      </c>
      <c r="S98" s="17" cm="1">
        <f t="array" ref="S98">SUMIFS(Combined_Results[Achievable therm 2041], Combined_Results[[Segment]:[Segment]], IF($B98="Income Qualifying",$C98&amp;" LI",$C98), Combined_Results[[Cost-Effective]:[Cost-Effective]], 1)*_xlfn.XLOOKUP($C98&amp;$B98,Income_Groups[[segment]:[segment]]&amp;Income_Groups[[income_eligibility]:[income_eligibility]],Income_Groups[[Weight Factor for CPA non-qual]:[Weight Factor for CPA non-qual]])</f>
        <v>810.01138022765383</v>
      </c>
      <c r="T98" s="17" cm="1">
        <f t="array" ref="T98">SUMIFS(Combined_Results[Achievable therm 2042], Combined_Results[[Segment]:[Segment]], IF($B98="Income Qualifying",$C98&amp;" LI",$C98), Combined_Results[[Cost-Effective]:[Cost-Effective]], 1)*_xlfn.XLOOKUP($C98&amp;$B98,Income_Groups[[segment]:[segment]]&amp;Income_Groups[[income_eligibility]:[income_eligibility]],Income_Groups[[Weight Factor for CPA non-qual]:[Weight Factor for CPA non-qual]])</f>
        <v>734.62101505842338</v>
      </c>
      <c r="U98" s="17" cm="1">
        <f t="array" ref="U98">SUMIFS(Combined_Results[Achievable therm 2043], Combined_Results[[Segment]:[Segment]], IF($B98="Income Qualifying",$C98&amp;" LI",$C98), Combined_Results[[Cost-Effective]:[Cost-Effective]], 1)*_xlfn.XLOOKUP($C98&amp;$B98,Income_Groups[[segment]:[segment]]&amp;Income_Groups[[income_eligibility]:[income_eligibility]],Income_Groups[[Weight Factor for CPA non-qual]:[Weight Factor for CPA non-qual]])</f>
        <v>684.8258428043705</v>
      </c>
      <c r="V98" s="17" cm="1">
        <f t="array" ref="V98">SUMIFS(Combined_Results[Achievable therm 2044], Combined_Results[[Segment]:[Segment]], IF($B98="Income Qualifying",$C98&amp;" LI",$C98), Combined_Results[[Cost-Effective]:[Cost-Effective]], 1)*_xlfn.XLOOKUP($C98&amp;$B98,Income_Groups[[segment]:[segment]]&amp;Income_Groups[[income_eligibility]:[income_eligibility]],Income_Groups[[Weight Factor for CPA non-qual]:[Weight Factor for CPA non-qual]])</f>
        <v>646.90151562790766</v>
      </c>
      <c r="W98" s="17" cm="1">
        <f t="array" ref="W98">SUMIFS(Combined_Results[Achievable therm 2045], Combined_Results[[Segment]:[Segment]], IF($B98="Income Qualifying",$C98&amp;" LI",$C98), Combined_Results[[Cost-Effective]:[Cost-Effective]], 1)*_xlfn.XLOOKUP($C98&amp;$B98,Income_Groups[[segment]:[segment]]&amp;Income_Groups[[income_eligibility]:[income_eligibility]],Income_Groups[[Weight Factor for CPA non-qual]:[Weight Factor for CPA non-qual]])</f>
        <v>632.94014961831544</v>
      </c>
      <c r="X98" s="17" cm="1">
        <f t="array" ref="X98">SUMIFS(Combined_Results[Achievable therm 2046], Combined_Results[[Segment]:[Segment]], IF($B98="Income Qualifying",$C98&amp;" LI",$C98), Combined_Results[[Cost-Effective]:[Cost-Effective]], 1)*_xlfn.XLOOKUP($C98&amp;$B98,Income_Groups[[segment]:[segment]]&amp;Income_Groups[[income_eligibility]:[income_eligibility]],Income_Groups[[Weight Factor for CPA non-qual]:[Weight Factor for CPA non-qual]])</f>
        <v>613.2925368845556</v>
      </c>
      <c r="Y98" s="17" cm="1">
        <f t="array" ref="Y98">SUMIFS(Combined_Results[Achievable therm 2047], Combined_Results[[Segment]:[Segment]], IF($B98="Income Qualifying",$C98&amp;" LI",$C98), Combined_Results[[Cost-Effective]:[Cost-Effective]], 1)*_xlfn.XLOOKUP($C98&amp;$B98,Income_Groups[[segment]:[segment]]&amp;Income_Groups[[income_eligibility]:[income_eligibility]],Income_Groups[[Weight Factor for CPA non-qual]:[Weight Factor for CPA non-qual]])</f>
        <v>606.91226951651788</v>
      </c>
      <c r="Z98" s="17" cm="1">
        <f t="array" ref="Z98">SUMIFS(Combined_Results[Achievable therm 2048], Combined_Results[[Segment]:[Segment]], IF($B98="Income Qualifying",$C98&amp;" LI",$C98), Combined_Results[[Cost-Effective]:[Cost-Effective]], 1)*_xlfn.XLOOKUP($C98&amp;$B98,Income_Groups[[segment]:[segment]]&amp;Income_Groups[[income_eligibility]:[income_eligibility]],Income_Groups[[Weight Factor for CPA non-qual]:[Weight Factor for CPA non-qual]])</f>
        <v>599.70749895730887</v>
      </c>
      <c r="AA98" s="17" cm="1">
        <f t="array" ref="AA98">SUMIFS(Combined_Results[Achievable therm 2049], Combined_Results[[Segment]:[Segment]], IF($B98="Income Qualifying",$C98&amp;" LI",$C98), Combined_Results[[Cost-Effective]:[Cost-Effective]], 1)*_xlfn.XLOOKUP($C98&amp;$B98,Income_Groups[[segment]:[segment]]&amp;Income_Groups[[income_eligibility]:[income_eligibility]],Income_Groups[[Weight Factor for CPA non-qual]:[Weight Factor for CPA non-qual]])</f>
        <v>586.24569921259172</v>
      </c>
      <c r="AB98" s="17" cm="1">
        <f t="array" ref="AB98">SUMIFS(Combined_Results[Achievable therm 2050], Combined_Results[[Segment]:[Segment]], IF($B98="Income Qualifying",$C98&amp;" LI",$C98), Combined_Results[[Cost-Effective]:[Cost-Effective]], 1)*_xlfn.XLOOKUP($C98&amp;$B98,Income_Groups[[segment]:[segment]]&amp;Income_Groups[[income_eligibility]:[income_eligibility]],Income_Groups[[Weight Factor for CPA non-qual]:[Weight Factor for CPA non-qual]])</f>
        <v>513.95126302419942</v>
      </c>
    </row>
    <row r="99" spans="2:28" x14ac:dyDescent="0.2">
      <c r="B99" s="10" t="s">
        <v>56</v>
      </c>
      <c r="C99" s="10" t="s">
        <v>52</v>
      </c>
      <c r="D99" s="17" cm="1">
        <f t="array" ref="D99">SUMIFS(Combined_Results[Achievable therm 2026], Combined_Results[[Segment]:[Segment]], IF($B99="Income Qualifying",$C99&amp;" LI",$C99), Combined_Results[[Cost-Effective]:[Cost-Effective]], 1)*_xlfn.XLOOKUP($C99&amp;$B99,Income_Groups[[segment]:[segment]]&amp;Income_Groups[[income_eligibility]:[income_eligibility]],Income_Groups[[Weight Factor for CPA non-qual]:[Weight Factor for CPA non-qual]])</f>
        <v>8697.0180964699266</v>
      </c>
      <c r="E99" s="17" cm="1">
        <f t="array" ref="E99">SUMIFS(Combined_Results[Achievable therm 2027], Combined_Results[[Segment]:[Segment]], IF($B99="Income Qualifying",$C99&amp;" LI",$C99), Combined_Results[[Cost-Effective]:[Cost-Effective]], 1)*_xlfn.XLOOKUP($C99&amp;$B99,Income_Groups[[segment]:[segment]]&amp;Income_Groups[[income_eligibility]:[income_eligibility]],Income_Groups[[Weight Factor for CPA non-qual]:[Weight Factor for CPA non-qual]])</f>
        <v>12323.580553346423</v>
      </c>
      <c r="F99" s="17" cm="1">
        <f t="array" ref="F99">SUMIFS(Combined_Results[Achievable therm 2028], Combined_Results[[Segment]:[Segment]], IF($B99="Income Qualifying",$C99&amp;" LI",$C99), Combined_Results[[Cost-Effective]:[Cost-Effective]], 1)*_xlfn.XLOOKUP($C99&amp;$B99,Income_Groups[[segment]:[segment]]&amp;Income_Groups[[income_eligibility]:[income_eligibility]],Income_Groups[[Weight Factor for CPA non-qual]:[Weight Factor for CPA non-qual]])</f>
        <v>17655.13427202027</v>
      </c>
      <c r="G99" s="17" cm="1">
        <f t="array" ref="G99">SUMIFS(Combined_Results[Achievable therm 2029], Combined_Results[[Segment]:[Segment]], IF($B99="Income Qualifying",$C99&amp;" LI",$C99), Combined_Results[[Cost-Effective]:[Cost-Effective]], 1)*_xlfn.XLOOKUP($C99&amp;$B99,Income_Groups[[segment]:[segment]]&amp;Income_Groups[[income_eligibility]:[income_eligibility]],Income_Groups[[Weight Factor for CPA non-qual]:[Weight Factor for CPA non-qual]])</f>
        <v>24035.563356026887</v>
      </c>
      <c r="H99" s="17" cm="1">
        <f t="array" ref="H99">SUMIFS(Combined_Results[Achievable therm 2030], Combined_Results[[Segment]:[Segment]], IF($B99="Income Qualifying",$C99&amp;" LI",$C99), Combined_Results[[Cost-Effective]:[Cost-Effective]], 1)*_xlfn.XLOOKUP($C99&amp;$B99,Income_Groups[[segment]:[segment]]&amp;Income_Groups[[income_eligibility]:[income_eligibility]],Income_Groups[[Weight Factor for CPA non-qual]:[Weight Factor for CPA non-qual]])</f>
        <v>31863.62690493558</v>
      </c>
      <c r="I99" s="17" cm="1">
        <f t="array" ref="I99">SUMIFS(Combined_Results[Achievable therm 2031], Combined_Results[[Segment]:[Segment]], IF($B99="Income Qualifying",$C99&amp;" LI",$C99), Combined_Results[[Cost-Effective]:[Cost-Effective]], 1)*_xlfn.XLOOKUP($C99&amp;$B99,Income_Groups[[segment]:[segment]]&amp;Income_Groups[[income_eligibility]:[income_eligibility]],Income_Groups[[Weight Factor for CPA non-qual]:[Weight Factor for CPA non-qual]])</f>
        <v>41044.764231026405</v>
      </c>
      <c r="J99" s="17" cm="1">
        <f t="array" ref="J99">SUMIFS(Combined_Results[Achievable therm 2032], Combined_Results[[Segment]:[Segment]], IF($B99="Income Qualifying",$C99&amp;" LI",$C99), Combined_Results[[Cost-Effective]:[Cost-Effective]], 1)*_xlfn.XLOOKUP($C99&amp;$B99,Income_Groups[[segment]:[segment]]&amp;Income_Groups[[income_eligibility]:[income_eligibility]],Income_Groups[[Weight Factor for CPA non-qual]:[Weight Factor for CPA non-qual]])</f>
        <v>51259.250307260831</v>
      </c>
      <c r="K99" s="17" cm="1">
        <f t="array" ref="K99">SUMIFS(Combined_Results[Achievable therm 2033], Combined_Results[[Segment]:[Segment]], IF($B99="Income Qualifying",$C99&amp;" LI",$C99), Combined_Results[[Cost-Effective]:[Cost-Effective]], 1)*_xlfn.XLOOKUP($C99&amp;$B99,Income_Groups[[segment]:[segment]]&amp;Income_Groups[[income_eligibility]:[income_eligibility]],Income_Groups[[Weight Factor for CPA non-qual]:[Weight Factor for CPA non-qual]])</f>
        <v>61936.599874154133</v>
      </c>
      <c r="L99" s="17" cm="1">
        <f t="array" ref="L99">SUMIFS(Combined_Results[Achievable therm 2034], Combined_Results[[Segment]:[Segment]], IF($B99="Income Qualifying",$C99&amp;" LI",$C99), Combined_Results[[Cost-Effective]:[Cost-Effective]], 1)*_xlfn.XLOOKUP($C99&amp;$B99,Income_Groups[[segment]:[segment]]&amp;Income_Groups[[income_eligibility]:[income_eligibility]],Income_Groups[[Weight Factor for CPA non-qual]:[Weight Factor for CPA non-qual]])</f>
        <v>72249.090493606098</v>
      </c>
      <c r="M99" s="17" cm="1">
        <f t="array" ref="M99">SUMIFS(Combined_Results[Achievable therm 2035], Combined_Results[[Segment]:[Segment]], IF($B99="Income Qualifying",$C99&amp;" LI",$C99), Combined_Results[[Cost-Effective]:[Cost-Effective]], 1)*_xlfn.XLOOKUP($C99&amp;$B99,Income_Groups[[segment]:[segment]]&amp;Income_Groups[[income_eligibility]:[income_eligibility]],Income_Groups[[Weight Factor for CPA non-qual]:[Weight Factor for CPA non-qual]])</f>
        <v>81170.939481236026</v>
      </c>
      <c r="N99" s="17" cm="1">
        <f t="array" ref="N99">SUMIFS(Combined_Results[Achievable therm 2036], Combined_Results[[Segment]:[Segment]], IF($B99="Income Qualifying",$C99&amp;" LI",$C99), Combined_Results[[Cost-Effective]:[Cost-Effective]], 1)*_xlfn.XLOOKUP($C99&amp;$B99,Income_Groups[[segment]:[segment]]&amp;Income_Groups[[income_eligibility]:[income_eligibility]],Income_Groups[[Weight Factor for CPA non-qual]:[Weight Factor for CPA non-qual]])</f>
        <v>87664.567924520539</v>
      </c>
      <c r="O99" s="17" cm="1">
        <f t="array" ref="O99">SUMIFS(Combined_Results[Achievable therm 2037], Combined_Results[[Segment]:[Segment]], IF($B99="Income Qualifying",$C99&amp;" LI",$C99), Combined_Results[[Cost-Effective]:[Cost-Effective]], 1)*_xlfn.XLOOKUP($C99&amp;$B99,Income_Groups[[segment]:[segment]]&amp;Income_Groups[[income_eligibility]:[income_eligibility]],Income_Groups[[Weight Factor for CPA non-qual]:[Weight Factor for CPA non-qual]])</f>
        <v>90875.682079926701</v>
      </c>
      <c r="P99" s="17" cm="1">
        <f t="array" ref="P99">SUMIFS(Combined_Results[Achievable therm 2038], Combined_Results[[Segment]:[Segment]], IF($B99="Income Qualifying",$C99&amp;" LI",$C99), Combined_Results[[Cost-Effective]:[Cost-Effective]], 1)*_xlfn.XLOOKUP($C99&amp;$B99,Income_Groups[[segment]:[segment]]&amp;Income_Groups[[income_eligibility]:[income_eligibility]],Income_Groups[[Weight Factor for CPA non-qual]:[Weight Factor for CPA non-qual]])</f>
        <v>90381.581188334923</v>
      </c>
      <c r="Q99" s="17" cm="1">
        <f t="array" ref="Q99">SUMIFS(Combined_Results[Achievable therm 2039], Combined_Results[[Segment]:[Segment]], IF($B99="Income Qualifying",$C99&amp;" LI",$C99), Combined_Results[[Cost-Effective]:[Cost-Effective]], 1)*_xlfn.XLOOKUP($C99&amp;$B99,Income_Groups[[segment]:[segment]]&amp;Income_Groups[[income_eligibility]:[income_eligibility]],Income_Groups[[Weight Factor for CPA non-qual]:[Weight Factor for CPA non-qual]])</f>
        <v>86635.892510548278</v>
      </c>
      <c r="R99" s="17" cm="1">
        <f t="array" ref="R99">SUMIFS(Combined_Results[Achievable therm 2040], Combined_Results[[Segment]:[Segment]], IF($B99="Income Qualifying",$C99&amp;" LI",$C99), Combined_Results[[Cost-Effective]:[Cost-Effective]], 1)*_xlfn.XLOOKUP($C99&amp;$B99,Income_Groups[[segment]:[segment]]&amp;Income_Groups[[income_eligibility]:[income_eligibility]],Income_Groups[[Weight Factor for CPA non-qual]:[Weight Factor for CPA non-qual]])</f>
        <v>79961.767200316361</v>
      </c>
      <c r="S99" s="17" cm="1">
        <f t="array" ref="S99">SUMIFS(Combined_Results[Achievable therm 2041], Combined_Results[[Segment]:[Segment]], IF($B99="Income Qualifying",$C99&amp;" LI",$C99), Combined_Results[[Cost-Effective]:[Cost-Effective]], 1)*_xlfn.XLOOKUP($C99&amp;$B99,Income_Groups[[segment]:[segment]]&amp;Income_Groups[[income_eligibility]:[income_eligibility]],Income_Groups[[Weight Factor for CPA non-qual]:[Weight Factor for CPA non-qual]])</f>
        <v>72064.317408685107</v>
      </c>
      <c r="T99" s="17" cm="1">
        <f t="array" ref="T99">SUMIFS(Combined_Results[Achievable therm 2042], Combined_Results[[Segment]:[Segment]], IF($B99="Income Qualifying",$C99&amp;" LI",$C99), Combined_Results[[Cost-Effective]:[Cost-Effective]], 1)*_xlfn.XLOOKUP($C99&amp;$B99,Income_Groups[[segment]:[segment]]&amp;Income_Groups[[income_eligibility]:[income_eligibility]],Income_Groups[[Weight Factor for CPA non-qual]:[Weight Factor for CPA non-qual]])</f>
        <v>61952.975085411941</v>
      </c>
      <c r="U99" s="17" cm="1">
        <f t="array" ref="U99">SUMIFS(Combined_Results[Achievable therm 2043], Combined_Results[[Segment]:[Segment]], IF($B99="Income Qualifying",$C99&amp;" LI",$C99), Combined_Results[[Cost-Effective]:[Cost-Effective]], 1)*_xlfn.XLOOKUP($C99&amp;$B99,Income_Groups[[segment]:[segment]]&amp;Income_Groups[[income_eligibility]:[income_eligibility]],Income_Groups[[Weight Factor for CPA non-qual]:[Weight Factor for CPA non-qual]])</f>
        <v>54902.589185622848</v>
      </c>
      <c r="V99" s="17" cm="1">
        <f t="array" ref="V99">SUMIFS(Combined_Results[Achievable therm 2044], Combined_Results[[Segment]:[Segment]], IF($B99="Income Qualifying",$C99&amp;" LI",$C99), Combined_Results[[Cost-Effective]:[Cost-Effective]], 1)*_xlfn.XLOOKUP($C99&amp;$B99,Income_Groups[[segment]:[segment]]&amp;Income_Groups[[income_eligibility]:[income_eligibility]],Income_Groups[[Weight Factor for CPA non-qual]:[Weight Factor for CPA non-qual]])</f>
        <v>44653.187809013922</v>
      </c>
      <c r="W99" s="17" cm="1">
        <f t="array" ref="W99">SUMIFS(Combined_Results[Achievable therm 2045], Combined_Results[[Segment]:[Segment]], IF($B99="Income Qualifying",$C99&amp;" LI",$C99), Combined_Results[[Cost-Effective]:[Cost-Effective]], 1)*_xlfn.XLOOKUP($C99&amp;$B99,Income_Groups[[segment]:[segment]]&amp;Income_Groups[[income_eligibility]:[income_eligibility]],Income_Groups[[Weight Factor for CPA non-qual]:[Weight Factor for CPA non-qual]])</f>
        <v>43254.729556456419</v>
      </c>
      <c r="X99" s="17" cm="1">
        <f t="array" ref="X99">SUMIFS(Combined_Results[Achievable therm 2046], Combined_Results[[Segment]:[Segment]], IF($B99="Income Qualifying",$C99&amp;" LI",$C99), Combined_Results[[Cost-Effective]:[Cost-Effective]], 1)*_xlfn.XLOOKUP($C99&amp;$B99,Income_Groups[[segment]:[segment]]&amp;Income_Groups[[income_eligibility]:[income_eligibility]],Income_Groups[[Weight Factor for CPA non-qual]:[Weight Factor for CPA non-qual]])</f>
        <v>42152.816139555784</v>
      </c>
      <c r="Y99" s="17" cm="1">
        <f t="array" ref="Y99">SUMIFS(Combined_Results[Achievable therm 2047], Combined_Results[[Segment]:[Segment]], IF($B99="Income Qualifying",$C99&amp;" LI",$C99), Combined_Results[[Cost-Effective]:[Cost-Effective]], 1)*_xlfn.XLOOKUP($C99&amp;$B99,Income_Groups[[segment]:[segment]]&amp;Income_Groups[[income_eligibility]:[income_eligibility]],Income_Groups[[Weight Factor for CPA non-qual]:[Weight Factor for CPA non-qual]])</f>
        <v>41731.370222182937</v>
      </c>
      <c r="Z99" s="17" cm="1">
        <f t="array" ref="Z99">SUMIFS(Combined_Results[Achievable therm 2048], Combined_Results[[Segment]:[Segment]], IF($B99="Income Qualifying",$C99&amp;" LI",$C99), Combined_Results[[Cost-Effective]:[Cost-Effective]], 1)*_xlfn.XLOOKUP($C99&amp;$B99,Income_Groups[[segment]:[segment]]&amp;Income_Groups[[income_eligibility]:[income_eligibility]],Income_Groups[[Weight Factor for CPA non-qual]:[Weight Factor for CPA non-qual]])</f>
        <v>41255.965891672073</v>
      </c>
      <c r="AA99" s="17" cm="1">
        <f t="array" ref="AA99">SUMIFS(Combined_Results[Achievable therm 2049], Combined_Results[[Segment]:[Segment]], IF($B99="Income Qualifying",$C99&amp;" LI",$C99), Combined_Results[[Cost-Effective]:[Cost-Effective]], 1)*_xlfn.XLOOKUP($C99&amp;$B99,Income_Groups[[segment]:[segment]]&amp;Income_Groups[[income_eligibility]:[income_eligibility]],Income_Groups[[Weight Factor for CPA non-qual]:[Weight Factor for CPA non-qual]])</f>
        <v>40448.230908941645</v>
      </c>
      <c r="AB99" s="17" cm="1">
        <f t="array" ref="AB99">SUMIFS(Combined_Results[Achievable therm 2050], Combined_Results[[Segment]:[Segment]], IF($B99="Income Qualifying",$C99&amp;" LI",$C99), Combined_Results[[Cost-Effective]:[Cost-Effective]], 1)*_xlfn.XLOOKUP($C99&amp;$B99,Income_Groups[[segment]:[segment]]&amp;Income_Groups[[income_eligibility]:[income_eligibility]],Income_Groups[[Weight Factor for CPA non-qual]:[Weight Factor for CPA non-qual]])</f>
        <v>34884.365406129196</v>
      </c>
    </row>
    <row r="100" spans="2:28" x14ac:dyDescent="0.2">
      <c r="B100" s="10" t="s">
        <v>56</v>
      </c>
      <c r="C100" s="10" t="s">
        <v>53</v>
      </c>
      <c r="D100" s="17" cm="1">
        <f t="array" ref="D100">SUMIFS(Combined_Results[Achievable therm 2026], Combined_Results[[Segment]:[Segment]], IF($B100="Income Qualifying",$C100&amp;" LI",$C100), Combined_Results[[Cost-Effective]:[Cost-Effective]], 1)*_xlfn.XLOOKUP($C100&amp;$B100,Income_Groups[[segment]:[segment]]&amp;Income_Groups[[income_eligibility]:[income_eligibility]],Income_Groups[[Weight Factor for CPA non-qual]:[Weight Factor for CPA non-qual]])</f>
        <v>356.51001401000883</v>
      </c>
      <c r="E100" s="17" cm="1">
        <f t="array" ref="E100">SUMIFS(Combined_Results[Achievable therm 2027], Combined_Results[[Segment]:[Segment]], IF($B100="Income Qualifying",$C100&amp;" LI",$C100), Combined_Results[[Cost-Effective]:[Cost-Effective]], 1)*_xlfn.XLOOKUP($C100&amp;$B100,Income_Groups[[segment]:[segment]]&amp;Income_Groups[[income_eligibility]:[income_eligibility]],Income_Groups[[Weight Factor for CPA non-qual]:[Weight Factor for CPA non-qual]])</f>
        <v>547.05197328387703</v>
      </c>
      <c r="F100" s="17" cm="1">
        <f t="array" ref="F100">SUMIFS(Combined_Results[Achievable therm 2028], Combined_Results[[Segment]:[Segment]], IF($B100="Income Qualifying",$C100&amp;" LI",$C100), Combined_Results[[Cost-Effective]:[Cost-Effective]], 1)*_xlfn.XLOOKUP($C100&amp;$B100,Income_Groups[[segment]:[segment]]&amp;Income_Groups[[income_eligibility]:[income_eligibility]],Income_Groups[[Weight Factor for CPA non-qual]:[Weight Factor for CPA non-qual]])</f>
        <v>831.63742649218898</v>
      </c>
      <c r="G100" s="17" cm="1">
        <f t="array" ref="G100">SUMIFS(Combined_Results[Achievable therm 2029], Combined_Results[[Segment]:[Segment]], IF($B100="Income Qualifying",$C100&amp;" LI",$C100), Combined_Results[[Cost-Effective]:[Cost-Effective]], 1)*_xlfn.XLOOKUP($C100&amp;$B100,Income_Groups[[segment]:[segment]]&amp;Income_Groups[[income_eligibility]:[income_eligibility]],Income_Groups[[Weight Factor for CPA non-qual]:[Weight Factor for CPA non-qual]])</f>
        <v>1194.4772097038751</v>
      </c>
      <c r="H100" s="17" cm="1">
        <f t="array" ref="H100">SUMIFS(Combined_Results[Achievable therm 2030], Combined_Results[[Segment]:[Segment]], IF($B100="Income Qualifying",$C100&amp;" LI",$C100), Combined_Results[[Cost-Effective]:[Cost-Effective]], 1)*_xlfn.XLOOKUP($C100&amp;$B100,Income_Groups[[segment]:[segment]]&amp;Income_Groups[[income_eligibility]:[income_eligibility]],Income_Groups[[Weight Factor for CPA non-qual]:[Weight Factor for CPA non-qual]])</f>
        <v>1651.6937377071197</v>
      </c>
      <c r="I100" s="17" cm="1">
        <f t="array" ref="I100">SUMIFS(Combined_Results[Achievable therm 2031], Combined_Results[[Segment]:[Segment]], IF($B100="Income Qualifying",$C100&amp;" LI",$C100), Combined_Results[[Cost-Effective]:[Cost-Effective]], 1)*_xlfn.XLOOKUP($C100&amp;$B100,Income_Groups[[segment]:[segment]]&amp;Income_Groups[[income_eligibility]:[income_eligibility]],Income_Groups[[Weight Factor for CPA non-qual]:[Weight Factor for CPA non-qual]])</f>
        <v>2198.2408948457337</v>
      </c>
      <c r="J100" s="17" cm="1">
        <f t="array" ref="J100">SUMIFS(Combined_Results[Achievable therm 2032], Combined_Results[[Segment]:[Segment]], IF($B100="Income Qualifying",$C100&amp;" LI",$C100), Combined_Results[[Cost-Effective]:[Cost-Effective]], 1)*_xlfn.XLOOKUP($C100&amp;$B100,Income_Groups[[segment]:[segment]]&amp;Income_Groups[[income_eligibility]:[income_eligibility]],Income_Groups[[Weight Factor for CPA non-qual]:[Weight Factor for CPA non-qual]])</f>
        <v>2816.561857035852</v>
      </c>
      <c r="K100" s="17" cm="1">
        <f t="array" ref="K100">SUMIFS(Combined_Results[Achievable therm 2033], Combined_Results[[Segment]:[Segment]], IF($B100="Income Qualifying",$C100&amp;" LI",$C100), Combined_Results[[Cost-Effective]:[Cost-Effective]], 1)*_xlfn.XLOOKUP($C100&amp;$B100,Income_Groups[[segment]:[segment]]&amp;Income_Groups[[income_eligibility]:[income_eligibility]],Income_Groups[[Weight Factor for CPA non-qual]:[Weight Factor for CPA non-qual]])</f>
        <v>3474.8657914796963</v>
      </c>
      <c r="L100" s="17" cm="1">
        <f t="array" ref="L100">SUMIFS(Combined_Results[Achievable therm 2034], Combined_Results[[Segment]:[Segment]], IF($B100="Income Qualifying",$C100&amp;" LI",$C100), Combined_Results[[Cost-Effective]:[Cost-Effective]], 1)*_xlfn.XLOOKUP($C100&amp;$B100,Income_Groups[[segment]:[segment]]&amp;Income_Groups[[income_eligibility]:[income_eligibility]],Income_Groups[[Weight Factor for CPA non-qual]:[Weight Factor for CPA non-qual]])</f>
        <v>4125.7825944317929</v>
      </c>
      <c r="M100" s="17" cm="1">
        <f t="array" ref="M100">SUMIFS(Combined_Results[Achievable therm 2035], Combined_Results[[Segment]:[Segment]], IF($B100="Income Qualifying",$C100&amp;" LI",$C100), Combined_Results[[Cost-Effective]:[Cost-Effective]], 1)*_xlfn.XLOOKUP($C100&amp;$B100,Income_Groups[[segment]:[segment]]&amp;Income_Groups[[income_eligibility]:[income_eligibility]],Income_Groups[[Weight Factor for CPA non-qual]:[Weight Factor for CPA non-qual]])</f>
        <v>4707.721982119323</v>
      </c>
      <c r="N100" s="17" cm="1">
        <f t="array" ref="N100">SUMIFS(Combined_Results[Achievable therm 2036], Combined_Results[[Segment]:[Segment]], IF($B100="Income Qualifying",$C100&amp;" LI",$C100), Combined_Results[[Cost-Effective]:[Cost-Effective]], 1)*_xlfn.XLOOKUP($C100&amp;$B100,Income_Groups[[segment]:[segment]]&amp;Income_Groups[[income_eligibility]:[income_eligibility]],Income_Groups[[Weight Factor for CPA non-qual]:[Weight Factor for CPA non-qual]])</f>
        <v>5152.4048241340051</v>
      </c>
      <c r="O100" s="17" cm="1">
        <f t="array" ref="O100">SUMIFS(Combined_Results[Achievable therm 2037], Combined_Results[[Segment]:[Segment]], IF($B100="Income Qualifying",$C100&amp;" LI",$C100), Combined_Results[[Cost-Effective]:[Cost-Effective]], 1)*_xlfn.XLOOKUP($C100&amp;$B100,Income_Groups[[segment]:[segment]]&amp;Income_Groups[[income_eligibility]:[income_eligibility]],Income_Groups[[Weight Factor for CPA non-qual]:[Weight Factor for CPA non-qual]])</f>
        <v>5395.6524491291502</v>
      </c>
      <c r="P100" s="17" cm="1">
        <f t="array" ref="P100">SUMIFS(Combined_Results[Achievable therm 2038], Combined_Results[[Segment]:[Segment]], IF($B100="Income Qualifying",$C100&amp;" LI",$C100), Combined_Results[[Cost-Effective]:[Cost-Effective]], 1)*_xlfn.XLOOKUP($C100&amp;$B100,Income_Groups[[segment]:[segment]]&amp;Income_Groups[[income_eligibility]:[income_eligibility]],Income_Groups[[Weight Factor for CPA non-qual]:[Weight Factor for CPA non-qual]])</f>
        <v>5393.0952393100833</v>
      </c>
      <c r="Q100" s="17" cm="1">
        <f t="array" ref="Q100">SUMIFS(Combined_Results[Achievable therm 2039], Combined_Results[[Segment]:[Segment]], IF($B100="Income Qualifying",$C100&amp;" LI",$C100), Combined_Results[[Cost-Effective]:[Cost-Effective]], 1)*_xlfn.XLOOKUP($C100&amp;$B100,Income_Groups[[segment]:[segment]]&amp;Income_Groups[[income_eligibility]:[income_eligibility]],Income_Groups[[Weight Factor for CPA non-qual]:[Weight Factor for CPA non-qual]])</f>
        <v>5143.1450423577298</v>
      </c>
      <c r="R100" s="17" cm="1">
        <f t="array" ref="R100">SUMIFS(Combined_Results[Achievable therm 2040], Combined_Results[[Segment]:[Segment]], IF($B100="Income Qualifying",$C100&amp;" LI",$C100), Combined_Results[[Cost-Effective]:[Cost-Effective]], 1)*_xlfn.XLOOKUP($C100&amp;$B100,Income_Groups[[segment]:[segment]]&amp;Income_Groups[[income_eligibility]:[income_eligibility]],Income_Groups[[Weight Factor for CPA non-qual]:[Weight Factor for CPA non-qual]])</f>
        <v>4649.9088193414946</v>
      </c>
      <c r="S100" s="17" cm="1">
        <f t="array" ref="S100">SUMIFS(Combined_Results[Achievable therm 2041], Combined_Results[[Segment]:[Segment]], IF($B100="Income Qualifying",$C100&amp;" LI",$C100), Combined_Results[[Cost-Effective]:[Cost-Effective]], 1)*_xlfn.XLOOKUP($C100&amp;$B100,Income_Groups[[segment]:[segment]]&amp;Income_Groups[[income_eligibility]:[income_eligibility]],Income_Groups[[Weight Factor for CPA non-qual]:[Weight Factor for CPA non-qual]])</f>
        <v>4081.8379398548032</v>
      </c>
      <c r="T100" s="17" cm="1">
        <f t="array" ref="T100">SUMIFS(Combined_Results[Achievable therm 2042], Combined_Results[[Segment]:[Segment]], IF($B100="Income Qualifying",$C100&amp;" LI",$C100), Combined_Results[[Cost-Effective]:[Cost-Effective]], 1)*_xlfn.XLOOKUP($C100&amp;$B100,Income_Groups[[segment]:[segment]]&amp;Income_Groups[[income_eligibility]:[income_eligibility]],Income_Groups[[Weight Factor for CPA non-qual]:[Weight Factor for CPA non-qual]])</f>
        <v>3367.6366060061114</v>
      </c>
      <c r="U100" s="17" cm="1">
        <f t="array" ref="U100">SUMIFS(Combined_Results[Achievable therm 2043], Combined_Results[[Segment]:[Segment]], IF($B100="Income Qualifying",$C100&amp;" LI",$C100), Combined_Results[[Cost-Effective]:[Cost-Effective]], 1)*_xlfn.XLOOKUP($C100&amp;$B100,Income_Groups[[segment]:[segment]]&amp;Income_Groups[[income_eligibility]:[income_eligibility]],Income_Groups[[Weight Factor for CPA non-qual]:[Weight Factor for CPA non-qual]])</f>
        <v>2790.3305947030076</v>
      </c>
      <c r="V100" s="17" cm="1">
        <f t="array" ref="V100">SUMIFS(Combined_Results[Achievable therm 2044], Combined_Results[[Segment]:[Segment]], IF($B100="Income Qualifying",$C100&amp;" LI",$C100), Combined_Results[[Cost-Effective]:[Cost-Effective]], 1)*_xlfn.XLOOKUP($C100&amp;$B100,Income_Groups[[segment]:[segment]]&amp;Income_Groups[[income_eligibility]:[income_eligibility]],Income_Groups[[Weight Factor for CPA non-qual]:[Weight Factor for CPA non-qual]])</f>
        <v>1638.210132054061</v>
      </c>
      <c r="W100" s="17" cm="1">
        <f t="array" ref="W100">SUMIFS(Combined_Results[Achievable therm 2045], Combined_Results[[Segment]:[Segment]], IF($B100="Income Qualifying",$C100&amp;" LI",$C100), Combined_Results[[Cost-Effective]:[Cost-Effective]], 1)*_xlfn.XLOOKUP($C100&amp;$B100,Income_Groups[[segment]:[segment]]&amp;Income_Groups[[income_eligibility]:[income_eligibility]],Income_Groups[[Weight Factor for CPA non-qual]:[Weight Factor for CPA non-qual]])</f>
        <v>1524.8169155042262</v>
      </c>
      <c r="X100" s="17" cm="1">
        <f t="array" ref="X100">SUMIFS(Combined_Results[Achievable therm 2046], Combined_Results[[Segment]:[Segment]], IF($B100="Income Qualifying",$C100&amp;" LI",$C100), Combined_Results[[Cost-Effective]:[Cost-Effective]], 1)*_xlfn.XLOOKUP($C100&amp;$B100,Income_Groups[[segment]:[segment]]&amp;Income_Groups[[income_eligibility]:[income_eligibility]],Income_Groups[[Weight Factor for CPA non-qual]:[Weight Factor for CPA non-qual]])</f>
        <v>1485.9680755449961</v>
      </c>
      <c r="Y100" s="17" cm="1">
        <f t="array" ref="Y100">SUMIFS(Combined_Results[Achievable therm 2047], Combined_Results[[Segment]:[Segment]], IF($B100="Income Qualifying",$C100&amp;" LI",$C100), Combined_Results[[Cost-Effective]:[Cost-Effective]], 1)*_xlfn.XLOOKUP($C100&amp;$B100,Income_Groups[[segment]:[segment]]&amp;Income_Groups[[income_eligibility]:[income_eligibility]],Income_Groups[[Weight Factor for CPA non-qual]:[Weight Factor for CPA non-qual]])</f>
        <v>1437.5217800063226</v>
      </c>
      <c r="Z100" s="17" cm="1">
        <f t="array" ref="Z100">SUMIFS(Combined_Results[Achievable therm 2048], Combined_Results[[Segment]:[Segment]], IF($B100="Income Qualifying",$C100&amp;" LI",$C100), Combined_Results[[Cost-Effective]:[Cost-Effective]], 1)*_xlfn.XLOOKUP($C100&amp;$B100,Income_Groups[[segment]:[segment]]&amp;Income_Groups[[income_eligibility]:[income_eligibility]],Income_Groups[[Weight Factor for CPA non-qual]:[Weight Factor for CPA non-qual]])</f>
        <v>1375.4265117327254</v>
      </c>
      <c r="AA100" s="17" cm="1">
        <f t="array" ref="AA100">SUMIFS(Combined_Results[Achievable therm 2049], Combined_Results[[Segment]:[Segment]], IF($B100="Income Qualifying",$C100&amp;" LI",$C100), Combined_Results[[Cost-Effective]:[Cost-Effective]], 1)*_xlfn.XLOOKUP($C100&amp;$B100,Income_Groups[[segment]:[segment]]&amp;Income_Groups[[income_eligibility]:[income_eligibility]],Income_Groups[[Weight Factor for CPA non-qual]:[Weight Factor for CPA non-qual]])</f>
        <v>1350.8236774628217</v>
      </c>
      <c r="AB100" s="17" cm="1">
        <f t="array" ref="AB100">SUMIFS(Combined_Results[Achievable therm 2050], Combined_Results[[Segment]:[Segment]], IF($B100="Income Qualifying",$C100&amp;" LI",$C100), Combined_Results[[Cost-Effective]:[Cost-Effective]], 1)*_xlfn.XLOOKUP($C100&amp;$B100,Income_Groups[[segment]:[segment]]&amp;Income_Groups[[income_eligibility]:[income_eligibility]],Income_Groups[[Weight Factor for CPA non-qual]:[Weight Factor for CPA non-qual]])</f>
        <v>1162.7920126793235</v>
      </c>
    </row>
    <row r="101" spans="2:28" x14ac:dyDescent="0.2">
      <c r="B101" s="10" t="s">
        <v>56</v>
      </c>
      <c r="C101" s="10" t="s">
        <v>54</v>
      </c>
      <c r="D101" s="17" cm="1">
        <f t="array" ref="D101">SUMIFS(Combined_Results[Achievable therm 2026], Combined_Results[[Segment]:[Segment]], IF($B101="Income Qualifying",$C101&amp;" LI",$C101), Combined_Results[[Cost-Effective]:[Cost-Effective]], 1)*_xlfn.XLOOKUP($C101&amp;$B101,Income_Groups[[segment]:[segment]]&amp;Income_Groups[[income_eligibility]:[income_eligibility]],Income_Groups[[Weight Factor for CPA non-qual]:[Weight Factor for CPA non-qual]])</f>
        <v>52.973102585282845</v>
      </c>
      <c r="E101" s="17" cm="1">
        <f t="array" ref="E101">SUMIFS(Combined_Results[Achievable therm 2027], Combined_Results[[Segment]:[Segment]], IF($B101="Income Qualifying",$C101&amp;" LI",$C101), Combined_Results[[Cost-Effective]:[Cost-Effective]], 1)*_xlfn.XLOOKUP($C101&amp;$B101,Income_Groups[[segment]:[segment]]&amp;Income_Groups[[income_eligibility]:[income_eligibility]],Income_Groups[[Weight Factor for CPA non-qual]:[Weight Factor for CPA non-qual]])</f>
        <v>95.148132999003678</v>
      </c>
      <c r="F101" s="17" cm="1">
        <f t="array" ref="F101">SUMIFS(Combined_Results[Achievable therm 2028], Combined_Results[[Segment]:[Segment]], IF($B101="Income Qualifying",$C101&amp;" LI",$C101), Combined_Results[[Cost-Effective]:[Cost-Effective]], 1)*_xlfn.XLOOKUP($C101&amp;$B101,Income_Groups[[segment]:[segment]]&amp;Income_Groups[[income_eligibility]:[income_eligibility]],Income_Groups[[Weight Factor for CPA non-qual]:[Weight Factor for CPA non-qual]])</f>
        <v>152.37630958043255</v>
      </c>
      <c r="G101" s="17" cm="1">
        <f t="array" ref="G101">SUMIFS(Combined_Results[Achievable therm 2029], Combined_Results[[Segment]:[Segment]], IF($B101="Income Qualifying",$C101&amp;" LI",$C101), Combined_Results[[Cost-Effective]:[Cost-Effective]], 1)*_xlfn.XLOOKUP($C101&amp;$B101,Income_Groups[[segment]:[segment]]&amp;Income_Groups[[income_eligibility]:[income_eligibility]],Income_Groups[[Weight Factor for CPA non-qual]:[Weight Factor for CPA non-qual]])</f>
        <v>220.33863547619836</v>
      </c>
      <c r="H101" s="17" cm="1">
        <f t="array" ref="H101">SUMIFS(Combined_Results[Achievable therm 2030], Combined_Results[[Segment]:[Segment]], IF($B101="Income Qualifying",$C101&amp;" LI",$C101), Combined_Results[[Cost-Effective]:[Cost-Effective]], 1)*_xlfn.XLOOKUP($C101&amp;$B101,Income_Groups[[segment]:[segment]]&amp;Income_Groups[[income_eligibility]:[income_eligibility]],Income_Groups[[Weight Factor for CPA non-qual]:[Weight Factor for CPA non-qual]])</f>
        <v>290.50338498242002</v>
      </c>
      <c r="I101" s="17" cm="1">
        <f t="array" ref="I101">SUMIFS(Combined_Results[Achievable therm 2031], Combined_Results[[Segment]:[Segment]], IF($B101="Income Qualifying",$C101&amp;" LI",$C101), Combined_Results[[Cost-Effective]:[Cost-Effective]], 1)*_xlfn.XLOOKUP($C101&amp;$B101,Income_Groups[[segment]:[segment]]&amp;Income_Groups[[income_eligibility]:[income_eligibility]],Income_Groups[[Weight Factor for CPA non-qual]:[Weight Factor for CPA non-qual]])</f>
        <v>352.71589896055553</v>
      </c>
      <c r="J101" s="17" cm="1">
        <f t="array" ref="J101">SUMIFS(Combined_Results[Achievable therm 2032], Combined_Results[[Segment]:[Segment]], IF($B101="Income Qualifying",$C101&amp;" LI",$C101), Combined_Results[[Cost-Effective]:[Cost-Effective]], 1)*_xlfn.XLOOKUP($C101&amp;$B101,Income_Groups[[segment]:[segment]]&amp;Income_Groups[[income_eligibility]:[income_eligibility]],Income_Groups[[Weight Factor for CPA non-qual]:[Weight Factor for CPA non-qual]])</f>
        <v>398.1046597452754</v>
      </c>
      <c r="K101" s="17" cm="1">
        <f t="array" ref="K101">SUMIFS(Combined_Results[Achievable therm 2033], Combined_Results[[Segment]:[Segment]], IF($B101="Income Qualifying",$C101&amp;" LI",$C101), Combined_Results[[Cost-Effective]:[Cost-Effective]], 1)*_xlfn.XLOOKUP($C101&amp;$B101,Income_Groups[[segment]:[segment]]&amp;Income_Groups[[income_eligibility]:[income_eligibility]],Income_Groups[[Weight Factor for CPA non-qual]:[Weight Factor for CPA non-qual]])</f>
        <v>421.95011016693451</v>
      </c>
      <c r="L101" s="17" cm="1">
        <f t="array" ref="L101">SUMIFS(Combined_Results[Achievable therm 2034], Combined_Results[[Segment]:[Segment]], IF($B101="Income Qualifying",$C101&amp;" LI",$C101), Combined_Results[[Cost-Effective]:[Cost-Effective]], 1)*_xlfn.XLOOKUP($C101&amp;$B101,Income_Groups[[segment]:[segment]]&amp;Income_Groups[[income_eligibility]:[income_eligibility]],Income_Groups[[Weight Factor for CPA non-qual]:[Weight Factor for CPA non-qual]])</f>
        <v>424.45248378423008</v>
      </c>
      <c r="M101" s="17" cm="1">
        <f t="array" ref="M101">SUMIFS(Combined_Results[Achievable therm 2035], Combined_Results[[Segment]:[Segment]], IF($B101="Income Qualifying",$C101&amp;" LI",$C101), Combined_Results[[Cost-Effective]:[Cost-Effective]], 1)*_xlfn.XLOOKUP($C101&amp;$B101,Income_Groups[[segment]:[segment]]&amp;Income_Groups[[income_eligibility]:[income_eligibility]],Income_Groups[[Weight Factor for CPA non-qual]:[Weight Factor for CPA non-qual]])</f>
        <v>410.03292467594133</v>
      </c>
      <c r="N101" s="17" cm="1">
        <f t="array" ref="N101">SUMIFS(Combined_Results[Achievable therm 2036], Combined_Results[[Segment]:[Segment]], IF($B101="Income Qualifying",$C101&amp;" LI",$C101), Combined_Results[[Cost-Effective]:[Cost-Effective]], 1)*_xlfn.XLOOKUP($C101&amp;$B101,Income_Groups[[segment]:[segment]]&amp;Income_Groups[[income_eligibility]:[income_eligibility]],Income_Groups[[Weight Factor for CPA non-qual]:[Weight Factor for CPA non-qual]])</f>
        <v>385.40340063789785</v>
      </c>
      <c r="O101" s="17" cm="1">
        <f t="array" ref="O101">SUMIFS(Combined_Results[Achievable therm 2037], Combined_Results[[Segment]:[Segment]], IF($B101="Income Qualifying",$C101&amp;" LI",$C101), Combined_Results[[Cost-Effective]:[Cost-Effective]], 1)*_xlfn.XLOOKUP($C101&amp;$B101,Income_Groups[[segment]:[segment]]&amp;Income_Groups[[income_eligibility]:[income_eligibility]],Income_Groups[[Weight Factor for CPA non-qual]:[Weight Factor for CPA non-qual]])</f>
        <v>357.25422410637373</v>
      </c>
      <c r="P101" s="17" cm="1">
        <f t="array" ref="P101">SUMIFS(Combined_Results[Achievable therm 2038], Combined_Results[[Segment]:[Segment]], IF($B101="Income Qualifying",$C101&amp;" LI",$C101), Combined_Results[[Cost-Effective]:[Cost-Effective]], 1)*_xlfn.XLOOKUP($C101&amp;$B101,Income_Groups[[segment]:[segment]]&amp;Income_Groups[[income_eligibility]:[income_eligibility]],Income_Groups[[Weight Factor for CPA non-qual]:[Weight Factor for CPA non-qual]])</f>
        <v>331.58153982812354</v>
      </c>
      <c r="Q101" s="17" cm="1">
        <f t="array" ref="Q101">SUMIFS(Combined_Results[Achievable therm 2039], Combined_Results[[Segment]:[Segment]], IF($B101="Income Qualifying",$C101&amp;" LI",$C101), Combined_Results[[Cost-Effective]:[Cost-Effective]], 1)*_xlfn.XLOOKUP($C101&amp;$B101,Income_Groups[[segment]:[segment]]&amp;Income_Groups[[income_eligibility]:[income_eligibility]],Income_Groups[[Weight Factor for CPA non-qual]:[Weight Factor for CPA non-qual]])</f>
        <v>308.55363695873177</v>
      </c>
      <c r="R101" s="17" cm="1">
        <f t="array" ref="R101">SUMIFS(Combined_Results[Achievable therm 2040], Combined_Results[[Segment]:[Segment]], IF($B101="Income Qualifying",$C101&amp;" LI",$C101), Combined_Results[[Cost-Effective]:[Cost-Effective]], 1)*_xlfn.XLOOKUP($C101&amp;$B101,Income_Groups[[segment]:[segment]]&amp;Income_Groups[[income_eligibility]:[income_eligibility]],Income_Groups[[Weight Factor for CPA non-qual]:[Weight Factor for CPA non-qual]])</f>
        <v>244.45089437669105</v>
      </c>
      <c r="S101" s="17" cm="1">
        <f t="array" ref="S101">SUMIFS(Combined_Results[Achievable therm 2041], Combined_Results[[Segment]:[Segment]], IF($B101="Income Qualifying",$C101&amp;" LI",$C101), Combined_Results[[Cost-Effective]:[Cost-Effective]], 1)*_xlfn.XLOOKUP($C101&amp;$B101,Income_Groups[[segment]:[segment]]&amp;Income_Groups[[income_eligibility]:[income_eligibility]],Income_Groups[[Weight Factor for CPA non-qual]:[Weight Factor for CPA non-qual]])</f>
        <v>243.47092604550841</v>
      </c>
      <c r="T101" s="17" cm="1">
        <f t="array" ref="T101">SUMIFS(Combined_Results[Achievable therm 2042], Combined_Results[[Segment]:[Segment]], IF($B101="Income Qualifying",$C101&amp;" LI",$C101), Combined_Results[[Cost-Effective]:[Cost-Effective]], 1)*_xlfn.XLOOKUP($C101&amp;$B101,Income_Groups[[segment]:[segment]]&amp;Income_Groups[[income_eligibility]:[income_eligibility]],Income_Groups[[Weight Factor for CPA non-qual]:[Weight Factor for CPA non-qual]])</f>
        <v>348.3613600718943</v>
      </c>
      <c r="U101" s="17" cm="1">
        <f t="array" ref="U101">SUMIFS(Combined_Results[Achievable therm 2043], Combined_Results[[Segment]:[Segment]], IF($B101="Income Qualifying",$C101&amp;" LI",$C101), Combined_Results[[Cost-Effective]:[Cost-Effective]], 1)*_xlfn.XLOOKUP($C101&amp;$B101,Income_Groups[[segment]:[segment]]&amp;Income_Groups[[income_eligibility]:[income_eligibility]],Income_Groups[[Weight Factor for CPA non-qual]:[Weight Factor for CPA non-qual]])</f>
        <v>289.8953060680081</v>
      </c>
      <c r="V101" s="17" cm="1">
        <f t="array" ref="V101">SUMIFS(Combined_Results[Achievable therm 2044], Combined_Results[[Segment]:[Segment]], IF($B101="Income Qualifying",$C101&amp;" LI",$C101), Combined_Results[[Cost-Effective]:[Cost-Effective]], 1)*_xlfn.XLOOKUP($C101&amp;$B101,Income_Groups[[segment]:[segment]]&amp;Income_Groups[[income_eligibility]:[income_eligibility]],Income_Groups[[Weight Factor for CPA non-qual]:[Weight Factor for CPA non-qual]])</f>
        <v>292.76825592509437</v>
      </c>
      <c r="W101" s="17" cm="1">
        <f t="array" ref="W101">SUMIFS(Combined_Results[Achievable therm 2045], Combined_Results[[Segment]:[Segment]], IF($B101="Income Qualifying",$C101&amp;" LI",$C101), Combined_Results[[Cost-Effective]:[Cost-Effective]], 1)*_xlfn.XLOOKUP($C101&amp;$B101,Income_Groups[[segment]:[segment]]&amp;Income_Groups[[income_eligibility]:[income_eligibility]],Income_Groups[[Weight Factor for CPA non-qual]:[Weight Factor for CPA non-qual]])</f>
        <v>291.28954325495482</v>
      </c>
      <c r="X101" s="17" cm="1">
        <f t="array" ref="X101">SUMIFS(Combined_Results[Achievable therm 2046], Combined_Results[[Segment]:[Segment]], IF($B101="Income Qualifying",$C101&amp;" LI",$C101), Combined_Results[[Cost-Effective]:[Cost-Effective]], 1)*_xlfn.XLOOKUP($C101&amp;$B101,Income_Groups[[segment]:[segment]]&amp;Income_Groups[[income_eligibility]:[income_eligibility]],Income_Groups[[Weight Factor for CPA non-qual]:[Weight Factor for CPA non-qual]])</f>
        <v>284.56680510450184</v>
      </c>
      <c r="Y101" s="17" cm="1">
        <f t="array" ref="Y101">SUMIFS(Combined_Results[Achievable therm 2047], Combined_Results[[Segment]:[Segment]], IF($B101="Income Qualifying",$C101&amp;" LI",$C101), Combined_Results[[Cost-Effective]:[Cost-Effective]], 1)*_xlfn.XLOOKUP($C101&amp;$B101,Income_Groups[[segment]:[segment]]&amp;Income_Groups[[income_eligibility]:[income_eligibility]],Income_Groups[[Weight Factor for CPA non-qual]:[Weight Factor for CPA non-qual]])</f>
        <v>259.57088131534692</v>
      </c>
      <c r="Z101" s="17" cm="1">
        <f t="array" ref="Z101">SUMIFS(Combined_Results[Achievable therm 2048], Combined_Results[[Segment]:[Segment]], IF($B101="Income Qualifying",$C101&amp;" LI",$C101), Combined_Results[[Cost-Effective]:[Cost-Effective]], 1)*_xlfn.XLOOKUP($C101&amp;$B101,Income_Groups[[segment]:[segment]]&amp;Income_Groups[[income_eligibility]:[income_eligibility]],Income_Groups[[Weight Factor for CPA non-qual]:[Weight Factor for CPA non-qual]])</f>
        <v>227.44463717084287</v>
      </c>
      <c r="AA101" s="17" cm="1">
        <f t="array" ref="AA101">SUMIFS(Combined_Results[Achievable therm 2049], Combined_Results[[Segment]:[Segment]], IF($B101="Income Qualifying",$C101&amp;" LI",$C101), Combined_Results[[Cost-Effective]:[Cost-Effective]], 1)*_xlfn.XLOOKUP($C101&amp;$B101,Income_Groups[[segment]:[segment]]&amp;Income_Groups[[income_eligibility]:[income_eligibility]],Income_Groups[[Weight Factor for CPA non-qual]:[Weight Factor for CPA non-qual]])</f>
        <v>217.35922404007798</v>
      </c>
      <c r="AB101" s="17" cm="1">
        <f t="array" ref="AB101">SUMIFS(Combined_Results[Achievable therm 2050], Combined_Results[[Segment]:[Segment]], IF($B101="Income Qualifying",$C101&amp;" LI",$C101), Combined_Results[[Cost-Effective]:[Cost-Effective]], 1)*_xlfn.XLOOKUP($C101&amp;$B101,Income_Groups[[segment]:[segment]]&amp;Income_Groups[[income_eligibility]:[income_eligibility]],Income_Groups[[Weight Factor for CPA non-qual]:[Weight Factor for CPA non-qual]])</f>
        <v>206.87262632145982</v>
      </c>
    </row>
    <row r="102" spans="2:28" x14ac:dyDescent="0.2">
      <c r="B102" s="10" t="s">
        <v>56</v>
      </c>
      <c r="C102" s="10" t="s">
        <v>55</v>
      </c>
      <c r="D102" s="17" cm="1">
        <f t="array" ref="D102">SUMIFS(Combined_Results[Achievable therm 2026], Combined_Results[[Segment]:[Segment]], IF($B102="Income Qualifying",$C102&amp;" LI",$C102), Combined_Results[[Cost-Effective]:[Cost-Effective]], 1)*_xlfn.XLOOKUP($C102&amp;$B102,Income_Groups[[segment]:[segment]]&amp;Income_Groups[[income_eligibility]:[income_eligibility]],Income_Groups[[Weight Factor for CPA non-qual]:[Weight Factor for CPA non-qual]])</f>
        <v>33.550778615608642</v>
      </c>
      <c r="E102" s="17" cm="1">
        <f t="array" ref="E102">SUMIFS(Combined_Results[Achievable therm 2027], Combined_Results[[Segment]:[Segment]], IF($B102="Income Qualifying",$C102&amp;" LI",$C102), Combined_Results[[Cost-Effective]:[Cost-Effective]], 1)*_xlfn.XLOOKUP($C102&amp;$B102,Income_Groups[[segment]:[segment]]&amp;Income_Groups[[income_eligibility]:[income_eligibility]],Income_Groups[[Weight Factor for CPA non-qual]:[Weight Factor for CPA non-qual]])</f>
        <v>47.046532398011728</v>
      </c>
      <c r="F102" s="17" cm="1">
        <f t="array" ref="F102">SUMIFS(Combined_Results[Achievable therm 2028], Combined_Results[[Segment]:[Segment]], IF($B102="Income Qualifying",$C102&amp;" LI",$C102), Combined_Results[[Cost-Effective]:[Cost-Effective]], 1)*_xlfn.XLOOKUP($C102&amp;$B102,Income_Groups[[segment]:[segment]]&amp;Income_Groups[[income_eligibility]:[income_eligibility]],Income_Groups[[Weight Factor for CPA non-qual]:[Weight Factor for CPA non-qual]])</f>
        <v>66.7698726839713</v>
      </c>
      <c r="G102" s="17" cm="1">
        <f t="array" ref="G102">SUMIFS(Combined_Results[Achievable therm 2029], Combined_Results[[Segment]:[Segment]], IF($B102="Income Qualifying",$C102&amp;" LI",$C102), Combined_Results[[Cost-Effective]:[Cost-Effective]], 1)*_xlfn.XLOOKUP($C102&amp;$B102,Income_Groups[[segment]:[segment]]&amp;Income_Groups[[income_eligibility]:[income_eligibility]],Income_Groups[[Weight Factor for CPA non-qual]:[Weight Factor for CPA non-qual]])</f>
        <v>89.94145419729881</v>
      </c>
      <c r="H102" s="17" cm="1">
        <f t="array" ref="H102">SUMIFS(Combined_Results[Achievable therm 2030], Combined_Results[[Segment]:[Segment]], IF($B102="Income Qualifying",$C102&amp;" LI",$C102), Combined_Results[[Cost-Effective]:[Cost-Effective]], 1)*_xlfn.XLOOKUP($C102&amp;$B102,Income_Groups[[segment]:[segment]]&amp;Income_Groups[[income_eligibility]:[income_eligibility]],Income_Groups[[Weight Factor for CPA non-qual]:[Weight Factor for CPA non-qual]])</f>
        <v>117.9484875964684</v>
      </c>
      <c r="I102" s="17" cm="1">
        <f t="array" ref="I102">SUMIFS(Combined_Results[Achievable therm 2031], Combined_Results[[Segment]:[Segment]], IF($B102="Income Qualifying",$C102&amp;" LI",$C102), Combined_Results[[Cost-Effective]:[Cost-Effective]], 1)*_xlfn.XLOOKUP($C102&amp;$B102,Income_Groups[[segment]:[segment]]&amp;Income_Groups[[income_eligibility]:[income_eligibility]],Income_Groups[[Weight Factor for CPA non-qual]:[Weight Factor for CPA non-qual]])</f>
        <v>150.29484113217393</v>
      </c>
      <c r="J102" s="17" cm="1">
        <f t="array" ref="J102">SUMIFS(Combined_Results[Achievable therm 2032], Combined_Results[[Segment]:[Segment]], IF($B102="Income Qualifying",$C102&amp;" LI",$C102), Combined_Results[[Cost-Effective]:[Cost-Effective]], 1)*_xlfn.XLOOKUP($C102&amp;$B102,Income_Groups[[segment]:[segment]]&amp;Income_Groups[[income_eligibility]:[income_eligibility]],Income_Groups[[Weight Factor for CPA non-qual]:[Weight Factor for CPA non-qual]])</f>
        <v>185.71074819184025</v>
      </c>
      <c r="K102" s="17" cm="1">
        <f t="array" ref="K102">SUMIFS(Combined_Results[Achievable therm 2033], Combined_Results[[Segment]:[Segment]], IF($B102="Income Qualifying",$C102&amp;" LI",$C102), Combined_Results[[Cost-Effective]:[Cost-Effective]], 1)*_xlfn.XLOOKUP($C102&amp;$B102,Income_Groups[[segment]:[segment]]&amp;Income_Groups[[income_eligibility]:[income_eligibility]],Income_Groups[[Weight Factor for CPA non-qual]:[Weight Factor for CPA non-qual]])</f>
        <v>222.14114721087509</v>
      </c>
      <c r="L102" s="17" cm="1">
        <f t="array" ref="L102">SUMIFS(Combined_Results[Achievable therm 2034], Combined_Results[[Segment]:[Segment]], IF($B102="Income Qualifying",$C102&amp;" LI",$C102), Combined_Results[[Cost-Effective]:[Cost-Effective]], 1)*_xlfn.XLOOKUP($C102&amp;$B102,Income_Groups[[segment]:[segment]]&amp;Income_Groups[[income_eligibility]:[income_eligibility]],Income_Groups[[Weight Factor for CPA non-qual]:[Weight Factor for CPA non-qual]])</f>
        <v>256.77305390635576</v>
      </c>
      <c r="M102" s="17" cm="1">
        <f t="array" ref="M102">SUMIFS(Combined_Results[Achievable therm 2035], Combined_Results[[Segment]:[Segment]], IF($B102="Income Qualifying",$C102&amp;" LI",$C102), Combined_Results[[Cost-Effective]:[Cost-Effective]], 1)*_xlfn.XLOOKUP($C102&amp;$B102,Income_Groups[[segment]:[segment]]&amp;Income_Groups[[income_eligibility]:[income_eligibility]],Income_Groups[[Weight Factor for CPA non-qual]:[Weight Factor for CPA non-qual]])</f>
        <v>286.30422799828062</v>
      </c>
      <c r="N102" s="17" cm="1">
        <f t="array" ref="N102">SUMIFS(Combined_Results[Achievable therm 2036], Combined_Results[[Segment]:[Segment]], IF($B102="Income Qualifying",$C102&amp;" LI",$C102), Combined_Results[[Cost-Effective]:[Cost-Effective]], 1)*_xlfn.XLOOKUP($C102&amp;$B102,Income_Groups[[segment]:[segment]]&amp;Income_Groups[[income_eligibility]:[income_eligibility]],Income_Groups[[Weight Factor for CPA non-qual]:[Weight Factor for CPA non-qual]])</f>
        <v>307.63529622751133</v>
      </c>
      <c r="O102" s="17" cm="1">
        <f t="array" ref="O102">SUMIFS(Combined_Results[Achievable therm 2037], Combined_Results[[Segment]:[Segment]], IF($B102="Income Qualifying",$C102&amp;" LI",$C102), Combined_Results[[Cost-Effective]:[Cost-Effective]], 1)*_xlfn.XLOOKUP($C102&amp;$B102,Income_Groups[[segment]:[segment]]&amp;Income_Groups[[income_eligibility]:[income_eligibility]],Income_Groups[[Weight Factor for CPA non-qual]:[Weight Factor for CPA non-qual]])</f>
        <v>318.49930450278879</v>
      </c>
      <c r="P102" s="17" cm="1">
        <f t="array" ref="P102">SUMIFS(Combined_Results[Achievable therm 2038], Combined_Results[[Segment]:[Segment]], IF($B102="Income Qualifying",$C102&amp;" LI",$C102), Combined_Results[[Cost-Effective]:[Cost-Effective]], 1)*_xlfn.XLOOKUP($C102&amp;$B102,Income_Groups[[segment]:[segment]]&amp;Income_Groups[[income_eligibility]:[income_eligibility]],Income_Groups[[Weight Factor for CPA non-qual]:[Weight Factor for CPA non-qual]])</f>
        <v>318.16190439213619</v>
      </c>
      <c r="Q102" s="17" cm="1">
        <f t="array" ref="Q102">SUMIFS(Combined_Results[Achievable therm 2039], Combined_Results[[Segment]:[Segment]], IF($B102="Income Qualifying",$C102&amp;" LI",$C102), Combined_Results[[Cost-Effective]:[Cost-Effective]], 1)*_xlfn.XLOOKUP($C102&amp;$B102,Income_Groups[[segment]:[segment]]&amp;Income_Groups[[income_eligibility]:[income_eligibility]],Income_Groups[[Weight Factor for CPA non-qual]:[Weight Factor for CPA non-qual]])</f>
        <v>309.16264737047743</v>
      </c>
      <c r="R102" s="17" cm="1">
        <f t="array" ref="R102">SUMIFS(Combined_Results[Achievable therm 2040], Combined_Results[[Segment]:[Segment]], IF($B102="Income Qualifying",$C102&amp;" LI",$C102), Combined_Results[[Cost-Effective]:[Cost-Effective]], 1)*_xlfn.XLOOKUP($C102&amp;$B102,Income_Groups[[segment]:[segment]]&amp;Income_Groups[[income_eligibility]:[income_eligibility]],Income_Groups[[Weight Factor for CPA non-qual]:[Weight Factor for CPA non-qual]])</f>
        <v>292.0995815384365</v>
      </c>
      <c r="S102" s="17" cm="1">
        <f t="array" ref="S102">SUMIFS(Combined_Results[Achievable therm 2041], Combined_Results[[Segment]:[Segment]], IF($B102="Income Qualifying",$C102&amp;" LI",$C102), Combined_Results[[Cost-Effective]:[Cost-Effective]], 1)*_xlfn.XLOOKUP($C102&amp;$B102,Income_Groups[[segment]:[segment]]&amp;Income_Groups[[income_eligibility]:[income_eligibility]],Income_Groups[[Weight Factor for CPA non-qual]:[Weight Factor for CPA non-qual]])</f>
        <v>272.39320751018482</v>
      </c>
      <c r="T102" s="17" cm="1">
        <f t="array" ref="T102">SUMIFS(Combined_Results[Achievable therm 2042], Combined_Results[[Segment]:[Segment]], IF($B102="Income Qualifying",$C102&amp;" LI",$C102), Combined_Results[[Cost-Effective]:[Cost-Effective]], 1)*_xlfn.XLOOKUP($C102&amp;$B102,Income_Groups[[segment]:[segment]]&amp;Income_Groups[[income_eligibility]:[income_eligibility]],Income_Groups[[Weight Factor for CPA non-qual]:[Weight Factor for CPA non-qual]])</f>
        <v>247.04069532938126</v>
      </c>
      <c r="U102" s="17" cm="1">
        <f t="array" ref="U102">SUMIFS(Combined_Results[Achievable therm 2043], Combined_Results[[Segment]:[Segment]], IF($B102="Income Qualifying",$C102&amp;" LI",$C102), Combined_Results[[Cost-Effective]:[Cost-Effective]], 1)*_xlfn.XLOOKUP($C102&amp;$B102,Income_Groups[[segment]:[segment]]&amp;Income_Groups[[income_eligibility]:[income_eligibility]],Income_Groups[[Weight Factor for CPA non-qual]:[Weight Factor for CPA non-qual]])</f>
        <v>230.29541616430149</v>
      </c>
      <c r="V102" s="17" cm="1">
        <f t="array" ref="V102">SUMIFS(Combined_Results[Achievable therm 2044], Combined_Results[[Segment]:[Segment]], IF($B102="Income Qualifying",$C102&amp;" LI",$C102), Combined_Results[[Cost-Effective]:[Cost-Effective]], 1)*_xlfn.XLOOKUP($C102&amp;$B102,Income_Groups[[segment]:[segment]]&amp;Income_Groups[[income_eligibility]:[income_eligibility]],Income_Groups[[Weight Factor for CPA non-qual]:[Weight Factor for CPA non-qual]])</f>
        <v>217.54210260053543</v>
      </c>
      <c r="W102" s="17" cm="1">
        <f t="array" ref="W102">SUMIFS(Combined_Results[Achievable therm 2045], Combined_Results[[Segment]:[Segment]], IF($B102="Income Qualifying",$C102&amp;" LI",$C102), Combined_Results[[Cost-Effective]:[Cost-Effective]], 1)*_xlfn.XLOOKUP($C102&amp;$B102,Income_Groups[[segment]:[segment]]&amp;Income_Groups[[income_eligibility]:[income_eligibility]],Income_Groups[[Weight Factor for CPA non-qual]:[Weight Factor for CPA non-qual]])</f>
        <v>212.8471299601415</v>
      </c>
      <c r="X102" s="17" cm="1">
        <f t="array" ref="X102">SUMIFS(Combined_Results[Achievable therm 2046], Combined_Results[[Segment]:[Segment]], IF($B102="Income Qualifying",$C102&amp;" LI",$C102), Combined_Results[[Cost-Effective]:[Cost-Effective]], 1)*_xlfn.XLOOKUP($C102&amp;$B102,Income_Groups[[segment]:[segment]]&amp;Income_Groups[[income_eligibility]:[income_eligibility]],Income_Groups[[Weight Factor for CPA non-qual]:[Weight Factor for CPA non-qual]])</f>
        <v>206.23996815586838</v>
      </c>
      <c r="Y102" s="17" cm="1">
        <f t="array" ref="Y102">SUMIFS(Combined_Results[Achievable therm 2047], Combined_Results[[Segment]:[Segment]], IF($B102="Income Qualifying",$C102&amp;" LI",$C102), Combined_Results[[Cost-Effective]:[Cost-Effective]], 1)*_xlfn.XLOOKUP($C102&amp;$B102,Income_Groups[[segment]:[segment]]&amp;Income_Groups[[income_eligibility]:[income_eligibility]],Income_Groups[[Weight Factor for CPA non-qual]:[Weight Factor for CPA non-qual]])</f>
        <v>204.09439151882887</v>
      </c>
      <c r="Z102" s="17" cm="1">
        <f t="array" ref="Z102">SUMIFS(Combined_Results[Achievable therm 2048], Combined_Results[[Segment]:[Segment]], IF($B102="Income Qualifying",$C102&amp;" LI",$C102), Combined_Results[[Cost-Effective]:[Cost-Effective]], 1)*_xlfn.XLOOKUP($C102&amp;$B102,Income_Groups[[segment]:[segment]]&amp;Income_Groups[[income_eligibility]:[income_eligibility]],Income_Groups[[Weight Factor for CPA non-qual]:[Weight Factor for CPA non-qual]])</f>
        <v>201.67154832192688</v>
      </c>
      <c r="AA102" s="17" cm="1">
        <f t="array" ref="AA102">SUMIFS(Combined_Results[Achievable therm 2049], Combined_Results[[Segment]:[Segment]], IF($B102="Income Qualifying",$C102&amp;" LI",$C102), Combined_Results[[Cost-Effective]:[Cost-Effective]], 1)*_xlfn.XLOOKUP($C102&amp;$B102,Income_Groups[[segment]:[segment]]&amp;Income_Groups[[income_eligibility]:[income_eligibility]],Income_Groups[[Weight Factor for CPA non-qual]:[Weight Factor for CPA non-qual]])</f>
        <v>197.1445714166239</v>
      </c>
      <c r="AB102" s="17" cm="1">
        <f t="array" ref="AB102">SUMIFS(Combined_Results[Achievable therm 2050], Combined_Results[[Segment]:[Segment]], IF($B102="Income Qualifying",$C102&amp;" LI",$C102), Combined_Results[[Cost-Effective]:[Cost-Effective]], 1)*_xlfn.XLOOKUP($C102&amp;$B102,Income_Groups[[segment]:[segment]]&amp;Income_Groups[[income_eligibility]:[income_eligibility]],Income_Groups[[Weight Factor for CPA non-qual]:[Weight Factor for CPA non-qual]])</f>
        <v>172.83316809663361</v>
      </c>
    </row>
    <row r="103" spans="2:28" x14ac:dyDescent="0.2">
      <c r="B103" s="10" t="s">
        <v>57</v>
      </c>
      <c r="C103" s="10" t="s">
        <v>52</v>
      </c>
      <c r="D103" s="17" cm="1">
        <f t="array" ref="D103">SUMIFS(Combined_Results[Achievable therm 2026], Combined_Results[[Segment]:[Segment]], IF($B103="Income Qualifying",$C103&amp;" LI",$C103), Combined_Results[[Cost-Effective]:[Cost-Effective]], 1)*_xlfn.XLOOKUP($C103&amp;$B103,Income_Groups[[segment]:[segment]]&amp;Income_Groups[[income_eligibility]:[income_eligibility]],Income_Groups[[Weight Factor for CPA non-qual]:[Weight Factor for CPA non-qual]])</f>
        <v>52331.787878594172</v>
      </c>
      <c r="E103" s="17" cm="1">
        <f t="array" ref="E103">SUMIFS(Combined_Results[Achievable therm 2027], Combined_Results[[Segment]:[Segment]], IF($B103="Income Qualifying",$C103&amp;" LI",$C103), Combined_Results[[Cost-Effective]:[Cost-Effective]], 1)*_xlfn.XLOOKUP($C103&amp;$B103,Income_Groups[[segment]:[segment]]&amp;Income_Groups[[income_eligibility]:[income_eligibility]],Income_Groups[[Weight Factor for CPA non-qual]:[Weight Factor for CPA non-qual]])</f>
        <v>74153.577268542285</v>
      </c>
      <c r="F103" s="17" cm="1">
        <f t="array" ref="F103">SUMIFS(Combined_Results[Achievable therm 2028], Combined_Results[[Segment]:[Segment]], IF($B103="Income Qualifying",$C103&amp;" LI",$C103), Combined_Results[[Cost-Effective]:[Cost-Effective]], 1)*_xlfn.XLOOKUP($C103&amp;$B103,Income_Groups[[segment]:[segment]]&amp;Income_Groups[[income_eligibility]:[income_eligibility]],Income_Groups[[Weight Factor for CPA non-qual]:[Weight Factor for CPA non-qual]])</f>
        <v>106234.65783823987</v>
      </c>
      <c r="G103" s="17" cm="1">
        <f t="array" ref="G103">SUMIFS(Combined_Results[Achievable therm 2029], Combined_Results[[Segment]:[Segment]], IF($B103="Income Qualifying",$C103&amp;" LI",$C103), Combined_Results[[Cost-Effective]:[Cost-Effective]], 1)*_xlfn.XLOOKUP($C103&amp;$B103,Income_Groups[[segment]:[segment]]&amp;Income_Groups[[income_eligibility]:[income_eligibility]],Income_Groups[[Weight Factor for CPA non-qual]:[Weight Factor for CPA non-qual]])</f>
        <v>144627.04218134884</v>
      </c>
      <c r="H103" s="17" cm="1">
        <f t="array" ref="H103">SUMIFS(Combined_Results[Achievable therm 2030], Combined_Results[[Segment]:[Segment]], IF($B103="Income Qualifying",$C103&amp;" LI",$C103), Combined_Results[[Cost-Effective]:[Cost-Effective]], 1)*_xlfn.XLOOKUP($C103&amp;$B103,Income_Groups[[segment]:[segment]]&amp;Income_Groups[[income_eligibility]:[income_eligibility]],Income_Groups[[Weight Factor for CPA non-qual]:[Weight Factor for CPA non-qual]])</f>
        <v>191730.14770528954</v>
      </c>
      <c r="I103" s="17" cm="1">
        <f t="array" ref="I103">SUMIFS(Combined_Results[Achievable therm 2031], Combined_Results[[Segment]:[Segment]], IF($B103="Income Qualifying",$C103&amp;" LI",$C103), Combined_Results[[Cost-Effective]:[Cost-Effective]], 1)*_xlfn.XLOOKUP($C103&amp;$B103,Income_Groups[[segment]:[segment]]&amp;Income_Groups[[income_eligibility]:[income_eligibility]],Income_Groups[[Weight Factor for CPA non-qual]:[Weight Factor for CPA non-qual]])</f>
        <v>246974.98285496532</v>
      </c>
      <c r="J103" s="17" cm="1">
        <f t="array" ref="J103">SUMIFS(Combined_Results[Achievable therm 2032], Combined_Results[[Segment]:[Segment]], IF($B103="Income Qualifying",$C103&amp;" LI",$C103), Combined_Results[[Cost-Effective]:[Cost-Effective]], 1)*_xlfn.XLOOKUP($C103&amp;$B103,Income_Groups[[segment]:[segment]]&amp;Income_Groups[[income_eligibility]:[income_eligibility]],Income_Groups[[Weight Factor for CPA non-qual]:[Weight Factor for CPA non-qual]])</f>
        <v>308437.69486741035</v>
      </c>
      <c r="K103" s="17" cm="1">
        <f t="array" ref="K103">SUMIFS(Combined_Results[Achievable therm 2033], Combined_Results[[Segment]:[Segment]], IF($B103="Income Qualifying",$C103&amp;" LI",$C103), Combined_Results[[Cost-Effective]:[Cost-Effective]], 1)*_xlfn.XLOOKUP($C103&amp;$B103,Income_Groups[[segment]:[segment]]&amp;Income_Groups[[income_eligibility]:[income_eligibility]],Income_Groups[[Weight Factor for CPA non-qual]:[Weight Factor for CPA non-qual]])</f>
        <v>372685.55389705399</v>
      </c>
      <c r="L103" s="17" cm="1">
        <f t="array" ref="L103">SUMIFS(Combined_Results[Achievable therm 2034], Combined_Results[[Segment]:[Segment]], IF($B103="Income Qualifying",$C103&amp;" LI",$C103), Combined_Results[[Cost-Effective]:[Cost-Effective]], 1)*_xlfn.XLOOKUP($C103&amp;$B103,Income_Groups[[segment]:[segment]]&amp;Income_Groups[[income_eligibility]:[income_eligibility]],Income_Groups[[Weight Factor for CPA non-qual]:[Weight Factor for CPA non-qual]])</f>
        <v>434737.97986776714</v>
      </c>
      <c r="M103" s="17" cm="1">
        <f t="array" ref="M103">SUMIFS(Combined_Results[Achievable therm 2035], Combined_Results[[Segment]:[Segment]], IF($B103="Income Qualifying",$C103&amp;" LI",$C103), Combined_Results[[Cost-Effective]:[Cost-Effective]], 1)*_xlfn.XLOOKUP($C103&amp;$B103,Income_Groups[[segment]:[segment]]&amp;Income_Groups[[income_eligibility]:[income_eligibility]],Income_Groups[[Weight Factor for CPA non-qual]:[Weight Factor for CPA non-qual]])</f>
        <v>488422.62252649752</v>
      </c>
      <c r="N103" s="17" cm="1">
        <f t="array" ref="N103">SUMIFS(Combined_Results[Achievable therm 2036], Combined_Results[[Segment]:[Segment]], IF($B103="Income Qualifying",$C103&amp;" LI",$C103), Combined_Results[[Cost-Effective]:[Cost-Effective]], 1)*_xlfn.XLOOKUP($C103&amp;$B103,Income_Groups[[segment]:[segment]]&amp;Income_Groups[[income_eligibility]:[income_eligibility]],Income_Groups[[Weight Factor for CPA non-qual]:[Weight Factor for CPA non-qual]])</f>
        <v>527496.15123334283</v>
      </c>
      <c r="O103" s="17" cm="1">
        <f t="array" ref="O103">SUMIFS(Combined_Results[Achievable therm 2037], Combined_Results[[Segment]:[Segment]], IF($B103="Income Qualifying",$C103&amp;" LI",$C103), Combined_Results[[Cost-Effective]:[Cost-Effective]], 1)*_xlfn.XLOOKUP($C103&amp;$B103,Income_Groups[[segment]:[segment]]&amp;Income_Groups[[income_eligibility]:[income_eligibility]],Income_Groups[[Weight Factor for CPA non-qual]:[Weight Factor for CPA non-qual]])</f>
        <v>546818.10077635618</v>
      </c>
      <c r="P103" s="17" cm="1">
        <f t="array" ref="P103">SUMIFS(Combined_Results[Achievable therm 2038], Combined_Results[[Segment]:[Segment]], IF($B103="Income Qualifying",$C103&amp;" LI",$C103), Combined_Results[[Cost-Effective]:[Cost-Effective]], 1)*_xlfn.XLOOKUP($C103&amp;$B103,Income_Groups[[segment]:[segment]]&amp;Income_Groups[[income_eligibility]:[income_eligibility]],Income_Groups[[Weight Factor for CPA non-qual]:[Weight Factor for CPA non-qual]])</f>
        <v>543844.99174489407</v>
      </c>
      <c r="Q103" s="17" cm="1">
        <f t="array" ref="Q103">SUMIFS(Combined_Results[Achievable therm 2039], Combined_Results[[Segment]:[Segment]], IF($B103="Income Qualifying",$C103&amp;" LI",$C103), Combined_Results[[Cost-Effective]:[Cost-Effective]], 1)*_xlfn.XLOOKUP($C103&amp;$B103,Income_Groups[[segment]:[segment]]&amp;Income_Groups[[income_eligibility]:[income_eligibility]],Income_Groups[[Weight Factor for CPA non-qual]:[Weight Factor for CPA non-qual]])</f>
        <v>521306.39481766149</v>
      </c>
      <c r="R103" s="17" cm="1">
        <f t="array" ref="R103">SUMIFS(Combined_Results[Achievable therm 2040], Combined_Results[[Segment]:[Segment]], IF($B103="Income Qualifying",$C103&amp;" LI",$C103), Combined_Results[[Cost-Effective]:[Cost-Effective]], 1)*_xlfn.XLOOKUP($C103&amp;$B103,Income_Groups[[segment]:[segment]]&amp;Income_Groups[[income_eligibility]:[income_eligibility]],Income_Groups[[Weight Factor for CPA non-qual]:[Weight Factor for CPA non-qual]])</f>
        <v>481146.7784829571</v>
      </c>
      <c r="S103" s="17" cm="1">
        <f t="array" ref="S103">SUMIFS(Combined_Results[Achievable therm 2041], Combined_Results[[Segment]:[Segment]], IF($B103="Income Qualifying",$C103&amp;" LI",$C103), Combined_Results[[Cost-Effective]:[Cost-Effective]], 1)*_xlfn.XLOOKUP($C103&amp;$B103,Income_Groups[[segment]:[segment]]&amp;Income_Groups[[income_eligibility]:[income_eligibility]],Income_Groups[[Weight Factor for CPA non-qual]:[Weight Factor for CPA non-qual]])</f>
        <v>433626.16133657616</v>
      </c>
      <c r="T103" s="17" cm="1">
        <f t="array" ref="T103">SUMIFS(Combined_Results[Achievable therm 2042], Combined_Results[[Segment]:[Segment]], IF($B103="Income Qualifying",$C103&amp;" LI",$C103), Combined_Results[[Cost-Effective]:[Cost-Effective]], 1)*_xlfn.XLOOKUP($C103&amp;$B103,Income_Groups[[segment]:[segment]]&amp;Income_Groups[[income_eligibility]:[income_eligibility]],Income_Groups[[Weight Factor for CPA non-qual]:[Weight Factor for CPA non-qual]])</f>
        <v>372784.08698879939</v>
      </c>
      <c r="U103" s="17" cm="1">
        <f t="array" ref="U103">SUMIFS(Combined_Results[Achievable therm 2043], Combined_Results[[Segment]:[Segment]], IF($B103="Income Qualifying",$C103&amp;" LI",$C103), Combined_Results[[Cost-Effective]:[Cost-Effective]], 1)*_xlfn.XLOOKUP($C103&amp;$B103,Income_Groups[[segment]:[segment]]&amp;Income_Groups[[income_eligibility]:[income_eligibility]],Income_Groups[[Weight Factor for CPA non-qual]:[Weight Factor for CPA non-qual]])</f>
        <v>330360.43151546508</v>
      </c>
      <c r="V103" s="17" cm="1">
        <f t="array" ref="V103">SUMIFS(Combined_Results[Achievable therm 2044], Combined_Results[[Segment]:[Segment]], IF($B103="Income Qualifying",$C103&amp;" LI",$C103), Combined_Results[[Cost-Effective]:[Cost-Effective]], 1)*_xlfn.XLOOKUP($C103&amp;$B103,Income_Groups[[segment]:[segment]]&amp;Income_Groups[[income_eligibility]:[income_eligibility]],Income_Groups[[Weight Factor for CPA non-qual]:[Weight Factor for CPA non-qual]])</f>
        <v>268687.62679392734</v>
      </c>
      <c r="W103" s="17" cm="1">
        <f t="array" ref="W103">SUMIFS(Combined_Results[Achievable therm 2045], Combined_Results[[Segment]:[Segment]], IF($B103="Income Qualifying",$C103&amp;" LI",$C103), Combined_Results[[Cost-Effective]:[Cost-Effective]], 1)*_xlfn.XLOOKUP($C103&amp;$B103,Income_Groups[[segment]:[segment]]&amp;Income_Groups[[income_eligibility]:[income_eligibility]],Income_Groups[[Weight Factor for CPA non-qual]:[Weight Factor for CPA non-qual]])</f>
        <v>260272.80923023689</v>
      </c>
      <c r="X103" s="17" cm="1">
        <f t="array" ref="X103">SUMIFS(Combined_Results[Achievable therm 2046], Combined_Results[[Segment]:[Segment]], IF($B103="Income Qualifying",$C103&amp;" LI",$C103), Combined_Results[[Cost-Effective]:[Cost-Effective]], 1)*_xlfn.XLOOKUP($C103&amp;$B103,Income_Groups[[segment]:[segment]]&amp;Income_Groups[[income_eligibility]:[income_eligibility]],Income_Groups[[Weight Factor for CPA non-qual]:[Weight Factor for CPA non-qual]])</f>
        <v>253642.36434048478</v>
      </c>
      <c r="Y103" s="17" cm="1">
        <f t="array" ref="Y103">SUMIFS(Combined_Results[Achievable therm 2047], Combined_Results[[Segment]:[Segment]], IF($B103="Income Qualifying",$C103&amp;" LI",$C103), Combined_Results[[Cost-Effective]:[Cost-Effective]], 1)*_xlfn.XLOOKUP($C103&amp;$B103,Income_Groups[[segment]:[segment]]&amp;Income_Groups[[income_eligibility]:[income_eligibility]],Income_Groups[[Weight Factor for CPA non-qual]:[Weight Factor for CPA non-qual]])</f>
        <v>251106.43557667002</v>
      </c>
      <c r="Z103" s="17" cm="1">
        <f t="array" ref="Z103">SUMIFS(Combined_Results[Achievable therm 2048], Combined_Results[[Segment]:[Segment]], IF($B103="Income Qualifying",$C103&amp;" LI",$C103), Combined_Results[[Cost-Effective]:[Cost-Effective]], 1)*_xlfn.XLOOKUP($C103&amp;$B103,Income_Groups[[segment]:[segment]]&amp;Income_Groups[[income_eligibility]:[income_eligibility]],Income_Groups[[Weight Factor for CPA non-qual]:[Weight Factor for CPA non-qual]])</f>
        <v>248245.82768728805</v>
      </c>
      <c r="AA103" s="17" cm="1">
        <f t="array" ref="AA103">SUMIFS(Combined_Results[Achievable therm 2049], Combined_Results[[Segment]:[Segment]], IF($B103="Income Qualifying",$C103&amp;" LI",$C103), Combined_Results[[Cost-Effective]:[Cost-Effective]], 1)*_xlfn.XLOOKUP($C103&amp;$B103,Income_Groups[[segment]:[segment]]&amp;Income_Groups[[income_eligibility]:[income_eligibility]],Income_Groups[[Weight Factor for CPA non-qual]:[Weight Factor for CPA non-qual]])</f>
        <v>243385.51633580014</v>
      </c>
      <c r="AB103" s="17" cm="1">
        <f t="array" ref="AB103">SUMIFS(Combined_Results[Achievable therm 2050], Combined_Results[[Segment]:[Segment]], IF($B103="Income Qualifying",$C103&amp;" LI",$C103), Combined_Results[[Cost-Effective]:[Cost-Effective]], 1)*_xlfn.XLOOKUP($C103&amp;$B103,Income_Groups[[segment]:[segment]]&amp;Income_Groups[[income_eligibility]:[income_eligibility]],Income_Groups[[Weight Factor for CPA non-qual]:[Weight Factor for CPA non-qual]])</f>
        <v>209906.56687881419</v>
      </c>
    </row>
    <row r="104" spans="2:28" x14ac:dyDescent="0.2">
      <c r="B104" s="10" t="s">
        <v>57</v>
      </c>
      <c r="C104" s="10" t="s">
        <v>53</v>
      </c>
      <c r="D104" s="17" cm="1">
        <f t="array" ref="D104">SUMIFS(Combined_Results[Achievable therm 2026], Combined_Results[[Segment]:[Segment]], IF($B104="Income Qualifying",$C104&amp;" LI",$C104), Combined_Results[[Cost-Effective]:[Cost-Effective]], 1)*_xlfn.XLOOKUP($C104&amp;$B104,Income_Groups[[segment]:[segment]]&amp;Income_Groups[[income_eligibility]:[income_eligibility]],Income_Groups[[Weight Factor for CPA non-qual]:[Weight Factor for CPA non-qual]])</f>
        <v>1098.6329003165579</v>
      </c>
      <c r="E104" s="17" cm="1">
        <f t="array" ref="E104">SUMIFS(Combined_Results[Achievable therm 2027], Combined_Results[[Segment]:[Segment]], IF($B104="Income Qualifying",$C104&amp;" LI",$C104), Combined_Results[[Cost-Effective]:[Cost-Effective]], 1)*_xlfn.XLOOKUP($C104&amp;$B104,Income_Groups[[segment]:[segment]]&amp;Income_Groups[[income_eligibility]:[income_eligibility]],Income_Groups[[Weight Factor for CPA non-qual]:[Weight Factor for CPA non-qual]])</f>
        <v>1685.8132237931723</v>
      </c>
      <c r="F104" s="17" cm="1">
        <f t="array" ref="F104">SUMIFS(Combined_Results[Achievable therm 2028], Combined_Results[[Segment]:[Segment]], IF($B104="Income Qualifying",$C104&amp;" LI",$C104), Combined_Results[[Cost-Effective]:[Cost-Effective]], 1)*_xlfn.XLOOKUP($C104&amp;$B104,Income_Groups[[segment]:[segment]]&amp;Income_Groups[[income_eligibility]:[income_eligibility]],Income_Groups[[Weight Factor for CPA non-qual]:[Weight Factor for CPA non-qual]])</f>
        <v>2562.8010489861335</v>
      </c>
      <c r="G104" s="17" cm="1">
        <f t="array" ref="G104">SUMIFS(Combined_Results[Achievable therm 2029], Combined_Results[[Segment]:[Segment]], IF($B104="Income Qualifying",$C104&amp;" LI",$C104), Combined_Results[[Cost-Effective]:[Cost-Effective]], 1)*_xlfn.XLOOKUP($C104&amp;$B104,Income_Groups[[segment]:[segment]]&amp;Income_Groups[[income_eligibility]:[income_eligibility]],Income_Groups[[Weight Factor for CPA non-qual]:[Weight Factor for CPA non-qual]])</f>
        <v>3680.9399727609216</v>
      </c>
      <c r="H104" s="17" cm="1">
        <f t="array" ref="H104">SUMIFS(Combined_Results[Achievable therm 2030], Combined_Results[[Segment]:[Segment]], IF($B104="Income Qualifying",$C104&amp;" LI",$C104), Combined_Results[[Cost-Effective]:[Cost-Effective]], 1)*_xlfn.XLOOKUP($C104&amp;$B104,Income_Groups[[segment]:[segment]]&amp;Income_Groups[[income_eligibility]:[income_eligibility]],Income_Groups[[Weight Factor for CPA non-qual]:[Weight Factor for CPA non-qual]])</f>
        <v>5089.9133549750013</v>
      </c>
      <c r="I104" s="17" cm="1">
        <f t="array" ref="I104">SUMIFS(Combined_Results[Achievable therm 2031], Combined_Results[[Segment]:[Segment]], IF($B104="Income Qualifying",$C104&amp;" LI",$C104), Combined_Results[[Cost-Effective]:[Cost-Effective]], 1)*_xlfn.XLOOKUP($C104&amp;$B104,Income_Groups[[segment]:[segment]]&amp;Income_Groups[[income_eligibility]:[income_eligibility]],Income_Groups[[Weight Factor for CPA non-qual]:[Weight Factor for CPA non-qual]])</f>
        <v>6774.1709208511384</v>
      </c>
      <c r="J104" s="17" cm="1">
        <f t="array" ref="J104">SUMIFS(Combined_Results[Achievable therm 2032], Combined_Results[[Segment]:[Segment]], IF($B104="Income Qualifying",$C104&amp;" LI",$C104), Combined_Results[[Cost-Effective]:[Cost-Effective]], 1)*_xlfn.XLOOKUP($C104&amp;$B104,Income_Groups[[segment]:[segment]]&amp;Income_Groups[[income_eligibility]:[income_eligibility]],Income_Groups[[Weight Factor for CPA non-qual]:[Weight Factor for CPA non-qual]])</f>
        <v>8679.6089880084419</v>
      </c>
      <c r="K104" s="17" cm="1">
        <f t="array" ref="K104">SUMIFS(Combined_Results[Achievable therm 2033], Combined_Results[[Segment]:[Segment]], IF($B104="Income Qualifying",$C104&amp;" LI",$C104), Combined_Results[[Cost-Effective]:[Cost-Effective]], 1)*_xlfn.XLOOKUP($C104&amp;$B104,Income_Groups[[segment]:[segment]]&amp;Income_Groups[[income_eligibility]:[income_eligibility]],Income_Groups[[Weight Factor for CPA non-qual]:[Weight Factor for CPA non-qual]])</f>
        <v>10708.259888029268</v>
      </c>
      <c r="L104" s="17" cm="1">
        <f t="array" ref="L104">SUMIFS(Combined_Results[Achievable therm 2034], Combined_Results[[Segment]:[Segment]], IF($B104="Income Qualifying",$C104&amp;" LI",$C104), Combined_Results[[Cost-Effective]:[Cost-Effective]], 1)*_xlfn.XLOOKUP($C104&amp;$B104,Income_Groups[[segment]:[segment]]&amp;Income_Groups[[income_eligibility]:[income_eligibility]],Income_Groups[[Weight Factor for CPA non-qual]:[Weight Factor for CPA non-qual]])</f>
        <v>12714.146362432668</v>
      </c>
      <c r="M104" s="17" cm="1">
        <f t="array" ref="M104">SUMIFS(Combined_Results[Achievable therm 2035], Combined_Results[[Segment]:[Segment]], IF($B104="Income Qualifying",$C104&amp;" LI",$C104), Combined_Results[[Cost-Effective]:[Cost-Effective]], 1)*_xlfn.XLOOKUP($C104&amp;$B104,Income_Groups[[segment]:[segment]]&amp;Income_Groups[[income_eligibility]:[income_eligibility]],Income_Groups[[Weight Factor for CPA non-qual]:[Weight Factor for CPA non-qual]])</f>
        <v>14507.469781633017</v>
      </c>
      <c r="N104" s="17" cm="1">
        <f t="array" ref="N104">SUMIFS(Combined_Results[Achievable therm 2036], Combined_Results[[Segment]:[Segment]], IF($B104="Income Qualifying",$C104&amp;" LI",$C104), Combined_Results[[Cost-Effective]:[Cost-Effective]], 1)*_xlfn.XLOOKUP($C104&amp;$B104,Income_Groups[[segment]:[segment]]&amp;Income_Groups[[income_eligibility]:[income_eligibility]],Income_Groups[[Weight Factor for CPA non-qual]:[Weight Factor for CPA non-qual]])</f>
        <v>15877.818947841526</v>
      </c>
      <c r="O104" s="17" cm="1">
        <f t="array" ref="O104">SUMIFS(Combined_Results[Achievable therm 2037], Combined_Results[[Segment]:[Segment]], IF($B104="Income Qualifying",$C104&amp;" LI",$C104), Combined_Results[[Cost-Effective]:[Cost-Effective]], 1)*_xlfn.XLOOKUP($C104&amp;$B104,Income_Groups[[segment]:[segment]]&amp;Income_Groups[[income_eligibility]:[income_eligibility]],Income_Groups[[Weight Factor for CPA non-qual]:[Weight Factor for CPA non-qual]])</f>
        <v>16627.418771806158</v>
      </c>
      <c r="P104" s="17" cm="1">
        <f t="array" ref="P104">SUMIFS(Combined_Results[Achievable therm 2038], Combined_Results[[Segment]:[Segment]], IF($B104="Income Qualifying",$C104&amp;" LI",$C104), Combined_Results[[Cost-Effective]:[Cost-Effective]], 1)*_xlfn.XLOOKUP($C104&amp;$B104,Income_Groups[[segment]:[segment]]&amp;Income_Groups[[income_eligibility]:[income_eligibility]],Income_Groups[[Weight Factor for CPA non-qual]:[Weight Factor for CPA non-qual]])</f>
        <v>16619.538390526992</v>
      </c>
      <c r="Q104" s="17" cm="1">
        <f t="array" ref="Q104">SUMIFS(Combined_Results[Achievable therm 2039], Combined_Results[[Segment]:[Segment]], IF($B104="Income Qualifying",$C104&amp;" LI",$C104), Combined_Results[[Cost-Effective]:[Cost-Effective]], 1)*_xlfn.XLOOKUP($C104&amp;$B104,Income_Groups[[segment]:[segment]]&amp;Income_Groups[[income_eligibility]:[income_eligibility]],Income_Groups[[Weight Factor for CPA non-qual]:[Weight Factor for CPA non-qual]])</f>
        <v>15849.283701959535</v>
      </c>
      <c r="R104" s="17" cm="1">
        <f t="array" ref="R104">SUMIFS(Combined_Results[Achievable therm 2040], Combined_Results[[Segment]:[Segment]], IF($B104="Income Qualifying",$C104&amp;" LI",$C104), Combined_Results[[Cost-Effective]:[Cost-Effective]], 1)*_xlfn.XLOOKUP($C104&amp;$B104,Income_Groups[[segment]:[segment]]&amp;Income_Groups[[income_eligibility]:[income_eligibility]],Income_Groups[[Weight Factor for CPA non-qual]:[Weight Factor for CPA non-qual]])</f>
        <v>14329.310851440116</v>
      </c>
      <c r="S104" s="17" cm="1">
        <f t="array" ref="S104">SUMIFS(Combined_Results[Achievable therm 2041], Combined_Results[[Segment]:[Segment]], IF($B104="Income Qualifying",$C104&amp;" LI",$C104), Combined_Results[[Cost-Effective]:[Cost-Effective]], 1)*_xlfn.XLOOKUP($C104&amp;$B104,Income_Groups[[segment]:[segment]]&amp;Income_Groups[[income_eligibility]:[income_eligibility]],Income_Groups[[Weight Factor for CPA non-qual]:[Weight Factor for CPA non-qual]])</f>
        <v>12578.725079960721</v>
      </c>
      <c r="T104" s="17" cm="1">
        <f t="array" ref="T104">SUMIFS(Combined_Results[Achievable therm 2042], Combined_Results[[Segment]:[Segment]], IF($B104="Income Qualifying",$C104&amp;" LI",$C104), Combined_Results[[Cost-Effective]:[Cost-Effective]], 1)*_xlfn.XLOOKUP($C104&amp;$B104,Income_Groups[[segment]:[segment]]&amp;Income_Groups[[income_eligibility]:[income_eligibility]],Income_Groups[[Weight Factor for CPA non-qual]:[Weight Factor for CPA non-qual]])</f>
        <v>10377.81892871271</v>
      </c>
      <c r="U104" s="17" cm="1">
        <f t="array" ref="U104">SUMIFS(Combined_Results[Achievable therm 2043], Combined_Results[[Segment]:[Segment]], IF($B104="Income Qualifying",$C104&amp;" LI",$C104), Combined_Results[[Cost-Effective]:[Cost-Effective]], 1)*_xlfn.XLOOKUP($C104&amp;$B104,Income_Groups[[segment]:[segment]]&amp;Income_Groups[[income_eligibility]:[income_eligibility]],Income_Groups[[Weight Factor for CPA non-qual]:[Weight Factor for CPA non-qual]])</f>
        <v>8598.7738734725335</v>
      </c>
      <c r="V104" s="17" cm="1">
        <f t="array" ref="V104">SUMIFS(Combined_Results[Achievable therm 2044], Combined_Results[[Segment]:[Segment]], IF($B104="Income Qualifying",$C104&amp;" LI",$C104), Combined_Results[[Cost-Effective]:[Cost-Effective]], 1)*_xlfn.XLOOKUP($C104&amp;$B104,Income_Groups[[segment]:[segment]]&amp;Income_Groups[[income_eligibility]:[income_eligibility]],Income_Groups[[Weight Factor for CPA non-qual]:[Weight Factor for CPA non-qual]])</f>
        <v>5048.361835513535</v>
      </c>
      <c r="W104" s="17" cm="1">
        <f t="array" ref="W104">SUMIFS(Combined_Results[Achievable therm 2045], Combined_Results[[Segment]:[Segment]], IF($B104="Income Qualifying",$C104&amp;" LI",$C104), Combined_Results[[Cost-Effective]:[Cost-Effective]], 1)*_xlfn.XLOOKUP($C104&amp;$B104,Income_Groups[[segment]:[segment]]&amp;Income_Groups[[income_eligibility]:[income_eligibility]],Income_Groups[[Weight Factor for CPA non-qual]:[Weight Factor for CPA non-qual]])</f>
        <v>4698.925596757922</v>
      </c>
      <c r="X104" s="17" cm="1">
        <f t="array" ref="X104">SUMIFS(Combined_Results[Achievable therm 2046], Combined_Results[[Segment]:[Segment]], IF($B104="Income Qualifying",$C104&amp;" LI",$C104), Combined_Results[[Cost-Effective]:[Cost-Effective]], 1)*_xlfn.XLOOKUP($C104&amp;$B104,Income_Groups[[segment]:[segment]]&amp;Income_Groups[[income_eligibility]:[income_eligibility]],Income_Groups[[Weight Factor for CPA non-qual]:[Weight Factor for CPA non-qual]])</f>
        <v>4579.2077430060081</v>
      </c>
      <c r="Y104" s="17" cm="1">
        <f t="array" ref="Y104">SUMIFS(Combined_Results[Achievable therm 2047], Combined_Results[[Segment]:[Segment]], IF($B104="Income Qualifying",$C104&amp;" LI",$C104), Combined_Results[[Cost-Effective]:[Cost-Effective]], 1)*_xlfn.XLOOKUP($C104&amp;$B104,Income_Groups[[segment]:[segment]]&amp;Income_Groups[[income_eligibility]:[income_eligibility]],Income_Groups[[Weight Factor for CPA non-qual]:[Weight Factor for CPA non-qual]])</f>
        <v>4429.9140567541781</v>
      </c>
      <c r="Z104" s="17" cm="1">
        <f t="array" ref="Z104">SUMIFS(Combined_Results[Achievable therm 2048], Combined_Results[[Segment]:[Segment]], IF($B104="Income Qualifying",$C104&amp;" LI",$C104), Combined_Results[[Cost-Effective]:[Cost-Effective]], 1)*_xlfn.XLOOKUP($C104&amp;$B104,Income_Groups[[segment]:[segment]]&amp;Income_Groups[[income_eligibility]:[income_eligibility]],Income_Groups[[Weight Factor for CPA non-qual]:[Weight Factor for CPA non-qual]])</f>
        <v>4238.5592504416645</v>
      </c>
      <c r="AA104" s="17" cm="1">
        <f t="array" ref="AA104">SUMIFS(Combined_Results[Achievable therm 2049], Combined_Results[[Segment]:[Segment]], IF($B104="Income Qualifying",$C104&amp;" LI",$C104), Combined_Results[[Cost-Effective]:[Cost-Effective]], 1)*_xlfn.XLOOKUP($C104&amp;$B104,Income_Groups[[segment]:[segment]]&amp;Income_Groups[[income_eligibility]:[income_eligibility]],Income_Groups[[Weight Factor for CPA non-qual]:[Weight Factor for CPA non-qual]])</f>
        <v>4162.742352997675</v>
      </c>
      <c r="AB104" s="17" cm="1">
        <f t="array" ref="AB104">SUMIFS(Combined_Results[Achievable therm 2050], Combined_Results[[Segment]:[Segment]], IF($B104="Income Qualifying",$C104&amp;" LI",$C104), Combined_Results[[Cost-Effective]:[Cost-Effective]], 1)*_xlfn.XLOOKUP($C104&amp;$B104,Income_Groups[[segment]:[segment]]&amp;Income_Groups[[income_eligibility]:[income_eligibility]],Income_Groups[[Weight Factor for CPA non-qual]:[Weight Factor for CPA non-qual]])</f>
        <v>3583.2978349913847</v>
      </c>
    </row>
    <row r="105" spans="2:28" x14ac:dyDescent="0.2">
      <c r="B105" s="10" t="s">
        <v>57</v>
      </c>
      <c r="C105" s="10" t="s">
        <v>54</v>
      </c>
      <c r="D105" s="17" cm="1">
        <f t="array" ref="D105">SUMIFS(Combined_Results[Achievable therm 2026], Combined_Results[[Segment]:[Segment]], IF($B105="Income Qualifying",$C105&amp;" LI",$C105), Combined_Results[[Cost-Effective]:[Cost-Effective]], 1)*_xlfn.XLOOKUP($C105&amp;$B105,Income_Groups[[segment]:[segment]]&amp;Income_Groups[[income_eligibility]:[income_eligibility]],Income_Groups[[Weight Factor for CPA non-qual]:[Weight Factor for CPA non-qual]])</f>
        <v>179.99148115993893</v>
      </c>
      <c r="E105" s="17" cm="1">
        <f t="array" ref="E105">SUMIFS(Combined_Results[Achievable therm 2027], Combined_Results[[Segment]:[Segment]], IF($B105="Income Qualifying",$C105&amp;" LI",$C105), Combined_Results[[Cost-Effective]:[Cost-Effective]], 1)*_xlfn.XLOOKUP($C105&amp;$B105,Income_Groups[[segment]:[segment]]&amp;Income_Groups[[income_eligibility]:[income_eligibility]],Income_Groups[[Weight Factor for CPA non-qual]:[Weight Factor for CPA non-qual]])</f>
        <v>323.29338007948763</v>
      </c>
      <c r="F105" s="17" cm="1">
        <f t="array" ref="F105">SUMIFS(Combined_Results[Achievable therm 2028], Combined_Results[[Segment]:[Segment]], IF($B105="Income Qualifying",$C105&amp;" LI",$C105), Combined_Results[[Cost-Effective]:[Cost-Effective]], 1)*_xlfn.XLOOKUP($C105&amp;$B105,Income_Groups[[segment]:[segment]]&amp;Income_Groups[[income_eligibility]:[income_eligibility]],Income_Groups[[Weight Factor for CPA non-qual]:[Weight Factor for CPA non-qual]])</f>
        <v>517.74270934787853</v>
      </c>
      <c r="G105" s="17" cm="1">
        <f t="array" ref="G105">SUMIFS(Combined_Results[Achievable therm 2029], Combined_Results[[Segment]:[Segment]], IF($B105="Income Qualifying",$C105&amp;" LI",$C105), Combined_Results[[Cost-Effective]:[Cost-Effective]], 1)*_xlfn.XLOOKUP($C105&amp;$B105,Income_Groups[[segment]:[segment]]&amp;Income_Groups[[income_eligibility]:[income_eligibility]],Income_Groups[[Weight Factor for CPA non-qual]:[Weight Factor for CPA non-qual]])</f>
        <v>748.66442440807737</v>
      </c>
      <c r="H105" s="17" cm="1">
        <f t="array" ref="H105">SUMIFS(Combined_Results[Achievable therm 2030], Combined_Results[[Segment]:[Segment]], IF($B105="Income Qualifying",$C105&amp;" LI",$C105), Combined_Results[[Cost-Effective]:[Cost-Effective]], 1)*_xlfn.XLOOKUP($C105&amp;$B105,Income_Groups[[segment]:[segment]]&amp;Income_Groups[[income_eligibility]:[income_eligibility]],Income_Groups[[Weight Factor for CPA non-qual]:[Weight Factor for CPA non-qual]])</f>
        <v>987.06951250932775</v>
      </c>
      <c r="I105" s="17" cm="1">
        <f t="array" ref="I105">SUMIFS(Combined_Results[Achievable therm 2031], Combined_Results[[Segment]:[Segment]], IF($B105="Income Qualifying",$C105&amp;" LI",$C105), Combined_Results[[Cost-Effective]:[Cost-Effective]], 1)*_xlfn.XLOOKUP($C105&amp;$B105,Income_Groups[[segment]:[segment]]&amp;Income_Groups[[income_eligibility]:[income_eligibility]],Income_Groups[[Weight Factor for CPA non-qual]:[Weight Factor for CPA non-qual]])</f>
        <v>1198.4545738162522</v>
      </c>
      <c r="J105" s="17" cm="1">
        <f t="array" ref="J105">SUMIFS(Combined_Results[Achievable therm 2032], Combined_Results[[Segment]:[Segment]], IF($B105="Income Qualifying",$C105&amp;" LI",$C105), Combined_Results[[Cost-Effective]:[Cost-Effective]], 1)*_xlfn.XLOOKUP($C105&amp;$B105,Income_Groups[[segment]:[segment]]&amp;Income_Groups[[income_eligibility]:[income_eligibility]],Income_Groups[[Weight Factor for CPA non-qual]:[Weight Factor for CPA non-qual]])</f>
        <v>1352.6760538306319</v>
      </c>
      <c r="K105" s="17" cm="1">
        <f t="array" ref="K105">SUMIFS(Combined_Results[Achievable therm 2033], Combined_Results[[Segment]:[Segment]], IF($B105="Income Qualifying",$C105&amp;" LI",$C105), Combined_Results[[Cost-Effective]:[Cost-Effective]], 1)*_xlfn.XLOOKUP($C105&amp;$B105,Income_Groups[[segment]:[segment]]&amp;Income_Groups[[income_eligibility]:[income_eligibility]],Income_Groups[[Weight Factor for CPA non-qual]:[Weight Factor for CPA non-qual]])</f>
        <v>1433.6978881362693</v>
      </c>
      <c r="L105" s="17" cm="1">
        <f t="array" ref="L105">SUMIFS(Combined_Results[Achievable therm 2034], Combined_Results[[Segment]:[Segment]], IF($B105="Income Qualifying",$C105&amp;" LI",$C105), Combined_Results[[Cost-Effective]:[Cost-Effective]], 1)*_xlfn.XLOOKUP($C105&amp;$B105,Income_Groups[[segment]:[segment]]&amp;Income_Groups[[income_eligibility]:[income_eligibility]],Income_Groups[[Weight Factor for CPA non-qual]:[Weight Factor for CPA non-qual]])</f>
        <v>1442.2004283276326</v>
      </c>
      <c r="M105" s="17" cm="1">
        <f t="array" ref="M105">SUMIFS(Combined_Results[Achievable therm 2035], Combined_Results[[Segment]:[Segment]], IF($B105="Income Qualifying",$C105&amp;" LI",$C105), Combined_Results[[Cost-Effective]:[Cost-Effective]], 1)*_xlfn.XLOOKUP($C105&amp;$B105,Income_Groups[[segment]:[segment]]&amp;Income_Groups[[income_eligibility]:[income_eligibility]],Income_Groups[[Weight Factor for CPA non-qual]:[Weight Factor for CPA non-qual]])</f>
        <v>1393.2057937884194</v>
      </c>
      <c r="N105" s="17" cm="1">
        <f t="array" ref="N105">SUMIFS(Combined_Results[Achievable therm 2036], Combined_Results[[Segment]:[Segment]], IF($B105="Income Qualifying",$C105&amp;" LI",$C105), Combined_Results[[Cost-Effective]:[Cost-Effective]], 1)*_xlfn.XLOOKUP($C105&amp;$B105,Income_Groups[[segment]:[segment]]&amp;Income_Groups[[income_eligibility]:[income_eligibility]],Income_Groups[[Weight Factor for CPA non-qual]:[Weight Factor for CPA non-qual]])</f>
        <v>1309.5198419464484</v>
      </c>
      <c r="O105" s="17" cm="1">
        <f t="array" ref="O105">SUMIFS(Combined_Results[Achievable therm 2037], Combined_Results[[Segment]:[Segment]], IF($B105="Income Qualifying",$C105&amp;" LI",$C105), Combined_Results[[Cost-Effective]:[Cost-Effective]], 1)*_xlfn.XLOOKUP($C105&amp;$B105,Income_Groups[[segment]:[segment]]&amp;Income_Groups[[income_eligibility]:[income_eligibility]],Income_Groups[[Weight Factor for CPA non-qual]:[Weight Factor for CPA non-qual]])</f>
        <v>1213.874849864198</v>
      </c>
      <c r="P105" s="17" cm="1">
        <f t="array" ref="P105">SUMIFS(Combined_Results[Achievable therm 2038], Combined_Results[[Segment]:[Segment]], IF($B105="Income Qualifying",$C105&amp;" LI",$C105), Combined_Results[[Cost-Effective]:[Cost-Effective]], 1)*_xlfn.XLOOKUP($C105&amp;$B105,Income_Groups[[segment]:[segment]]&amp;Income_Groups[[income_eligibility]:[income_eligibility]],Income_Groups[[Weight Factor for CPA non-qual]:[Weight Factor for CPA non-qual]])</f>
        <v>1126.6444585320221</v>
      </c>
      <c r="Q105" s="17" cm="1">
        <f t="array" ref="Q105">SUMIFS(Combined_Results[Achievable therm 2039], Combined_Results[[Segment]:[Segment]], IF($B105="Income Qualifying",$C105&amp;" LI",$C105), Combined_Results[[Cost-Effective]:[Cost-Effective]], 1)*_xlfn.XLOOKUP($C105&amp;$B105,Income_Groups[[segment]:[segment]]&amp;Income_Groups[[income_eligibility]:[income_eligibility]],Income_Groups[[Weight Factor for CPA non-qual]:[Weight Factor for CPA non-qual]])</f>
        <v>1048.4004791691714</v>
      </c>
      <c r="R105" s="17" cm="1">
        <f t="array" ref="R105">SUMIFS(Combined_Results[Achievable therm 2040], Combined_Results[[Segment]:[Segment]], IF($B105="Income Qualifying",$C105&amp;" LI",$C105), Combined_Results[[Cost-Effective]:[Cost-Effective]], 1)*_xlfn.XLOOKUP($C105&amp;$B105,Income_Groups[[segment]:[segment]]&amp;Income_Groups[[income_eligibility]:[income_eligibility]],Income_Groups[[Weight Factor for CPA non-qual]:[Weight Factor for CPA non-qual]])</f>
        <v>830.59281790975137</v>
      </c>
      <c r="S105" s="17" cm="1">
        <f t="array" ref="S105">SUMIFS(Combined_Results[Achievable therm 2041], Combined_Results[[Segment]:[Segment]], IF($B105="Income Qualifying",$C105&amp;" LI",$C105), Combined_Results[[Cost-Effective]:[Cost-Effective]], 1)*_xlfn.XLOOKUP($C105&amp;$B105,Income_Groups[[segment]:[segment]]&amp;Income_Groups[[income_eligibility]:[income_eligibility]],Income_Groups[[Weight Factor for CPA non-qual]:[Weight Factor for CPA non-qual]])</f>
        <v>827.2630912596004</v>
      </c>
      <c r="T105" s="17" cm="1">
        <f t="array" ref="T105">SUMIFS(Combined_Results[Achievable therm 2042], Combined_Results[[Segment]:[Segment]], IF($B105="Income Qualifying",$C105&amp;" LI",$C105), Combined_Results[[Cost-Effective]:[Cost-Effective]], 1)*_xlfn.XLOOKUP($C105&amp;$B105,Income_Groups[[segment]:[segment]]&amp;Income_Groups[[income_eligibility]:[income_eligibility]],Income_Groups[[Weight Factor for CPA non-qual]:[Weight Factor for CPA non-qual]])</f>
        <v>1183.6587648851657</v>
      </c>
      <c r="U105" s="17" cm="1">
        <f t="array" ref="U105">SUMIFS(Combined_Results[Achievable therm 2043], Combined_Results[[Segment]:[Segment]], IF($B105="Income Qualifying",$C105&amp;" LI",$C105), Combined_Results[[Cost-Effective]:[Cost-Effective]], 1)*_xlfn.XLOOKUP($C105&amp;$B105,Income_Groups[[segment]:[segment]]&amp;Income_Groups[[income_eligibility]:[income_eligibility]],Income_Groups[[Weight Factor for CPA non-qual]:[Weight Factor for CPA non-qual]])</f>
        <v>985.00338802113254</v>
      </c>
      <c r="V105" s="17" cm="1">
        <f t="array" ref="V105">SUMIFS(Combined_Results[Achievable therm 2044], Combined_Results[[Segment]:[Segment]], IF($B105="Income Qualifying",$C105&amp;" LI",$C105), Combined_Results[[Cost-Effective]:[Cost-Effective]], 1)*_xlfn.XLOOKUP($C105&amp;$B105,Income_Groups[[segment]:[segment]]&amp;Income_Groups[[income_eligibility]:[income_eligibility]],Income_Groups[[Weight Factor for CPA non-qual]:[Weight Factor for CPA non-qual]])</f>
        <v>994.7650684747681</v>
      </c>
      <c r="W105" s="17" cm="1">
        <f t="array" ref="W105">SUMIFS(Combined_Results[Achievable therm 2045], Combined_Results[[Segment]:[Segment]], IF($B105="Income Qualifying",$C105&amp;" LI",$C105), Combined_Results[[Cost-Effective]:[Cost-Effective]], 1)*_xlfn.XLOOKUP($C105&amp;$B105,Income_Groups[[segment]:[segment]]&amp;Income_Groups[[income_eligibility]:[income_eligibility]],Income_Groups[[Weight Factor for CPA non-qual]:[Weight Factor for CPA non-qual]])</f>
        <v>989.7407132695979</v>
      </c>
      <c r="X105" s="17" cm="1">
        <f t="array" ref="X105">SUMIFS(Combined_Results[Achievable therm 2046], Combined_Results[[Segment]:[Segment]], IF($B105="Income Qualifying",$C105&amp;" LI",$C105), Combined_Results[[Cost-Effective]:[Cost-Effective]], 1)*_xlfn.XLOOKUP($C105&amp;$B105,Income_Groups[[segment]:[segment]]&amp;Income_Groups[[income_eligibility]:[income_eligibility]],Income_Groups[[Weight Factor for CPA non-qual]:[Weight Factor for CPA non-qual]])</f>
        <v>966.89826043794824</v>
      </c>
      <c r="Y105" s="17" cm="1">
        <f t="array" ref="Y105">SUMIFS(Combined_Results[Achievable therm 2047], Combined_Results[[Segment]:[Segment]], IF($B105="Income Qualifying",$C105&amp;" LI",$C105), Combined_Results[[Cost-Effective]:[Cost-Effective]], 1)*_xlfn.XLOOKUP($C105&amp;$B105,Income_Groups[[segment]:[segment]]&amp;Income_Groups[[income_eligibility]:[income_eligibility]],Income_Groups[[Weight Factor for CPA non-qual]:[Weight Factor for CPA non-qual]])</f>
        <v>881.96735916540513</v>
      </c>
      <c r="Z105" s="17" cm="1">
        <f t="array" ref="Z105">SUMIFS(Combined_Results[Achievable therm 2048], Combined_Results[[Segment]:[Segment]], IF($B105="Income Qualifying",$C105&amp;" LI",$C105), Combined_Results[[Cost-Effective]:[Cost-Effective]], 1)*_xlfn.XLOOKUP($C105&amp;$B105,Income_Groups[[segment]:[segment]]&amp;Income_Groups[[income_eligibility]:[income_eligibility]],Income_Groups[[Weight Factor for CPA non-qual]:[Weight Factor for CPA non-qual]])</f>
        <v>772.80912629872023</v>
      </c>
      <c r="AA105" s="17" cm="1">
        <f t="array" ref="AA105">SUMIFS(Combined_Results[Achievable therm 2049], Combined_Results[[Segment]:[Segment]], IF($B105="Income Qualifying",$C105&amp;" LI",$C105), Combined_Results[[Cost-Effective]:[Cost-Effective]], 1)*_xlfn.XLOOKUP($C105&amp;$B105,Income_Groups[[segment]:[segment]]&amp;Income_Groups[[income_eligibility]:[income_eligibility]],Income_Groups[[Weight Factor for CPA non-qual]:[Weight Factor for CPA non-qual]])</f>
        <v>738.54100985993341</v>
      </c>
      <c r="AB105" s="17" cm="1">
        <f t="array" ref="AB105">SUMIFS(Combined_Results[Achievable therm 2050], Combined_Results[[Segment]:[Segment]], IF($B105="Income Qualifying",$C105&amp;" LI",$C105), Combined_Results[[Cost-Effective]:[Cost-Effective]], 1)*_xlfn.XLOOKUP($C105&amp;$B105,Income_Groups[[segment]:[segment]]&amp;Income_Groups[[income_eligibility]:[income_eligibility]],Income_Groups[[Weight Factor for CPA non-qual]:[Weight Factor for CPA non-qual]])</f>
        <v>702.9097524182198</v>
      </c>
    </row>
    <row r="106" spans="2:28" x14ac:dyDescent="0.2">
      <c r="B106" s="10" t="s">
        <v>57</v>
      </c>
      <c r="C106" s="10" t="s">
        <v>55</v>
      </c>
      <c r="D106" s="17" cm="1">
        <f t="array" ref="D106">SUMIFS(Combined_Results[Achievable therm 2026], Combined_Results[[Segment]:[Segment]], IF($B106="Income Qualifying",$C106&amp;" LI",$C106), Combined_Results[[Cost-Effective]:[Cost-Effective]], 1)*_xlfn.XLOOKUP($C106&amp;$B106,Income_Groups[[segment]:[segment]]&amp;Income_Groups[[income_eligibility]:[income_eligibility]],Income_Groups[[Weight Factor for CPA non-qual]:[Weight Factor for CPA non-qual]])</f>
        <v>45.911591789780253</v>
      </c>
      <c r="E106" s="17" cm="1">
        <f t="array" ref="E106">SUMIFS(Combined_Results[Achievable therm 2027], Combined_Results[[Segment]:[Segment]], IF($B106="Income Qualifying",$C106&amp;" LI",$C106), Combined_Results[[Cost-Effective]:[Cost-Effective]], 1)*_xlfn.XLOOKUP($C106&amp;$B106,Income_Groups[[segment]:[segment]]&amp;Income_Groups[[income_eligibility]:[income_eligibility]],Income_Groups[[Weight Factor for CPA non-qual]:[Weight Factor for CPA non-qual]])</f>
        <v>64.379465386752912</v>
      </c>
      <c r="F106" s="17" cm="1">
        <f t="array" ref="F106">SUMIFS(Combined_Results[Achievable therm 2028], Combined_Results[[Segment]:[Segment]], IF($B106="Income Qualifying",$C106&amp;" LI",$C106), Combined_Results[[Cost-Effective]:[Cost-Effective]], 1)*_xlfn.XLOOKUP($C106&amp;$B106,Income_Groups[[segment]:[segment]]&amp;Income_Groups[[income_eligibility]:[income_eligibility]],Income_Groups[[Weight Factor for CPA non-qual]:[Weight Factor for CPA non-qual]])</f>
        <v>91.36929946227653</v>
      </c>
      <c r="G106" s="17" cm="1">
        <f t="array" ref="G106">SUMIFS(Combined_Results[Achievable therm 2029], Combined_Results[[Segment]:[Segment]], IF($B106="Income Qualifying",$C106&amp;" LI",$C106), Combined_Results[[Cost-Effective]:[Cost-Effective]], 1)*_xlfn.XLOOKUP($C106&amp;$B106,Income_Groups[[segment]:[segment]]&amp;Income_Groups[[income_eligibility]:[income_eligibility]],Income_Groups[[Weight Factor for CPA non-qual]:[Weight Factor for CPA non-qual]])</f>
        <v>123.0777794278826</v>
      </c>
      <c r="H106" s="17" cm="1">
        <f t="array" ref="H106">SUMIFS(Combined_Results[Achievable therm 2030], Combined_Results[[Segment]:[Segment]], IF($B106="Income Qualifying",$C106&amp;" LI",$C106), Combined_Results[[Cost-Effective]:[Cost-Effective]], 1)*_xlfn.XLOOKUP($C106&amp;$B106,Income_Groups[[segment]:[segment]]&amp;Income_Groups[[income_eligibility]:[income_eligibility]],Income_Groups[[Weight Factor for CPA non-qual]:[Weight Factor for CPA non-qual]])</f>
        <v>161.40319355306207</v>
      </c>
      <c r="I106" s="17" cm="1">
        <f t="array" ref="I106">SUMIFS(Combined_Results[Achievable therm 2031], Combined_Results[[Segment]:[Segment]], IF($B106="Income Qualifying",$C106&amp;" LI",$C106), Combined_Results[[Cost-Effective]:[Cost-Effective]], 1)*_xlfn.XLOOKUP($C106&amp;$B106,Income_Groups[[segment]:[segment]]&amp;Income_Groups[[income_eligibility]:[income_eligibility]],Income_Groups[[Weight Factor for CPA non-qual]:[Weight Factor for CPA non-qual]])</f>
        <v>205.66662470718541</v>
      </c>
      <c r="J106" s="17" cm="1">
        <f t="array" ref="J106">SUMIFS(Combined_Results[Achievable therm 2032], Combined_Results[[Segment]:[Segment]], IF($B106="Income Qualifying",$C106&amp;" LI",$C106), Combined_Results[[Cost-Effective]:[Cost-Effective]], 1)*_xlfn.XLOOKUP($C106&amp;$B106,Income_Groups[[segment]:[segment]]&amp;Income_Groups[[income_eligibility]:[income_eligibility]],Income_Groups[[Weight Factor for CPA non-qual]:[Weight Factor for CPA non-qual]])</f>
        <v>254.13049752567616</v>
      </c>
      <c r="K106" s="17" cm="1">
        <f t="array" ref="K106">SUMIFS(Combined_Results[Achievable therm 2033], Combined_Results[[Segment]:[Segment]], IF($B106="Income Qualifying",$C106&amp;" LI",$C106), Combined_Results[[Cost-Effective]:[Cost-Effective]], 1)*_xlfn.XLOOKUP($C106&amp;$B106,Income_Groups[[segment]:[segment]]&amp;Income_Groups[[income_eligibility]:[income_eligibility]],Income_Groups[[Weight Factor for CPA non-qual]:[Weight Factor for CPA non-qual]])</f>
        <v>303.98262249909232</v>
      </c>
      <c r="L106" s="17" cm="1">
        <f t="array" ref="L106">SUMIFS(Combined_Results[Achievable therm 2034], Combined_Results[[Segment]:[Segment]], IF($B106="Income Qualifying",$C106&amp;" LI",$C106), Combined_Results[[Cost-Effective]:[Cost-Effective]], 1)*_xlfn.XLOOKUP($C106&amp;$B106,Income_Groups[[segment]:[segment]]&amp;Income_Groups[[income_eligibility]:[income_eligibility]],Income_Groups[[Weight Factor for CPA non-qual]:[Weight Factor for CPA non-qual]])</f>
        <v>351.37365271396055</v>
      </c>
      <c r="M106" s="17" cm="1">
        <f t="array" ref="M106">SUMIFS(Combined_Results[Achievable therm 2035], Combined_Results[[Segment]:[Segment]], IF($B106="Income Qualifying",$C106&amp;" LI",$C106), Combined_Results[[Cost-Effective]:[Cost-Effective]], 1)*_xlfn.XLOOKUP($C106&amp;$B106,Income_Groups[[segment]:[segment]]&amp;Income_Groups[[income_eligibility]:[income_eligibility]],Income_Groups[[Weight Factor for CPA non-qual]:[Weight Factor for CPA non-qual]])</f>
        <v>391.78473305027882</v>
      </c>
      <c r="N106" s="17" cm="1">
        <f t="array" ref="N106">SUMIFS(Combined_Results[Achievable therm 2036], Combined_Results[[Segment]:[Segment]], IF($B106="Income Qualifying",$C106&amp;" LI",$C106), Combined_Results[[Cost-Effective]:[Cost-Effective]], 1)*_xlfn.XLOOKUP($C106&amp;$B106,Income_Groups[[segment]:[segment]]&amp;Income_Groups[[income_eligibility]:[income_eligibility]],Income_Groups[[Weight Factor for CPA non-qual]:[Weight Factor for CPA non-qual]])</f>
        <v>420.97461589027881</v>
      </c>
      <c r="O106" s="17" cm="1">
        <f t="array" ref="O106">SUMIFS(Combined_Results[Achievable therm 2037], Combined_Results[[Segment]:[Segment]], IF($B106="Income Qualifying",$C106&amp;" LI",$C106), Combined_Results[[Cost-Effective]:[Cost-Effective]], 1)*_xlfn.XLOOKUP($C106&amp;$B106,Income_Groups[[segment]:[segment]]&amp;Income_Groups[[income_eligibility]:[income_eligibility]],Income_Groups[[Weight Factor for CPA non-qual]:[Weight Factor for CPA non-qual]])</f>
        <v>435.84115353013209</v>
      </c>
      <c r="P106" s="17" cm="1">
        <f t="array" ref="P106">SUMIFS(Combined_Results[Achievable therm 2038], Combined_Results[[Segment]:[Segment]], IF($B106="Income Qualifying",$C106&amp;" LI",$C106), Combined_Results[[Cost-Effective]:[Cost-Effective]], 1)*_xlfn.XLOOKUP($C106&amp;$B106,Income_Groups[[segment]:[segment]]&amp;Income_Groups[[income_eligibility]:[income_eligibility]],Income_Groups[[Weight Factor for CPA non-qual]:[Weight Factor for CPA non-qual]])</f>
        <v>435.37944811555485</v>
      </c>
      <c r="Q106" s="17" cm="1">
        <f t="array" ref="Q106">SUMIFS(Combined_Results[Achievable therm 2039], Combined_Results[[Segment]:[Segment]], IF($B106="Income Qualifying",$C106&amp;" LI",$C106), Combined_Results[[Cost-Effective]:[Cost-Effective]], 1)*_xlfn.XLOOKUP($C106&amp;$B106,Income_Groups[[segment]:[segment]]&amp;Income_Groups[[income_eligibility]:[income_eligibility]],Income_Groups[[Weight Factor for CPA non-qual]:[Weight Factor for CPA non-qual]])</f>
        <v>423.06467534907449</v>
      </c>
      <c r="R106" s="17" cm="1">
        <f t="array" ref="R106">SUMIFS(Combined_Results[Achievable therm 2040], Combined_Results[[Segment]:[Segment]], IF($B106="Income Qualifying",$C106&amp;" LI",$C106), Combined_Results[[Cost-Effective]:[Cost-Effective]], 1)*_xlfn.XLOOKUP($C106&amp;$B106,Income_Groups[[segment]:[segment]]&amp;Income_Groups[[income_eligibility]:[income_eligibility]],Income_Groups[[Weight Factor for CPA non-qual]:[Weight Factor for CPA non-qual]])</f>
        <v>399.71521684207107</v>
      </c>
      <c r="S106" s="17" cm="1">
        <f t="array" ref="S106">SUMIFS(Combined_Results[Achievable therm 2041], Combined_Results[[Segment]:[Segment]], IF($B106="Income Qualifying",$C106&amp;" LI",$C106), Combined_Results[[Cost-Effective]:[Cost-Effective]], 1)*_xlfn.XLOOKUP($C106&amp;$B106,Income_Groups[[segment]:[segment]]&amp;Income_Groups[[income_eligibility]:[income_eligibility]],Income_Groups[[Weight Factor for CPA non-qual]:[Weight Factor for CPA non-qual]])</f>
        <v>372.74859975077931</v>
      </c>
      <c r="T106" s="17" cm="1">
        <f t="array" ref="T106">SUMIFS(Combined_Results[Achievable therm 2042], Combined_Results[[Segment]:[Segment]], IF($B106="Income Qualifying",$C106&amp;" LI",$C106), Combined_Results[[Cost-Effective]:[Cost-Effective]], 1)*_xlfn.XLOOKUP($C106&amp;$B106,Income_Groups[[segment]:[segment]]&amp;Income_Groups[[income_eligibility]:[income_eligibility]],Income_Groups[[Weight Factor for CPA non-qual]:[Weight Factor for CPA non-qual]])</f>
        <v>338.05568834546921</v>
      </c>
      <c r="U106" s="17" cm="1">
        <f t="array" ref="U106">SUMIFS(Combined_Results[Achievable therm 2043], Combined_Results[[Segment]:[Segment]], IF($B106="Income Qualifying",$C106&amp;" LI",$C106), Combined_Results[[Cost-Effective]:[Cost-Effective]], 1)*_xlfn.XLOOKUP($C106&amp;$B106,Income_Groups[[segment]:[segment]]&amp;Income_Groups[[income_eligibility]:[income_eligibility]],Income_Groups[[Weight Factor for CPA non-qual]:[Weight Factor for CPA non-qual]])</f>
        <v>315.14109580378107</v>
      </c>
      <c r="V106" s="17" cm="1">
        <f t="array" ref="V106">SUMIFS(Combined_Results[Achievable therm 2044], Combined_Results[[Segment]:[Segment]], IF($B106="Income Qualifying",$C106&amp;" LI",$C106), Combined_Results[[Cost-Effective]:[Cost-Effective]], 1)*_xlfn.XLOOKUP($C106&amp;$B106,Income_Groups[[segment]:[segment]]&amp;Income_Groups[[income_eligibility]:[income_eligibility]],Income_Groups[[Weight Factor for CPA non-qual]:[Weight Factor for CPA non-qual]])</f>
        <v>297.68919303231172</v>
      </c>
      <c r="W106" s="17" cm="1">
        <f t="array" ref="W106">SUMIFS(Combined_Results[Achievable therm 2045], Combined_Results[[Segment]:[Segment]], IF($B106="Income Qualifying",$C106&amp;" LI",$C106), Combined_Results[[Cost-Effective]:[Cost-Effective]], 1)*_xlfn.XLOOKUP($C106&amp;$B106,Income_Groups[[segment]:[segment]]&amp;Income_Groups[[income_eligibility]:[income_eligibility]],Income_Groups[[Weight Factor for CPA non-qual]:[Weight Factor for CPA non-qual]])</f>
        <v>291.26449362966736</v>
      </c>
      <c r="X106" s="17" cm="1">
        <f t="array" ref="X106">SUMIFS(Combined_Results[Achievable therm 2046], Combined_Results[[Segment]:[Segment]], IF($B106="Income Qualifying",$C106&amp;" LI",$C106), Combined_Results[[Cost-Effective]:[Cost-Effective]], 1)*_xlfn.XLOOKUP($C106&amp;$B106,Income_Groups[[segment]:[segment]]&amp;Income_Groups[[income_eligibility]:[income_eligibility]],Income_Groups[[Weight Factor for CPA non-qual]:[Weight Factor for CPA non-qual]])</f>
        <v>282.22311431855678</v>
      </c>
      <c r="Y106" s="17" cm="1">
        <f t="array" ref="Y106">SUMIFS(Combined_Results[Achievable therm 2047], Combined_Results[[Segment]:[Segment]], IF($B106="Income Qualifying",$C106&amp;" LI",$C106), Combined_Results[[Cost-Effective]:[Cost-Effective]], 1)*_xlfn.XLOOKUP($C106&amp;$B106,Income_Groups[[segment]:[segment]]&amp;Income_Groups[[income_eligibility]:[income_eligibility]],Income_Groups[[Weight Factor for CPA non-qual]:[Weight Factor for CPA non-qual]])</f>
        <v>279.28706207839747</v>
      </c>
      <c r="Z106" s="17" cm="1">
        <f t="array" ref="Z106">SUMIFS(Combined_Results[Achievable therm 2048], Combined_Results[[Segment]:[Segment]], IF($B106="Income Qualifying",$C106&amp;" LI",$C106), Combined_Results[[Cost-Effective]:[Cost-Effective]], 1)*_xlfn.XLOOKUP($C106&amp;$B106,Income_Groups[[segment]:[segment]]&amp;Income_Groups[[income_eligibility]:[income_eligibility]],Income_Groups[[Weight Factor for CPA non-qual]:[Weight Factor for CPA non-qual]])</f>
        <v>275.97159244053159</v>
      </c>
      <c r="AA106" s="17" cm="1">
        <f t="array" ref="AA106">SUMIFS(Combined_Results[Achievable therm 2049], Combined_Results[[Segment]:[Segment]], IF($B106="Income Qualifying",$C106&amp;" LI",$C106), Combined_Results[[Cost-Effective]:[Cost-Effective]], 1)*_xlfn.XLOOKUP($C106&amp;$B106,Income_Groups[[segment]:[segment]]&amp;Income_Groups[[income_eligibility]:[income_eligibility]],Income_Groups[[Weight Factor for CPA non-qual]:[Weight Factor for CPA non-qual]])</f>
        <v>269.77678193853802</v>
      </c>
      <c r="AB106" s="17" cm="1">
        <f t="array" ref="AB106">SUMIFS(Combined_Results[Achievable therm 2050], Combined_Results[[Segment]:[Segment]], IF($B106="Income Qualifying",$C106&amp;" LI",$C106), Combined_Results[[Cost-Effective]:[Cost-Effective]], 1)*_xlfn.XLOOKUP($C106&amp;$B106,Income_Groups[[segment]:[segment]]&amp;Income_Groups[[income_eligibility]:[income_eligibility]],Income_Groups[[Weight Factor for CPA non-qual]:[Weight Factor for CPA non-qual]])</f>
        <v>236.50854581644606</v>
      </c>
    </row>
    <row r="107" spans="2:28" ht="13.5" thickBot="1" x14ac:dyDescent="0.25">
      <c r="B107" s="14" t="s">
        <v>34</v>
      </c>
      <c r="C107" s="14"/>
      <c r="D107" s="15">
        <f>SUM(D95:D106)</f>
        <v>85478.585831938108</v>
      </c>
      <c r="E107" s="15">
        <f t="shared" ref="E107:AB107" si="41">SUM(E95:E106)</f>
        <v>121593.9564924614</v>
      </c>
      <c r="F107" s="15">
        <f t="shared" si="41"/>
        <v>174683.64110222703</v>
      </c>
      <c r="G107" s="15">
        <f t="shared" si="41"/>
        <v>238378.41389296771</v>
      </c>
      <c r="H107" s="15">
        <f t="shared" si="41"/>
        <v>316507.28550416464</v>
      </c>
      <c r="I107" s="15">
        <f t="shared" si="41"/>
        <v>408054.33089593978</v>
      </c>
      <c r="J107" s="15">
        <f t="shared" si="41"/>
        <v>509787.55626908672</v>
      </c>
      <c r="K107" s="15">
        <f t="shared" si="41"/>
        <v>616027.23278720269</v>
      </c>
      <c r="L107" s="15">
        <f t="shared" si="41"/>
        <v>718581.3593125866</v>
      </c>
      <c r="M107" s="15">
        <f t="shared" si="41"/>
        <v>807311.36632641242</v>
      </c>
      <c r="N107" s="15">
        <f t="shared" si="41"/>
        <v>871937.44360924605</v>
      </c>
      <c r="O107" s="15">
        <f t="shared" si="41"/>
        <v>903947.82805335242</v>
      </c>
      <c r="P107" s="15">
        <f t="shared" si="41"/>
        <v>899061.0712661345</v>
      </c>
      <c r="Q107" s="15">
        <f t="shared" si="41"/>
        <v>861569.48535626603</v>
      </c>
      <c r="R107" s="15">
        <f t="shared" si="41"/>
        <v>794214.36800645571</v>
      </c>
      <c r="S107" s="15">
        <f t="shared" si="41"/>
        <v>715226.15651233145</v>
      </c>
      <c r="T107" s="15">
        <f t="shared" si="41"/>
        <v>615026.97482588887</v>
      </c>
      <c r="U107" s="15">
        <f t="shared" si="41"/>
        <v>543538.26153868367</v>
      </c>
      <c r="V107" s="15">
        <f t="shared" si="41"/>
        <v>438040.0203983573</v>
      </c>
      <c r="W107" s="15">
        <f t="shared" si="41"/>
        <v>423939.88455586386</v>
      </c>
      <c r="X107" s="15">
        <f t="shared" si="41"/>
        <v>413145.84465255949</v>
      </c>
      <c r="Y107" s="15">
        <f t="shared" si="41"/>
        <v>408496.11538071954</v>
      </c>
      <c r="Z107" s="15">
        <f t="shared" si="41"/>
        <v>403141.15385180968</v>
      </c>
      <c r="AA107" s="15">
        <f t="shared" si="41"/>
        <v>395218.30828625849</v>
      </c>
      <c r="AB107" s="15">
        <f t="shared" si="41"/>
        <v>341006.18805717968</v>
      </c>
    </row>
    <row r="109" spans="2:28" x14ac:dyDescent="0.2">
      <c r="B109" s="9" t="s">
        <v>58</v>
      </c>
    </row>
    <row r="110" spans="2:28" x14ac:dyDescent="0.2">
      <c r="B110" s="11"/>
      <c r="C110" s="20" t="s">
        <v>22</v>
      </c>
      <c r="D110" s="20" t="s">
        <v>23</v>
      </c>
      <c r="E110" s="20" t="s">
        <v>24</v>
      </c>
      <c r="F110" s="20" t="s">
        <v>25</v>
      </c>
    </row>
    <row r="111" spans="2:28" x14ac:dyDescent="0.2">
      <c r="B111" s="10" t="s">
        <v>51</v>
      </c>
      <c r="C111" s="21">
        <f>SUM(D95:E98)</f>
        <v>55036.275951029194</v>
      </c>
      <c r="D111" s="21">
        <f>SUM(D95:H98)</f>
        <v>249880.77637867714</v>
      </c>
      <c r="E111" s="21">
        <f>SUM(D95:M98)</f>
        <v>1068580.6615438927</v>
      </c>
      <c r="F111" s="21">
        <f>SUM(D95:AB98)</f>
        <v>3475447.4813496768</v>
      </c>
      <c r="G111" s="59"/>
    </row>
    <row r="112" spans="2:28" x14ac:dyDescent="0.2">
      <c r="B112" s="10" t="s">
        <v>56</v>
      </c>
      <c r="C112" s="21">
        <f>SUM(D99:E102)</f>
        <v>22152.879183708137</v>
      </c>
      <c r="D112" s="21">
        <f>SUM(D99:H102)</f>
        <v>100322.89023511087</v>
      </c>
      <c r="E112" s="21">
        <f>SUM(D99:M102)</f>
        <v>428415.18783807935</v>
      </c>
      <c r="F112" s="21">
        <f>SUM(D99:AB102)</f>
        <v>1395181.3011695493</v>
      </c>
      <c r="G112" s="59"/>
    </row>
    <row r="113" spans="2:11" x14ac:dyDescent="0.2">
      <c r="B113" s="10" t="s">
        <v>57</v>
      </c>
      <c r="C113" s="21">
        <f>SUM(D103:E106)</f>
        <v>129883.38718966216</v>
      </c>
      <c r="D113" s="21">
        <f>SUM(D103:H106)</f>
        <v>586438.216209971</v>
      </c>
      <c r="E113" s="21">
        <f>SUM(D103:M106)</f>
        <v>2499407.8790330146</v>
      </c>
      <c r="F113" s="21">
        <f>SUM(D103:AB106)</f>
        <v>8153284.0502468701</v>
      </c>
      <c r="G113" s="59"/>
    </row>
    <row r="114" spans="2:11" ht="13.5" thickBot="1" x14ac:dyDescent="0.25">
      <c r="B114" s="14" t="s">
        <v>34</v>
      </c>
      <c r="C114" s="15">
        <f>SUM(C111:C113)</f>
        <v>207072.54232439949</v>
      </c>
      <c r="D114" s="15">
        <f t="shared" ref="D114:F114" si="42">SUM(D111:D113)</f>
        <v>936641.88282375899</v>
      </c>
      <c r="E114" s="15">
        <f t="shared" si="42"/>
        <v>3996403.7284149867</v>
      </c>
      <c r="F114" s="15">
        <f t="shared" si="42"/>
        <v>13023912.832766097</v>
      </c>
    </row>
    <row r="116" spans="2:11" x14ac:dyDescent="0.2">
      <c r="B116" s="9" t="s">
        <v>59</v>
      </c>
      <c r="C116" s="21"/>
      <c r="D116" s="21"/>
      <c r="E116" s="21"/>
      <c r="F116" s="21"/>
    </row>
    <row r="117" spans="2:11" ht="14.65" customHeight="1" x14ac:dyDescent="0.2">
      <c r="B117" s="63" t="s">
        <v>60</v>
      </c>
      <c r="C117" s="60" t="s">
        <v>61</v>
      </c>
      <c r="D117" s="60"/>
      <c r="E117" s="61"/>
      <c r="F117" s="62" t="s">
        <v>62</v>
      </c>
      <c r="G117" s="60"/>
      <c r="H117" s="61"/>
      <c r="I117" s="60" t="s">
        <v>63</v>
      </c>
      <c r="J117" s="60"/>
      <c r="K117" s="60"/>
    </row>
    <row r="118" spans="2:11" x14ac:dyDescent="0.2">
      <c r="B118" s="63"/>
      <c r="C118" s="12" t="s">
        <v>64</v>
      </c>
      <c r="D118" s="12" t="s">
        <v>65</v>
      </c>
      <c r="E118" s="52" t="s">
        <v>66</v>
      </c>
      <c r="F118" s="53" t="s">
        <v>64</v>
      </c>
      <c r="G118" s="12" t="s">
        <v>65</v>
      </c>
      <c r="H118" s="52" t="s">
        <v>66</v>
      </c>
      <c r="I118" s="12" t="s">
        <v>64</v>
      </c>
      <c r="J118" s="12" t="s">
        <v>65</v>
      </c>
      <c r="K118" s="12" t="s">
        <v>66</v>
      </c>
    </row>
    <row r="119" spans="2:11" x14ac:dyDescent="0.2">
      <c r="B119" s="10" t="s">
        <v>28</v>
      </c>
      <c r="C119" s="21">
        <f>387.309810035561</f>
        <v>387.30981003556099</v>
      </c>
      <c r="D119" s="21">
        <f>SUM(C26:D26)/1000</f>
        <v>207.07254232439945</v>
      </c>
      <c r="E119" s="57">
        <f>(D119-C119)/C119</f>
        <v>-0.46535683589995563</v>
      </c>
      <c r="F119" s="55">
        <f>3080.55234385663</f>
        <v>3080.5523438566302</v>
      </c>
      <c r="G119" s="21">
        <f>SUM(C26:L26)/1000</f>
        <v>3996.4037284149863</v>
      </c>
      <c r="H119" s="57">
        <f>(G119-F119)/F119</f>
        <v>0.29730102992237295</v>
      </c>
      <c r="I119" s="13">
        <f>7280.81384042129</f>
        <v>7280.8138404212896</v>
      </c>
      <c r="J119" s="21">
        <f>SUM(C26:V26)/1000</f>
        <v>11062.905222537565</v>
      </c>
      <c r="K119" s="57">
        <f>(J119-I119)/I119</f>
        <v>0.51945997590530801</v>
      </c>
    </row>
    <row r="120" spans="2:11" x14ac:dyDescent="0.2">
      <c r="B120" s="10" t="s">
        <v>31</v>
      </c>
      <c r="C120" s="56">
        <f>323.968751281768</f>
        <v>323.96875128176799</v>
      </c>
      <c r="D120" s="21">
        <f t="shared" ref="D120:D121" si="43">SUM(C27:D27)/1000</f>
        <v>295.38957161644316</v>
      </c>
      <c r="E120" s="57">
        <f t="shared" ref="E120:E122" si="44">(D120-C120)/C120</f>
        <v>-8.821585277052979E-2</v>
      </c>
      <c r="F120" s="56">
        <f>1854.46584691204</f>
        <v>1854.46584691204</v>
      </c>
      <c r="G120" s="21">
        <f t="shared" ref="G120:G121" si="45">SUM(C27:L27)/1000</f>
        <v>2134.5529498945712</v>
      </c>
      <c r="H120" s="57">
        <f t="shared" ref="H120:H122" si="46">(G120-F120)/F120</f>
        <v>0.1510338426824725</v>
      </c>
      <c r="I120" s="13">
        <f>3493.06704014616</f>
        <v>3493.0670401461598</v>
      </c>
      <c r="J120" s="21">
        <f t="shared" ref="J120:J121" si="47">SUM(C27:V27)/1000</f>
        <v>4287.796016121918</v>
      </c>
      <c r="K120" s="57">
        <f t="shared" ref="K120:K122" si="48">(J120-I120)/I120</f>
        <v>0.22751609598151443</v>
      </c>
    </row>
    <row r="121" spans="2:11" x14ac:dyDescent="0.2">
      <c r="B121" s="10" t="s">
        <v>33</v>
      </c>
      <c r="C121" s="56">
        <f>164.355430871912</f>
        <v>164.35543087191201</v>
      </c>
      <c r="D121" s="21">
        <f t="shared" si="43"/>
        <v>68.973719475001005</v>
      </c>
      <c r="E121" s="57">
        <f t="shared" si="44"/>
        <v>-0.58033805692277574</v>
      </c>
      <c r="F121" s="55">
        <f>792.462060405071</f>
        <v>792.46206040507104</v>
      </c>
      <c r="G121" s="21">
        <f t="shared" si="45"/>
        <v>2284.6303548745532</v>
      </c>
      <c r="H121" s="57">
        <f t="shared" si="46"/>
        <v>1.8829523443769065</v>
      </c>
      <c r="I121" s="55">
        <f>1237.71548655192</f>
        <v>1237.7154865519201</v>
      </c>
      <c r="J121" s="21">
        <f t="shared" si="47"/>
        <v>5543.5381254991498</v>
      </c>
      <c r="K121" s="57">
        <f t="shared" si="48"/>
        <v>3.4788468640257313</v>
      </c>
    </row>
    <row r="122" spans="2:11" ht="13.5" thickBot="1" x14ac:dyDescent="0.25">
      <c r="B122" s="14" t="s">
        <v>34</v>
      </c>
      <c r="C122" s="15">
        <f>SUM(C119:C121)</f>
        <v>875.63399218924087</v>
      </c>
      <c r="D122" s="15">
        <f t="shared" ref="D122:J122" si="49">SUM(D119:D121)</f>
        <v>571.4358334158436</v>
      </c>
      <c r="E122" s="58">
        <f t="shared" si="44"/>
        <v>-0.34740332317712758</v>
      </c>
      <c r="F122" s="54">
        <f t="shared" si="49"/>
        <v>5727.4802511737416</v>
      </c>
      <c r="G122" s="15">
        <f t="shared" si="49"/>
        <v>8415.5870331841106</v>
      </c>
      <c r="H122" s="58">
        <f t="shared" si="46"/>
        <v>0.46933497177218392</v>
      </c>
      <c r="I122" s="15">
        <f t="shared" si="49"/>
        <v>12011.596367119369</v>
      </c>
      <c r="J122" s="15">
        <f t="shared" si="49"/>
        <v>20894.239364158631</v>
      </c>
      <c r="K122" s="58">
        <f t="shared" si="48"/>
        <v>0.73950561820031457</v>
      </c>
    </row>
    <row r="123" spans="2:11" x14ac:dyDescent="0.2">
      <c r="B123" s="10" t="s">
        <v>67</v>
      </c>
    </row>
    <row r="125" spans="2:11" x14ac:dyDescent="0.2">
      <c r="B125" s="9" t="s">
        <v>68</v>
      </c>
    </row>
    <row r="126" spans="2:11" x14ac:dyDescent="0.2">
      <c r="B126" s="11"/>
      <c r="C126" s="20" t="s">
        <v>22</v>
      </c>
      <c r="D126" s="20" t="s">
        <v>23</v>
      </c>
      <c r="E126" s="20" t="s">
        <v>24</v>
      </c>
      <c r="F126" s="20" t="s">
        <v>25</v>
      </c>
    </row>
    <row r="127" spans="2:11" x14ac:dyDescent="0.2">
      <c r="B127" s="10" t="s">
        <v>43</v>
      </c>
      <c r="C127" s="21">
        <f>SUM(C77:D77)</f>
        <v>4.5622260200032683</v>
      </c>
      <c r="D127" s="21">
        <f>SUM(C77:G77)</f>
        <v>39.208417835653378</v>
      </c>
      <c r="E127" s="21">
        <f>SUM(C77:L77)</f>
        <v>365.85911560044036</v>
      </c>
      <c r="F127" s="21">
        <f>SUM(C77:AA77)</f>
        <v>4147.255253593089</v>
      </c>
    </row>
    <row r="128" spans="2:11" x14ac:dyDescent="0.2">
      <c r="B128" s="10" t="s">
        <v>44</v>
      </c>
      <c r="C128" s="21">
        <f t="shared" ref="C128:C130" si="50">SUM(C78:D78)</f>
        <v>193489.43658486957</v>
      </c>
      <c r="D128" s="21">
        <f t="shared" ref="D128:D130" si="51">SUM(C78:G78)</f>
        <v>851254.73719662684</v>
      </c>
      <c r="E128" s="21">
        <f t="shared" ref="E128:E130" si="52">SUM(C78:L78)</f>
        <v>3542966.140641483</v>
      </c>
      <c r="F128" s="21">
        <f t="shared" ref="F128:F130" si="53">SUM(C78:AA78)</f>
        <v>10630655.501822732</v>
      </c>
    </row>
    <row r="129" spans="2:6" x14ac:dyDescent="0.2">
      <c r="B129" s="10" t="s">
        <v>45</v>
      </c>
      <c r="C129" s="21">
        <f t="shared" si="50"/>
        <v>8285.5122423739776</v>
      </c>
      <c r="D129" s="21">
        <f t="shared" si="51"/>
        <v>56959.141985614071</v>
      </c>
      <c r="E129" s="21">
        <f t="shared" si="52"/>
        <v>362320.1200767369</v>
      </c>
      <c r="F129" s="21">
        <f t="shared" si="53"/>
        <v>2260444.2674562596</v>
      </c>
    </row>
    <row r="130" spans="2:6" x14ac:dyDescent="0.2">
      <c r="B130" s="10" t="s">
        <v>46</v>
      </c>
      <c r="C130" s="21">
        <f t="shared" si="50"/>
        <v>5293.0312711359211</v>
      </c>
      <c r="D130" s="21">
        <f t="shared" si="51"/>
        <v>28388.795223682289</v>
      </c>
      <c r="E130" s="21">
        <f t="shared" si="52"/>
        <v>90751.608581165419</v>
      </c>
      <c r="F130" s="21">
        <f t="shared" si="53"/>
        <v>128665.80823350952</v>
      </c>
    </row>
    <row r="131" spans="2:6" ht="13.5" thickBot="1" x14ac:dyDescent="0.25">
      <c r="B131" s="14" t="s">
        <v>34</v>
      </c>
      <c r="C131" s="15">
        <f>SUM(C127:C130)</f>
        <v>207072.54232439949</v>
      </c>
      <c r="D131" s="15">
        <f t="shared" ref="D131:F131" si="54">SUM(D127:D130)</f>
        <v>936641.88282375888</v>
      </c>
      <c r="E131" s="15">
        <f t="shared" si="54"/>
        <v>3996403.7284149858</v>
      </c>
      <c r="F131" s="15">
        <f t="shared" si="54"/>
        <v>13023912.832766093</v>
      </c>
    </row>
    <row r="133" spans="2:6" x14ac:dyDescent="0.2">
      <c r="B133" s="9" t="s">
        <v>69</v>
      </c>
    </row>
    <row r="134" spans="2:6" x14ac:dyDescent="0.2">
      <c r="B134" s="11"/>
      <c r="C134" s="20" t="s">
        <v>22</v>
      </c>
      <c r="D134" s="20" t="s">
        <v>23</v>
      </c>
      <c r="E134" s="20" t="s">
        <v>24</v>
      </c>
      <c r="F134" s="20" t="s">
        <v>25</v>
      </c>
    </row>
    <row r="135" spans="2:6" x14ac:dyDescent="0.2">
      <c r="B135" s="10" t="s">
        <v>43</v>
      </c>
      <c r="C135" s="21">
        <f>SUM(C82:D82)</f>
        <v>8489.6987406222725</v>
      </c>
      <c r="D135" s="21">
        <f>SUM(C82:G82)</f>
        <v>40441.120617580833</v>
      </c>
      <c r="E135" s="21">
        <f>SUM(C82:L82)</f>
        <v>176977.92343082294</v>
      </c>
      <c r="F135" s="21">
        <f>SUM(C82:AA82)</f>
        <v>817149.12837410148</v>
      </c>
    </row>
    <row r="136" spans="2:6" x14ac:dyDescent="0.2">
      <c r="B136" s="10" t="s">
        <v>44</v>
      </c>
      <c r="C136" s="21">
        <f t="shared" ref="C136:C138" si="55">SUM(C83:D83)</f>
        <v>181117.6713201814</v>
      </c>
      <c r="D136" s="21">
        <f t="shared" ref="D136:D138" si="56">SUM(C83:G83)</f>
        <v>559864.76750845439</v>
      </c>
      <c r="E136" s="21">
        <f t="shared" ref="E136:E138" si="57">SUM(C83:L83)</f>
        <v>1060186.9864468938</v>
      </c>
      <c r="F136" s="21">
        <f t="shared" ref="F136:F138" si="58">SUM(C83:AA83)</f>
        <v>1062411.2013430758</v>
      </c>
    </row>
    <row r="137" spans="2:6" x14ac:dyDescent="0.2">
      <c r="B137" s="10" t="s">
        <v>45</v>
      </c>
      <c r="C137" s="21">
        <f t="shared" si="55"/>
        <v>101920.72665539099</v>
      </c>
      <c r="D137" s="21">
        <f t="shared" si="56"/>
        <v>237288.46892557768</v>
      </c>
      <c r="E137" s="21">
        <f t="shared" si="57"/>
        <v>739028.6532967044</v>
      </c>
      <c r="F137" s="21">
        <f t="shared" si="58"/>
        <v>2219388.2900786959</v>
      </c>
    </row>
    <row r="138" spans="2:6" x14ac:dyDescent="0.2">
      <c r="B138" s="10" t="s">
        <v>46</v>
      </c>
      <c r="C138" s="21">
        <f t="shared" si="55"/>
        <v>3861.4749002484978</v>
      </c>
      <c r="D138" s="21">
        <f t="shared" si="56"/>
        <v>27061.167778578536</v>
      </c>
      <c r="E138" s="21">
        <f t="shared" si="57"/>
        <v>158359.38672014925</v>
      </c>
      <c r="F138" s="21">
        <f t="shared" si="58"/>
        <v>729766.30451173719</v>
      </c>
    </row>
    <row r="139" spans="2:6" ht="13.5" thickBot="1" x14ac:dyDescent="0.25">
      <c r="B139" s="14" t="s">
        <v>34</v>
      </c>
      <c r="C139" s="15">
        <f>SUM(C135:C138)</f>
        <v>295389.57161644317</v>
      </c>
      <c r="D139" s="15">
        <f t="shared" ref="D139:F139" si="59">SUM(D135:D138)</f>
        <v>864655.52483019151</v>
      </c>
      <c r="E139" s="15">
        <f t="shared" si="59"/>
        <v>2134552.9498945703</v>
      </c>
      <c r="F139" s="15">
        <f t="shared" si="59"/>
        <v>4828714.9243076108</v>
      </c>
    </row>
    <row r="141" spans="2:6" x14ac:dyDescent="0.2">
      <c r="B141" s="9" t="s">
        <v>70</v>
      </c>
    </row>
    <row r="142" spans="2:6" x14ac:dyDescent="0.2">
      <c r="B142" s="11"/>
      <c r="C142" s="20" t="s">
        <v>22</v>
      </c>
      <c r="D142" s="20" t="s">
        <v>23</v>
      </c>
      <c r="E142" s="20" t="s">
        <v>24</v>
      </c>
      <c r="F142" s="20" t="s">
        <v>25</v>
      </c>
    </row>
    <row r="143" spans="2:6" x14ac:dyDescent="0.2">
      <c r="B143" s="10" t="s">
        <v>44</v>
      </c>
      <c r="C143" s="21">
        <f>SUM(C87:D87)</f>
        <v>29332.525657087011</v>
      </c>
      <c r="D143" s="21">
        <f>SUM(C87:G87)</f>
        <v>182178.1735023901</v>
      </c>
      <c r="E143" s="21">
        <f>SUM(C87:L87)</f>
        <v>1008020.5090007536</v>
      </c>
      <c r="F143" s="21">
        <f>SUM(C87:AA87)</f>
        <v>2546869.8732011775</v>
      </c>
    </row>
    <row r="144" spans="2:6" x14ac:dyDescent="0.2">
      <c r="B144" s="10" t="s">
        <v>47</v>
      </c>
      <c r="C144" s="21">
        <f t="shared" ref="C144:C146" si="60">SUM(C88:D88)</f>
        <v>31859.473036005591</v>
      </c>
      <c r="D144" s="21">
        <f t="shared" ref="D144:D146" si="61">SUM(C88:G88)</f>
        <v>196987.02076109528</v>
      </c>
      <c r="E144" s="21">
        <f t="shared" ref="E144:E146" si="62">SUM(C88:L88)</f>
        <v>1081636.4197013872</v>
      </c>
      <c r="F144" s="21">
        <f t="shared" ref="F144:F146" si="63">SUM(C88:AA88)</f>
        <v>2545343.998331584</v>
      </c>
    </row>
    <row r="145" spans="2:6" x14ac:dyDescent="0.2">
      <c r="B145" s="10" t="s">
        <v>45</v>
      </c>
      <c r="C145" s="21">
        <f t="shared" si="60"/>
        <v>645.15146010114449</v>
      </c>
      <c r="D145" s="21">
        <f t="shared" si="61"/>
        <v>5991.094499829549</v>
      </c>
      <c r="E145" s="21">
        <f t="shared" si="62"/>
        <v>45216.060435713058</v>
      </c>
      <c r="F145" s="21">
        <f t="shared" si="63"/>
        <v>411596.88768185343</v>
      </c>
    </row>
    <row r="146" spans="2:6" x14ac:dyDescent="0.2">
      <c r="B146" s="10" t="s">
        <v>46</v>
      </c>
      <c r="C146" s="21">
        <f t="shared" si="60"/>
        <v>7136.5693218072502</v>
      </c>
      <c r="D146" s="21">
        <f t="shared" si="61"/>
        <v>35937.129454300157</v>
      </c>
      <c r="E146" s="21">
        <f t="shared" si="62"/>
        <v>149757.36573669908</v>
      </c>
      <c r="F146" s="21">
        <f t="shared" si="63"/>
        <v>247275.31384598455</v>
      </c>
    </row>
    <row r="147" spans="2:6" ht="13.5" thickBot="1" x14ac:dyDescent="0.25">
      <c r="B147" s="14" t="s">
        <v>34</v>
      </c>
      <c r="C147" s="15">
        <f>SUM(C143:C146)</f>
        <v>68973.719475000995</v>
      </c>
      <c r="D147" s="15">
        <f t="shared" ref="D147:F147" si="64">SUM(D143:D146)</f>
        <v>421093.41821761511</v>
      </c>
      <c r="E147" s="15">
        <f t="shared" si="64"/>
        <v>2284630.3548745532</v>
      </c>
      <c r="F147" s="15">
        <f t="shared" si="64"/>
        <v>5751086.0730605992</v>
      </c>
    </row>
  </sheetData>
  <mergeCells count="4">
    <mergeCell ref="C117:E117"/>
    <mergeCell ref="F117:H117"/>
    <mergeCell ref="I117:K117"/>
    <mergeCell ref="B117:B118"/>
  </mergeCells>
  <pageMargins left="0.7" right="0.7" top="0.75" bottom="0.75" header="0.3" footer="0.3"/>
  <pageSetup orientation="portrait" r:id="rId1"/>
  <headerFooter>
    <oddHeader>&amp;RNWN 2025 CPA 
CPA Summary/ &amp;A &amp;P of &amp;N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10C41-889C-45F0-8CB8-BAF2D97670DA}">
  <sheetPr>
    <tabColor theme="6"/>
  </sheetPr>
  <dimension ref="B2:AA91"/>
  <sheetViews>
    <sheetView showGridLines="0" zoomScale="80" zoomScaleNormal="80" workbookViewId="0">
      <selection activeCell="C11" sqref="C11:F14"/>
    </sheetView>
  </sheetViews>
  <sheetFormatPr defaultColWidth="9" defaultRowHeight="12.75" x14ac:dyDescent="0.2"/>
  <cols>
    <col min="1" max="1" width="4.28515625" style="10" customWidth="1"/>
    <col min="2" max="2" width="13.5703125" style="10" customWidth="1"/>
    <col min="3" max="6" width="7.7109375" style="10" customWidth="1"/>
    <col min="7" max="20" width="8.140625" style="10" bestFit="1" customWidth="1"/>
    <col min="21" max="26" width="7.85546875" style="10" bestFit="1" customWidth="1"/>
    <col min="27" max="27" width="7.140625" style="10" bestFit="1" customWidth="1"/>
    <col min="28" max="16384" width="9" style="10"/>
  </cols>
  <sheetData>
    <row r="2" spans="2:6" x14ac:dyDescent="0.2">
      <c r="B2" s="9" t="s">
        <v>71</v>
      </c>
    </row>
    <row r="3" spans="2:6" x14ac:dyDescent="0.2">
      <c r="B3" s="11"/>
      <c r="C3" s="20" t="s">
        <v>22</v>
      </c>
      <c r="D3" s="20" t="s">
        <v>23</v>
      </c>
      <c r="E3" s="20" t="s">
        <v>24</v>
      </c>
      <c r="F3" s="20" t="s">
        <v>25</v>
      </c>
    </row>
    <row r="4" spans="2:6" x14ac:dyDescent="0.2">
      <c r="B4" s="10" t="s">
        <v>28</v>
      </c>
      <c r="C4" s="21">
        <f>SUM(C19:D19)</f>
        <v>5732.2039111320282</v>
      </c>
      <c r="D4" s="21">
        <f>SUM(C19:G19)</f>
        <v>23140.840193107542</v>
      </c>
      <c r="E4" s="21">
        <f>SUM(C19:L19)</f>
        <v>90342.045176769985</v>
      </c>
      <c r="F4" s="21">
        <f>SUM(C19:AA19)</f>
        <v>261602.25056678604</v>
      </c>
    </row>
    <row r="5" spans="2:6" x14ac:dyDescent="0.2">
      <c r="B5" s="10" t="s">
        <v>31</v>
      </c>
      <c r="C5" s="21">
        <f t="shared" ref="C5:C6" si="0">SUM(C20:D20)</f>
        <v>5075.1810864225354</v>
      </c>
      <c r="D5" s="21">
        <f t="shared" ref="D5:D6" si="1">SUM(C20:G20)</f>
        <v>14500.721470578625</v>
      </c>
      <c r="E5" s="21">
        <f t="shared" ref="E5:E6" si="2">SUM(C20:L20)</f>
        <v>33762.346039962118</v>
      </c>
      <c r="F5" s="21">
        <f>SUM(C20:AA20)</f>
        <v>64908.234238004494</v>
      </c>
    </row>
    <row r="6" spans="2:6" x14ac:dyDescent="0.2">
      <c r="B6" s="10" t="s">
        <v>33</v>
      </c>
      <c r="C6" s="21">
        <f t="shared" si="0"/>
        <v>613.49892659691</v>
      </c>
      <c r="D6" s="21">
        <f t="shared" si="1"/>
        <v>3822.2244278252856</v>
      </c>
      <c r="E6" s="21">
        <f t="shared" si="2"/>
        <v>21210.387467122076</v>
      </c>
      <c r="F6" s="21">
        <f>SUM(C21:AA21)</f>
        <v>54113.925367867763</v>
      </c>
    </row>
    <row r="7" spans="2:6" ht="13.5" thickBot="1" x14ac:dyDescent="0.25">
      <c r="B7" s="14" t="s">
        <v>34</v>
      </c>
      <c r="C7" s="15">
        <f>SUM(C4:C6)</f>
        <v>11420.883924151474</v>
      </c>
      <c r="D7" s="15">
        <f t="shared" ref="D7:F7" si="3">SUM(D4:D6)</f>
        <v>41463.786091511451</v>
      </c>
      <c r="E7" s="15">
        <f t="shared" si="3"/>
        <v>145314.77868385418</v>
      </c>
      <c r="F7" s="15">
        <f t="shared" si="3"/>
        <v>380624.41017265827</v>
      </c>
    </row>
    <row r="9" spans="2:6" x14ac:dyDescent="0.2">
      <c r="B9" s="9" t="s">
        <v>72</v>
      </c>
    </row>
    <row r="10" spans="2:6" x14ac:dyDescent="0.2">
      <c r="B10" s="11"/>
      <c r="C10" s="20" t="s">
        <v>22</v>
      </c>
      <c r="D10" s="20" t="s">
        <v>23</v>
      </c>
      <c r="E10" s="20" t="s">
        <v>24</v>
      </c>
      <c r="F10" s="20" t="s">
        <v>25</v>
      </c>
    </row>
    <row r="11" spans="2:6" x14ac:dyDescent="0.2">
      <c r="B11" s="10" t="s">
        <v>28</v>
      </c>
      <c r="C11" s="21">
        <f>SUM(C26:D26)</f>
        <v>3969.7966380950902</v>
      </c>
      <c r="D11" s="21">
        <f>SUM(C26:G26)</f>
        <v>17633.980373824797</v>
      </c>
      <c r="E11" s="21">
        <f>SUM(C26:L26)</f>
        <v>73263.765586580383</v>
      </c>
      <c r="F11" s="21">
        <f>SUM(C26:AA26)</f>
        <v>220856.81491715278</v>
      </c>
    </row>
    <row r="12" spans="2:6" x14ac:dyDescent="0.2">
      <c r="B12" s="10" t="s">
        <v>31</v>
      </c>
      <c r="C12" s="21">
        <f t="shared" ref="C12:C13" si="4">SUM(C27:D27)</f>
        <v>5042.407925883339</v>
      </c>
      <c r="D12" s="21">
        <f t="shared" ref="D12:D13" si="5">SUM(C27:G27)</f>
        <v>14311.009643768248</v>
      </c>
      <c r="E12" s="21">
        <f t="shared" ref="E12:E13" si="6">SUM(C27:L27)</f>
        <v>32929.611198781182</v>
      </c>
      <c r="F12" s="21">
        <f t="shared" ref="F12:F13" si="7">SUM(C27:AA27)</f>
        <v>63284.626536023643</v>
      </c>
    </row>
    <row r="13" spans="2:6" x14ac:dyDescent="0.2">
      <c r="B13" s="10" t="s">
        <v>33</v>
      </c>
      <c r="C13" s="21">
        <f t="shared" si="4"/>
        <v>473.94731707508436</v>
      </c>
      <c r="D13" s="21">
        <f t="shared" si="5"/>
        <v>3105.6715249859913</v>
      </c>
      <c r="E13" s="21">
        <f t="shared" si="6"/>
        <v>18125.766065737625</v>
      </c>
      <c r="F13" s="21">
        <f t="shared" si="7"/>
        <v>48733.534840221102</v>
      </c>
    </row>
    <row r="14" spans="2:6" ht="13.5" thickBot="1" x14ac:dyDescent="0.25">
      <c r="B14" s="14" t="s">
        <v>34</v>
      </c>
      <c r="C14" s="15">
        <f>SUM(C11:C13)</f>
        <v>9486.1518810535144</v>
      </c>
      <c r="D14" s="15">
        <f t="shared" ref="D14:F14" si="8">SUM(D11:D13)</f>
        <v>35050.661542579037</v>
      </c>
      <c r="E14" s="15">
        <f t="shared" si="8"/>
        <v>124319.14285109918</v>
      </c>
      <c r="F14" s="15">
        <f t="shared" si="8"/>
        <v>332874.97629339754</v>
      </c>
    </row>
    <row r="17" spans="2:27" x14ac:dyDescent="0.2">
      <c r="B17" s="9" t="s">
        <v>73</v>
      </c>
    </row>
    <row r="18" spans="2:27" x14ac:dyDescent="0.2">
      <c r="B18" s="11"/>
      <c r="C18" s="12">
        <v>2026</v>
      </c>
      <c r="D18" s="12">
        <v>2027</v>
      </c>
      <c r="E18" s="12">
        <v>2028</v>
      </c>
      <c r="F18" s="12">
        <v>2029</v>
      </c>
      <c r="G18" s="12">
        <v>2030</v>
      </c>
      <c r="H18" s="12">
        <v>2031</v>
      </c>
      <c r="I18" s="12">
        <v>2032</v>
      </c>
      <c r="J18" s="12">
        <v>2033</v>
      </c>
      <c r="K18" s="12">
        <v>2034</v>
      </c>
      <c r="L18" s="12">
        <v>2035</v>
      </c>
      <c r="M18" s="12">
        <v>2036</v>
      </c>
      <c r="N18" s="12">
        <v>2037</v>
      </c>
      <c r="O18" s="12">
        <v>2038</v>
      </c>
      <c r="P18" s="12">
        <v>2039</v>
      </c>
      <c r="Q18" s="12">
        <v>2040</v>
      </c>
      <c r="R18" s="12">
        <v>2041</v>
      </c>
      <c r="S18" s="12">
        <v>2042</v>
      </c>
      <c r="T18" s="12">
        <v>2043</v>
      </c>
      <c r="U18" s="12">
        <v>2044</v>
      </c>
      <c r="V18" s="12">
        <v>2045</v>
      </c>
      <c r="W18" s="12">
        <v>2046</v>
      </c>
      <c r="X18" s="12">
        <v>2047</v>
      </c>
      <c r="Y18" s="12">
        <v>2048</v>
      </c>
      <c r="Z18" s="12">
        <v>2049</v>
      </c>
      <c r="AA18" s="12">
        <v>2050</v>
      </c>
    </row>
    <row r="19" spans="2:27" x14ac:dyDescent="0.2">
      <c r="B19" s="10" t="s">
        <v>28</v>
      </c>
      <c r="C19" s="13">
        <f>SUMIFS(Peak_Day[Achievable Peak Day therm 2026], Peak_Day[[Sector]:[Sector]], $B19)</f>
        <v>2486.4778880416034</v>
      </c>
      <c r="D19" s="13">
        <f>SUMIFS(Peak_Day[Achievable Peak Day therm 2027], Peak_Day[[Sector]:[Sector]], $B19)</f>
        <v>3245.7260230904253</v>
      </c>
      <c r="E19" s="13">
        <f>SUMIFS(Peak_Day[Achievable Peak Day therm 2028], Peak_Day[[Sector]:[Sector]], $B19)</f>
        <v>4414.1754181391834</v>
      </c>
      <c r="F19" s="13">
        <f>SUMIFS(Peak_Day[Achievable Peak Day therm 2029], Peak_Day[[Sector]:[Sector]], $B19)</f>
        <v>5716.741886443464</v>
      </c>
      <c r="G19" s="13">
        <f>SUMIFS(Peak_Day[Achievable Peak Day therm 2030], Peak_Day[[Sector]:[Sector]], $B19)</f>
        <v>7277.7189773928658</v>
      </c>
      <c r="H19" s="13">
        <f>SUMIFS(Peak_Day[Achievable Peak Day therm 2031], Peak_Day[[Sector]:[Sector]], $B19)</f>
        <v>9158.7264211586044</v>
      </c>
      <c r="I19" s="13">
        <f>SUMIFS(Peak_Day[Achievable Peak Day therm 2032], Peak_Day[[Sector]:[Sector]], $B19)</f>
        <v>11283.665565568263</v>
      </c>
      <c r="J19" s="13">
        <f>SUMIFS(Peak_Day[Achievable Peak Day therm 2033], Peak_Day[[Sector]:[Sector]], $B19)</f>
        <v>13522.32611211895</v>
      </c>
      <c r="K19" s="13">
        <f>SUMIFS(Peak_Day[Achievable Peak Day therm 2034], Peak_Day[[Sector]:[Sector]], $B19)</f>
        <v>15687.939381377988</v>
      </c>
      <c r="L19" s="13">
        <f>SUMIFS(Peak_Day[Achievable Peak Day therm 2035], Peak_Day[[Sector]:[Sector]], $B19)</f>
        <v>17548.547503438647</v>
      </c>
      <c r="M19" s="13">
        <f>SUMIFS(Peak_Day[Achievable Peak Day therm 2036], Peak_Day[[Sector]:[Sector]], $B19)</f>
        <v>18865.140947790522</v>
      </c>
      <c r="N19" s="13">
        <f>SUMIFS(Peak_Day[Achievable Peak Day therm 2037], Peak_Day[[Sector]:[Sector]], $B19)</f>
        <v>19356.859405660016</v>
      </c>
      <c r="O19" s="13">
        <f>SUMIFS(Peak_Day[Achievable Peak Day therm 2038], Peak_Day[[Sector]:[Sector]], $B19)</f>
        <v>19058.046645343828</v>
      </c>
      <c r="P19" s="13">
        <f>SUMIFS(Peak_Day[Achievable Peak Day therm 2039], Peak_Day[[Sector]:[Sector]], $B19)</f>
        <v>18009.201532563573</v>
      </c>
      <c r="Q19" s="13">
        <f>SUMIFS(Peak_Day[Achievable Peak Day therm 2040], Peak_Day[[Sector]:[Sector]], $B19)</f>
        <v>16251.454838118818</v>
      </c>
      <c r="R19" s="13">
        <f>SUMIFS(Peak_Day[Achievable Peak Day therm 2041], Peak_Day[[Sector]:[Sector]], $B19)</f>
        <v>14200.769180212215</v>
      </c>
      <c r="S19" s="13">
        <f>SUMIFS(Peak_Day[Achievable Peak Day therm 2042], Peak_Day[[Sector]:[Sector]], $B19)</f>
        <v>11714.913226006514</v>
      </c>
      <c r="T19" s="13">
        <f>SUMIFS(Peak_Day[Achievable Peak Day therm 2043], Peak_Day[[Sector]:[Sector]], $B19)</f>
        <v>9812.6222096808433</v>
      </c>
      <c r="U19" s="13">
        <f>SUMIFS(Peak_Day[Achievable Peak Day therm 2044], Peak_Day[[Sector]:[Sector]], $B19)</f>
        <v>6854.9037064472523</v>
      </c>
      <c r="V19" s="13">
        <f>SUMIFS(Peak_Day[Achievable Peak Day therm 2045], Peak_Day[[Sector]:[Sector]], $B19)</f>
        <v>6538.4475814702873</v>
      </c>
      <c r="W19" s="13">
        <f>SUMIFS(Peak_Day[Achievable Peak Day therm 2046], Peak_Day[[Sector]:[Sector]], $B19)</f>
        <v>6455.7608684802608</v>
      </c>
      <c r="X19" s="13">
        <f>SUMIFS(Peak_Day[Achievable Peak Day therm 2047], Peak_Day[[Sector]:[Sector]], $B19)</f>
        <v>6378.8575193185779</v>
      </c>
      <c r="Y19" s="13">
        <f>SUMIFS(Peak_Day[Achievable Peak Day therm 2048], Peak_Day[[Sector]:[Sector]], $B19)</f>
        <v>6292.36376838251</v>
      </c>
      <c r="Z19" s="13">
        <f>SUMIFS(Peak_Day[Achievable Peak Day therm 2049], Peak_Day[[Sector]:[Sector]], $B19)</f>
        <v>6195.2059307037234</v>
      </c>
      <c r="AA19" s="13">
        <f>SUMIFS(Peak_Day[Achievable Peak Day therm 2050], Peak_Day[[Sector]:[Sector]], $B19)</f>
        <v>5275.6580298371046</v>
      </c>
    </row>
    <row r="20" spans="2:27" x14ac:dyDescent="0.2">
      <c r="B20" s="10" t="s">
        <v>31</v>
      </c>
      <c r="C20" s="13">
        <f>SUMIFS(Peak_Day[Achievable Peak Day therm 2026], Peak_Day[[Sector]:[Sector]], $B20)</f>
        <v>2509.3859561215054</v>
      </c>
      <c r="D20" s="13">
        <f>SUMIFS(Peak_Day[Achievable Peak Day therm 2027], Peak_Day[[Sector]:[Sector]], $B20)</f>
        <v>2565.79513030103</v>
      </c>
      <c r="E20" s="13">
        <f>SUMIFS(Peak_Day[Achievable Peak Day therm 2028], Peak_Day[[Sector]:[Sector]], $B20)</f>
        <v>2792.1197133517217</v>
      </c>
      <c r="F20" s="13">
        <f>SUMIFS(Peak_Day[Achievable Peak Day therm 2029], Peak_Day[[Sector]:[Sector]], $B20)</f>
        <v>3138.5416170912608</v>
      </c>
      <c r="G20" s="13">
        <f>SUMIFS(Peak_Day[Achievable Peak Day therm 2030], Peak_Day[[Sector]:[Sector]], $B20)</f>
        <v>3494.8790537131053</v>
      </c>
      <c r="H20" s="13">
        <f>SUMIFS(Peak_Day[Achievable Peak Day therm 2031], Peak_Day[[Sector]:[Sector]], $B20)</f>
        <v>3857.8037758195014</v>
      </c>
      <c r="I20" s="13">
        <f>SUMIFS(Peak_Day[Achievable Peak Day therm 2032], Peak_Day[[Sector]:[Sector]], $B20)</f>
        <v>4073.4851230346526</v>
      </c>
      <c r="J20" s="13">
        <f>SUMIFS(Peak_Day[Achievable Peak Day therm 2033], Peak_Day[[Sector]:[Sector]], $B20)</f>
        <v>4120.1611869221751</v>
      </c>
      <c r="K20" s="13">
        <f>SUMIFS(Peak_Day[Achievable Peak Day therm 2034], Peak_Day[[Sector]:[Sector]], $B20)</f>
        <v>3850.1891645876549</v>
      </c>
      <c r="L20" s="13">
        <f>SUMIFS(Peak_Day[Achievable Peak Day therm 2035], Peak_Day[[Sector]:[Sector]], $B20)</f>
        <v>3359.9853190195054</v>
      </c>
      <c r="M20" s="13">
        <f>SUMIFS(Peak_Day[Achievable Peak Day therm 2036], Peak_Day[[Sector]:[Sector]], $B20)</f>
        <v>3088.8031911704384</v>
      </c>
      <c r="N20" s="13">
        <f>SUMIFS(Peak_Day[Achievable Peak Day therm 2037], Peak_Day[[Sector]:[Sector]], $B20)</f>
        <v>3190.0594891970159</v>
      </c>
      <c r="O20" s="13">
        <f>SUMIFS(Peak_Day[Achievable Peak Day therm 2038], Peak_Day[[Sector]:[Sector]], $B20)</f>
        <v>3218.340398919177</v>
      </c>
      <c r="P20" s="13">
        <f>SUMIFS(Peak_Day[Achievable Peak Day therm 2039], Peak_Day[[Sector]:[Sector]], $B20)</f>
        <v>3120.4932348027542</v>
      </c>
      <c r="Q20" s="13">
        <f>SUMIFS(Peak_Day[Achievable Peak Day therm 2040], Peak_Day[[Sector]:[Sector]], $B20)</f>
        <v>2895.932458192081</v>
      </c>
      <c r="R20" s="13">
        <f>SUMIFS(Peak_Day[Achievable Peak Day therm 2041], Peak_Day[[Sector]:[Sector]], $B20)</f>
        <v>2503.5619478076205</v>
      </c>
      <c r="S20" s="13">
        <f>SUMIFS(Peak_Day[Achievable Peak Day therm 2042], Peak_Day[[Sector]:[Sector]], $B20)</f>
        <v>2159.4208587508774</v>
      </c>
      <c r="T20" s="13">
        <f>SUMIFS(Peak_Day[Achievable Peak Day therm 2043], Peak_Day[[Sector]:[Sector]], $B20)</f>
        <v>1903.3610185665464</v>
      </c>
      <c r="U20" s="13">
        <f>SUMIFS(Peak_Day[Achievable Peak Day therm 2044], Peak_Day[[Sector]:[Sector]], $B20)</f>
        <v>1490.6174079094044</v>
      </c>
      <c r="V20" s="13">
        <f>SUMIFS(Peak_Day[Achievable Peak Day therm 2045], Peak_Day[[Sector]:[Sector]], $B20)</f>
        <v>1424.3219140277524</v>
      </c>
      <c r="W20" s="13">
        <f>SUMIFS(Peak_Day[Achievable Peak Day therm 2046], Peak_Day[[Sector]:[Sector]], $B20)</f>
        <v>1426.8817333969935</v>
      </c>
      <c r="X20" s="13">
        <f>SUMIFS(Peak_Day[Achievable Peak Day therm 2047], Peak_Day[[Sector]:[Sector]], $B20)</f>
        <v>1386.1192686242346</v>
      </c>
      <c r="Y20" s="13">
        <f>SUMIFS(Peak_Day[Achievable Peak Day therm 2048], Peak_Day[[Sector]:[Sector]], $B20)</f>
        <v>1324.1802080805994</v>
      </c>
      <c r="Z20" s="13">
        <f>SUMIFS(Peak_Day[Achievable Peak Day therm 2049], Peak_Day[[Sector]:[Sector]], $B20)</f>
        <v>1286.0009965881709</v>
      </c>
      <c r="AA20" s="13">
        <f>SUMIFS(Peak_Day[Achievable Peak Day therm 2050], Peak_Day[[Sector]:[Sector]], $B20)</f>
        <v>727.79407200871321</v>
      </c>
    </row>
    <row r="21" spans="2:27" x14ac:dyDescent="0.2">
      <c r="B21" s="10" t="s">
        <v>33</v>
      </c>
      <c r="C21" s="13">
        <f>SUMIFS(Peak_Day[Achievable Peak Day therm 2026], Peak_Day[[Sector]:[Sector]], $B21)</f>
        <v>216.36129456999194</v>
      </c>
      <c r="D21" s="13">
        <f>SUMIFS(Peak_Day[Achievable Peak Day therm 2027], Peak_Day[[Sector]:[Sector]], $B21)</f>
        <v>397.13763202691803</v>
      </c>
      <c r="E21" s="13">
        <f>SUMIFS(Peak_Day[Achievable Peak Day therm 2028], Peak_Day[[Sector]:[Sector]], $B21)</f>
        <v>664.98779602414527</v>
      </c>
      <c r="F21" s="13">
        <f>SUMIFS(Peak_Day[Achievable Peak Day therm 2029], Peak_Day[[Sector]:[Sector]], $B21)</f>
        <v>1033.2516926397082</v>
      </c>
      <c r="G21" s="13">
        <f>SUMIFS(Peak_Day[Achievable Peak Day therm 2030], Peak_Day[[Sector]:[Sector]], $B21)</f>
        <v>1510.4860125645221</v>
      </c>
      <c r="H21" s="13">
        <f>SUMIFS(Peak_Day[Achievable Peak Day therm 2031], Peak_Day[[Sector]:[Sector]], $B21)</f>
        <v>2094.059697061899</v>
      </c>
      <c r="I21" s="13">
        <f>SUMIFS(Peak_Day[Achievable Peak Day therm 2032], Peak_Day[[Sector]:[Sector]], $B21)</f>
        <v>2765.9485733019469</v>
      </c>
      <c r="J21" s="13">
        <f>SUMIFS(Peak_Day[Achievable Peak Day therm 2033], Peak_Day[[Sector]:[Sector]], $B21)</f>
        <v>3488.7477275948045</v>
      </c>
      <c r="K21" s="13">
        <f>SUMIFS(Peak_Day[Achievable Peak Day therm 2034], Peak_Day[[Sector]:[Sector]], $B21)</f>
        <v>4204.0600559025042</v>
      </c>
      <c r="L21" s="13">
        <f>SUMIFS(Peak_Day[Achievable Peak Day therm 2035], Peak_Day[[Sector]:[Sector]], $B21)</f>
        <v>4835.3469854356372</v>
      </c>
      <c r="M21" s="13">
        <f>SUMIFS(Peak_Day[Achievable Peak Day therm 2036], Peak_Day[[Sector]:[Sector]], $B21)</f>
        <v>5297.022270068298</v>
      </c>
      <c r="N21" s="13">
        <f>SUMIFS(Peak_Day[Achievable Peak Day therm 2037], Peak_Day[[Sector]:[Sector]], $B21)</f>
        <v>5510.1322873566123</v>
      </c>
      <c r="O21" s="13">
        <f>SUMIFS(Peak_Day[Achievable Peak Day therm 2038], Peak_Day[[Sector]:[Sector]], $B21)</f>
        <v>5422.3024200233403</v>
      </c>
      <c r="P21" s="13">
        <f>SUMIFS(Peak_Day[Achievable Peak Day therm 2039], Peak_Day[[Sector]:[Sector]], $B21)</f>
        <v>5035.4040334000001</v>
      </c>
      <c r="Q21" s="13">
        <f>SUMIFS(Peak_Day[Achievable Peak Day therm 2040], Peak_Day[[Sector]:[Sector]], $B21)</f>
        <v>4054.5195399725058</v>
      </c>
      <c r="R21" s="13">
        <f>SUMIFS(Peak_Day[Achievable Peak Day therm 2041], Peak_Day[[Sector]:[Sector]], $B21)</f>
        <v>3316.584940096177</v>
      </c>
      <c r="S21" s="13">
        <f>SUMIFS(Peak_Day[Achievable Peak Day therm 2042], Peak_Day[[Sector]:[Sector]], $B21)</f>
        <v>1429.9568036633175</v>
      </c>
      <c r="T21" s="13">
        <f>SUMIFS(Peak_Day[Achievable Peak Day therm 2043], Peak_Day[[Sector]:[Sector]], $B21)</f>
        <v>361.60173546548054</v>
      </c>
      <c r="U21" s="13">
        <f>SUMIFS(Peak_Day[Achievable Peak Day therm 2044], Peak_Day[[Sector]:[Sector]], $B21)</f>
        <v>361.10970838889699</v>
      </c>
      <c r="V21" s="13">
        <f>SUMIFS(Peak_Day[Achievable Peak Day therm 2045], Peak_Day[[Sector]:[Sector]], $B21)</f>
        <v>359.16625964509495</v>
      </c>
      <c r="W21" s="13">
        <f>SUMIFS(Peak_Day[Achievable Peak Day therm 2046], Peak_Day[[Sector]:[Sector]], $B21)</f>
        <v>356.60524260917481</v>
      </c>
      <c r="X21" s="13">
        <f>SUMIFS(Peak_Day[Achievable Peak Day therm 2047], Peak_Day[[Sector]:[Sector]], $B21)</f>
        <v>353.85528625260866</v>
      </c>
      <c r="Y21" s="13">
        <f>SUMIFS(Peak_Day[Achievable Peak Day therm 2048], Peak_Day[[Sector]:[Sector]], $B21)</f>
        <v>351.12653686287007</v>
      </c>
      <c r="Z21" s="13">
        <f>SUMIFS(Peak_Day[Achievable Peak Day therm 2049], Peak_Day[[Sector]:[Sector]], $B21)</f>
        <v>348.41883089118454</v>
      </c>
      <c r="AA21" s="13">
        <f>SUMIFS(Peak_Day[Achievable Peak Day therm 2050], Peak_Day[[Sector]:[Sector]], $B21)</f>
        <v>345.73200605012096</v>
      </c>
    </row>
    <row r="22" spans="2:27" ht="13.5" thickBot="1" x14ac:dyDescent="0.25">
      <c r="B22" s="14" t="s">
        <v>34</v>
      </c>
      <c r="C22" s="15">
        <f>SUM(C19:C21)</f>
        <v>5212.2251387330998</v>
      </c>
      <c r="D22" s="15">
        <f t="shared" ref="D22:AA22" si="9">SUM(D19:D21)</f>
        <v>6208.6587854183736</v>
      </c>
      <c r="E22" s="15">
        <f t="shared" si="9"/>
        <v>7871.2829275150507</v>
      </c>
      <c r="F22" s="15">
        <f t="shared" si="9"/>
        <v>9888.5351961744327</v>
      </c>
      <c r="G22" s="15">
        <f t="shared" si="9"/>
        <v>12283.084043670495</v>
      </c>
      <c r="H22" s="15">
        <f t="shared" si="9"/>
        <v>15110.589894040006</v>
      </c>
      <c r="I22" s="15">
        <f t="shared" si="9"/>
        <v>18123.099261904863</v>
      </c>
      <c r="J22" s="15">
        <f t="shared" si="9"/>
        <v>21131.235026635928</v>
      </c>
      <c r="K22" s="15">
        <f t="shared" si="9"/>
        <v>23742.188601868147</v>
      </c>
      <c r="L22" s="15">
        <f t="shared" si="9"/>
        <v>25743.879807893791</v>
      </c>
      <c r="M22" s="15">
        <f t="shared" si="9"/>
        <v>27250.966409029257</v>
      </c>
      <c r="N22" s="15">
        <f t="shared" si="9"/>
        <v>28057.051182213643</v>
      </c>
      <c r="O22" s="15">
        <f t="shared" si="9"/>
        <v>27698.689464286344</v>
      </c>
      <c r="P22" s="15">
        <f t="shared" si="9"/>
        <v>26165.098800766325</v>
      </c>
      <c r="Q22" s="15">
        <f t="shared" si="9"/>
        <v>23201.906836283404</v>
      </c>
      <c r="R22" s="15">
        <f t="shared" si="9"/>
        <v>20020.916068116014</v>
      </c>
      <c r="S22" s="15">
        <f t="shared" si="9"/>
        <v>15304.29088842071</v>
      </c>
      <c r="T22" s="15">
        <f t="shared" si="9"/>
        <v>12077.58496371287</v>
      </c>
      <c r="U22" s="15">
        <f t="shared" si="9"/>
        <v>8706.630822745552</v>
      </c>
      <c r="V22" s="15">
        <f t="shared" si="9"/>
        <v>8321.9357551431349</v>
      </c>
      <c r="W22" s="15">
        <f t="shared" si="9"/>
        <v>8239.24784448643</v>
      </c>
      <c r="X22" s="15">
        <f t="shared" si="9"/>
        <v>8118.8320741954212</v>
      </c>
      <c r="Y22" s="15">
        <f t="shared" si="9"/>
        <v>7967.6705133259793</v>
      </c>
      <c r="Z22" s="15">
        <f t="shared" si="9"/>
        <v>7829.6257581830787</v>
      </c>
      <c r="AA22" s="15">
        <f t="shared" si="9"/>
        <v>6349.1841078959387</v>
      </c>
    </row>
    <row r="24" spans="2:27" x14ac:dyDescent="0.2">
      <c r="B24" s="9" t="s">
        <v>74</v>
      </c>
    </row>
    <row r="25" spans="2:27" x14ac:dyDescent="0.2">
      <c r="B25" s="11"/>
      <c r="C25" s="12">
        <v>2026</v>
      </c>
      <c r="D25" s="12">
        <v>2027</v>
      </c>
      <c r="E25" s="12">
        <v>2028</v>
      </c>
      <c r="F25" s="12">
        <v>2029</v>
      </c>
      <c r="G25" s="12">
        <v>2030</v>
      </c>
      <c r="H25" s="12">
        <v>2031</v>
      </c>
      <c r="I25" s="12">
        <v>2032</v>
      </c>
      <c r="J25" s="12">
        <v>2033</v>
      </c>
      <c r="K25" s="12">
        <v>2034</v>
      </c>
      <c r="L25" s="12">
        <v>2035</v>
      </c>
      <c r="M25" s="12">
        <v>2036</v>
      </c>
      <c r="N25" s="12">
        <v>2037</v>
      </c>
      <c r="O25" s="12">
        <v>2038</v>
      </c>
      <c r="P25" s="12">
        <v>2039</v>
      </c>
      <c r="Q25" s="12">
        <v>2040</v>
      </c>
      <c r="R25" s="12">
        <v>2041</v>
      </c>
      <c r="S25" s="12">
        <v>2042</v>
      </c>
      <c r="T25" s="12">
        <v>2043</v>
      </c>
      <c r="U25" s="12">
        <v>2044</v>
      </c>
      <c r="V25" s="12">
        <v>2045</v>
      </c>
      <c r="W25" s="12">
        <v>2046</v>
      </c>
      <c r="X25" s="12">
        <v>2047</v>
      </c>
      <c r="Y25" s="12">
        <v>2048</v>
      </c>
      <c r="Z25" s="12">
        <v>2049</v>
      </c>
      <c r="AA25" s="12">
        <v>2050</v>
      </c>
    </row>
    <row r="26" spans="2:27" x14ac:dyDescent="0.2">
      <c r="B26" s="10" t="s">
        <v>28</v>
      </c>
      <c r="C26" s="13">
        <f>SUMIFS(Peak_Day[Achievable Peak Day therm 2026], Peak_Day[[Sector]:[Sector]], $B26, Peak_Day[[Cost-Effective]:[Cost-Effective]], 1)</f>
        <v>1648.2625511180192</v>
      </c>
      <c r="D26" s="13">
        <f>SUMIFS(Peak_Day[Achievable Peak Day therm 2027], Peak_Day[[Sector]:[Sector]], $B26, Peak_Day[[Cost-Effective]:[Cost-Effective]], 1)</f>
        <v>2321.5340869770712</v>
      </c>
      <c r="E26" s="13">
        <f>SUMIFS(Peak_Day[Achievable Peak Day therm 2028], Peak_Day[[Sector]:[Sector]], $B26, Peak_Day[[Cost-Effective]:[Cost-Effective]], 1)</f>
        <v>3304.788232996003</v>
      </c>
      <c r="F26" s="13">
        <f>SUMIFS(Peak_Day[Achievable Peak Day therm 2029], Peak_Day[[Sector]:[Sector]], $B26, Peak_Day[[Cost-Effective]:[Cost-Effective]], 1)</f>
        <v>4470.5976539322437</v>
      </c>
      <c r="G26" s="13">
        <f>SUMIFS(Peak_Day[Achievable Peak Day therm 2030], Peak_Day[[Sector]:[Sector]], $B26, Peak_Day[[Cost-Effective]:[Cost-Effective]], 1)</f>
        <v>5888.7978488014605</v>
      </c>
      <c r="H26" s="13">
        <f>SUMIFS(Peak_Day[Achievable Peak Day therm 2031], Peak_Day[[Sector]:[Sector]], $B26, Peak_Day[[Cost-Effective]:[Cost-Effective]], 1)</f>
        <v>7537.014382819696</v>
      </c>
      <c r="I26" s="13">
        <f>SUMIFS(Peak_Day[Achievable Peak Day therm 2032], Peak_Day[[Sector]:[Sector]], $B26, Peak_Day[[Cost-Effective]:[Cost-Effective]], 1)</f>
        <v>9352.1359680766545</v>
      </c>
      <c r="J26" s="13">
        <f>SUMIFS(Peak_Day[Achievable Peak Day therm 2033], Peak_Day[[Sector]:[Sector]], $B26, Peak_Day[[Cost-Effective]:[Cost-Effective]], 1)</f>
        <v>11226.490853168378</v>
      </c>
      <c r="K26" s="13">
        <f>SUMIFS(Peak_Day[Achievable Peak Day therm 2034], Peak_Day[[Sector]:[Sector]], $B26, Peak_Day[[Cost-Effective]:[Cost-Effective]], 1)</f>
        <v>13007.150936843504</v>
      </c>
      <c r="L26" s="13">
        <f>SUMIFS(Peak_Day[Achievable Peak Day therm 2035], Peak_Day[[Sector]:[Sector]], $B26, Peak_Day[[Cost-Effective]:[Cost-Effective]], 1)</f>
        <v>14506.993071847344</v>
      </c>
      <c r="M26" s="13">
        <f>SUMIFS(Peak_Day[Achievable Peak Day therm 2036], Peak_Day[[Sector]:[Sector]], $B26, Peak_Day[[Cost-Effective]:[Cost-Effective]], 1)</f>
        <v>15539.371131324682</v>
      </c>
      <c r="N26" s="13">
        <f>SUMIFS(Peak_Day[Achievable Peak Day therm 2037], Peak_Day[[Sector]:[Sector]], $B26, Peak_Day[[Cost-Effective]:[Cost-Effective]], 1)</f>
        <v>15953.675104284834</v>
      </c>
      <c r="O26" s="13">
        <f>SUMIFS(Peak_Day[Achievable Peak Day therm 2038], Peak_Day[[Sector]:[Sector]], $B26, Peak_Day[[Cost-Effective]:[Cost-Effective]], 1)</f>
        <v>15679.277318047158</v>
      </c>
      <c r="P26" s="13">
        <f>SUMIFS(Peak_Day[Achievable Peak Day therm 2039], Peak_Day[[Sector]:[Sector]], $B26, Peak_Day[[Cost-Effective]:[Cost-Effective]], 1)</f>
        <v>14815.185605275869</v>
      </c>
      <c r="Q26" s="13">
        <f>SUMIFS(Peak_Day[Achievable Peak Day therm 2040], Peak_Day[[Sector]:[Sector]], $B26, Peak_Day[[Cost-Effective]:[Cost-Effective]], 1)</f>
        <v>13413.748469944045</v>
      </c>
      <c r="R26" s="13">
        <f>SUMIFS(Peak_Day[Achievable Peak Day therm 2041], Peak_Day[[Sector]:[Sector]], $B26, Peak_Day[[Cost-Effective]:[Cost-Effective]], 1)</f>
        <v>11812.12552870625</v>
      </c>
      <c r="S26" s="13">
        <f>SUMIFS(Peak_Day[Achievable Peak Day therm 2042], Peak_Day[[Sector]:[Sector]], $B26, Peak_Day[[Cost-Effective]:[Cost-Effective]], 1)</f>
        <v>9840.2459142767075</v>
      </c>
      <c r="T26" s="13">
        <f>SUMIFS(Peak_Day[Achievable Peak Day therm 2043], Peak_Day[[Sector]:[Sector]], $B26, Peak_Day[[Cost-Effective]:[Cost-Effective]], 1)</f>
        <v>8449.1951136724401</v>
      </c>
      <c r="U26" s="13">
        <f>SUMIFS(Peak_Day[Achievable Peak Day therm 2044], Peak_Day[[Sector]:[Sector]], $B26, Peak_Day[[Cost-Effective]:[Cost-Effective]], 1)</f>
        <v>6468.4508392360567</v>
      </c>
      <c r="V26" s="13">
        <f>SUMIFS(Peak_Day[Achievable Peak Day therm 2045], Peak_Day[[Sector]:[Sector]], $B26, Peak_Day[[Cost-Effective]:[Cost-Effective]], 1)</f>
        <v>6283.7329061179998</v>
      </c>
      <c r="W26" s="13">
        <f>SUMIFS(Peak_Day[Achievable Peak Day therm 2046], Peak_Day[[Sector]:[Sector]], $B26, Peak_Day[[Cost-Effective]:[Cost-Effective]], 1)</f>
        <v>6201.9552645434824</v>
      </c>
      <c r="X26" s="13">
        <f>SUMIFS(Peak_Day[Achievable Peak Day therm 2047], Peak_Day[[Sector]:[Sector]], $B26, Peak_Day[[Cost-Effective]:[Cost-Effective]], 1)</f>
        <v>6125.9642399949398</v>
      </c>
      <c r="Y26" s="13">
        <f>SUMIFS(Peak_Day[Achievable Peak Day therm 2048], Peak_Day[[Sector]:[Sector]], $B26, Peak_Day[[Cost-Effective]:[Cost-Effective]], 1)</f>
        <v>6040.3912654799606</v>
      </c>
      <c r="Z26" s="13">
        <f>SUMIFS(Peak_Day[Achievable Peak Day therm 2049], Peak_Day[[Sector]:[Sector]], $B26, Peak_Day[[Cost-Effective]:[Cost-Effective]], 1)</f>
        <v>5944.1659469675315</v>
      </c>
      <c r="AA26" s="13">
        <f>SUMIFS(Peak_Day[Achievable Peak Day therm 2050], Peak_Day[[Sector]:[Sector]], $B26, Peak_Day[[Cost-Effective]:[Cost-Effective]], 1)</f>
        <v>5025.5646827004311</v>
      </c>
    </row>
    <row r="27" spans="2:27" x14ac:dyDescent="0.2">
      <c r="B27" s="10" t="s">
        <v>31</v>
      </c>
      <c r="C27" s="13">
        <f>SUMIFS(Peak_Day[Achievable Peak Day therm 2026], Peak_Day[[Sector]:[Sector]], $B27, Peak_Day[[Cost-Effective]:[Cost-Effective]], 1)</f>
        <v>2496.8878114580257</v>
      </c>
      <c r="D27" s="13">
        <f>SUMIFS(Peak_Day[Achievable Peak Day therm 2027], Peak_Day[[Sector]:[Sector]], $B27, Peak_Day[[Cost-Effective]:[Cost-Effective]], 1)</f>
        <v>2545.5201144253128</v>
      </c>
      <c r="E27" s="13">
        <f>SUMIFS(Peak_Day[Achievable Peak Day therm 2028], Peak_Day[[Sector]:[Sector]], $B27, Peak_Day[[Cost-Effective]:[Cost-Effective]], 1)</f>
        <v>2756.1301786964832</v>
      </c>
      <c r="F27" s="13">
        <f>SUMIFS(Peak_Day[Achievable Peak Day therm 2029], Peak_Day[[Sector]:[Sector]], $B27, Peak_Day[[Cost-Effective]:[Cost-Effective]], 1)</f>
        <v>3087.2254771733601</v>
      </c>
      <c r="G27" s="13">
        <f>SUMIFS(Peak_Day[Achievable Peak Day therm 2030], Peak_Day[[Sector]:[Sector]], $B27, Peak_Day[[Cost-Effective]:[Cost-Effective]], 1)</f>
        <v>3425.2460620150646</v>
      </c>
      <c r="H27" s="13">
        <f>SUMIFS(Peak_Day[Achievable Peak Day therm 2031], Peak_Day[[Sector]:[Sector]], $B27, Peak_Day[[Cost-Effective]:[Cost-Effective]], 1)</f>
        <v>3767.5939890297905</v>
      </c>
      <c r="I27" s="13">
        <f>SUMIFS(Peak_Day[Achievable Peak Day therm 2032], Peak_Day[[Sector]:[Sector]], $B27, Peak_Day[[Cost-Effective]:[Cost-Effective]], 1)</f>
        <v>3961.7849662859862</v>
      </c>
      <c r="J27" s="13">
        <f>SUMIFS(Peak_Day[Achievable Peak Day therm 2033], Peak_Day[[Sector]:[Sector]], $B27, Peak_Day[[Cost-Effective]:[Cost-Effective]], 1)</f>
        <v>3988.0290643013436</v>
      </c>
      <c r="K27" s="13">
        <f>SUMIFS(Peak_Day[Achievable Peak Day therm 2034], Peak_Day[[Sector]:[Sector]], $B27, Peak_Day[[Cost-Effective]:[Cost-Effective]], 1)</f>
        <v>3701.1293564992693</v>
      </c>
      <c r="L27" s="13">
        <f>SUMIFS(Peak_Day[Achievable Peak Day therm 2035], Peak_Day[[Sector]:[Sector]], $B27, Peak_Day[[Cost-Effective]:[Cost-Effective]], 1)</f>
        <v>3200.0641788965377</v>
      </c>
      <c r="M27" s="13">
        <f>SUMIFS(Peak_Day[Achievable Peak Day therm 2036], Peak_Day[[Sector]:[Sector]], $B27, Peak_Day[[Cost-Effective]:[Cost-Effective]], 1)</f>
        <v>2926.2175969987911</v>
      </c>
      <c r="N27" s="13">
        <f>SUMIFS(Peak_Day[Achievable Peak Day therm 2037], Peak_Day[[Sector]:[Sector]], $B27, Peak_Day[[Cost-Effective]:[Cost-Effective]], 1)</f>
        <v>3034.0831220889677</v>
      </c>
      <c r="O27" s="13">
        <f>SUMIFS(Peak_Day[Achievable Peak Day therm 2038], Peak_Day[[Sector]:[Sector]], $B27, Peak_Day[[Cost-Effective]:[Cost-Effective]], 1)</f>
        <v>3077.3127080954264</v>
      </c>
      <c r="P27" s="13">
        <f>SUMIFS(Peak_Day[Achievable Peak Day therm 2039], Peak_Day[[Sector]:[Sector]], $B27, Peak_Day[[Cost-Effective]:[Cost-Effective]], 1)</f>
        <v>3000.0996861225012</v>
      </c>
      <c r="Q27" s="13">
        <f>SUMIFS(Peak_Day[Achievable Peak Day therm 2040], Peak_Day[[Sector]:[Sector]], $B27, Peak_Day[[Cost-Effective]:[Cost-Effective]], 1)</f>
        <v>2802.0813523013076</v>
      </c>
      <c r="R27" s="13">
        <f>SUMIFS(Peak_Day[Achievable Peak Day therm 2041], Peak_Day[[Sector]:[Sector]], $B27, Peak_Day[[Cost-Effective]:[Cost-Effective]], 1)</f>
        <v>2447.6150181829289</v>
      </c>
      <c r="S27" s="13">
        <f>SUMIFS(Peak_Day[Achievable Peak Day therm 2042], Peak_Day[[Sector]:[Sector]], $B27, Peak_Day[[Cost-Effective]:[Cost-Effective]], 1)</f>
        <v>2134.4178644808139</v>
      </c>
      <c r="T27" s="13">
        <f>SUMIFS(Peak_Day[Achievable Peak Day therm 2043], Peak_Day[[Sector]:[Sector]], $B27, Peak_Day[[Cost-Effective]:[Cost-Effective]], 1)</f>
        <v>1888.5173040992408</v>
      </c>
      <c r="U27" s="13">
        <f>SUMIFS(Peak_Day[Achievable Peak Day therm 2044], Peak_Day[[Sector]:[Sector]], $B27, Peak_Day[[Cost-Effective]:[Cost-Effective]], 1)</f>
        <v>1483.8679422784785</v>
      </c>
      <c r="V27" s="13">
        <f>SUMIFS(Peak_Day[Achievable Peak Day therm 2045], Peak_Day[[Sector]:[Sector]], $B27, Peak_Day[[Cost-Effective]:[Cost-Effective]], 1)</f>
        <v>1421.6149769702556</v>
      </c>
      <c r="W27" s="13">
        <f>SUMIFS(Peak_Day[Achievable Peak Day therm 2046], Peak_Day[[Sector]:[Sector]], $B27, Peak_Day[[Cost-Effective]:[Cost-Effective]], 1)</f>
        <v>1424.3448740787799</v>
      </c>
      <c r="X27" s="13">
        <f>SUMIFS(Peak_Day[Achievable Peak Day therm 2047], Peak_Day[[Sector]:[Sector]], $B27, Peak_Day[[Cost-Effective]:[Cost-Effective]], 1)</f>
        <v>1383.6798031155454</v>
      </c>
      <c r="Y27" s="13">
        <f>SUMIFS(Peak_Day[Achievable Peak Day therm 2048], Peak_Day[[Sector]:[Sector]], $B27, Peak_Day[[Cost-Effective]:[Cost-Effective]], 1)</f>
        <v>1321.8314613589246</v>
      </c>
      <c r="Z27" s="13">
        <f>SUMIFS(Peak_Day[Achievable Peak Day therm 2049], Peak_Day[[Sector]:[Sector]], $B27, Peak_Day[[Cost-Effective]:[Cost-Effective]], 1)</f>
        <v>1283.7335804867432</v>
      </c>
      <c r="AA27" s="13">
        <f>SUMIFS(Peak_Day[Achievable Peak Day therm 2050], Peak_Day[[Sector]:[Sector]], $B27, Peak_Day[[Cost-Effective]:[Cost-Effective]], 1)</f>
        <v>725.59804658376527</v>
      </c>
    </row>
    <row r="28" spans="2:27" x14ac:dyDescent="0.2">
      <c r="B28" s="10" t="s">
        <v>33</v>
      </c>
      <c r="C28" s="13">
        <f>SUMIFS(Peak_Day[Achievable Peak Day therm 2026], Peak_Day[[Sector]:[Sector]], $B28, Peak_Day[[Cost-Effective]:[Cost-Effective]], 1)</f>
        <v>163.32637041371871</v>
      </c>
      <c r="D28" s="13">
        <f>SUMIFS(Peak_Day[Achievable Peak Day therm 2027], Peak_Day[[Sector]:[Sector]], $B28, Peak_Day[[Cost-Effective]:[Cost-Effective]], 1)</f>
        <v>310.62094666136562</v>
      </c>
      <c r="E28" s="13">
        <f>SUMIFS(Peak_Day[Achievable Peak Day therm 2028], Peak_Day[[Sector]:[Sector]], $B28, Peak_Day[[Cost-Effective]:[Cost-Effective]], 1)</f>
        <v>533.42626481200273</v>
      </c>
      <c r="F28" s="13">
        <f>SUMIFS(Peak_Day[Achievable Peak Day therm 2029], Peak_Day[[Sector]:[Sector]], $B28, Peak_Day[[Cost-Effective]:[Cost-Effective]], 1)</f>
        <v>844.61358121155592</v>
      </c>
      <c r="G28" s="13">
        <f>SUMIFS(Peak_Day[Achievable Peak Day therm 2030], Peak_Day[[Sector]:[Sector]], $B28, Peak_Day[[Cost-Effective]:[Cost-Effective]], 1)</f>
        <v>1253.6843618873481</v>
      </c>
      <c r="H28" s="13">
        <f>SUMIFS(Peak_Day[Achievable Peak Day therm 2031], Peak_Day[[Sector]:[Sector]], $B28, Peak_Day[[Cost-Effective]:[Cost-Effective]], 1)</f>
        <v>1760.8876164174014</v>
      </c>
      <c r="I28" s="13">
        <f>SUMIFS(Peak_Day[Achievable Peak Day therm 2032], Peak_Day[[Sector]:[Sector]], $B28, Peak_Day[[Cost-Effective]:[Cost-Effective]], 1)</f>
        <v>2353.393140240672</v>
      </c>
      <c r="J28" s="13">
        <f>SUMIFS(Peak_Day[Achievable Peak Day therm 2033], Peak_Day[[Sector]:[Sector]], $B28, Peak_Day[[Cost-Effective]:[Cost-Effective]], 1)</f>
        <v>3001.3155715476273</v>
      </c>
      <c r="K28" s="13">
        <f>SUMIFS(Peak_Day[Achievable Peak Day therm 2034], Peak_Day[[Sector]:[Sector]], $B28, Peak_Day[[Cost-Effective]:[Cost-Effective]], 1)</f>
        <v>3655.500801525317</v>
      </c>
      <c r="L28" s="13">
        <f>SUMIFS(Peak_Day[Achievable Peak Day therm 2035], Peak_Day[[Sector]:[Sector]], $B28, Peak_Day[[Cost-Effective]:[Cost-Effective]], 1)</f>
        <v>4248.9974110206167</v>
      </c>
      <c r="M28" s="13">
        <f>SUMIFS(Peak_Day[Achievable Peak Day therm 2036], Peak_Day[[Sector]:[Sector]], $B28, Peak_Day[[Cost-Effective]:[Cost-Effective]], 1)</f>
        <v>4704.0672578436852</v>
      </c>
      <c r="N28" s="13">
        <f>SUMIFS(Peak_Day[Achievable Peak Day therm 2037], Peak_Day[[Sector]:[Sector]], $B28, Peak_Day[[Cost-Effective]:[Cost-Effective]], 1)</f>
        <v>4945.5211004738358</v>
      </c>
      <c r="O28" s="13">
        <f>SUMIFS(Peak_Day[Achievable Peak Day therm 2038], Peak_Day[[Sector]:[Sector]], $B28, Peak_Day[[Cost-Effective]:[Cost-Effective]], 1)</f>
        <v>4918.8650679160337</v>
      </c>
      <c r="P28" s="13">
        <f>SUMIFS(Peak_Day[Achievable Peak Day therm 2039], Peak_Day[[Sector]:[Sector]], $B28, Peak_Day[[Cost-Effective]:[Cost-Effective]], 1)</f>
        <v>4612.2721364291883</v>
      </c>
      <c r="Q28" s="13">
        <f>SUMIFS(Peak_Day[Achievable Peak Day therm 2040], Peak_Day[[Sector]:[Sector]], $B28, Peak_Day[[Cost-Effective]:[Cost-Effective]], 1)</f>
        <v>3922.3699866009529</v>
      </c>
      <c r="R28" s="13">
        <f>SUMIFS(Peak_Day[Achievable Peak Day therm 2041], Peak_Day[[Sector]:[Sector]], $B28, Peak_Day[[Cost-Effective]:[Cost-Effective]], 1)</f>
        <v>3258.2128852642727</v>
      </c>
      <c r="S28" s="13">
        <f>SUMIFS(Peak_Day[Achievable Peak Day therm 2042], Peak_Day[[Sector]:[Sector]], $B28, Peak_Day[[Cost-Effective]:[Cost-Effective]], 1)</f>
        <v>1408.844733790072</v>
      </c>
      <c r="T28" s="13">
        <f>SUMIFS(Peak_Day[Achievable Peak Day therm 2043], Peak_Day[[Sector]:[Sector]], $B28, Peak_Day[[Cost-Effective]:[Cost-Effective]], 1)</f>
        <v>361.60173546548054</v>
      </c>
      <c r="U28" s="13">
        <f>SUMIFS(Peak_Day[Achievable Peak Day therm 2044], Peak_Day[[Sector]:[Sector]], $B28, Peak_Day[[Cost-Effective]:[Cost-Effective]], 1)</f>
        <v>361.10970838889699</v>
      </c>
      <c r="V28" s="13">
        <f>SUMIFS(Peak_Day[Achievable Peak Day therm 2045], Peak_Day[[Sector]:[Sector]], $B28, Peak_Day[[Cost-Effective]:[Cost-Effective]], 1)</f>
        <v>359.16625964509495</v>
      </c>
      <c r="W28" s="13">
        <f>SUMIFS(Peak_Day[Achievable Peak Day therm 2046], Peak_Day[[Sector]:[Sector]], $B28, Peak_Day[[Cost-Effective]:[Cost-Effective]], 1)</f>
        <v>356.60524260917481</v>
      </c>
      <c r="X28" s="13">
        <f>SUMIFS(Peak_Day[Achievable Peak Day therm 2047], Peak_Day[[Sector]:[Sector]], $B28, Peak_Day[[Cost-Effective]:[Cost-Effective]], 1)</f>
        <v>353.85528625260866</v>
      </c>
      <c r="Y28" s="13">
        <f>SUMIFS(Peak_Day[Achievable Peak Day therm 2048], Peak_Day[[Sector]:[Sector]], $B28, Peak_Day[[Cost-Effective]:[Cost-Effective]], 1)</f>
        <v>351.12653686287007</v>
      </c>
      <c r="Z28" s="13">
        <f>SUMIFS(Peak_Day[Achievable Peak Day therm 2049], Peak_Day[[Sector]:[Sector]], $B28, Peak_Day[[Cost-Effective]:[Cost-Effective]], 1)</f>
        <v>348.41883089118454</v>
      </c>
      <c r="AA28" s="13">
        <f>SUMIFS(Peak_Day[Achievable Peak Day therm 2050], Peak_Day[[Sector]:[Sector]], $B28, Peak_Day[[Cost-Effective]:[Cost-Effective]], 1)</f>
        <v>345.73200605012096</v>
      </c>
    </row>
    <row r="29" spans="2:27" ht="13.5" thickBot="1" x14ac:dyDescent="0.25">
      <c r="B29" s="14" t="s">
        <v>34</v>
      </c>
      <c r="C29" s="15">
        <f>SUM(C26:C28)</f>
        <v>4308.4767329897641</v>
      </c>
      <c r="D29" s="15">
        <f t="shared" ref="D29:AA29" si="10">SUM(D26:D28)</f>
        <v>5177.6751480637495</v>
      </c>
      <c r="E29" s="15">
        <f t="shared" si="10"/>
        <v>6594.3446765044891</v>
      </c>
      <c r="F29" s="15">
        <f t="shared" si="10"/>
        <v>8402.4367123171596</v>
      </c>
      <c r="G29" s="15">
        <f t="shared" si="10"/>
        <v>10567.728272703873</v>
      </c>
      <c r="H29" s="15">
        <f t="shared" si="10"/>
        <v>13065.495988266888</v>
      </c>
      <c r="I29" s="15">
        <f t="shared" si="10"/>
        <v>15667.314074603313</v>
      </c>
      <c r="J29" s="15">
        <f t="shared" si="10"/>
        <v>18215.835489017347</v>
      </c>
      <c r="K29" s="15">
        <f t="shared" si="10"/>
        <v>20363.781094868093</v>
      </c>
      <c r="L29" s="15">
        <f t="shared" si="10"/>
        <v>21956.054661764498</v>
      </c>
      <c r="M29" s="15">
        <f t="shared" si="10"/>
        <v>23169.655986167159</v>
      </c>
      <c r="N29" s="15">
        <f t="shared" si="10"/>
        <v>23933.279326847638</v>
      </c>
      <c r="O29" s="15">
        <f t="shared" si="10"/>
        <v>23675.45509405862</v>
      </c>
      <c r="P29" s="15">
        <f t="shared" si="10"/>
        <v>22427.55742782756</v>
      </c>
      <c r="Q29" s="15">
        <f t="shared" si="10"/>
        <v>20138.199808846304</v>
      </c>
      <c r="R29" s="15">
        <f t="shared" si="10"/>
        <v>17517.953432153452</v>
      </c>
      <c r="S29" s="15">
        <f t="shared" si="10"/>
        <v>13383.508512547594</v>
      </c>
      <c r="T29" s="15">
        <f t="shared" si="10"/>
        <v>10699.314153237163</v>
      </c>
      <c r="U29" s="15">
        <f t="shared" si="10"/>
        <v>8313.4284899034319</v>
      </c>
      <c r="V29" s="15">
        <f t="shared" si="10"/>
        <v>8064.514142733351</v>
      </c>
      <c r="W29" s="15">
        <f t="shared" si="10"/>
        <v>7982.9053812314369</v>
      </c>
      <c r="X29" s="15">
        <f t="shared" si="10"/>
        <v>7863.4993293630941</v>
      </c>
      <c r="Y29" s="15">
        <f t="shared" si="10"/>
        <v>7713.3492637017553</v>
      </c>
      <c r="Z29" s="15">
        <f t="shared" si="10"/>
        <v>7576.3183583454593</v>
      </c>
      <c r="AA29" s="15">
        <f t="shared" si="10"/>
        <v>6096.8947353343174</v>
      </c>
    </row>
    <row r="32" spans="2:27" x14ac:dyDescent="0.2">
      <c r="B32" s="9" t="s">
        <v>75</v>
      </c>
    </row>
    <row r="33" spans="2:27" x14ac:dyDescent="0.2">
      <c r="B33" s="11"/>
      <c r="C33" s="12">
        <v>2026</v>
      </c>
      <c r="D33" s="12">
        <v>2027</v>
      </c>
      <c r="E33" s="12">
        <v>2028</v>
      </c>
      <c r="F33" s="12">
        <v>2029</v>
      </c>
      <c r="G33" s="12">
        <v>2030</v>
      </c>
      <c r="H33" s="12">
        <v>2031</v>
      </c>
      <c r="I33" s="12">
        <v>2032</v>
      </c>
      <c r="J33" s="12">
        <v>2033</v>
      </c>
      <c r="K33" s="12">
        <v>2034</v>
      </c>
      <c r="L33" s="12">
        <v>2035</v>
      </c>
      <c r="M33" s="12">
        <v>2036</v>
      </c>
      <c r="N33" s="12">
        <v>2037</v>
      </c>
      <c r="O33" s="12">
        <v>2038</v>
      </c>
      <c r="P33" s="12">
        <v>2039</v>
      </c>
      <c r="Q33" s="12">
        <v>2040</v>
      </c>
      <c r="R33" s="12">
        <v>2041</v>
      </c>
      <c r="S33" s="12">
        <v>2042</v>
      </c>
      <c r="T33" s="12">
        <v>2043</v>
      </c>
      <c r="U33" s="12">
        <v>2044</v>
      </c>
      <c r="V33" s="12">
        <v>2045</v>
      </c>
      <c r="W33" s="12">
        <v>2046</v>
      </c>
      <c r="X33" s="12">
        <v>2047</v>
      </c>
      <c r="Y33" s="12">
        <v>2048</v>
      </c>
      <c r="Z33" s="12">
        <v>2049</v>
      </c>
      <c r="AA33" s="12">
        <v>2050</v>
      </c>
    </row>
    <row r="34" spans="2:27" x14ac:dyDescent="0.2">
      <c r="B34" s="9" t="s">
        <v>28</v>
      </c>
      <c r="C34" s="18">
        <f>SUMIFS(Peak_Day[Achievable Peak Day therm 2026], Peak_Day[[Rate Class]:[Rate Class]], $B34)</f>
        <v>2486.4778880416034</v>
      </c>
      <c r="D34" s="18">
        <f>SUMIFS(Peak_Day[Achievable Peak Day therm 2027], Peak_Day[[Rate Class]:[Rate Class]], $B34)</f>
        <v>3245.7260230904253</v>
      </c>
      <c r="E34" s="18">
        <f>SUMIFS(Peak_Day[Achievable Peak Day therm 2028], Peak_Day[[Rate Class]:[Rate Class]], $B34)</f>
        <v>4414.1754181391834</v>
      </c>
      <c r="F34" s="18">
        <f>SUMIFS(Peak_Day[Achievable Peak Day therm 2029], Peak_Day[[Rate Class]:[Rate Class]], $B34)</f>
        <v>5716.741886443464</v>
      </c>
      <c r="G34" s="18">
        <f>SUMIFS(Peak_Day[Achievable Peak Day therm 2030], Peak_Day[[Rate Class]:[Rate Class]], $B34)</f>
        <v>7277.7189773928658</v>
      </c>
      <c r="H34" s="18">
        <f>SUMIFS(Peak_Day[Achievable Peak Day therm 2031], Peak_Day[[Rate Class]:[Rate Class]], $B34)</f>
        <v>9158.7264211586044</v>
      </c>
      <c r="I34" s="18">
        <f>SUMIFS(Peak_Day[Achievable Peak Day therm 2032], Peak_Day[[Rate Class]:[Rate Class]], $B34)</f>
        <v>11283.665565568263</v>
      </c>
      <c r="J34" s="18">
        <f>SUMIFS(Peak_Day[Achievable Peak Day therm 2033], Peak_Day[[Rate Class]:[Rate Class]], $B34)</f>
        <v>13522.32611211895</v>
      </c>
      <c r="K34" s="18">
        <f>SUMIFS(Peak_Day[Achievable Peak Day therm 2034], Peak_Day[[Rate Class]:[Rate Class]], $B34)</f>
        <v>15687.939381377988</v>
      </c>
      <c r="L34" s="18">
        <f>SUMIFS(Peak_Day[Achievable Peak Day therm 2035], Peak_Day[[Rate Class]:[Rate Class]], $B34)</f>
        <v>17548.547503438647</v>
      </c>
      <c r="M34" s="18">
        <f>SUMIFS(Peak_Day[Achievable Peak Day therm 2036], Peak_Day[[Rate Class]:[Rate Class]], $B34)</f>
        <v>18865.140947790522</v>
      </c>
      <c r="N34" s="18">
        <f>SUMIFS(Peak_Day[Achievable Peak Day therm 2037], Peak_Day[[Rate Class]:[Rate Class]], $B34)</f>
        <v>19356.859405660016</v>
      </c>
      <c r="O34" s="18">
        <f>SUMIFS(Peak_Day[Achievable Peak Day therm 2038], Peak_Day[[Rate Class]:[Rate Class]], $B34)</f>
        <v>19058.046645343828</v>
      </c>
      <c r="P34" s="18">
        <f>SUMIFS(Peak_Day[Achievable Peak Day therm 2039], Peak_Day[[Rate Class]:[Rate Class]], $B34)</f>
        <v>18009.201532563573</v>
      </c>
      <c r="Q34" s="18">
        <f>SUMIFS(Peak_Day[Achievable Peak Day therm 2040], Peak_Day[[Rate Class]:[Rate Class]], $B34)</f>
        <v>16251.454838118818</v>
      </c>
      <c r="R34" s="18">
        <f>SUMIFS(Peak_Day[Achievable Peak Day therm 2041], Peak_Day[[Rate Class]:[Rate Class]], $B34)</f>
        <v>14200.769180212215</v>
      </c>
      <c r="S34" s="18">
        <f>SUMIFS(Peak_Day[Achievable Peak Day therm 2042], Peak_Day[[Rate Class]:[Rate Class]], $B34)</f>
        <v>11714.913226006514</v>
      </c>
      <c r="T34" s="18">
        <f>SUMIFS(Peak_Day[Achievable Peak Day therm 2043], Peak_Day[[Rate Class]:[Rate Class]], $B34)</f>
        <v>9812.6222096808433</v>
      </c>
      <c r="U34" s="18">
        <f>SUMIFS(Peak_Day[Achievable Peak Day therm 2044], Peak_Day[[Rate Class]:[Rate Class]], $B34)</f>
        <v>6854.9037064472523</v>
      </c>
      <c r="V34" s="18">
        <f>SUMIFS(Peak_Day[Achievable Peak Day therm 2045], Peak_Day[[Rate Class]:[Rate Class]], $B34)</f>
        <v>6538.4475814702873</v>
      </c>
      <c r="W34" s="18">
        <f>SUMIFS(Peak_Day[Achievable Peak Day therm 2046], Peak_Day[[Rate Class]:[Rate Class]], $B34)</f>
        <v>6455.7608684802608</v>
      </c>
      <c r="X34" s="18">
        <f>SUMIFS(Peak_Day[Achievable Peak Day therm 2047], Peak_Day[[Rate Class]:[Rate Class]], $B34)</f>
        <v>6378.8575193185779</v>
      </c>
      <c r="Y34" s="18">
        <f>SUMIFS(Peak_Day[Achievable Peak Day therm 2048], Peak_Day[[Rate Class]:[Rate Class]], $B34)</f>
        <v>6292.36376838251</v>
      </c>
      <c r="Z34" s="18">
        <f>SUMIFS(Peak_Day[Achievable Peak Day therm 2049], Peak_Day[[Rate Class]:[Rate Class]], $B34)</f>
        <v>6195.2059307037234</v>
      </c>
      <c r="AA34" s="18">
        <f>SUMIFS(Peak_Day[Achievable Peak Day therm 2050], Peak_Day[[Rate Class]:[Rate Class]], $B34)</f>
        <v>5275.6580298371046</v>
      </c>
    </row>
    <row r="35" spans="2:27" x14ac:dyDescent="0.2">
      <c r="B35" s="9" t="s">
        <v>31</v>
      </c>
      <c r="C35" s="18">
        <f>SUMIFS(Peak_Day[Achievable Peak Day therm 2026], Peak_Day[[Rate Class]:[Rate Class]], $B35)</f>
        <v>2530.8277418645703</v>
      </c>
      <c r="D35" s="18">
        <f>SUMIFS(Peak_Day[Achievable Peak Day therm 2027], Peak_Day[[Rate Class]:[Rate Class]], $B35)</f>
        <v>2606.0646983482829</v>
      </c>
      <c r="E35" s="18">
        <f>SUMIFS(Peak_Day[Achievable Peak Day therm 2028], Peak_Day[[Rate Class]:[Rate Class]], $B35)</f>
        <v>2859.8605461605775</v>
      </c>
      <c r="F35" s="18">
        <f>SUMIFS(Peak_Day[Achievable Peak Day therm 2029], Peak_Day[[Rate Class]:[Rate Class]], $B35)</f>
        <v>3243.7433604578182</v>
      </c>
      <c r="G35" s="18">
        <f>SUMIFS(Peak_Day[Achievable Peak Day therm 2030], Peak_Day[[Rate Class]:[Rate Class]], $B35)</f>
        <v>3648.3597807517722</v>
      </c>
      <c r="H35" s="18">
        <f>SUMIFS(Peak_Day[Achievable Peak Day therm 2031], Peak_Day[[Rate Class]:[Rate Class]], $B35)</f>
        <v>4069.8906973356361</v>
      </c>
      <c r="I35" s="18">
        <f>SUMIFS(Peak_Day[Achievable Peak Day therm 2032], Peak_Day[[Rate Class]:[Rate Class]], $B35)</f>
        <v>4352.7063877478122</v>
      </c>
      <c r="J35" s="18">
        <f>SUMIFS(Peak_Day[Achievable Peak Day therm 2033], Peak_Day[[Rate Class]:[Rate Class]], $B35)</f>
        <v>4471.1363589024631</v>
      </c>
      <c r="K35" s="18">
        <f>SUMIFS(Peak_Day[Achievable Peak Day therm 2034], Peak_Day[[Rate Class]:[Rate Class]], $B35)</f>
        <v>4271.5457330852678</v>
      </c>
      <c r="L35" s="18">
        <f>SUMIFS(Peak_Day[Achievable Peak Day therm 2035], Peak_Day[[Rate Class]:[Rate Class]], $B35)</f>
        <v>3842.7489072254075</v>
      </c>
      <c r="M35" s="18">
        <f>SUMIFS(Peak_Day[Achievable Peak Day therm 2036], Peak_Day[[Rate Class]:[Rate Class]], $B35)</f>
        <v>3615.5468375045052</v>
      </c>
      <c r="N35" s="18">
        <f>SUMIFS(Peak_Day[Achievable Peak Day therm 2037], Peak_Day[[Rate Class]:[Rate Class]], $B35)</f>
        <v>3735.1530295814805</v>
      </c>
      <c r="O35" s="18">
        <f>SUMIFS(Peak_Day[Achievable Peak Day therm 2038], Peak_Day[[Rate Class]:[Rate Class]], $B35)</f>
        <v>3751.9096296868797</v>
      </c>
      <c r="P35" s="18">
        <f>SUMIFS(Peak_Day[Achievable Peak Day therm 2039], Peak_Day[[Rate Class]:[Rate Class]], $B35)</f>
        <v>3613.590741576953</v>
      </c>
      <c r="Q35" s="18">
        <f>SUMIFS(Peak_Day[Achievable Peak Day therm 2040], Peak_Day[[Rate Class]:[Rate Class]], $B35)</f>
        <v>3281.4270064429247</v>
      </c>
      <c r="R35" s="18">
        <f>SUMIFS(Peak_Day[Achievable Peak Day therm 2041], Peak_Day[[Rate Class]:[Rate Class]], $B35)</f>
        <v>2816.1933319798763</v>
      </c>
      <c r="S35" s="18">
        <f>SUMIFS(Peak_Day[Achievable Peak Day therm 2042], Peak_Day[[Rate Class]:[Rate Class]], $B35)</f>
        <v>2294.0115031161022</v>
      </c>
      <c r="T35" s="18">
        <f>SUMIFS(Peak_Day[Achievable Peak Day therm 2043], Peak_Day[[Rate Class]:[Rate Class]], $B35)</f>
        <v>1936.8912384455398</v>
      </c>
      <c r="U35" s="18">
        <f>SUMIFS(Peak_Day[Achievable Peak Day therm 2044], Peak_Day[[Rate Class]:[Rate Class]], $B35)</f>
        <v>1524.5152785442672</v>
      </c>
      <c r="V35" s="18">
        <f>SUMIFS(Peak_Day[Achievable Peak Day therm 2045], Peak_Day[[Rate Class]:[Rate Class]], $B35)</f>
        <v>1458.0378318273026</v>
      </c>
      <c r="W35" s="18">
        <f>SUMIFS(Peak_Day[Achievable Peak Day therm 2046], Peak_Day[[Rate Class]:[Rate Class]], $B35)</f>
        <v>1460.343010873738</v>
      </c>
      <c r="X35" s="18">
        <f>SUMIFS(Peak_Day[Achievable Peak Day therm 2047], Peak_Day[[Rate Class]:[Rate Class]], $B35)</f>
        <v>1419.3471380117221</v>
      </c>
      <c r="Y35" s="18">
        <f>SUMIFS(Peak_Day[Achievable Peak Day therm 2048], Peak_Day[[Rate Class]:[Rate Class]], $B35)</f>
        <v>1357.1681616404178</v>
      </c>
      <c r="Z35" s="18">
        <f>SUMIFS(Peak_Day[Achievable Peak Day therm 2049], Peak_Day[[Rate Class]:[Rate Class]], $B35)</f>
        <v>1318.7465157785514</v>
      </c>
      <c r="AA35" s="18">
        <f>SUMIFS(Peak_Day[Achievable Peak Day therm 2050], Peak_Day[[Rate Class]:[Rate Class]], $B35)</f>
        <v>760.83922622102625</v>
      </c>
    </row>
    <row r="36" spans="2:27" x14ac:dyDescent="0.2">
      <c r="B36" s="16" t="s">
        <v>39</v>
      </c>
      <c r="C36" s="17">
        <f>SUMIFS(Peak_Day[Achievable Peak Day therm 2026], Peak_Day[[Rate Class]:[Rate Class]], $B35, Peak_Day[[Sales/Transport]:[Sales/Transport]], $B36)</f>
        <v>2395.1141051702416</v>
      </c>
      <c r="D36" s="17">
        <f>SUMIFS(Peak_Day[Achievable Peak Day therm 2027], Peak_Day[[Rate Class]:[Rate Class]], $B35, Peak_Day[[Sales/Transport]:[Sales/Transport]], $B36)</f>
        <v>2452.8684649865513</v>
      </c>
      <c r="E36" s="17">
        <f>SUMIFS(Peak_Day[Achievable Peak Day therm 2028], Peak_Day[[Rate Class]:[Rate Class]], $B35, Peak_Day[[Sales/Transport]:[Sales/Transport]], $B36)</f>
        <v>2684.0281576034358</v>
      </c>
      <c r="F36" s="17">
        <f>SUMIFS(Peak_Day[Achievable Peak Day therm 2029], Peak_Day[[Rate Class]:[Rate Class]], $B35, Peak_Day[[Sales/Transport]:[Sales/Transport]], $B36)</f>
        <v>3038.0412006147508</v>
      </c>
      <c r="G36" s="17">
        <f>SUMIFS(Peak_Day[Achievable Peak Day therm 2030], Peak_Day[[Rate Class]:[Rate Class]], $B35, Peak_Day[[Sales/Transport]:[Sales/Transport]], $B36)</f>
        <v>3414.739516383529</v>
      </c>
      <c r="H36" s="17">
        <f>SUMIFS(Peak_Day[Achievable Peak Day therm 2031], Peak_Day[[Rate Class]:[Rate Class]], $B35, Peak_Day[[Sales/Transport]:[Sales/Transport]], $B36)</f>
        <v>3815.5220752263149</v>
      </c>
      <c r="I36" s="17">
        <f>SUMIFS(Peak_Day[Achievable Peak Day therm 2032], Peak_Day[[Rate Class]:[Rate Class]], $B35, Peak_Day[[Sales/Transport]:[Sales/Transport]], $B36)</f>
        <v>4090.2543435423763</v>
      </c>
      <c r="J36" s="17">
        <f>SUMIFS(Peak_Day[Achievable Peak Day therm 2033], Peak_Day[[Rate Class]:[Rate Class]], $B35, Peak_Day[[Sales/Transport]:[Sales/Transport]], $B36)</f>
        <v>4213.6603076126767</v>
      </c>
      <c r="K36" s="17">
        <f>SUMIFS(Peak_Day[Achievable Peak Day therm 2034], Peak_Day[[Rate Class]:[Rate Class]], $B35, Peak_Day[[Sales/Transport]:[Sales/Transport]], $B36)</f>
        <v>4029.3154262565208</v>
      </c>
      <c r="L36" s="17">
        <f>SUMIFS(Peak_Day[Achievable Peak Day therm 2035], Peak_Day[[Rate Class]:[Rate Class]], $B35, Peak_Day[[Sales/Transport]:[Sales/Transport]], $B36)</f>
        <v>3662.6657464825157</v>
      </c>
      <c r="M36" s="17">
        <f>SUMIFS(Peak_Day[Achievable Peak Day therm 2036], Peak_Day[[Rate Class]:[Rate Class]], $B35, Peak_Day[[Sales/Transport]:[Sales/Transport]], $B36)</f>
        <v>3459.4664845939574</v>
      </c>
      <c r="N36" s="17">
        <f>SUMIFS(Peak_Day[Achievable Peak Day therm 2037], Peak_Day[[Rate Class]:[Rate Class]], $B35, Peak_Day[[Sales/Transport]:[Sales/Transport]], $B36)</f>
        <v>3575.2562008503814</v>
      </c>
      <c r="O36" s="17">
        <f>SUMIFS(Peak_Day[Achievable Peak Day therm 2038], Peak_Day[[Rate Class]:[Rate Class]], $B35, Peak_Day[[Sales/Transport]:[Sales/Transport]], $B36)</f>
        <v>3593.9406410488718</v>
      </c>
      <c r="P36" s="17">
        <f>SUMIFS(Peak_Day[Achievable Peak Day therm 2039], Peak_Day[[Rate Class]:[Rate Class]], $B35, Peak_Day[[Sales/Transport]:[Sales/Transport]], $B36)</f>
        <v>3462.9193104334377</v>
      </c>
      <c r="Q36" s="17">
        <f>SUMIFS(Peak_Day[Achievable Peak Day therm 2040], Peak_Day[[Rate Class]:[Rate Class]], $B35, Peak_Day[[Sales/Transport]:[Sales/Transport]], $B36)</f>
        <v>3142.6265581843959</v>
      </c>
      <c r="R36" s="17">
        <f>SUMIFS(Peak_Day[Achievable Peak Day therm 2041], Peak_Day[[Rate Class]:[Rate Class]], $B35, Peak_Day[[Sales/Transport]:[Sales/Transport]], $B36)</f>
        <v>2705.3183497621403</v>
      </c>
      <c r="S36" s="17">
        <f>SUMIFS(Peak_Day[Achievable Peak Day therm 2042], Peak_Day[[Rate Class]:[Rate Class]], $B35, Peak_Day[[Sales/Transport]:[Sales/Transport]], $B36)</f>
        <v>2193.3618408693078</v>
      </c>
      <c r="T36" s="17">
        <f>SUMIFS(Peak_Day[Achievable Peak Day therm 2043], Peak_Day[[Rate Class]:[Rate Class]], $B35, Peak_Day[[Sales/Transport]:[Sales/Transport]], $B36)</f>
        <v>1851.0142414935979</v>
      </c>
      <c r="U36" s="17">
        <f>SUMIFS(Peak_Day[Achievable Peak Day therm 2044], Peak_Day[[Rate Class]:[Rate Class]], $B35, Peak_Day[[Sales/Transport]:[Sales/Transport]], $B36)</f>
        <v>1449.9411462905314</v>
      </c>
      <c r="V36" s="17">
        <f>SUMIFS(Peak_Day[Achievable Peak Day therm 2045], Peak_Day[[Rate Class]:[Rate Class]], $B35, Peak_Day[[Sales/Transport]:[Sales/Transport]], $B36)</f>
        <v>1384.6494929828852</v>
      </c>
      <c r="W36" s="17">
        <f>SUMIFS(Peak_Day[Achievable Peak Day therm 2046], Peak_Day[[Rate Class]:[Rate Class]], $B35, Peak_Day[[Sales/Transport]:[Sales/Transport]], $B36)</f>
        <v>1387.0353330395883</v>
      </c>
      <c r="X36" s="17">
        <f>SUMIFS(Peak_Day[Achievable Peak Day therm 2047], Peak_Day[[Rate Class]:[Rate Class]], $B35, Peak_Day[[Sales/Transport]:[Sales/Transport]], $B36)</f>
        <v>1347.6337497914499</v>
      </c>
      <c r="Y36" s="17">
        <f>SUMIFS(Peak_Day[Achievable Peak Day therm 2048], Peak_Day[[Rate Class]:[Rate Class]], $B35, Peak_Day[[Sales/Transport]:[Sales/Transport]], $B36)</f>
        <v>1286.9380549500461</v>
      </c>
      <c r="Z36" s="17">
        <f>SUMIFS(Peak_Day[Achievable Peak Day therm 2049], Peak_Day[[Rate Class]:[Rate Class]], $B35, Peak_Day[[Sales/Transport]:[Sales/Transport]], $B36)</f>
        <v>1250.4557865071508</v>
      </c>
      <c r="AA36" s="17">
        <f>SUMIFS(Peak_Day[Achievable Peak Day therm 2050], Peak_Day[[Rate Class]:[Rate Class]], $B35, Peak_Day[[Sales/Transport]:[Sales/Transport]], $B36)</f>
        <v>715.95898325663336</v>
      </c>
    </row>
    <row r="37" spans="2:27" x14ac:dyDescent="0.2">
      <c r="B37" s="16" t="s">
        <v>40</v>
      </c>
      <c r="C37" s="17">
        <f>SUMIFS(Peak_Day[Achievable Peak Day therm 2026], Peak_Day[[Rate Class]:[Rate Class]], $B35, Peak_Day[[Sales/Transport]:[Sales/Transport]], $B37)</f>
        <v>135.7136366943293</v>
      </c>
      <c r="D37" s="17">
        <f>SUMIFS(Peak_Day[Achievable Peak Day therm 2027], Peak_Day[[Rate Class]:[Rate Class]], $B35, Peak_Day[[Sales/Transport]:[Sales/Transport]], $B37)</f>
        <v>153.19623336173288</v>
      </c>
      <c r="E37" s="17">
        <f>SUMIFS(Peak_Day[Achievable Peak Day therm 2028], Peak_Day[[Rate Class]:[Rate Class]], $B35, Peak_Day[[Sales/Transport]:[Sales/Transport]], $B37)</f>
        <v>175.83238855714254</v>
      </c>
      <c r="F37" s="17">
        <f>SUMIFS(Peak_Day[Achievable Peak Day therm 2029], Peak_Day[[Rate Class]:[Rate Class]], $B35, Peak_Day[[Sales/Transport]:[Sales/Transport]], $B37)</f>
        <v>205.70215984306725</v>
      </c>
      <c r="G37" s="17">
        <f>SUMIFS(Peak_Day[Achievable Peak Day therm 2030], Peak_Day[[Rate Class]:[Rate Class]], $B35, Peak_Day[[Sales/Transport]:[Sales/Transport]], $B37)</f>
        <v>233.62026436824311</v>
      </c>
      <c r="H37" s="17">
        <f>SUMIFS(Peak_Day[Achievable Peak Day therm 2031], Peak_Day[[Rate Class]:[Rate Class]], $B35, Peak_Day[[Sales/Transport]:[Sales/Transport]], $B37)</f>
        <v>254.36862210932219</v>
      </c>
      <c r="I37" s="17">
        <f>SUMIFS(Peak_Day[Achievable Peak Day therm 2032], Peak_Day[[Rate Class]:[Rate Class]], $B35, Peak_Day[[Sales/Transport]:[Sales/Transport]], $B37)</f>
        <v>262.45204420543348</v>
      </c>
      <c r="J37" s="17">
        <f>SUMIFS(Peak_Day[Achievable Peak Day therm 2033], Peak_Day[[Rate Class]:[Rate Class]], $B35, Peak_Day[[Sales/Transport]:[Sales/Transport]], $B37)</f>
        <v>257.4760512897908</v>
      </c>
      <c r="K37" s="17">
        <f>SUMIFS(Peak_Day[Achievable Peak Day therm 2034], Peak_Day[[Rate Class]:[Rate Class]], $B35, Peak_Day[[Sales/Transport]:[Sales/Transport]], $B37)</f>
        <v>242.23030682874793</v>
      </c>
      <c r="L37" s="17">
        <f>SUMIFS(Peak_Day[Achievable Peak Day therm 2035], Peak_Day[[Rate Class]:[Rate Class]], $B35, Peak_Day[[Sales/Transport]:[Sales/Transport]], $B37)</f>
        <v>180.08316074288916</v>
      </c>
      <c r="M37" s="17">
        <f>SUMIFS(Peak_Day[Achievable Peak Day therm 2036], Peak_Day[[Rate Class]:[Rate Class]], $B35, Peak_Day[[Sales/Transport]:[Sales/Transport]], $B37)</f>
        <v>156.08035291055242</v>
      </c>
      <c r="N37" s="17">
        <f>SUMIFS(Peak_Day[Achievable Peak Day therm 2037], Peak_Day[[Rate Class]:[Rate Class]], $B35, Peak_Day[[Sales/Transport]:[Sales/Transport]], $B37)</f>
        <v>159.8968287311009</v>
      </c>
      <c r="O37" s="17">
        <f>SUMIFS(Peak_Day[Achievable Peak Day therm 2038], Peak_Day[[Rate Class]:[Rate Class]], $B35, Peak_Day[[Sales/Transport]:[Sales/Transport]], $B37)</f>
        <v>157.96898863800675</v>
      </c>
      <c r="P37" s="17">
        <f>SUMIFS(Peak_Day[Achievable Peak Day therm 2039], Peak_Day[[Rate Class]:[Rate Class]], $B35, Peak_Day[[Sales/Transport]:[Sales/Transport]], $B37)</f>
        <v>150.67143114351543</v>
      </c>
      <c r="Q37" s="17">
        <f>SUMIFS(Peak_Day[Achievable Peak Day therm 2040], Peak_Day[[Rate Class]:[Rate Class]], $B35, Peak_Day[[Sales/Transport]:[Sales/Transport]], $B37)</f>
        <v>138.80044825852968</v>
      </c>
      <c r="R37" s="17">
        <f>SUMIFS(Peak_Day[Achievable Peak Day therm 2041], Peak_Day[[Rate Class]:[Rate Class]], $B35, Peak_Day[[Sales/Transport]:[Sales/Transport]], $B37)</f>
        <v>110.87498221773831</v>
      </c>
      <c r="S37" s="17">
        <f>SUMIFS(Peak_Day[Achievable Peak Day therm 2042], Peak_Day[[Rate Class]:[Rate Class]], $B35, Peak_Day[[Sales/Transport]:[Sales/Transport]], $B37)</f>
        <v>100.64966224679512</v>
      </c>
      <c r="T37" s="17">
        <f>SUMIFS(Peak_Day[Achievable Peak Day therm 2043], Peak_Day[[Rate Class]:[Rate Class]], $B35, Peak_Day[[Sales/Transport]:[Sales/Transport]], $B37)</f>
        <v>85.876996951942246</v>
      </c>
      <c r="U37" s="17">
        <f>SUMIFS(Peak_Day[Achievable Peak Day therm 2044], Peak_Day[[Rate Class]:[Rate Class]], $B35, Peak_Day[[Sales/Transport]:[Sales/Transport]], $B37)</f>
        <v>74.574132253735456</v>
      </c>
      <c r="V37" s="17">
        <f>SUMIFS(Peak_Day[Achievable Peak Day therm 2045], Peak_Day[[Rate Class]:[Rate Class]], $B35, Peak_Day[[Sales/Transport]:[Sales/Transport]], $B37)</f>
        <v>73.388338844418342</v>
      </c>
      <c r="W37" s="17">
        <f>SUMIFS(Peak_Day[Achievable Peak Day therm 2046], Peak_Day[[Rate Class]:[Rate Class]], $B35, Peak_Day[[Sales/Transport]:[Sales/Transport]], $B37)</f>
        <v>73.307677834148762</v>
      </c>
      <c r="X37" s="17">
        <f>SUMIFS(Peak_Day[Achievable Peak Day therm 2047], Peak_Day[[Rate Class]:[Rate Class]], $B35, Peak_Day[[Sales/Transport]:[Sales/Transport]], $B37)</f>
        <v>71.713388220271909</v>
      </c>
      <c r="Y37" s="17">
        <f>SUMIFS(Peak_Day[Achievable Peak Day therm 2048], Peak_Day[[Rate Class]:[Rate Class]], $B35, Peak_Day[[Sales/Transport]:[Sales/Transport]], $B37)</f>
        <v>70.230106690372097</v>
      </c>
      <c r="Z37" s="17">
        <f>SUMIFS(Peak_Day[Achievable Peak Day therm 2049], Peak_Day[[Rate Class]:[Rate Class]], $B35, Peak_Day[[Sales/Transport]:[Sales/Transport]], $B37)</f>
        <v>68.290729271400366</v>
      </c>
      <c r="AA37" s="17">
        <f>SUMIFS(Peak_Day[Achievable Peak Day therm 2050], Peak_Day[[Rate Class]:[Rate Class]], $B35, Peak_Day[[Sales/Transport]:[Sales/Transport]], $B37)</f>
        <v>44.88024296439324</v>
      </c>
    </row>
    <row r="38" spans="2:27" x14ac:dyDescent="0.2">
      <c r="B38" s="9" t="s">
        <v>33</v>
      </c>
      <c r="C38" s="18">
        <f>SUMIFS(Peak_Day[Achievable Peak Day therm 2026], Peak_Day[[Rate Class]:[Rate Class]], $B38)</f>
        <v>194.91950882692731</v>
      </c>
      <c r="D38" s="18">
        <f>SUMIFS(Peak_Day[Achievable Peak Day therm 2027], Peak_Day[[Rate Class]:[Rate Class]], $B38)</f>
        <v>356.8680639796633</v>
      </c>
      <c r="E38" s="18">
        <f>SUMIFS(Peak_Day[Achievable Peak Day therm 2028], Peak_Day[[Rate Class]:[Rate Class]], $B38)</f>
        <v>597.24696321528791</v>
      </c>
      <c r="F38" s="18">
        <f>SUMIFS(Peak_Day[Achievable Peak Day therm 2029], Peak_Day[[Rate Class]:[Rate Class]], $B38)</f>
        <v>928.04994927314851</v>
      </c>
      <c r="G38" s="18">
        <f>SUMIFS(Peak_Day[Achievable Peak Day therm 2030], Peak_Day[[Rate Class]:[Rate Class]], $B38)</f>
        <v>1357.0052855258534</v>
      </c>
      <c r="H38" s="18">
        <f>SUMIFS(Peak_Day[Achievable Peak Day therm 2031], Peak_Day[[Rate Class]:[Rate Class]], $B38)</f>
        <v>1881.9727755457643</v>
      </c>
      <c r="I38" s="18">
        <f>SUMIFS(Peak_Day[Achievable Peak Day therm 2032], Peak_Day[[Rate Class]:[Rate Class]], $B38)</f>
        <v>2486.7273085887914</v>
      </c>
      <c r="J38" s="18">
        <f>SUMIFS(Peak_Day[Achievable Peak Day therm 2033], Peak_Day[[Rate Class]:[Rate Class]], $B38)</f>
        <v>3137.7725556145115</v>
      </c>
      <c r="K38" s="18">
        <f>SUMIFS(Peak_Day[Achievable Peak Day therm 2034], Peak_Day[[Rate Class]:[Rate Class]], $B38)</f>
        <v>3782.7034874048932</v>
      </c>
      <c r="L38" s="18">
        <f>SUMIFS(Peak_Day[Achievable Peak Day therm 2035], Peak_Day[[Rate Class]:[Rate Class]], $B38)</f>
        <v>4352.583397229736</v>
      </c>
      <c r="M38" s="18">
        <f>SUMIFS(Peak_Day[Achievable Peak Day therm 2036], Peak_Day[[Rate Class]:[Rate Class]], $B38)</f>
        <v>4770.2786237342325</v>
      </c>
      <c r="N38" s="18">
        <f>SUMIFS(Peak_Day[Achievable Peak Day therm 2037], Peak_Day[[Rate Class]:[Rate Class]], $B38)</f>
        <v>4965.0387469721472</v>
      </c>
      <c r="O38" s="18">
        <f>SUMIFS(Peak_Day[Achievable Peak Day therm 2038], Peak_Day[[Rate Class]:[Rate Class]], $B38)</f>
        <v>4888.7331892556322</v>
      </c>
      <c r="P38" s="18">
        <f>SUMIFS(Peak_Day[Achievable Peak Day therm 2039], Peak_Day[[Rate Class]:[Rate Class]], $B38)</f>
        <v>4542.3065266258018</v>
      </c>
      <c r="Q38" s="18">
        <f>SUMIFS(Peak_Day[Achievable Peak Day therm 2040], Peak_Day[[Rate Class]:[Rate Class]], $B38)</f>
        <v>3669.0249917216656</v>
      </c>
      <c r="R38" s="18">
        <f>SUMIFS(Peak_Day[Achievable Peak Day therm 2041], Peak_Day[[Rate Class]:[Rate Class]], $B38)</f>
        <v>3003.9535559239207</v>
      </c>
      <c r="S38" s="18">
        <f>SUMIFS(Peak_Day[Achievable Peak Day therm 2042], Peak_Day[[Rate Class]:[Rate Class]], $B38)</f>
        <v>1295.3661592980927</v>
      </c>
      <c r="T38" s="18">
        <f>SUMIFS(Peak_Day[Achievable Peak Day therm 2043], Peak_Day[[Rate Class]:[Rate Class]], $B38)</f>
        <v>328.07151558648712</v>
      </c>
      <c r="U38" s="18">
        <f>SUMIFS(Peak_Day[Achievable Peak Day therm 2044], Peak_Day[[Rate Class]:[Rate Class]], $B38)</f>
        <v>327.21183775403455</v>
      </c>
      <c r="V38" s="18">
        <f>SUMIFS(Peak_Day[Achievable Peak Day therm 2045], Peak_Day[[Rate Class]:[Rate Class]], $B38)</f>
        <v>325.45034184554515</v>
      </c>
      <c r="W38" s="18">
        <f>SUMIFS(Peak_Day[Achievable Peak Day therm 2046], Peak_Day[[Rate Class]:[Rate Class]], $B38)</f>
        <v>323.14396513243042</v>
      </c>
      <c r="X38" s="18">
        <f>SUMIFS(Peak_Day[Achievable Peak Day therm 2047], Peak_Day[[Rate Class]:[Rate Class]], $B38)</f>
        <v>320.62741686512067</v>
      </c>
      <c r="Y38" s="18">
        <f>SUMIFS(Peak_Day[Achievable Peak Day therm 2048], Peak_Day[[Rate Class]:[Rate Class]], $B38)</f>
        <v>318.13858330305152</v>
      </c>
      <c r="Z38" s="18">
        <f>SUMIFS(Peak_Day[Achievable Peak Day therm 2049], Peak_Day[[Rate Class]:[Rate Class]], $B38)</f>
        <v>315.67331170080382</v>
      </c>
      <c r="AA38" s="18">
        <f>SUMIFS(Peak_Day[Achievable Peak Day therm 2050], Peak_Day[[Rate Class]:[Rate Class]], $B38)</f>
        <v>312.68685183780815</v>
      </c>
    </row>
    <row r="39" spans="2:27" x14ac:dyDescent="0.2">
      <c r="B39" s="16" t="s">
        <v>39</v>
      </c>
      <c r="C39" s="17">
        <f>SUMIFS(Peak_Day[Achievable Peak Day therm 2026], Peak_Day[[Rate Class]:[Rate Class]], $B38, Peak_Day[[Sales/Transport]:[Sales/Transport]], $B39)</f>
        <v>32.164495947148772</v>
      </c>
      <c r="D39" s="17">
        <f>SUMIFS(Peak_Day[Achievable Peak Day therm 2027], Peak_Day[[Rate Class]:[Rate Class]], $B38, Peak_Day[[Sales/Transport]:[Sales/Transport]], $B39)</f>
        <v>57.529541100375518</v>
      </c>
      <c r="E39" s="17">
        <f>SUMIFS(Peak_Day[Achievable Peak Day therm 2028], Peak_Day[[Rate Class]:[Rate Class]], $B38, Peak_Day[[Sales/Transport]:[Sales/Transport]], $B39)</f>
        <v>95.31050413883699</v>
      </c>
      <c r="F39" s="17">
        <f>SUMIFS(Peak_Day[Achievable Peak Day therm 2029], Peak_Day[[Rate Class]:[Rate Class]], $B38, Peak_Day[[Sales/Transport]:[Sales/Transport]], $B39)</f>
        <v>147.2882058563045</v>
      </c>
      <c r="G39" s="17">
        <f>SUMIFS(Peak_Day[Achievable Peak Day therm 2030], Peak_Day[[Rate Class]:[Rate Class]], $B38, Peak_Day[[Sales/Transport]:[Sales/Transport]], $B39)</f>
        <v>214.60048840634255</v>
      </c>
      <c r="H39" s="17">
        <f>SUMIFS(Peak_Day[Achievable Peak Day therm 2031], Peak_Day[[Rate Class]:[Rate Class]], $B38, Peak_Day[[Sales/Transport]:[Sales/Transport]], $B39)</f>
        <v>296.96801294261013</v>
      </c>
      <c r="I39" s="17">
        <f>SUMIFS(Peak_Day[Achievable Peak Day therm 2032], Peak_Day[[Rate Class]:[Rate Class]], $B38, Peak_Day[[Sales/Transport]:[Sales/Transport]], $B39)</f>
        <v>391.68645403203135</v>
      </c>
      <c r="J39" s="17">
        <f>SUMIFS(Peak_Day[Achievable Peak Day therm 2033], Peak_Day[[Rate Class]:[Rate Class]], $B38, Peak_Day[[Sales/Transport]:[Sales/Transport]], $B39)</f>
        <v>493.49254214277795</v>
      </c>
      <c r="K39" s="17">
        <f>SUMIFS(Peak_Day[Achievable Peak Day therm 2034], Peak_Day[[Rate Class]:[Rate Class]], $B38, Peak_Day[[Sales/Transport]:[Sales/Transport]], $B39)</f>
        <v>594.19299235572487</v>
      </c>
      <c r="L39" s="17">
        <f>SUMIFS(Peak_Day[Achievable Peak Day therm 2035], Peak_Day[[Rate Class]:[Rate Class]], $B38, Peak_Day[[Sales/Transport]:[Sales/Transport]], $B39)</f>
        <v>682.93368110292079</v>
      </c>
      <c r="M39" s="17">
        <f>SUMIFS(Peak_Day[Achievable Peak Day therm 2036], Peak_Day[[Rate Class]:[Rate Class]], $B38, Peak_Day[[Sales/Transport]:[Sales/Transport]], $B39)</f>
        <v>747.68460947350036</v>
      </c>
      <c r="N39" s="17">
        <f>SUMIFS(Peak_Day[Achievable Peak Day therm 2037], Peak_Day[[Rate Class]:[Rate Class]], $B38, Peak_Day[[Sales/Transport]:[Sales/Transport]], $B39)</f>
        <v>777.94126827897128</v>
      </c>
      <c r="O39" s="17">
        <f>SUMIFS(Peak_Day[Achievable Peak Day therm 2038], Peak_Day[[Rate Class]:[Rate Class]], $B38, Peak_Day[[Sales/Transport]:[Sales/Transport]], $B39)</f>
        <v>765.78607149064464</v>
      </c>
      <c r="P39" s="17">
        <f>SUMIFS(Peak_Day[Achievable Peak Day therm 2039], Peak_Day[[Rate Class]:[Rate Class]], $B38, Peak_Day[[Sales/Transport]:[Sales/Transport]], $B39)</f>
        <v>711.47030320478677</v>
      </c>
      <c r="Q39" s="17">
        <f>SUMIFS(Peak_Day[Achievable Peak Day therm 2040], Peak_Day[[Rate Class]:[Rate Class]], $B38, Peak_Day[[Sales/Transport]:[Sales/Transport]], $B39)</f>
        <v>573.33140870539603</v>
      </c>
      <c r="R39" s="17">
        <f>SUMIFS(Peak_Day[Achievable Peak Day therm 2041], Peak_Day[[Rate Class]:[Rate Class]], $B38, Peak_Day[[Sales/Transport]:[Sales/Transport]], $B39)</f>
        <v>469.74402477014269</v>
      </c>
      <c r="S39" s="17">
        <f>SUMIFS(Peak_Day[Achievable Peak Day therm 2042], Peak_Day[[Rate Class]:[Rate Class]], $B38, Peak_Day[[Sales/Transport]:[Sales/Transport]], $B39)</f>
        <v>202.9385047395063</v>
      </c>
      <c r="T39" s="17">
        <f>SUMIFS(Peak_Day[Achievable Peak Day therm 2043], Peak_Day[[Rate Class]:[Rate Class]], $B38, Peak_Day[[Sales/Transport]:[Sales/Transport]], $B39)</f>
        <v>53.911152877383309</v>
      </c>
      <c r="U39" s="17">
        <f>SUMIFS(Peak_Day[Achievable Peak Day therm 2044], Peak_Day[[Rate Class]:[Rate Class]], $B38, Peak_Day[[Sales/Transport]:[Sales/Transport]], $B39)</f>
        <v>53.44503153491732</v>
      </c>
      <c r="V39" s="17">
        <f>SUMIFS(Peak_Day[Achievable Peak Day therm 2045], Peak_Day[[Rate Class]:[Rate Class]], $B38, Peak_Day[[Sales/Transport]:[Sales/Transport]], $B39)</f>
        <v>53.177025889068972</v>
      </c>
      <c r="W39" s="17">
        <f>SUMIFS(Peak_Day[Achievable Peak Day therm 2046], Peak_Day[[Rate Class]:[Rate Class]], $B38, Peak_Day[[Sales/Transport]:[Sales/Transport]], $B39)</f>
        <v>52.816460392231967</v>
      </c>
      <c r="X39" s="17">
        <f>SUMIFS(Peak_Day[Achievable Peak Day therm 2047], Peak_Day[[Rate Class]:[Rate Class]], $B38, Peak_Day[[Sales/Transport]:[Sales/Transport]], $B39)</f>
        <v>52.383750096071886</v>
      </c>
      <c r="Y39" s="17">
        <f>SUMIFS(Peak_Day[Achievable Peak Day therm 2048], Peak_Day[[Rate Class]:[Rate Class]], $B38, Peak_Day[[Sales/Transport]:[Sales/Transport]], $B39)</f>
        <v>51.962691098307488</v>
      </c>
      <c r="Z39" s="17">
        <f>SUMIFS(Peak_Day[Achievable Peak Day therm 2049], Peak_Day[[Rate Class]:[Rate Class]], $B38, Peak_Day[[Sales/Transport]:[Sales/Transport]], $B39)</f>
        <v>51.549254479384544</v>
      </c>
      <c r="AA39" s="17">
        <f>SUMIFS(Peak_Day[Achievable Peak Day therm 2050], Peak_Day[[Rate Class]:[Rate Class]], $B38, Peak_Day[[Sales/Transport]:[Sales/Transport]], $B39)</f>
        <v>50.598812890079067</v>
      </c>
    </row>
    <row r="40" spans="2:27" x14ac:dyDescent="0.2">
      <c r="B40" s="16" t="s">
        <v>40</v>
      </c>
      <c r="C40" s="17">
        <f>SUMIFS(Peak_Day[Achievable Peak Day therm 2026], Peak_Day[[Rate Class]:[Rate Class]], $B38, Peak_Day[[Sales/Transport]:[Sales/Transport]], $B40)</f>
        <v>162.75501287977846</v>
      </c>
      <c r="D40" s="17">
        <f>SUMIFS(Peak_Day[Achievable Peak Day therm 2027], Peak_Day[[Rate Class]:[Rate Class]], $B38, Peak_Day[[Sales/Transport]:[Sales/Transport]], $B40)</f>
        <v>299.33852287928789</v>
      </c>
      <c r="E40" s="17">
        <f>SUMIFS(Peak_Day[Achievable Peak Day therm 2028], Peak_Day[[Rate Class]:[Rate Class]], $B38, Peak_Day[[Sales/Transport]:[Sales/Transport]], $B40)</f>
        <v>501.93645907645043</v>
      </c>
      <c r="F40" s="17">
        <f>SUMIFS(Peak_Day[Achievable Peak Day therm 2029], Peak_Day[[Rate Class]:[Rate Class]], $B38, Peak_Day[[Sales/Transport]:[Sales/Transport]], $B40)</f>
        <v>780.7617434168443</v>
      </c>
      <c r="G40" s="17">
        <f>SUMIFS(Peak_Day[Achievable Peak Day therm 2030], Peak_Day[[Rate Class]:[Rate Class]], $B38, Peak_Day[[Sales/Transport]:[Sales/Transport]], $B40)</f>
        <v>1142.4047971195123</v>
      </c>
      <c r="H40" s="17">
        <f>SUMIFS(Peak_Day[Achievable Peak Day therm 2031], Peak_Day[[Rate Class]:[Rate Class]], $B38, Peak_Day[[Sales/Transport]:[Sales/Transport]], $B40)</f>
        <v>1585.0047626031539</v>
      </c>
      <c r="I40" s="17">
        <f>SUMIFS(Peak_Day[Achievable Peak Day therm 2032], Peak_Day[[Rate Class]:[Rate Class]], $B38, Peak_Day[[Sales/Transport]:[Sales/Transport]], $B40)</f>
        <v>2095.0408545567589</v>
      </c>
      <c r="J40" s="17">
        <f>SUMIFS(Peak_Day[Achievable Peak Day therm 2033], Peak_Day[[Rate Class]:[Rate Class]], $B38, Peak_Day[[Sales/Transport]:[Sales/Transport]], $B40)</f>
        <v>2644.2800134717336</v>
      </c>
      <c r="K40" s="17">
        <f>SUMIFS(Peak_Day[Achievable Peak Day therm 2034], Peak_Day[[Rate Class]:[Rate Class]], $B38, Peak_Day[[Sales/Transport]:[Sales/Transport]], $B40)</f>
        <v>3188.5104950491682</v>
      </c>
      <c r="L40" s="17">
        <f>SUMIFS(Peak_Day[Achievable Peak Day therm 2035], Peak_Day[[Rate Class]:[Rate Class]], $B38, Peak_Day[[Sales/Transport]:[Sales/Transport]], $B40)</f>
        <v>3669.6497161268121</v>
      </c>
      <c r="M40" s="17">
        <f>SUMIFS(Peak_Day[Achievable Peak Day therm 2036], Peak_Day[[Rate Class]:[Rate Class]], $B38, Peak_Day[[Sales/Transport]:[Sales/Transport]], $B40)</f>
        <v>4022.5940142607296</v>
      </c>
      <c r="N40" s="17">
        <f>SUMIFS(Peak_Day[Achievable Peak Day therm 2037], Peak_Day[[Rate Class]:[Rate Class]], $B38, Peak_Day[[Sales/Transport]:[Sales/Transport]], $B40)</f>
        <v>4187.0974786931793</v>
      </c>
      <c r="O40" s="17">
        <f>SUMIFS(Peak_Day[Achievable Peak Day therm 2038], Peak_Day[[Rate Class]:[Rate Class]], $B38, Peak_Day[[Sales/Transport]:[Sales/Transport]], $B40)</f>
        <v>4122.947117764983</v>
      </c>
      <c r="P40" s="17">
        <f>SUMIFS(Peak_Day[Achievable Peak Day therm 2039], Peak_Day[[Rate Class]:[Rate Class]], $B38, Peak_Day[[Sales/Transport]:[Sales/Transport]], $B40)</f>
        <v>3830.8362234210135</v>
      </c>
      <c r="Q40" s="17">
        <f>SUMIFS(Peak_Day[Achievable Peak Day therm 2040], Peak_Day[[Rate Class]:[Rate Class]], $B38, Peak_Day[[Sales/Transport]:[Sales/Transport]], $B40)</f>
        <v>3095.6935830162679</v>
      </c>
      <c r="R40" s="17">
        <f>SUMIFS(Peak_Day[Achievable Peak Day therm 2041], Peak_Day[[Rate Class]:[Rate Class]], $B38, Peak_Day[[Sales/Transport]:[Sales/Transport]], $B40)</f>
        <v>2534.2095311537769</v>
      </c>
      <c r="S40" s="17">
        <f>SUMIFS(Peak_Day[Achievable Peak Day therm 2042], Peak_Day[[Rate Class]:[Rate Class]], $B38, Peak_Day[[Sales/Transport]:[Sales/Transport]], $B40)</f>
        <v>1092.4276545585869</v>
      </c>
      <c r="T40" s="17">
        <f>SUMIFS(Peak_Day[Achievable Peak Day therm 2043], Peak_Day[[Rate Class]:[Rate Class]], $B38, Peak_Day[[Sales/Transport]:[Sales/Transport]], $B40)</f>
        <v>274.16036270910382</v>
      </c>
      <c r="U40" s="17">
        <f>SUMIFS(Peak_Day[Achievable Peak Day therm 2044], Peak_Day[[Rate Class]:[Rate Class]], $B38, Peak_Day[[Sales/Transport]:[Sales/Transport]], $B40)</f>
        <v>273.7668062191172</v>
      </c>
      <c r="V40" s="17">
        <f>SUMIFS(Peak_Day[Achievable Peak Day therm 2045], Peak_Day[[Rate Class]:[Rate Class]], $B38, Peak_Day[[Sales/Transport]:[Sales/Transport]], $B40)</f>
        <v>272.27331595647627</v>
      </c>
      <c r="W40" s="17">
        <f>SUMIFS(Peak_Day[Achievable Peak Day therm 2046], Peak_Day[[Rate Class]:[Rate Class]], $B38, Peak_Day[[Sales/Transport]:[Sales/Transport]], $B40)</f>
        <v>270.32750474019838</v>
      </c>
      <c r="X40" s="17">
        <f>SUMIFS(Peak_Day[Achievable Peak Day therm 2047], Peak_Day[[Rate Class]:[Rate Class]], $B38, Peak_Day[[Sales/Transport]:[Sales/Transport]], $B40)</f>
        <v>268.24366676904884</v>
      </c>
      <c r="Y40" s="17">
        <f>SUMIFS(Peak_Day[Achievable Peak Day therm 2048], Peak_Day[[Rate Class]:[Rate Class]], $B38, Peak_Day[[Sales/Transport]:[Sales/Transport]], $B40)</f>
        <v>266.17589220474406</v>
      </c>
      <c r="Z40" s="17">
        <f>SUMIFS(Peak_Day[Achievable Peak Day therm 2049], Peak_Day[[Rate Class]:[Rate Class]], $B38, Peak_Day[[Sales/Transport]:[Sales/Transport]], $B40)</f>
        <v>264.12405722141915</v>
      </c>
      <c r="AA40" s="17">
        <f>SUMIFS(Peak_Day[Achievable Peak Day therm 2050], Peak_Day[[Rate Class]:[Rate Class]], $B38, Peak_Day[[Sales/Transport]:[Sales/Transport]], $B40)</f>
        <v>262.08803894772905</v>
      </c>
    </row>
    <row r="41" spans="2:27" ht="13.5" thickBot="1" x14ac:dyDescent="0.25">
      <c r="B41" s="14" t="s">
        <v>34</v>
      </c>
      <c r="C41" s="15">
        <f>SUM(C34,C35,C38)</f>
        <v>5212.2251387331007</v>
      </c>
      <c r="D41" s="15">
        <f t="shared" ref="D41:AA41" si="11">SUM(D34,D35,D38)</f>
        <v>6208.6587854183717</v>
      </c>
      <c r="E41" s="15">
        <f t="shared" si="11"/>
        <v>7871.2829275150489</v>
      </c>
      <c r="F41" s="15">
        <f t="shared" si="11"/>
        <v>9888.5351961744309</v>
      </c>
      <c r="G41" s="15">
        <f t="shared" si="11"/>
        <v>12283.084043670491</v>
      </c>
      <c r="H41" s="15">
        <f t="shared" si="11"/>
        <v>15110.589894040004</v>
      </c>
      <c r="I41" s="15">
        <f t="shared" si="11"/>
        <v>18123.099261904867</v>
      </c>
      <c r="J41" s="15">
        <f t="shared" si="11"/>
        <v>21131.235026635924</v>
      </c>
      <c r="K41" s="15">
        <f t="shared" si="11"/>
        <v>23742.188601868147</v>
      </c>
      <c r="L41" s="15">
        <f t="shared" si="11"/>
        <v>25743.879807893791</v>
      </c>
      <c r="M41" s="15">
        <f t="shared" si="11"/>
        <v>27250.966409029261</v>
      </c>
      <c r="N41" s="15">
        <f t="shared" si="11"/>
        <v>28057.051182213643</v>
      </c>
      <c r="O41" s="15">
        <f t="shared" si="11"/>
        <v>27698.689464286341</v>
      </c>
      <c r="P41" s="15">
        <f t="shared" si="11"/>
        <v>26165.098800766329</v>
      </c>
      <c r="Q41" s="15">
        <f t="shared" si="11"/>
        <v>23201.906836283408</v>
      </c>
      <c r="R41" s="15">
        <f t="shared" si="11"/>
        <v>20020.91606811601</v>
      </c>
      <c r="S41" s="15">
        <f t="shared" si="11"/>
        <v>15304.29088842071</v>
      </c>
      <c r="T41" s="15">
        <f t="shared" si="11"/>
        <v>12077.58496371287</v>
      </c>
      <c r="U41" s="15">
        <f t="shared" si="11"/>
        <v>8706.6308227455538</v>
      </c>
      <c r="V41" s="15">
        <f t="shared" si="11"/>
        <v>8321.9357551431349</v>
      </c>
      <c r="W41" s="15">
        <f t="shared" si="11"/>
        <v>8239.24784448643</v>
      </c>
      <c r="X41" s="15">
        <f t="shared" si="11"/>
        <v>8118.8320741954203</v>
      </c>
      <c r="Y41" s="15">
        <f t="shared" si="11"/>
        <v>7967.6705133259793</v>
      </c>
      <c r="Z41" s="15">
        <f t="shared" si="11"/>
        <v>7829.6257581830787</v>
      </c>
      <c r="AA41" s="15">
        <f t="shared" si="11"/>
        <v>6349.1841078959387</v>
      </c>
    </row>
    <row r="43" spans="2:27" x14ac:dyDescent="0.2">
      <c r="B43" s="9" t="s">
        <v>76</v>
      </c>
    </row>
    <row r="44" spans="2:27" x14ac:dyDescent="0.2">
      <c r="B44" s="11"/>
      <c r="C44" s="12">
        <v>2026</v>
      </c>
      <c r="D44" s="12">
        <v>2027</v>
      </c>
      <c r="E44" s="12">
        <v>2028</v>
      </c>
      <c r="F44" s="12">
        <v>2029</v>
      </c>
      <c r="G44" s="12">
        <v>2030</v>
      </c>
      <c r="H44" s="12">
        <v>2031</v>
      </c>
      <c r="I44" s="12">
        <v>2032</v>
      </c>
      <c r="J44" s="12">
        <v>2033</v>
      </c>
      <c r="K44" s="12">
        <v>2034</v>
      </c>
      <c r="L44" s="12">
        <v>2035</v>
      </c>
      <c r="M44" s="12">
        <v>2036</v>
      </c>
      <c r="N44" s="12">
        <v>2037</v>
      </c>
      <c r="O44" s="12">
        <v>2038</v>
      </c>
      <c r="P44" s="12">
        <v>2039</v>
      </c>
      <c r="Q44" s="12">
        <v>2040</v>
      </c>
      <c r="R44" s="12">
        <v>2041</v>
      </c>
      <c r="S44" s="12">
        <v>2042</v>
      </c>
      <c r="T44" s="12">
        <v>2043</v>
      </c>
      <c r="U44" s="12">
        <v>2044</v>
      </c>
      <c r="V44" s="12">
        <v>2045</v>
      </c>
      <c r="W44" s="12">
        <v>2046</v>
      </c>
      <c r="X44" s="12">
        <v>2047</v>
      </c>
      <c r="Y44" s="12">
        <v>2048</v>
      </c>
      <c r="Z44" s="12">
        <v>2049</v>
      </c>
      <c r="AA44" s="12">
        <v>2050</v>
      </c>
    </row>
    <row r="45" spans="2:27" x14ac:dyDescent="0.2">
      <c r="B45" s="9" t="s">
        <v>28</v>
      </c>
      <c r="C45" s="18">
        <f>SUMIFS(Peak_Day[Achievable Peak Day therm 2026], Peak_Day[[Rate Class]:[Rate Class]], $B45, Peak_Day[[Cost-Effective]:[Cost-Effective]], 1)</f>
        <v>1648.2625511180192</v>
      </c>
      <c r="D45" s="18">
        <f>SUMIFS(Peak_Day[Achievable Peak Day therm 2027], Peak_Day[[Rate Class]:[Rate Class]], $B45, Peak_Day[[Cost-Effective]:[Cost-Effective]], 1)</f>
        <v>2321.5340869770712</v>
      </c>
      <c r="E45" s="18">
        <f>SUMIFS(Peak_Day[Achievable Peak Day therm 2028], Peak_Day[[Rate Class]:[Rate Class]], $B45, Peak_Day[[Cost-Effective]:[Cost-Effective]], 1)</f>
        <v>3304.788232996003</v>
      </c>
      <c r="F45" s="18">
        <f>SUMIFS(Peak_Day[Achievable Peak Day therm 2029], Peak_Day[[Rate Class]:[Rate Class]], $B45, Peak_Day[[Cost-Effective]:[Cost-Effective]], 1)</f>
        <v>4470.5976539322437</v>
      </c>
      <c r="G45" s="18">
        <f>SUMIFS(Peak_Day[Achievable Peak Day therm 2030], Peak_Day[[Rate Class]:[Rate Class]], $B45, Peak_Day[[Cost-Effective]:[Cost-Effective]], 1)</f>
        <v>5888.7978488014605</v>
      </c>
      <c r="H45" s="18">
        <f>SUMIFS(Peak_Day[Achievable Peak Day therm 2031], Peak_Day[[Rate Class]:[Rate Class]], $B45, Peak_Day[[Cost-Effective]:[Cost-Effective]], 1)</f>
        <v>7537.014382819696</v>
      </c>
      <c r="I45" s="18">
        <f>SUMIFS(Peak_Day[Achievable Peak Day therm 2032], Peak_Day[[Rate Class]:[Rate Class]], $B45, Peak_Day[[Cost-Effective]:[Cost-Effective]], 1)</f>
        <v>9352.1359680766545</v>
      </c>
      <c r="J45" s="18">
        <f>SUMIFS(Peak_Day[Achievable Peak Day therm 2033], Peak_Day[[Rate Class]:[Rate Class]], $B45, Peak_Day[[Cost-Effective]:[Cost-Effective]], 1)</f>
        <v>11226.490853168378</v>
      </c>
      <c r="K45" s="18">
        <f>SUMIFS(Peak_Day[Achievable Peak Day therm 2034], Peak_Day[[Rate Class]:[Rate Class]], $B45, Peak_Day[[Cost-Effective]:[Cost-Effective]], 1)</f>
        <v>13007.150936843504</v>
      </c>
      <c r="L45" s="18">
        <f>SUMIFS(Peak_Day[Achievable Peak Day therm 2035], Peak_Day[[Rate Class]:[Rate Class]], $B45, Peak_Day[[Cost-Effective]:[Cost-Effective]], 1)</f>
        <v>14506.993071847344</v>
      </c>
      <c r="M45" s="18">
        <f>SUMIFS(Peak_Day[Achievable Peak Day therm 2036], Peak_Day[[Rate Class]:[Rate Class]], $B45, Peak_Day[[Cost-Effective]:[Cost-Effective]], 1)</f>
        <v>15539.371131324682</v>
      </c>
      <c r="N45" s="18">
        <f>SUMIFS(Peak_Day[Achievable Peak Day therm 2037], Peak_Day[[Rate Class]:[Rate Class]], $B45, Peak_Day[[Cost-Effective]:[Cost-Effective]], 1)</f>
        <v>15953.675104284834</v>
      </c>
      <c r="O45" s="18">
        <f>SUMIFS(Peak_Day[Achievable Peak Day therm 2038], Peak_Day[[Rate Class]:[Rate Class]], $B45, Peak_Day[[Cost-Effective]:[Cost-Effective]], 1)</f>
        <v>15679.277318047158</v>
      </c>
      <c r="P45" s="18">
        <f>SUMIFS(Peak_Day[Achievable Peak Day therm 2039], Peak_Day[[Rate Class]:[Rate Class]], $B45, Peak_Day[[Cost-Effective]:[Cost-Effective]], 1)</f>
        <v>14815.185605275869</v>
      </c>
      <c r="Q45" s="18">
        <f>SUMIFS(Peak_Day[Achievable Peak Day therm 2040], Peak_Day[[Rate Class]:[Rate Class]], $B45, Peak_Day[[Cost-Effective]:[Cost-Effective]], 1)</f>
        <v>13413.748469944045</v>
      </c>
      <c r="R45" s="18">
        <f>SUMIFS(Peak_Day[Achievable Peak Day therm 2041], Peak_Day[[Rate Class]:[Rate Class]], $B45, Peak_Day[[Cost-Effective]:[Cost-Effective]], 1)</f>
        <v>11812.12552870625</v>
      </c>
      <c r="S45" s="18">
        <f>SUMIFS(Peak_Day[Achievable Peak Day therm 2042], Peak_Day[[Rate Class]:[Rate Class]], $B45, Peak_Day[[Cost-Effective]:[Cost-Effective]], 1)</f>
        <v>9840.2459142767075</v>
      </c>
      <c r="T45" s="18">
        <f>SUMIFS(Peak_Day[Achievable Peak Day therm 2043], Peak_Day[[Rate Class]:[Rate Class]], $B45, Peak_Day[[Cost-Effective]:[Cost-Effective]], 1)</f>
        <v>8449.1951136724401</v>
      </c>
      <c r="U45" s="18">
        <f>SUMIFS(Peak_Day[Achievable Peak Day therm 2044], Peak_Day[[Rate Class]:[Rate Class]], $B45, Peak_Day[[Cost-Effective]:[Cost-Effective]], 1)</f>
        <v>6468.4508392360567</v>
      </c>
      <c r="V45" s="18">
        <f>SUMIFS(Peak_Day[Achievable Peak Day therm 2045], Peak_Day[[Rate Class]:[Rate Class]], $B45, Peak_Day[[Cost-Effective]:[Cost-Effective]], 1)</f>
        <v>6283.7329061179998</v>
      </c>
      <c r="W45" s="18">
        <f>SUMIFS(Peak_Day[Achievable Peak Day therm 2046], Peak_Day[[Rate Class]:[Rate Class]], $B45, Peak_Day[[Cost-Effective]:[Cost-Effective]], 1)</f>
        <v>6201.9552645434824</v>
      </c>
      <c r="X45" s="18">
        <f>SUMIFS(Peak_Day[Achievable Peak Day therm 2047], Peak_Day[[Rate Class]:[Rate Class]], $B45, Peak_Day[[Cost-Effective]:[Cost-Effective]], 1)</f>
        <v>6125.9642399949398</v>
      </c>
      <c r="Y45" s="18">
        <f>SUMIFS(Peak_Day[Achievable Peak Day therm 2048], Peak_Day[[Rate Class]:[Rate Class]], $B45, Peak_Day[[Cost-Effective]:[Cost-Effective]], 1)</f>
        <v>6040.3912654799606</v>
      </c>
      <c r="Z45" s="18">
        <f>SUMIFS(Peak_Day[Achievable Peak Day therm 2049], Peak_Day[[Rate Class]:[Rate Class]], $B45, Peak_Day[[Cost-Effective]:[Cost-Effective]], 1)</f>
        <v>5944.1659469675315</v>
      </c>
      <c r="AA45" s="18">
        <f>SUMIFS(Peak_Day[Achievable Peak Day therm 2050], Peak_Day[[Rate Class]:[Rate Class]], $B45, Peak_Day[[Cost-Effective]:[Cost-Effective]], 1)</f>
        <v>5025.5646827004311</v>
      </c>
    </row>
    <row r="46" spans="2:27" x14ac:dyDescent="0.2">
      <c r="B46" s="9" t="s">
        <v>31</v>
      </c>
      <c r="C46" s="18">
        <f>SUMIFS(Peak_Day[Achievable Peak Day therm 2026], Peak_Day[[Rate Class]:[Rate Class]], $B46, Peak_Day[[Cost-Effective]:[Cost-Effective]], 1)</f>
        <v>2513.3235589405467</v>
      </c>
      <c r="D46" s="18">
        <f>SUMIFS(Peak_Day[Achievable Peak Day therm 2027], Peak_Day[[Rate Class]:[Rate Class]], $B46, Peak_Day[[Cost-Effective]:[Cost-Effective]], 1)</f>
        <v>2577.6230684704678</v>
      </c>
      <c r="E46" s="18">
        <f>SUMIFS(Peak_Day[Achievable Peak Day therm 2028], Peak_Day[[Rate Class]:[Rate Class]], $B46, Peak_Day[[Cost-Effective]:[Cost-Effective]], 1)</f>
        <v>2811.4577528419854</v>
      </c>
      <c r="F46" s="18">
        <f>SUMIFS(Peak_Day[Achievable Peak Day therm 2029], Peak_Day[[Rate Class]:[Rate Class]], $B46, Peak_Day[[Cost-Effective]:[Cost-Effective]], 1)</f>
        <v>3174.6282233863594</v>
      </c>
      <c r="G46" s="18">
        <f>SUMIFS(Peak_Day[Achievable Peak Day therm 2030], Peak_Day[[Rate Class]:[Rate Class]], $B46, Peak_Day[[Cost-Effective]:[Cost-Effective]], 1)</f>
        <v>3554.4957517105531</v>
      </c>
      <c r="H46" s="18">
        <f>SUMIFS(Peak_Day[Achievable Peak Day therm 2031], Peak_Day[[Rate Class]:[Rate Class]], $B46, Peak_Day[[Cost-Effective]:[Cost-Effective]], 1)</f>
        <v>3948.243235306551</v>
      </c>
      <c r="I46" s="18">
        <f>SUMIFS(Peak_Day[Achievable Peak Day therm 2032], Peak_Day[[Rate Class]:[Rate Class]], $B46, Peak_Day[[Cost-Effective]:[Cost-Effective]], 1)</f>
        <v>4202.0773628128236</v>
      </c>
      <c r="J46" s="18">
        <f>SUMIFS(Peak_Day[Achievable Peak Day therm 2033], Peak_Day[[Rate Class]:[Rate Class]], $B46, Peak_Day[[Cost-Effective]:[Cost-Effective]], 1)</f>
        <v>4293.0091202494668</v>
      </c>
      <c r="K46" s="18">
        <f>SUMIFS(Peak_Day[Achievable Peak Day therm 2034], Peak_Day[[Rate Class]:[Rate Class]], $B46, Peak_Day[[Cost-Effective]:[Cost-Effective]], 1)</f>
        <v>4070.7216696421629</v>
      </c>
      <c r="L46" s="18">
        <f>SUMIFS(Peak_Day[Achievable Peak Day therm 2035], Peak_Day[[Rate Class]:[Rate Class]], $B46, Peak_Day[[Cost-Effective]:[Cost-Effective]], 1)</f>
        <v>3627.4961845184316</v>
      </c>
      <c r="M46" s="18">
        <f>SUMIFS(Peak_Day[Achievable Peak Day therm 2036], Peak_Day[[Rate Class]:[Rate Class]], $B46, Peak_Day[[Cost-Effective]:[Cost-Effective]], 1)</f>
        <v>3397.0048369432297</v>
      </c>
      <c r="N46" s="18">
        <f>SUMIFS(Peak_Day[Achievable Peak Day therm 2037], Peak_Day[[Rate Class]:[Rate Class]], $B46, Peak_Day[[Cost-Effective]:[Cost-Effective]], 1)</f>
        <v>3525.8933667732226</v>
      </c>
      <c r="O46" s="18">
        <f>SUMIFS(Peak_Day[Achievable Peak Day therm 2038], Peak_Day[[Rate Class]:[Rate Class]], $B46, Peak_Day[[Cost-Effective]:[Cost-Effective]], 1)</f>
        <v>3563.3699996032265</v>
      </c>
      <c r="P46" s="18">
        <f>SUMIFS(Peak_Day[Achievable Peak Day therm 2039], Peak_Day[[Rate Class]:[Rate Class]], $B46, Peak_Day[[Cost-Effective]:[Cost-Effective]], 1)</f>
        <v>3453.2626860857331</v>
      </c>
      <c r="Q46" s="18">
        <f>SUMIFS(Peak_Day[Achievable Peak Day therm 2040], Peak_Day[[Rate Class]:[Rate Class]], $B46, Peak_Day[[Cost-Effective]:[Cost-Effective]], 1)</f>
        <v>3175.1302391176564</v>
      </c>
      <c r="R46" s="18">
        <f>SUMIFS(Peak_Day[Achievable Peak Day therm 2041], Peak_Day[[Rate Class]:[Rate Class]], $B46, Peak_Day[[Cost-Effective]:[Cost-Effective]], 1)</f>
        <v>2754.767790667815</v>
      </c>
      <c r="S46" s="18">
        <f>SUMIFS(Peak_Day[Achievable Peak Day therm 2042], Peak_Day[[Rate Class]:[Rate Class]], $B46, Peak_Day[[Cost-Effective]:[Cost-Effective]], 1)</f>
        <v>2267.0161551783949</v>
      </c>
      <c r="T46" s="18">
        <f>SUMIFS(Peak_Day[Achievable Peak Day therm 2043], Peak_Day[[Rate Class]:[Rate Class]], $B46, Peak_Day[[Cost-Effective]:[Cost-Effective]], 1)</f>
        <v>1922.0512389120938</v>
      </c>
      <c r="U46" s="18">
        <f>SUMIFS(Peak_Day[Achievable Peak Day therm 2044], Peak_Day[[Rate Class]:[Rate Class]], $B46, Peak_Day[[Cost-Effective]:[Cost-Effective]], 1)</f>
        <v>1517.7685622107372</v>
      </c>
      <c r="V46" s="18">
        <f>SUMIFS(Peak_Day[Achievable Peak Day therm 2045], Peak_Day[[Rate Class]:[Rate Class]], $B46, Peak_Day[[Cost-Effective]:[Cost-Effective]], 1)</f>
        <v>1455.3318568910429</v>
      </c>
      <c r="W46" s="18">
        <f>SUMIFS(Peak_Day[Achievable Peak Day therm 2046], Peak_Day[[Rate Class]:[Rate Class]], $B46, Peak_Day[[Cost-Effective]:[Cost-Effective]], 1)</f>
        <v>1457.8070564061445</v>
      </c>
      <c r="X46" s="18">
        <f>SUMIFS(Peak_Day[Achievable Peak Day therm 2047], Peak_Day[[Rate Class]:[Rate Class]], $B46, Peak_Day[[Cost-Effective]:[Cost-Effective]], 1)</f>
        <v>1416.9085227953956</v>
      </c>
      <c r="Y46" s="18">
        <f>SUMIFS(Peak_Day[Achievable Peak Day therm 2048], Peak_Day[[Rate Class]:[Rate Class]], $B46, Peak_Day[[Cost-Effective]:[Cost-Effective]], 1)</f>
        <v>1354.8202182752832</v>
      </c>
      <c r="Z46" s="18">
        <f>SUMIFS(Peak_Day[Achievable Peak Day therm 2049], Peak_Day[[Rate Class]:[Rate Class]], $B46, Peak_Day[[Cost-Effective]:[Cost-Effective]], 1)</f>
        <v>1316.4798672393104</v>
      </c>
      <c r="AA46" s="18">
        <f>SUMIFS(Peak_Day[Achievable Peak Day therm 2050], Peak_Day[[Rate Class]:[Rate Class]], $B46, Peak_Day[[Cost-Effective]:[Cost-Effective]], 1)</f>
        <v>758.64394487818754</v>
      </c>
    </row>
    <row r="47" spans="2:27" x14ac:dyDescent="0.2">
      <c r="B47" s="16" t="s">
        <v>39</v>
      </c>
      <c r="C47" s="17">
        <f>SUMIFS(Peak_Day[Achievable Peak Day therm 2026], Peak_Day[[Rate Class]:[Rate Class]], $B46, Peak_Day[[Sales/Transport]:[Sales/Transport]], $B47, Peak_Day[[Cost-Effective]:[Cost-Effective]], 1)</f>
        <v>2377.9817011596965</v>
      </c>
      <c r="D47" s="17">
        <f>SUMIFS(Peak_Day[Achievable Peak Day therm 2027], Peak_Day[[Rate Class]:[Rate Class]], $B46, Peak_Day[[Sales/Transport]:[Sales/Transport]], $B47, Peak_Day[[Cost-Effective]:[Cost-Effective]], 1)</f>
        <v>2425.0233972192018</v>
      </c>
      <c r="E47" s="17">
        <f>SUMIFS(Peak_Day[Achievable Peak Day therm 2028], Peak_Day[[Rate Class]:[Rate Class]], $B46, Peak_Day[[Sales/Transport]:[Sales/Transport]], $B47, Peak_Day[[Cost-Effective]:[Cost-Effective]], 1)</f>
        <v>2636.6835775266995</v>
      </c>
      <c r="F47" s="17">
        <f>SUMIFS(Peak_Day[Achievable Peak Day therm 2029], Peak_Day[[Rate Class]:[Rate Class]], $B46, Peak_Day[[Sales/Transport]:[Sales/Transport]], $B47, Peak_Day[[Cost-Effective]:[Cost-Effective]], 1)</f>
        <v>2970.4254757393851</v>
      </c>
      <c r="G47" s="17">
        <f>SUMIFS(Peak_Day[Achievable Peak Day therm 2030], Peak_Day[[Rate Class]:[Rate Class]], $B46, Peak_Day[[Sales/Transport]:[Sales/Transport]], $B47, Peak_Day[[Cost-Effective]:[Cost-Effective]], 1)</f>
        <v>3322.8984729112194</v>
      </c>
      <c r="H47" s="17">
        <f>SUMIFS(Peak_Day[Achievable Peak Day therm 2031], Peak_Day[[Rate Class]:[Rate Class]], $B46, Peak_Day[[Sales/Transport]:[Sales/Transport]], $B47, Peak_Day[[Cost-Effective]:[Cost-Effective]], 1)</f>
        <v>3696.4814170936597</v>
      </c>
      <c r="I47" s="17">
        <f>SUMIFS(Peak_Day[Achievable Peak Day therm 2032], Peak_Day[[Rate Class]:[Rate Class]], $B46, Peak_Day[[Sales/Transport]:[Sales/Transport]], $B47, Peak_Day[[Cost-Effective]:[Cost-Effective]], 1)</f>
        <v>3942.8364068456935</v>
      </c>
      <c r="J47" s="17">
        <f>SUMIFS(Peak_Day[Achievable Peak Day therm 2033], Peak_Day[[Rate Class]:[Rate Class]], $B46, Peak_Day[[Sales/Transport]:[Sales/Transport]], $B47, Peak_Day[[Cost-Effective]:[Cost-Effective]], 1)</f>
        <v>4039.3114471071117</v>
      </c>
      <c r="K47" s="17">
        <f>SUMIFS(Peak_Day[Achievable Peak Day therm 2034], Peak_Day[[Rate Class]:[Rate Class]], $B46, Peak_Day[[Sales/Transport]:[Sales/Transport]], $B47, Peak_Day[[Cost-Effective]:[Cost-Effective]], 1)</f>
        <v>3832.7296510861574</v>
      </c>
      <c r="L47" s="17">
        <f>SUMIFS(Peak_Day[Achievable Peak Day therm 2035], Peak_Day[[Rate Class]:[Rate Class]], $B46, Peak_Day[[Sales/Transport]:[Sales/Transport]], $B47, Peak_Day[[Cost-Effective]:[Cost-Effective]], 1)</f>
        <v>3451.9313344004649</v>
      </c>
      <c r="M47" s="17">
        <f>SUMIFS(Peak_Day[Achievable Peak Day therm 2036], Peak_Day[[Rate Class]:[Rate Class]], $B46, Peak_Day[[Sales/Transport]:[Sales/Transport]], $B47, Peak_Day[[Cost-Effective]:[Cost-Effective]], 1)</f>
        <v>3245.4845239791184</v>
      </c>
      <c r="N47" s="17">
        <f>SUMIFS(Peak_Day[Achievable Peak Day therm 2037], Peak_Day[[Rate Class]:[Rate Class]], $B46, Peak_Day[[Sales/Transport]:[Sales/Transport]], $B47, Peak_Day[[Cost-Effective]:[Cost-Effective]], 1)</f>
        <v>3370.3338077403837</v>
      </c>
      <c r="O47" s="17">
        <f>SUMIFS(Peak_Day[Achievable Peak Day therm 2038], Peak_Day[[Rate Class]:[Rate Class]], $B46, Peak_Day[[Sales/Transport]:[Sales/Transport]], $B47, Peak_Day[[Cost-Effective]:[Cost-Effective]], 1)</f>
        <v>3409.2898590213604</v>
      </c>
      <c r="P47" s="17">
        <f>SUMIFS(Peak_Day[Achievable Peak Day therm 2039], Peak_Day[[Rate Class]:[Rate Class]], $B46, Peak_Day[[Sales/Transport]:[Sales/Transport]], $B47, Peak_Day[[Cost-Effective]:[Cost-Effective]], 1)</f>
        <v>3305.8863191904129</v>
      </c>
      <c r="Q47" s="17">
        <f>SUMIFS(Peak_Day[Achievable Peak Day therm 2040], Peak_Day[[Rate Class]:[Rate Class]], $B46, Peak_Day[[Sales/Transport]:[Sales/Transport]], $B47, Peak_Day[[Cost-Effective]:[Cost-Effective]], 1)</f>
        <v>3038.9393127676908</v>
      </c>
      <c r="R47" s="17">
        <f>SUMIFS(Peak_Day[Achievable Peak Day therm 2041], Peak_Day[[Rate Class]:[Rate Class]], $B46, Peak_Day[[Sales/Transport]:[Sales/Transport]], $B47, Peak_Day[[Cost-Effective]:[Cost-Effective]], 1)</f>
        <v>2644.9735333688136</v>
      </c>
      <c r="S47" s="17">
        <f>SUMIFS(Peak_Day[Achievable Peak Day therm 2042], Peak_Day[[Rate Class]:[Rate Class]], $B46, Peak_Day[[Sales/Transport]:[Sales/Transport]], $B47, Peak_Day[[Cost-Effective]:[Cost-Effective]], 1)</f>
        <v>2166.8061615651795</v>
      </c>
      <c r="T47" s="17">
        <f>SUMIFS(Peak_Day[Achievable Peak Day therm 2043], Peak_Day[[Rate Class]:[Rate Class]], $B46, Peak_Day[[Sales/Transport]:[Sales/Transport]], $B47, Peak_Day[[Cost-Effective]:[Cost-Effective]], 1)</f>
        <v>1836.5168352699195</v>
      </c>
      <c r="U47" s="17">
        <f>SUMIFS(Peak_Day[Achievable Peak Day therm 2044], Peak_Day[[Rate Class]:[Rate Class]], $B46, Peak_Day[[Sales/Transport]:[Sales/Transport]], $B47, Peak_Day[[Cost-Effective]:[Cost-Effective]], 1)</f>
        <v>1443.4655193599317</v>
      </c>
      <c r="V47" s="17">
        <f>SUMIFS(Peak_Day[Achievable Peak Day therm 2045], Peak_Day[[Rate Class]:[Rate Class]], $B46, Peak_Day[[Sales/Transport]:[Sales/Transport]], $B47, Peak_Day[[Cost-Effective]:[Cost-Effective]], 1)</f>
        <v>1382.0163997147665</v>
      </c>
      <c r="W47" s="17">
        <f>SUMIFS(Peak_Day[Achievable Peak Day therm 2046], Peak_Day[[Rate Class]:[Rate Class]], $B46, Peak_Day[[Sales/Transport]:[Sales/Transport]], $B47, Peak_Day[[Cost-Effective]:[Cost-Effective]], 1)</f>
        <v>1384.5695075880087</v>
      </c>
      <c r="X47" s="17">
        <f>SUMIFS(Peak_Day[Achievable Peak Day therm 2047], Peak_Day[[Rate Class]:[Rate Class]], $B46, Peak_Day[[Sales/Transport]:[Sales/Transport]], $B47, Peak_Day[[Cost-Effective]:[Cost-Effective]], 1)</f>
        <v>1345.2634368227496</v>
      </c>
      <c r="Y47" s="17">
        <f>SUMIFS(Peak_Day[Achievable Peak Day therm 2048], Peak_Day[[Rate Class]:[Rate Class]], $B46, Peak_Day[[Sales/Transport]:[Sales/Transport]], $B47, Peak_Day[[Cost-Effective]:[Cost-Effective]], 1)</f>
        <v>1284.6565741620827</v>
      </c>
      <c r="Z47" s="17">
        <f>SUMIFS(Peak_Day[Achievable Peak Day therm 2049], Peak_Day[[Rate Class]:[Rate Class]], $B46, Peak_Day[[Sales/Transport]:[Sales/Transport]], $B47, Peak_Day[[Cost-Effective]:[Cost-Effective]], 1)</f>
        <v>1248.2537525903053</v>
      </c>
      <c r="AA47" s="17">
        <f>SUMIFS(Peak_Day[Achievable Peak Day therm 2050], Peak_Day[[Rate Class]:[Rate Class]], $B46, Peak_Day[[Sales/Transport]:[Sales/Transport]], $B47, Peak_Day[[Cost-Effective]:[Cost-Effective]], 1)</f>
        <v>713.82646137478241</v>
      </c>
    </row>
    <row r="48" spans="2:27" x14ac:dyDescent="0.2">
      <c r="B48" s="16" t="s">
        <v>40</v>
      </c>
      <c r="C48" s="17">
        <f>SUMIFS(Peak_Day[Achievable Peak Day therm 2026], Peak_Day[[Rate Class]:[Rate Class]], $B46, Peak_Day[[Sales/Transport]:[Sales/Transport]], $B48, Peak_Day[[Cost-Effective]:[Cost-Effective]], 1)</f>
        <v>135.3418577808504</v>
      </c>
      <c r="D48" s="17">
        <f>SUMIFS(Peak_Day[Achievable Peak Day therm 2027], Peak_Day[[Rate Class]:[Rate Class]], $B46, Peak_Day[[Sales/Transport]:[Sales/Transport]], $B48, Peak_Day[[Cost-Effective]:[Cost-Effective]], 1)</f>
        <v>152.59967125126715</v>
      </c>
      <c r="E48" s="17">
        <f>SUMIFS(Peak_Day[Achievable Peak Day therm 2028], Peak_Day[[Rate Class]:[Rate Class]], $B46, Peak_Day[[Sales/Transport]:[Sales/Transport]], $B48, Peak_Day[[Cost-Effective]:[Cost-Effective]], 1)</f>
        <v>174.77417531528673</v>
      </c>
      <c r="F48" s="17">
        <f>SUMIFS(Peak_Day[Achievable Peak Day therm 2029], Peak_Day[[Rate Class]:[Rate Class]], $B46, Peak_Day[[Sales/Transport]:[Sales/Transport]], $B48, Peak_Day[[Cost-Effective]:[Cost-Effective]], 1)</f>
        <v>204.20274764697533</v>
      </c>
      <c r="G48" s="17">
        <f>SUMIFS(Peak_Day[Achievable Peak Day therm 2030], Peak_Day[[Rate Class]:[Rate Class]], $B46, Peak_Day[[Sales/Transport]:[Sales/Transport]], $B48, Peak_Day[[Cost-Effective]:[Cost-Effective]], 1)</f>
        <v>231.59727879933385</v>
      </c>
      <c r="H48" s="17">
        <f>SUMIFS(Peak_Day[Achievable Peak Day therm 2031], Peak_Day[[Rate Class]:[Rate Class]], $B46, Peak_Day[[Sales/Transport]:[Sales/Transport]], $B48, Peak_Day[[Cost-Effective]:[Cost-Effective]], 1)</f>
        <v>251.76181821289182</v>
      </c>
      <c r="I48" s="17">
        <f>SUMIFS(Peak_Day[Achievable Peak Day therm 2032], Peak_Day[[Rate Class]:[Rate Class]], $B46, Peak_Day[[Sales/Transport]:[Sales/Transport]], $B48, Peak_Day[[Cost-Effective]:[Cost-Effective]], 1)</f>
        <v>259.24095596712942</v>
      </c>
      <c r="J48" s="17">
        <f>SUMIFS(Peak_Day[Achievable Peak Day therm 2033], Peak_Day[[Rate Class]:[Rate Class]], $B46, Peak_Day[[Sales/Transport]:[Sales/Transport]], $B48, Peak_Day[[Cost-Effective]:[Cost-Effective]], 1)</f>
        <v>253.69767314236023</v>
      </c>
      <c r="K48" s="17">
        <f>SUMIFS(Peak_Day[Achievable Peak Day therm 2034], Peak_Day[[Rate Class]:[Rate Class]], $B46, Peak_Day[[Sales/Transport]:[Sales/Transport]], $B48, Peak_Day[[Cost-Effective]:[Cost-Effective]], 1)</f>
        <v>237.9920185560062</v>
      </c>
      <c r="L48" s="17">
        <f>SUMIFS(Peak_Day[Achievable Peak Day therm 2035], Peak_Day[[Rate Class]:[Rate Class]], $B46, Peak_Day[[Sales/Transport]:[Sales/Transport]], $B48, Peak_Day[[Cost-Effective]:[Cost-Effective]], 1)</f>
        <v>175.56485011796468</v>
      </c>
      <c r="M48" s="17">
        <f>SUMIFS(Peak_Day[Achievable Peak Day therm 2036], Peak_Day[[Rate Class]:[Rate Class]], $B46, Peak_Day[[Sales/Transport]:[Sales/Transport]], $B48, Peak_Day[[Cost-Effective]:[Cost-Effective]], 1)</f>
        <v>151.5203129641144</v>
      </c>
      <c r="N48" s="17">
        <f>SUMIFS(Peak_Day[Achievable Peak Day therm 2037], Peak_Day[[Rate Class]:[Rate Class]], $B46, Peak_Day[[Sales/Transport]:[Sales/Transport]], $B48, Peak_Day[[Cost-Effective]:[Cost-Effective]], 1)</f>
        <v>155.55955903284041</v>
      </c>
      <c r="O48" s="17">
        <f>SUMIFS(Peak_Day[Achievable Peak Day therm 2038], Peak_Day[[Rate Class]:[Rate Class]], $B46, Peak_Day[[Sales/Transport]:[Sales/Transport]], $B48, Peak_Day[[Cost-Effective]:[Cost-Effective]], 1)</f>
        <v>154.08014058186603</v>
      </c>
      <c r="P48" s="17">
        <f>SUMIFS(Peak_Day[Achievable Peak Day therm 2039], Peak_Day[[Rate Class]:[Rate Class]], $B46, Peak_Day[[Sales/Transport]:[Sales/Transport]], $B48, Peak_Day[[Cost-Effective]:[Cost-Effective]], 1)</f>
        <v>147.37636689532059</v>
      </c>
      <c r="Q48" s="17">
        <f>SUMIFS(Peak_Day[Achievable Peak Day therm 2040], Peak_Day[[Rate Class]:[Rate Class]], $B46, Peak_Day[[Sales/Transport]:[Sales/Transport]], $B48, Peak_Day[[Cost-Effective]:[Cost-Effective]], 1)</f>
        <v>136.19092634996596</v>
      </c>
      <c r="R48" s="17">
        <f>SUMIFS(Peak_Day[Achievable Peak Day therm 2041], Peak_Day[[Rate Class]:[Rate Class]], $B46, Peak_Day[[Sales/Transport]:[Sales/Transport]], $B48, Peak_Day[[Cost-Effective]:[Cost-Effective]], 1)</f>
        <v>109.79425729900288</v>
      </c>
      <c r="S48" s="17">
        <f>SUMIFS(Peak_Day[Achievable Peak Day therm 2042], Peak_Day[[Rate Class]:[Rate Class]], $B46, Peak_Day[[Sales/Transport]:[Sales/Transport]], $B48, Peak_Day[[Cost-Effective]:[Cost-Effective]], 1)</f>
        <v>100.20999361321694</v>
      </c>
      <c r="T48" s="17">
        <f>SUMIFS(Peak_Day[Achievable Peak Day therm 2043], Peak_Day[[Rate Class]:[Rate Class]], $B46, Peak_Day[[Sales/Transport]:[Sales/Transport]], $B48, Peak_Day[[Cost-Effective]:[Cost-Effective]], 1)</f>
        <v>85.534403642174695</v>
      </c>
      <c r="U48" s="17">
        <f>SUMIFS(Peak_Day[Achievable Peak Day therm 2044], Peak_Day[[Rate Class]:[Rate Class]], $B46, Peak_Day[[Sales/Transport]:[Sales/Transport]], $B48, Peak_Day[[Cost-Effective]:[Cost-Effective]], 1)</f>
        <v>74.303042850805269</v>
      </c>
      <c r="V48" s="17">
        <f>SUMIFS(Peak_Day[Achievable Peak Day therm 2045], Peak_Day[[Rate Class]:[Rate Class]], $B46, Peak_Day[[Sales/Transport]:[Sales/Transport]], $B48, Peak_Day[[Cost-Effective]:[Cost-Effective]], 1)</f>
        <v>73.315457176277405</v>
      </c>
      <c r="W48" s="17">
        <f>SUMIFS(Peak_Day[Achievable Peak Day therm 2046], Peak_Day[[Rate Class]:[Rate Class]], $B46, Peak_Day[[Sales/Transport]:[Sales/Transport]], $B48, Peak_Day[[Cost-Effective]:[Cost-Effective]], 1)</f>
        <v>73.237548818134911</v>
      </c>
      <c r="X48" s="17">
        <f>SUMIFS(Peak_Day[Achievable Peak Day therm 2047], Peak_Day[[Rate Class]:[Rate Class]], $B46, Peak_Day[[Sales/Transport]:[Sales/Transport]], $B48, Peak_Day[[Cost-Effective]:[Cost-Effective]], 1)</f>
        <v>71.645085972645774</v>
      </c>
      <c r="Y48" s="17">
        <f>SUMIFS(Peak_Day[Achievable Peak Day therm 2048], Peak_Day[[Rate Class]:[Rate Class]], $B46, Peak_Day[[Sales/Transport]:[Sales/Transport]], $B48, Peak_Day[[Cost-Effective]:[Cost-Effective]], 1)</f>
        <v>70.163644113200576</v>
      </c>
      <c r="Z48" s="17">
        <f>SUMIFS(Peak_Day[Achievable Peak Day therm 2049], Peak_Day[[Rate Class]:[Rate Class]], $B46, Peak_Day[[Sales/Transport]:[Sales/Transport]], $B48, Peak_Day[[Cost-Effective]:[Cost-Effective]], 1)</f>
        <v>68.226114649004757</v>
      </c>
      <c r="AA48" s="17">
        <f>SUMIFS(Peak_Day[Achievable Peak Day therm 2050], Peak_Day[[Rate Class]:[Rate Class]], $B46, Peak_Day[[Sales/Transport]:[Sales/Transport]], $B48, Peak_Day[[Cost-Effective]:[Cost-Effective]], 1)</f>
        <v>44.817483503405427</v>
      </c>
    </row>
    <row r="49" spans="2:27" x14ac:dyDescent="0.2">
      <c r="B49" s="9" t="s">
        <v>33</v>
      </c>
      <c r="C49" s="18">
        <f>SUMIFS(Peak_Day[Achievable Peak Day therm 2026], Peak_Day[[Rate Class]:[Rate Class]], $B49, Peak_Day[[Cost-Effective]:[Cost-Effective]], 1)</f>
        <v>146.8906229311973</v>
      </c>
      <c r="D49" s="18">
        <f>SUMIFS(Peak_Day[Achievable Peak Day therm 2027], Peak_Day[[Rate Class]:[Rate Class]], $B49, Peak_Day[[Cost-Effective]:[Cost-Effective]], 1)</f>
        <v>278.51799261620988</v>
      </c>
      <c r="E49" s="18">
        <f>SUMIFS(Peak_Day[Achievable Peak Day therm 2028], Peak_Day[[Rate Class]:[Rate Class]], $B49, Peak_Day[[Cost-Effective]:[Cost-Effective]], 1)</f>
        <v>478.09869066649827</v>
      </c>
      <c r="F49" s="18">
        <f>SUMIFS(Peak_Day[Achievable Peak Day therm 2029], Peak_Day[[Rate Class]:[Rate Class]], $B49, Peak_Day[[Cost-Effective]:[Cost-Effective]], 1)</f>
        <v>757.21083499855399</v>
      </c>
      <c r="G49" s="18">
        <f>SUMIFS(Peak_Day[Achievable Peak Day therm 2030], Peak_Day[[Rate Class]:[Rate Class]], $B49, Peak_Day[[Cost-Effective]:[Cost-Effective]], 1)</f>
        <v>1124.4346721918575</v>
      </c>
      <c r="H49" s="18">
        <f>SUMIFS(Peak_Day[Achievable Peak Day therm 2031], Peak_Day[[Rate Class]:[Rate Class]], $B49, Peak_Day[[Cost-Effective]:[Cost-Effective]], 1)</f>
        <v>1580.2383701406404</v>
      </c>
      <c r="I49" s="18">
        <f>SUMIFS(Peak_Day[Achievable Peak Day therm 2032], Peak_Day[[Rate Class]:[Rate Class]], $B49, Peak_Day[[Cost-Effective]:[Cost-Effective]], 1)</f>
        <v>2113.100743713836</v>
      </c>
      <c r="J49" s="18">
        <f>SUMIFS(Peak_Day[Achievable Peak Day therm 2033], Peak_Day[[Rate Class]:[Rate Class]], $B49, Peak_Day[[Cost-Effective]:[Cost-Effective]], 1)</f>
        <v>2696.3355155994986</v>
      </c>
      <c r="K49" s="18">
        <f>SUMIFS(Peak_Day[Achievable Peak Day therm 2034], Peak_Day[[Rate Class]:[Rate Class]], $B49, Peak_Day[[Cost-Effective]:[Cost-Effective]], 1)</f>
        <v>3285.9084883824216</v>
      </c>
      <c r="L49" s="18">
        <f>SUMIFS(Peak_Day[Achievable Peak Day therm 2035], Peak_Day[[Rate Class]:[Rate Class]], $B49, Peak_Day[[Cost-Effective]:[Cost-Effective]], 1)</f>
        <v>3821.5654053987223</v>
      </c>
      <c r="M49" s="18">
        <f>SUMIFS(Peak_Day[Achievable Peak Day therm 2036], Peak_Day[[Rate Class]:[Rate Class]], $B49, Peak_Day[[Cost-Effective]:[Cost-Effective]], 1)</f>
        <v>4233.2800178992466</v>
      </c>
      <c r="N49" s="18">
        <f>SUMIFS(Peak_Day[Achievable Peak Day therm 2037], Peak_Day[[Rate Class]:[Rate Class]], $B49, Peak_Day[[Cost-Effective]:[Cost-Effective]], 1)</f>
        <v>4453.7108557895817</v>
      </c>
      <c r="O49" s="18">
        <f>SUMIFS(Peak_Day[Achievable Peak Day therm 2038], Peak_Day[[Rate Class]:[Rate Class]], $B49, Peak_Day[[Cost-Effective]:[Cost-Effective]], 1)</f>
        <v>4432.8077764082336</v>
      </c>
      <c r="P49" s="18">
        <f>SUMIFS(Peak_Day[Achievable Peak Day therm 2039], Peak_Day[[Rate Class]:[Rate Class]], $B49, Peak_Day[[Cost-Effective]:[Cost-Effective]], 1)</f>
        <v>4159.1091364659533</v>
      </c>
      <c r="Q49" s="18">
        <f>SUMIFS(Peak_Day[Achievable Peak Day therm 2040], Peak_Day[[Rate Class]:[Rate Class]], $B49, Peak_Day[[Cost-Effective]:[Cost-Effective]], 1)</f>
        <v>3549.3210997846072</v>
      </c>
      <c r="R49" s="18">
        <f>SUMIFS(Peak_Day[Achievable Peak Day therm 2041], Peak_Day[[Rate Class]:[Rate Class]], $B49, Peak_Day[[Cost-Effective]:[Cost-Effective]], 1)</f>
        <v>2951.0601127793861</v>
      </c>
      <c r="S49" s="18">
        <f>SUMIFS(Peak_Day[Achievable Peak Day therm 2042], Peak_Day[[Rate Class]:[Rate Class]], $B49, Peak_Day[[Cost-Effective]:[Cost-Effective]], 1)</f>
        <v>1276.2464430924906</v>
      </c>
      <c r="T49" s="18">
        <f>SUMIFS(Peak_Day[Achievable Peak Day therm 2043], Peak_Day[[Rate Class]:[Rate Class]], $B49, Peak_Day[[Cost-Effective]:[Cost-Effective]], 1)</f>
        <v>328.06780065262791</v>
      </c>
      <c r="U49" s="18">
        <f>SUMIFS(Peak_Day[Achievable Peak Day therm 2044], Peak_Day[[Rate Class]:[Rate Class]], $B49, Peak_Day[[Cost-Effective]:[Cost-Effective]], 1)</f>
        <v>327.20908845663865</v>
      </c>
      <c r="V49" s="18">
        <f>SUMIFS(Peak_Day[Achievable Peak Day therm 2045], Peak_Day[[Rate Class]:[Rate Class]], $B49, Peak_Day[[Cost-Effective]:[Cost-Effective]], 1)</f>
        <v>325.44937972430796</v>
      </c>
      <c r="W49" s="18">
        <f>SUMIFS(Peak_Day[Achievable Peak Day therm 2046], Peak_Day[[Rate Class]:[Rate Class]], $B49, Peak_Day[[Cost-Effective]:[Cost-Effective]], 1)</f>
        <v>323.14306028181034</v>
      </c>
      <c r="X49" s="18">
        <f>SUMIFS(Peak_Day[Achievable Peak Day therm 2047], Peak_Day[[Rate Class]:[Rate Class]], $B49, Peak_Day[[Cost-Effective]:[Cost-Effective]], 1)</f>
        <v>320.62656657275801</v>
      </c>
      <c r="Y49" s="18">
        <f>SUMIFS(Peak_Day[Achievable Peak Day therm 2048], Peak_Day[[Rate Class]:[Rate Class]], $B49, Peak_Day[[Cost-Effective]:[Cost-Effective]], 1)</f>
        <v>318.13777994651139</v>
      </c>
      <c r="Z49" s="18">
        <f>SUMIFS(Peak_Day[Achievable Peak Day therm 2049], Peak_Day[[Rate Class]:[Rate Class]], $B49, Peak_Day[[Cost-Effective]:[Cost-Effective]], 1)</f>
        <v>315.67254413861679</v>
      </c>
      <c r="AA49" s="18">
        <f>SUMIFS(Peak_Day[Achievable Peak Day therm 2050], Peak_Day[[Rate Class]:[Rate Class]], $B49, Peak_Day[[Cost-Effective]:[Cost-Effective]], 1)</f>
        <v>312.68610775569903</v>
      </c>
    </row>
    <row r="50" spans="2:27" x14ac:dyDescent="0.2">
      <c r="B50" s="16" t="s">
        <v>39</v>
      </c>
      <c r="C50" s="17">
        <f>SUMIFS(Peak_Day[Achievable Peak Day therm 2026], Peak_Day[[Rate Class]:[Rate Class]], $B49, Peak_Day[[Sales/Transport]:[Sales/Transport]], $B50, Peak_Day[[Cost-Effective]:[Cost-Effective]], 1)</f>
        <v>24.69400206623672</v>
      </c>
      <c r="D50" s="17">
        <f>SUMIFS(Peak_Day[Achievable Peak Day therm 2027], Peak_Day[[Rate Class]:[Rate Class]], $B49, Peak_Day[[Sales/Transport]:[Sales/Transport]], $B50, Peak_Day[[Cost-Effective]:[Cost-Effective]], 1)</f>
        <v>45.3431769283129</v>
      </c>
      <c r="E50" s="17">
        <f>SUMIFS(Peak_Day[Achievable Peak Day therm 2028], Peak_Day[[Rate Class]:[Rate Class]], $B49, Peak_Day[[Sales/Transport]:[Sales/Transport]], $B50, Peak_Day[[Cost-Effective]:[Cost-Effective]], 1)</f>
        <v>76.774295848418404</v>
      </c>
      <c r="F50" s="17">
        <f>SUMIFS(Peak_Day[Achievable Peak Day therm 2029], Peak_Day[[Rate Class]:[Rate Class]], $B49, Peak_Day[[Sales/Transport]:[Sales/Transport]], $B50, Peak_Day[[Cost-Effective]:[Cost-Effective]], 1)</f>
        <v>120.71102898965842</v>
      </c>
      <c r="G50" s="17">
        <f>SUMIFS(Peak_Day[Achievable Peak Day therm 2030], Peak_Day[[Rate Class]:[Rate Class]], $B49, Peak_Day[[Sales/Transport]:[Sales/Transport]], $B50, Peak_Day[[Cost-Effective]:[Cost-Effective]], 1)</f>
        <v>178.42075288604292</v>
      </c>
      <c r="H50" s="17">
        <f>SUMIFS(Peak_Day[Achievable Peak Day therm 2031], Peak_Day[[Rate Class]:[Rate Class]], $B49, Peak_Day[[Sales/Transport]:[Sales/Transport]], $B50, Peak_Day[[Cost-Effective]:[Cost-Effective]], 1)</f>
        <v>250.03000323335658</v>
      </c>
      <c r="I50" s="17">
        <f>SUMIFS(Peak_Day[Achievable Peak Day therm 2032], Peak_Day[[Rate Class]:[Rate Class]], $B49, Peak_Day[[Sales/Transport]:[Sales/Transport]], $B50, Peak_Day[[Cost-Effective]:[Cost-Effective]], 1)</f>
        <v>333.56628548499236</v>
      </c>
      <c r="J50" s="17">
        <f>SUMIFS(Peak_Day[Achievable Peak Day therm 2033], Peak_Day[[Rate Class]:[Rate Class]], $B49, Peak_Day[[Sales/Transport]:[Sales/Transport]], $B50, Peak_Day[[Cost-Effective]:[Cost-Effective]], 1)</f>
        <v>424.82572298836726</v>
      </c>
      <c r="K50" s="17">
        <f>SUMIFS(Peak_Day[Achievable Peak Day therm 2034], Peak_Day[[Rate Class]:[Rate Class]], $B49, Peak_Day[[Sales/Transport]:[Sales/Transport]], $B50, Peak_Day[[Cost-Effective]:[Cost-Effective]], 1)</f>
        <v>516.91711166121229</v>
      </c>
      <c r="L50" s="17">
        <f>SUMIFS(Peak_Day[Achievable Peak Day therm 2035], Peak_Day[[Rate Class]:[Rate Class]], $B49, Peak_Day[[Sales/Transport]:[Sales/Transport]], $B50, Peak_Day[[Cost-Effective]:[Cost-Effective]], 1)</f>
        <v>600.33674938791762</v>
      </c>
      <c r="M50" s="17">
        <f>SUMIFS(Peak_Day[Achievable Peak Day therm 2036], Peak_Day[[Rate Class]:[Rate Class]], $B49, Peak_Day[[Sales/Transport]:[Sales/Transport]], $B50, Peak_Day[[Cost-Effective]:[Cost-Effective]], 1)</f>
        <v>664.15991420766352</v>
      </c>
      <c r="N50" s="17">
        <f>SUMIFS(Peak_Day[Achievable Peak Day therm 2037], Peak_Day[[Rate Class]:[Rate Class]], $B49, Peak_Day[[Sales/Transport]:[Sales/Transport]], $B50, Peak_Day[[Cost-Effective]:[Cost-Effective]], 1)</f>
        <v>698.41196169373745</v>
      </c>
      <c r="O50" s="17">
        <f>SUMIFS(Peak_Day[Achievable Peak Day therm 2038], Peak_Day[[Rate Class]:[Rate Class]], $B49, Peak_Day[[Sales/Transport]:[Sales/Transport]], $B50, Peak_Day[[Cost-Effective]:[Cost-Effective]], 1)</f>
        <v>694.87627357819144</v>
      </c>
      <c r="P50" s="17">
        <f>SUMIFS(Peak_Day[Achievable Peak Day therm 2039], Peak_Day[[Rate Class]:[Rate Class]], $B49, Peak_Day[[Sales/Transport]:[Sales/Transport]], $B50, Peak_Day[[Cost-Effective]:[Cost-Effective]], 1)</f>
        <v>651.87390653001864</v>
      </c>
      <c r="Q50" s="17">
        <f>SUMIFS(Peak_Day[Achievable Peak Day therm 2040], Peak_Day[[Rate Class]:[Rate Class]], $B49, Peak_Day[[Sales/Transport]:[Sales/Transport]], $B50, Peak_Day[[Cost-Effective]:[Cost-Effective]], 1)</f>
        <v>554.84126543700779</v>
      </c>
      <c r="R50" s="17">
        <f>SUMIFS(Peak_Day[Achievable Peak Day therm 2041], Peak_Day[[Rate Class]:[Rate Class]], $B49, Peak_Day[[Sales/Transport]:[Sales/Transport]], $B50, Peak_Day[[Cost-Effective]:[Cost-Effective]], 1)</f>
        <v>461.49235160125767</v>
      </c>
      <c r="S50" s="17">
        <f>SUMIFS(Peak_Day[Achievable Peak Day therm 2042], Peak_Day[[Rate Class]:[Rate Class]], $B49, Peak_Day[[Sales/Transport]:[Sales/Transport]], $B50, Peak_Day[[Cost-Effective]:[Cost-Effective]], 1)</f>
        <v>199.98762061725026</v>
      </c>
      <c r="T50" s="17">
        <f>SUMIFS(Peak_Day[Achievable Peak Day therm 2043], Peak_Day[[Rate Class]:[Rate Class]], $B49, Peak_Day[[Sales/Transport]:[Sales/Transport]], $B50, Peak_Day[[Cost-Effective]:[Cost-Effective]], 1)</f>
        <v>53.90743794352408</v>
      </c>
      <c r="U50" s="17">
        <f>SUMIFS(Peak_Day[Achievable Peak Day therm 2044], Peak_Day[[Rate Class]:[Rate Class]], $B49, Peak_Day[[Sales/Transport]:[Sales/Transport]], $B50, Peak_Day[[Cost-Effective]:[Cost-Effective]], 1)</f>
        <v>53.442282237521468</v>
      </c>
      <c r="V50" s="17">
        <f>SUMIFS(Peak_Day[Achievable Peak Day therm 2045], Peak_Day[[Rate Class]:[Rate Class]], $B49, Peak_Day[[Sales/Transport]:[Sales/Transport]], $B50, Peak_Day[[Cost-Effective]:[Cost-Effective]], 1)</f>
        <v>53.176063767831693</v>
      </c>
      <c r="W50" s="17">
        <f>SUMIFS(Peak_Day[Achievable Peak Day therm 2046], Peak_Day[[Rate Class]:[Rate Class]], $B49, Peak_Day[[Sales/Transport]:[Sales/Transport]], $B50, Peak_Day[[Cost-Effective]:[Cost-Effective]], 1)</f>
        <v>52.815555541611864</v>
      </c>
      <c r="X50" s="17">
        <f>SUMIFS(Peak_Day[Achievable Peak Day therm 2047], Peak_Day[[Rate Class]:[Rate Class]], $B49, Peak_Day[[Sales/Transport]:[Sales/Transport]], $B50, Peak_Day[[Cost-Effective]:[Cost-Effective]], 1)</f>
        <v>52.382899803709222</v>
      </c>
      <c r="Y50" s="17">
        <f>SUMIFS(Peak_Day[Achievable Peak Day therm 2048], Peak_Day[[Rate Class]:[Rate Class]], $B49, Peak_Day[[Sales/Transport]:[Sales/Transport]], $B50, Peak_Day[[Cost-Effective]:[Cost-Effective]], 1)</f>
        <v>51.961887741767327</v>
      </c>
      <c r="Z50" s="17">
        <f>SUMIFS(Peak_Day[Achievable Peak Day therm 2049], Peak_Day[[Rate Class]:[Rate Class]], $B49, Peak_Day[[Sales/Transport]:[Sales/Transport]], $B50, Peak_Day[[Cost-Effective]:[Cost-Effective]], 1)</f>
        <v>51.548486917197557</v>
      </c>
      <c r="AA50" s="17">
        <f>SUMIFS(Peak_Day[Achievable Peak Day therm 2050], Peak_Day[[Rate Class]:[Rate Class]], $B49, Peak_Day[[Sales/Transport]:[Sales/Transport]], $B50, Peak_Day[[Cost-Effective]:[Cost-Effective]], 1)</f>
        <v>50.598068807969973</v>
      </c>
    </row>
    <row r="51" spans="2:27" x14ac:dyDescent="0.2">
      <c r="B51" s="16" t="s">
        <v>40</v>
      </c>
      <c r="C51" s="17">
        <f>SUMIFS(Peak_Day[Achievable Peak Day therm 2026], Peak_Day[[Rate Class]:[Rate Class]], $B49, Peak_Day[[Sales/Transport]:[Sales/Transport]], $B51, Peak_Day[[Cost-Effective]:[Cost-Effective]], 1)</f>
        <v>122.19662086496066</v>
      </c>
      <c r="D51" s="17">
        <f>SUMIFS(Peak_Day[Achievable Peak Day therm 2027], Peak_Day[[Rate Class]:[Rate Class]], $B49, Peak_Day[[Sales/Transport]:[Sales/Transport]], $B51, Peak_Day[[Cost-Effective]:[Cost-Effective]], 1)</f>
        <v>233.17481568789719</v>
      </c>
      <c r="E51" s="17">
        <f>SUMIFS(Peak_Day[Achievable Peak Day therm 2028], Peak_Day[[Rate Class]:[Rate Class]], $B49, Peak_Day[[Sales/Transport]:[Sales/Transport]], $B51, Peak_Day[[Cost-Effective]:[Cost-Effective]], 1)</f>
        <v>401.32439481807972</v>
      </c>
      <c r="F51" s="17">
        <f>SUMIFS(Peak_Day[Achievable Peak Day therm 2029], Peak_Day[[Rate Class]:[Rate Class]], $B49, Peak_Day[[Sales/Transport]:[Sales/Transport]], $B51, Peak_Day[[Cost-Effective]:[Cost-Effective]], 1)</f>
        <v>636.49980600889569</v>
      </c>
      <c r="G51" s="17">
        <f>SUMIFS(Peak_Day[Achievable Peak Day therm 2030], Peak_Day[[Rate Class]:[Rate Class]], $B49, Peak_Day[[Sales/Transport]:[Sales/Transport]], $B51, Peak_Day[[Cost-Effective]:[Cost-Effective]], 1)</f>
        <v>946.01391930581508</v>
      </c>
      <c r="H51" s="17">
        <f>SUMIFS(Peak_Day[Achievable Peak Day therm 2031], Peak_Day[[Rate Class]:[Rate Class]], $B49, Peak_Day[[Sales/Transport]:[Sales/Transport]], $B51, Peak_Day[[Cost-Effective]:[Cost-Effective]], 1)</f>
        <v>1330.208366907284</v>
      </c>
      <c r="I51" s="17">
        <f>SUMIFS(Peak_Day[Achievable Peak Day therm 2032], Peak_Day[[Rate Class]:[Rate Class]], $B49, Peak_Day[[Sales/Transport]:[Sales/Transport]], $B51, Peak_Day[[Cost-Effective]:[Cost-Effective]], 1)</f>
        <v>1779.5344582288437</v>
      </c>
      <c r="J51" s="17">
        <f>SUMIFS(Peak_Day[Achievable Peak Day therm 2033], Peak_Day[[Rate Class]:[Rate Class]], $B49, Peak_Day[[Sales/Transport]:[Sales/Transport]], $B51, Peak_Day[[Cost-Effective]:[Cost-Effective]], 1)</f>
        <v>2271.5097926111303</v>
      </c>
      <c r="K51" s="17">
        <f>SUMIFS(Peak_Day[Achievable Peak Day therm 2034], Peak_Day[[Rate Class]:[Rate Class]], $B49, Peak_Day[[Sales/Transport]:[Sales/Transport]], $B51, Peak_Day[[Cost-Effective]:[Cost-Effective]], 1)</f>
        <v>2768.9913767212101</v>
      </c>
      <c r="L51" s="17">
        <f>SUMIFS(Peak_Day[Achievable Peak Day therm 2035], Peak_Day[[Rate Class]:[Rate Class]], $B49, Peak_Day[[Sales/Transport]:[Sales/Transport]], $B51, Peak_Day[[Cost-Effective]:[Cost-Effective]], 1)</f>
        <v>3221.2286560108041</v>
      </c>
      <c r="M51" s="17">
        <f>SUMIFS(Peak_Day[Achievable Peak Day therm 2036], Peak_Day[[Rate Class]:[Rate Class]], $B49, Peak_Day[[Sales/Transport]:[Sales/Transport]], $B51, Peak_Day[[Cost-Effective]:[Cost-Effective]], 1)</f>
        <v>3569.1201036915809</v>
      </c>
      <c r="N51" s="17">
        <f>SUMIFS(Peak_Day[Achievable Peak Day therm 2037], Peak_Day[[Rate Class]:[Rate Class]], $B49, Peak_Day[[Sales/Transport]:[Sales/Transport]], $B51, Peak_Day[[Cost-Effective]:[Cost-Effective]], 1)</f>
        <v>3755.2988940958462</v>
      </c>
      <c r="O51" s="17">
        <f>SUMIFS(Peak_Day[Achievable Peak Day therm 2038], Peak_Day[[Rate Class]:[Rate Class]], $B49, Peak_Day[[Sales/Transport]:[Sales/Transport]], $B51, Peak_Day[[Cost-Effective]:[Cost-Effective]], 1)</f>
        <v>3737.9315028300393</v>
      </c>
      <c r="P51" s="17">
        <f>SUMIFS(Peak_Day[Achievable Peak Day therm 2039], Peak_Day[[Rate Class]:[Rate Class]], $B49, Peak_Day[[Sales/Transport]:[Sales/Transport]], $B51, Peak_Day[[Cost-Effective]:[Cost-Effective]], 1)</f>
        <v>3507.2352299359341</v>
      </c>
      <c r="Q51" s="17">
        <f>SUMIFS(Peak_Day[Achievable Peak Day therm 2040], Peak_Day[[Rate Class]:[Rate Class]], $B49, Peak_Day[[Sales/Transport]:[Sales/Transport]], $B51, Peak_Day[[Cost-Effective]:[Cost-Effective]], 1)</f>
        <v>2994.4798343475982</v>
      </c>
      <c r="R51" s="17">
        <f>SUMIFS(Peak_Day[Achievable Peak Day therm 2041], Peak_Day[[Rate Class]:[Rate Class]], $B49, Peak_Day[[Sales/Transport]:[Sales/Transport]], $B51, Peak_Day[[Cost-Effective]:[Cost-Effective]], 1)</f>
        <v>2489.5677611781275</v>
      </c>
      <c r="S51" s="17">
        <f>SUMIFS(Peak_Day[Achievable Peak Day therm 2042], Peak_Day[[Rate Class]:[Rate Class]], $B49, Peak_Day[[Sales/Transport]:[Sales/Transport]], $B51, Peak_Day[[Cost-Effective]:[Cost-Effective]], 1)</f>
        <v>1076.2588224752405</v>
      </c>
      <c r="T51" s="17">
        <f>SUMIFS(Peak_Day[Achievable Peak Day therm 2043], Peak_Day[[Rate Class]:[Rate Class]], $B49, Peak_Day[[Sales/Transport]:[Sales/Transport]], $B51, Peak_Day[[Cost-Effective]:[Cost-Effective]], 1)</f>
        <v>274.16036270910382</v>
      </c>
      <c r="U51" s="17">
        <f>SUMIFS(Peak_Day[Achievable Peak Day therm 2044], Peak_Day[[Rate Class]:[Rate Class]], $B49, Peak_Day[[Sales/Transport]:[Sales/Transport]], $B51, Peak_Day[[Cost-Effective]:[Cost-Effective]], 1)</f>
        <v>273.7668062191172</v>
      </c>
      <c r="V51" s="17">
        <f>SUMIFS(Peak_Day[Achievable Peak Day therm 2045], Peak_Day[[Rate Class]:[Rate Class]], $B49, Peak_Day[[Sales/Transport]:[Sales/Transport]], $B51, Peak_Day[[Cost-Effective]:[Cost-Effective]], 1)</f>
        <v>272.27331595647627</v>
      </c>
      <c r="W51" s="17">
        <f>SUMIFS(Peak_Day[Achievable Peak Day therm 2046], Peak_Day[[Rate Class]:[Rate Class]], $B49, Peak_Day[[Sales/Transport]:[Sales/Transport]], $B51, Peak_Day[[Cost-Effective]:[Cost-Effective]], 1)</f>
        <v>270.32750474019838</v>
      </c>
      <c r="X51" s="17">
        <f>SUMIFS(Peak_Day[Achievable Peak Day therm 2047], Peak_Day[[Rate Class]:[Rate Class]], $B49, Peak_Day[[Sales/Transport]:[Sales/Transport]], $B51, Peak_Day[[Cost-Effective]:[Cost-Effective]], 1)</f>
        <v>268.24366676904884</v>
      </c>
      <c r="Y51" s="17">
        <f>SUMIFS(Peak_Day[Achievable Peak Day therm 2048], Peak_Day[[Rate Class]:[Rate Class]], $B49, Peak_Day[[Sales/Transport]:[Sales/Transport]], $B51, Peak_Day[[Cost-Effective]:[Cost-Effective]], 1)</f>
        <v>266.17589220474406</v>
      </c>
      <c r="Z51" s="17">
        <f>SUMIFS(Peak_Day[Achievable Peak Day therm 2049], Peak_Day[[Rate Class]:[Rate Class]], $B49, Peak_Day[[Sales/Transport]:[Sales/Transport]], $B51, Peak_Day[[Cost-Effective]:[Cost-Effective]], 1)</f>
        <v>264.12405722141915</v>
      </c>
      <c r="AA51" s="17">
        <f>SUMIFS(Peak_Day[Achievable Peak Day therm 2050], Peak_Day[[Rate Class]:[Rate Class]], $B49, Peak_Day[[Sales/Transport]:[Sales/Transport]], $B51, Peak_Day[[Cost-Effective]:[Cost-Effective]], 1)</f>
        <v>262.08803894772905</v>
      </c>
    </row>
    <row r="52" spans="2:27" ht="13.5" thickBot="1" x14ac:dyDescent="0.25">
      <c r="B52" s="14" t="s">
        <v>34</v>
      </c>
      <c r="C52" s="15">
        <f>SUM(C45,C46,C49)</f>
        <v>4308.4767329897631</v>
      </c>
      <c r="D52" s="15">
        <f t="shared" ref="D52:AA52" si="12">SUM(D45,D46,D49)</f>
        <v>5177.6751480637495</v>
      </c>
      <c r="E52" s="15">
        <f t="shared" si="12"/>
        <v>6594.3446765044864</v>
      </c>
      <c r="F52" s="15">
        <f t="shared" si="12"/>
        <v>8402.4367123171578</v>
      </c>
      <c r="G52" s="15">
        <f t="shared" si="12"/>
        <v>10567.728272703871</v>
      </c>
      <c r="H52" s="15">
        <f t="shared" si="12"/>
        <v>13065.495988266886</v>
      </c>
      <c r="I52" s="15">
        <f t="shared" si="12"/>
        <v>15667.314074603313</v>
      </c>
      <c r="J52" s="15">
        <f t="shared" si="12"/>
        <v>18215.835489017343</v>
      </c>
      <c r="K52" s="15">
        <f t="shared" si="12"/>
        <v>20363.781094868089</v>
      </c>
      <c r="L52" s="15">
        <f t="shared" si="12"/>
        <v>21956.054661764501</v>
      </c>
      <c r="M52" s="15">
        <f t="shared" si="12"/>
        <v>23169.655986167159</v>
      </c>
      <c r="N52" s="15">
        <f t="shared" si="12"/>
        <v>23933.279326847638</v>
      </c>
      <c r="O52" s="15">
        <f t="shared" si="12"/>
        <v>23675.45509405862</v>
      </c>
      <c r="P52" s="15">
        <f t="shared" si="12"/>
        <v>22427.557427827553</v>
      </c>
      <c r="Q52" s="15">
        <f t="shared" si="12"/>
        <v>20138.199808846308</v>
      </c>
      <c r="R52" s="15">
        <f t="shared" si="12"/>
        <v>17517.953432153452</v>
      </c>
      <c r="S52" s="15">
        <f t="shared" si="12"/>
        <v>13383.508512547593</v>
      </c>
      <c r="T52" s="15">
        <f t="shared" si="12"/>
        <v>10699.314153237163</v>
      </c>
      <c r="U52" s="15">
        <f t="shared" si="12"/>
        <v>8313.4284899034319</v>
      </c>
      <c r="V52" s="15">
        <f t="shared" si="12"/>
        <v>8064.5141427333501</v>
      </c>
      <c r="W52" s="15">
        <f t="shared" si="12"/>
        <v>7982.9053812314369</v>
      </c>
      <c r="X52" s="15">
        <f t="shared" si="12"/>
        <v>7863.4993293630932</v>
      </c>
      <c r="Y52" s="15">
        <f t="shared" si="12"/>
        <v>7713.3492637017553</v>
      </c>
      <c r="Z52" s="15">
        <f t="shared" si="12"/>
        <v>7576.3183583454593</v>
      </c>
      <c r="AA52" s="15">
        <f t="shared" si="12"/>
        <v>6096.8947353343174</v>
      </c>
    </row>
    <row r="55" spans="2:27" x14ac:dyDescent="0.2">
      <c r="B55" s="9" t="s">
        <v>77</v>
      </c>
    </row>
    <row r="56" spans="2:27" x14ac:dyDescent="0.2">
      <c r="B56" s="11"/>
      <c r="C56" s="12">
        <v>2026</v>
      </c>
      <c r="D56" s="12">
        <v>2027</v>
      </c>
      <c r="E56" s="12">
        <v>2028</v>
      </c>
      <c r="F56" s="12">
        <v>2029</v>
      </c>
      <c r="G56" s="12">
        <v>2030</v>
      </c>
      <c r="H56" s="12">
        <v>2031</v>
      </c>
      <c r="I56" s="12">
        <v>2032</v>
      </c>
      <c r="J56" s="12">
        <v>2033</v>
      </c>
      <c r="K56" s="12">
        <v>2034</v>
      </c>
      <c r="L56" s="12">
        <v>2035</v>
      </c>
      <c r="M56" s="12">
        <v>2036</v>
      </c>
      <c r="N56" s="12">
        <v>2037</v>
      </c>
      <c r="O56" s="12">
        <v>2038</v>
      </c>
      <c r="P56" s="12">
        <v>2039</v>
      </c>
      <c r="Q56" s="12">
        <v>2040</v>
      </c>
      <c r="R56" s="12">
        <v>2041</v>
      </c>
      <c r="S56" s="12">
        <v>2042</v>
      </c>
      <c r="T56" s="12">
        <v>2043</v>
      </c>
      <c r="U56" s="12">
        <v>2044</v>
      </c>
      <c r="V56" s="12">
        <v>2045</v>
      </c>
      <c r="W56" s="12">
        <v>2046</v>
      </c>
      <c r="X56" s="12">
        <v>2047</v>
      </c>
      <c r="Y56" s="12">
        <v>2048</v>
      </c>
      <c r="Z56" s="12">
        <v>2049</v>
      </c>
      <c r="AA56" s="12">
        <v>2050</v>
      </c>
    </row>
    <row r="57" spans="2:27" x14ac:dyDescent="0.2">
      <c r="B57" s="9" t="s">
        <v>28</v>
      </c>
      <c r="C57" s="18">
        <f>SUMIFS(Peak_Day[Achievable Peak Day therm 2026], Peak_Day[[Sector]:[Sector]], $B57)</f>
        <v>2486.4778880416034</v>
      </c>
      <c r="D57" s="18">
        <f>SUMIFS(Peak_Day[Achievable Peak Day therm 2027], Peak_Day[[Sector]:[Sector]], $B57)</f>
        <v>3245.7260230904253</v>
      </c>
      <c r="E57" s="18">
        <f>SUMIFS(Peak_Day[Achievable Peak Day therm 2028], Peak_Day[[Sector]:[Sector]], $B57)</f>
        <v>4414.1754181391834</v>
      </c>
      <c r="F57" s="18">
        <f>SUMIFS(Peak_Day[Achievable Peak Day therm 2029], Peak_Day[[Sector]:[Sector]], $B57)</f>
        <v>5716.741886443464</v>
      </c>
      <c r="G57" s="18">
        <f>SUMIFS(Peak_Day[Achievable Peak Day therm 2030], Peak_Day[[Sector]:[Sector]], $B57)</f>
        <v>7277.7189773928658</v>
      </c>
      <c r="H57" s="18">
        <f>SUMIFS(Peak_Day[Achievable Peak Day therm 2031], Peak_Day[[Sector]:[Sector]], $B57)</f>
        <v>9158.7264211586044</v>
      </c>
      <c r="I57" s="18">
        <f>SUMIFS(Peak_Day[Achievable Peak Day therm 2032], Peak_Day[[Sector]:[Sector]], $B57)</f>
        <v>11283.665565568263</v>
      </c>
      <c r="J57" s="18">
        <f>SUMIFS(Peak_Day[Achievable Peak Day therm 2033], Peak_Day[[Sector]:[Sector]], $B57)</f>
        <v>13522.32611211895</v>
      </c>
      <c r="K57" s="18">
        <f>SUMIFS(Peak_Day[Achievable Peak Day therm 2034], Peak_Day[[Sector]:[Sector]], $B57)</f>
        <v>15687.939381377988</v>
      </c>
      <c r="L57" s="18">
        <f>SUMIFS(Peak_Day[Achievable Peak Day therm 2035], Peak_Day[[Sector]:[Sector]], $B57)</f>
        <v>17548.547503438647</v>
      </c>
      <c r="M57" s="18">
        <f>SUMIFS(Peak_Day[Achievable Peak Day therm 2036], Peak_Day[[Sector]:[Sector]], $B57)</f>
        <v>18865.140947790522</v>
      </c>
      <c r="N57" s="18">
        <f>SUMIFS(Peak_Day[Achievable Peak Day therm 2037], Peak_Day[[Sector]:[Sector]], $B57)</f>
        <v>19356.859405660016</v>
      </c>
      <c r="O57" s="18">
        <f>SUMIFS(Peak_Day[Achievable Peak Day therm 2038], Peak_Day[[Sector]:[Sector]], $B57)</f>
        <v>19058.046645343828</v>
      </c>
      <c r="P57" s="18">
        <f>SUMIFS(Peak_Day[Achievable Peak Day therm 2039], Peak_Day[[Sector]:[Sector]], $B57)</f>
        <v>18009.201532563573</v>
      </c>
      <c r="Q57" s="18">
        <f>SUMIFS(Peak_Day[Achievable Peak Day therm 2040], Peak_Day[[Sector]:[Sector]], $B57)</f>
        <v>16251.454838118818</v>
      </c>
      <c r="R57" s="18">
        <f>SUMIFS(Peak_Day[Achievable Peak Day therm 2041], Peak_Day[[Sector]:[Sector]], $B57)</f>
        <v>14200.769180212215</v>
      </c>
      <c r="S57" s="18">
        <f>SUMIFS(Peak_Day[Achievable Peak Day therm 2042], Peak_Day[[Sector]:[Sector]], $B57)</f>
        <v>11714.913226006514</v>
      </c>
      <c r="T57" s="18">
        <f>SUMIFS(Peak_Day[Achievable Peak Day therm 2043], Peak_Day[[Sector]:[Sector]], $B57)</f>
        <v>9812.6222096808433</v>
      </c>
      <c r="U57" s="18">
        <f>SUMIFS(Peak_Day[Achievable Peak Day therm 2044], Peak_Day[[Sector]:[Sector]], $B57)</f>
        <v>6854.9037064472523</v>
      </c>
      <c r="V57" s="18">
        <f>SUMIFS(Peak_Day[Achievable Peak Day therm 2045], Peak_Day[[Sector]:[Sector]], $B57)</f>
        <v>6538.4475814702873</v>
      </c>
      <c r="W57" s="18">
        <f>SUMIFS(Peak_Day[Achievable Peak Day therm 2046], Peak_Day[[Sector]:[Sector]], $B57)</f>
        <v>6455.7608684802608</v>
      </c>
      <c r="X57" s="18">
        <f>SUMIFS(Peak_Day[Achievable Peak Day therm 2047], Peak_Day[[Sector]:[Sector]], $B57)</f>
        <v>6378.8575193185779</v>
      </c>
      <c r="Y57" s="18">
        <f>SUMIFS(Peak_Day[Achievable Peak Day therm 2048], Peak_Day[[Sector]:[Sector]], $B57)</f>
        <v>6292.36376838251</v>
      </c>
      <c r="Z57" s="18">
        <f>SUMIFS(Peak_Day[Achievable Peak Day therm 2049], Peak_Day[[Sector]:[Sector]], $B57)</f>
        <v>6195.2059307037234</v>
      </c>
      <c r="AA57" s="18">
        <f>SUMIFS(Peak_Day[Achievable Peak Day therm 2050], Peak_Day[[Sector]:[Sector]], $B57)</f>
        <v>5275.6580298371046</v>
      </c>
    </row>
    <row r="58" spans="2:27" x14ac:dyDescent="0.2">
      <c r="B58" s="16" t="s">
        <v>43</v>
      </c>
      <c r="C58" s="17">
        <f>SUMIFS(Peak_Day[Achievable Peak Day therm 2026], Peak_Day[[Sector]:[Sector]], $B$57, Peak_Day[[End Use]:[End Use]], $B58)</f>
        <v>9.996509423162891</v>
      </c>
      <c r="D58" s="17">
        <f>SUMIFS(Peak_Day[Achievable Peak Day therm 2027], Peak_Day[[Sector]:[Sector]], $B$57, Peak_Day[[End Use]:[End Use]], $B58)</f>
        <v>12.503438525021091</v>
      </c>
      <c r="E58" s="17">
        <f>SUMIFS(Peak_Day[Achievable Peak Day therm 2028], Peak_Day[[Sector]:[Sector]], $B$57, Peak_Day[[End Use]:[End Use]], $B58)</f>
        <v>15.76492366040139</v>
      </c>
      <c r="F58" s="17">
        <f>SUMIFS(Peak_Day[Achievable Peak Day therm 2029], Peak_Day[[Sector]:[Sector]], $B$57, Peak_Day[[End Use]:[End Use]], $B58)</f>
        <v>18.609409632295122</v>
      </c>
      <c r="G58" s="17">
        <f>SUMIFS(Peak_Day[Achievable Peak Day therm 2030], Peak_Day[[Sector]:[Sector]], $B$57, Peak_Day[[End Use]:[End Use]], $B58)</f>
        <v>20.849945523642713</v>
      </c>
      <c r="H58" s="17">
        <f>SUMIFS(Peak_Day[Achievable Peak Day therm 2031], Peak_Day[[Sector]:[Sector]], $B$57, Peak_Day[[End Use]:[End Use]], $B58)</f>
        <v>22.618293915739123</v>
      </c>
      <c r="I58" s="17">
        <f>SUMIFS(Peak_Day[Achievable Peak Day therm 2032], Peak_Day[[Sector]:[Sector]], $B$57, Peak_Day[[End Use]:[End Use]], $B58)</f>
        <v>24.005026837490362</v>
      </c>
      <c r="J58" s="17">
        <f>SUMIFS(Peak_Day[Achievable Peak Day therm 2033], Peak_Day[[Sector]:[Sector]], $B$57, Peak_Day[[End Use]:[End Use]], $B58)</f>
        <v>25.103453751099867</v>
      </c>
      <c r="K58" s="17">
        <f>SUMIFS(Peak_Day[Achievable Peak Day therm 2034], Peak_Day[[Sector]:[Sector]], $B$57, Peak_Day[[End Use]:[End Use]], $B58)</f>
        <v>25.969485739205851</v>
      </c>
      <c r="L58" s="17">
        <f>SUMIFS(Peak_Day[Achievable Peak Day therm 2035], Peak_Day[[Sector]:[Sector]], $B$57, Peak_Day[[End Use]:[End Use]], $B58)</f>
        <v>26.648841558499583</v>
      </c>
      <c r="M58" s="17">
        <f>SUMIFS(Peak_Day[Achievable Peak Day therm 2036], Peak_Day[[Sector]:[Sector]], $B$57, Peak_Day[[End Use]:[End Use]], $B58)</f>
        <v>27.179043185772596</v>
      </c>
      <c r="N58" s="17">
        <f>SUMIFS(Peak_Day[Achievable Peak Day therm 2037], Peak_Day[[Sector]:[Sector]], $B$57, Peak_Day[[End Use]:[End Use]], $B58)</f>
        <v>27.587857981882877</v>
      </c>
      <c r="O58" s="17">
        <f>SUMIFS(Peak_Day[Achievable Peak Day therm 2038], Peak_Day[[Sector]:[Sector]], $B$57, Peak_Day[[End Use]:[End Use]], $B58)</f>
        <v>28.067173361412195</v>
      </c>
      <c r="P58" s="17">
        <f>SUMIFS(Peak_Day[Achievable Peak Day therm 2039], Peak_Day[[Sector]:[Sector]], $B$57, Peak_Day[[End Use]:[End Use]], $B58)</f>
        <v>28.200402644324956</v>
      </c>
      <c r="Q58" s="17">
        <f>SUMIFS(Peak_Day[Achievable Peak Day therm 2040], Peak_Day[[Sector]:[Sector]], $B$57, Peak_Day[[End Use]:[End Use]], $B58)</f>
        <v>30.271076181103101</v>
      </c>
      <c r="R58" s="17">
        <f>SUMIFS(Peak_Day[Achievable Peak Day therm 2041], Peak_Day[[Sector]:[Sector]], $B$57, Peak_Day[[End Use]:[End Use]], $B58)</f>
        <v>28.791767286556698</v>
      </c>
      <c r="S58" s="17">
        <f>SUMIFS(Peak_Day[Achievable Peak Day therm 2042], Peak_Day[[Sector]:[Sector]], $B$57, Peak_Day[[End Use]:[End Use]], $B58)</f>
        <v>16.295538191179133</v>
      </c>
      <c r="T58" s="17">
        <f>SUMIFS(Peak_Day[Achievable Peak Day therm 2043], Peak_Day[[Sector]:[Sector]], $B$57, Peak_Day[[End Use]:[End Use]], $B58)</f>
        <v>1.9683582656702479</v>
      </c>
      <c r="U58" s="17">
        <f>SUMIFS(Peak_Day[Achievable Peak Day therm 2044], Peak_Day[[Sector]:[Sector]], $B$57, Peak_Day[[End Use]:[End Use]], $B58)</f>
        <v>1.7697149735492714</v>
      </c>
      <c r="V58" s="17">
        <f>SUMIFS(Peak_Day[Achievable Peak Day therm 2045], Peak_Day[[Sector]:[Sector]], $B$57, Peak_Day[[End Use]:[End Use]], $B58)</f>
        <v>1.5876620164562367</v>
      </c>
      <c r="W58" s="17">
        <f>SUMIFS(Peak_Day[Achievable Peak Day therm 2046], Peak_Day[[Sector]:[Sector]], $B$57, Peak_Day[[End Use]:[End Use]], $B58)</f>
        <v>1.4176717968627832</v>
      </c>
      <c r="X58" s="17">
        <f>SUMIFS(Peak_Day[Achievable Peak Day therm 2047], Peak_Day[[Sector]:[Sector]], $B$57, Peak_Day[[End Use]:[End Use]], $B58)</f>
        <v>1.2652608378646175</v>
      </c>
      <c r="Y58" s="17">
        <f>SUMIFS(Peak_Day[Achievable Peak Day therm 2048], Peak_Day[[Sector]:[Sector]], $B$57, Peak_Day[[End Use]:[End Use]], $B58)</f>
        <v>0.99833152907693845</v>
      </c>
      <c r="Z58" s="17">
        <f>SUMIFS(Peak_Day[Achievable Peak Day therm 2049], Peak_Day[[Sector]:[Sector]], $B$57, Peak_Day[[End Use]:[End Use]], $B58)</f>
        <v>0.4989326482911135</v>
      </c>
      <c r="AA58" s="17">
        <f>SUMIFS(Peak_Day[Achievable Peak Day therm 2050], Peak_Day[[Sector]:[Sector]], $B$57, Peak_Day[[End Use]:[End Use]], $B58)</f>
        <v>0.38601211954320525</v>
      </c>
    </row>
    <row r="59" spans="2:27" x14ac:dyDescent="0.2">
      <c r="B59" s="16" t="s">
        <v>44</v>
      </c>
      <c r="C59" s="17">
        <f>SUMIFS(Peak_Day[Achievable Peak Day therm 2026], Peak_Day[[Sector]:[Sector]], $B$57, Peak_Day[[End Use]:[End Use]], $B59)</f>
        <v>2429.6901229407185</v>
      </c>
      <c r="D59" s="17">
        <f>SUMIFS(Peak_Day[Achievable Peak Day therm 2027], Peak_Day[[Sector]:[Sector]], $B$57, Peak_Day[[End Use]:[End Use]], $B59)</f>
        <v>3147.6951514721254</v>
      </c>
      <c r="E59" s="17">
        <f>SUMIFS(Peak_Day[Achievable Peak Day therm 2028], Peak_Day[[Sector]:[Sector]], $B$57, Peak_Day[[End Use]:[End Use]], $B59)</f>
        <v>4259.5774272695699</v>
      </c>
      <c r="F59" s="17">
        <f>SUMIFS(Peak_Day[Achievable Peak Day therm 2029], Peak_Day[[Sector]:[Sector]], $B$57, Peak_Day[[End Use]:[End Use]], $B59)</f>
        <v>5494.0749607863809</v>
      </c>
      <c r="G59" s="17">
        <f>SUMIFS(Peak_Day[Achievable Peak Day therm 2030], Peak_Day[[Sector]:[Sector]], $B$57, Peak_Day[[End Use]:[End Use]], $B59)</f>
        <v>6981.0791831495726</v>
      </c>
      <c r="H59" s="17">
        <f>SUMIFS(Peak_Day[Achievable Peak Day therm 2031], Peak_Day[[Sector]:[Sector]], $B$57, Peak_Day[[End Use]:[End Use]], $B59)</f>
        <v>8789.3370962138961</v>
      </c>
      <c r="I59" s="17">
        <f>SUMIFS(Peak_Day[Achievable Peak Day therm 2032], Peak_Day[[Sector]:[Sector]], $B$57, Peak_Day[[End Use]:[End Use]], $B59)</f>
        <v>10849.420257464231</v>
      </c>
      <c r="J59" s="17">
        <f>SUMIFS(Peak_Day[Achievable Peak Day therm 2033], Peak_Day[[Sector]:[Sector]], $B$57, Peak_Day[[End Use]:[End Use]], $B59)</f>
        <v>13035.430479915705</v>
      </c>
      <c r="K59" s="17">
        <f>SUMIFS(Peak_Day[Achievable Peak Day therm 2034], Peak_Day[[Sector]:[Sector]], $B$57, Peak_Day[[End Use]:[End Use]], $B59)</f>
        <v>15161.995289528226</v>
      </c>
      <c r="L59" s="17">
        <f>SUMIFS(Peak_Day[Achievable Peak Day therm 2035], Peak_Day[[Sector]:[Sector]], $B$57, Peak_Day[[End Use]:[End Use]], $B59)</f>
        <v>16996.146102080667</v>
      </c>
      <c r="M59" s="17">
        <f>SUMIFS(Peak_Day[Achievable Peak Day therm 2036], Peak_Day[[Sector]:[Sector]], $B$57, Peak_Day[[End Use]:[End Use]], $B59)</f>
        <v>18296.672677551138</v>
      </c>
      <c r="N59" s="17">
        <f>SUMIFS(Peak_Day[Achievable Peak Day therm 2037], Peak_Day[[Sector]:[Sector]], $B$57, Peak_Day[[End Use]:[End Use]], $B59)</f>
        <v>18780.575663014159</v>
      </c>
      <c r="O59" s="17">
        <f>SUMIFS(Peak_Day[Achievable Peak Day therm 2038], Peak_Day[[Sector]:[Sector]], $B$57, Peak_Day[[End Use]:[End Use]], $B59)</f>
        <v>18480.584424171582</v>
      </c>
      <c r="P59" s="17">
        <f>SUMIFS(Peak_Day[Achievable Peak Day therm 2039], Peak_Day[[Sector]:[Sector]], $B$57, Peak_Day[[End Use]:[End Use]], $B59)</f>
        <v>17436.785076136384</v>
      </c>
      <c r="Q59" s="17">
        <f>SUMIFS(Peak_Day[Achievable Peak Day therm 2040], Peak_Day[[Sector]:[Sector]], $B$57, Peak_Day[[End Use]:[End Use]], $B59)</f>
        <v>15721.911593765477</v>
      </c>
      <c r="R59" s="17">
        <f>SUMIFS(Peak_Day[Achievable Peak Day therm 2041], Peak_Day[[Sector]:[Sector]], $B$57, Peak_Day[[End Use]:[End Use]], $B59)</f>
        <v>13673.690080722661</v>
      </c>
      <c r="S59" s="17">
        <f>SUMIFS(Peak_Day[Achievable Peak Day therm 2042], Peak_Day[[Sector]:[Sector]], $B$57, Peak_Day[[End Use]:[End Use]], $B59)</f>
        <v>11206.014072196966</v>
      </c>
      <c r="T59" s="17">
        <f>SUMIFS(Peak_Day[Achievable Peak Day therm 2043], Peak_Day[[Sector]:[Sector]], $B$57, Peak_Day[[End Use]:[End Use]], $B59)</f>
        <v>9325.3859857065818</v>
      </c>
      <c r="U59" s="17">
        <f>SUMIFS(Peak_Day[Achievable Peak Day therm 2044], Peak_Day[[Sector]:[Sector]], $B$57, Peak_Day[[End Use]:[End Use]], $B59)</f>
        <v>6393.7455713800982</v>
      </c>
      <c r="V59" s="17">
        <f>SUMIFS(Peak_Day[Achievable Peak Day therm 2045], Peak_Day[[Sector]:[Sector]], $B$57, Peak_Day[[End Use]:[End Use]], $B59)</f>
        <v>6097.8723680947642</v>
      </c>
      <c r="W59" s="17">
        <f>SUMIFS(Peak_Day[Achievable Peak Day therm 2046], Peak_Day[[Sector]:[Sector]], $B$57, Peak_Day[[End Use]:[End Use]], $B59)</f>
        <v>6043.4339982018882</v>
      </c>
      <c r="X59" s="17">
        <f>SUMIFS(Peak_Day[Achievable Peak Day therm 2047], Peak_Day[[Sector]:[Sector]], $B$57, Peak_Day[[End Use]:[End Use]], $B59)</f>
        <v>5971.6563083626843</v>
      </c>
      <c r="Y59" s="17">
        <f>SUMIFS(Peak_Day[Achievable Peak Day therm 2048], Peak_Day[[Sector]:[Sector]], $B$57, Peak_Day[[End Use]:[End Use]], $B59)</f>
        <v>5891.0489681555209</v>
      </c>
      <c r="Z59" s="17">
        <f>SUMIFS(Peak_Day[Achievable Peak Day therm 2049], Peak_Day[[Sector]:[Sector]], $B$57, Peak_Day[[End Use]:[End Use]], $B59)</f>
        <v>5807.6070740285559</v>
      </c>
      <c r="AA59" s="17">
        <f>SUMIFS(Peak_Day[Achievable Peak Day therm 2050], Peak_Day[[Sector]:[Sector]], $B$57, Peak_Day[[End Use]:[End Use]], $B59)</f>
        <v>4921.1760843685497</v>
      </c>
    </row>
    <row r="60" spans="2:27" ht="15" x14ac:dyDescent="0.25">
      <c r="B60" s="8" t="s">
        <v>45</v>
      </c>
      <c r="C60" s="17">
        <f>SUMIFS(Peak_Day[Achievable Peak Day therm 2026], Peak_Day[[Sector]:[Sector]], $B$57, Peak_Day[[End Use]:[End Use]], $B60)</f>
        <v>9.3801763247377945</v>
      </c>
      <c r="D60" s="17">
        <f>SUMIFS(Peak_Day[Achievable Peak Day therm 2027], Peak_Day[[Sector]:[Sector]], $B$57, Peak_Day[[End Use]:[End Use]], $B60)</f>
        <v>17.962014075096331</v>
      </c>
      <c r="E60" s="17">
        <f>SUMIFS(Peak_Day[Achievable Peak Day therm 2028], Peak_Day[[Sector]:[Sector]], $B$57, Peak_Day[[End Use]:[End Use]], $B60)</f>
        <v>31.857267338382968</v>
      </c>
      <c r="F60" s="17">
        <f>SUMIFS(Peak_Day[Achievable Peak Day therm 2029], Peak_Day[[Sector]:[Sector]], $B$57, Peak_Day[[End Use]:[End Use]], $B60)</f>
        <v>51.289790661986451</v>
      </c>
      <c r="G60" s="17">
        <f>SUMIFS(Peak_Day[Achievable Peak Day therm 2030], Peak_Day[[Sector]:[Sector]], $B$57, Peak_Day[[End Use]:[End Use]], $B60)</f>
        <v>77.475920152322914</v>
      </c>
      <c r="H60" s="17">
        <f>SUMIFS(Peak_Day[Achievable Peak Day therm 2031], Peak_Day[[Sector]:[Sector]], $B$57, Peak_Day[[End Use]:[End Use]], $B60)</f>
        <v>110.85768660343869</v>
      </c>
      <c r="I60" s="17">
        <f>SUMIFS(Peak_Day[Achievable Peak Day therm 2032], Peak_Day[[Sector]:[Sector]], $B$57, Peak_Day[[End Use]:[End Use]], $B60)</f>
        <v>151.23604982267832</v>
      </c>
      <c r="J60" s="17">
        <f>SUMIFS(Peak_Day[Achievable Peak Day therm 2033], Peak_Day[[Sector]:[Sector]], $B$57, Peak_Day[[End Use]:[End Use]], $B60)</f>
        <v>197.61668290815746</v>
      </c>
      <c r="K60" s="17">
        <f>SUMIFS(Peak_Day[Achievable Peak Day therm 2034], Peak_Day[[Sector]:[Sector]], $B$57, Peak_Day[[End Use]:[End Use]], $B60)</f>
        <v>248.09466141511788</v>
      </c>
      <c r="L60" s="17">
        <f>SUMIFS(Peak_Day[Achievable Peak Day therm 2035], Peak_Day[[Sector]:[Sector]], $B$57, Peak_Day[[End Use]:[End Use]], $B60)</f>
        <v>299.88614695131321</v>
      </c>
      <c r="M60" s="17">
        <f>SUMIFS(Peak_Day[Achievable Peak Day therm 2036], Peak_Day[[Sector]:[Sector]], $B$57, Peak_Day[[End Use]:[End Use]], $B60)</f>
        <v>349.55469042300598</v>
      </c>
      <c r="N60" s="17">
        <f>SUMIFS(Peak_Day[Achievable Peak Day therm 2037], Peak_Day[[Sector]:[Sector]], $B$57, Peak_Day[[End Use]:[End Use]], $B60)</f>
        <v>393.47194899437773</v>
      </c>
      <c r="O60" s="17">
        <f>SUMIFS(Peak_Day[Achievable Peak Day therm 2038], Peak_Day[[Sector]:[Sector]], $B$57, Peak_Day[[End Use]:[End Use]], $B60)</f>
        <v>428.48109639067474</v>
      </c>
      <c r="P60" s="17">
        <f>SUMIFS(Peak_Day[Achievable Peak Day therm 2039], Peak_Day[[Sector]:[Sector]], $B$57, Peak_Day[[End Use]:[End Use]], $B60)</f>
        <v>452.60694245643964</v>
      </c>
      <c r="Q60" s="17">
        <f>SUMIFS(Peak_Day[Achievable Peak Day therm 2040], Peak_Day[[Sector]:[Sector]], $B$57, Peak_Day[[End Use]:[End Use]], $B60)</f>
        <v>465.5697676977174</v>
      </c>
      <c r="R60" s="17">
        <f>SUMIFS(Peak_Day[Achievable Peak Day therm 2041], Peak_Day[[Sector]:[Sector]], $B$57, Peak_Day[[End Use]:[End Use]], $B60)</f>
        <v>472.48821785949445</v>
      </c>
      <c r="S60" s="17">
        <f>SUMIFS(Peak_Day[Achievable Peak Day therm 2042], Peak_Day[[Sector]:[Sector]], $B$57, Peak_Day[[End Use]:[End Use]], $B60)</f>
        <v>469.37589631725979</v>
      </c>
      <c r="T60" s="17">
        <f>SUMIFS(Peak_Day[Achievable Peak Day therm 2043], Peak_Day[[Sector]:[Sector]], $B$57, Peak_Day[[End Use]:[End Use]], $B60)</f>
        <v>464.0090307805479</v>
      </c>
      <c r="U60" s="17">
        <f>SUMIFS(Peak_Day[Achievable Peak Day therm 2044], Peak_Day[[Sector]:[Sector]], $B$57, Peak_Day[[End Use]:[End Use]], $B60)</f>
        <v>441.74008810953649</v>
      </c>
      <c r="V60" s="17">
        <f>SUMIFS(Peak_Day[Achievable Peak Day therm 2045], Peak_Day[[Sector]:[Sector]], $B$57, Peak_Day[[End Use]:[End Use]], $B60)</f>
        <v>422.8057998319523</v>
      </c>
      <c r="W60" s="17">
        <f>SUMIFS(Peak_Day[Achievable Peak Day therm 2046], Peak_Day[[Sector]:[Sector]], $B$57, Peak_Day[[End Use]:[End Use]], $B60)</f>
        <v>396.42922929721141</v>
      </c>
      <c r="X60" s="17">
        <f>SUMIFS(Peak_Day[Achievable Peak Day therm 2047], Peak_Day[[Sector]:[Sector]], $B$57, Peak_Day[[End Use]:[End Use]], $B60)</f>
        <v>393.2272429709725</v>
      </c>
      <c r="Y60" s="17">
        <f>SUMIFS(Peak_Day[Achievable Peak Day therm 2048], Peak_Day[[Sector]:[Sector]], $B$57, Peak_Day[[End Use]:[End Use]], $B60)</f>
        <v>389.38295092665311</v>
      </c>
      <c r="Z60" s="17">
        <f>SUMIFS(Peak_Day[Achievable Peak Day therm 2049], Peak_Day[[Sector]:[Sector]], $B$57, Peak_Day[[End Use]:[End Use]], $B60)</f>
        <v>377.94488181306235</v>
      </c>
      <c r="AA60" s="17">
        <f>SUMIFS(Peak_Day[Achievable Peak Day therm 2050], Peak_Day[[Sector]:[Sector]], $B$57, Peak_Day[[End Use]:[End Use]], $B60)</f>
        <v>346.72190248351887</v>
      </c>
    </row>
    <row r="61" spans="2:27" x14ac:dyDescent="0.2">
      <c r="B61" s="16" t="s">
        <v>46</v>
      </c>
      <c r="C61" s="17">
        <f>SUMIFS(Peak_Day[Achievable Peak Day therm 2026], Peak_Day[[Sector]:[Sector]], $B$57, Peak_Day[[End Use]:[End Use]], $B61)</f>
        <v>37.411079352984743</v>
      </c>
      <c r="D61" s="17">
        <f>SUMIFS(Peak_Day[Achievable Peak Day therm 2027], Peak_Day[[Sector]:[Sector]], $B$57, Peak_Day[[End Use]:[End Use]], $B61)</f>
        <v>67.565419018182666</v>
      </c>
      <c r="E61" s="17">
        <f>SUMIFS(Peak_Day[Achievable Peak Day therm 2028], Peak_Day[[Sector]:[Sector]], $B$57, Peak_Day[[End Use]:[End Use]], $B61)</f>
        <v>106.97579987082743</v>
      </c>
      <c r="F61" s="17">
        <f>SUMIFS(Peak_Day[Achievable Peak Day therm 2029], Peak_Day[[Sector]:[Sector]], $B$57, Peak_Day[[End Use]:[End Use]], $B61)</f>
        <v>152.76772536280055</v>
      </c>
      <c r="G61" s="17">
        <f>SUMIFS(Peak_Day[Achievable Peak Day therm 2030], Peak_Day[[Sector]:[Sector]], $B$57, Peak_Day[[End Use]:[End Use]], $B61)</f>
        <v>198.31392856732671</v>
      </c>
      <c r="H61" s="17">
        <f>SUMIFS(Peak_Day[Achievable Peak Day therm 2031], Peak_Day[[Sector]:[Sector]], $B$57, Peak_Day[[End Use]:[End Use]], $B61)</f>
        <v>235.91334442552886</v>
      </c>
      <c r="I61" s="17">
        <f>SUMIFS(Peak_Day[Achievable Peak Day therm 2032], Peak_Day[[Sector]:[Sector]], $B$57, Peak_Day[[End Use]:[End Use]], $B61)</f>
        <v>259.00423144386019</v>
      </c>
      <c r="J61" s="17">
        <f>SUMIFS(Peak_Day[Achievable Peak Day therm 2033], Peak_Day[[Sector]:[Sector]], $B$57, Peak_Day[[End Use]:[End Use]], $B61)</f>
        <v>264.17549554398698</v>
      </c>
      <c r="K61" s="17">
        <f>SUMIFS(Peak_Day[Achievable Peak Day therm 2034], Peak_Day[[Sector]:[Sector]], $B$57, Peak_Day[[End Use]:[End Use]], $B61)</f>
        <v>251.87994469544321</v>
      </c>
      <c r="L61" s="17">
        <f>SUMIFS(Peak_Day[Achievable Peak Day therm 2035], Peak_Day[[Sector]:[Sector]], $B$57, Peak_Day[[End Use]:[End Use]], $B61)</f>
        <v>225.86641284817114</v>
      </c>
      <c r="M61" s="17">
        <f>SUMIFS(Peak_Day[Achievable Peak Day therm 2036], Peak_Day[[Sector]:[Sector]], $B$57, Peak_Day[[End Use]:[End Use]], $B61)</f>
        <v>191.73453663060528</v>
      </c>
      <c r="N61" s="17">
        <f>SUMIFS(Peak_Day[Achievable Peak Day therm 2037], Peak_Day[[Sector]:[Sector]], $B$57, Peak_Day[[End Use]:[End Use]], $B61)</f>
        <v>155.22393566960136</v>
      </c>
      <c r="O61" s="17">
        <f>SUMIFS(Peak_Day[Achievable Peak Day therm 2038], Peak_Day[[Sector]:[Sector]], $B$57, Peak_Day[[End Use]:[End Use]], $B61)</f>
        <v>120.9139514201559</v>
      </c>
      <c r="P61" s="17">
        <f>SUMIFS(Peak_Day[Achievable Peak Day therm 2039], Peak_Day[[Sector]:[Sector]], $B$57, Peak_Day[[End Use]:[End Use]], $B61)</f>
        <v>91.6091113264265</v>
      </c>
      <c r="Q61" s="17">
        <f>SUMIFS(Peak_Day[Achievable Peak Day therm 2040], Peak_Day[[Sector]:[Sector]], $B$57, Peak_Day[[End Use]:[End Use]], $B61)</f>
        <v>33.702400474518626</v>
      </c>
      <c r="R61" s="17">
        <f>SUMIFS(Peak_Day[Achievable Peak Day therm 2041], Peak_Day[[Sector]:[Sector]], $B$57, Peak_Day[[End Use]:[End Use]], $B61)</f>
        <v>25.799114343498211</v>
      </c>
      <c r="S61" s="17">
        <f>SUMIFS(Peak_Day[Achievable Peak Day therm 2042], Peak_Day[[Sector]:[Sector]], $B$57, Peak_Day[[End Use]:[End Use]], $B61)</f>
        <v>23.227719301110419</v>
      </c>
      <c r="T61" s="17">
        <f>SUMIFS(Peak_Day[Achievable Peak Day therm 2043], Peak_Day[[Sector]:[Sector]], $B$57, Peak_Day[[End Use]:[End Use]], $B61)</f>
        <v>21.258834928041392</v>
      </c>
      <c r="U61" s="17">
        <f>SUMIFS(Peak_Day[Achievable Peak Day therm 2044], Peak_Day[[Sector]:[Sector]], $B$57, Peak_Day[[End Use]:[End Use]], $B61)</f>
        <v>17.648331984067458</v>
      </c>
      <c r="V61" s="17">
        <f>SUMIFS(Peak_Day[Achievable Peak Day therm 2045], Peak_Day[[Sector]:[Sector]], $B$57, Peak_Day[[End Use]:[End Use]], $B61)</f>
        <v>16.181751527115466</v>
      </c>
      <c r="W61" s="17">
        <f>SUMIFS(Peak_Day[Achievable Peak Day therm 2046], Peak_Day[[Sector]:[Sector]], $B$57, Peak_Day[[End Use]:[End Use]], $B61)</f>
        <v>14.479969184297978</v>
      </c>
      <c r="X61" s="17">
        <f>SUMIFS(Peak_Day[Achievable Peak Day therm 2047], Peak_Day[[Sector]:[Sector]], $B$57, Peak_Day[[End Use]:[End Use]], $B61)</f>
        <v>12.708707147053364</v>
      </c>
      <c r="Y61" s="17">
        <f>SUMIFS(Peak_Day[Achievable Peak Day therm 2048], Peak_Day[[Sector]:[Sector]], $B$57, Peak_Day[[End Use]:[End Use]], $B61)</f>
        <v>10.933517771258952</v>
      </c>
      <c r="Z61" s="17">
        <f>SUMIFS(Peak_Day[Achievable Peak Day therm 2049], Peak_Day[[Sector]:[Sector]], $B$57, Peak_Day[[End Use]:[End Use]], $B61)</f>
        <v>9.1550422138148146</v>
      </c>
      <c r="AA61" s="17">
        <f>SUMIFS(Peak_Day[Achievable Peak Day therm 2050], Peak_Day[[Sector]:[Sector]], $B$57, Peak_Day[[End Use]:[End Use]], $B61)</f>
        <v>7.3740308654929088</v>
      </c>
    </row>
    <row r="62" spans="2:27" x14ac:dyDescent="0.2">
      <c r="B62" s="9" t="s">
        <v>31</v>
      </c>
      <c r="C62" s="18">
        <f>SUMIFS(Peak_Day[Achievable Peak Day therm 2026], Peak_Day[[Sector]:[Sector]], $B62)</f>
        <v>2509.3859561215054</v>
      </c>
      <c r="D62" s="18">
        <f>SUMIFS(Peak_Day[Achievable Peak Day therm 2027], Peak_Day[[Sector]:[Sector]], $B62)</f>
        <v>2565.79513030103</v>
      </c>
      <c r="E62" s="18">
        <f>SUMIFS(Peak_Day[Achievable Peak Day therm 2028], Peak_Day[[Sector]:[Sector]], $B62)</f>
        <v>2792.1197133517217</v>
      </c>
      <c r="F62" s="18">
        <f>SUMIFS(Peak_Day[Achievable Peak Day therm 2029], Peak_Day[[Sector]:[Sector]], $B62)</f>
        <v>3138.5416170912608</v>
      </c>
      <c r="G62" s="18">
        <f>SUMIFS(Peak_Day[Achievable Peak Day therm 2030], Peak_Day[[Sector]:[Sector]], $B62)</f>
        <v>3494.8790537131053</v>
      </c>
      <c r="H62" s="18">
        <f>SUMIFS(Peak_Day[Achievable Peak Day therm 2031], Peak_Day[[Sector]:[Sector]], $B62)</f>
        <v>3857.8037758195014</v>
      </c>
      <c r="I62" s="18">
        <f>SUMIFS(Peak_Day[Achievable Peak Day therm 2032], Peak_Day[[Sector]:[Sector]], $B62)</f>
        <v>4073.4851230346526</v>
      </c>
      <c r="J62" s="18">
        <f>SUMIFS(Peak_Day[Achievable Peak Day therm 2033], Peak_Day[[Sector]:[Sector]], $B62)</f>
        <v>4120.1611869221751</v>
      </c>
      <c r="K62" s="18">
        <f>SUMIFS(Peak_Day[Achievable Peak Day therm 2034], Peak_Day[[Sector]:[Sector]], $B62)</f>
        <v>3850.1891645876549</v>
      </c>
      <c r="L62" s="18">
        <f>SUMIFS(Peak_Day[Achievable Peak Day therm 2035], Peak_Day[[Sector]:[Sector]], $B62)</f>
        <v>3359.9853190195054</v>
      </c>
      <c r="M62" s="18">
        <f>SUMIFS(Peak_Day[Achievable Peak Day therm 2036], Peak_Day[[Sector]:[Sector]], $B62)</f>
        <v>3088.8031911704384</v>
      </c>
      <c r="N62" s="18">
        <f>SUMIFS(Peak_Day[Achievable Peak Day therm 2037], Peak_Day[[Sector]:[Sector]], $B62)</f>
        <v>3190.0594891970159</v>
      </c>
      <c r="O62" s="18">
        <f>SUMIFS(Peak_Day[Achievable Peak Day therm 2038], Peak_Day[[Sector]:[Sector]], $B62)</f>
        <v>3218.340398919177</v>
      </c>
      <c r="P62" s="18">
        <f>SUMIFS(Peak_Day[Achievable Peak Day therm 2039], Peak_Day[[Sector]:[Sector]], $B62)</f>
        <v>3120.4932348027542</v>
      </c>
      <c r="Q62" s="18">
        <f>SUMIFS(Peak_Day[Achievable Peak Day therm 2040], Peak_Day[[Sector]:[Sector]], $B62)</f>
        <v>2895.932458192081</v>
      </c>
      <c r="R62" s="18">
        <f>SUMIFS(Peak_Day[Achievable Peak Day therm 2041], Peak_Day[[Sector]:[Sector]], $B62)</f>
        <v>2503.5619478076205</v>
      </c>
      <c r="S62" s="18">
        <f>SUMIFS(Peak_Day[Achievable Peak Day therm 2042], Peak_Day[[Sector]:[Sector]], $B62)</f>
        <v>2159.4208587508774</v>
      </c>
      <c r="T62" s="18">
        <f>SUMIFS(Peak_Day[Achievable Peak Day therm 2043], Peak_Day[[Sector]:[Sector]], $B62)</f>
        <v>1903.3610185665464</v>
      </c>
      <c r="U62" s="18">
        <f>SUMIFS(Peak_Day[Achievable Peak Day therm 2044], Peak_Day[[Sector]:[Sector]], $B62)</f>
        <v>1490.6174079094044</v>
      </c>
      <c r="V62" s="18">
        <f>SUMIFS(Peak_Day[Achievable Peak Day therm 2045], Peak_Day[[Sector]:[Sector]], $B62)</f>
        <v>1424.3219140277524</v>
      </c>
      <c r="W62" s="18">
        <f>SUMIFS(Peak_Day[Achievable Peak Day therm 2046], Peak_Day[[Sector]:[Sector]], $B62)</f>
        <v>1426.8817333969935</v>
      </c>
      <c r="X62" s="18">
        <f>SUMIFS(Peak_Day[Achievable Peak Day therm 2047], Peak_Day[[Sector]:[Sector]], $B62)</f>
        <v>1386.1192686242346</v>
      </c>
      <c r="Y62" s="18">
        <f>SUMIFS(Peak_Day[Achievable Peak Day therm 2048], Peak_Day[[Sector]:[Sector]], $B62)</f>
        <v>1324.1802080805994</v>
      </c>
      <c r="Z62" s="18">
        <f>SUMIFS(Peak_Day[Achievable Peak Day therm 2049], Peak_Day[[Sector]:[Sector]], $B62)</f>
        <v>1286.0009965881709</v>
      </c>
      <c r="AA62" s="18">
        <f>SUMIFS(Peak_Day[Achievable Peak Day therm 2050], Peak_Day[[Sector]:[Sector]], $B62)</f>
        <v>727.79407200871321</v>
      </c>
    </row>
    <row r="63" spans="2:27" x14ac:dyDescent="0.2">
      <c r="B63" s="16" t="s">
        <v>43</v>
      </c>
      <c r="C63" s="17">
        <f>SUMIFS(Peak_Day[Achievable Peak Day therm 2026], Peak_Day[[Sector]:[Sector]], $B$62, Peak_Day[[End Use]:[End Use]], $B63)</f>
        <v>10.048110005762471</v>
      </c>
      <c r="D63" s="17">
        <f>SUMIFS(Peak_Day[Achievable Peak Day therm 2027], Peak_Day[[Sector]:[Sector]], $B$62, Peak_Day[[End Use]:[End Use]], $B63)</f>
        <v>16.006254824004412</v>
      </c>
      <c r="E63" s="17">
        <f>SUMIFS(Peak_Day[Achievable Peak Day therm 2028], Peak_Day[[Sector]:[Sector]], $B$62, Peak_Day[[End Use]:[End Use]], $B63)</f>
        <v>24.536593295408949</v>
      </c>
      <c r="F63" s="17">
        <f>SUMIFS(Peak_Day[Achievable Peak Day therm 2029], Peak_Day[[Sector]:[Sector]], $B$62, Peak_Day[[End Use]:[End Use]], $B63)</f>
        <v>36.487442928031754</v>
      </c>
      <c r="G63" s="17">
        <f>SUMIFS(Peak_Day[Achievable Peak Day therm 2030], Peak_Day[[Sector]:[Sector]], $B$62, Peak_Day[[End Use]:[End Use]], $B63)</f>
        <v>51.350226947135802</v>
      </c>
      <c r="H63" s="17">
        <f>SUMIFS(Peak_Day[Achievable Peak Day therm 2031], Peak_Day[[Sector]:[Sector]], $B$62, Peak_Day[[End Use]:[End Use]], $B63)</f>
        <v>68.636689430402598</v>
      </c>
      <c r="I63" s="17">
        <f>SUMIFS(Peak_Day[Achievable Peak Day therm 2032], Peak_Day[[Sector]:[Sector]], $B$62, Peak_Day[[End Use]:[End Use]], $B63)</f>
        <v>87.573683358116639</v>
      </c>
      <c r="J63" s="17">
        <f>SUMIFS(Peak_Day[Achievable Peak Day therm 2033], Peak_Day[[Sector]:[Sector]], $B$62, Peak_Day[[End Use]:[End Use]], $B63)</f>
        <v>107.3368233782903</v>
      </c>
      <c r="K63" s="17">
        <f>SUMIFS(Peak_Day[Achievable Peak Day therm 2034], Peak_Day[[Sector]:[Sector]], $B$62, Peak_Day[[End Use]:[End Use]], $B63)</f>
        <v>126.99570968225622</v>
      </c>
      <c r="L63" s="17">
        <f>SUMIFS(Peak_Day[Achievable Peak Day therm 2035], Peak_Day[[Sector]:[Sector]], $B$62, Peak_Day[[End Use]:[End Use]], $B63)</f>
        <v>144.61191131972177</v>
      </c>
      <c r="M63" s="17">
        <f>SUMIFS(Peak_Day[Achievable Peak Day therm 2036], Peak_Day[[Sector]:[Sector]], $B$62, Peak_Day[[End Use]:[End Use]], $B63)</f>
        <v>161.41350936886838</v>
      </c>
      <c r="N63" s="17">
        <f>SUMIFS(Peak_Day[Achievable Peak Day therm 2037], Peak_Day[[Sector]:[Sector]], $B$62, Peak_Day[[End Use]:[End Use]], $B63)</f>
        <v>177.66153521744985</v>
      </c>
      <c r="O63" s="17">
        <f>SUMIFS(Peak_Day[Achievable Peak Day therm 2038], Peak_Day[[Sector]:[Sector]], $B$62, Peak_Day[[End Use]:[End Use]], $B63)</f>
        <v>209.24444941857683</v>
      </c>
      <c r="P63" s="17">
        <f>SUMIFS(Peak_Day[Achievable Peak Day therm 2039], Peak_Day[[Sector]:[Sector]], $B$62, Peak_Day[[End Use]:[End Use]], $B63)</f>
        <v>232.32511276377181</v>
      </c>
      <c r="Q63" s="17">
        <f>SUMIFS(Peak_Day[Achievable Peak Day therm 2040], Peak_Day[[Sector]:[Sector]], $B$62, Peak_Day[[End Use]:[End Use]], $B63)</f>
        <v>238.93972998933859</v>
      </c>
      <c r="R63" s="17">
        <f>SUMIFS(Peak_Day[Achievable Peak Day therm 2041], Peak_Day[[Sector]:[Sector]], $B$62, Peak_Day[[End Use]:[End Use]], $B63)</f>
        <v>241.71072726127812</v>
      </c>
      <c r="S63" s="17">
        <f>SUMIFS(Peak_Day[Achievable Peak Day therm 2042], Peak_Day[[Sector]:[Sector]], $B$62, Peak_Day[[End Use]:[End Use]], $B63)</f>
        <v>240.62536476766388</v>
      </c>
      <c r="T63" s="17">
        <f>SUMIFS(Peak_Day[Achievable Peak Day therm 2043], Peak_Day[[Sector]:[Sector]], $B$62, Peak_Day[[End Use]:[End Use]], $B63)</f>
        <v>217.22066959901954</v>
      </c>
      <c r="U63" s="17">
        <f>SUMIFS(Peak_Day[Achievable Peak Day therm 2044], Peak_Day[[Sector]:[Sector]], $B$62, Peak_Day[[End Use]:[End Use]], $B63)</f>
        <v>146.87653550155684</v>
      </c>
      <c r="V63" s="17">
        <f>SUMIFS(Peak_Day[Achievable Peak Day therm 2045], Peak_Day[[Sector]:[Sector]], $B$62, Peak_Day[[End Use]:[End Use]], $B63)</f>
        <v>130.89782299642161</v>
      </c>
      <c r="W63" s="17">
        <f>SUMIFS(Peak_Day[Achievable Peak Day therm 2046], Peak_Day[[Sector]:[Sector]], $B$62, Peak_Day[[End Use]:[End Use]], $B63)</f>
        <v>126.63168704142015</v>
      </c>
      <c r="X63" s="17">
        <f>SUMIFS(Peak_Day[Achievable Peak Day therm 2047], Peak_Day[[Sector]:[Sector]], $B$62, Peak_Day[[End Use]:[End Use]], $B63)</f>
        <v>121.43490645768614</v>
      </c>
      <c r="Y63" s="17">
        <f>SUMIFS(Peak_Day[Achievable Peak Day therm 2048], Peak_Day[[Sector]:[Sector]], $B$62, Peak_Day[[End Use]:[End Use]], $B63)</f>
        <v>75.805360042993357</v>
      </c>
      <c r="Z63" s="17">
        <f>SUMIFS(Peak_Day[Achievable Peak Day therm 2049], Peak_Day[[Sector]:[Sector]], $B$62, Peak_Day[[End Use]:[End Use]], $B63)</f>
        <v>55.429103370889422</v>
      </c>
      <c r="AA63" s="17">
        <f>SUMIFS(Peak_Day[Achievable Peak Day therm 2050], Peak_Day[[Sector]:[Sector]], $B$62, Peak_Day[[End Use]:[End Use]], $B63)</f>
        <v>53.0075645938525</v>
      </c>
    </row>
    <row r="64" spans="2:27" x14ac:dyDescent="0.2">
      <c r="B64" s="16" t="s">
        <v>46</v>
      </c>
      <c r="C64" s="17">
        <f>SUMIFS(Peak_Day[Achievable Peak Day therm 2026], Peak_Day[[Sector]:[Sector]], $B$62, Peak_Day[[End Use]:[End Use]], $B64)</f>
        <v>1486.4647526743145</v>
      </c>
      <c r="D64" s="17">
        <f>SUMIFS(Peak_Day[Achievable Peak Day therm 2027], Peak_Day[[Sector]:[Sector]], $B$62, Peak_Day[[End Use]:[End Use]], $B64)</f>
        <v>1717.851943569641</v>
      </c>
      <c r="E64" s="17">
        <f>SUMIFS(Peak_Day[Achievable Peak Day therm 2028], Peak_Day[[Sector]:[Sector]], $B$62, Peak_Day[[End Use]:[End Use]], $B64)</f>
        <v>1950.6932718563967</v>
      </c>
      <c r="F64" s="17">
        <f>SUMIFS(Peak_Day[Achievable Peak Day therm 2029], Peak_Day[[Sector]:[Sector]], $B$62, Peak_Day[[End Use]:[End Use]], $B64)</f>
        <v>2270.4388123973081</v>
      </c>
      <c r="G64" s="17">
        <f>SUMIFS(Peak_Day[Achievable Peak Day therm 2030], Peak_Day[[Sector]:[Sector]], $B$62, Peak_Day[[End Use]:[End Use]], $B64)</f>
        <v>2479.6256889872088</v>
      </c>
      <c r="H64" s="17">
        <f>SUMIFS(Peak_Day[Achievable Peak Day therm 2031], Peak_Day[[Sector]:[Sector]], $B$62, Peak_Day[[End Use]:[End Use]], $B64)</f>
        <v>2521.8541796009499</v>
      </c>
      <c r="I64" s="17">
        <f>SUMIFS(Peak_Day[Achievable Peak Day therm 2032], Peak_Day[[Sector]:[Sector]], $B$62, Peak_Day[[End Use]:[End Use]], $B64)</f>
        <v>2365.9924641528269</v>
      </c>
      <c r="J64" s="17">
        <f>SUMIFS(Peak_Day[Achievable Peak Day therm 2033], Peak_Day[[Sector]:[Sector]], $B$62, Peak_Day[[End Use]:[End Use]], $B64)</f>
        <v>2024.7492607246761</v>
      </c>
      <c r="K64" s="17">
        <f>SUMIFS(Peak_Day[Achievable Peak Day therm 2034], Peak_Day[[Sector]:[Sector]], $B$62, Peak_Day[[End Use]:[End Use]], $B64)</f>
        <v>1379.0624000528123</v>
      </c>
      <c r="L64" s="17">
        <f>SUMIFS(Peak_Day[Achievable Peak Day therm 2035], Peak_Day[[Sector]:[Sector]], $B$62, Peak_Day[[End Use]:[End Use]], $B64)</f>
        <v>559.99503200115123</v>
      </c>
      <c r="M64" s="17">
        <f>SUMIFS(Peak_Day[Achievable Peak Day therm 2036], Peak_Day[[Sector]:[Sector]], $B$62, Peak_Day[[End Use]:[End Use]], $B64)</f>
        <v>39.350599397182251</v>
      </c>
      <c r="N64" s="17">
        <f>SUMIFS(Peak_Day[Achievable Peak Day therm 2037], Peak_Day[[Sector]:[Sector]], $B$62, Peak_Day[[End Use]:[End Use]], $B64)</f>
        <v>0</v>
      </c>
      <c r="O64" s="17">
        <f>SUMIFS(Peak_Day[Achievable Peak Day therm 2038], Peak_Day[[Sector]:[Sector]], $B$62, Peak_Day[[End Use]:[End Use]], $B64)</f>
        <v>0</v>
      </c>
      <c r="P64" s="17">
        <f>SUMIFS(Peak_Day[Achievable Peak Day therm 2039], Peak_Day[[Sector]:[Sector]], $B$62, Peak_Day[[End Use]:[End Use]], $B64)</f>
        <v>0</v>
      </c>
      <c r="Q64" s="17">
        <f>SUMIFS(Peak_Day[Achievable Peak Day therm 2040], Peak_Day[[Sector]:[Sector]], $B$62, Peak_Day[[End Use]:[End Use]], $B64)</f>
        <v>0</v>
      </c>
      <c r="R64" s="17">
        <f>SUMIFS(Peak_Day[Achievable Peak Day therm 2041], Peak_Day[[Sector]:[Sector]], $B$62, Peak_Day[[End Use]:[End Use]], $B64)</f>
        <v>0</v>
      </c>
      <c r="S64" s="17">
        <f>SUMIFS(Peak_Day[Achievable Peak Day therm 2042], Peak_Day[[Sector]:[Sector]], $B$62, Peak_Day[[End Use]:[End Use]], $B64)</f>
        <v>0</v>
      </c>
      <c r="T64" s="17">
        <f>SUMIFS(Peak_Day[Achievable Peak Day therm 2043], Peak_Day[[Sector]:[Sector]], $B$62, Peak_Day[[End Use]:[End Use]], $B64)</f>
        <v>0</v>
      </c>
      <c r="U64" s="17">
        <f>SUMIFS(Peak_Day[Achievable Peak Day therm 2044], Peak_Day[[Sector]:[Sector]], $B$62, Peak_Day[[End Use]:[End Use]], $B64)</f>
        <v>0</v>
      </c>
      <c r="V64" s="17">
        <f>SUMIFS(Peak_Day[Achievable Peak Day therm 2045], Peak_Day[[Sector]:[Sector]], $B$62, Peak_Day[[End Use]:[End Use]], $B64)</f>
        <v>0</v>
      </c>
      <c r="W64" s="17">
        <f>SUMIFS(Peak_Day[Achievable Peak Day therm 2046], Peak_Day[[Sector]:[Sector]], $B$62, Peak_Day[[End Use]:[End Use]], $B64)</f>
        <v>0</v>
      </c>
      <c r="X64" s="17">
        <f>SUMIFS(Peak_Day[Achievable Peak Day therm 2047], Peak_Day[[Sector]:[Sector]], $B$62, Peak_Day[[End Use]:[End Use]], $B64)</f>
        <v>0</v>
      </c>
      <c r="Y64" s="17">
        <f>SUMIFS(Peak_Day[Achievable Peak Day therm 2048], Peak_Day[[Sector]:[Sector]], $B$62, Peak_Day[[End Use]:[End Use]], $B64)</f>
        <v>0</v>
      </c>
      <c r="Z64" s="17">
        <f>SUMIFS(Peak_Day[Achievable Peak Day therm 2049], Peak_Day[[Sector]:[Sector]], $B$62, Peak_Day[[End Use]:[End Use]], $B64)</f>
        <v>0</v>
      </c>
      <c r="AA64" s="17">
        <f>SUMIFS(Peak_Day[Achievable Peak Day therm 2050], Peak_Day[[Sector]:[Sector]], $B$62, Peak_Day[[End Use]:[End Use]], $B64)</f>
        <v>0</v>
      </c>
    </row>
    <row r="65" spans="2:27" x14ac:dyDescent="0.2">
      <c r="B65" s="16" t="s">
        <v>44</v>
      </c>
      <c r="C65" s="17">
        <f>SUMIFS(Peak_Day[Achievable Peak Day therm 2026], Peak_Day[[Sector]:[Sector]], $B$62, Peak_Day[[End Use]:[End Use]], $B65)</f>
        <v>1008.6573003295947</v>
      </c>
      <c r="D65" s="17">
        <f>SUMIFS(Peak_Day[Achievable Peak Day therm 2027], Peak_Day[[Sector]:[Sector]], $B$62, Peak_Day[[End Use]:[End Use]], $B65)</f>
        <v>823.39426321015401</v>
      </c>
      <c r="E65" s="17">
        <f>SUMIFS(Peak_Day[Achievable Peak Day therm 2028], Peak_Day[[Sector]:[Sector]], $B$62, Peak_Day[[End Use]:[End Use]], $B65)</f>
        <v>801.63710089071731</v>
      </c>
      <c r="F65" s="17">
        <f>SUMIFS(Peak_Day[Achievable Peak Day therm 2029], Peak_Day[[Sector]:[Sector]], $B$62, Peak_Day[[End Use]:[End Use]], $B65)</f>
        <v>807.0177007092592</v>
      </c>
      <c r="G65" s="17">
        <f>SUMIFS(Peak_Day[Achievable Peak Day therm 2030], Peak_Day[[Sector]:[Sector]], $B$62, Peak_Day[[End Use]:[End Use]], $B65)</f>
        <v>927.10136606166839</v>
      </c>
      <c r="H65" s="17">
        <f>SUMIFS(Peak_Day[Achievable Peak Day therm 2031], Peak_Day[[Sector]:[Sector]], $B$62, Peak_Day[[End Use]:[End Use]], $B65)</f>
        <v>1215.6717843120628</v>
      </c>
      <c r="I65" s="17">
        <f>SUMIFS(Peak_Day[Achievable Peak Day therm 2032], Peak_Day[[Sector]:[Sector]], $B$62, Peak_Day[[End Use]:[End Use]], $B65)</f>
        <v>1551.3717798544312</v>
      </c>
      <c r="J65" s="17">
        <f>SUMIFS(Peak_Day[Achievable Peak Day therm 2033], Peak_Day[[Sector]:[Sector]], $B$62, Peak_Day[[End Use]:[End Use]], $B65)</f>
        <v>1901.4159364539878</v>
      </c>
      <c r="K65" s="17">
        <f>SUMIFS(Peak_Day[Achievable Peak Day therm 2034], Peak_Day[[Sector]:[Sector]], $B$62, Peak_Day[[End Use]:[End Use]], $B65)</f>
        <v>2239.2256439738444</v>
      </c>
      <c r="L65" s="17">
        <f>SUMIFS(Peak_Day[Achievable Peak Day therm 2035], Peak_Day[[Sector]:[Sector]], $B$62, Peak_Day[[End Use]:[End Use]], $B65)</f>
        <v>2533.2812838787381</v>
      </c>
      <c r="M65" s="17">
        <f>SUMIFS(Peak_Day[Achievable Peak Day therm 2036], Peak_Day[[Sector]:[Sector]], $B$62, Peak_Day[[End Use]:[End Use]], $B65)</f>
        <v>2751.0032368984507</v>
      </c>
      <c r="N65" s="17">
        <f>SUMIFS(Peak_Day[Achievable Peak Day therm 2037], Peak_Day[[Sector]:[Sector]], $B$62, Peak_Day[[End Use]:[End Use]], $B65)</f>
        <v>2863.7472188274523</v>
      </c>
      <c r="O65" s="17">
        <f>SUMIFS(Peak_Day[Achievable Peak Day therm 2038], Peak_Day[[Sector]:[Sector]], $B$62, Peak_Day[[End Use]:[End Use]], $B65)</f>
        <v>2852.9248078130927</v>
      </c>
      <c r="P65" s="17">
        <f>SUMIFS(Peak_Day[Achievable Peak Day therm 2039], Peak_Day[[Sector]:[Sector]], $B$62, Peak_Day[[End Use]:[End Use]], $B65)</f>
        <v>2728.8581739121264</v>
      </c>
      <c r="Q65" s="17">
        <f>SUMIFS(Peak_Day[Achievable Peak Day therm 2040], Peak_Day[[Sector]:[Sector]], $B$62, Peak_Day[[End Use]:[End Use]], $B65)</f>
        <v>2498.6008609916253</v>
      </c>
      <c r="R65" s="17">
        <f>SUMIFS(Peak_Day[Achievable Peak Day therm 2041], Peak_Day[[Sector]:[Sector]], $B$62, Peak_Day[[End Use]:[End Use]], $B65)</f>
        <v>2101.5348660312934</v>
      </c>
      <c r="S65" s="17">
        <f>SUMIFS(Peak_Day[Achievable Peak Day therm 2042], Peak_Day[[Sector]:[Sector]], $B$62, Peak_Day[[End Use]:[End Use]], $B65)</f>
        <v>1763.1589154478231</v>
      </c>
      <c r="T65" s="17">
        <f>SUMIFS(Peak_Day[Achievable Peak Day therm 2043], Peak_Day[[Sector]:[Sector]], $B$62, Peak_Day[[End Use]:[End Use]], $B65)</f>
        <v>1539.5079132468613</v>
      </c>
      <c r="U65" s="17">
        <f>SUMIFS(Peak_Day[Achievable Peak Day therm 2044], Peak_Day[[Sector]:[Sector]], $B$62, Peak_Day[[End Use]:[End Use]], $B65)</f>
        <v>1208.3849522157068</v>
      </c>
      <c r="V65" s="17">
        <f>SUMIFS(Peak_Day[Achievable Peak Day therm 2045], Peak_Day[[Sector]:[Sector]], $B$62, Peak_Day[[End Use]:[End Use]], $B65)</f>
        <v>1159.574768480559</v>
      </c>
      <c r="W65" s="17">
        <f>SUMIFS(Peak_Day[Achievable Peak Day therm 2046], Peak_Day[[Sector]:[Sector]], $B$62, Peak_Day[[End Use]:[End Use]], $B65)</f>
        <v>1168.8815817390744</v>
      </c>
      <c r="X65" s="17">
        <f>SUMIFS(Peak_Day[Achievable Peak Day therm 2047], Peak_Day[[Sector]:[Sector]], $B$62, Peak_Day[[End Use]:[End Use]], $B65)</f>
        <v>1167.2813682941162</v>
      </c>
      <c r="Y65" s="17">
        <f>SUMIFS(Peak_Day[Achievable Peak Day therm 2048], Peak_Day[[Sector]:[Sector]], $B$62, Peak_Day[[End Use]:[End Use]], $B65)</f>
        <v>1176.6393104279487</v>
      </c>
      <c r="Z65" s="17">
        <f>SUMIFS(Peak_Day[Achievable Peak Day therm 2049], Peak_Day[[Sector]:[Sector]], $B$62, Peak_Day[[End Use]:[End Use]], $B65)</f>
        <v>1169.854190799311</v>
      </c>
      <c r="AA65" s="17">
        <f>SUMIFS(Peak_Day[Achievable Peak Day therm 2050], Peak_Day[[Sector]:[Sector]], $B$62, Peak_Day[[End Use]:[End Use]], $B65)</f>
        <v>640.52233051294616</v>
      </c>
    </row>
    <row r="66" spans="2:27" x14ac:dyDescent="0.2">
      <c r="B66" s="16" t="s">
        <v>45</v>
      </c>
      <c r="C66" s="17">
        <f>SUMIFS(Peak_Day[Achievable Peak Day therm 2026], Peak_Day[[Sector]:[Sector]], $B$62, Peak_Day[[End Use]:[End Use]], $B66)</f>
        <v>4.2157931118374741</v>
      </c>
      <c r="D66" s="17">
        <f>SUMIFS(Peak_Day[Achievable Peak Day therm 2027], Peak_Day[[Sector]:[Sector]], $B$62, Peak_Day[[End Use]:[End Use]], $B66)</f>
        <v>8.5426686972302388</v>
      </c>
      <c r="E66" s="17">
        <f>SUMIFS(Peak_Day[Achievable Peak Day therm 2028], Peak_Day[[Sector]:[Sector]], $B$62, Peak_Day[[End Use]:[End Use]], $B66)</f>
        <v>15.25274730920207</v>
      </c>
      <c r="F66" s="17">
        <f>SUMIFS(Peak_Day[Achievable Peak Day therm 2029], Peak_Day[[Sector]:[Sector]], $B$62, Peak_Day[[End Use]:[End Use]], $B66)</f>
        <v>24.597661056666105</v>
      </c>
      <c r="G66" s="17">
        <f>SUMIFS(Peak_Day[Achievable Peak Day therm 2030], Peak_Day[[Sector]:[Sector]], $B$62, Peak_Day[[End Use]:[End Use]], $B66)</f>
        <v>36.801771717089458</v>
      </c>
      <c r="H66" s="17">
        <f>SUMIFS(Peak_Day[Achievable Peak Day therm 2031], Peak_Day[[Sector]:[Sector]], $B$62, Peak_Day[[End Use]:[End Use]], $B66)</f>
        <v>51.641122476088697</v>
      </c>
      <c r="I66" s="17">
        <f>SUMIFS(Peak_Day[Achievable Peak Day therm 2032], Peak_Day[[Sector]:[Sector]], $B$62, Peak_Day[[End Use]:[End Use]], $B66)</f>
        <v>68.547195669278224</v>
      </c>
      <c r="J66" s="17">
        <f>SUMIFS(Peak_Day[Achievable Peak Day therm 2033], Peak_Day[[Sector]:[Sector]], $B$62, Peak_Day[[End Use]:[End Use]], $B66)</f>
        <v>86.659166365217246</v>
      </c>
      <c r="K66" s="17">
        <f>SUMIFS(Peak_Day[Achievable Peak Day therm 2034], Peak_Day[[Sector]:[Sector]], $B$62, Peak_Day[[End Use]:[End Use]], $B66)</f>
        <v>104.90541087874135</v>
      </c>
      <c r="L66" s="17">
        <f>SUMIFS(Peak_Day[Achievable Peak Day therm 2035], Peak_Day[[Sector]:[Sector]], $B$62, Peak_Day[[End Use]:[End Use]], $B66)</f>
        <v>122.09709181989</v>
      </c>
      <c r="M66" s="17">
        <f>SUMIFS(Peak_Day[Achievable Peak Day therm 2036], Peak_Day[[Sector]:[Sector]], $B$62, Peak_Day[[End Use]:[End Use]], $B66)</f>
        <v>137.03584550594363</v>
      </c>
      <c r="N66" s="17">
        <f>SUMIFS(Peak_Day[Achievable Peak Day therm 2037], Peak_Day[[Sector]:[Sector]], $B$62, Peak_Day[[End Use]:[End Use]], $B66)</f>
        <v>148.65073515211475</v>
      </c>
      <c r="O66" s="17">
        <f>SUMIFS(Peak_Day[Achievable Peak Day therm 2038], Peak_Day[[Sector]:[Sector]], $B$62, Peak_Day[[End Use]:[End Use]], $B66)</f>
        <v>156.17114168750572</v>
      </c>
      <c r="P66" s="17">
        <f>SUMIFS(Peak_Day[Achievable Peak Day therm 2039], Peak_Day[[Sector]:[Sector]], $B$62, Peak_Day[[End Use]:[End Use]], $B66)</f>
        <v>159.3099481268535</v>
      </c>
      <c r="Q66" s="17">
        <f>SUMIFS(Peak_Day[Achievable Peak Day therm 2040], Peak_Day[[Sector]:[Sector]], $B$62, Peak_Day[[End Use]:[End Use]], $B66)</f>
        <v>158.39186721112165</v>
      </c>
      <c r="R66" s="17">
        <f>SUMIFS(Peak_Day[Achievable Peak Day therm 2041], Peak_Day[[Sector]:[Sector]], $B$62, Peak_Day[[End Use]:[End Use]], $B66)</f>
        <v>160.31635451505431</v>
      </c>
      <c r="S66" s="17">
        <f>SUMIFS(Peak_Day[Achievable Peak Day therm 2042], Peak_Day[[Sector]:[Sector]], $B$62, Peak_Day[[End Use]:[End Use]], $B66)</f>
        <v>155.63657853538993</v>
      </c>
      <c r="T66" s="17">
        <f>SUMIFS(Peak_Day[Achievable Peak Day therm 2043], Peak_Day[[Sector]:[Sector]], $B$62, Peak_Day[[End Use]:[End Use]], $B66)</f>
        <v>146.63243572066571</v>
      </c>
      <c r="U66" s="17">
        <f>SUMIFS(Peak_Day[Achievable Peak Day therm 2044], Peak_Day[[Sector]:[Sector]], $B$62, Peak_Day[[End Use]:[End Use]], $B66)</f>
        <v>135.35592019214127</v>
      </c>
      <c r="V66" s="17">
        <f>SUMIFS(Peak_Day[Achievable Peak Day therm 2045], Peak_Day[[Sector]:[Sector]], $B$62, Peak_Day[[End Use]:[End Use]], $B66)</f>
        <v>133.84932255077339</v>
      </c>
      <c r="W66" s="17">
        <f>SUMIFS(Peak_Day[Achievable Peak Day therm 2046], Peak_Day[[Sector]:[Sector]], $B$62, Peak_Day[[End Use]:[End Use]], $B66)</f>
        <v>131.36846461649932</v>
      </c>
      <c r="X66" s="17">
        <f>SUMIFS(Peak_Day[Achievable Peak Day therm 2047], Peak_Day[[Sector]:[Sector]], $B$62, Peak_Day[[End Use]:[End Use]], $B66)</f>
        <v>97.402993872432646</v>
      </c>
      <c r="Y66" s="17">
        <f>SUMIFS(Peak_Day[Achievable Peak Day therm 2048], Peak_Day[[Sector]:[Sector]], $B$62, Peak_Day[[End Use]:[End Use]], $B66)</f>
        <v>71.735537609657641</v>
      </c>
      <c r="Z66" s="17">
        <f>SUMIFS(Peak_Day[Achievable Peak Day therm 2049], Peak_Day[[Sector]:[Sector]], $B$62, Peak_Day[[End Use]:[End Use]], $B66)</f>
        <v>60.717702417969008</v>
      </c>
      <c r="AA66" s="17">
        <f>SUMIFS(Peak_Day[Achievable Peak Day therm 2050], Peak_Day[[Sector]:[Sector]], $B$62, Peak_Day[[End Use]:[End Use]], $B66)</f>
        <v>34.264176901914887</v>
      </c>
    </row>
    <row r="67" spans="2:27" x14ac:dyDescent="0.2">
      <c r="B67" s="9" t="s">
        <v>33</v>
      </c>
      <c r="C67" s="18">
        <f>SUMIFS(Peak_Day[Achievable Peak Day therm 2026], Peak_Day[[Sector]:[Sector]], $B67)</f>
        <v>216.36129456999194</v>
      </c>
      <c r="D67" s="18">
        <f>SUMIFS(Peak_Day[Achievable Peak Day therm 2027], Peak_Day[[Sector]:[Sector]], $B67)</f>
        <v>397.13763202691803</v>
      </c>
      <c r="E67" s="18">
        <f>SUMIFS(Peak_Day[Achievable Peak Day therm 2028], Peak_Day[[Sector]:[Sector]], $B67)</f>
        <v>664.98779602414527</v>
      </c>
      <c r="F67" s="18">
        <f>SUMIFS(Peak_Day[Achievable Peak Day therm 2029], Peak_Day[[Sector]:[Sector]], $B67)</f>
        <v>1033.2516926397082</v>
      </c>
      <c r="G67" s="18">
        <f>SUMIFS(Peak_Day[Achievable Peak Day therm 2030], Peak_Day[[Sector]:[Sector]], $B67)</f>
        <v>1510.4860125645221</v>
      </c>
      <c r="H67" s="18">
        <f>SUMIFS(Peak_Day[Achievable Peak Day therm 2031], Peak_Day[[Sector]:[Sector]], $B67)</f>
        <v>2094.059697061899</v>
      </c>
      <c r="I67" s="18">
        <f>SUMIFS(Peak_Day[Achievable Peak Day therm 2032], Peak_Day[[Sector]:[Sector]], $B67)</f>
        <v>2765.9485733019469</v>
      </c>
      <c r="J67" s="18">
        <f>SUMIFS(Peak_Day[Achievable Peak Day therm 2033], Peak_Day[[Sector]:[Sector]], $B67)</f>
        <v>3488.7477275948045</v>
      </c>
      <c r="K67" s="18">
        <f>SUMIFS(Peak_Day[Achievable Peak Day therm 2034], Peak_Day[[Sector]:[Sector]], $B67)</f>
        <v>4204.0600559025042</v>
      </c>
      <c r="L67" s="18">
        <f>SUMIFS(Peak_Day[Achievable Peak Day therm 2035], Peak_Day[[Sector]:[Sector]], $B67)</f>
        <v>4835.3469854356372</v>
      </c>
      <c r="M67" s="18">
        <f>SUMIFS(Peak_Day[Achievable Peak Day therm 2036], Peak_Day[[Sector]:[Sector]], $B67)</f>
        <v>5297.022270068298</v>
      </c>
      <c r="N67" s="18">
        <f>SUMIFS(Peak_Day[Achievable Peak Day therm 2037], Peak_Day[[Sector]:[Sector]], $B67)</f>
        <v>5510.1322873566123</v>
      </c>
      <c r="O67" s="18">
        <f>SUMIFS(Peak_Day[Achievable Peak Day therm 2038], Peak_Day[[Sector]:[Sector]], $B67)</f>
        <v>5422.3024200233403</v>
      </c>
      <c r="P67" s="18">
        <f>SUMIFS(Peak_Day[Achievable Peak Day therm 2039], Peak_Day[[Sector]:[Sector]], $B67)</f>
        <v>5035.4040334000001</v>
      </c>
      <c r="Q67" s="18">
        <f>SUMIFS(Peak_Day[Achievable Peak Day therm 2040], Peak_Day[[Sector]:[Sector]], $B67)</f>
        <v>4054.5195399725058</v>
      </c>
      <c r="R67" s="18">
        <f>SUMIFS(Peak_Day[Achievable Peak Day therm 2041], Peak_Day[[Sector]:[Sector]], $B67)</f>
        <v>3316.584940096177</v>
      </c>
      <c r="S67" s="18">
        <f>SUMIFS(Peak_Day[Achievable Peak Day therm 2042], Peak_Day[[Sector]:[Sector]], $B67)</f>
        <v>1429.9568036633175</v>
      </c>
      <c r="T67" s="18">
        <f>SUMIFS(Peak_Day[Achievable Peak Day therm 2043], Peak_Day[[Sector]:[Sector]], $B67)</f>
        <v>361.60173546548054</v>
      </c>
      <c r="U67" s="18">
        <f>SUMIFS(Peak_Day[Achievable Peak Day therm 2044], Peak_Day[[Sector]:[Sector]], $B67)</f>
        <v>361.10970838889699</v>
      </c>
      <c r="V67" s="18">
        <f>SUMIFS(Peak_Day[Achievable Peak Day therm 2045], Peak_Day[[Sector]:[Sector]], $B67)</f>
        <v>359.16625964509495</v>
      </c>
      <c r="W67" s="18">
        <f>SUMIFS(Peak_Day[Achievable Peak Day therm 2046], Peak_Day[[Sector]:[Sector]], $B67)</f>
        <v>356.60524260917481</v>
      </c>
      <c r="X67" s="18">
        <f>SUMIFS(Peak_Day[Achievable Peak Day therm 2047], Peak_Day[[Sector]:[Sector]], $B67)</f>
        <v>353.85528625260866</v>
      </c>
      <c r="Y67" s="18">
        <f>SUMIFS(Peak_Day[Achievable Peak Day therm 2048], Peak_Day[[Sector]:[Sector]], $B67)</f>
        <v>351.12653686287007</v>
      </c>
      <c r="Z67" s="18">
        <f>SUMIFS(Peak_Day[Achievable Peak Day therm 2049], Peak_Day[[Sector]:[Sector]], $B67)</f>
        <v>348.41883089118454</v>
      </c>
      <c r="AA67" s="18">
        <f>SUMIFS(Peak_Day[Achievable Peak Day therm 2050], Peak_Day[[Sector]:[Sector]], $B67)</f>
        <v>345.73200605012096</v>
      </c>
    </row>
    <row r="68" spans="2:27" x14ac:dyDescent="0.2">
      <c r="B68" s="16" t="s">
        <v>44</v>
      </c>
      <c r="C68" s="17">
        <f>SUMIFS(Peak_Day[Achievable Peak Day therm 2026], Peak_Day[[Sector]:[Sector]], $B$67, Peak_Day[[End Use]:[End Use]], $B68)</f>
        <v>177.28007123814373</v>
      </c>
      <c r="D68" s="17">
        <f>SUMIFS(Peak_Day[Achievable Peak Day therm 2027], Peak_Day[[Sector]:[Sector]], $B$67, Peak_Day[[End Use]:[End Use]], $B68)</f>
        <v>327.25138332724646</v>
      </c>
      <c r="E68" s="17">
        <f>SUMIFS(Peak_Day[Achievable Peak Day therm 2028], Peak_Day[[Sector]:[Sector]], $B$67, Peak_Day[[End Use]:[End Use]], $B68)</f>
        <v>549.38554890397211</v>
      </c>
      <c r="F68" s="17">
        <f>SUMIFS(Peak_Day[Achievable Peak Day therm 2029], Peak_Day[[Sector]:[Sector]], $B$67, Peak_Day[[End Use]:[End Use]], $B68)</f>
        <v>856.06111984693359</v>
      </c>
      <c r="G68" s="17">
        <f>SUMIFS(Peak_Day[Achievable Peak Day therm 2030], Peak_Day[[Sector]:[Sector]], $B$67, Peak_Day[[End Use]:[End Use]], $B68)</f>
        <v>1254.3273359050434</v>
      </c>
      <c r="H68" s="17">
        <f>SUMIFS(Peak_Day[Achievable Peak Day therm 2031], Peak_Day[[Sector]:[Sector]], $B$67, Peak_Day[[End Use]:[End Use]], $B68)</f>
        <v>1742.3234775836136</v>
      </c>
      <c r="I68" s="17">
        <f>SUMIFS(Peak_Day[Achievable Peak Day therm 2032], Peak_Day[[Sector]:[Sector]], $B$67, Peak_Day[[End Use]:[End Use]], $B68)</f>
        <v>2305.340007610836</v>
      </c>
      <c r="J68" s="17">
        <f>SUMIFS(Peak_Day[Achievable Peak Day therm 2033], Peak_Day[[Sector]:[Sector]], $B$67, Peak_Day[[End Use]:[End Use]], $B68)</f>
        <v>2912.4026065861858</v>
      </c>
      <c r="K68" s="17">
        <f>SUMIFS(Peak_Day[Achievable Peak Day therm 2034], Peak_Day[[Sector]:[Sector]], $B$67, Peak_Day[[End Use]:[End Use]], $B68)</f>
        <v>3514.8000956901528</v>
      </c>
      <c r="L68" s="17">
        <f>SUMIFS(Peak_Day[Achievable Peak Day therm 2035], Peak_Day[[Sector]:[Sector]], $B$67, Peak_Day[[End Use]:[End Use]], $B68)</f>
        <v>4048.3212170521338</v>
      </c>
      <c r="M68" s="17">
        <f>SUMIFS(Peak_Day[Achievable Peak Day therm 2036], Peak_Day[[Sector]:[Sector]], $B$67, Peak_Day[[End Use]:[End Use]], $B68)</f>
        <v>4440.7408486094509</v>
      </c>
      <c r="N68" s="17">
        <f>SUMIFS(Peak_Day[Achievable Peak Day therm 2037], Peak_Day[[Sector]:[Sector]], $B$67, Peak_Day[[End Use]:[End Use]], $B68)</f>
        <v>4624.9203080678581</v>
      </c>
      <c r="O68" s="17">
        <f>SUMIFS(Peak_Day[Achievable Peak Day therm 2038], Peak_Day[[Sector]:[Sector]], $B$67, Peak_Day[[End Use]:[End Use]], $B68)</f>
        <v>4555.6558476853897</v>
      </c>
      <c r="P68" s="17">
        <f>SUMIFS(Peak_Day[Achievable Peak Day therm 2039], Peak_Day[[Sector]:[Sector]], $B$67, Peak_Day[[End Use]:[End Use]], $B68)</f>
        <v>4232.4894238670895</v>
      </c>
      <c r="Q68" s="17">
        <f>SUMIFS(Peak_Day[Achievable Peak Day therm 2040], Peak_Day[[Sector]:[Sector]], $B$67, Peak_Day[[End Use]:[End Use]], $B68)</f>
        <v>3434.4773820207201</v>
      </c>
      <c r="R68" s="17">
        <f>SUMIFS(Peak_Day[Achievable Peak Day therm 2041], Peak_Day[[Sector]:[Sector]], $B$67, Peak_Day[[End Use]:[End Use]], $B68)</f>
        <v>2809.2322527679416</v>
      </c>
      <c r="S68" s="17">
        <f>SUMIFS(Peak_Day[Achievable Peak Day therm 2042], Peak_Day[[Sector]:[Sector]], $B$67, Peak_Day[[End Use]:[End Use]], $B68)</f>
        <v>1189.7867578104854</v>
      </c>
      <c r="T68" s="17">
        <f>SUMIFS(Peak_Day[Achievable Peak Day therm 2043], Peak_Day[[Sector]:[Sector]], $B$67, Peak_Day[[End Use]:[End Use]], $B68)</f>
        <v>272.52235594026848</v>
      </c>
      <c r="U68" s="17">
        <f>SUMIFS(Peak_Day[Achievable Peak Day therm 2044], Peak_Day[[Sector]:[Sector]], $B$67, Peak_Day[[End Use]:[End Use]], $B68)</f>
        <v>271.52016416403882</v>
      </c>
      <c r="V68" s="17">
        <f>SUMIFS(Peak_Day[Achievable Peak Day therm 2045], Peak_Day[[Sector]:[Sector]], $B$67, Peak_Day[[End Use]:[End Use]], $B68)</f>
        <v>269.43945335358291</v>
      </c>
      <c r="W68" s="17">
        <f>SUMIFS(Peak_Day[Achievable Peak Day therm 2046], Peak_Day[[Sector]:[Sector]], $B$67, Peak_Day[[End Use]:[End Use]], $B68)</f>
        <v>267.36498051563865</v>
      </c>
      <c r="X68" s="17">
        <f>SUMIFS(Peak_Day[Achievable Peak Day therm 2047], Peak_Day[[Sector]:[Sector]], $B$67, Peak_Day[[End Use]:[End Use]], $B68)</f>
        <v>265.30326929085737</v>
      </c>
      <c r="Y68" s="17">
        <f>SUMIFS(Peak_Day[Achievable Peak Day therm 2048], Peak_Day[[Sector]:[Sector]], $B$67, Peak_Day[[End Use]:[End Use]], $B68)</f>
        <v>263.25745687219484</v>
      </c>
      <c r="Z68" s="17">
        <f>SUMIFS(Peak_Day[Achievable Peak Day therm 2049], Peak_Day[[Sector]:[Sector]], $B$67, Peak_Day[[End Use]:[End Use]], $B68)</f>
        <v>261.22742065251589</v>
      </c>
      <c r="AA68" s="17">
        <f>SUMIFS(Peak_Day[Achievable Peak Day therm 2050], Peak_Day[[Sector]:[Sector]], $B$67, Peak_Day[[End Use]:[End Use]], $B68)</f>
        <v>259.21303897023193</v>
      </c>
    </row>
    <row r="69" spans="2:27" x14ac:dyDescent="0.2">
      <c r="B69" s="16" t="s">
        <v>47</v>
      </c>
      <c r="C69" s="17">
        <f>SUMIFS(Peak_Day[Achievable Peak Day therm 2026], Peak_Day[[Sector]:[Sector]], $B$67, Peak_Day[[End Use]:[End Use]], $B69)</f>
        <v>30.85912459529581</v>
      </c>
      <c r="D69" s="17">
        <f>SUMIFS(Peak_Day[Achievable Peak Day therm 2027], Peak_Day[[Sector]:[Sector]], $B$67, Peak_Day[[End Use]:[End Use]], $B69)</f>
        <v>56.427102900609917</v>
      </c>
      <c r="E69" s="17">
        <f>SUMIFS(Peak_Day[Achievable Peak Day therm 2028], Peak_Day[[Sector]:[Sector]], $B$67, Peak_Day[[End Use]:[End Use]], $B69)</f>
        <v>94.073218966398031</v>
      </c>
      <c r="F69" s="17">
        <f>SUMIFS(Peak_Day[Achievable Peak Day therm 2029], Peak_Day[[Sector]:[Sector]], $B$67, Peak_Day[[End Use]:[End Use]], $B69)</f>
        <v>145.77113881198824</v>
      </c>
      <c r="G69" s="17">
        <f>SUMIFS(Peak_Day[Achievable Peak Day therm 2030], Peak_Day[[Sector]:[Sector]], $B$67, Peak_Day[[End Use]:[End Use]], $B69)</f>
        <v>212.55988256432511</v>
      </c>
      <c r="H69" s="17">
        <f>SUMIFS(Peak_Day[Achievable Peak Day therm 2031], Peak_Day[[Sector]:[Sector]], $B$67, Peak_Day[[End Use]:[End Use]], $B69)</f>
        <v>293.94500974456002</v>
      </c>
      <c r="I69" s="17">
        <f>SUMIFS(Peak_Day[Achievable Peak Day therm 2032], Peak_Day[[Sector]:[Sector]], $B$67, Peak_Day[[End Use]:[End Use]], $B69)</f>
        <v>387.24941067778872</v>
      </c>
      <c r="J69" s="17">
        <f>SUMIFS(Peak_Day[Achievable Peak Day therm 2033], Peak_Day[[Sector]:[Sector]], $B$67, Peak_Day[[End Use]:[End Use]], $B69)</f>
        <v>487.06652573033875</v>
      </c>
      <c r="K69" s="17">
        <f>SUMIFS(Peak_Day[Achievable Peak Day therm 2034], Peak_Day[[Sector]:[Sector]], $B$67, Peak_Day[[End Use]:[End Use]], $B69)</f>
        <v>585.05670621931154</v>
      </c>
      <c r="L69" s="17">
        <f>SUMIFS(Peak_Day[Achievable Peak Day therm 2035], Peak_Day[[Sector]:[Sector]], $B$67, Peak_Day[[End Use]:[End Use]], $B69)</f>
        <v>670.3793310260611</v>
      </c>
      <c r="M69" s="17">
        <f>SUMIFS(Peak_Day[Achievable Peak Day therm 2036], Peak_Day[[Sector]:[Sector]], $B$67, Peak_Day[[End Use]:[End Use]], $B69)</f>
        <v>731.00648128099385</v>
      </c>
      <c r="N69" s="17">
        <f>SUMIFS(Peak_Day[Achievable Peak Day therm 2037], Peak_Day[[Sector]:[Sector]], $B$67, Peak_Day[[End Use]:[End Use]], $B69)</f>
        <v>755.95709023572124</v>
      </c>
      <c r="O69" s="17">
        <f>SUMIFS(Peak_Day[Achievable Peak Day therm 2038], Peak_Day[[Sector]:[Sector]], $B$67, Peak_Day[[End Use]:[End Use]], $B69)</f>
        <v>738.11248825160249</v>
      </c>
      <c r="P69" s="17">
        <f>SUMIFS(Peak_Day[Achievable Peak Day therm 2039], Peak_Day[[Sector]:[Sector]], $B$67, Peak_Day[[End Use]:[End Use]], $B69)</f>
        <v>678.19578239692976</v>
      </c>
      <c r="Q69" s="17">
        <f>SUMIFS(Peak_Day[Achievable Peak Day therm 2040], Peak_Day[[Sector]:[Sector]], $B$67, Peak_Day[[End Use]:[End Use]], $B69)</f>
        <v>530.99179613139574</v>
      </c>
      <c r="R69" s="17">
        <f>SUMIFS(Peak_Day[Achievable Peak Day therm 2041], Peak_Day[[Sector]:[Sector]], $B$67, Peak_Day[[End Use]:[End Use]], $B69)</f>
        <v>422.92876434458299</v>
      </c>
      <c r="S69" s="17">
        <f>SUMIFS(Peak_Day[Achievable Peak Day therm 2042], Peak_Day[[Sector]:[Sector]], $B$67, Peak_Day[[End Use]:[End Use]], $B69)</f>
        <v>152.9653470305461</v>
      </c>
      <c r="T69" s="17">
        <f>SUMIFS(Peak_Day[Achievable Peak Day therm 2043], Peak_Day[[Sector]:[Sector]], $B$67, Peak_Day[[End Use]:[End Use]], $B69)</f>
        <v>0</v>
      </c>
      <c r="U69" s="17">
        <f>SUMIFS(Peak_Day[Achievable Peak Day therm 2044], Peak_Day[[Sector]:[Sector]], $B$67, Peak_Day[[End Use]:[End Use]], $B69)</f>
        <v>0</v>
      </c>
      <c r="V69" s="17">
        <f>SUMIFS(Peak_Day[Achievable Peak Day therm 2045], Peak_Day[[Sector]:[Sector]], $B$67, Peak_Day[[End Use]:[End Use]], $B69)</f>
        <v>0</v>
      </c>
      <c r="W69" s="17">
        <f>SUMIFS(Peak_Day[Achievable Peak Day therm 2046], Peak_Day[[Sector]:[Sector]], $B$67, Peak_Day[[End Use]:[End Use]], $B69)</f>
        <v>0</v>
      </c>
      <c r="X69" s="17">
        <f>SUMIFS(Peak_Day[Achievable Peak Day therm 2047], Peak_Day[[Sector]:[Sector]], $B$67, Peak_Day[[End Use]:[End Use]], $B69)</f>
        <v>0</v>
      </c>
      <c r="Y69" s="17">
        <f>SUMIFS(Peak_Day[Achievable Peak Day therm 2048], Peak_Day[[Sector]:[Sector]], $B$67, Peak_Day[[End Use]:[End Use]], $B69)</f>
        <v>0</v>
      </c>
      <c r="Z69" s="17">
        <f>SUMIFS(Peak_Day[Achievable Peak Day therm 2049], Peak_Day[[Sector]:[Sector]], $B$67, Peak_Day[[End Use]:[End Use]], $B69)</f>
        <v>0</v>
      </c>
      <c r="AA69" s="17">
        <f>SUMIFS(Peak_Day[Achievable Peak Day therm 2050], Peak_Day[[Sector]:[Sector]], $B$67, Peak_Day[[End Use]:[End Use]], $B69)</f>
        <v>0</v>
      </c>
    </row>
    <row r="70" spans="2:27" x14ac:dyDescent="0.2">
      <c r="B70" s="16" t="s">
        <v>45</v>
      </c>
      <c r="C70" s="17">
        <f>SUMIFS(Peak_Day[Achievable Peak Day therm 2026], Peak_Day[[Sector]:[Sector]], $B$67, Peak_Day[[End Use]:[End Use]], $B70)</f>
        <v>0.74254845145193538</v>
      </c>
      <c r="D70" s="17">
        <f>SUMIFS(Peak_Day[Achievable Peak Day therm 2027], Peak_Day[[Sector]:[Sector]], $B$67, Peak_Day[[End Use]:[End Use]], $B70)</f>
        <v>1.3864513668818419</v>
      </c>
      <c r="E70" s="17">
        <f>SUMIFS(Peak_Day[Achievable Peak Day therm 2028], Peak_Day[[Sector]:[Sector]], $B$67, Peak_Day[[End Use]:[End Use]], $B70)</f>
        <v>3.3456706089015573</v>
      </c>
      <c r="F70" s="17">
        <f>SUMIFS(Peak_Day[Achievable Peak Day therm 2029], Peak_Day[[Sector]:[Sector]], $B$67, Peak_Day[[End Use]:[End Use]], $B70)</f>
        <v>5.5778008705170929</v>
      </c>
      <c r="G70" s="17">
        <f>SUMIFS(Peak_Day[Achievable Peak Day therm 2030], Peak_Day[[Sector]:[Sector]], $B$67, Peak_Day[[End Use]:[End Use]], $B70)</f>
        <v>8.7181405516850869</v>
      </c>
      <c r="H70" s="17">
        <f>SUMIFS(Peak_Day[Achievable Peak Day therm 2031], Peak_Day[[Sector]:[Sector]], $B$67, Peak_Day[[End Use]:[End Use]], $B70)</f>
        <v>12.921971992488903</v>
      </c>
      <c r="I70" s="17">
        <f>SUMIFS(Peak_Day[Achievable Peak Day therm 2032], Peak_Day[[Sector]:[Sector]], $B$67, Peak_Day[[End Use]:[End Use]], $B70)</f>
        <v>18.291581380655643</v>
      </c>
      <c r="J70" s="17">
        <f>SUMIFS(Peak_Day[Achievable Peak Day therm 2033], Peak_Day[[Sector]:[Sector]], $B$67, Peak_Day[[End Use]:[End Use]], $B70)</f>
        <v>24.841596331695527</v>
      </c>
      <c r="K70" s="17">
        <f>SUMIFS(Peak_Day[Achievable Peak Day therm 2034], Peak_Day[[Sector]:[Sector]], $B$67, Peak_Day[[End Use]:[End Use]], $B70)</f>
        <v>32.466607303905526</v>
      </c>
      <c r="L70" s="17">
        <f>SUMIFS(Peak_Day[Achievable Peak Day therm 2035], Peak_Day[[Sector]:[Sector]], $B$67, Peak_Day[[End Use]:[End Use]], $B70)</f>
        <v>40.920630579669989</v>
      </c>
      <c r="M70" s="17">
        <f>SUMIFS(Peak_Day[Achievable Peak Day therm 2036], Peak_Day[[Sector]:[Sector]], $B$67, Peak_Day[[End Use]:[End Use]], $B70)</f>
        <v>49.81936684595621</v>
      </c>
      <c r="N70" s="17">
        <f>SUMIFS(Peak_Day[Achievable Peak Day therm 2037], Peak_Day[[Sector]:[Sector]], $B$67, Peak_Day[[End Use]:[End Use]], $B70)</f>
        <v>58.673784054033973</v>
      </c>
      <c r="O70" s="17">
        <f>SUMIFS(Peak_Day[Achievable Peak Day therm 2038], Peak_Day[[Sector]:[Sector]], $B$67, Peak_Day[[End Use]:[End Use]], $B70)</f>
        <v>66.956040567425404</v>
      </c>
      <c r="P70" s="17">
        <f>SUMIFS(Peak_Day[Achievable Peak Day therm 2039], Peak_Day[[Sector]:[Sector]], $B$67, Peak_Day[[End Use]:[End Use]], $B70)</f>
        <v>74.18715585335444</v>
      </c>
      <c r="Q70" s="17">
        <f>SUMIFS(Peak_Day[Achievable Peak Day therm 2040], Peak_Day[[Sector]:[Sector]], $B$67, Peak_Day[[End Use]:[End Use]], $B70)</f>
        <v>80.02429437945311</v>
      </c>
      <c r="R70" s="17">
        <f>SUMIFS(Peak_Day[Achievable Peak Day therm 2041], Peak_Day[[Sector]:[Sector]], $B$67, Peak_Day[[End Use]:[End Use]], $B70)</f>
        <v>84.423922983652076</v>
      </c>
      <c r="S70" s="17">
        <f>SUMIFS(Peak_Day[Achievable Peak Day therm 2042], Peak_Day[[Sector]:[Sector]], $B$67, Peak_Day[[End Use]:[End Use]], $B70)</f>
        <v>87.204698822285366</v>
      </c>
      <c r="T70" s="17">
        <f>SUMIFS(Peak_Day[Achievable Peak Day therm 2043], Peak_Day[[Sector]:[Sector]], $B$67, Peak_Day[[End Use]:[End Use]], $B70)</f>
        <v>89.079379525211934</v>
      </c>
      <c r="U70" s="17">
        <f>SUMIFS(Peak_Day[Achievable Peak Day therm 2044], Peak_Day[[Sector]:[Sector]], $B$67, Peak_Day[[End Use]:[End Use]], $B70)</f>
        <v>89.589544224858216</v>
      </c>
      <c r="V70" s="17">
        <f>SUMIFS(Peak_Day[Achievable Peak Day therm 2045], Peak_Day[[Sector]:[Sector]], $B$67, Peak_Day[[End Use]:[End Use]], $B70)</f>
        <v>89.726806291511991</v>
      </c>
      <c r="W70" s="17">
        <f>SUMIFS(Peak_Day[Achievable Peak Day therm 2046], Peak_Day[[Sector]:[Sector]], $B$67, Peak_Day[[End Use]:[End Use]], $B70)</f>
        <v>89.24026209353606</v>
      </c>
      <c r="X70" s="17">
        <f>SUMIFS(Peak_Day[Achievable Peak Day therm 2047], Peak_Day[[Sector]:[Sector]], $B$67, Peak_Day[[End Use]:[End Use]], $B70)</f>
        <v>88.55201696175132</v>
      </c>
      <c r="Y70" s="17">
        <f>SUMIFS(Peak_Day[Achievable Peak Day therm 2048], Peak_Day[[Sector]:[Sector]], $B$67, Peak_Day[[End Use]:[End Use]], $B70)</f>
        <v>87.86907999067536</v>
      </c>
      <c r="Z70" s="17">
        <f>SUMIFS(Peak_Day[Achievable Peak Day therm 2049], Peak_Day[[Sector]:[Sector]], $B$67, Peak_Day[[End Use]:[End Use]], $B70)</f>
        <v>87.191410238668681</v>
      </c>
      <c r="AA70" s="17">
        <f>SUMIFS(Peak_Day[Achievable Peak Day therm 2050], Peak_Day[[Sector]:[Sector]], $B$67, Peak_Day[[End Use]:[End Use]], $B70)</f>
        <v>86.518967079889137</v>
      </c>
    </row>
    <row r="71" spans="2:27" x14ac:dyDescent="0.2">
      <c r="B71" s="16" t="s">
        <v>46</v>
      </c>
      <c r="C71" s="17">
        <f>SUMIFS(Peak_Day[Achievable Peak Day therm 2026], Peak_Day[[Sector]:[Sector]], $B$67, Peak_Day[[End Use]:[End Use]], $B71)</f>
        <v>7.4795502851005002</v>
      </c>
      <c r="D71" s="17">
        <f>SUMIFS(Peak_Day[Achievable Peak Day therm 2027], Peak_Day[[Sector]:[Sector]], $B$67, Peak_Day[[End Use]:[End Use]], $B71)</f>
        <v>12.072694432179638</v>
      </c>
      <c r="E71" s="17">
        <f>SUMIFS(Peak_Day[Achievable Peak Day therm 2028], Peak_Day[[Sector]:[Sector]], $B$67, Peak_Day[[End Use]:[End Use]], $B71)</f>
        <v>18.183357544873619</v>
      </c>
      <c r="F71" s="17">
        <f>SUMIFS(Peak_Day[Achievable Peak Day therm 2029], Peak_Day[[Sector]:[Sector]], $B$67, Peak_Day[[End Use]:[End Use]], $B71)</f>
        <v>25.841633110268454</v>
      </c>
      <c r="G71" s="17">
        <f>SUMIFS(Peak_Day[Achievable Peak Day therm 2030], Peak_Day[[Sector]:[Sector]], $B$67, Peak_Day[[End Use]:[End Use]], $B71)</f>
        <v>34.880653543468625</v>
      </c>
      <c r="H71" s="17">
        <f>SUMIFS(Peak_Day[Achievable Peak Day therm 2031], Peak_Day[[Sector]:[Sector]], $B$67, Peak_Day[[End Use]:[End Use]], $B71)</f>
        <v>44.869237741236169</v>
      </c>
      <c r="I71" s="17">
        <f>SUMIFS(Peak_Day[Achievable Peak Day therm 2032], Peak_Day[[Sector]:[Sector]], $B$67, Peak_Day[[End Use]:[End Use]], $B71)</f>
        <v>55.067573632668193</v>
      </c>
      <c r="J71" s="17">
        <f>SUMIFS(Peak_Day[Achievable Peak Day therm 2033], Peak_Day[[Sector]:[Sector]], $B$67, Peak_Day[[End Use]:[End Use]], $B71)</f>
        <v>64.436998946582122</v>
      </c>
      <c r="K71" s="17">
        <f>SUMIFS(Peak_Day[Achievable Peak Day therm 2034], Peak_Day[[Sector]:[Sector]], $B$67, Peak_Day[[End Use]:[End Use]], $B71)</f>
        <v>71.736646689136919</v>
      </c>
      <c r="L71" s="17">
        <f>SUMIFS(Peak_Day[Achievable Peak Day therm 2035], Peak_Day[[Sector]:[Sector]], $B$67, Peak_Day[[End Use]:[End Use]], $B71)</f>
        <v>75.725806777770885</v>
      </c>
      <c r="M71" s="17">
        <f>SUMIFS(Peak_Day[Achievable Peak Day therm 2036], Peak_Day[[Sector]:[Sector]], $B$67, Peak_Day[[End Use]:[End Use]], $B71)</f>
        <v>75.455573331900283</v>
      </c>
      <c r="N71" s="17">
        <f>SUMIFS(Peak_Day[Achievable Peak Day therm 2037], Peak_Day[[Sector]:[Sector]], $B$67, Peak_Day[[End Use]:[End Use]], $B71)</f>
        <v>70.581104998998867</v>
      </c>
      <c r="O71" s="17">
        <f>SUMIFS(Peak_Day[Achievable Peak Day therm 2038], Peak_Day[[Sector]:[Sector]], $B$67, Peak_Day[[End Use]:[End Use]], $B71)</f>
        <v>61.578043518918989</v>
      </c>
      <c r="P71" s="17">
        <f>SUMIFS(Peak_Day[Achievable Peak Day therm 2039], Peak_Day[[Sector]:[Sector]], $B$67, Peak_Day[[End Use]:[End Use]], $B71)</f>
        <v>50.531671282628736</v>
      </c>
      <c r="Q71" s="17">
        <f>SUMIFS(Peak_Day[Achievable Peak Day therm 2040], Peak_Day[[Sector]:[Sector]], $B$67, Peak_Day[[End Use]:[End Use]], $B71)</f>
        <v>9.0260674409380055</v>
      </c>
      <c r="R71" s="17">
        <f>SUMIFS(Peak_Day[Achievable Peak Day therm 2041], Peak_Day[[Sector]:[Sector]], $B$67, Peak_Day[[End Use]:[End Use]], $B71)</f>
        <v>0</v>
      </c>
      <c r="S71" s="17">
        <f>SUMIFS(Peak_Day[Achievable Peak Day therm 2042], Peak_Day[[Sector]:[Sector]], $B$67, Peak_Day[[End Use]:[End Use]], $B71)</f>
        <v>0</v>
      </c>
      <c r="T71" s="17">
        <f>SUMIFS(Peak_Day[Achievable Peak Day therm 2043], Peak_Day[[Sector]:[Sector]], $B$67, Peak_Day[[End Use]:[End Use]], $B71)</f>
        <v>0</v>
      </c>
      <c r="U71" s="17">
        <f>SUMIFS(Peak_Day[Achievable Peak Day therm 2044], Peak_Day[[Sector]:[Sector]], $B$67, Peak_Day[[End Use]:[End Use]], $B71)</f>
        <v>0</v>
      </c>
      <c r="V71" s="17">
        <f>SUMIFS(Peak_Day[Achievable Peak Day therm 2045], Peak_Day[[Sector]:[Sector]], $B$67, Peak_Day[[End Use]:[End Use]], $B71)</f>
        <v>0</v>
      </c>
      <c r="W71" s="17">
        <f>SUMIFS(Peak_Day[Achievable Peak Day therm 2046], Peak_Day[[Sector]:[Sector]], $B$67, Peak_Day[[End Use]:[End Use]], $B71)</f>
        <v>0</v>
      </c>
      <c r="X71" s="17">
        <f>SUMIFS(Peak_Day[Achievable Peak Day therm 2047], Peak_Day[[Sector]:[Sector]], $B$67, Peak_Day[[End Use]:[End Use]], $B71)</f>
        <v>0</v>
      </c>
      <c r="Y71" s="17">
        <f>SUMIFS(Peak_Day[Achievable Peak Day therm 2048], Peak_Day[[Sector]:[Sector]], $B$67, Peak_Day[[End Use]:[End Use]], $B71)</f>
        <v>0</v>
      </c>
      <c r="Z71" s="17">
        <f>SUMIFS(Peak_Day[Achievable Peak Day therm 2049], Peak_Day[[Sector]:[Sector]], $B$67, Peak_Day[[End Use]:[End Use]], $B71)</f>
        <v>0</v>
      </c>
      <c r="AA71" s="17">
        <f>SUMIFS(Peak_Day[Achievable Peak Day therm 2050], Peak_Day[[Sector]:[Sector]], $B$67, Peak_Day[[End Use]:[End Use]], $B71)</f>
        <v>0</v>
      </c>
    </row>
    <row r="72" spans="2:27" ht="13.5" thickBot="1" x14ac:dyDescent="0.25">
      <c r="B72" s="14" t="s">
        <v>34</v>
      </c>
      <c r="C72" s="15">
        <f>SUM(C57,C62,C67)</f>
        <v>5212.2251387330998</v>
      </c>
      <c r="D72" s="15">
        <f t="shared" ref="D72:AA72" si="13">SUM(D57,D62,D67)</f>
        <v>6208.6587854183736</v>
      </c>
      <c r="E72" s="15">
        <f t="shared" si="13"/>
        <v>7871.2829275150507</v>
      </c>
      <c r="F72" s="15">
        <f t="shared" si="13"/>
        <v>9888.5351961744327</v>
      </c>
      <c r="G72" s="15">
        <f t="shared" si="13"/>
        <v>12283.084043670495</v>
      </c>
      <c r="H72" s="15">
        <f t="shared" si="13"/>
        <v>15110.589894040006</v>
      </c>
      <c r="I72" s="15">
        <f t="shared" si="13"/>
        <v>18123.099261904863</v>
      </c>
      <c r="J72" s="15">
        <f t="shared" si="13"/>
        <v>21131.235026635928</v>
      </c>
      <c r="K72" s="15">
        <f t="shared" si="13"/>
        <v>23742.188601868147</v>
      </c>
      <c r="L72" s="15">
        <f t="shared" si="13"/>
        <v>25743.879807893791</v>
      </c>
      <c r="M72" s="15">
        <f t="shared" si="13"/>
        <v>27250.966409029257</v>
      </c>
      <c r="N72" s="15">
        <f t="shared" si="13"/>
        <v>28057.051182213643</v>
      </c>
      <c r="O72" s="15">
        <f t="shared" si="13"/>
        <v>27698.689464286344</v>
      </c>
      <c r="P72" s="15">
        <f t="shared" si="13"/>
        <v>26165.098800766325</v>
      </c>
      <c r="Q72" s="15">
        <f t="shared" si="13"/>
        <v>23201.906836283404</v>
      </c>
      <c r="R72" s="15">
        <f t="shared" si="13"/>
        <v>20020.916068116014</v>
      </c>
      <c r="S72" s="15">
        <f t="shared" si="13"/>
        <v>15304.29088842071</v>
      </c>
      <c r="T72" s="15">
        <f t="shared" si="13"/>
        <v>12077.58496371287</v>
      </c>
      <c r="U72" s="15">
        <f t="shared" si="13"/>
        <v>8706.630822745552</v>
      </c>
      <c r="V72" s="15">
        <f t="shared" si="13"/>
        <v>8321.9357551431349</v>
      </c>
      <c r="W72" s="15">
        <f t="shared" si="13"/>
        <v>8239.24784448643</v>
      </c>
      <c r="X72" s="15">
        <f t="shared" si="13"/>
        <v>8118.8320741954212</v>
      </c>
      <c r="Y72" s="15">
        <f t="shared" si="13"/>
        <v>7967.6705133259793</v>
      </c>
      <c r="Z72" s="15">
        <f t="shared" si="13"/>
        <v>7829.6257581830787</v>
      </c>
      <c r="AA72" s="15">
        <f t="shared" si="13"/>
        <v>6349.1841078959387</v>
      </c>
    </row>
    <row r="73" spans="2:27" ht="15" x14ac:dyDescent="0.25">
      <c r="O73"/>
      <c r="P73"/>
      <c r="Q73"/>
    </row>
    <row r="74" spans="2:27" x14ac:dyDescent="0.2">
      <c r="B74" s="9" t="s">
        <v>78</v>
      </c>
    </row>
    <row r="75" spans="2:27" x14ac:dyDescent="0.2">
      <c r="B75" s="11"/>
      <c r="C75" s="12">
        <v>2026</v>
      </c>
      <c r="D75" s="12">
        <v>2027</v>
      </c>
      <c r="E75" s="12">
        <v>2028</v>
      </c>
      <c r="F75" s="12">
        <v>2029</v>
      </c>
      <c r="G75" s="12">
        <v>2030</v>
      </c>
      <c r="H75" s="12">
        <v>2031</v>
      </c>
      <c r="I75" s="12">
        <v>2032</v>
      </c>
      <c r="J75" s="12">
        <v>2033</v>
      </c>
      <c r="K75" s="12">
        <v>2034</v>
      </c>
      <c r="L75" s="12">
        <v>2035</v>
      </c>
      <c r="M75" s="12">
        <v>2036</v>
      </c>
      <c r="N75" s="12">
        <v>2037</v>
      </c>
      <c r="O75" s="12">
        <v>2038</v>
      </c>
      <c r="P75" s="12">
        <v>2039</v>
      </c>
      <c r="Q75" s="12">
        <v>2040</v>
      </c>
      <c r="R75" s="12">
        <v>2041</v>
      </c>
      <c r="S75" s="12">
        <v>2042</v>
      </c>
      <c r="T75" s="12">
        <v>2043</v>
      </c>
      <c r="U75" s="12">
        <v>2044</v>
      </c>
      <c r="V75" s="12">
        <v>2045</v>
      </c>
      <c r="W75" s="12">
        <v>2046</v>
      </c>
      <c r="X75" s="12">
        <v>2047</v>
      </c>
      <c r="Y75" s="12">
        <v>2048</v>
      </c>
      <c r="Z75" s="12">
        <v>2049</v>
      </c>
      <c r="AA75" s="12">
        <v>2050</v>
      </c>
    </row>
    <row r="76" spans="2:27" x14ac:dyDescent="0.2">
      <c r="B76" s="9" t="s">
        <v>28</v>
      </c>
      <c r="C76" s="18">
        <f>SUMIFS(Peak_Day[Achievable Peak Day therm 2026], Peak_Day[[Sector]:[Sector]], $B76, Peak_Day[[Cost-Effective]:[Cost-Effective]], 1)</f>
        <v>1648.2625511180192</v>
      </c>
      <c r="D76" s="18">
        <f>SUMIFS(Peak_Day[Achievable Peak Day therm 2027], Peak_Day[[Sector]:[Sector]], $B76, Peak_Day[[Cost-Effective]:[Cost-Effective]], 1)</f>
        <v>2321.5340869770712</v>
      </c>
      <c r="E76" s="18">
        <f>SUMIFS(Peak_Day[Achievable Peak Day therm 2028], Peak_Day[[Sector]:[Sector]], $B76, Peak_Day[[Cost-Effective]:[Cost-Effective]], 1)</f>
        <v>3304.788232996003</v>
      </c>
      <c r="F76" s="18">
        <f>SUMIFS(Peak_Day[Achievable Peak Day therm 2029], Peak_Day[[Sector]:[Sector]], $B76, Peak_Day[[Cost-Effective]:[Cost-Effective]], 1)</f>
        <v>4470.5976539322437</v>
      </c>
      <c r="G76" s="18">
        <f>SUMIFS(Peak_Day[Achievable Peak Day therm 2030], Peak_Day[[Sector]:[Sector]], $B76, Peak_Day[[Cost-Effective]:[Cost-Effective]], 1)</f>
        <v>5888.7978488014605</v>
      </c>
      <c r="H76" s="18">
        <f>SUMIFS(Peak_Day[Achievable Peak Day therm 2031], Peak_Day[[Sector]:[Sector]], $B76, Peak_Day[[Cost-Effective]:[Cost-Effective]], 1)</f>
        <v>7537.014382819696</v>
      </c>
      <c r="I76" s="18">
        <f>SUMIFS(Peak_Day[Achievable Peak Day therm 2032], Peak_Day[[Sector]:[Sector]], $B76, Peak_Day[[Cost-Effective]:[Cost-Effective]], 1)</f>
        <v>9352.1359680766545</v>
      </c>
      <c r="J76" s="18">
        <f>SUMIFS(Peak_Day[Achievable Peak Day therm 2033], Peak_Day[[Sector]:[Sector]], $B76, Peak_Day[[Cost-Effective]:[Cost-Effective]], 1)</f>
        <v>11226.490853168378</v>
      </c>
      <c r="K76" s="18">
        <f>SUMIFS(Peak_Day[Achievable Peak Day therm 2034], Peak_Day[[Sector]:[Sector]], $B76, Peak_Day[[Cost-Effective]:[Cost-Effective]], 1)</f>
        <v>13007.150936843504</v>
      </c>
      <c r="L76" s="18">
        <f>SUMIFS(Peak_Day[Achievable Peak Day therm 2035], Peak_Day[[Sector]:[Sector]], $B76, Peak_Day[[Cost-Effective]:[Cost-Effective]], 1)</f>
        <v>14506.993071847344</v>
      </c>
      <c r="M76" s="18">
        <f>SUMIFS(Peak_Day[Achievable Peak Day therm 2036], Peak_Day[[Sector]:[Sector]], $B76, Peak_Day[[Cost-Effective]:[Cost-Effective]], 1)</f>
        <v>15539.371131324682</v>
      </c>
      <c r="N76" s="18">
        <f>SUMIFS(Peak_Day[Achievable Peak Day therm 2037], Peak_Day[[Sector]:[Sector]], $B76, Peak_Day[[Cost-Effective]:[Cost-Effective]], 1)</f>
        <v>15953.675104284834</v>
      </c>
      <c r="O76" s="18">
        <f>SUMIFS(Peak_Day[Achievable Peak Day therm 2038], Peak_Day[[Sector]:[Sector]], $B76, Peak_Day[[Cost-Effective]:[Cost-Effective]], 1)</f>
        <v>15679.277318047158</v>
      </c>
      <c r="P76" s="18">
        <f>SUMIFS(Peak_Day[Achievable Peak Day therm 2039], Peak_Day[[Sector]:[Sector]], $B76, Peak_Day[[Cost-Effective]:[Cost-Effective]], 1)</f>
        <v>14815.185605275869</v>
      </c>
      <c r="Q76" s="18">
        <f>SUMIFS(Peak_Day[Achievable Peak Day therm 2040], Peak_Day[[Sector]:[Sector]], $B76, Peak_Day[[Cost-Effective]:[Cost-Effective]], 1)</f>
        <v>13413.748469944045</v>
      </c>
      <c r="R76" s="18">
        <f>SUMIFS(Peak_Day[Achievable Peak Day therm 2041], Peak_Day[[Sector]:[Sector]], $B76, Peak_Day[[Cost-Effective]:[Cost-Effective]], 1)</f>
        <v>11812.12552870625</v>
      </c>
      <c r="S76" s="18">
        <f>SUMIFS(Peak_Day[Achievable Peak Day therm 2042], Peak_Day[[Sector]:[Sector]], $B76, Peak_Day[[Cost-Effective]:[Cost-Effective]], 1)</f>
        <v>9840.2459142767075</v>
      </c>
      <c r="T76" s="18">
        <f>SUMIFS(Peak_Day[Achievable Peak Day therm 2043], Peak_Day[[Sector]:[Sector]], $B76, Peak_Day[[Cost-Effective]:[Cost-Effective]], 1)</f>
        <v>8449.1951136724401</v>
      </c>
      <c r="U76" s="18">
        <f>SUMIFS(Peak_Day[Achievable Peak Day therm 2044], Peak_Day[[Sector]:[Sector]], $B76, Peak_Day[[Cost-Effective]:[Cost-Effective]], 1)</f>
        <v>6468.4508392360567</v>
      </c>
      <c r="V76" s="18">
        <f>SUMIFS(Peak_Day[Achievable Peak Day therm 2045], Peak_Day[[Sector]:[Sector]], $B76, Peak_Day[[Cost-Effective]:[Cost-Effective]], 1)</f>
        <v>6283.7329061179998</v>
      </c>
      <c r="W76" s="18">
        <f>SUMIFS(Peak_Day[Achievable Peak Day therm 2046], Peak_Day[[Sector]:[Sector]], $B76, Peak_Day[[Cost-Effective]:[Cost-Effective]], 1)</f>
        <v>6201.9552645434824</v>
      </c>
      <c r="X76" s="18">
        <f>SUMIFS(Peak_Day[Achievable Peak Day therm 2047], Peak_Day[[Sector]:[Sector]], $B76, Peak_Day[[Cost-Effective]:[Cost-Effective]], 1)</f>
        <v>6125.9642399949398</v>
      </c>
      <c r="Y76" s="18">
        <f>SUMIFS(Peak_Day[Achievable Peak Day therm 2048], Peak_Day[[Sector]:[Sector]], $B76, Peak_Day[[Cost-Effective]:[Cost-Effective]], 1)</f>
        <v>6040.3912654799606</v>
      </c>
      <c r="Z76" s="18">
        <f>SUMIFS(Peak_Day[Achievable Peak Day therm 2049], Peak_Day[[Sector]:[Sector]], $B76, Peak_Day[[Cost-Effective]:[Cost-Effective]], 1)</f>
        <v>5944.1659469675315</v>
      </c>
      <c r="AA76" s="18">
        <f>SUMIFS(Peak_Day[Achievable Peak Day therm 2050], Peak_Day[[Sector]:[Sector]], $B76, Peak_Day[[Cost-Effective]:[Cost-Effective]], 1)</f>
        <v>5025.5646827004311</v>
      </c>
    </row>
    <row r="77" spans="2:27" x14ac:dyDescent="0.2">
      <c r="B77" s="16" t="s">
        <v>43</v>
      </c>
      <c r="C77" s="17">
        <f>SUMIFS(Peak_Day[Achievable Peak Day therm 2026], Peak_Day[[Sector]:[Sector]], $B$57, Peak_Day[[End Use]:[End Use]], $B77, Peak_Day[[Cost-Effective]:[Cost-Effective]], 1)</f>
        <v>4.0051055931539133E-3</v>
      </c>
      <c r="D77" s="17">
        <f>SUMIFS(Peak_Day[Achievable Peak Day therm 2027], Peak_Day[[Sector]:[Sector]], $B$57, Peak_Day[[End Use]:[End Use]], $B77, Peak_Day[[Cost-Effective]:[Cost-Effective]], 1)</f>
        <v>4.9242913568856329E-3</v>
      </c>
      <c r="E77" s="17">
        <f>SUMIFS(Peak_Day[Achievable Peak Day therm 2028], Peak_Day[[Sector]:[Sector]], $B$57, Peak_Day[[End Use]:[End Use]], $B77, Peak_Day[[Cost-Effective]:[Cost-Effective]], 1)</f>
        <v>1.1120191104299836E-2</v>
      </c>
      <c r="F77" s="17">
        <f>SUMIFS(Peak_Day[Achievable Peak Day therm 2029], Peak_Day[[Sector]:[Sector]], $B$57, Peak_Day[[End Use]:[End Use]], $B77, Peak_Day[[Cost-Effective]:[Cost-Effective]], 1)</f>
        <v>2.0972475649965797E-2</v>
      </c>
      <c r="G77" s="17">
        <f>SUMIFS(Peak_Day[Achievable Peak Day therm 2030], Peak_Day[[Sector]:[Sector]], $B$57, Peak_Day[[End Use]:[End Use]], $B77, Peak_Day[[Cost-Effective]:[Cost-Effective]], 1)</f>
        <v>3.5718440843803261E-2</v>
      </c>
      <c r="H77" s="17">
        <f>SUMIFS(Peak_Day[Achievable Peak Day therm 2031], Peak_Day[[Sector]:[Sector]], $B$57, Peak_Day[[End Use]:[End Use]], $B77, Peak_Day[[Cost-Effective]:[Cost-Effective]], 1)</f>
        <v>5.656913740098328E-2</v>
      </c>
      <c r="I77" s="17">
        <f>SUMIFS(Peak_Day[Achievable Peak Day therm 2032], Peak_Day[[Sector]:[Sector]], $B$57, Peak_Day[[End Use]:[End Use]], $B77, Peak_Day[[Cost-Effective]:[Cost-Effective]], 1)</f>
        <v>8.4450932599125825E-2</v>
      </c>
      <c r="J77" s="17">
        <f>SUMIFS(Peak_Day[Achievable Peak Day therm 2033], Peak_Day[[Sector]:[Sector]], $B$57, Peak_Day[[End Use]:[End Use]], $B77, Peak_Day[[Cost-Effective]:[Cost-Effective]], 1)</f>
        <v>0.12018075370734095</v>
      </c>
      <c r="K77" s="17">
        <f>SUMIFS(Peak_Day[Achievable Peak Day therm 2034], Peak_Day[[Sector]:[Sector]], $B$57, Peak_Day[[End Use]:[End Use]], $B77, Peak_Day[[Cost-Effective]:[Cost-Effective]], 1)</f>
        <v>0.16376831152258942</v>
      </c>
      <c r="L77" s="17">
        <f>SUMIFS(Peak_Day[Achievable Peak Day therm 2035], Peak_Day[[Sector]:[Sector]], $B$57, Peak_Day[[End Use]:[End Use]], $B77, Peak_Day[[Cost-Effective]:[Cost-Effective]], 1)</f>
        <v>0.21436651617354638</v>
      </c>
      <c r="M77" s="17">
        <f>SUMIFS(Peak_Day[Achievable Peak Day therm 2036], Peak_Day[[Sector]:[Sector]], $B$57, Peak_Day[[End Use]:[End Use]], $B77, Peak_Day[[Cost-Effective]:[Cost-Effective]], 1)</f>
        <v>0.27017902302325703</v>
      </c>
      <c r="N77" s="17">
        <f>SUMIFS(Peak_Day[Achievable Peak Day therm 2037], Peak_Day[[Sector]:[Sector]], $B$57, Peak_Day[[End Use]:[End Use]], $B77, Peak_Day[[Cost-Effective]:[Cost-Effective]], 1)</f>
        <v>0.32841139357499194</v>
      </c>
      <c r="O77" s="17">
        <f>SUMIFS(Peak_Day[Achievable Peak Day therm 2038], Peak_Day[[Sector]:[Sector]], $B$57, Peak_Day[[End Use]:[End Use]], $B77, Peak_Day[[Cost-Effective]:[Cost-Effective]], 1)</f>
        <v>0.55653429693080381</v>
      </c>
      <c r="P77" s="17">
        <f>SUMIFS(Peak_Day[Achievable Peak Day therm 2039], Peak_Day[[Sector]:[Sector]], $B$57, Peak_Day[[End Use]:[End Use]], $B77, Peak_Day[[Cost-Effective]:[Cost-Effective]], 1)</f>
        <v>0.51845476822969505</v>
      </c>
      <c r="Q77" s="17">
        <f>SUMIFS(Peak_Day[Achievable Peak Day therm 2040], Peak_Day[[Sector]:[Sector]], $B$57, Peak_Day[[End Use]:[End Use]], $B77, Peak_Day[[Cost-Effective]:[Cost-Effective]], 1)</f>
        <v>0.58873851716256853</v>
      </c>
      <c r="R77" s="17">
        <f>SUMIFS(Peak_Day[Achievable Peak Day therm 2041], Peak_Day[[Sector]:[Sector]], $B$57, Peak_Day[[End Use]:[End Use]], $B77, Peak_Day[[Cost-Effective]:[Cost-Effective]], 1)</f>
        <v>0.63157509447015037</v>
      </c>
      <c r="S77" s="17">
        <f>SUMIFS(Peak_Day[Achievable Peak Day therm 2042], Peak_Day[[Sector]:[Sector]], $B$57, Peak_Day[[End Use]:[End Use]], $B77, Peak_Day[[Cost-Effective]:[Cost-Effective]], 1)</f>
        <v>0.65627135997664077</v>
      </c>
      <c r="T77" s="17">
        <f>SUMIFS(Peak_Day[Achievable Peak Day therm 2043], Peak_Day[[Sector]:[Sector]], $B$57, Peak_Day[[End Use]:[End Use]], $B77, Peak_Day[[Cost-Effective]:[Cost-Effective]], 1)</f>
        <v>0.66784082403305212</v>
      </c>
      <c r="U77" s="17">
        <f>SUMIFS(Peak_Day[Achievable Peak Day therm 2044], Peak_Day[[Sector]:[Sector]], $B$57, Peak_Day[[End Use]:[End Use]], $B77, Peak_Day[[Cost-Effective]:[Cost-Effective]], 1)</f>
        <v>0.66440506928308696</v>
      </c>
      <c r="V77" s="17">
        <f>SUMIFS(Peak_Day[Achievable Peak Day therm 2045], Peak_Day[[Sector]:[Sector]], $B$57, Peak_Day[[End Use]:[End Use]], $B77, Peak_Day[[Cost-Effective]:[Cost-Effective]], 1)</f>
        <v>0.65685283722427157</v>
      </c>
      <c r="W77" s="17">
        <f>SUMIFS(Peak_Day[Achievable Peak Day therm 2046], Peak_Day[[Sector]:[Sector]], $B$57, Peak_Day[[End Use]:[End Use]], $B77, Peak_Day[[Cost-Effective]:[Cost-Effective]], 1)</f>
        <v>0.64000943524860099</v>
      </c>
      <c r="X77" s="17">
        <f>SUMIFS(Peak_Day[Achievable Peak Day therm 2047], Peak_Day[[Sector]:[Sector]], $B$57, Peak_Day[[End Use]:[End Use]], $B77, Peak_Day[[Cost-Effective]:[Cost-Effective]], 1)</f>
        <v>0.61975651242374685</v>
      </c>
      <c r="Y77" s="17">
        <f>SUMIFS(Peak_Day[Achievable Peak Day therm 2048], Peak_Day[[Sector]:[Sector]], $B$57, Peak_Day[[End Use]:[End Use]], $B77, Peak_Day[[Cost-Effective]:[Cost-Effective]], 1)</f>
        <v>0.46954208152826915</v>
      </c>
      <c r="Z77" s="17">
        <f>SUMIFS(Peak_Day[Achievable Peak Day therm 2049], Peak_Day[[Sector]:[Sector]], $B$57, Peak_Day[[End Use]:[End Use]], $B77, Peak_Day[[Cost-Effective]:[Cost-Effective]], 1)</f>
        <v>7.4978241553389918E-2</v>
      </c>
      <c r="AA77" s="17">
        <f>SUMIFS(Peak_Day[Achievable Peak Day therm 2050], Peak_Day[[Sector]:[Sector]], $B$57, Peak_Day[[End Use]:[End Use]], $B77, Peak_Day[[Cost-Effective]:[Cost-Effective]], 1)</f>
        <v>5.7571619443899331E-2</v>
      </c>
    </row>
    <row r="78" spans="2:27" x14ac:dyDescent="0.2">
      <c r="B78" s="16" t="s">
        <v>44</v>
      </c>
      <c r="C78" s="17">
        <f>SUMIFS(Peak_Day[Achievable Peak Day therm 2026], Peak_Day[[Sector]:[Sector]], $B$57, Peak_Day[[End Use]:[End Use]], $B78, Peak_Day[[Cost-Effective]:[Cost-Effective]], 1)</f>
        <v>1601.4672903347036</v>
      </c>
      <c r="D78" s="17">
        <f>SUMIFS(Peak_Day[Achievable Peak Day therm 2027], Peak_Day[[Sector]:[Sector]], $B$57, Peak_Day[[End Use]:[End Use]], $B78, Peak_Day[[Cost-Effective]:[Cost-Effective]], 1)</f>
        <v>2236.0017295924354</v>
      </c>
      <c r="E78" s="17">
        <f>SUMIFS(Peak_Day[Achievable Peak Day therm 2028], Peak_Day[[Sector]:[Sector]], $B$57, Peak_Day[[End Use]:[End Use]], $B78, Peak_Day[[Cost-Effective]:[Cost-Effective]], 1)</f>
        <v>3165.9440455956874</v>
      </c>
      <c r="F78" s="17">
        <f>SUMIFS(Peak_Day[Achievable Peak Day therm 2029], Peak_Day[[Sector]:[Sector]], $B$57, Peak_Day[[End Use]:[End Use]], $B78, Peak_Day[[Cost-Effective]:[Cost-Effective]], 1)</f>
        <v>4266.5191654318032</v>
      </c>
      <c r="G78" s="17">
        <f>SUMIFS(Peak_Day[Achievable Peak Day therm 2030], Peak_Day[[Sector]:[Sector]], $B$57, Peak_Day[[End Use]:[End Use]], $B78, Peak_Day[[Cost-Effective]:[Cost-Effective]], 1)</f>
        <v>5612.972281640964</v>
      </c>
      <c r="H78" s="17">
        <f>SUMIFS(Peak_Day[Achievable Peak Day therm 2031], Peak_Day[[Sector]:[Sector]], $B$57, Peak_Day[[End Use]:[End Use]], $B78, Peak_Day[[Cost-Effective]:[Cost-Effective]], 1)</f>
        <v>7190.1867826533289</v>
      </c>
      <c r="I78" s="17">
        <f>SUMIFS(Peak_Day[Achievable Peak Day therm 2032], Peak_Day[[Sector]:[Sector]], $B$57, Peak_Day[[End Use]:[End Use]], $B78, Peak_Day[[Cost-Effective]:[Cost-Effective]], 1)</f>
        <v>8941.8112358775124</v>
      </c>
      <c r="J78" s="17">
        <f>SUMIFS(Peak_Day[Achievable Peak Day therm 2033], Peak_Day[[Sector]:[Sector]], $B$57, Peak_Day[[End Use]:[End Use]], $B78, Peak_Day[[Cost-Effective]:[Cost-Effective]], 1)</f>
        <v>10764.578493962523</v>
      </c>
      <c r="K78" s="17">
        <f>SUMIFS(Peak_Day[Achievable Peak Day therm 2034], Peak_Day[[Sector]:[Sector]], $B$57, Peak_Day[[End Use]:[End Use]], $B78, Peak_Day[[Cost-Effective]:[Cost-Effective]], 1)</f>
        <v>12507.012562421418</v>
      </c>
      <c r="L78" s="17">
        <f>SUMIFS(Peak_Day[Achievable Peak Day therm 2035], Peak_Day[[Sector]:[Sector]], $B$57, Peak_Day[[End Use]:[End Use]], $B78, Peak_Day[[Cost-Effective]:[Cost-Effective]], 1)</f>
        <v>13981.026145531689</v>
      </c>
      <c r="M78" s="17">
        <f>SUMIFS(Peak_Day[Achievable Peak Day therm 2036], Peak_Day[[Sector]:[Sector]], $B$57, Peak_Day[[End Use]:[End Use]], $B78, Peak_Day[[Cost-Effective]:[Cost-Effective]], 1)</f>
        <v>14997.811725248057</v>
      </c>
      <c r="N78" s="17">
        <f>SUMIFS(Peak_Day[Achievable Peak Day therm 2037], Peak_Day[[Sector]:[Sector]], $B$57, Peak_Day[[End Use]:[End Use]], $B78, Peak_Day[[Cost-Effective]:[Cost-Effective]], 1)</f>
        <v>15404.650808227281</v>
      </c>
      <c r="O78" s="17">
        <f>SUMIFS(Peak_Day[Achievable Peak Day therm 2038], Peak_Day[[Sector]:[Sector]], $B$57, Peak_Day[[End Use]:[End Use]], $B78, Peak_Day[[Cost-Effective]:[Cost-Effective]], 1)</f>
        <v>15129.325735939392</v>
      </c>
      <c r="P78" s="17">
        <f>SUMIFS(Peak_Day[Achievable Peak Day therm 2039], Peak_Day[[Sector]:[Sector]], $B$57, Peak_Day[[End Use]:[End Use]], $B78, Peak_Day[[Cost-Effective]:[Cost-Effective]], 1)</f>
        <v>14270.451096724775</v>
      </c>
      <c r="Q78" s="17">
        <f>SUMIFS(Peak_Day[Achievable Peak Day therm 2040], Peak_Day[[Sector]:[Sector]], $B$57, Peak_Day[[End Use]:[End Use]], $B78, Peak_Day[[Cost-Effective]:[Cost-Effective]], 1)</f>
        <v>12913.887563254644</v>
      </c>
      <c r="R78" s="17">
        <f>SUMIFS(Peak_Day[Achievable Peak Day therm 2041], Peak_Day[[Sector]:[Sector]], $B$57, Peak_Day[[End Use]:[End Use]], $B78, Peak_Day[[Cost-Effective]:[Cost-Effective]], 1)</f>
        <v>11313.206621408784</v>
      </c>
      <c r="S78" s="17">
        <f>SUMIFS(Peak_Day[Achievable Peak Day therm 2042], Peak_Day[[Sector]:[Sector]], $B$57, Peak_Day[[End Use]:[End Use]], $B78, Peak_Day[[Cost-Effective]:[Cost-Effective]], 1)</f>
        <v>9346.9860272983587</v>
      </c>
      <c r="T78" s="17">
        <f>SUMIFS(Peak_Day[Achievable Peak Day therm 2043], Peak_Day[[Sector]:[Sector]], $B$57, Peak_Day[[End Use]:[End Use]], $B78, Peak_Day[[Cost-Effective]:[Cost-Effective]], 1)</f>
        <v>7963.2594071398207</v>
      </c>
      <c r="U78" s="17">
        <f>SUMIFS(Peak_Day[Achievable Peak Day therm 2044], Peak_Day[[Sector]:[Sector]], $B$57, Peak_Day[[End Use]:[End Use]], $B78, Peak_Day[[Cost-Effective]:[Cost-Effective]], 1)</f>
        <v>6008.3980140731692</v>
      </c>
      <c r="V78" s="17">
        <f>SUMIFS(Peak_Day[Achievable Peak Day therm 2045], Peak_Day[[Sector]:[Sector]], $B$57, Peak_Day[[End Use]:[End Use]], $B78, Peak_Day[[Cost-Effective]:[Cost-Effective]], 1)</f>
        <v>5844.0885019217085</v>
      </c>
      <c r="W78" s="17">
        <f>SUMIFS(Peak_Day[Achievable Peak Day therm 2046], Peak_Day[[Sector]:[Sector]], $B$57, Peak_Day[[End Use]:[End Use]], $B78, Peak_Day[[Cost-Effective]:[Cost-Effective]], 1)</f>
        <v>5790.4060566267235</v>
      </c>
      <c r="X78" s="17">
        <f>SUMIFS(Peak_Day[Achievable Peak Day therm 2047], Peak_Day[[Sector]:[Sector]], $B$57, Peak_Day[[End Use]:[End Use]], $B78, Peak_Day[[Cost-Effective]:[Cost-Effective]], 1)</f>
        <v>5719.4085333644871</v>
      </c>
      <c r="Y78" s="17">
        <f>SUMIFS(Peak_Day[Achievable Peak Day therm 2048], Peak_Day[[Sector]:[Sector]], $B$57, Peak_Day[[End Use]:[End Use]], $B78, Peak_Day[[Cost-Effective]:[Cost-Effective]], 1)</f>
        <v>5639.6052547005211</v>
      </c>
      <c r="Z78" s="17">
        <f>SUMIFS(Peak_Day[Achievable Peak Day therm 2049], Peak_Day[[Sector]:[Sector]], $B$57, Peak_Day[[End Use]:[End Use]], $B78, Peak_Day[[Cost-Effective]:[Cost-Effective]], 1)</f>
        <v>5556.9910446991007</v>
      </c>
      <c r="AA78" s="17">
        <f>SUMIFS(Peak_Day[Achievable Peak Day therm 2050], Peak_Day[[Sector]:[Sector]], $B$57, Peak_Day[[End Use]:[End Use]], $B78, Peak_Day[[Cost-Effective]:[Cost-Effective]], 1)</f>
        <v>4671.4111777319758</v>
      </c>
    </row>
    <row r="79" spans="2:27" ht="15" x14ac:dyDescent="0.25">
      <c r="B79" s="8" t="s">
        <v>45</v>
      </c>
      <c r="C79" s="17">
        <f>SUMIFS(Peak_Day[Achievable Peak Day therm 2026], Peak_Day[[Sector]:[Sector]], $B$57, Peak_Day[[End Use]:[End Use]], $B79, Peak_Day[[Cost-Effective]:[Cost-Effective]], 1)</f>
        <v>9.3801763247377945</v>
      </c>
      <c r="D79" s="17">
        <f>SUMIFS(Peak_Day[Achievable Peak Day therm 2027], Peak_Day[[Sector]:[Sector]], $B$57, Peak_Day[[End Use]:[End Use]], $B79, Peak_Day[[Cost-Effective]:[Cost-Effective]], 1)</f>
        <v>17.962014075096331</v>
      </c>
      <c r="E79" s="17">
        <f>SUMIFS(Peak_Day[Achievable Peak Day therm 2028], Peak_Day[[Sector]:[Sector]], $B$57, Peak_Day[[End Use]:[End Use]], $B79, Peak_Day[[Cost-Effective]:[Cost-Effective]], 1)</f>
        <v>31.857267338382968</v>
      </c>
      <c r="F79" s="17">
        <f>SUMIFS(Peak_Day[Achievable Peak Day therm 2029], Peak_Day[[Sector]:[Sector]], $B$57, Peak_Day[[End Use]:[End Use]], $B79, Peak_Day[[Cost-Effective]:[Cost-Effective]], 1)</f>
        <v>51.289790661986451</v>
      </c>
      <c r="G79" s="17">
        <f>SUMIFS(Peak_Day[Achievable Peak Day therm 2030], Peak_Day[[Sector]:[Sector]], $B$57, Peak_Day[[End Use]:[End Use]], $B79, Peak_Day[[Cost-Effective]:[Cost-Effective]], 1)</f>
        <v>77.475920152322914</v>
      </c>
      <c r="H79" s="17">
        <f>SUMIFS(Peak_Day[Achievable Peak Day therm 2031], Peak_Day[[Sector]:[Sector]], $B$57, Peak_Day[[End Use]:[End Use]], $B79, Peak_Day[[Cost-Effective]:[Cost-Effective]], 1)</f>
        <v>110.85768660343869</v>
      </c>
      <c r="I79" s="17">
        <f>SUMIFS(Peak_Day[Achievable Peak Day therm 2032], Peak_Day[[Sector]:[Sector]], $B$57, Peak_Day[[End Use]:[End Use]], $B79, Peak_Day[[Cost-Effective]:[Cost-Effective]], 1)</f>
        <v>151.23604982267832</v>
      </c>
      <c r="J79" s="17">
        <f>SUMIFS(Peak_Day[Achievable Peak Day therm 2033], Peak_Day[[Sector]:[Sector]], $B$57, Peak_Day[[End Use]:[End Use]], $B79, Peak_Day[[Cost-Effective]:[Cost-Effective]], 1)</f>
        <v>197.61668290815746</v>
      </c>
      <c r="K79" s="17">
        <f>SUMIFS(Peak_Day[Achievable Peak Day therm 2034], Peak_Day[[Sector]:[Sector]], $B$57, Peak_Day[[End Use]:[End Use]], $B79, Peak_Day[[Cost-Effective]:[Cost-Effective]], 1)</f>
        <v>248.09466141511788</v>
      </c>
      <c r="L79" s="17">
        <f>SUMIFS(Peak_Day[Achievable Peak Day therm 2035], Peak_Day[[Sector]:[Sector]], $B$57, Peak_Day[[End Use]:[End Use]], $B79, Peak_Day[[Cost-Effective]:[Cost-Effective]], 1)</f>
        <v>299.88614695131321</v>
      </c>
      <c r="M79" s="17">
        <f>SUMIFS(Peak_Day[Achievable Peak Day therm 2036], Peak_Day[[Sector]:[Sector]], $B$57, Peak_Day[[End Use]:[End Use]], $B79, Peak_Day[[Cost-Effective]:[Cost-Effective]], 1)</f>
        <v>349.55469042300598</v>
      </c>
      <c r="N79" s="17">
        <f>SUMIFS(Peak_Day[Achievable Peak Day therm 2037], Peak_Day[[Sector]:[Sector]], $B$57, Peak_Day[[End Use]:[End Use]], $B79, Peak_Day[[Cost-Effective]:[Cost-Effective]], 1)</f>
        <v>393.47194899437773</v>
      </c>
      <c r="O79" s="17">
        <f>SUMIFS(Peak_Day[Achievable Peak Day therm 2038], Peak_Day[[Sector]:[Sector]], $B$57, Peak_Day[[End Use]:[End Use]], $B79, Peak_Day[[Cost-Effective]:[Cost-Effective]], 1)</f>
        <v>428.48109639067474</v>
      </c>
      <c r="P79" s="17">
        <f>SUMIFS(Peak_Day[Achievable Peak Day therm 2039], Peak_Day[[Sector]:[Sector]], $B$57, Peak_Day[[End Use]:[End Use]], $B79, Peak_Day[[Cost-Effective]:[Cost-Effective]], 1)</f>
        <v>452.60694245643964</v>
      </c>
      <c r="Q79" s="17">
        <f>SUMIFS(Peak_Day[Achievable Peak Day therm 2040], Peak_Day[[Sector]:[Sector]], $B$57, Peak_Day[[End Use]:[End Use]], $B79, Peak_Day[[Cost-Effective]:[Cost-Effective]], 1)</f>
        <v>465.5697676977174</v>
      </c>
      <c r="R79" s="17">
        <f>SUMIFS(Peak_Day[Achievable Peak Day therm 2041], Peak_Day[[Sector]:[Sector]], $B$57, Peak_Day[[End Use]:[End Use]], $B79, Peak_Day[[Cost-Effective]:[Cost-Effective]], 1)</f>
        <v>472.48821785949445</v>
      </c>
      <c r="S79" s="17">
        <f>SUMIFS(Peak_Day[Achievable Peak Day therm 2042], Peak_Day[[Sector]:[Sector]], $B$57, Peak_Day[[End Use]:[End Use]], $B79, Peak_Day[[Cost-Effective]:[Cost-Effective]], 1)</f>
        <v>469.37589631725979</v>
      </c>
      <c r="T79" s="17">
        <f>SUMIFS(Peak_Day[Achievable Peak Day therm 2043], Peak_Day[[Sector]:[Sector]], $B$57, Peak_Day[[End Use]:[End Use]], $B79, Peak_Day[[Cost-Effective]:[Cost-Effective]], 1)</f>
        <v>464.0090307805479</v>
      </c>
      <c r="U79" s="17">
        <f>SUMIFS(Peak_Day[Achievable Peak Day therm 2044], Peak_Day[[Sector]:[Sector]], $B$57, Peak_Day[[End Use]:[End Use]], $B79, Peak_Day[[Cost-Effective]:[Cost-Effective]], 1)</f>
        <v>441.74008810953649</v>
      </c>
      <c r="V79" s="17">
        <f>SUMIFS(Peak_Day[Achievable Peak Day therm 2045], Peak_Day[[Sector]:[Sector]], $B$57, Peak_Day[[End Use]:[End Use]], $B79, Peak_Day[[Cost-Effective]:[Cost-Effective]], 1)</f>
        <v>422.8057998319523</v>
      </c>
      <c r="W79" s="17">
        <f>SUMIFS(Peak_Day[Achievable Peak Day therm 2046], Peak_Day[[Sector]:[Sector]], $B$57, Peak_Day[[End Use]:[End Use]], $B79, Peak_Day[[Cost-Effective]:[Cost-Effective]], 1)</f>
        <v>396.42922929721141</v>
      </c>
      <c r="X79" s="17">
        <f>SUMIFS(Peak_Day[Achievable Peak Day therm 2047], Peak_Day[[Sector]:[Sector]], $B$57, Peak_Day[[End Use]:[End Use]], $B79, Peak_Day[[Cost-Effective]:[Cost-Effective]], 1)</f>
        <v>393.2272429709725</v>
      </c>
      <c r="Y79" s="17">
        <f>SUMIFS(Peak_Day[Achievable Peak Day therm 2048], Peak_Day[[Sector]:[Sector]], $B$57, Peak_Day[[End Use]:[End Use]], $B79, Peak_Day[[Cost-Effective]:[Cost-Effective]], 1)</f>
        <v>389.38295092665311</v>
      </c>
      <c r="Z79" s="17">
        <f>SUMIFS(Peak_Day[Achievable Peak Day therm 2049], Peak_Day[[Sector]:[Sector]], $B$57, Peak_Day[[End Use]:[End Use]], $B79, Peak_Day[[Cost-Effective]:[Cost-Effective]], 1)</f>
        <v>377.94488181306235</v>
      </c>
      <c r="AA79" s="17">
        <f>SUMIFS(Peak_Day[Achievable Peak Day therm 2050], Peak_Day[[Sector]:[Sector]], $B$57, Peak_Day[[End Use]:[End Use]], $B79, Peak_Day[[Cost-Effective]:[Cost-Effective]], 1)</f>
        <v>346.72190248351887</v>
      </c>
    </row>
    <row r="80" spans="2:27" x14ac:dyDescent="0.2">
      <c r="B80" s="16" t="s">
        <v>46</v>
      </c>
      <c r="C80" s="17">
        <f>SUMIFS(Peak_Day[Achievable Peak Day therm 2026], Peak_Day[[Sector]:[Sector]], $B$57, Peak_Day[[End Use]:[End Use]], $B80, Peak_Day[[Cost-Effective]:[Cost-Effective]], 1)</f>
        <v>37.411079352984743</v>
      </c>
      <c r="D80" s="17">
        <f>SUMIFS(Peak_Day[Achievable Peak Day therm 2027], Peak_Day[[Sector]:[Sector]], $B$57, Peak_Day[[End Use]:[End Use]], $B80, Peak_Day[[Cost-Effective]:[Cost-Effective]], 1)</f>
        <v>67.565419018182666</v>
      </c>
      <c r="E80" s="17">
        <f>SUMIFS(Peak_Day[Achievable Peak Day therm 2028], Peak_Day[[Sector]:[Sector]], $B$57, Peak_Day[[End Use]:[End Use]], $B80, Peak_Day[[Cost-Effective]:[Cost-Effective]], 1)</f>
        <v>106.97579987082743</v>
      </c>
      <c r="F80" s="17">
        <f>SUMIFS(Peak_Day[Achievable Peak Day therm 2029], Peak_Day[[Sector]:[Sector]], $B$57, Peak_Day[[End Use]:[End Use]], $B80, Peak_Day[[Cost-Effective]:[Cost-Effective]], 1)</f>
        <v>152.76772536280055</v>
      </c>
      <c r="G80" s="17">
        <f>SUMIFS(Peak_Day[Achievable Peak Day therm 2030], Peak_Day[[Sector]:[Sector]], $B$57, Peak_Day[[End Use]:[End Use]], $B80, Peak_Day[[Cost-Effective]:[Cost-Effective]], 1)</f>
        <v>198.31392856732671</v>
      </c>
      <c r="H80" s="17">
        <f>SUMIFS(Peak_Day[Achievable Peak Day therm 2031], Peak_Day[[Sector]:[Sector]], $B$57, Peak_Day[[End Use]:[End Use]], $B80, Peak_Day[[Cost-Effective]:[Cost-Effective]], 1)</f>
        <v>235.91334442552886</v>
      </c>
      <c r="I80" s="17">
        <f>SUMIFS(Peak_Day[Achievable Peak Day therm 2032], Peak_Day[[Sector]:[Sector]], $B$57, Peak_Day[[End Use]:[End Use]], $B80, Peak_Day[[Cost-Effective]:[Cost-Effective]], 1)</f>
        <v>259.00423144386019</v>
      </c>
      <c r="J80" s="17">
        <f>SUMIFS(Peak_Day[Achievable Peak Day therm 2033], Peak_Day[[Sector]:[Sector]], $B$57, Peak_Day[[End Use]:[End Use]], $B80, Peak_Day[[Cost-Effective]:[Cost-Effective]], 1)</f>
        <v>264.17549554398698</v>
      </c>
      <c r="K80" s="17">
        <f>SUMIFS(Peak_Day[Achievable Peak Day therm 2034], Peak_Day[[Sector]:[Sector]], $B$57, Peak_Day[[End Use]:[End Use]], $B80, Peak_Day[[Cost-Effective]:[Cost-Effective]], 1)</f>
        <v>251.87994469544321</v>
      </c>
      <c r="L80" s="17">
        <f>SUMIFS(Peak_Day[Achievable Peak Day therm 2035], Peak_Day[[Sector]:[Sector]], $B$57, Peak_Day[[End Use]:[End Use]], $B80, Peak_Day[[Cost-Effective]:[Cost-Effective]], 1)</f>
        <v>225.86641284817114</v>
      </c>
      <c r="M80" s="17">
        <f>SUMIFS(Peak_Day[Achievable Peak Day therm 2036], Peak_Day[[Sector]:[Sector]], $B$57, Peak_Day[[End Use]:[End Use]], $B80, Peak_Day[[Cost-Effective]:[Cost-Effective]], 1)</f>
        <v>191.73453663060528</v>
      </c>
      <c r="N80" s="17">
        <f>SUMIFS(Peak_Day[Achievable Peak Day therm 2037], Peak_Day[[Sector]:[Sector]], $B$57, Peak_Day[[End Use]:[End Use]], $B80, Peak_Day[[Cost-Effective]:[Cost-Effective]], 1)</f>
        <v>155.22393566960136</v>
      </c>
      <c r="O80" s="17">
        <f>SUMIFS(Peak_Day[Achievable Peak Day therm 2038], Peak_Day[[Sector]:[Sector]], $B$57, Peak_Day[[End Use]:[End Use]], $B80, Peak_Day[[Cost-Effective]:[Cost-Effective]], 1)</f>
        <v>120.9139514201559</v>
      </c>
      <c r="P80" s="17">
        <f>SUMIFS(Peak_Day[Achievable Peak Day therm 2039], Peak_Day[[Sector]:[Sector]], $B$57, Peak_Day[[End Use]:[End Use]], $B80, Peak_Day[[Cost-Effective]:[Cost-Effective]], 1)</f>
        <v>91.6091113264265</v>
      </c>
      <c r="Q80" s="17">
        <f>SUMIFS(Peak_Day[Achievable Peak Day therm 2040], Peak_Day[[Sector]:[Sector]], $B$57, Peak_Day[[End Use]:[End Use]], $B80, Peak_Day[[Cost-Effective]:[Cost-Effective]], 1)</f>
        <v>33.702400474518626</v>
      </c>
      <c r="R80" s="17">
        <f>SUMIFS(Peak_Day[Achievable Peak Day therm 2041], Peak_Day[[Sector]:[Sector]], $B$57, Peak_Day[[End Use]:[End Use]], $B80, Peak_Day[[Cost-Effective]:[Cost-Effective]], 1)</f>
        <v>25.799114343498211</v>
      </c>
      <c r="S80" s="17">
        <f>SUMIFS(Peak_Day[Achievable Peak Day therm 2042], Peak_Day[[Sector]:[Sector]], $B$57, Peak_Day[[End Use]:[End Use]], $B80, Peak_Day[[Cost-Effective]:[Cost-Effective]], 1)</f>
        <v>23.227719301110419</v>
      </c>
      <c r="T80" s="17">
        <f>SUMIFS(Peak_Day[Achievable Peak Day therm 2043], Peak_Day[[Sector]:[Sector]], $B$57, Peak_Day[[End Use]:[End Use]], $B80, Peak_Day[[Cost-Effective]:[Cost-Effective]], 1)</f>
        <v>21.258834928041392</v>
      </c>
      <c r="U80" s="17">
        <f>SUMIFS(Peak_Day[Achievable Peak Day therm 2044], Peak_Day[[Sector]:[Sector]], $B$57, Peak_Day[[End Use]:[End Use]], $B80, Peak_Day[[Cost-Effective]:[Cost-Effective]], 1)</f>
        <v>17.648331984067458</v>
      </c>
      <c r="V80" s="17">
        <f>SUMIFS(Peak_Day[Achievable Peak Day therm 2045], Peak_Day[[Sector]:[Sector]], $B$57, Peak_Day[[End Use]:[End Use]], $B80, Peak_Day[[Cost-Effective]:[Cost-Effective]], 1)</f>
        <v>16.181751527115466</v>
      </c>
      <c r="W80" s="17">
        <f>SUMIFS(Peak_Day[Achievable Peak Day therm 2046], Peak_Day[[Sector]:[Sector]], $B$57, Peak_Day[[End Use]:[End Use]], $B80, Peak_Day[[Cost-Effective]:[Cost-Effective]], 1)</f>
        <v>14.479969184297978</v>
      </c>
      <c r="X80" s="17">
        <f>SUMIFS(Peak_Day[Achievable Peak Day therm 2047], Peak_Day[[Sector]:[Sector]], $B$57, Peak_Day[[End Use]:[End Use]], $B80, Peak_Day[[Cost-Effective]:[Cost-Effective]], 1)</f>
        <v>12.708707147053364</v>
      </c>
      <c r="Y80" s="17">
        <f>SUMIFS(Peak_Day[Achievable Peak Day therm 2048], Peak_Day[[Sector]:[Sector]], $B$57, Peak_Day[[End Use]:[End Use]], $B80, Peak_Day[[Cost-Effective]:[Cost-Effective]], 1)</f>
        <v>10.933517771258952</v>
      </c>
      <c r="Z80" s="17">
        <f>SUMIFS(Peak_Day[Achievable Peak Day therm 2049], Peak_Day[[Sector]:[Sector]], $B$57, Peak_Day[[End Use]:[End Use]], $B80, Peak_Day[[Cost-Effective]:[Cost-Effective]], 1)</f>
        <v>9.1550422138148146</v>
      </c>
      <c r="AA80" s="17">
        <f>SUMIFS(Peak_Day[Achievable Peak Day therm 2050], Peak_Day[[Sector]:[Sector]], $B$57, Peak_Day[[End Use]:[End Use]], $B80, Peak_Day[[Cost-Effective]:[Cost-Effective]], 1)</f>
        <v>7.3740308654929088</v>
      </c>
    </row>
    <row r="81" spans="2:27" x14ac:dyDescent="0.2">
      <c r="B81" s="9" t="s">
        <v>31</v>
      </c>
      <c r="C81" s="18">
        <f>SUMIFS(Peak_Day[Achievable Peak Day therm 2026], Peak_Day[[Sector]:[Sector]], $B81, Peak_Day[[Cost-Effective]:[Cost-Effective]], 1)</f>
        <v>2496.8878114580257</v>
      </c>
      <c r="D81" s="18">
        <f>SUMIFS(Peak_Day[Achievable Peak Day therm 2027], Peak_Day[[Sector]:[Sector]], $B81, Peak_Day[[Cost-Effective]:[Cost-Effective]], 1)</f>
        <v>2545.5201144253128</v>
      </c>
      <c r="E81" s="18">
        <f>SUMIFS(Peak_Day[Achievable Peak Day therm 2028], Peak_Day[[Sector]:[Sector]], $B81, Peak_Day[[Cost-Effective]:[Cost-Effective]], 1)</f>
        <v>2756.1301786964832</v>
      </c>
      <c r="F81" s="18">
        <f>SUMIFS(Peak_Day[Achievable Peak Day therm 2029], Peak_Day[[Sector]:[Sector]], $B81, Peak_Day[[Cost-Effective]:[Cost-Effective]], 1)</f>
        <v>3087.2254771733601</v>
      </c>
      <c r="G81" s="18">
        <f>SUMIFS(Peak_Day[Achievable Peak Day therm 2030], Peak_Day[[Sector]:[Sector]], $B81, Peak_Day[[Cost-Effective]:[Cost-Effective]], 1)</f>
        <v>3425.2460620150646</v>
      </c>
      <c r="H81" s="18">
        <f>SUMIFS(Peak_Day[Achievable Peak Day therm 2031], Peak_Day[[Sector]:[Sector]], $B81, Peak_Day[[Cost-Effective]:[Cost-Effective]], 1)</f>
        <v>3767.5939890297905</v>
      </c>
      <c r="I81" s="18">
        <f>SUMIFS(Peak_Day[Achievable Peak Day therm 2032], Peak_Day[[Sector]:[Sector]], $B81, Peak_Day[[Cost-Effective]:[Cost-Effective]], 1)</f>
        <v>3961.7849662859862</v>
      </c>
      <c r="J81" s="18">
        <f>SUMIFS(Peak_Day[Achievable Peak Day therm 2033], Peak_Day[[Sector]:[Sector]], $B81, Peak_Day[[Cost-Effective]:[Cost-Effective]], 1)</f>
        <v>3988.0290643013436</v>
      </c>
      <c r="K81" s="18">
        <f>SUMIFS(Peak_Day[Achievable Peak Day therm 2034], Peak_Day[[Sector]:[Sector]], $B81, Peak_Day[[Cost-Effective]:[Cost-Effective]], 1)</f>
        <v>3701.1293564992693</v>
      </c>
      <c r="L81" s="18">
        <f>SUMIFS(Peak_Day[Achievable Peak Day therm 2035], Peak_Day[[Sector]:[Sector]], $B81, Peak_Day[[Cost-Effective]:[Cost-Effective]], 1)</f>
        <v>3200.0641788965377</v>
      </c>
      <c r="M81" s="18">
        <f>SUMIFS(Peak_Day[Achievable Peak Day therm 2036], Peak_Day[[Sector]:[Sector]], $B81, Peak_Day[[Cost-Effective]:[Cost-Effective]], 1)</f>
        <v>2926.2175969987911</v>
      </c>
      <c r="N81" s="18">
        <f>SUMIFS(Peak_Day[Achievable Peak Day therm 2037], Peak_Day[[Sector]:[Sector]], $B81, Peak_Day[[Cost-Effective]:[Cost-Effective]], 1)</f>
        <v>3034.0831220889677</v>
      </c>
      <c r="O81" s="18">
        <f>SUMIFS(Peak_Day[Achievable Peak Day therm 2038], Peak_Day[[Sector]:[Sector]], $B81, Peak_Day[[Cost-Effective]:[Cost-Effective]], 1)</f>
        <v>3077.3127080954264</v>
      </c>
      <c r="P81" s="18">
        <f>SUMIFS(Peak_Day[Achievable Peak Day therm 2039], Peak_Day[[Sector]:[Sector]], $B81, Peak_Day[[Cost-Effective]:[Cost-Effective]], 1)</f>
        <v>3000.0996861225012</v>
      </c>
      <c r="Q81" s="18">
        <f>SUMIFS(Peak_Day[Achievable Peak Day therm 2040], Peak_Day[[Sector]:[Sector]], $B81, Peak_Day[[Cost-Effective]:[Cost-Effective]], 1)</f>
        <v>2802.0813523013076</v>
      </c>
      <c r="R81" s="18">
        <f>SUMIFS(Peak_Day[Achievable Peak Day therm 2041], Peak_Day[[Sector]:[Sector]], $B81, Peak_Day[[Cost-Effective]:[Cost-Effective]], 1)</f>
        <v>2447.6150181829289</v>
      </c>
      <c r="S81" s="18">
        <f>SUMIFS(Peak_Day[Achievable Peak Day therm 2042], Peak_Day[[Sector]:[Sector]], $B81, Peak_Day[[Cost-Effective]:[Cost-Effective]], 1)</f>
        <v>2134.4178644808139</v>
      </c>
      <c r="T81" s="18">
        <f>SUMIFS(Peak_Day[Achievable Peak Day therm 2043], Peak_Day[[Sector]:[Sector]], $B81, Peak_Day[[Cost-Effective]:[Cost-Effective]], 1)</f>
        <v>1888.5173040992408</v>
      </c>
      <c r="U81" s="18">
        <f>SUMIFS(Peak_Day[Achievable Peak Day therm 2044], Peak_Day[[Sector]:[Sector]], $B81, Peak_Day[[Cost-Effective]:[Cost-Effective]], 1)</f>
        <v>1483.8679422784785</v>
      </c>
      <c r="V81" s="18">
        <f>SUMIFS(Peak_Day[Achievable Peak Day therm 2045], Peak_Day[[Sector]:[Sector]], $B81, Peak_Day[[Cost-Effective]:[Cost-Effective]], 1)</f>
        <v>1421.6149769702556</v>
      </c>
      <c r="W81" s="18">
        <f>SUMIFS(Peak_Day[Achievable Peak Day therm 2046], Peak_Day[[Sector]:[Sector]], $B81, Peak_Day[[Cost-Effective]:[Cost-Effective]], 1)</f>
        <v>1424.3448740787799</v>
      </c>
      <c r="X81" s="18">
        <f>SUMIFS(Peak_Day[Achievable Peak Day therm 2047], Peak_Day[[Sector]:[Sector]], $B81, Peak_Day[[Cost-Effective]:[Cost-Effective]], 1)</f>
        <v>1383.6798031155454</v>
      </c>
      <c r="Y81" s="18">
        <f>SUMIFS(Peak_Day[Achievable Peak Day therm 2048], Peak_Day[[Sector]:[Sector]], $B81, Peak_Day[[Cost-Effective]:[Cost-Effective]], 1)</f>
        <v>1321.8314613589246</v>
      </c>
      <c r="Z81" s="18">
        <f>SUMIFS(Peak_Day[Achievable Peak Day therm 2049], Peak_Day[[Sector]:[Sector]], $B81, Peak_Day[[Cost-Effective]:[Cost-Effective]], 1)</f>
        <v>1283.7335804867432</v>
      </c>
      <c r="AA81" s="18">
        <f>SUMIFS(Peak_Day[Achievable Peak Day therm 2050], Peak_Day[[Sector]:[Sector]], $B81, Peak_Day[[Cost-Effective]:[Cost-Effective]], 1)</f>
        <v>725.59804658376527</v>
      </c>
    </row>
    <row r="82" spans="2:27" x14ac:dyDescent="0.2">
      <c r="B82" s="16" t="s">
        <v>43</v>
      </c>
      <c r="C82" s="17">
        <f>SUMIFS(Peak_Day[Achievable Peak Day therm 2026], Peak_Day[[Sector]:[Sector]], $B$81, Peak_Day[[End Use]:[End Use]], $B82, Peak_Day[[Cost-Effective]:[Cost-Effective]], 1)</f>
        <v>8.5861133651074493</v>
      </c>
      <c r="D82" s="17">
        <f>SUMIFS(Peak_Day[Achievable Peak Day therm 2027], Peak_Day[[Sector]:[Sector]], $B$81, Peak_Day[[End Use]:[End Use]], $B82, Peak_Day[[Cost-Effective]:[Cost-Effective]], 1)</f>
        <v>13.590401018884085</v>
      </c>
      <c r="E82" s="17">
        <f>SUMIFS(Peak_Day[Achievable Peak Day therm 2028], Peak_Day[[Sector]:[Sector]], $B$81, Peak_Day[[End Use]:[End Use]], $B82, Peak_Day[[Cost-Effective]:[Cost-Effective]], 1)</f>
        <v>20.921732291801593</v>
      </c>
      <c r="F82" s="17">
        <f>SUMIFS(Peak_Day[Achievable Peak Day therm 2029], Peak_Day[[Sector]:[Sector]], $B$81, Peak_Day[[End Use]:[End Use]], $B82, Peak_Day[[Cost-Effective]:[Cost-Effective]], 1)</f>
        <v>31.295202224394064</v>
      </c>
      <c r="G82" s="17">
        <f>SUMIFS(Peak_Day[Achievable Peak Day therm 2030], Peak_Day[[Sector]:[Sector]], $B$81, Peak_Day[[End Use]:[End Use]], $B82, Peak_Day[[Cost-Effective]:[Cost-Effective]], 1)</f>
        <v>44.154741410698215</v>
      </c>
      <c r="H82" s="17">
        <f>SUMIFS(Peak_Day[Achievable Peak Day therm 2031], Peak_Day[[Sector]:[Sector]], $B$81, Peak_Day[[End Use]:[End Use]], $B82, Peak_Day[[Cost-Effective]:[Cost-Effective]], 1)</f>
        <v>58.999942385069758</v>
      </c>
      <c r="I82" s="17">
        <f>SUMIFS(Peak_Day[Achievable Peak Day therm 2032], Peak_Day[[Sector]:[Sector]], $B$81, Peak_Day[[End Use]:[End Use]], $B82, Peak_Day[[Cost-Effective]:[Cost-Effective]], 1)</f>
        <v>75.100245134055868</v>
      </c>
      <c r="J82" s="17">
        <f>SUMIFS(Peak_Day[Achievable Peak Day therm 2033], Peak_Day[[Sector]:[Sector]], $B$81, Peak_Day[[End Use]:[End Use]], $B82, Peak_Day[[Cost-Effective]:[Cost-Effective]], 1)</f>
        <v>91.747981939808668</v>
      </c>
      <c r="K82" s="17">
        <f>SUMIFS(Peak_Day[Achievable Peak Day therm 2034], Peak_Day[[Sector]:[Sector]], $B$81, Peak_Day[[End Use]:[End Use]], $B82, Peak_Day[[Cost-Effective]:[Cost-Effective]], 1)</f>
        <v>108.21697032208328</v>
      </c>
      <c r="L82" s="17">
        <f>SUMIFS(Peak_Day[Achievable Peak Day therm 2035], Peak_Day[[Sector]:[Sector]], $B$81, Peak_Day[[End Use]:[End Use]], $B82, Peak_Day[[Cost-Effective]:[Cost-Effective]], 1)</f>
        <v>122.85910945060026</v>
      </c>
      <c r="M82" s="17">
        <f>SUMIFS(Peak_Day[Achievable Peak Day therm 2036], Peak_Day[[Sector]:[Sector]], $B$81, Peak_Day[[End Use]:[End Use]], $B82, Peak_Day[[Cost-Effective]:[Cost-Effective]], 1)</f>
        <v>137.25327081585121</v>
      </c>
      <c r="N82" s="17">
        <f>SUMIFS(Peak_Day[Achievable Peak Day therm 2037], Peak_Day[[Sector]:[Sector]], $B$81, Peak_Day[[End Use]:[End Use]], $B82, Peak_Day[[Cost-Effective]:[Cost-Effective]], 1)</f>
        <v>152.01589241078113</v>
      </c>
      <c r="O82" s="17">
        <f>SUMIFS(Peak_Day[Achievable Peak Day therm 2038], Peak_Day[[Sector]:[Sector]], $B$81, Peak_Day[[End Use]:[End Use]], $B82, Peak_Day[[Cost-Effective]:[Cost-Effective]], 1)</f>
        <v>182.84595680234744</v>
      </c>
      <c r="P82" s="17">
        <f>SUMIFS(Peak_Day[Achievable Peak Day therm 2039], Peak_Day[[Sector]:[Sector]], $B$81, Peak_Day[[End Use]:[End Use]], $B82, Peak_Day[[Cost-Effective]:[Cost-Effective]], 1)</f>
        <v>206.65624097394084</v>
      </c>
      <c r="Q82" s="17">
        <f>SUMIFS(Peak_Day[Achievable Peak Day therm 2040], Peak_Day[[Sector]:[Sector]], $B$81, Peak_Day[[End Use]:[End Use]], $B82, Peak_Day[[Cost-Effective]:[Cost-Effective]], 1)</f>
        <v>215.4850753503946</v>
      </c>
      <c r="R82" s="17">
        <f>SUMIFS(Peak_Day[Achievable Peak Day therm 2041], Peak_Day[[Sector]:[Sector]], $B$81, Peak_Day[[End Use]:[End Use]], $B82, Peak_Day[[Cost-Effective]:[Cost-Effective]], 1)</f>
        <v>221.08258207398583</v>
      </c>
      <c r="S82" s="17">
        <f>SUMIFS(Peak_Day[Achievable Peak Day therm 2042], Peak_Day[[Sector]:[Sector]], $B$81, Peak_Day[[End Use]:[End Use]], $B82, Peak_Day[[Cost-Effective]:[Cost-Effective]], 1)</f>
        <v>223.55696006126448</v>
      </c>
      <c r="T82" s="17">
        <f>SUMIFS(Peak_Day[Achievable Peak Day therm 2043], Peak_Day[[Sector]:[Sector]], $B$81, Peak_Day[[End Use]:[End Use]], $B82, Peak_Day[[Cost-Effective]:[Cost-Effective]], 1)</f>
        <v>205.84000582918111</v>
      </c>
      <c r="U82" s="17">
        <f>SUMIFS(Peak_Day[Achievable Peak Day therm 2044], Peak_Day[[Sector]:[Sector]], $B$81, Peak_Day[[End Use]:[End Use]], $B82, Peak_Day[[Cost-Effective]:[Cost-Effective]], 1)</f>
        <v>142.26358209889767</v>
      </c>
      <c r="V82" s="17">
        <f>SUMIFS(Peak_Day[Achievable Peak Day therm 2045], Peak_Day[[Sector]:[Sector]], $B$81, Peak_Day[[End Use]:[End Use]], $B82, Peak_Day[[Cost-Effective]:[Cost-Effective]], 1)</f>
        <v>128.94637687543192</v>
      </c>
      <c r="W82" s="17">
        <f>SUMIFS(Peak_Day[Achievable Peak Day therm 2046], Peak_Day[[Sector]:[Sector]], $B$81, Peak_Day[[End Use]:[End Use]], $B82, Peak_Day[[Cost-Effective]:[Cost-Effective]], 1)</f>
        <v>124.8033777096875</v>
      </c>
      <c r="X82" s="17">
        <f>SUMIFS(Peak_Day[Achievable Peak Day therm 2047], Peak_Day[[Sector]:[Sector]], $B$81, Peak_Day[[End Use]:[End Use]], $B82, Peak_Day[[Cost-Effective]:[Cost-Effective]], 1)</f>
        <v>119.65936564133624</v>
      </c>
      <c r="Y82" s="17">
        <f>SUMIFS(Peak_Day[Achievable Peak Day therm 2048], Peak_Day[[Sector]:[Sector]], $B$81, Peak_Day[[End Use]:[End Use]], $B82, Peak_Day[[Cost-Effective]:[Cost-Effective]], 1)</f>
        <v>74.082452328376149</v>
      </c>
      <c r="Z82" s="17">
        <f>SUMIFS(Peak_Day[Achievable Peak Day therm 2049], Peak_Day[[Sector]:[Sector]], $B$81, Peak_Day[[End Use]:[End Use]], $B82, Peak_Day[[Cost-Effective]:[Cost-Effective]], 1)</f>
        <v>53.758680780362816</v>
      </c>
      <c r="AA82" s="17">
        <f>SUMIFS(Peak_Day[Achievable Peak Day therm 2050], Peak_Day[[Sector]:[Sector]], $B$81, Peak_Day[[End Use]:[End Use]], $B82, Peak_Day[[Cost-Effective]:[Cost-Effective]], 1)</f>
        <v>51.389527535565108</v>
      </c>
    </row>
    <row r="83" spans="2:27" x14ac:dyDescent="0.2">
      <c r="B83" s="16" t="s">
        <v>46</v>
      </c>
      <c r="C83" s="17">
        <f>SUMIFS(Peak_Day[Achievable Peak Day therm 2026], Peak_Day[[Sector]:[Sector]], $B$81, Peak_Day[[End Use]:[End Use]], $B83, Peak_Day[[Cost-Effective]:[Cost-Effective]], 1)</f>
        <v>1486.4647526743145</v>
      </c>
      <c r="D83" s="17">
        <f>SUMIFS(Peak_Day[Achievable Peak Day therm 2027], Peak_Day[[Sector]:[Sector]], $B$81, Peak_Day[[End Use]:[End Use]], $B83, Peak_Day[[Cost-Effective]:[Cost-Effective]], 1)</f>
        <v>1717.851943569641</v>
      </c>
      <c r="E83" s="17">
        <f>SUMIFS(Peak_Day[Achievable Peak Day therm 2028], Peak_Day[[Sector]:[Sector]], $B$81, Peak_Day[[End Use]:[End Use]], $B83, Peak_Day[[Cost-Effective]:[Cost-Effective]], 1)</f>
        <v>1950.6932718563967</v>
      </c>
      <c r="F83" s="17">
        <f>SUMIFS(Peak_Day[Achievable Peak Day therm 2029], Peak_Day[[Sector]:[Sector]], $B$81, Peak_Day[[End Use]:[End Use]], $B83, Peak_Day[[Cost-Effective]:[Cost-Effective]], 1)</f>
        <v>2270.4388123973081</v>
      </c>
      <c r="G83" s="17">
        <f>SUMIFS(Peak_Day[Achievable Peak Day therm 2030], Peak_Day[[Sector]:[Sector]], $B$81, Peak_Day[[End Use]:[End Use]], $B83, Peak_Day[[Cost-Effective]:[Cost-Effective]], 1)</f>
        <v>2479.6256889872088</v>
      </c>
      <c r="H83" s="17">
        <f>SUMIFS(Peak_Day[Achievable Peak Day therm 2031], Peak_Day[[Sector]:[Sector]], $B$81, Peak_Day[[End Use]:[End Use]], $B83, Peak_Day[[Cost-Effective]:[Cost-Effective]], 1)</f>
        <v>2521.8541796009499</v>
      </c>
      <c r="I83" s="17">
        <f>SUMIFS(Peak_Day[Achievable Peak Day therm 2032], Peak_Day[[Sector]:[Sector]], $B$81, Peak_Day[[End Use]:[End Use]], $B83, Peak_Day[[Cost-Effective]:[Cost-Effective]], 1)</f>
        <v>2365.9924641528269</v>
      </c>
      <c r="J83" s="17">
        <f>SUMIFS(Peak_Day[Achievable Peak Day therm 2033], Peak_Day[[Sector]:[Sector]], $B$81, Peak_Day[[End Use]:[End Use]], $B83, Peak_Day[[Cost-Effective]:[Cost-Effective]], 1)</f>
        <v>2024.7492607246761</v>
      </c>
      <c r="K83" s="17">
        <f>SUMIFS(Peak_Day[Achievable Peak Day therm 2034], Peak_Day[[Sector]:[Sector]], $B$81, Peak_Day[[End Use]:[End Use]], $B83, Peak_Day[[Cost-Effective]:[Cost-Effective]], 1)</f>
        <v>1379.0624000528123</v>
      </c>
      <c r="L83" s="17">
        <f>SUMIFS(Peak_Day[Achievable Peak Day therm 2035], Peak_Day[[Sector]:[Sector]], $B$81, Peak_Day[[End Use]:[End Use]], $B83, Peak_Day[[Cost-Effective]:[Cost-Effective]], 1)</f>
        <v>559.99503200115123</v>
      </c>
      <c r="M83" s="17">
        <f>SUMIFS(Peak_Day[Achievable Peak Day therm 2036], Peak_Day[[Sector]:[Sector]], $B$81, Peak_Day[[End Use]:[End Use]], $B83, Peak_Day[[Cost-Effective]:[Cost-Effective]], 1)</f>
        <v>39.350599397182251</v>
      </c>
      <c r="N83" s="17">
        <f>SUMIFS(Peak_Day[Achievable Peak Day therm 2037], Peak_Day[[Sector]:[Sector]], $B$81, Peak_Day[[End Use]:[End Use]], $B83, Peak_Day[[Cost-Effective]:[Cost-Effective]], 1)</f>
        <v>0</v>
      </c>
      <c r="O83" s="17">
        <f>SUMIFS(Peak_Day[Achievable Peak Day therm 2038], Peak_Day[[Sector]:[Sector]], $B$81, Peak_Day[[End Use]:[End Use]], $B83, Peak_Day[[Cost-Effective]:[Cost-Effective]], 1)</f>
        <v>0</v>
      </c>
      <c r="P83" s="17">
        <f>SUMIFS(Peak_Day[Achievable Peak Day therm 2039], Peak_Day[[Sector]:[Sector]], $B$81, Peak_Day[[End Use]:[End Use]], $B83, Peak_Day[[Cost-Effective]:[Cost-Effective]], 1)</f>
        <v>0</v>
      </c>
      <c r="Q83" s="17">
        <f>SUMIFS(Peak_Day[Achievable Peak Day therm 2040], Peak_Day[[Sector]:[Sector]], $B$81, Peak_Day[[End Use]:[End Use]], $B83, Peak_Day[[Cost-Effective]:[Cost-Effective]], 1)</f>
        <v>0</v>
      </c>
      <c r="R83" s="17">
        <f>SUMIFS(Peak_Day[Achievable Peak Day therm 2041], Peak_Day[[Sector]:[Sector]], $B$81, Peak_Day[[End Use]:[End Use]], $B83, Peak_Day[[Cost-Effective]:[Cost-Effective]], 1)</f>
        <v>0</v>
      </c>
      <c r="S83" s="17">
        <f>SUMIFS(Peak_Day[Achievable Peak Day therm 2042], Peak_Day[[Sector]:[Sector]], $B$81, Peak_Day[[End Use]:[End Use]], $B83, Peak_Day[[Cost-Effective]:[Cost-Effective]], 1)</f>
        <v>0</v>
      </c>
      <c r="T83" s="17">
        <f>SUMIFS(Peak_Day[Achievable Peak Day therm 2043], Peak_Day[[Sector]:[Sector]], $B$81, Peak_Day[[End Use]:[End Use]], $B83, Peak_Day[[Cost-Effective]:[Cost-Effective]], 1)</f>
        <v>0</v>
      </c>
      <c r="U83" s="17">
        <f>SUMIFS(Peak_Day[Achievable Peak Day therm 2044], Peak_Day[[Sector]:[Sector]], $B$81, Peak_Day[[End Use]:[End Use]], $B83, Peak_Day[[Cost-Effective]:[Cost-Effective]], 1)</f>
        <v>0</v>
      </c>
      <c r="V83" s="17">
        <f>SUMIFS(Peak_Day[Achievable Peak Day therm 2045], Peak_Day[[Sector]:[Sector]], $B$81, Peak_Day[[End Use]:[End Use]], $B83, Peak_Day[[Cost-Effective]:[Cost-Effective]], 1)</f>
        <v>0</v>
      </c>
      <c r="W83" s="17">
        <f>SUMIFS(Peak_Day[Achievable Peak Day therm 2046], Peak_Day[[Sector]:[Sector]], $B$81, Peak_Day[[End Use]:[End Use]], $B83, Peak_Day[[Cost-Effective]:[Cost-Effective]], 1)</f>
        <v>0</v>
      </c>
      <c r="X83" s="17">
        <f>SUMIFS(Peak_Day[Achievable Peak Day therm 2047], Peak_Day[[Sector]:[Sector]], $B$81, Peak_Day[[End Use]:[End Use]], $B83, Peak_Day[[Cost-Effective]:[Cost-Effective]], 1)</f>
        <v>0</v>
      </c>
      <c r="Y83" s="17">
        <f>SUMIFS(Peak_Day[Achievable Peak Day therm 2048], Peak_Day[[Sector]:[Sector]], $B$81, Peak_Day[[End Use]:[End Use]], $B83, Peak_Day[[Cost-Effective]:[Cost-Effective]], 1)</f>
        <v>0</v>
      </c>
      <c r="Z83" s="17">
        <f>SUMIFS(Peak_Day[Achievable Peak Day therm 2049], Peak_Day[[Sector]:[Sector]], $B$81, Peak_Day[[End Use]:[End Use]], $B83, Peak_Day[[Cost-Effective]:[Cost-Effective]], 1)</f>
        <v>0</v>
      </c>
      <c r="AA83" s="17">
        <f>SUMIFS(Peak_Day[Achievable Peak Day therm 2050], Peak_Day[[Sector]:[Sector]], $B$81, Peak_Day[[End Use]:[End Use]], $B83, Peak_Day[[Cost-Effective]:[Cost-Effective]], 1)</f>
        <v>0</v>
      </c>
    </row>
    <row r="84" spans="2:27" x14ac:dyDescent="0.2">
      <c r="B84" s="16" t="s">
        <v>44</v>
      </c>
      <c r="C84" s="17">
        <f>SUMIFS(Peak_Day[Achievable Peak Day therm 2026], Peak_Day[[Sector]:[Sector]], $B$81, Peak_Day[[End Use]:[End Use]], $B84, Peak_Day[[Cost-Effective]:[Cost-Effective]], 1)</f>
        <v>997.62636441660038</v>
      </c>
      <c r="D84" s="17">
        <f>SUMIFS(Peak_Day[Achievable Peak Day therm 2027], Peak_Day[[Sector]:[Sector]], $B$81, Peak_Day[[End Use]:[End Use]], $B84, Peak_Day[[Cost-Effective]:[Cost-Effective]], 1)</f>
        <v>805.54548366797189</v>
      </c>
      <c r="E84" s="17">
        <f>SUMIFS(Peak_Day[Achievable Peak Day therm 2028], Peak_Day[[Sector]:[Sector]], $B$81, Peak_Day[[End Use]:[End Use]], $B84, Peak_Day[[Cost-Effective]:[Cost-Effective]], 1)</f>
        <v>769.28079798289934</v>
      </c>
      <c r="F84" s="17">
        <f>SUMIFS(Peak_Day[Achievable Peak Day therm 2029], Peak_Day[[Sector]:[Sector]], $B$81, Peak_Day[[End Use]:[End Use]], $B84, Peak_Day[[Cost-Effective]:[Cost-Effective]], 1)</f>
        <v>760.92358049393295</v>
      </c>
      <c r="G84" s="17">
        <f>SUMIFS(Peak_Day[Achievable Peak Day therm 2030], Peak_Day[[Sector]:[Sector]], $B$81, Peak_Day[[End Use]:[End Use]], $B84, Peak_Day[[Cost-Effective]:[Cost-Effective]], 1)</f>
        <v>864.7089037417818</v>
      </c>
      <c r="H84" s="17">
        <f>SUMIFS(Peak_Day[Achievable Peak Day therm 2031], Peak_Day[[Sector]:[Sector]], $B$81, Peak_Day[[End Use]:[End Use]], $B84, Peak_Day[[Cost-Effective]:[Cost-Effective]], 1)</f>
        <v>1135.1630337033705</v>
      </c>
      <c r="I84" s="17">
        <f>SUMIFS(Peak_Day[Achievable Peak Day therm 2032], Peak_Day[[Sector]:[Sector]], $B$81, Peak_Day[[End Use]:[End Use]], $B84, Peak_Day[[Cost-Effective]:[Cost-Effective]], 1)</f>
        <v>1452.2322097169667</v>
      </c>
      <c r="J84" s="17">
        <f>SUMIFS(Peak_Day[Achievable Peak Day therm 2033], Peak_Day[[Sector]:[Sector]], $B$81, Peak_Day[[End Use]:[End Use]], $B84, Peak_Day[[Cost-Effective]:[Cost-Effective]], 1)</f>
        <v>1784.985240487212</v>
      </c>
      <c r="K84" s="17">
        <f>SUMIFS(Peak_Day[Achievable Peak Day therm 2034], Peak_Day[[Sector]:[Sector]], $B$81, Peak_Day[[End Use]:[End Use]], $B84, Peak_Day[[Cost-Effective]:[Cost-Effective]], 1)</f>
        <v>2109.083342618017</v>
      </c>
      <c r="L84" s="17">
        <f>SUMIFS(Peak_Day[Achievable Peak Day therm 2035], Peak_Day[[Sector]:[Sector]], $B$81, Peak_Day[[End Use]:[End Use]], $B84, Peak_Day[[Cost-Effective]:[Cost-Effective]], 1)</f>
        <v>2395.2760202161376</v>
      </c>
      <c r="M84" s="17">
        <f>SUMIFS(Peak_Day[Achievable Peak Day therm 2036], Peak_Day[[Sector]:[Sector]], $B$81, Peak_Day[[End Use]:[End Use]], $B84, Peak_Day[[Cost-Effective]:[Cost-Effective]], 1)</f>
        <v>2612.7602088943395</v>
      </c>
      <c r="N84" s="17">
        <f>SUMIFS(Peak_Day[Achievable Peak Day therm 2037], Peak_Day[[Sector]:[Sector]], $B$81, Peak_Day[[End Use]:[End Use]], $B84, Peak_Day[[Cost-Effective]:[Cost-Effective]], 1)</f>
        <v>2733.6097876859858</v>
      </c>
      <c r="O84" s="17">
        <f>SUMIFS(Peak_Day[Achievable Peak Day therm 2038], Peak_Day[[Sector]:[Sector]], $B$81, Peak_Day[[End Use]:[End Use]], $B84, Peak_Day[[Cost-Effective]:[Cost-Effective]], 1)</f>
        <v>2738.4890405314877</v>
      </c>
      <c r="P84" s="17">
        <f>SUMIFS(Peak_Day[Achievable Peak Day therm 2039], Peak_Day[[Sector]:[Sector]], $B$81, Peak_Day[[End Use]:[End Use]], $B84, Peak_Day[[Cost-Effective]:[Cost-Effective]], 1)</f>
        <v>2634.3152099640783</v>
      </c>
      <c r="Q84" s="17">
        <f>SUMIFS(Peak_Day[Achievable Peak Day therm 2040], Peak_Day[[Sector]:[Sector]], $B$81, Peak_Day[[End Use]:[End Use]], $B84, Peak_Day[[Cost-Effective]:[Cost-Effective]], 1)</f>
        <v>2428.3636258176816</v>
      </c>
      <c r="R84" s="17">
        <f>SUMIFS(Peak_Day[Achievable Peak Day therm 2041], Peak_Day[[Sector]:[Sector]], $B$81, Peak_Day[[End Use]:[End Use]], $B84, Peak_Day[[Cost-Effective]:[Cost-Effective]], 1)</f>
        <v>2066.3472982997305</v>
      </c>
      <c r="S84" s="17">
        <f>SUMIFS(Peak_Day[Achievable Peak Day therm 2042], Peak_Day[[Sector]:[Sector]], $B$81, Peak_Day[[End Use]:[End Use]], $B84, Peak_Day[[Cost-Effective]:[Cost-Effective]], 1)</f>
        <v>1755.3219743684306</v>
      </c>
      <c r="T84" s="17">
        <f>SUMIFS(Peak_Day[Achievable Peak Day therm 2043], Peak_Day[[Sector]:[Sector]], $B$81, Peak_Day[[End Use]:[End Use]], $B84, Peak_Day[[Cost-Effective]:[Cost-Effective]], 1)</f>
        <v>1536.0966142755869</v>
      </c>
      <c r="U84" s="17">
        <f>SUMIFS(Peak_Day[Achievable Peak Day therm 2044], Peak_Day[[Sector]:[Sector]], $B$81, Peak_Day[[End Use]:[End Use]], $B84, Peak_Day[[Cost-Effective]:[Cost-Effective]], 1)</f>
        <v>1206.25403825433</v>
      </c>
      <c r="V84" s="17">
        <f>SUMIFS(Peak_Day[Achievable Peak Day therm 2045], Peak_Day[[Sector]:[Sector]], $B$81, Peak_Day[[End Use]:[End Use]], $B84, Peak_Day[[Cost-Effective]:[Cost-Effective]], 1)</f>
        <v>1158.8192775440521</v>
      </c>
      <c r="W84" s="17">
        <f>SUMIFS(Peak_Day[Achievable Peak Day therm 2046], Peak_Day[[Sector]:[Sector]], $B$81, Peak_Day[[End Use]:[End Use]], $B84, Peak_Day[[Cost-Effective]:[Cost-Effective]], 1)</f>
        <v>1168.173031752593</v>
      </c>
      <c r="X84" s="17">
        <f>SUMIFS(Peak_Day[Achievable Peak Day therm 2047], Peak_Day[[Sector]:[Sector]], $B$81, Peak_Day[[End Use]:[End Use]], $B84, Peak_Day[[Cost-Effective]:[Cost-Effective]], 1)</f>
        <v>1166.6174436017773</v>
      </c>
      <c r="Y84" s="17">
        <f>SUMIFS(Peak_Day[Achievable Peak Day therm 2048], Peak_Day[[Sector]:[Sector]], $B$81, Peak_Day[[End Use]:[End Use]], $B84, Peak_Day[[Cost-Effective]:[Cost-Effective]], 1)</f>
        <v>1176.0134714208907</v>
      </c>
      <c r="Z84" s="17">
        <f>SUMIFS(Peak_Day[Achievable Peak Day therm 2049], Peak_Day[[Sector]:[Sector]], $B$81, Peak_Day[[End Use]:[End Use]], $B84, Peak_Day[[Cost-Effective]:[Cost-Effective]], 1)</f>
        <v>1169.2571972884093</v>
      </c>
      <c r="AA84" s="17">
        <f>SUMIFS(Peak_Day[Achievable Peak Day therm 2050], Peak_Day[[Sector]:[Sector]], $B$81, Peak_Day[[End Use]:[End Use]], $B84, Peak_Day[[Cost-Effective]:[Cost-Effective]], 1)</f>
        <v>639.94434214628552</v>
      </c>
    </row>
    <row r="85" spans="2:27" x14ac:dyDescent="0.2">
      <c r="B85" s="16" t="s">
        <v>45</v>
      </c>
      <c r="C85" s="17">
        <f>SUMIFS(Peak_Day[Achievable Peak Day therm 2026], Peak_Day[[Sector]:[Sector]], $B$81, Peak_Day[[End Use]:[End Use]], $B85, Peak_Day[[Cost-Effective]:[Cost-Effective]], 1)</f>
        <v>4.2105810020052816</v>
      </c>
      <c r="D85" s="17">
        <f>SUMIFS(Peak_Day[Achievable Peak Day therm 2027], Peak_Day[[Sector]:[Sector]], $B$81, Peak_Day[[End Use]:[End Use]], $B85, Peak_Day[[Cost-Effective]:[Cost-Effective]], 1)</f>
        <v>8.5322861688147658</v>
      </c>
      <c r="E85" s="17">
        <f>SUMIFS(Peak_Day[Achievable Peak Day therm 2028], Peak_Day[[Sector]:[Sector]], $B$81, Peak_Day[[End Use]:[End Use]], $B85, Peak_Day[[Cost-Effective]:[Cost-Effective]], 1)</f>
        <v>15.234376565387892</v>
      </c>
      <c r="F85" s="17">
        <f>SUMIFS(Peak_Day[Achievable Peak Day therm 2029], Peak_Day[[Sector]:[Sector]], $B$81, Peak_Day[[End Use]:[End Use]], $B85, Peak_Day[[Cost-Effective]:[Cost-Effective]], 1)</f>
        <v>24.56788205772839</v>
      </c>
      <c r="G85" s="17">
        <f>SUMIFS(Peak_Day[Achievable Peak Day therm 2030], Peak_Day[[Sector]:[Sector]], $B$81, Peak_Day[[End Use]:[End Use]], $B85, Peak_Day[[Cost-Effective]:[Cost-Effective]], 1)</f>
        <v>36.756727875372903</v>
      </c>
      <c r="H85" s="17">
        <f>SUMIFS(Peak_Day[Achievable Peak Day therm 2031], Peak_Day[[Sector]:[Sector]], $B$81, Peak_Day[[End Use]:[End Use]], $B85, Peak_Day[[Cost-Effective]:[Cost-Effective]], 1)</f>
        <v>51.576833340402686</v>
      </c>
      <c r="I85" s="17">
        <f>SUMIFS(Peak_Day[Achievable Peak Day therm 2032], Peak_Day[[Sector]:[Sector]], $B$81, Peak_Day[[End Use]:[End Use]], $B85, Peak_Day[[Cost-Effective]:[Cost-Effective]], 1)</f>
        <v>68.460047282136514</v>
      </c>
      <c r="J85" s="17">
        <f>SUMIFS(Peak_Day[Achievable Peak Day therm 2033], Peak_Day[[Sector]:[Sector]], $B$81, Peak_Day[[End Use]:[End Use]], $B85, Peak_Day[[Cost-Effective]:[Cost-Effective]], 1)</f>
        <v>86.546581149642023</v>
      </c>
      <c r="K85" s="17">
        <f>SUMIFS(Peak_Day[Achievable Peak Day therm 2034], Peak_Day[[Sector]:[Sector]], $B$81, Peak_Day[[End Use]:[End Use]], $B85, Peak_Day[[Cost-Effective]:[Cost-Effective]], 1)</f>
        <v>104.76664350635754</v>
      </c>
      <c r="L85" s="17">
        <f>SUMIFS(Peak_Day[Achievable Peak Day therm 2035], Peak_Day[[Sector]:[Sector]], $B$81, Peak_Day[[End Use]:[End Use]], $B85, Peak_Day[[Cost-Effective]:[Cost-Effective]], 1)</f>
        <v>121.93401722864463</v>
      </c>
      <c r="M85" s="17">
        <f>SUMIFS(Peak_Day[Achievable Peak Day therm 2036], Peak_Day[[Sector]:[Sector]], $B$81, Peak_Day[[End Use]:[End Use]], $B85, Peak_Day[[Cost-Effective]:[Cost-Effective]], 1)</f>
        <v>136.85351789142496</v>
      </c>
      <c r="N85" s="17">
        <f>SUMIFS(Peak_Day[Achievable Peak Day therm 2037], Peak_Day[[Sector]:[Sector]], $B$81, Peak_Day[[End Use]:[End Use]], $B85, Peak_Day[[Cost-Effective]:[Cost-Effective]], 1)</f>
        <v>148.4574419922034</v>
      </c>
      <c r="O85" s="17">
        <f>SUMIFS(Peak_Day[Achievable Peak Day therm 2038], Peak_Day[[Sector]:[Sector]], $B$81, Peak_Day[[End Use]:[End Use]], $B85, Peak_Day[[Cost-Effective]:[Cost-Effective]], 1)</f>
        <v>155.97771076159077</v>
      </c>
      <c r="P85" s="17">
        <f>SUMIFS(Peak_Day[Achievable Peak Day therm 2039], Peak_Day[[Sector]:[Sector]], $B$81, Peak_Day[[End Use]:[End Use]], $B85, Peak_Day[[Cost-Effective]:[Cost-Effective]], 1)</f>
        <v>159.12823518447897</v>
      </c>
      <c r="Q85" s="17">
        <f>SUMIFS(Peak_Day[Achievable Peak Day therm 2040], Peak_Day[[Sector]:[Sector]], $B$81, Peak_Day[[End Use]:[End Use]], $B85, Peak_Day[[Cost-Effective]:[Cost-Effective]], 1)</f>
        <v>158.23265113323475</v>
      </c>
      <c r="R85" s="17">
        <f>SUMIFS(Peak_Day[Achievable Peak Day therm 2041], Peak_Day[[Sector]:[Sector]], $B$81, Peak_Day[[End Use]:[End Use]], $B85, Peak_Day[[Cost-Effective]:[Cost-Effective]], 1)</f>
        <v>160.18513780921688</v>
      </c>
      <c r="S85" s="17">
        <f>SUMIFS(Peak_Day[Achievable Peak Day therm 2042], Peak_Day[[Sector]:[Sector]], $B$81, Peak_Day[[End Use]:[End Use]], $B85, Peak_Day[[Cost-Effective]:[Cost-Effective]], 1)</f>
        <v>155.53893005111937</v>
      </c>
      <c r="T85" s="17">
        <f>SUMIFS(Peak_Day[Achievable Peak Day therm 2043], Peak_Day[[Sector]:[Sector]], $B$81, Peak_Day[[End Use]:[End Use]], $B85, Peak_Day[[Cost-Effective]:[Cost-Effective]], 1)</f>
        <v>146.5806839944735</v>
      </c>
      <c r="U85" s="17">
        <f>SUMIFS(Peak_Day[Achievable Peak Day therm 2044], Peak_Day[[Sector]:[Sector]], $B$81, Peak_Day[[End Use]:[End Use]], $B85, Peak_Day[[Cost-Effective]:[Cost-Effective]], 1)</f>
        <v>135.35032192525094</v>
      </c>
      <c r="V85" s="17">
        <f>SUMIFS(Peak_Day[Achievable Peak Day therm 2045], Peak_Day[[Sector]:[Sector]], $B$81, Peak_Day[[End Use]:[End Use]], $B85, Peak_Day[[Cost-Effective]:[Cost-Effective]], 1)</f>
        <v>133.84932255077339</v>
      </c>
      <c r="W85" s="17">
        <f>SUMIFS(Peak_Day[Achievable Peak Day therm 2046], Peak_Day[[Sector]:[Sector]], $B$81, Peak_Day[[End Use]:[End Use]], $B85, Peak_Day[[Cost-Effective]:[Cost-Effective]], 1)</f>
        <v>131.36846461649932</v>
      </c>
      <c r="X85" s="17">
        <f>SUMIFS(Peak_Day[Achievable Peak Day therm 2047], Peak_Day[[Sector]:[Sector]], $B$81, Peak_Day[[End Use]:[End Use]], $B85, Peak_Day[[Cost-Effective]:[Cost-Effective]], 1)</f>
        <v>97.402993872432646</v>
      </c>
      <c r="Y85" s="17">
        <f>SUMIFS(Peak_Day[Achievable Peak Day therm 2048], Peak_Day[[Sector]:[Sector]], $B$81, Peak_Day[[End Use]:[End Use]], $B85, Peak_Day[[Cost-Effective]:[Cost-Effective]], 1)</f>
        <v>71.735537609657641</v>
      </c>
      <c r="Z85" s="17">
        <f>SUMIFS(Peak_Day[Achievable Peak Day therm 2049], Peak_Day[[Sector]:[Sector]], $B$81, Peak_Day[[End Use]:[End Use]], $B85, Peak_Day[[Cost-Effective]:[Cost-Effective]], 1)</f>
        <v>60.717702417969008</v>
      </c>
      <c r="AA85" s="17">
        <f>SUMIFS(Peak_Day[Achievable Peak Day therm 2050], Peak_Day[[Sector]:[Sector]], $B$81, Peak_Day[[End Use]:[End Use]], $B85, Peak_Day[[Cost-Effective]:[Cost-Effective]], 1)</f>
        <v>34.264176901914887</v>
      </c>
    </row>
    <row r="86" spans="2:27" x14ac:dyDescent="0.2">
      <c r="B86" s="9" t="s">
        <v>33</v>
      </c>
      <c r="C86" s="18">
        <f>SUMIFS(Peak_Day[Achievable Peak Day therm 2026], Peak_Day[[Sector]:[Sector]], $B86, Peak_Day[[Cost-Effective]:[Cost-Effective]], 1)</f>
        <v>163.32637041371871</v>
      </c>
      <c r="D86" s="18">
        <f>SUMIFS(Peak_Day[Achievable Peak Day therm 2027], Peak_Day[[Sector]:[Sector]], $B86, Peak_Day[[Cost-Effective]:[Cost-Effective]], 1)</f>
        <v>310.62094666136562</v>
      </c>
      <c r="E86" s="18">
        <f>SUMIFS(Peak_Day[Achievable Peak Day therm 2028], Peak_Day[[Sector]:[Sector]], $B86, Peak_Day[[Cost-Effective]:[Cost-Effective]], 1)</f>
        <v>533.42626481200273</v>
      </c>
      <c r="F86" s="18">
        <f>SUMIFS(Peak_Day[Achievable Peak Day therm 2029], Peak_Day[[Sector]:[Sector]], $B86, Peak_Day[[Cost-Effective]:[Cost-Effective]], 1)</f>
        <v>844.61358121155592</v>
      </c>
      <c r="G86" s="18">
        <f>SUMIFS(Peak_Day[Achievable Peak Day therm 2030], Peak_Day[[Sector]:[Sector]], $B86, Peak_Day[[Cost-Effective]:[Cost-Effective]], 1)</f>
        <v>1253.6843618873481</v>
      </c>
      <c r="H86" s="18">
        <f>SUMIFS(Peak_Day[Achievable Peak Day therm 2031], Peak_Day[[Sector]:[Sector]], $B86, Peak_Day[[Cost-Effective]:[Cost-Effective]], 1)</f>
        <v>1760.8876164174014</v>
      </c>
      <c r="I86" s="18">
        <f>SUMIFS(Peak_Day[Achievable Peak Day therm 2032], Peak_Day[[Sector]:[Sector]], $B86, Peak_Day[[Cost-Effective]:[Cost-Effective]], 1)</f>
        <v>2353.393140240672</v>
      </c>
      <c r="J86" s="18">
        <f>SUMIFS(Peak_Day[Achievable Peak Day therm 2033], Peak_Day[[Sector]:[Sector]], $B86, Peak_Day[[Cost-Effective]:[Cost-Effective]], 1)</f>
        <v>3001.3155715476273</v>
      </c>
      <c r="K86" s="18">
        <f>SUMIFS(Peak_Day[Achievable Peak Day therm 2034], Peak_Day[[Sector]:[Sector]], $B86, Peak_Day[[Cost-Effective]:[Cost-Effective]], 1)</f>
        <v>3655.500801525317</v>
      </c>
      <c r="L86" s="18">
        <f>SUMIFS(Peak_Day[Achievable Peak Day therm 2035], Peak_Day[[Sector]:[Sector]], $B86, Peak_Day[[Cost-Effective]:[Cost-Effective]], 1)</f>
        <v>4248.9974110206167</v>
      </c>
      <c r="M86" s="18">
        <f>SUMIFS(Peak_Day[Achievable Peak Day therm 2036], Peak_Day[[Sector]:[Sector]], $B86, Peak_Day[[Cost-Effective]:[Cost-Effective]], 1)</f>
        <v>4704.0672578436852</v>
      </c>
      <c r="N86" s="18">
        <f>SUMIFS(Peak_Day[Achievable Peak Day therm 2037], Peak_Day[[Sector]:[Sector]], $B86, Peak_Day[[Cost-Effective]:[Cost-Effective]], 1)</f>
        <v>4945.5211004738358</v>
      </c>
      <c r="O86" s="18">
        <f>SUMIFS(Peak_Day[Achievable Peak Day therm 2038], Peak_Day[[Sector]:[Sector]], $B86, Peak_Day[[Cost-Effective]:[Cost-Effective]], 1)</f>
        <v>4918.8650679160337</v>
      </c>
      <c r="P86" s="18">
        <f>SUMIFS(Peak_Day[Achievable Peak Day therm 2039], Peak_Day[[Sector]:[Sector]], $B86, Peak_Day[[Cost-Effective]:[Cost-Effective]], 1)</f>
        <v>4612.2721364291883</v>
      </c>
      <c r="Q86" s="18">
        <f>SUMIFS(Peak_Day[Achievable Peak Day therm 2040], Peak_Day[[Sector]:[Sector]], $B86, Peak_Day[[Cost-Effective]:[Cost-Effective]], 1)</f>
        <v>3922.3699866009529</v>
      </c>
      <c r="R86" s="18">
        <f>SUMIFS(Peak_Day[Achievable Peak Day therm 2041], Peak_Day[[Sector]:[Sector]], $B86, Peak_Day[[Cost-Effective]:[Cost-Effective]], 1)</f>
        <v>3258.2128852642727</v>
      </c>
      <c r="S86" s="18">
        <f>SUMIFS(Peak_Day[Achievable Peak Day therm 2042], Peak_Day[[Sector]:[Sector]], $B86, Peak_Day[[Cost-Effective]:[Cost-Effective]], 1)</f>
        <v>1408.844733790072</v>
      </c>
      <c r="T86" s="18">
        <f>SUMIFS(Peak_Day[Achievable Peak Day therm 2043], Peak_Day[[Sector]:[Sector]], $B86, Peak_Day[[Cost-Effective]:[Cost-Effective]], 1)</f>
        <v>361.60173546548054</v>
      </c>
      <c r="U86" s="18">
        <f>SUMIFS(Peak_Day[Achievable Peak Day therm 2044], Peak_Day[[Sector]:[Sector]], $B86, Peak_Day[[Cost-Effective]:[Cost-Effective]], 1)</f>
        <v>361.10970838889699</v>
      </c>
      <c r="V86" s="18">
        <f>SUMIFS(Peak_Day[Achievable Peak Day therm 2045], Peak_Day[[Sector]:[Sector]], $B86, Peak_Day[[Cost-Effective]:[Cost-Effective]], 1)</f>
        <v>359.16625964509495</v>
      </c>
      <c r="W86" s="18">
        <f>SUMIFS(Peak_Day[Achievable Peak Day therm 2046], Peak_Day[[Sector]:[Sector]], $B86, Peak_Day[[Cost-Effective]:[Cost-Effective]], 1)</f>
        <v>356.60524260917481</v>
      </c>
      <c r="X86" s="18">
        <f>SUMIFS(Peak_Day[Achievable Peak Day therm 2047], Peak_Day[[Sector]:[Sector]], $B86, Peak_Day[[Cost-Effective]:[Cost-Effective]], 1)</f>
        <v>353.85528625260866</v>
      </c>
      <c r="Y86" s="18">
        <f>SUMIFS(Peak_Day[Achievable Peak Day therm 2048], Peak_Day[[Sector]:[Sector]], $B86, Peak_Day[[Cost-Effective]:[Cost-Effective]], 1)</f>
        <v>351.12653686287007</v>
      </c>
      <c r="Z86" s="18">
        <f>SUMIFS(Peak_Day[Achievable Peak Day therm 2049], Peak_Day[[Sector]:[Sector]], $B86, Peak_Day[[Cost-Effective]:[Cost-Effective]], 1)</f>
        <v>348.41883089118454</v>
      </c>
      <c r="AA86" s="18">
        <f>SUMIFS(Peak_Day[Achievable Peak Day therm 2050], Peak_Day[[Sector]:[Sector]], $B86, Peak_Day[[Cost-Effective]:[Cost-Effective]], 1)</f>
        <v>345.73200605012096</v>
      </c>
    </row>
    <row r="87" spans="2:27" x14ac:dyDescent="0.2">
      <c r="B87" s="16" t="s">
        <v>44</v>
      </c>
      <c r="C87" s="17">
        <f>SUMIFS(Peak_Day[Achievable Peak Day therm 2026], Peak_Day[[Sector]:[Sector]], $B$86, Peak_Day[[End Use]:[End Use]], $B87, Peak_Day[[Cost-Effective]:[Cost-Effective]], 1)</f>
        <v>124.24514708187054</v>
      </c>
      <c r="D87" s="17">
        <f>SUMIFS(Peak_Day[Achievable Peak Day therm 2027], Peak_Day[[Sector]:[Sector]], $B$86, Peak_Day[[End Use]:[End Use]], $B87, Peak_Day[[Cost-Effective]:[Cost-Effective]], 1)</f>
        <v>240.73469796169422</v>
      </c>
      <c r="E87" s="17">
        <f>SUMIFS(Peak_Day[Achievable Peak Day therm 2028], Peak_Day[[Sector]:[Sector]], $B$86, Peak_Day[[End Use]:[End Use]], $B87, Peak_Day[[Cost-Effective]:[Cost-Effective]], 1)</f>
        <v>417.82401769182962</v>
      </c>
      <c r="F87" s="17">
        <f>SUMIFS(Peak_Day[Achievable Peak Day therm 2029], Peak_Day[[Sector]:[Sector]], $B$86, Peak_Day[[End Use]:[End Use]], $B87, Peak_Day[[Cost-Effective]:[Cost-Effective]], 1)</f>
        <v>667.42300841878182</v>
      </c>
      <c r="G87" s="17">
        <f>SUMIFS(Peak_Day[Achievable Peak Day therm 2030], Peak_Day[[Sector]:[Sector]], $B$86, Peak_Day[[End Use]:[End Use]], $B87, Peak_Day[[Cost-Effective]:[Cost-Effective]], 1)</f>
        <v>997.52568522786908</v>
      </c>
      <c r="H87" s="17">
        <f>SUMIFS(Peak_Day[Achievable Peak Day therm 2031], Peak_Day[[Sector]:[Sector]], $B$86, Peak_Day[[End Use]:[End Use]], $B87, Peak_Day[[Cost-Effective]:[Cost-Effective]], 1)</f>
        <v>1409.1513969391169</v>
      </c>
      <c r="I87" s="17">
        <f>SUMIFS(Peak_Day[Achievable Peak Day therm 2032], Peak_Day[[Sector]:[Sector]], $B$86, Peak_Day[[End Use]:[End Use]], $B87, Peak_Day[[Cost-Effective]:[Cost-Effective]], 1)</f>
        <v>1892.7845745495592</v>
      </c>
      <c r="J87" s="17">
        <f>SUMIFS(Peak_Day[Achievable Peak Day therm 2033], Peak_Day[[Sector]:[Sector]], $B$86, Peak_Day[[End Use]:[End Use]], $B87, Peak_Day[[Cost-Effective]:[Cost-Effective]], 1)</f>
        <v>2424.9704505390087</v>
      </c>
      <c r="K87" s="17">
        <f>SUMIFS(Peak_Day[Achievable Peak Day therm 2034], Peak_Day[[Sector]:[Sector]], $B$86, Peak_Day[[End Use]:[End Use]], $B87, Peak_Day[[Cost-Effective]:[Cost-Effective]], 1)</f>
        <v>2966.2408413129624</v>
      </c>
      <c r="L87" s="17">
        <f>SUMIFS(Peak_Day[Achievable Peak Day therm 2035], Peak_Day[[Sector]:[Sector]], $B$86, Peak_Day[[End Use]:[End Use]], $B87, Peak_Day[[Cost-Effective]:[Cost-Effective]], 1)</f>
        <v>3461.9716426371137</v>
      </c>
      <c r="M87" s="17">
        <f>SUMIFS(Peak_Day[Achievable Peak Day therm 2036], Peak_Day[[Sector]:[Sector]], $B$86, Peak_Day[[End Use]:[End Use]], $B87, Peak_Day[[Cost-Effective]:[Cost-Effective]], 1)</f>
        <v>3847.785836384835</v>
      </c>
      <c r="N87" s="17">
        <f>SUMIFS(Peak_Day[Achievable Peak Day therm 2037], Peak_Day[[Sector]:[Sector]], $B$86, Peak_Day[[End Use]:[End Use]], $B87, Peak_Day[[Cost-Effective]:[Cost-Effective]], 1)</f>
        <v>4060.3091211850806</v>
      </c>
      <c r="O87" s="17">
        <f>SUMIFS(Peak_Day[Achievable Peak Day therm 2038], Peak_Day[[Sector]:[Sector]], $B$86, Peak_Day[[End Use]:[End Use]], $B87, Peak_Day[[Cost-Effective]:[Cost-Effective]], 1)</f>
        <v>4052.2184955780858</v>
      </c>
      <c r="P87" s="17">
        <f>SUMIFS(Peak_Day[Achievable Peak Day therm 2039], Peak_Day[[Sector]:[Sector]], $B$86, Peak_Day[[End Use]:[End Use]], $B87, Peak_Day[[Cost-Effective]:[Cost-Effective]], 1)</f>
        <v>3809.3575268962763</v>
      </c>
      <c r="Q87" s="17">
        <f>SUMIFS(Peak_Day[Achievable Peak Day therm 2040], Peak_Day[[Sector]:[Sector]], $B$86, Peak_Day[[End Use]:[End Use]], $B87, Peak_Day[[Cost-Effective]:[Cost-Effective]], 1)</f>
        <v>3302.3278286491673</v>
      </c>
      <c r="R87" s="17">
        <f>SUMIFS(Peak_Day[Achievable Peak Day therm 2041], Peak_Day[[Sector]:[Sector]], $B$86, Peak_Day[[End Use]:[End Use]], $B87, Peak_Day[[Cost-Effective]:[Cost-Effective]], 1)</f>
        <v>2750.8601979360374</v>
      </c>
      <c r="S87" s="17">
        <f>SUMIFS(Peak_Day[Achievable Peak Day therm 2042], Peak_Day[[Sector]:[Sector]], $B$86, Peak_Day[[End Use]:[End Use]], $B87, Peak_Day[[Cost-Effective]:[Cost-Effective]], 1)</f>
        <v>1168.6746879372399</v>
      </c>
      <c r="T87" s="17">
        <f>SUMIFS(Peak_Day[Achievable Peak Day therm 2043], Peak_Day[[Sector]:[Sector]], $B$86, Peak_Day[[End Use]:[End Use]], $B87, Peak_Day[[Cost-Effective]:[Cost-Effective]], 1)</f>
        <v>272.52235594026848</v>
      </c>
      <c r="U87" s="17">
        <f>SUMIFS(Peak_Day[Achievable Peak Day therm 2044], Peak_Day[[Sector]:[Sector]], $B$86, Peak_Day[[End Use]:[End Use]], $B87, Peak_Day[[Cost-Effective]:[Cost-Effective]], 1)</f>
        <v>271.52016416403882</v>
      </c>
      <c r="V87" s="17">
        <f>SUMIFS(Peak_Day[Achievable Peak Day therm 2045], Peak_Day[[Sector]:[Sector]], $B$86, Peak_Day[[End Use]:[End Use]], $B87, Peak_Day[[Cost-Effective]:[Cost-Effective]], 1)</f>
        <v>269.43945335358291</v>
      </c>
      <c r="W87" s="17">
        <f>SUMIFS(Peak_Day[Achievable Peak Day therm 2046], Peak_Day[[Sector]:[Sector]], $B$86, Peak_Day[[End Use]:[End Use]], $B87, Peak_Day[[Cost-Effective]:[Cost-Effective]], 1)</f>
        <v>267.36498051563865</v>
      </c>
      <c r="X87" s="17">
        <f>SUMIFS(Peak_Day[Achievable Peak Day therm 2047], Peak_Day[[Sector]:[Sector]], $B$86, Peak_Day[[End Use]:[End Use]], $B87, Peak_Day[[Cost-Effective]:[Cost-Effective]], 1)</f>
        <v>265.30326929085737</v>
      </c>
      <c r="Y87" s="17">
        <f>SUMIFS(Peak_Day[Achievable Peak Day therm 2048], Peak_Day[[Sector]:[Sector]], $B$86, Peak_Day[[End Use]:[End Use]], $B87, Peak_Day[[Cost-Effective]:[Cost-Effective]], 1)</f>
        <v>263.25745687219484</v>
      </c>
      <c r="Z87" s="17">
        <f>SUMIFS(Peak_Day[Achievable Peak Day therm 2049], Peak_Day[[Sector]:[Sector]], $B$86, Peak_Day[[End Use]:[End Use]], $B87, Peak_Day[[Cost-Effective]:[Cost-Effective]], 1)</f>
        <v>261.22742065251589</v>
      </c>
      <c r="AA87" s="17">
        <f>SUMIFS(Peak_Day[Achievable Peak Day therm 2050], Peak_Day[[Sector]:[Sector]], $B$86, Peak_Day[[End Use]:[End Use]], $B87, Peak_Day[[Cost-Effective]:[Cost-Effective]], 1)</f>
        <v>259.21303897023193</v>
      </c>
    </row>
    <row r="88" spans="2:27" x14ac:dyDescent="0.2">
      <c r="B88" s="16" t="s">
        <v>47</v>
      </c>
      <c r="C88" s="17">
        <f>SUMIFS(Peak_Day[Achievable Peak Day therm 2026], Peak_Day[[Sector]:[Sector]], $B$86, Peak_Day[[End Use]:[End Use]], $B88, Peak_Day[[Cost-Effective]:[Cost-Effective]], 1)</f>
        <v>30.85912459529581</v>
      </c>
      <c r="D88" s="17">
        <f>SUMIFS(Peak_Day[Achievable Peak Day therm 2027], Peak_Day[[Sector]:[Sector]], $B$86, Peak_Day[[End Use]:[End Use]], $B88, Peak_Day[[Cost-Effective]:[Cost-Effective]], 1)</f>
        <v>56.427102900609917</v>
      </c>
      <c r="E88" s="17">
        <f>SUMIFS(Peak_Day[Achievable Peak Day therm 2028], Peak_Day[[Sector]:[Sector]], $B$86, Peak_Day[[End Use]:[End Use]], $B88, Peak_Day[[Cost-Effective]:[Cost-Effective]], 1)</f>
        <v>94.073218966398031</v>
      </c>
      <c r="F88" s="17">
        <f>SUMIFS(Peak_Day[Achievable Peak Day therm 2029], Peak_Day[[Sector]:[Sector]], $B$86, Peak_Day[[End Use]:[End Use]], $B88, Peak_Day[[Cost-Effective]:[Cost-Effective]], 1)</f>
        <v>145.77113881198824</v>
      </c>
      <c r="G88" s="17">
        <f>SUMIFS(Peak_Day[Achievable Peak Day therm 2030], Peak_Day[[Sector]:[Sector]], $B$86, Peak_Day[[End Use]:[End Use]], $B88, Peak_Day[[Cost-Effective]:[Cost-Effective]], 1)</f>
        <v>212.55988256432511</v>
      </c>
      <c r="H88" s="17">
        <f>SUMIFS(Peak_Day[Achievable Peak Day therm 2031], Peak_Day[[Sector]:[Sector]], $B$86, Peak_Day[[End Use]:[End Use]], $B88, Peak_Day[[Cost-Effective]:[Cost-Effective]], 1)</f>
        <v>293.94500974456002</v>
      </c>
      <c r="I88" s="17">
        <f>SUMIFS(Peak_Day[Achievable Peak Day therm 2032], Peak_Day[[Sector]:[Sector]], $B$86, Peak_Day[[End Use]:[End Use]], $B88, Peak_Day[[Cost-Effective]:[Cost-Effective]], 1)</f>
        <v>387.24941067778872</v>
      </c>
      <c r="J88" s="17">
        <f>SUMIFS(Peak_Day[Achievable Peak Day therm 2033], Peak_Day[[Sector]:[Sector]], $B$86, Peak_Day[[End Use]:[End Use]], $B88, Peak_Day[[Cost-Effective]:[Cost-Effective]], 1)</f>
        <v>487.06652573033875</v>
      </c>
      <c r="K88" s="17">
        <f>SUMIFS(Peak_Day[Achievable Peak Day therm 2034], Peak_Day[[Sector]:[Sector]], $B$86, Peak_Day[[End Use]:[End Use]], $B88, Peak_Day[[Cost-Effective]:[Cost-Effective]], 1)</f>
        <v>585.05670621931154</v>
      </c>
      <c r="L88" s="17">
        <f>SUMIFS(Peak_Day[Achievable Peak Day therm 2035], Peak_Day[[Sector]:[Sector]], $B$86, Peak_Day[[End Use]:[End Use]], $B88, Peak_Day[[Cost-Effective]:[Cost-Effective]], 1)</f>
        <v>670.3793310260611</v>
      </c>
      <c r="M88" s="17">
        <f>SUMIFS(Peak_Day[Achievable Peak Day therm 2036], Peak_Day[[Sector]:[Sector]], $B$86, Peak_Day[[End Use]:[End Use]], $B88, Peak_Day[[Cost-Effective]:[Cost-Effective]], 1)</f>
        <v>731.00648128099385</v>
      </c>
      <c r="N88" s="17">
        <f>SUMIFS(Peak_Day[Achievable Peak Day therm 2037], Peak_Day[[Sector]:[Sector]], $B$86, Peak_Day[[End Use]:[End Use]], $B88, Peak_Day[[Cost-Effective]:[Cost-Effective]], 1)</f>
        <v>755.95709023572124</v>
      </c>
      <c r="O88" s="17">
        <f>SUMIFS(Peak_Day[Achievable Peak Day therm 2038], Peak_Day[[Sector]:[Sector]], $B$86, Peak_Day[[End Use]:[End Use]], $B88, Peak_Day[[Cost-Effective]:[Cost-Effective]], 1)</f>
        <v>738.11248825160249</v>
      </c>
      <c r="P88" s="17">
        <f>SUMIFS(Peak_Day[Achievable Peak Day therm 2039], Peak_Day[[Sector]:[Sector]], $B$86, Peak_Day[[End Use]:[End Use]], $B88, Peak_Day[[Cost-Effective]:[Cost-Effective]], 1)</f>
        <v>678.19578239692976</v>
      </c>
      <c r="Q88" s="17">
        <f>SUMIFS(Peak_Day[Achievable Peak Day therm 2040], Peak_Day[[Sector]:[Sector]], $B$86, Peak_Day[[End Use]:[End Use]], $B88, Peak_Day[[Cost-Effective]:[Cost-Effective]], 1)</f>
        <v>530.99179613139574</v>
      </c>
      <c r="R88" s="17">
        <f>SUMIFS(Peak_Day[Achievable Peak Day therm 2041], Peak_Day[[Sector]:[Sector]], $B$86, Peak_Day[[End Use]:[End Use]], $B88, Peak_Day[[Cost-Effective]:[Cost-Effective]], 1)</f>
        <v>422.92876434458299</v>
      </c>
      <c r="S88" s="17">
        <f>SUMIFS(Peak_Day[Achievable Peak Day therm 2042], Peak_Day[[Sector]:[Sector]], $B$86, Peak_Day[[End Use]:[End Use]], $B88, Peak_Day[[Cost-Effective]:[Cost-Effective]], 1)</f>
        <v>152.9653470305461</v>
      </c>
      <c r="T88" s="17">
        <f>SUMIFS(Peak_Day[Achievable Peak Day therm 2043], Peak_Day[[Sector]:[Sector]], $B$86, Peak_Day[[End Use]:[End Use]], $B88, Peak_Day[[Cost-Effective]:[Cost-Effective]], 1)</f>
        <v>0</v>
      </c>
      <c r="U88" s="17">
        <f>SUMIFS(Peak_Day[Achievable Peak Day therm 2044], Peak_Day[[Sector]:[Sector]], $B$86, Peak_Day[[End Use]:[End Use]], $B88, Peak_Day[[Cost-Effective]:[Cost-Effective]], 1)</f>
        <v>0</v>
      </c>
      <c r="V88" s="17">
        <f>SUMIFS(Peak_Day[Achievable Peak Day therm 2045], Peak_Day[[Sector]:[Sector]], $B$86, Peak_Day[[End Use]:[End Use]], $B88, Peak_Day[[Cost-Effective]:[Cost-Effective]], 1)</f>
        <v>0</v>
      </c>
      <c r="W88" s="17">
        <f>SUMIFS(Peak_Day[Achievable Peak Day therm 2046], Peak_Day[[Sector]:[Sector]], $B$86, Peak_Day[[End Use]:[End Use]], $B88, Peak_Day[[Cost-Effective]:[Cost-Effective]], 1)</f>
        <v>0</v>
      </c>
      <c r="X88" s="17">
        <f>SUMIFS(Peak_Day[Achievable Peak Day therm 2047], Peak_Day[[Sector]:[Sector]], $B$86, Peak_Day[[End Use]:[End Use]], $B88, Peak_Day[[Cost-Effective]:[Cost-Effective]], 1)</f>
        <v>0</v>
      </c>
      <c r="Y88" s="17">
        <f>SUMIFS(Peak_Day[Achievable Peak Day therm 2048], Peak_Day[[Sector]:[Sector]], $B$86, Peak_Day[[End Use]:[End Use]], $B88, Peak_Day[[Cost-Effective]:[Cost-Effective]], 1)</f>
        <v>0</v>
      </c>
      <c r="Z88" s="17">
        <f>SUMIFS(Peak_Day[Achievable Peak Day therm 2049], Peak_Day[[Sector]:[Sector]], $B$86, Peak_Day[[End Use]:[End Use]], $B88, Peak_Day[[Cost-Effective]:[Cost-Effective]], 1)</f>
        <v>0</v>
      </c>
      <c r="AA88" s="17">
        <f>SUMIFS(Peak_Day[Achievable Peak Day therm 2050], Peak_Day[[Sector]:[Sector]], $B$86, Peak_Day[[End Use]:[End Use]], $B88, Peak_Day[[Cost-Effective]:[Cost-Effective]], 1)</f>
        <v>0</v>
      </c>
    </row>
    <row r="89" spans="2:27" x14ac:dyDescent="0.2">
      <c r="B89" s="16" t="s">
        <v>45</v>
      </c>
      <c r="C89" s="17">
        <f>SUMIFS(Peak_Day[Achievable Peak Day therm 2026], Peak_Day[[Sector]:[Sector]], $B$86, Peak_Day[[End Use]:[End Use]], $B89, Peak_Day[[Cost-Effective]:[Cost-Effective]], 1)</f>
        <v>0.74254845145193538</v>
      </c>
      <c r="D89" s="17">
        <f>SUMIFS(Peak_Day[Achievable Peak Day therm 2027], Peak_Day[[Sector]:[Sector]], $B$86, Peak_Day[[End Use]:[End Use]], $B89, Peak_Day[[Cost-Effective]:[Cost-Effective]], 1)</f>
        <v>1.3864513668818419</v>
      </c>
      <c r="E89" s="17">
        <f>SUMIFS(Peak_Day[Achievable Peak Day therm 2028], Peak_Day[[Sector]:[Sector]], $B$86, Peak_Day[[End Use]:[End Use]], $B89, Peak_Day[[Cost-Effective]:[Cost-Effective]], 1)</f>
        <v>3.3456706089015573</v>
      </c>
      <c r="F89" s="17">
        <f>SUMIFS(Peak_Day[Achievable Peak Day therm 2029], Peak_Day[[Sector]:[Sector]], $B$86, Peak_Day[[End Use]:[End Use]], $B89, Peak_Day[[Cost-Effective]:[Cost-Effective]], 1)</f>
        <v>5.5778008705170929</v>
      </c>
      <c r="G89" s="17">
        <f>SUMIFS(Peak_Day[Achievable Peak Day therm 2030], Peak_Day[[Sector]:[Sector]], $B$86, Peak_Day[[End Use]:[End Use]], $B89, Peak_Day[[Cost-Effective]:[Cost-Effective]], 1)</f>
        <v>8.7181405516850869</v>
      </c>
      <c r="H89" s="17">
        <f>SUMIFS(Peak_Day[Achievable Peak Day therm 2031], Peak_Day[[Sector]:[Sector]], $B$86, Peak_Day[[End Use]:[End Use]], $B89, Peak_Day[[Cost-Effective]:[Cost-Effective]], 1)</f>
        <v>12.921971992488903</v>
      </c>
      <c r="I89" s="17">
        <f>SUMIFS(Peak_Day[Achievable Peak Day therm 2032], Peak_Day[[Sector]:[Sector]], $B$86, Peak_Day[[End Use]:[End Use]], $B89, Peak_Day[[Cost-Effective]:[Cost-Effective]], 1)</f>
        <v>18.291581380655643</v>
      </c>
      <c r="J89" s="17">
        <f>SUMIFS(Peak_Day[Achievable Peak Day therm 2033], Peak_Day[[Sector]:[Sector]], $B$86, Peak_Day[[End Use]:[End Use]], $B89, Peak_Day[[Cost-Effective]:[Cost-Effective]], 1)</f>
        <v>24.841596331695527</v>
      </c>
      <c r="K89" s="17">
        <f>SUMIFS(Peak_Day[Achievable Peak Day therm 2034], Peak_Day[[Sector]:[Sector]], $B$86, Peak_Day[[End Use]:[End Use]], $B89, Peak_Day[[Cost-Effective]:[Cost-Effective]], 1)</f>
        <v>32.466607303905526</v>
      </c>
      <c r="L89" s="17">
        <f>SUMIFS(Peak_Day[Achievable Peak Day therm 2035], Peak_Day[[Sector]:[Sector]], $B$86, Peak_Day[[End Use]:[End Use]], $B89, Peak_Day[[Cost-Effective]:[Cost-Effective]], 1)</f>
        <v>40.920630579669989</v>
      </c>
      <c r="M89" s="17">
        <f>SUMIFS(Peak_Day[Achievable Peak Day therm 2036], Peak_Day[[Sector]:[Sector]], $B$86, Peak_Day[[End Use]:[End Use]], $B89, Peak_Day[[Cost-Effective]:[Cost-Effective]], 1)</f>
        <v>49.81936684595621</v>
      </c>
      <c r="N89" s="17">
        <f>SUMIFS(Peak_Day[Achievable Peak Day therm 2037], Peak_Day[[Sector]:[Sector]], $B$86, Peak_Day[[End Use]:[End Use]], $B89, Peak_Day[[Cost-Effective]:[Cost-Effective]], 1)</f>
        <v>58.673784054033973</v>
      </c>
      <c r="O89" s="17">
        <f>SUMIFS(Peak_Day[Achievable Peak Day therm 2038], Peak_Day[[Sector]:[Sector]], $B$86, Peak_Day[[End Use]:[End Use]], $B89, Peak_Day[[Cost-Effective]:[Cost-Effective]], 1)</f>
        <v>66.956040567425404</v>
      </c>
      <c r="P89" s="17">
        <f>SUMIFS(Peak_Day[Achievable Peak Day therm 2039], Peak_Day[[Sector]:[Sector]], $B$86, Peak_Day[[End Use]:[End Use]], $B89, Peak_Day[[Cost-Effective]:[Cost-Effective]], 1)</f>
        <v>74.18715585335444</v>
      </c>
      <c r="Q89" s="17">
        <f>SUMIFS(Peak_Day[Achievable Peak Day therm 2040], Peak_Day[[Sector]:[Sector]], $B$86, Peak_Day[[End Use]:[End Use]], $B89, Peak_Day[[Cost-Effective]:[Cost-Effective]], 1)</f>
        <v>80.02429437945311</v>
      </c>
      <c r="R89" s="17">
        <f>SUMIFS(Peak_Day[Achievable Peak Day therm 2041], Peak_Day[[Sector]:[Sector]], $B$86, Peak_Day[[End Use]:[End Use]], $B89, Peak_Day[[Cost-Effective]:[Cost-Effective]], 1)</f>
        <v>84.423922983652076</v>
      </c>
      <c r="S89" s="17">
        <f>SUMIFS(Peak_Day[Achievable Peak Day therm 2042], Peak_Day[[Sector]:[Sector]], $B$86, Peak_Day[[End Use]:[End Use]], $B89, Peak_Day[[Cost-Effective]:[Cost-Effective]], 1)</f>
        <v>87.204698822285366</v>
      </c>
      <c r="T89" s="17">
        <f>SUMIFS(Peak_Day[Achievable Peak Day therm 2043], Peak_Day[[Sector]:[Sector]], $B$86, Peak_Day[[End Use]:[End Use]], $B89, Peak_Day[[Cost-Effective]:[Cost-Effective]], 1)</f>
        <v>89.079379525211934</v>
      </c>
      <c r="U89" s="17">
        <f>SUMIFS(Peak_Day[Achievable Peak Day therm 2044], Peak_Day[[Sector]:[Sector]], $B$86, Peak_Day[[End Use]:[End Use]], $B89, Peak_Day[[Cost-Effective]:[Cost-Effective]], 1)</f>
        <v>89.589544224858216</v>
      </c>
      <c r="V89" s="17">
        <f>SUMIFS(Peak_Day[Achievable Peak Day therm 2045], Peak_Day[[Sector]:[Sector]], $B$86, Peak_Day[[End Use]:[End Use]], $B89, Peak_Day[[Cost-Effective]:[Cost-Effective]], 1)</f>
        <v>89.726806291511991</v>
      </c>
      <c r="W89" s="17">
        <f>SUMIFS(Peak_Day[Achievable Peak Day therm 2046], Peak_Day[[Sector]:[Sector]], $B$86, Peak_Day[[End Use]:[End Use]], $B89, Peak_Day[[Cost-Effective]:[Cost-Effective]], 1)</f>
        <v>89.24026209353606</v>
      </c>
      <c r="X89" s="17">
        <f>SUMIFS(Peak_Day[Achievable Peak Day therm 2047], Peak_Day[[Sector]:[Sector]], $B$86, Peak_Day[[End Use]:[End Use]], $B89, Peak_Day[[Cost-Effective]:[Cost-Effective]], 1)</f>
        <v>88.55201696175132</v>
      </c>
      <c r="Y89" s="17">
        <f>SUMIFS(Peak_Day[Achievable Peak Day therm 2048], Peak_Day[[Sector]:[Sector]], $B$86, Peak_Day[[End Use]:[End Use]], $B89, Peak_Day[[Cost-Effective]:[Cost-Effective]], 1)</f>
        <v>87.86907999067536</v>
      </c>
      <c r="Z89" s="17">
        <f>SUMIFS(Peak_Day[Achievable Peak Day therm 2049], Peak_Day[[Sector]:[Sector]], $B$86, Peak_Day[[End Use]:[End Use]], $B89, Peak_Day[[Cost-Effective]:[Cost-Effective]], 1)</f>
        <v>87.191410238668681</v>
      </c>
      <c r="AA89" s="17">
        <f>SUMIFS(Peak_Day[Achievable Peak Day therm 2050], Peak_Day[[Sector]:[Sector]], $B$86, Peak_Day[[End Use]:[End Use]], $B89, Peak_Day[[Cost-Effective]:[Cost-Effective]], 1)</f>
        <v>86.518967079889137</v>
      </c>
    </row>
    <row r="90" spans="2:27" x14ac:dyDescent="0.2">
      <c r="B90" s="16" t="s">
        <v>46</v>
      </c>
      <c r="C90" s="17">
        <f>SUMIFS(Peak_Day[Achievable Peak Day therm 2026], Peak_Day[[Sector]:[Sector]], $B$86, Peak_Day[[End Use]:[End Use]], $B90, Peak_Day[[Cost-Effective]:[Cost-Effective]], 1)</f>
        <v>7.4795502851005002</v>
      </c>
      <c r="D90" s="17">
        <f>SUMIFS(Peak_Day[Achievable Peak Day therm 2027], Peak_Day[[Sector]:[Sector]], $B$86, Peak_Day[[End Use]:[End Use]], $B90, Peak_Day[[Cost-Effective]:[Cost-Effective]], 1)</f>
        <v>12.072694432179638</v>
      </c>
      <c r="E90" s="17">
        <f>SUMIFS(Peak_Day[Achievable Peak Day therm 2028], Peak_Day[[Sector]:[Sector]], $B$86, Peak_Day[[End Use]:[End Use]], $B90, Peak_Day[[Cost-Effective]:[Cost-Effective]], 1)</f>
        <v>18.183357544873619</v>
      </c>
      <c r="F90" s="17">
        <f>SUMIFS(Peak_Day[Achievable Peak Day therm 2029], Peak_Day[[Sector]:[Sector]], $B$86, Peak_Day[[End Use]:[End Use]], $B90, Peak_Day[[Cost-Effective]:[Cost-Effective]], 1)</f>
        <v>25.841633110268454</v>
      </c>
      <c r="G90" s="17">
        <f>SUMIFS(Peak_Day[Achievable Peak Day therm 2030], Peak_Day[[Sector]:[Sector]], $B$86, Peak_Day[[End Use]:[End Use]], $B90, Peak_Day[[Cost-Effective]:[Cost-Effective]], 1)</f>
        <v>34.880653543468625</v>
      </c>
      <c r="H90" s="17">
        <f>SUMIFS(Peak_Day[Achievable Peak Day therm 2031], Peak_Day[[Sector]:[Sector]], $B$86, Peak_Day[[End Use]:[End Use]], $B90, Peak_Day[[Cost-Effective]:[Cost-Effective]], 1)</f>
        <v>44.869237741236169</v>
      </c>
      <c r="I90" s="17">
        <f>SUMIFS(Peak_Day[Achievable Peak Day therm 2032], Peak_Day[[Sector]:[Sector]], $B$86, Peak_Day[[End Use]:[End Use]], $B90, Peak_Day[[Cost-Effective]:[Cost-Effective]], 1)</f>
        <v>55.067573632668193</v>
      </c>
      <c r="J90" s="17">
        <f>SUMIFS(Peak_Day[Achievable Peak Day therm 2033], Peak_Day[[Sector]:[Sector]], $B$86, Peak_Day[[End Use]:[End Use]], $B90, Peak_Day[[Cost-Effective]:[Cost-Effective]], 1)</f>
        <v>64.436998946582122</v>
      </c>
      <c r="K90" s="17">
        <f>SUMIFS(Peak_Day[Achievable Peak Day therm 2034], Peak_Day[[Sector]:[Sector]], $B$86, Peak_Day[[End Use]:[End Use]], $B90, Peak_Day[[Cost-Effective]:[Cost-Effective]], 1)</f>
        <v>71.736646689136919</v>
      </c>
      <c r="L90" s="17">
        <f>SUMIFS(Peak_Day[Achievable Peak Day therm 2035], Peak_Day[[Sector]:[Sector]], $B$86, Peak_Day[[End Use]:[End Use]], $B90, Peak_Day[[Cost-Effective]:[Cost-Effective]], 1)</f>
        <v>75.725806777770885</v>
      </c>
      <c r="M90" s="17">
        <f>SUMIFS(Peak_Day[Achievable Peak Day therm 2036], Peak_Day[[Sector]:[Sector]], $B$86, Peak_Day[[End Use]:[End Use]], $B90, Peak_Day[[Cost-Effective]:[Cost-Effective]], 1)</f>
        <v>75.455573331900283</v>
      </c>
      <c r="N90" s="17">
        <f>SUMIFS(Peak_Day[Achievable Peak Day therm 2037], Peak_Day[[Sector]:[Sector]], $B$86, Peak_Day[[End Use]:[End Use]], $B90, Peak_Day[[Cost-Effective]:[Cost-Effective]], 1)</f>
        <v>70.581104998998867</v>
      </c>
      <c r="O90" s="17">
        <f>SUMIFS(Peak_Day[Achievable Peak Day therm 2038], Peak_Day[[Sector]:[Sector]], $B$86, Peak_Day[[End Use]:[End Use]], $B90, Peak_Day[[Cost-Effective]:[Cost-Effective]], 1)</f>
        <v>61.578043518918989</v>
      </c>
      <c r="P90" s="17">
        <f>SUMIFS(Peak_Day[Achievable Peak Day therm 2039], Peak_Day[[Sector]:[Sector]], $B$86, Peak_Day[[End Use]:[End Use]], $B90, Peak_Day[[Cost-Effective]:[Cost-Effective]], 1)</f>
        <v>50.531671282628736</v>
      </c>
      <c r="Q90" s="17">
        <f>SUMIFS(Peak_Day[Achievable Peak Day therm 2040], Peak_Day[[Sector]:[Sector]], $B$86, Peak_Day[[End Use]:[End Use]], $B90, Peak_Day[[Cost-Effective]:[Cost-Effective]], 1)</f>
        <v>9.0260674409380055</v>
      </c>
      <c r="R90" s="17">
        <f>SUMIFS(Peak_Day[Achievable Peak Day therm 2041], Peak_Day[[Sector]:[Sector]], $B$86, Peak_Day[[End Use]:[End Use]], $B90, Peak_Day[[Cost-Effective]:[Cost-Effective]], 1)</f>
        <v>0</v>
      </c>
      <c r="S90" s="17">
        <f>SUMIFS(Peak_Day[Achievable Peak Day therm 2042], Peak_Day[[Sector]:[Sector]], $B$86, Peak_Day[[End Use]:[End Use]], $B90, Peak_Day[[Cost-Effective]:[Cost-Effective]], 1)</f>
        <v>0</v>
      </c>
      <c r="T90" s="17">
        <f>SUMIFS(Peak_Day[Achievable Peak Day therm 2043], Peak_Day[[Sector]:[Sector]], $B$86, Peak_Day[[End Use]:[End Use]], $B90, Peak_Day[[Cost-Effective]:[Cost-Effective]], 1)</f>
        <v>0</v>
      </c>
      <c r="U90" s="17">
        <f>SUMIFS(Peak_Day[Achievable Peak Day therm 2044], Peak_Day[[Sector]:[Sector]], $B$86, Peak_Day[[End Use]:[End Use]], $B90, Peak_Day[[Cost-Effective]:[Cost-Effective]], 1)</f>
        <v>0</v>
      </c>
      <c r="V90" s="17">
        <f>SUMIFS(Peak_Day[Achievable Peak Day therm 2045], Peak_Day[[Sector]:[Sector]], $B$86, Peak_Day[[End Use]:[End Use]], $B90, Peak_Day[[Cost-Effective]:[Cost-Effective]], 1)</f>
        <v>0</v>
      </c>
      <c r="W90" s="17">
        <f>SUMIFS(Peak_Day[Achievable Peak Day therm 2046], Peak_Day[[Sector]:[Sector]], $B$86, Peak_Day[[End Use]:[End Use]], $B90, Peak_Day[[Cost-Effective]:[Cost-Effective]], 1)</f>
        <v>0</v>
      </c>
      <c r="X90" s="17">
        <f>SUMIFS(Peak_Day[Achievable Peak Day therm 2047], Peak_Day[[Sector]:[Sector]], $B$86, Peak_Day[[End Use]:[End Use]], $B90, Peak_Day[[Cost-Effective]:[Cost-Effective]], 1)</f>
        <v>0</v>
      </c>
      <c r="Y90" s="17">
        <f>SUMIFS(Peak_Day[Achievable Peak Day therm 2048], Peak_Day[[Sector]:[Sector]], $B$86, Peak_Day[[End Use]:[End Use]], $B90, Peak_Day[[Cost-Effective]:[Cost-Effective]], 1)</f>
        <v>0</v>
      </c>
      <c r="Z90" s="17">
        <f>SUMIFS(Peak_Day[Achievable Peak Day therm 2049], Peak_Day[[Sector]:[Sector]], $B$86, Peak_Day[[End Use]:[End Use]], $B90, Peak_Day[[Cost-Effective]:[Cost-Effective]], 1)</f>
        <v>0</v>
      </c>
      <c r="AA90" s="17">
        <f>SUMIFS(Peak_Day[Achievable Peak Day therm 2050], Peak_Day[[Sector]:[Sector]], $B$86, Peak_Day[[End Use]:[End Use]], $B90, Peak_Day[[Cost-Effective]:[Cost-Effective]], 1)</f>
        <v>0</v>
      </c>
    </row>
    <row r="91" spans="2:27" ht="13.5" thickBot="1" x14ac:dyDescent="0.25">
      <c r="B91" s="14" t="s">
        <v>34</v>
      </c>
      <c r="C91" s="15">
        <f>SUM(C76,C81,C86)</f>
        <v>4308.4767329897641</v>
      </c>
      <c r="D91" s="15">
        <f t="shared" ref="D91:AA91" si="14">SUM(D76,D81,D86)</f>
        <v>5177.6751480637495</v>
      </c>
      <c r="E91" s="15">
        <f t="shared" si="14"/>
        <v>6594.3446765044891</v>
      </c>
      <c r="F91" s="15">
        <f t="shared" si="14"/>
        <v>8402.4367123171596</v>
      </c>
      <c r="G91" s="15">
        <f t="shared" si="14"/>
        <v>10567.728272703873</v>
      </c>
      <c r="H91" s="15">
        <f t="shared" si="14"/>
        <v>13065.495988266888</v>
      </c>
      <c r="I91" s="15">
        <f t="shared" si="14"/>
        <v>15667.314074603313</v>
      </c>
      <c r="J91" s="15">
        <f t="shared" si="14"/>
        <v>18215.835489017347</v>
      </c>
      <c r="K91" s="15">
        <f t="shared" si="14"/>
        <v>20363.781094868093</v>
      </c>
      <c r="L91" s="15">
        <f t="shared" si="14"/>
        <v>21956.054661764498</v>
      </c>
      <c r="M91" s="15">
        <f t="shared" si="14"/>
        <v>23169.655986167159</v>
      </c>
      <c r="N91" s="15">
        <f t="shared" si="14"/>
        <v>23933.279326847638</v>
      </c>
      <c r="O91" s="15">
        <f t="shared" si="14"/>
        <v>23675.45509405862</v>
      </c>
      <c r="P91" s="15">
        <f t="shared" si="14"/>
        <v>22427.55742782756</v>
      </c>
      <c r="Q91" s="15">
        <f t="shared" si="14"/>
        <v>20138.199808846304</v>
      </c>
      <c r="R91" s="15">
        <f t="shared" si="14"/>
        <v>17517.953432153452</v>
      </c>
      <c r="S91" s="15">
        <f t="shared" si="14"/>
        <v>13383.508512547594</v>
      </c>
      <c r="T91" s="15">
        <f t="shared" si="14"/>
        <v>10699.314153237163</v>
      </c>
      <c r="U91" s="15">
        <f t="shared" si="14"/>
        <v>8313.4284899034319</v>
      </c>
      <c r="V91" s="15">
        <f t="shared" si="14"/>
        <v>8064.514142733351</v>
      </c>
      <c r="W91" s="15">
        <f t="shared" si="14"/>
        <v>7982.9053812314369</v>
      </c>
      <c r="X91" s="15">
        <f t="shared" si="14"/>
        <v>7863.4993293630941</v>
      </c>
      <c r="Y91" s="15">
        <f t="shared" si="14"/>
        <v>7713.3492637017553</v>
      </c>
      <c r="Z91" s="15">
        <f t="shared" si="14"/>
        <v>7576.3183583454593</v>
      </c>
      <c r="AA91" s="15">
        <f t="shared" si="14"/>
        <v>6096.8947353343174</v>
      </c>
    </row>
  </sheetData>
  <pageMargins left="0.7" right="0.7" top="0.75" bottom="0.75" header="0.3" footer="0.3"/>
  <pageSetup orientation="portrait" r:id="rId1"/>
  <headerFooter>
    <oddHeader>&amp;RNWN 2025 CPA 
CPA Summary/ &amp;A &amp;P of &amp;N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2615F-514A-4094-AF15-D911491A26DD}">
  <sheetPr>
    <tabColor theme="6"/>
  </sheetPr>
  <dimension ref="B2:AA91"/>
  <sheetViews>
    <sheetView showGridLines="0" zoomScale="89" zoomScaleNormal="89" workbookViewId="0">
      <selection activeCell="O12" sqref="O12"/>
    </sheetView>
  </sheetViews>
  <sheetFormatPr defaultColWidth="9" defaultRowHeight="12.75" x14ac:dyDescent="0.2"/>
  <cols>
    <col min="1" max="1" width="4.28515625" style="10" customWidth="1"/>
    <col min="2" max="2" width="15" style="10" customWidth="1"/>
    <col min="3" max="3" width="5.85546875" style="10" bestFit="1" customWidth="1"/>
    <col min="4" max="5" width="6.7109375" style="10" bestFit="1" customWidth="1"/>
    <col min="6" max="6" width="7.7109375" style="10" bestFit="1" customWidth="1"/>
    <col min="7" max="8" width="5.85546875" style="10" bestFit="1" customWidth="1"/>
    <col min="9" max="18" width="6.7109375" style="10" bestFit="1" customWidth="1"/>
    <col min="19" max="26" width="5.85546875" style="10" bestFit="1" customWidth="1"/>
    <col min="27" max="27" width="5.28515625" style="10" bestFit="1" customWidth="1"/>
    <col min="28" max="16384" width="9" style="10"/>
  </cols>
  <sheetData>
    <row r="2" spans="2:6" x14ac:dyDescent="0.2">
      <c r="B2" s="9" t="s">
        <v>79</v>
      </c>
    </row>
    <row r="3" spans="2:6" x14ac:dyDescent="0.2">
      <c r="B3" s="11"/>
      <c r="C3" s="20" t="s">
        <v>22</v>
      </c>
      <c r="D3" s="20" t="s">
        <v>23</v>
      </c>
      <c r="E3" s="20" t="s">
        <v>24</v>
      </c>
      <c r="F3" s="20" t="s">
        <v>25</v>
      </c>
    </row>
    <row r="4" spans="2:6" x14ac:dyDescent="0.2">
      <c r="B4" s="10" t="s">
        <v>28</v>
      </c>
      <c r="C4" s="21">
        <f>SUM(C19:D19)</f>
        <v>333.48006620833553</v>
      </c>
      <c r="D4" s="21">
        <f>SUM(C19:G19)</f>
        <v>1343.8064192208717</v>
      </c>
      <c r="E4" s="21">
        <f>SUM(C19:L19)</f>
        <v>5216.4069489499361</v>
      </c>
      <c r="F4" s="21">
        <f>SUM(C19:AA19)</f>
        <v>14603.0446248192</v>
      </c>
    </row>
    <row r="5" spans="2:6" x14ac:dyDescent="0.2">
      <c r="B5" s="10" t="s">
        <v>31</v>
      </c>
      <c r="C5" s="21">
        <f t="shared" ref="C5:C6" si="0">SUM(C20:D20)</f>
        <v>399.8302034748541</v>
      </c>
      <c r="D5" s="21">
        <f t="shared" ref="D5:D6" si="1">SUM(C20:G20)</f>
        <v>1149.2046648684911</v>
      </c>
      <c r="E5" s="21">
        <f t="shared" ref="E5:E6" si="2">SUM(C20:L20)</f>
        <v>2713.9473427119719</v>
      </c>
      <c r="F5" s="21">
        <f>SUM(C20:AA20)</f>
        <v>5428.8867566913304</v>
      </c>
    </row>
    <row r="6" spans="2:6" x14ac:dyDescent="0.2">
      <c r="B6" s="10" t="s">
        <v>33</v>
      </c>
      <c r="C6" s="21">
        <f t="shared" si="0"/>
        <v>43.111430047105515</v>
      </c>
      <c r="D6" s="21">
        <f t="shared" si="1"/>
        <v>270.83935423966568</v>
      </c>
      <c r="E6" s="21">
        <f t="shared" si="2"/>
        <v>1516.3097914540033</v>
      </c>
      <c r="F6" s="21">
        <f>SUM(C21:AA21)</f>
        <v>3923.5303164974025</v>
      </c>
    </row>
    <row r="7" spans="2:6" ht="13.5" thickBot="1" x14ac:dyDescent="0.25">
      <c r="B7" s="14" t="s">
        <v>34</v>
      </c>
      <c r="C7" s="15">
        <f>SUM(C4:C6)</f>
        <v>776.42169973029513</v>
      </c>
      <c r="D7" s="15">
        <f t="shared" ref="D7:F7" si="3">SUM(D4:D6)</f>
        <v>2763.8504383290287</v>
      </c>
      <c r="E7" s="15">
        <f t="shared" si="3"/>
        <v>9446.6640831159111</v>
      </c>
      <c r="F7" s="15">
        <f t="shared" si="3"/>
        <v>23955.461698007934</v>
      </c>
    </row>
    <row r="9" spans="2:6" x14ac:dyDescent="0.2">
      <c r="B9" s="9" t="s">
        <v>80</v>
      </c>
    </row>
    <row r="10" spans="2:6" x14ac:dyDescent="0.2">
      <c r="B10" s="11"/>
      <c r="C10" s="20" t="s">
        <v>22</v>
      </c>
      <c r="D10" s="20" t="s">
        <v>23</v>
      </c>
      <c r="E10" s="20" t="s">
        <v>24</v>
      </c>
      <c r="F10" s="20" t="s">
        <v>25</v>
      </c>
    </row>
    <row r="11" spans="2:6" x14ac:dyDescent="0.2">
      <c r="B11" s="10" t="s">
        <v>28</v>
      </c>
      <c r="C11" s="21">
        <f>SUM(C26:D26)</f>
        <v>229.91588937607531</v>
      </c>
      <c r="D11" s="21">
        <f>SUM(C26:G26)</f>
        <v>1019.7403821407655</v>
      </c>
      <c r="E11" s="21">
        <f>SUM(C26:L26)</f>
        <v>4213.8885573718571</v>
      </c>
      <c r="F11" s="21">
        <f>SUM(C26:AA26)</f>
        <v>12216.942369609533</v>
      </c>
    </row>
    <row r="12" spans="2:6" x14ac:dyDescent="0.2">
      <c r="B12" s="10" t="s">
        <v>31</v>
      </c>
      <c r="C12" s="21">
        <f t="shared" ref="C12:C13" si="4">SUM(C27:D27)</f>
        <v>396.92702074068632</v>
      </c>
      <c r="D12" s="21">
        <f t="shared" ref="D12:D13" si="5">SUM(C27:G27)</f>
        <v>1132.8718490465458</v>
      </c>
      <c r="E12" s="21">
        <f t="shared" ref="E12:E13" si="6">SUM(C27:L27)</f>
        <v>2642.6402908509608</v>
      </c>
      <c r="F12" s="21">
        <f t="shared" ref="F12:F13" si="7">SUM(C27:AA27)</f>
        <v>5282.7846025577528</v>
      </c>
    </row>
    <row r="13" spans="2:6" x14ac:dyDescent="0.2">
      <c r="B13" s="10" t="s">
        <v>33</v>
      </c>
      <c r="C13" s="21">
        <f t="shared" si="4"/>
        <v>32.1784058616377</v>
      </c>
      <c r="D13" s="21">
        <f t="shared" si="5"/>
        <v>214.70177013187379</v>
      </c>
      <c r="E13" s="21">
        <f t="shared" si="6"/>
        <v>1274.6483695621002</v>
      </c>
      <c r="F13" s="21">
        <f t="shared" si="7"/>
        <v>3502.0092751594802</v>
      </c>
    </row>
    <row r="14" spans="2:6" ht="13.5" thickBot="1" x14ac:dyDescent="0.25">
      <c r="B14" s="14" t="s">
        <v>34</v>
      </c>
      <c r="C14" s="15">
        <f>SUM(C11:C13)</f>
        <v>659.02131597839934</v>
      </c>
      <c r="D14" s="15">
        <f t="shared" ref="D14:F14" si="8">SUM(D11:D13)</f>
        <v>2367.3140013191851</v>
      </c>
      <c r="E14" s="15">
        <f t="shared" si="8"/>
        <v>8131.177217784918</v>
      </c>
      <c r="F14" s="15">
        <f t="shared" si="8"/>
        <v>21001.736247326764</v>
      </c>
    </row>
    <row r="17" spans="2:27" x14ac:dyDescent="0.2">
      <c r="B17" s="9" t="s">
        <v>81</v>
      </c>
    </row>
    <row r="18" spans="2:27" x14ac:dyDescent="0.2">
      <c r="B18" s="11"/>
      <c r="C18" s="12">
        <v>2026</v>
      </c>
      <c r="D18" s="12">
        <v>2027</v>
      </c>
      <c r="E18" s="12">
        <v>2028</v>
      </c>
      <c r="F18" s="12">
        <v>2029</v>
      </c>
      <c r="G18" s="12">
        <v>2030</v>
      </c>
      <c r="H18" s="12">
        <v>2031</v>
      </c>
      <c r="I18" s="12">
        <v>2032</v>
      </c>
      <c r="J18" s="12">
        <v>2033</v>
      </c>
      <c r="K18" s="12">
        <v>2034</v>
      </c>
      <c r="L18" s="12">
        <v>2035</v>
      </c>
      <c r="M18" s="12">
        <v>2036</v>
      </c>
      <c r="N18" s="12">
        <v>2037</v>
      </c>
      <c r="O18" s="12">
        <v>2038</v>
      </c>
      <c r="P18" s="12">
        <v>2039</v>
      </c>
      <c r="Q18" s="12">
        <v>2040</v>
      </c>
      <c r="R18" s="12">
        <v>2041</v>
      </c>
      <c r="S18" s="12">
        <v>2042</v>
      </c>
      <c r="T18" s="12">
        <v>2043</v>
      </c>
      <c r="U18" s="12">
        <v>2044</v>
      </c>
      <c r="V18" s="12">
        <v>2045</v>
      </c>
      <c r="W18" s="12">
        <v>2046</v>
      </c>
      <c r="X18" s="12">
        <v>2047</v>
      </c>
      <c r="Y18" s="12">
        <v>2048</v>
      </c>
      <c r="Z18" s="12">
        <v>2049</v>
      </c>
      <c r="AA18" s="12">
        <v>2050</v>
      </c>
    </row>
    <row r="19" spans="2:27" x14ac:dyDescent="0.2">
      <c r="B19" s="10" t="s">
        <v>28</v>
      </c>
      <c r="C19" s="13">
        <f>SUMIFS(Peak_Hour[Achievable Peak Hour therm 2026], Peak_Hour[[Sector]:[Sector]], $B19)</f>
        <v>144.60150302773781</v>
      </c>
      <c r="D19" s="13">
        <f>SUMIFS(Peak_Hour[Achievable Peak Hour therm 2027], Peak_Hour[[Sector]:[Sector]], $B19)</f>
        <v>188.87856318059775</v>
      </c>
      <c r="E19" s="13">
        <f>SUMIFS(Peak_Hour[Achievable Peak Hour therm 2028], Peak_Hour[[Sector]:[Sector]], $B19)</f>
        <v>256.59346073781489</v>
      </c>
      <c r="F19" s="13">
        <f>SUMIFS(Peak_Hour[Achievable Peak Hour therm 2029], Peak_Hour[[Sector]:[Sector]], $B19)</f>
        <v>331.87902807748236</v>
      </c>
      <c r="G19" s="13">
        <f>SUMIFS(Peak_Hour[Achievable Peak Hour therm 2030], Peak_Hour[[Sector]:[Sector]], $B19)</f>
        <v>421.85386419723892</v>
      </c>
      <c r="H19" s="13">
        <f>SUMIFS(Peak_Hour[Achievable Peak Hour therm 2031], Peak_Hour[[Sector]:[Sector]], $B19)</f>
        <v>530.01150752446358</v>
      </c>
      <c r="I19" s="13">
        <f>SUMIFS(Peak_Hour[Achievable Peak Hour therm 2032], Peak_Hour[[Sector]:[Sector]], $B19)</f>
        <v>651.87314557225852</v>
      </c>
      <c r="J19" s="13">
        <f>SUMIFS(Peak_Hour[Achievable Peak Hour therm 2033], Peak_Hour[[Sector]:[Sector]], $B19)</f>
        <v>779.81319555580592</v>
      </c>
      <c r="K19" s="13">
        <f>SUMIFS(Peak_Hour[Achievable Peak Hour therm 2034], Peak_Hour[[Sector]:[Sector]], $B19)</f>
        <v>902.97409094635555</v>
      </c>
      <c r="L19" s="13">
        <f>SUMIFS(Peak_Hour[Achievable Peak Hour therm 2035], Peak_Hour[[Sector]:[Sector]], $B19)</f>
        <v>1007.9285901301806</v>
      </c>
      <c r="M19" s="13">
        <f>SUMIFS(Peak_Hour[Achievable Peak Hour therm 2036], Peak_Hour[[Sector]:[Sector]], $B19)</f>
        <v>1080.9009032012864</v>
      </c>
      <c r="N19" s="13">
        <f>SUMIFS(Peak_Hour[Achievable Peak Hour therm 2037], Peak_Hour[[Sector]:[Sector]], $B19)</f>
        <v>1105.7636624898128</v>
      </c>
      <c r="O19" s="13">
        <f>SUMIFS(Peak_Hour[Achievable Peak Hour therm 2038], Peak_Hour[[Sector]:[Sector]], $B19)</f>
        <v>1084.7325598530904</v>
      </c>
      <c r="P19" s="13">
        <f>SUMIFS(Peak_Hour[Achievable Peak Hour therm 2039], Peak_Hour[[Sector]:[Sector]], $B19)</f>
        <v>1020.3807417486115</v>
      </c>
      <c r="Q19" s="13">
        <f>SUMIFS(Peak_Hour[Achievable Peak Hour therm 2040], Peak_Hour[[Sector]:[Sector]], $B19)</f>
        <v>915.4860011598031</v>
      </c>
      <c r="R19" s="13">
        <f>SUMIFS(Peak_Hour[Achievable Peak Hour therm 2041], Peak_Hour[[Sector]:[Sector]], $B19)</f>
        <v>794.08021913064147</v>
      </c>
      <c r="S19" s="13">
        <f>SUMIFS(Peak_Hour[Achievable Peak Hour therm 2042], Peak_Hour[[Sector]:[Sector]], $B19)</f>
        <v>624.04037869795866</v>
      </c>
      <c r="T19" s="13">
        <f>SUMIFS(Peak_Hour[Achievable Peak Hour therm 2043], Peak_Hour[[Sector]:[Sector]], $B19)</f>
        <v>525.10036844020499</v>
      </c>
      <c r="U19" s="13">
        <f>SUMIFS(Peak_Hour[Achievable Peak Hour therm 2044], Peak_Hour[[Sector]:[Sector]], $B19)</f>
        <v>350.80966773408483</v>
      </c>
      <c r="V19" s="13">
        <f>SUMIFS(Peak_Hour[Achievable Peak Hour therm 2045], Peak_Hour[[Sector]:[Sector]], $B19)</f>
        <v>331.79902564617333</v>
      </c>
      <c r="W19" s="13">
        <f>SUMIFS(Peak_Hour[Achievable Peak Hour therm 2046], Peak_Hour[[Sector]:[Sector]], $B19)</f>
        <v>327.38503990605363</v>
      </c>
      <c r="X19" s="13">
        <f>SUMIFS(Peak_Hour[Achievable Peak Hour therm 2047], Peak_Hour[[Sector]:[Sector]], $B19)</f>
        <v>324.25884072906666</v>
      </c>
      <c r="Y19" s="13">
        <f>SUMIFS(Peak_Hour[Achievable Peak Hour therm 2048], Peak_Hour[[Sector]:[Sector]], $B19)</f>
        <v>320.79877053648352</v>
      </c>
      <c r="Z19" s="13">
        <f>SUMIFS(Peak_Hour[Achievable Peak Hour therm 2049], Peak_Hour[[Sector]:[Sector]], $B19)</f>
        <v>316.61847585338052</v>
      </c>
      <c r="AA19" s="13">
        <f>SUMIFS(Peak_Hour[Achievable Peak Hour therm 2050], Peak_Hour[[Sector]:[Sector]], $B19)</f>
        <v>264.48302074261483</v>
      </c>
    </row>
    <row r="20" spans="2:27" x14ac:dyDescent="0.2">
      <c r="B20" s="10" t="s">
        <v>31</v>
      </c>
      <c r="C20" s="13">
        <f>SUMIFS(Peak_Hour[Achievable Peak Hour therm 2026], Peak_Hour[[Sector]:[Sector]], $B20)</f>
        <v>197.40085368423613</v>
      </c>
      <c r="D20" s="13">
        <f>SUMIFS(Peak_Hour[Achievable Peak Hour therm 2027], Peak_Hour[[Sector]:[Sector]], $B20)</f>
        <v>202.42934979061801</v>
      </c>
      <c r="E20" s="13">
        <f>SUMIFS(Peak_Hour[Achievable Peak Hour therm 2028], Peak_Hour[[Sector]:[Sector]], $B20)</f>
        <v>221.04527042436388</v>
      </c>
      <c r="F20" s="13">
        <f>SUMIFS(Peak_Hour[Achievable Peak Hour therm 2029], Peak_Hour[[Sector]:[Sector]], $B20)</f>
        <v>249.42225383931961</v>
      </c>
      <c r="G20" s="13">
        <f>SUMIFS(Peak_Hour[Achievable Peak Hour therm 2030], Peak_Hour[[Sector]:[Sector]], $B20)</f>
        <v>278.90693712995363</v>
      </c>
      <c r="H20" s="13">
        <f>SUMIFS(Peak_Hour[Achievable Peak Hour therm 2031], Peak_Hour[[Sector]:[Sector]], $B20)</f>
        <v>309.18954123117419</v>
      </c>
      <c r="I20" s="13">
        <f>SUMIFS(Peak_Hour[Achievable Peak Hour therm 2032], Peak_Hour[[Sector]:[Sector]], $B20)</f>
        <v>328.13431825226792</v>
      </c>
      <c r="J20" s="13">
        <f>SUMIFS(Peak_Hour[Achievable Peak Hour therm 2033], Peak_Hour[[Sector]:[Sector]], $B20)</f>
        <v>333.93888982652174</v>
      </c>
      <c r="K20" s="13">
        <f>SUMIFS(Peak_Hour[Achievable Peak Hour therm 2034], Peak_Hour[[Sector]:[Sector]], $B20)</f>
        <v>314.93560573110096</v>
      </c>
      <c r="L20" s="13">
        <f>SUMIFS(Peak_Hour[Achievable Peak Hour therm 2035], Peak_Hour[[Sector]:[Sector]], $B20)</f>
        <v>278.54432280241548</v>
      </c>
      <c r="M20" s="13">
        <f>SUMIFS(Peak_Hour[Achievable Peak Hour therm 2036], Peak_Hour[[Sector]:[Sector]], $B20)</f>
        <v>259.18327253005128</v>
      </c>
      <c r="N20" s="13">
        <f>SUMIFS(Peak_Hour[Achievable Peak Hour therm 2037], Peak_Hour[[Sector]:[Sector]], $B20)</f>
        <v>268.87156340870922</v>
      </c>
      <c r="O20" s="13">
        <f>SUMIFS(Peak_Hour[Achievable Peak Hour therm 2038], Peak_Hour[[Sector]:[Sector]], $B20)</f>
        <v>274.83477555700063</v>
      </c>
      <c r="P20" s="13">
        <f>SUMIFS(Peak_Hour[Achievable Peak Hour therm 2039], Peak_Hour[[Sector]:[Sector]], $B20)</f>
        <v>270.02404115306945</v>
      </c>
      <c r="Q20" s="13">
        <f>SUMIFS(Peak_Hour[Achievable Peak Hour therm 2040], Peak_Hour[[Sector]:[Sector]], $B20)</f>
        <v>253.41771642451209</v>
      </c>
      <c r="R20" s="13">
        <f>SUMIFS(Peak_Hour[Achievable Peak Hour therm 2041], Peak_Hour[[Sector]:[Sector]], $B20)</f>
        <v>223.27677642872442</v>
      </c>
      <c r="S20" s="13">
        <f>SUMIFS(Peak_Hour[Achievable Peak Hour therm 2042], Peak_Hour[[Sector]:[Sector]], $B20)</f>
        <v>196.53681251581637</v>
      </c>
      <c r="T20" s="13">
        <f>SUMIFS(Peak_Hour[Achievable Peak Hour therm 2043], Peak_Hour[[Sector]:[Sector]], $B20)</f>
        <v>174.30522918119476</v>
      </c>
      <c r="U20" s="13">
        <f>SUMIFS(Peak_Hour[Achievable Peak Hour therm 2044], Peak_Hour[[Sector]:[Sector]], $B20)</f>
        <v>134.08165912859346</v>
      </c>
      <c r="V20" s="13">
        <f>SUMIFS(Peak_Hour[Achievable Peak Hour therm 2045], Peak_Hour[[Sector]:[Sector]], $B20)</f>
        <v>126.94343111800704</v>
      </c>
      <c r="W20" s="13">
        <f>SUMIFS(Peak_Hour[Achievable Peak Hour therm 2046], Peak_Hour[[Sector]:[Sector]], $B20)</f>
        <v>126.7723574497569</v>
      </c>
      <c r="X20" s="13">
        <f>SUMIFS(Peak_Hour[Achievable Peak Hour therm 2047], Peak_Hour[[Sector]:[Sector]], $B20)</f>
        <v>123.19320644474531</v>
      </c>
      <c r="Y20" s="13">
        <f>SUMIFS(Peak_Hour[Achievable Peak Hour therm 2048], Peak_Hour[[Sector]:[Sector]], $B20)</f>
        <v>112.80392848175899</v>
      </c>
      <c r="Z20" s="13">
        <f>SUMIFS(Peak_Hour[Achievable Peak Hour therm 2049], Peak_Hour[[Sector]:[Sector]], $B20)</f>
        <v>107.36208288266624</v>
      </c>
      <c r="AA20" s="13">
        <f>SUMIFS(Peak_Hour[Achievable Peak Hour therm 2050], Peak_Hour[[Sector]:[Sector]], $B20)</f>
        <v>63.332561274751711</v>
      </c>
    </row>
    <row r="21" spans="2:27" x14ac:dyDescent="0.2">
      <c r="B21" s="10" t="s">
        <v>33</v>
      </c>
      <c r="C21" s="13">
        <f>SUMIFS(Peak_Hour[Achievable Peak Hour therm 2026], Peak_Hour[[Sector]:[Sector]], $B21)</f>
        <v>15.148882501030608</v>
      </c>
      <c r="D21" s="13">
        <f>SUMIFS(Peak_Hour[Achievable Peak Hour therm 2027], Peak_Hour[[Sector]:[Sector]], $B21)</f>
        <v>27.962547546074905</v>
      </c>
      <c r="E21" s="13">
        <f>SUMIFS(Peak_Hour[Achievable Peak Hour therm 2028], Peak_Hour[[Sector]:[Sector]], $B21)</f>
        <v>47.019445078916817</v>
      </c>
      <c r="F21" s="13">
        <f>SUMIFS(Peak_Hour[Achievable Peak Hour therm 2029], Peak_Hour[[Sector]:[Sector]], $B21)</f>
        <v>73.289206031674809</v>
      </c>
      <c r="G21" s="13">
        <f>SUMIFS(Peak_Hour[Achievable Peak Hour therm 2030], Peak_Hour[[Sector]:[Sector]], $B21)</f>
        <v>107.41927308196856</v>
      </c>
      <c r="H21" s="13">
        <f>SUMIFS(Peak_Hour[Achievable Peak Hour therm 2031], Peak_Hour[[Sector]:[Sector]], $B21)</f>
        <v>149.26034437955269</v>
      </c>
      <c r="I21" s="13">
        <f>SUMIFS(Peak_Hour[Achievable Peak Hour therm 2032], Peak_Hour[[Sector]:[Sector]], $B21)</f>
        <v>197.56484838860294</v>
      </c>
      <c r="J21" s="13">
        <f>SUMIFS(Peak_Hour[Achievable Peak Hour therm 2033], Peak_Hour[[Sector]:[Sector]], $B21)</f>
        <v>249.69370265257749</v>
      </c>
      <c r="K21" s="13">
        <f>SUMIFS(Peak_Hour[Achievable Peak Hour therm 2034], Peak_Hour[[Sector]:[Sector]], $B21)</f>
        <v>301.48886404944761</v>
      </c>
      <c r="L21" s="13">
        <f>SUMIFS(Peak_Hour[Achievable Peak Hour therm 2035], Peak_Hour[[Sector]:[Sector]], $B21)</f>
        <v>347.46267774415691</v>
      </c>
      <c r="M21" s="13">
        <f>SUMIFS(Peak_Hour[Achievable Peak Hour therm 2036], Peak_Hour[[Sector]:[Sector]], $B21)</f>
        <v>381.43600866701735</v>
      </c>
      <c r="N21" s="13">
        <f>SUMIFS(Peak_Hour[Achievable Peak Hour therm 2037], Peak_Hour[[Sector]:[Sector]], $B21)</f>
        <v>397.65678978487472</v>
      </c>
      <c r="O21" s="13">
        <f>SUMIFS(Peak_Hour[Achievable Peak Hour therm 2038], Peak_Hour[[Sector]:[Sector]], $B21)</f>
        <v>392.24006761366354</v>
      </c>
      <c r="P21" s="13">
        <f>SUMIFS(Peak_Hour[Achievable Peak Hour therm 2039], Peak_Hour[[Sector]:[Sector]], $B21)</f>
        <v>365.11891501848214</v>
      </c>
      <c r="Q21" s="13">
        <f>SUMIFS(Peak_Hour[Achievable Peak Hour therm 2040], Peak_Hour[[Sector]:[Sector]], $B21)</f>
        <v>297.3931802523507</v>
      </c>
      <c r="R21" s="13">
        <f>SUMIFS(Peak_Hour[Achievable Peak Hour therm 2041], Peak_Hour[[Sector]:[Sector]], $B21)</f>
        <v>244.35368047225296</v>
      </c>
      <c r="S21" s="13">
        <f>SUMIFS(Peak_Hour[Achievable Peak Hour therm 2042], Peak_Hour[[Sector]:[Sector]], $B21)</f>
        <v>106.45033393653858</v>
      </c>
      <c r="T21" s="13">
        <f>SUMIFS(Peak_Hour[Achievable Peak Hour therm 2043], Peak_Hour[[Sector]:[Sector]], $B21)</f>
        <v>28.362224878115068</v>
      </c>
      <c r="U21" s="13">
        <f>SUMIFS(Peak_Hour[Achievable Peak Hour therm 2044], Peak_Hour[[Sector]:[Sector]], $B21)</f>
        <v>28.323866051837253</v>
      </c>
      <c r="V21" s="13">
        <f>SUMIFS(Peak_Hour[Achievable Peak Hour therm 2045], Peak_Hour[[Sector]:[Sector]], $B21)</f>
        <v>28.171659324066418</v>
      </c>
      <c r="W21" s="13">
        <f>SUMIFS(Peak_Hour[Achievable Peak Hour therm 2046], Peak_Hour[[Sector]:[Sector]], $B21)</f>
        <v>27.97083934629816</v>
      </c>
      <c r="X21" s="13">
        <f>SUMIFS(Peak_Hour[Achievable Peak Hour therm 2047], Peak_Hour[[Sector]:[Sector]], $B21)</f>
        <v>27.755142582748814</v>
      </c>
      <c r="Y21" s="13">
        <f>SUMIFS(Peak_Hour[Achievable Peak Hour therm 2048], Peak_Hour[[Sector]:[Sector]], $B21)</f>
        <v>27.541109218219102</v>
      </c>
      <c r="Z21" s="13">
        <f>SUMIFS(Peak_Hour[Achievable Peak Hour therm 2049], Peak_Hour[[Sector]:[Sector]], $B21)</f>
        <v>27.328726424523225</v>
      </c>
      <c r="AA21" s="13">
        <f>SUMIFS(Peak_Hour[Achievable Peak Hour therm 2050], Peak_Hour[[Sector]:[Sector]], $B21)</f>
        <v>27.117981472410793</v>
      </c>
    </row>
    <row r="22" spans="2:27" ht="13.5" thickBot="1" x14ac:dyDescent="0.25">
      <c r="B22" s="14" t="s">
        <v>34</v>
      </c>
      <c r="C22" s="15">
        <f>SUM(C19:C21)</f>
        <v>357.15123921300449</v>
      </c>
      <c r="D22" s="15">
        <f t="shared" ref="D22:AA22" si="9">SUM(D19:D21)</f>
        <v>419.27046051729064</v>
      </c>
      <c r="E22" s="15">
        <f t="shared" si="9"/>
        <v>524.65817624109559</v>
      </c>
      <c r="F22" s="15">
        <f t="shared" si="9"/>
        <v>654.59048794847672</v>
      </c>
      <c r="G22" s="15">
        <f t="shared" si="9"/>
        <v>808.18007440916108</v>
      </c>
      <c r="H22" s="15">
        <f t="shared" si="9"/>
        <v>988.46139313519052</v>
      </c>
      <c r="I22" s="15">
        <f t="shared" si="9"/>
        <v>1177.5723122131294</v>
      </c>
      <c r="J22" s="15">
        <f t="shared" si="9"/>
        <v>1363.445788034905</v>
      </c>
      <c r="K22" s="15">
        <f t="shared" si="9"/>
        <v>1519.398560726904</v>
      </c>
      <c r="L22" s="15">
        <f t="shared" si="9"/>
        <v>1633.935590676753</v>
      </c>
      <c r="M22" s="15">
        <f t="shared" si="9"/>
        <v>1721.520184398355</v>
      </c>
      <c r="N22" s="15">
        <f t="shared" si="9"/>
        <v>1772.2920156833968</v>
      </c>
      <c r="O22" s="15">
        <f t="shared" si="9"/>
        <v>1751.8074030237544</v>
      </c>
      <c r="P22" s="15">
        <f t="shared" si="9"/>
        <v>1655.5236979201629</v>
      </c>
      <c r="Q22" s="15">
        <f t="shared" si="9"/>
        <v>1466.2968978366659</v>
      </c>
      <c r="R22" s="15">
        <f t="shared" si="9"/>
        <v>1261.710676031619</v>
      </c>
      <c r="S22" s="15">
        <f t="shared" si="9"/>
        <v>927.02752515031352</v>
      </c>
      <c r="T22" s="15">
        <f t="shared" si="9"/>
        <v>727.76782249951475</v>
      </c>
      <c r="U22" s="15">
        <f t="shared" si="9"/>
        <v>513.21519291451557</v>
      </c>
      <c r="V22" s="15">
        <f t="shared" si="9"/>
        <v>486.91411608824677</v>
      </c>
      <c r="W22" s="15">
        <f t="shared" si="9"/>
        <v>482.12823670210867</v>
      </c>
      <c r="X22" s="15">
        <f t="shared" si="9"/>
        <v>475.20718975656081</v>
      </c>
      <c r="Y22" s="15">
        <f t="shared" si="9"/>
        <v>461.14380823646161</v>
      </c>
      <c r="Z22" s="15">
        <f t="shared" si="9"/>
        <v>451.30928516056997</v>
      </c>
      <c r="AA22" s="15">
        <f t="shared" si="9"/>
        <v>354.93356348977733</v>
      </c>
    </row>
    <row r="24" spans="2:27" x14ac:dyDescent="0.2">
      <c r="B24" s="9" t="s">
        <v>82</v>
      </c>
    </row>
    <row r="25" spans="2:27" x14ac:dyDescent="0.2">
      <c r="B25" s="11"/>
      <c r="C25" s="12">
        <v>2026</v>
      </c>
      <c r="D25" s="12">
        <v>2027</v>
      </c>
      <c r="E25" s="12">
        <v>2028</v>
      </c>
      <c r="F25" s="12">
        <v>2029</v>
      </c>
      <c r="G25" s="12">
        <v>2030</v>
      </c>
      <c r="H25" s="12">
        <v>2031</v>
      </c>
      <c r="I25" s="12">
        <v>2032</v>
      </c>
      <c r="J25" s="12">
        <v>2033</v>
      </c>
      <c r="K25" s="12">
        <v>2034</v>
      </c>
      <c r="L25" s="12">
        <v>2035</v>
      </c>
      <c r="M25" s="12">
        <v>2036</v>
      </c>
      <c r="N25" s="12">
        <v>2037</v>
      </c>
      <c r="O25" s="12">
        <v>2038</v>
      </c>
      <c r="P25" s="12">
        <v>2039</v>
      </c>
      <c r="Q25" s="12">
        <v>2040</v>
      </c>
      <c r="R25" s="12">
        <v>2041</v>
      </c>
      <c r="S25" s="12">
        <v>2042</v>
      </c>
      <c r="T25" s="12">
        <v>2043</v>
      </c>
      <c r="U25" s="12">
        <v>2044</v>
      </c>
      <c r="V25" s="12">
        <v>2045</v>
      </c>
      <c r="W25" s="12">
        <v>2046</v>
      </c>
      <c r="X25" s="12">
        <v>2047</v>
      </c>
      <c r="Y25" s="12">
        <v>2048</v>
      </c>
      <c r="Z25" s="12">
        <v>2049</v>
      </c>
      <c r="AA25" s="12">
        <v>2050</v>
      </c>
    </row>
    <row r="26" spans="2:27" x14ac:dyDescent="0.2">
      <c r="B26" s="10" t="s">
        <v>28</v>
      </c>
      <c r="C26" s="13">
        <f>SUMIFS(Peak_Hour[Achievable Peak Hour therm 2026], Peak_Hour[[Sector]:[Sector]], $B26, Peak_Hour[[Cost-Effective]:[Cost-Effective]], 1)</f>
        <v>95.390151949435065</v>
      </c>
      <c r="D26" s="13">
        <f>SUMIFS(Peak_Hour[Achievable Peak Hour therm 2027], Peak_Hour[[Sector]:[Sector]], $B26, Peak_Hour[[Cost-Effective]:[Cost-Effective]], 1)</f>
        <v>134.52573742664026</v>
      </c>
      <c r="E26" s="13">
        <f>SUMIFS(Peak_Hour[Achievable Peak Hour therm 2028], Peak_Hour[[Sector]:[Sector]], $B26, Peak_Hour[[Cost-Effective]:[Cost-Effective]], 1)</f>
        <v>191.30152642881652</v>
      </c>
      <c r="F26" s="13">
        <f>SUMIFS(Peak_Hour[Achievable Peak Hour therm 2029], Peak_Hour[[Sector]:[Sector]], $B26, Peak_Hour[[Cost-Effective]:[Cost-Effective]], 1)</f>
        <v>258.4818450538466</v>
      </c>
      <c r="G26" s="13">
        <f>SUMIFS(Peak_Hour[Achievable Peak Hour therm 2030], Peak_Hour[[Sector]:[Sector]], $B26, Peak_Hour[[Cost-Effective]:[Cost-Effective]], 1)</f>
        <v>340.04112128202712</v>
      </c>
      <c r="H26" s="13">
        <f>SUMIFS(Peak_Hour[Achievable Peak Hour therm 2031], Peak_Hour[[Sector]:[Sector]], $B26, Peak_Hour[[Cost-Effective]:[Cost-Effective]], 1)</f>
        <v>434.59678027244053</v>
      </c>
      <c r="I26" s="13">
        <f>SUMIFS(Peak_Hour[Achievable Peak Hour therm 2032], Peak_Hour[[Sector]:[Sector]], $B26, Peak_Hour[[Cost-Effective]:[Cost-Effective]], 1)</f>
        <v>538.41700784241334</v>
      </c>
      <c r="J26" s="13">
        <f>SUMIFS(Peak_Hour[Achievable Peak Hour therm 2033], Peak_Hour[[Sector]:[Sector]], $B26, Peak_Hour[[Cost-Effective]:[Cost-Effective]], 1)</f>
        <v>645.17657363971671</v>
      </c>
      <c r="K26" s="13">
        <f>SUMIFS(Peak_Hour[Achievable Peak Hour therm 2034], Peak_Hour[[Sector]:[Sector]], $B26, Peak_Hour[[Cost-Effective]:[Cost-Effective]], 1)</f>
        <v>745.97558546207404</v>
      </c>
      <c r="L26" s="13">
        <f>SUMIFS(Peak_Hour[Achievable Peak Hour therm 2035], Peak_Hour[[Sector]:[Sector]], $B26, Peak_Hour[[Cost-Effective]:[Cost-Effective]], 1)</f>
        <v>829.98222801444695</v>
      </c>
      <c r="M26" s="13">
        <f>SUMIFS(Peak_Hour[Achievable Peak Hour therm 2036], Peak_Hour[[Sector]:[Sector]], $B26, Peak_Hour[[Cost-Effective]:[Cost-Effective]], 1)</f>
        <v>886.45291808002344</v>
      </c>
      <c r="N26" s="13">
        <f>SUMIFS(Peak_Hour[Achievable Peak Hour therm 2037], Peak_Hour[[Sector]:[Sector]], $B26, Peak_Hour[[Cost-Effective]:[Cost-Effective]], 1)</f>
        <v>906.8069488947026</v>
      </c>
      <c r="O26" s="13">
        <f>SUMIFS(Peak_Hour[Achievable Peak Hour therm 2038], Peak_Hour[[Sector]:[Sector]], $B26, Peak_Hour[[Cost-Effective]:[Cost-Effective]], 1)</f>
        <v>887.17489352117457</v>
      </c>
      <c r="P26" s="13">
        <f>SUMIFS(Peak_Hour[Achievable Peak Hour therm 2039], Peak_Hour[[Sector]:[Sector]], $B26, Peak_Hour[[Cost-Effective]:[Cost-Effective]], 1)</f>
        <v>833.51952340077332</v>
      </c>
      <c r="Q26" s="13">
        <f>SUMIFS(Peak_Hour[Achievable Peak Hour therm 2040], Peak_Hour[[Sector]:[Sector]], $B26, Peak_Hour[[Cost-Effective]:[Cost-Effective]], 1)</f>
        <v>749.14782925322697</v>
      </c>
      <c r="R26" s="13">
        <f>SUMIFS(Peak_Hour[Achievable Peak Hour therm 2041], Peak_Hour[[Sector]:[Sector]], $B26, Peak_Hour[[Cost-Effective]:[Cost-Effective]], 1)</f>
        <v>653.86369118112282</v>
      </c>
      <c r="S26" s="13">
        <f>SUMIFS(Peak_Hour[Achievable Peak Hour therm 2042], Peak_Hour[[Sector]:[Sector]], $B26, Peak_Hour[[Cost-Effective]:[Cost-Effective]], 1)</f>
        <v>514.40423768211406</v>
      </c>
      <c r="T26" s="13">
        <f>SUMIFS(Peak_Hour[Achievable Peak Hour therm 2043], Peak_Hour[[Sector]:[Sector]], $B26, Peak_Hour[[Cost-Effective]:[Cost-Effective]], 1)</f>
        <v>446.00119123899748</v>
      </c>
      <c r="U26" s="13">
        <f>SUMIFS(Peak_Hour[Achievable Peak Hour therm 2044], Peak_Hour[[Sector]:[Sector]], $B26, Peak_Hour[[Cost-Effective]:[Cost-Effective]], 1)</f>
        <v>328.34295305205387</v>
      </c>
      <c r="V26" s="13">
        <f>SUMIFS(Peak_Hour[Achievable Peak Hour therm 2045], Peak_Hour[[Sector]:[Sector]], $B26, Peak_Hour[[Cost-Effective]:[Cost-Effective]], 1)</f>
        <v>316.97819151457128</v>
      </c>
      <c r="W26" s="13">
        <f>SUMIFS(Peak_Hour[Achievable Peak Hour therm 2046], Peak_Hour[[Sector]:[Sector]], $B26, Peak_Hour[[Cost-Effective]:[Cost-Effective]], 1)</f>
        <v>312.62659148177875</v>
      </c>
      <c r="X26" s="13">
        <f>SUMIFS(Peak_Hour[Achievable Peak Hour therm 2047], Peak_Hour[[Sector]:[Sector]], $B26, Peak_Hour[[Cost-Effective]:[Cost-Effective]], 1)</f>
        <v>309.5616370425534</v>
      </c>
      <c r="Y26" s="13">
        <f>SUMIFS(Peak_Hour[Achievable Peak Hour therm 2048], Peak_Hour[[Sector]:[Sector]], $B26, Peak_Hour[[Cost-Effective]:[Cost-Effective]], 1)</f>
        <v>306.16232318157586</v>
      </c>
      <c r="Z26" s="13">
        <f>SUMIFS(Peak_Hour[Achievable Peak Hour therm 2049], Peak_Hour[[Sector]:[Sector]], $B26, Peak_Hour[[Cost-Effective]:[Cost-Effective]], 1)</f>
        <v>302.04271286266129</v>
      </c>
      <c r="AA26" s="13">
        <f>SUMIFS(Peak_Hour[Achievable Peak Hour therm 2050], Peak_Hour[[Sector]:[Sector]], $B26, Peak_Hour[[Cost-Effective]:[Cost-Effective]], 1)</f>
        <v>249.96816985034368</v>
      </c>
    </row>
    <row r="27" spans="2:27" x14ac:dyDescent="0.2">
      <c r="B27" s="10" t="s">
        <v>31</v>
      </c>
      <c r="C27" s="13">
        <f>SUMIFS(Peak_Hour[Achievable Peak Hour therm 2026], Peak_Hour[[Sector]:[Sector]], $B27, Peak_Hour[[Cost-Effective]:[Cost-Effective]], 1)</f>
        <v>196.28936569342292</v>
      </c>
      <c r="D27" s="13">
        <f>SUMIFS(Peak_Hour[Achievable Peak Hour therm 2027], Peak_Hour[[Sector]:[Sector]], $B27, Peak_Hour[[Cost-Effective]:[Cost-Effective]], 1)</f>
        <v>200.63765504726342</v>
      </c>
      <c r="E27" s="13">
        <f>SUMIFS(Peak_Hour[Achievable Peak Hour therm 2028], Peak_Hour[[Sector]:[Sector]], $B27, Peak_Hour[[Cost-Effective]:[Cost-Effective]], 1)</f>
        <v>217.94620489216285</v>
      </c>
      <c r="F27" s="13">
        <f>SUMIFS(Peak_Hour[Achievable Peak Hour therm 2029], Peak_Hour[[Sector]:[Sector]], $B27, Peak_Hour[[Cost-Effective]:[Cost-Effective]], 1)</f>
        <v>245.02990848312197</v>
      </c>
      <c r="G27" s="13">
        <f>SUMIFS(Peak_Hour[Achievable Peak Hour therm 2030], Peak_Hour[[Sector]:[Sector]], $B27, Peak_Hour[[Cost-Effective]:[Cost-Effective]], 1)</f>
        <v>272.96871493057466</v>
      </c>
      <c r="H27" s="13">
        <f>SUMIFS(Peak_Hour[Achievable Peak Hour therm 2031], Peak_Hour[[Sector]:[Sector]], $B27, Peak_Hour[[Cost-Effective]:[Cost-Effective]], 1)</f>
        <v>301.5095975821115</v>
      </c>
      <c r="I27" s="13">
        <f>SUMIFS(Peak_Hour[Achievable Peak Hour therm 2032], Peak_Hour[[Sector]:[Sector]], $B27, Peak_Hour[[Cost-Effective]:[Cost-Effective]], 1)</f>
        <v>318.62421519891609</v>
      </c>
      <c r="J27" s="13">
        <f>SUMIFS(Peak_Hour[Achievable Peak Hour therm 2033], Peak_Hour[[Sector]:[Sector]], $B27, Peak_Hour[[Cost-Effective]:[Cost-Effective]], 1)</f>
        <v>322.6698091978397</v>
      </c>
      <c r="K27" s="13">
        <f>SUMIFS(Peak_Hour[Achievable Peak Hour therm 2034], Peak_Hour[[Sector]:[Sector]], $B27, Peak_Hour[[Cost-Effective]:[Cost-Effective]], 1)</f>
        <v>302.17922608195289</v>
      </c>
      <c r="L27" s="13">
        <f>SUMIFS(Peak_Hour[Achievable Peak Hour therm 2035], Peak_Hour[[Sector]:[Sector]], $B27, Peak_Hour[[Cost-Effective]:[Cost-Effective]], 1)</f>
        <v>264.78559374359486</v>
      </c>
      <c r="M27" s="13">
        <f>SUMIFS(Peak_Hour[Achievable Peak Hour therm 2036], Peak_Hour[[Sector]:[Sector]], $B27, Peak_Hour[[Cost-Effective]:[Cost-Effective]], 1)</f>
        <v>245.08916528982149</v>
      </c>
      <c r="N27" s="13">
        <f>SUMIFS(Peak_Hour[Achievable Peak Hour therm 2037], Peak_Hour[[Sector]:[Sector]], $B27, Peak_Hour[[Cost-Effective]:[Cost-Effective]], 1)</f>
        <v>255.20868010011313</v>
      </c>
      <c r="O27" s="13">
        <f>SUMIFS(Peak_Hour[Achievable Peak Hour therm 2038], Peak_Hour[[Sector]:[Sector]], $B27, Peak_Hour[[Cost-Effective]:[Cost-Effective]], 1)</f>
        <v>262.25158659325263</v>
      </c>
      <c r="P27" s="13">
        <f>SUMIFS(Peak_Hour[Achievable Peak Hour therm 2039], Peak_Hour[[Sector]:[Sector]], $B27, Peak_Hour[[Cost-Effective]:[Cost-Effective]], 1)</f>
        <v>259.04359490740603</v>
      </c>
      <c r="Q27" s="13">
        <f>SUMIFS(Peak_Hour[Achievable Peak Hour therm 2040], Peak_Hour[[Sector]:[Sector]], $B27, Peak_Hour[[Cost-Effective]:[Cost-Effective]], 1)</f>
        <v>244.59029554589176</v>
      </c>
      <c r="R27" s="13">
        <f>SUMIFS(Peak_Hour[Achievable Peak Hour therm 2041], Peak_Hour[[Sector]:[Sector]], $B27, Peak_Hour[[Cost-Effective]:[Cost-Effective]], 1)</f>
        <v>217.51962117202606</v>
      </c>
      <c r="S27" s="13">
        <f>SUMIFS(Peak_Hour[Achievable Peak Hour therm 2042], Peak_Hour[[Sector]:[Sector]], $B27, Peak_Hour[[Cost-Effective]:[Cost-Effective]], 1)</f>
        <v>193.33690261858516</v>
      </c>
      <c r="T27" s="13">
        <f>SUMIFS(Peak_Hour[Achievable Peak Hour therm 2043], Peak_Hour[[Sector]:[Sector]], $B27, Peak_Hour[[Cost-Effective]:[Cost-Effective]], 1)</f>
        <v>172.12634362964249</v>
      </c>
      <c r="U27" s="13">
        <f>SUMIFS(Peak_Hour[Achievable Peak Hour therm 2044], Peak_Hour[[Sector]:[Sector]], $B27, Peak_Hour[[Cost-Effective]:[Cost-Effective]], 1)</f>
        <v>132.99168357422488</v>
      </c>
      <c r="V27" s="13">
        <f>SUMIFS(Peak_Hour[Achievable Peak Hour therm 2045], Peak_Hour[[Sector]:[Sector]], $B27, Peak_Hour[[Cost-Effective]:[Cost-Effective]], 1)</f>
        <v>126.49395375037574</v>
      </c>
      <c r="W27" s="13">
        <f>SUMIFS(Peak_Hour[Achievable Peak Hour therm 2046], Peak_Hour[[Sector]:[Sector]], $B27, Peak_Hour[[Cost-Effective]:[Cost-Effective]], 1)</f>
        <v>126.35118497937397</v>
      </c>
      <c r="X27" s="13">
        <f>SUMIFS(Peak_Hour[Achievable Peak Hour therm 2047], Peak_Hour[[Sector]:[Sector]], $B27, Peak_Hour[[Cost-Effective]:[Cost-Effective]], 1)</f>
        <v>122.78608379920929</v>
      </c>
      <c r="Y27" s="13">
        <f>SUMIFS(Peak_Hour[Achievable Peak Hour therm 2048], Peak_Hour[[Sector]:[Sector]], $B27, Peak_Hour[[Cost-Effective]:[Cost-Effective]], 1)</f>
        <v>112.41031623955647</v>
      </c>
      <c r="Z27" s="13">
        <f>SUMIFS(Peak_Hour[Achievable Peak Hour therm 2049], Peak_Hour[[Sector]:[Sector]], $B27, Peak_Hour[[Cost-Effective]:[Cost-Effective]], 1)</f>
        <v>106.98122753536283</v>
      </c>
      <c r="AA27" s="13">
        <f>SUMIFS(Peak_Hour[Achievable Peak Hour therm 2050], Peak_Hour[[Sector]:[Sector]], $B27, Peak_Hour[[Cost-Effective]:[Cost-Effective]], 1)</f>
        <v>62.96367197194823</v>
      </c>
    </row>
    <row r="28" spans="2:27" x14ac:dyDescent="0.2">
      <c r="B28" s="10" t="s">
        <v>33</v>
      </c>
      <c r="C28" s="13">
        <f>SUMIFS(Peak_Hour[Achievable Peak Hour therm 2026], Peak_Hour[[Sector]:[Sector]], $B28, Peak_Hour[[Cost-Effective]:[Cost-Effective]], 1)</f>
        <v>10.993917105348075</v>
      </c>
      <c r="D28" s="13">
        <f>SUMIFS(Peak_Hour[Achievable Peak Hour therm 2027], Peak_Hour[[Sector]:[Sector]], $B28, Peak_Hour[[Cost-Effective]:[Cost-Effective]], 1)</f>
        <v>21.184488756289621</v>
      </c>
      <c r="E28" s="13">
        <f>SUMIFS(Peak_Hour[Achievable Peak Hour therm 2028], Peak_Hour[[Sector]:[Sector]], $B28, Peak_Hour[[Cost-Effective]:[Cost-Effective]], 1)</f>
        <v>36.712395181405</v>
      </c>
      <c r="F28" s="13">
        <f>SUMIFS(Peak_Hour[Achievable Peak Hour therm 2029], Peak_Hour[[Sector]:[Sector]], $B28, Peak_Hour[[Cost-Effective]:[Cost-Effective]], 1)</f>
        <v>58.510551442080732</v>
      </c>
      <c r="G28" s="13">
        <f>SUMIFS(Peak_Hour[Achievable Peak Hour therm 2030], Peak_Hour[[Sector]:[Sector]], $B28, Peak_Hour[[Cost-Effective]:[Cost-Effective]], 1)</f>
        <v>87.300417646750361</v>
      </c>
      <c r="H28" s="13">
        <f>SUMIFS(Peak_Hour[Achievable Peak Hour therm 2031], Peak_Hour[[Sector]:[Sector]], $B28, Peak_Hour[[Cost-Effective]:[Cost-Effective]], 1)</f>
        <v>123.15832787046139</v>
      </c>
      <c r="I28" s="13">
        <f>SUMIFS(Peak_Hour[Achievable Peak Hour therm 2032], Peak_Hour[[Sector]:[Sector]], $B28, Peak_Hour[[Cost-Effective]:[Cost-Effective]], 1)</f>
        <v>165.24362656278325</v>
      </c>
      <c r="J28" s="13">
        <f>SUMIFS(Peak_Hour[Achievable Peak Hour therm 2033], Peak_Hour[[Sector]:[Sector]], $B28, Peak_Hour[[Cost-Effective]:[Cost-Effective]], 1)</f>
        <v>211.50634265652474</v>
      </c>
      <c r="K28" s="13">
        <f>SUMIFS(Peak_Hour[Achievable Peak Hour therm 2034], Peak_Hour[[Sector]:[Sector]], $B28, Peak_Hour[[Cost-Effective]:[Cost-Effective]], 1)</f>
        <v>258.51256577658489</v>
      </c>
      <c r="L28" s="13">
        <f>SUMIFS(Peak_Hour[Achievable Peak Hour therm 2035], Peak_Hour[[Sector]:[Sector]], $B28, Peak_Hour[[Cost-Effective]:[Cost-Effective]], 1)</f>
        <v>301.52573656387204</v>
      </c>
      <c r="M28" s="13">
        <f>SUMIFS(Peak_Hour[Achievable Peak Hour therm 2036], Peak_Hour[[Sector]:[Sector]], $B28, Peak_Hour[[Cost-Effective]:[Cost-Effective]], 1)</f>
        <v>334.98157140356062</v>
      </c>
      <c r="N28" s="13">
        <f>SUMIFS(Peak_Hour[Achievable Peak Hour therm 2037], Peak_Hour[[Sector]:[Sector]], $B28, Peak_Hour[[Cost-Effective]:[Cost-Effective]], 1)</f>
        <v>353.42291972972708</v>
      </c>
      <c r="O28" s="13">
        <f>SUMIFS(Peak_Hour[Achievable Peak Hour therm 2038], Peak_Hour[[Sector]:[Sector]], $B28, Peak_Hour[[Cost-Effective]:[Cost-Effective]], 1)</f>
        <v>352.79879735302853</v>
      </c>
      <c r="P28" s="13">
        <f>SUMIFS(Peak_Hour[Achievable Peak Hour therm 2039], Peak_Hour[[Sector]:[Sector]], $B28, Peak_Hour[[Cost-Effective]:[Cost-Effective]], 1)</f>
        <v>331.96909124306183</v>
      </c>
      <c r="Q28" s="13">
        <f>SUMIFS(Peak_Hour[Achievable Peak Hour therm 2040], Peak_Hour[[Sector]:[Sector]], $B28, Peak_Hour[[Cost-Effective]:[Cost-Effective]], 1)</f>
        <v>287.04006237674497</v>
      </c>
      <c r="R28" s="13">
        <f>SUMIFS(Peak_Hour[Achievable Peak Hour therm 2041], Peak_Hour[[Sector]:[Sector]], $B28, Peak_Hour[[Cost-Effective]:[Cost-Effective]], 1)</f>
        <v>239.78058318287458</v>
      </c>
      <c r="S28" s="13">
        <f>SUMIFS(Peak_Hour[Achievable Peak Hour therm 2042], Peak_Hour[[Sector]:[Sector]], $B28, Peak_Hour[[Cost-Effective]:[Cost-Effective]], 1)</f>
        <v>104.79633101016329</v>
      </c>
      <c r="T28" s="13">
        <f>SUMIFS(Peak_Hour[Achievable Peak Hour therm 2043], Peak_Hour[[Sector]:[Sector]], $B28, Peak_Hour[[Cost-Effective]:[Cost-Effective]], 1)</f>
        <v>28.362224878115068</v>
      </c>
      <c r="U28" s="13">
        <f>SUMIFS(Peak_Hour[Achievable Peak Hour therm 2044], Peak_Hour[[Sector]:[Sector]], $B28, Peak_Hour[[Cost-Effective]:[Cost-Effective]], 1)</f>
        <v>28.323866051837253</v>
      </c>
      <c r="V28" s="13">
        <f>SUMIFS(Peak_Hour[Achievable Peak Hour therm 2045], Peak_Hour[[Sector]:[Sector]], $B28, Peak_Hour[[Cost-Effective]:[Cost-Effective]], 1)</f>
        <v>28.171659324066418</v>
      </c>
      <c r="W28" s="13">
        <f>SUMIFS(Peak_Hour[Achievable Peak Hour therm 2046], Peak_Hour[[Sector]:[Sector]], $B28, Peak_Hour[[Cost-Effective]:[Cost-Effective]], 1)</f>
        <v>27.97083934629816</v>
      </c>
      <c r="X28" s="13">
        <f>SUMIFS(Peak_Hour[Achievable Peak Hour therm 2047], Peak_Hour[[Sector]:[Sector]], $B28, Peak_Hour[[Cost-Effective]:[Cost-Effective]], 1)</f>
        <v>27.755142582748814</v>
      </c>
      <c r="Y28" s="13">
        <f>SUMIFS(Peak_Hour[Achievable Peak Hour therm 2048], Peak_Hour[[Sector]:[Sector]], $B28, Peak_Hour[[Cost-Effective]:[Cost-Effective]], 1)</f>
        <v>27.541109218219102</v>
      </c>
      <c r="Z28" s="13">
        <f>SUMIFS(Peak_Hour[Achievable Peak Hour therm 2049], Peak_Hour[[Sector]:[Sector]], $B28, Peak_Hour[[Cost-Effective]:[Cost-Effective]], 1)</f>
        <v>27.328726424523225</v>
      </c>
      <c r="AA28" s="13">
        <f>SUMIFS(Peak_Hour[Achievable Peak Hour therm 2050], Peak_Hour[[Sector]:[Sector]], $B28, Peak_Hour[[Cost-Effective]:[Cost-Effective]], 1)</f>
        <v>27.117981472410793</v>
      </c>
    </row>
    <row r="29" spans="2:27" ht="13.5" thickBot="1" x14ac:dyDescent="0.25">
      <c r="B29" s="14" t="s">
        <v>34</v>
      </c>
      <c r="C29" s="15">
        <f>SUM(C26:C28)</f>
        <v>302.67343474820609</v>
      </c>
      <c r="D29" s="15">
        <f t="shared" ref="D29:AA29" si="10">SUM(D26:D28)</f>
        <v>356.34788123019331</v>
      </c>
      <c r="E29" s="15">
        <f t="shared" si="10"/>
        <v>445.96012650238436</v>
      </c>
      <c r="F29" s="15">
        <f t="shared" si="10"/>
        <v>562.0223049790493</v>
      </c>
      <c r="G29" s="15">
        <f t="shared" si="10"/>
        <v>700.3102538593522</v>
      </c>
      <c r="H29" s="15">
        <f t="shared" si="10"/>
        <v>859.2647057250133</v>
      </c>
      <c r="I29" s="15">
        <f t="shared" si="10"/>
        <v>1022.2848496041127</v>
      </c>
      <c r="J29" s="15">
        <f t="shared" si="10"/>
        <v>1179.3527254940811</v>
      </c>
      <c r="K29" s="15">
        <f t="shared" si="10"/>
        <v>1306.6673773206116</v>
      </c>
      <c r="L29" s="15">
        <f t="shared" si="10"/>
        <v>1396.2935583219139</v>
      </c>
      <c r="M29" s="15">
        <f t="shared" si="10"/>
        <v>1466.5236547734055</v>
      </c>
      <c r="N29" s="15">
        <f t="shared" si="10"/>
        <v>1515.4385487245427</v>
      </c>
      <c r="O29" s="15">
        <f t="shared" si="10"/>
        <v>1502.2252774674557</v>
      </c>
      <c r="P29" s="15">
        <f t="shared" si="10"/>
        <v>1424.5322095512411</v>
      </c>
      <c r="Q29" s="15">
        <f t="shared" si="10"/>
        <v>1280.7781871758636</v>
      </c>
      <c r="R29" s="15">
        <f t="shared" si="10"/>
        <v>1111.1638955360236</v>
      </c>
      <c r="S29" s="15">
        <f t="shared" si="10"/>
        <v>812.53747131086254</v>
      </c>
      <c r="T29" s="15">
        <f t="shared" si="10"/>
        <v>646.489759746755</v>
      </c>
      <c r="U29" s="15">
        <f t="shared" si="10"/>
        <v>489.65850267811601</v>
      </c>
      <c r="V29" s="15">
        <f t="shared" si="10"/>
        <v>471.64380458901343</v>
      </c>
      <c r="W29" s="15">
        <f t="shared" si="10"/>
        <v>466.94861580745084</v>
      </c>
      <c r="X29" s="15">
        <f t="shared" si="10"/>
        <v>460.1028634245115</v>
      </c>
      <c r="Y29" s="15">
        <f t="shared" si="10"/>
        <v>446.1137486393514</v>
      </c>
      <c r="Z29" s="15">
        <f t="shared" si="10"/>
        <v>436.35266682254735</v>
      </c>
      <c r="AA29" s="15">
        <f t="shared" si="10"/>
        <v>340.04982329470272</v>
      </c>
    </row>
    <row r="32" spans="2:27" x14ac:dyDescent="0.2">
      <c r="B32" s="9" t="s">
        <v>83</v>
      </c>
    </row>
    <row r="33" spans="2:27" x14ac:dyDescent="0.2">
      <c r="B33" s="11"/>
      <c r="C33" s="12">
        <v>2026</v>
      </c>
      <c r="D33" s="12">
        <v>2027</v>
      </c>
      <c r="E33" s="12">
        <v>2028</v>
      </c>
      <c r="F33" s="12">
        <v>2029</v>
      </c>
      <c r="G33" s="12">
        <v>2030</v>
      </c>
      <c r="H33" s="12">
        <v>2031</v>
      </c>
      <c r="I33" s="12">
        <v>2032</v>
      </c>
      <c r="J33" s="12">
        <v>2033</v>
      </c>
      <c r="K33" s="12">
        <v>2034</v>
      </c>
      <c r="L33" s="12">
        <v>2035</v>
      </c>
      <c r="M33" s="12">
        <v>2036</v>
      </c>
      <c r="N33" s="12">
        <v>2037</v>
      </c>
      <c r="O33" s="12">
        <v>2038</v>
      </c>
      <c r="P33" s="12">
        <v>2039</v>
      </c>
      <c r="Q33" s="12">
        <v>2040</v>
      </c>
      <c r="R33" s="12">
        <v>2041</v>
      </c>
      <c r="S33" s="12">
        <v>2042</v>
      </c>
      <c r="T33" s="12">
        <v>2043</v>
      </c>
      <c r="U33" s="12">
        <v>2044</v>
      </c>
      <c r="V33" s="12">
        <v>2045</v>
      </c>
      <c r="W33" s="12">
        <v>2046</v>
      </c>
      <c r="X33" s="12">
        <v>2047</v>
      </c>
      <c r="Y33" s="12">
        <v>2048</v>
      </c>
      <c r="Z33" s="12">
        <v>2049</v>
      </c>
      <c r="AA33" s="12">
        <v>2050</v>
      </c>
    </row>
    <row r="34" spans="2:27" x14ac:dyDescent="0.2">
      <c r="B34" s="9" t="s">
        <v>28</v>
      </c>
      <c r="C34" s="18">
        <f>SUMIFS(Peak_Hour[Achievable Peak Hour therm 2026], Peak_Hour[[Rate Class]:[Rate Class]], $B34)</f>
        <v>144.60150302773781</v>
      </c>
      <c r="D34" s="18">
        <f>SUMIFS(Peak_Hour[Achievable Peak Hour therm 2027], Peak_Hour[[Rate Class]:[Rate Class]], $B34)</f>
        <v>188.87856318059775</v>
      </c>
      <c r="E34" s="18">
        <f>SUMIFS(Peak_Hour[Achievable Peak Hour therm 2028], Peak_Hour[[Rate Class]:[Rate Class]], $B34)</f>
        <v>256.59346073781489</v>
      </c>
      <c r="F34" s="18">
        <f>SUMIFS(Peak_Hour[Achievable Peak Hour therm 2029], Peak_Hour[[Rate Class]:[Rate Class]], $B34)</f>
        <v>331.87902807748236</v>
      </c>
      <c r="G34" s="18">
        <f>SUMIFS(Peak_Hour[Achievable Peak Hour therm 2030], Peak_Hour[[Rate Class]:[Rate Class]], $B34)</f>
        <v>421.85386419723892</v>
      </c>
      <c r="H34" s="18">
        <f>SUMIFS(Peak_Hour[Achievable Peak Hour therm 2031], Peak_Hour[[Rate Class]:[Rate Class]], $B34)</f>
        <v>530.01150752446358</v>
      </c>
      <c r="I34" s="18">
        <f>SUMIFS(Peak_Hour[Achievable Peak Hour therm 2032], Peak_Hour[[Rate Class]:[Rate Class]], $B34)</f>
        <v>651.87314557225852</v>
      </c>
      <c r="J34" s="18">
        <f>SUMIFS(Peak_Hour[Achievable Peak Hour therm 2033], Peak_Hour[[Rate Class]:[Rate Class]], $B34)</f>
        <v>779.81319555580592</v>
      </c>
      <c r="K34" s="18">
        <f>SUMIFS(Peak_Hour[Achievable Peak Hour therm 2034], Peak_Hour[[Rate Class]:[Rate Class]], $B34)</f>
        <v>902.97409094635555</v>
      </c>
      <c r="L34" s="18">
        <f>SUMIFS(Peak_Hour[Achievable Peak Hour therm 2035], Peak_Hour[[Rate Class]:[Rate Class]], $B34)</f>
        <v>1007.9285901301806</v>
      </c>
      <c r="M34" s="18">
        <f>SUMIFS(Peak_Hour[Achievable Peak Hour therm 2036], Peak_Hour[[Rate Class]:[Rate Class]], $B34)</f>
        <v>1080.9009032012864</v>
      </c>
      <c r="N34" s="18">
        <f>SUMIFS(Peak_Hour[Achievable Peak Hour therm 2037], Peak_Hour[[Rate Class]:[Rate Class]], $B34)</f>
        <v>1105.7636624898128</v>
      </c>
      <c r="O34" s="18">
        <f>SUMIFS(Peak_Hour[Achievable Peak Hour therm 2038], Peak_Hour[[Rate Class]:[Rate Class]], $B34)</f>
        <v>1084.7325598530904</v>
      </c>
      <c r="P34" s="18">
        <f>SUMIFS(Peak_Hour[Achievable Peak Hour therm 2039], Peak_Hour[[Rate Class]:[Rate Class]], $B34)</f>
        <v>1020.3807417486115</v>
      </c>
      <c r="Q34" s="18">
        <f>SUMIFS(Peak_Hour[Achievable Peak Hour therm 2040], Peak_Hour[[Rate Class]:[Rate Class]], $B34)</f>
        <v>915.4860011598031</v>
      </c>
      <c r="R34" s="18">
        <f>SUMIFS(Peak_Hour[Achievable Peak Hour therm 2041], Peak_Hour[[Rate Class]:[Rate Class]], $B34)</f>
        <v>794.08021913064147</v>
      </c>
      <c r="S34" s="18">
        <f>SUMIFS(Peak_Hour[Achievable Peak Hour therm 2042], Peak_Hour[[Rate Class]:[Rate Class]], $B34)</f>
        <v>624.04037869795866</v>
      </c>
      <c r="T34" s="18">
        <f>SUMIFS(Peak_Hour[Achievable Peak Hour therm 2043], Peak_Hour[[Rate Class]:[Rate Class]], $B34)</f>
        <v>525.10036844020499</v>
      </c>
      <c r="U34" s="18">
        <f>SUMIFS(Peak_Hour[Achievable Peak Hour therm 2044], Peak_Hour[[Rate Class]:[Rate Class]], $B34)</f>
        <v>350.80966773408483</v>
      </c>
      <c r="V34" s="18">
        <f>SUMIFS(Peak_Hour[Achievable Peak Hour therm 2045], Peak_Hour[[Rate Class]:[Rate Class]], $B34)</f>
        <v>331.79902564617333</v>
      </c>
      <c r="W34" s="18">
        <f>SUMIFS(Peak_Hour[Achievable Peak Hour therm 2046], Peak_Hour[[Rate Class]:[Rate Class]], $B34)</f>
        <v>327.38503990605363</v>
      </c>
      <c r="X34" s="18">
        <f>SUMIFS(Peak_Hour[Achievable Peak Hour therm 2047], Peak_Hour[[Rate Class]:[Rate Class]], $B34)</f>
        <v>324.25884072906666</v>
      </c>
      <c r="Y34" s="18">
        <f>SUMIFS(Peak_Hour[Achievable Peak Hour therm 2048], Peak_Hour[[Rate Class]:[Rate Class]], $B34)</f>
        <v>320.79877053648352</v>
      </c>
      <c r="Z34" s="18">
        <f>SUMIFS(Peak_Hour[Achievable Peak Hour therm 2049], Peak_Hour[[Rate Class]:[Rate Class]], $B34)</f>
        <v>316.61847585338052</v>
      </c>
      <c r="AA34" s="18">
        <f>SUMIFS(Peak_Hour[Achievable Peak Hour therm 2050], Peak_Hour[[Rate Class]:[Rate Class]], $B34)</f>
        <v>264.48302074261483</v>
      </c>
    </row>
    <row r="35" spans="2:27" x14ac:dyDescent="0.2">
      <c r="B35" s="9" t="s">
        <v>31</v>
      </c>
      <c r="C35" s="18">
        <f>SUMIFS(Peak_Hour[Achievable Peak Hour therm 2026], Peak_Hour[[Rate Class]:[Rate Class]], $B35)</f>
        <v>198.91051668630416</v>
      </c>
      <c r="D35" s="18">
        <f>SUMIFS(Peak_Hour[Achievable Peak Hour therm 2027], Peak_Hour[[Rate Class]:[Rate Class]], $B35)</f>
        <v>205.28659236731258</v>
      </c>
      <c r="E35" s="18">
        <f>SUMIFS(Peak_Hour[Achievable Peak Hour therm 2028], Peak_Hour[[Rate Class]:[Rate Class]], $B35)</f>
        <v>225.87258137370003</v>
      </c>
      <c r="F35" s="18">
        <f>SUMIFS(Peak_Hour[Achievable Peak Hour therm 2029], Peak_Hour[[Rate Class]:[Rate Class]], $B35)</f>
        <v>256.94044498108377</v>
      </c>
      <c r="G35" s="18">
        <f>SUMIFS(Peak_Hour[Achievable Peak Hour therm 2030], Peak_Hour[[Rate Class]:[Rate Class]], $B35)</f>
        <v>289.89954660787578</v>
      </c>
      <c r="H35" s="18">
        <f>SUMIFS(Peak_Hour[Achievable Peak Hour therm 2031], Peak_Hour[[Rate Class]:[Rate Class]], $B35)</f>
        <v>324.40701082321442</v>
      </c>
      <c r="I35" s="18">
        <f>SUMIFS(Peak_Hour[Achievable Peak Hour therm 2032], Peak_Hour[[Rate Class]:[Rate Class]], $B35)</f>
        <v>348.20168077183894</v>
      </c>
      <c r="J35" s="18">
        <f>SUMIFS(Peak_Hour[Achievable Peak Hour therm 2033], Peak_Hour[[Rate Class]:[Rate Class]], $B35)</f>
        <v>359.20249089381025</v>
      </c>
      <c r="K35" s="18">
        <f>SUMIFS(Peak_Hour[Achievable Peak Hour therm 2034], Peak_Hour[[Rate Class]:[Rate Class]], $B35)</f>
        <v>345.3117546923533</v>
      </c>
      <c r="L35" s="18">
        <f>SUMIFS(Peak_Hour[Achievable Peak Hour therm 2035], Peak_Hour[[Rate Class]:[Rate Class]], $B35)</f>
        <v>313.40184737110974</v>
      </c>
      <c r="M35" s="18">
        <f>SUMIFS(Peak_Hour[Achievable Peak Hour therm 2036], Peak_Hour[[Rate Class]:[Rate Class]], $B35)</f>
        <v>297.27852316865489</v>
      </c>
      <c r="N35" s="18">
        <f>SUMIFS(Peak_Hour[Achievable Peak Hour therm 2037], Peak_Hour[[Rate Class]:[Rate Class]], $B35)</f>
        <v>308.35921821383488</v>
      </c>
      <c r="O35" s="18">
        <f>SUMIFS(Peak_Hour[Achievable Peak Hour therm 2038], Peak_Hour[[Rate Class]:[Rate Class]], $B35)</f>
        <v>313.55763262790532</v>
      </c>
      <c r="P35" s="18">
        <f>SUMIFS(Peak_Hour[Achievable Peak Hour therm 2039], Peak_Hour[[Rate Class]:[Rate Class]], $B35)</f>
        <v>305.87747980269904</v>
      </c>
      <c r="Q35" s="18">
        <f>SUMIFS(Peak_Hour[Achievable Peak Hour therm 2040], Peak_Hour[[Rate Class]:[Rate Class]], $B35)</f>
        <v>281.70179985459964</v>
      </c>
      <c r="R35" s="18">
        <f>SUMIFS(Peak_Hour[Achievable Peak Hour therm 2041], Peak_Hour[[Rate Class]:[Rate Class]], $B35)</f>
        <v>246.30419762039537</v>
      </c>
      <c r="S35" s="18">
        <f>SUMIFS(Peak_Hour[Achievable Peak Hour therm 2042], Peak_Hour[[Rate Class]:[Rate Class]], $B35)</f>
        <v>206.55194731802212</v>
      </c>
      <c r="T35" s="18">
        <f>SUMIFS(Peak_Hour[Achievable Peak Hour therm 2043], Peak_Hour[[Rate Class]:[Rate Class]], $B35)</f>
        <v>176.93450173730491</v>
      </c>
      <c r="U35" s="18">
        <f>SUMIFS(Peak_Hour[Achievable Peak Hour therm 2044], Peak_Hour[[Rate Class]:[Rate Class]], $B35)</f>
        <v>136.73998293841078</v>
      </c>
      <c r="V35" s="18">
        <f>SUMIFS(Peak_Hour[Achievable Peak Hour therm 2045], Peak_Hour[[Rate Class]:[Rate Class]], $B35)</f>
        <v>129.58764763989663</v>
      </c>
      <c r="W35" s="18">
        <f>SUMIFS(Peak_Hour[Achievable Peak Hour therm 2046], Peak_Hour[[Rate Class]:[Rate Class]], $B35)</f>
        <v>129.39661599581919</v>
      </c>
      <c r="X35" s="18">
        <f>SUMIFS(Peak_Hour[Achievable Peak Hour therm 2047], Peak_Hour[[Rate Class]:[Rate Class]], $B35)</f>
        <v>125.79917478048826</v>
      </c>
      <c r="Y35" s="18">
        <f>SUMIFS(Peak_Hour[Achievable Peak Hour therm 2048], Peak_Hour[[Rate Class]:[Rate Class]], $B35)</f>
        <v>115.39114958017319</v>
      </c>
      <c r="Z35" s="18">
        <f>SUMIFS(Peak_Hour[Achievable Peak Hour therm 2049], Peak_Hour[[Rate Class]:[Rate Class]], $B35)</f>
        <v>109.93036699680098</v>
      </c>
      <c r="AA35" s="18">
        <f>SUMIFS(Peak_Hour[Achievable Peak Hour therm 2050], Peak_Hour[[Rate Class]:[Rate Class]], $B35)</f>
        <v>65.924314265340996</v>
      </c>
    </row>
    <row r="36" spans="2:27" x14ac:dyDescent="0.2">
      <c r="B36" s="16" t="s">
        <v>39</v>
      </c>
      <c r="C36" s="17">
        <f>SUMIFS(Peak_Hour[Achievable Peak Hour therm 2026], Peak_Hour[[Rate Class]:[Rate Class]], $B35, Peak_Hour[[Sales/Transport]:[Sales/Transport]], $B36)</f>
        <v>188.24913144973053</v>
      </c>
      <c r="D36" s="17">
        <f>SUMIFS(Peak_Hour[Achievable Peak Hour therm 2027], Peak_Hour[[Rate Class]:[Rate Class]], $B35, Peak_Hour[[Sales/Transport]:[Sales/Transport]], $B36)</f>
        <v>193.23347147796764</v>
      </c>
      <c r="E36" s="17">
        <f>SUMIFS(Peak_Hour[Achievable Peak Hour therm 2028], Peak_Hour[[Rate Class]:[Rate Class]], $B35, Peak_Hour[[Sales/Transport]:[Sales/Transport]], $B36)</f>
        <v>212.01383173644584</v>
      </c>
      <c r="F36" s="17">
        <f>SUMIFS(Peak_Hour[Achievable Peak Hour therm 2029], Peak_Hour[[Rate Class]:[Rate Class]], $B35, Peak_Hour[[Sales/Transport]:[Sales/Transport]], $B36)</f>
        <v>240.69681929748032</v>
      </c>
      <c r="G36" s="17">
        <f>SUMIFS(Peak_Hour[Achievable Peak Hour therm 2030], Peak_Hour[[Rate Class]:[Rate Class]], $B35, Peak_Hour[[Sales/Transport]:[Sales/Transport]], $B36)</f>
        <v>271.41227104843244</v>
      </c>
      <c r="H36" s="17">
        <f>SUMIFS(Peak_Hour[Achievable Peak Hour therm 2031], Peak_Hour[[Rate Class]:[Rate Class]], $B35, Peak_Hour[[Sales/Transport]:[Sales/Transport]], $B36)</f>
        <v>304.2282626312433</v>
      </c>
      <c r="I36" s="17">
        <f>SUMIFS(Peak_Hour[Achievable Peak Hour therm 2032], Peak_Hour[[Rate Class]:[Rate Class]], $B35, Peak_Hour[[Sales/Transport]:[Sales/Transport]], $B36)</f>
        <v>327.31766110829369</v>
      </c>
      <c r="J36" s="17">
        <f>SUMIFS(Peak_Hour[Achievable Peak Hour therm 2033], Peak_Hour[[Rate Class]:[Rate Class]], $B35, Peak_Hour[[Sales/Transport]:[Sales/Transport]], $B36)</f>
        <v>338.63435020919354</v>
      </c>
      <c r="K36" s="17">
        <f>SUMIFS(Peak_Hour[Achievable Peak Hour therm 2034], Peak_Hour[[Rate Class]:[Rate Class]], $B35, Peak_Hour[[Sales/Transport]:[Sales/Transport]], $B36)</f>
        <v>325.86594936163078</v>
      </c>
      <c r="L36" s="17">
        <f>SUMIFS(Peak_Hour[Achievable Peak Hour therm 2035], Peak_Hour[[Rate Class]:[Rate Class]], $B35, Peak_Hour[[Sales/Transport]:[Sales/Transport]], $B36)</f>
        <v>298.75968899683318</v>
      </c>
      <c r="M36" s="17">
        <f>SUMIFS(Peak_Hour[Achievable Peak Hour therm 2036], Peak_Hour[[Rate Class]:[Rate Class]], $B35, Peak_Hour[[Sales/Transport]:[Sales/Transport]], $B36)</f>
        <v>284.45691468774936</v>
      </c>
      <c r="N36" s="17">
        <f>SUMIFS(Peak_Hour[Achievable Peak Hour therm 2037], Peak_Hour[[Rate Class]:[Rate Class]], $B35, Peak_Hour[[Sales/Transport]:[Sales/Transport]], $B36)</f>
        <v>295.18521361992674</v>
      </c>
      <c r="O36" s="17">
        <f>SUMIFS(Peak_Hour[Achievable Peak Hour therm 2038], Peak_Hour[[Rate Class]:[Rate Class]], $B35, Peak_Hour[[Sales/Transport]:[Sales/Transport]], $B36)</f>
        <v>300.41308178813841</v>
      </c>
      <c r="P36" s="17">
        <f>SUMIFS(Peak_Hour[Achievable Peak Hour therm 2039], Peak_Hour[[Rate Class]:[Rate Class]], $B35, Peak_Hour[[Sales/Transport]:[Sales/Transport]], $B36)</f>
        <v>293.23446433442916</v>
      </c>
      <c r="Q36" s="17">
        <f>SUMIFS(Peak_Hour[Achievable Peak Hour therm 2040], Peak_Hour[[Rate Class]:[Rate Class]], $B35, Peak_Hour[[Sales/Transport]:[Sales/Transport]], $B36)</f>
        <v>269.96154776891666</v>
      </c>
      <c r="R36" s="17">
        <f>SUMIFS(Peak_Hour[Achievable Peak Hour therm 2041], Peak_Hour[[Rate Class]:[Rate Class]], $B35, Peak_Hour[[Sales/Transport]:[Sales/Transport]], $B36)</f>
        <v>236.73539282862262</v>
      </c>
      <c r="S36" s="17">
        <f>SUMIFS(Peak_Hour[Achievable Peak Hour therm 2042], Peak_Hour[[Rate Class]:[Rate Class]], $B35, Peak_Hour[[Sales/Transport]:[Sales/Transport]], $B36)</f>
        <v>197.7776258168839</v>
      </c>
      <c r="T36" s="17">
        <f>SUMIFS(Peak_Hour[Achievable Peak Hour therm 2043], Peak_Hour[[Rate Class]:[Rate Class]], $B35, Peak_Hour[[Sales/Transport]:[Sales/Transport]], $B36)</f>
        <v>169.32027685948802</v>
      </c>
      <c r="U36" s="17">
        <f>SUMIFS(Peak_Hour[Achievable Peak Hour therm 2044], Peak_Hour[[Rate Class]:[Rate Class]], $B35, Peak_Hour[[Sales/Transport]:[Sales/Transport]], $B36)</f>
        <v>130.31981439632966</v>
      </c>
      <c r="V36" s="17">
        <f>SUMIFS(Peak_Hour[Achievable Peak Hour therm 2045], Peak_Hour[[Rate Class]:[Rate Class]], $B35, Peak_Hour[[Sales/Transport]:[Sales/Transport]], $B36)</f>
        <v>123.44137356989543</v>
      </c>
      <c r="W36" s="17">
        <f>SUMIFS(Peak_Hour[Achievable Peak Hour therm 2046], Peak_Hour[[Rate Class]:[Rate Class]], $B35, Peak_Hour[[Sales/Transport]:[Sales/Transport]], $B36)</f>
        <v>123.26753063437371</v>
      </c>
      <c r="X36" s="17">
        <f>SUMIFS(Peak_Hour[Achievable Peak Hour therm 2047], Peak_Hour[[Rate Class]:[Rate Class]], $B35, Peak_Hour[[Sales/Transport]:[Sales/Transport]], $B36)</f>
        <v>119.80659606025893</v>
      </c>
      <c r="Y36" s="17">
        <f>SUMIFS(Peak_Hour[Achievable Peak Hour therm 2048], Peak_Hour[[Rate Class]:[Rate Class]], $B35, Peak_Hour[[Sales/Transport]:[Sales/Transport]], $B36)</f>
        <v>109.59712687462346</v>
      </c>
      <c r="Z36" s="17">
        <f>SUMIFS(Peak_Hour[Achievable Peak Hour therm 2049], Peak_Hour[[Rate Class]:[Rate Class]], $B35, Peak_Hour[[Sales/Transport]:[Sales/Transport]], $B36)</f>
        <v>104.39112071927316</v>
      </c>
      <c r="AA36" s="17">
        <f>SUMIFS(Peak_Hour[Achievable Peak Hour therm 2050], Peak_Hour[[Rate Class]:[Rate Class]], $B35, Peak_Hour[[Sales/Transport]:[Sales/Transport]], $B36)</f>
        <v>62.226279579697817</v>
      </c>
    </row>
    <row r="37" spans="2:27" x14ac:dyDescent="0.2">
      <c r="B37" s="16" t="s">
        <v>40</v>
      </c>
      <c r="C37" s="17">
        <f>SUMIFS(Peak_Hour[Achievable Peak Hour therm 2026], Peak_Hour[[Rate Class]:[Rate Class]], $B35, Peak_Hour[[Sales/Transport]:[Sales/Transport]], $B37)</f>
        <v>10.661385236573629</v>
      </c>
      <c r="D37" s="17">
        <f>SUMIFS(Peak_Hour[Achievable Peak Hour therm 2027], Peak_Hour[[Rate Class]:[Rate Class]], $B35, Peak_Hour[[Sales/Transport]:[Sales/Transport]], $B37)</f>
        <v>12.053120889344973</v>
      </c>
      <c r="E37" s="17">
        <f>SUMIFS(Peak_Hour[Achievable Peak Hour therm 2028], Peak_Hour[[Rate Class]:[Rate Class]], $B35, Peak_Hour[[Sales/Transport]:[Sales/Transport]], $B37)</f>
        <v>13.858749637254084</v>
      </c>
      <c r="F37" s="17">
        <f>SUMIFS(Peak_Hour[Achievable Peak Hour therm 2029], Peak_Hour[[Rate Class]:[Rate Class]], $B35, Peak_Hour[[Sales/Transport]:[Sales/Transport]], $B37)</f>
        <v>16.243625683603515</v>
      </c>
      <c r="G37" s="17">
        <f>SUMIFS(Peak_Hour[Achievable Peak Hour therm 2030], Peak_Hour[[Rate Class]:[Rate Class]], $B35, Peak_Hour[[Sales/Transport]:[Sales/Transport]], $B37)</f>
        <v>18.487275559443276</v>
      </c>
      <c r="H37" s="17">
        <f>SUMIFS(Peak_Hour[Achievable Peak Hour therm 2031], Peak_Hour[[Rate Class]:[Rate Class]], $B35, Peak_Hour[[Sales/Transport]:[Sales/Transport]], $B37)</f>
        <v>20.17874819197106</v>
      </c>
      <c r="I37" s="17">
        <f>SUMIFS(Peak_Hour[Achievable Peak Hour therm 2032], Peak_Hour[[Rate Class]:[Rate Class]], $B35, Peak_Hour[[Sales/Transport]:[Sales/Transport]], $B37)</f>
        <v>20.884019663545267</v>
      </c>
      <c r="J37" s="17">
        <f>SUMIFS(Peak_Hour[Achievable Peak Hour therm 2033], Peak_Hour[[Rate Class]:[Rate Class]], $B35, Peak_Hour[[Sales/Transport]:[Sales/Transport]], $B37)</f>
        <v>20.568140684616733</v>
      </c>
      <c r="K37" s="17">
        <f>SUMIFS(Peak_Hour[Achievable Peak Hour therm 2034], Peak_Hour[[Rate Class]:[Rate Class]], $B35, Peak_Hour[[Sales/Transport]:[Sales/Transport]], $B37)</f>
        <v>19.445805330722603</v>
      </c>
      <c r="L37" s="17">
        <f>SUMIFS(Peak_Hour[Achievable Peak Hour therm 2035], Peak_Hour[[Rate Class]:[Rate Class]], $B35, Peak_Hour[[Sales/Transport]:[Sales/Transport]], $B37)</f>
        <v>14.642158374276596</v>
      </c>
      <c r="M37" s="17">
        <f>SUMIFS(Peak_Hour[Achievable Peak Hour therm 2036], Peak_Hour[[Rate Class]:[Rate Class]], $B35, Peak_Hour[[Sales/Transport]:[Sales/Transport]], $B37)</f>
        <v>12.821608480905496</v>
      </c>
      <c r="N37" s="17">
        <f>SUMIFS(Peak_Hour[Achievable Peak Hour therm 2037], Peak_Hour[[Rate Class]:[Rate Class]], $B35, Peak_Hour[[Sales/Transport]:[Sales/Transport]], $B37)</f>
        <v>13.174004593907894</v>
      </c>
      <c r="O37" s="17">
        <f>SUMIFS(Peak_Hour[Achievable Peak Hour therm 2038], Peak_Hour[[Rate Class]:[Rate Class]], $B35, Peak_Hour[[Sales/Transport]:[Sales/Transport]], $B37)</f>
        <v>13.144550839766929</v>
      </c>
      <c r="P37" s="17">
        <f>SUMIFS(Peak_Hour[Achievable Peak Hour therm 2039], Peak_Hour[[Rate Class]:[Rate Class]], $B35, Peak_Hour[[Sales/Transport]:[Sales/Transport]], $B37)</f>
        <v>12.643015468269747</v>
      </c>
      <c r="Q37" s="17">
        <f>SUMIFS(Peak_Hour[Achievable Peak Hour therm 2040], Peak_Hour[[Rate Class]:[Rate Class]], $B35, Peak_Hour[[Sales/Transport]:[Sales/Transport]], $B37)</f>
        <v>11.740252085683005</v>
      </c>
      <c r="R37" s="17">
        <f>SUMIFS(Peak_Hour[Achievable Peak Hour therm 2041], Peak_Hour[[Rate Class]:[Rate Class]], $B35, Peak_Hour[[Sales/Transport]:[Sales/Transport]], $B37)</f>
        <v>9.5688047917727364</v>
      </c>
      <c r="S37" s="17">
        <f>SUMIFS(Peak_Hour[Achievable Peak Hour therm 2042], Peak_Hour[[Rate Class]:[Rate Class]], $B35, Peak_Hour[[Sales/Transport]:[Sales/Transport]], $B37)</f>
        <v>8.774321501138342</v>
      </c>
      <c r="T37" s="17">
        <f>SUMIFS(Peak_Hour[Achievable Peak Hour therm 2043], Peak_Hour[[Rate Class]:[Rate Class]], $B35, Peak_Hour[[Sales/Transport]:[Sales/Transport]], $B37)</f>
        <v>7.6142248778167412</v>
      </c>
      <c r="U37" s="17">
        <f>SUMIFS(Peak_Hour[Achievable Peak Hour therm 2044], Peak_Hour[[Rate Class]:[Rate Class]], $B35, Peak_Hour[[Sales/Transport]:[Sales/Transport]], $B37)</f>
        <v>6.4201685420811128</v>
      </c>
      <c r="V37" s="17">
        <f>SUMIFS(Peak_Hour[Achievable Peak Hour therm 2045], Peak_Hour[[Rate Class]:[Rate Class]], $B35, Peak_Hour[[Sales/Transport]:[Sales/Transport]], $B37)</f>
        <v>6.1462740700011649</v>
      </c>
      <c r="W37" s="17">
        <f>SUMIFS(Peak_Hour[Achievable Peak Hour therm 2046], Peak_Hour[[Rate Class]:[Rate Class]], $B35, Peak_Hour[[Sales/Transport]:[Sales/Transport]], $B37)</f>
        <v>6.1290853614454379</v>
      </c>
      <c r="X37" s="17">
        <f>SUMIFS(Peak_Hour[Achievable Peak Hour therm 2047], Peak_Hour[[Rate Class]:[Rate Class]], $B35, Peak_Hour[[Sales/Transport]:[Sales/Transport]], $B37)</f>
        <v>5.9925787202293339</v>
      </c>
      <c r="Y37" s="17">
        <f>SUMIFS(Peak_Hour[Achievable Peak Hour therm 2048], Peak_Hour[[Rate Class]:[Rate Class]], $B35, Peak_Hour[[Sales/Transport]:[Sales/Transport]], $B37)</f>
        <v>5.7940227055497608</v>
      </c>
      <c r="Z37" s="17">
        <f>SUMIFS(Peak_Hour[Achievable Peak Hour therm 2049], Peak_Hour[[Rate Class]:[Rate Class]], $B35, Peak_Hour[[Sales/Transport]:[Sales/Transport]], $B37)</f>
        <v>5.5392462775278108</v>
      </c>
      <c r="AA37" s="17">
        <f>SUMIFS(Peak_Hour[Achievable Peak Hour therm 2050], Peak_Hour[[Rate Class]:[Rate Class]], $B35, Peak_Hour[[Sales/Transport]:[Sales/Transport]], $B37)</f>
        <v>3.6980346856431705</v>
      </c>
    </row>
    <row r="38" spans="2:27" x14ac:dyDescent="0.2">
      <c r="B38" s="9" t="s">
        <v>33</v>
      </c>
      <c r="C38" s="18">
        <f>SUMIFS(Peak_Hour[Achievable Peak Hour therm 2026], Peak_Hour[[Rate Class]:[Rate Class]], $B38)</f>
        <v>13.639219498962719</v>
      </c>
      <c r="D38" s="18">
        <f>SUMIFS(Peak_Hour[Achievable Peak Hour therm 2027], Peak_Hour[[Rate Class]:[Rate Class]], $B38)</f>
        <v>25.10530496938042</v>
      </c>
      <c r="E38" s="18">
        <f>SUMIFS(Peak_Hour[Achievable Peak Hour therm 2028], Peak_Hour[[Rate Class]:[Rate Class]], $B38)</f>
        <v>42.192134129580751</v>
      </c>
      <c r="F38" s="18">
        <f>SUMIFS(Peak_Hour[Achievable Peak Hour therm 2029], Peak_Hour[[Rate Class]:[Rate Class]], $B38)</f>
        <v>65.771014889910461</v>
      </c>
      <c r="G38" s="18">
        <f>SUMIFS(Peak_Hour[Achievable Peak Hour therm 2030], Peak_Hour[[Rate Class]:[Rate Class]], $B38)</f>
        <v>96.426663604046453</v>
      </c>
      <c r="H38" s="18">
        <f>SUMIFS(Peak_Hour[Achievable Peak Hour therm 2031], Peak_Hour[[Rate Class]:[Rate Class]], $B38)</f>
        <v>134.04287478751246</v>
      </c>
      <c r="I38" s="18">
        <f>SUMIFS(Peak_Hour[Achievable Peak Hour therm 2032], Peak_Hour[[Rate Class]:[Rate Class]], $B38)</f>
        <v>177.497485869032</v>
      </c>
      <c r="J38" s="18">
        <f>SUMIFS(Peak_Hour[Achievable Peak Hour therm 2033], Peak_Hour[[Rate Class]:[Rate Class]], $B38)</f>
        <v>224.43010158528918</v>
      </c>
      <c r="K38" s="18">
        <f>SUMIFS(Peak_Hour[Achievable Peak Hour therm 2034], Peak_Hour[[Rate Class]:[Rate Class]], $B38)</f>
        <v>271.11271508819476</v>
      </c>
      <c r="L38" s="18">
        <f>SUMIFS(Peak_Hour[Achievable Peak Hour therm 2035], Peak_Hour[[Rate Class]:[Rate Class]], $B38)</f>
        <v>312.6051531754627</v>
      </c>
      <c r="M38" s="18">
        <f>SUMIFS(Peak_Hour[Achievable Peak Hour therm 2036], Peak_Hour[[Rate Class]:[Rate Class]], $B38)</f>
        <v>343.34075802841392</v>
      </c>
      <c r="N38" s="18">
        <f>SUMIFS(Peak_Hour[Achievable Peak Hour therm 2037], Peak_Hour[[Rate Class]:[Rate Class]], $B38)</f>
        <v>358.16913497974895</v>
      </c>
      <c r="O38" s="18">
        <f>SUMIFS(Peak_Hour[Achievable Peak Hour therm 2038], Peak_Hour[[Rate Class]:[Rate Class]], $B38)</f>
        <v>353.51721054275924</v>
      </c>
      <c r="P38" s="18">
        <f>SUMIFS(Peak_Hour[Achievable Peak Hour therm 2039], Peak_Hour[[Rate Class]:[Rate Class]], $B38)</f>
        <v>329.26547636885243</v>
      </c>
      <c r="Q38" s="18">
        <f>SUMIFS(Peak_Hour[Achievable Peak Hour therm 2040], Peak_Hour[[Rate Class]:[Rate Class]], $B38)</f>
        <v>269.10909682226287</v>
      </c>
      <c r="R38" s="18">
        <f>SUMIFS(Peak_Hour[Achievable Peak Hour therm 2041], Peak_Hour[[Rate Class]:[Rate Class]], $B38)</f>
        <v>221.32625928058187</v>
      </c>
      <c r="S38" s="18">
        <f>SUMIFS(Peak_Hour[Achievable Peak Hour therm 2042], Peak_Hour[[Rate Class]:[Rate Class]], $B38)</f>
        <v>96.435199134332748</v>
      </c>
      <c r="T38" s="18">
        <f>SUMIFS(Peak_Hour[Achievable Peak Hour therm 2043], Peak_Hour[[Rate Class]:[Rate Class]], $B38)</f>
        <v>25.732952322004902</v>
      </c>
      <c r="U38" s="18">
        <f>SUMIFS(Peak_Hour[Achievable Peak Hour therm 2044], Peak_Hour[[Rate Class]:[Rate Class]], $B38)</f>
        <v>25.665542242019836</v>
      </c>
      <c r="V38" s="18">
        <f>SUMIFS(Peak_Hour[Achievable Peak Hour therm 2045], Peak_Hour[[Rate Class]:[Rate Class]], $B38)</f>
        <v>25.527442802176836</v>
      </c>
      <c r="W38" s="18">
        <f>SUMIFS(Peak_Hour[Achievable Peak Hour therm 2046], Peak_Hour[[Rate Class]:[Rate Class]], $B38)</f>
        <v>25.346580800235881</v>
      </c>
      <c r="X38" s="18">
        <f>SUMIFS(Peak_Hour[Achievable Peak Hour therm 2047], Peak_Hour[[Rate Class]:[Rate Class]], $B38)</f>
        <v>25.149174247005842</v>
      </c>
      <c r="Y38" s="18">
        <f>SUMIFS(Peak_Hour[Achievable Peak Hour therm 2048], Peak_Hour[[Rate Class]:[Rate Class]], $B38)</f>
        <v>24.953888119804844</v>
      </c>
      <c r="Z38" s="18">
        <f>SUMIFS(Peak_Hour[Achievable Peak Hour therm 2049], Peak_Hour[[Rate Class]:[Rate Class]], $B38)</f>
        <v>24.760442310388484</v>
      </c>
      <c r="AA38" s="18">
        <f>SUMIFS(Peak_Hour[Achievable Peak Hour therm 2050], Peak_Hour[[Rate Class]:[Rate Class]], $B38)</f>
        <v>24.526228481821512</v>
      </c>
    </row>
    <row r="39" spans="2:27" x14ac:dyDescent="0.2">
      <c r="B39" s="16" t="s">
        <v>39</v>
      </c>
      <c r="C39" s="17">
        <f>SUMIFS(Peak_Hour[Achievable Peak Hour therm 2026], Peak_Hour[[Rate Class]:[Rate Class]], $B38, Peak_Hour[[Sales/Transport]:[Sales/Transport]], $B39)</f>
        <v>2.251947424033395</v>
      </c>
      <c r="D39" s="17">
        <f>SUMIFS(Peak_Hour[Achievable Peak Hour therm 2027], Peak_Hour[[Rate Class]:[Rate Class]], $B38, Peak_Hour[[Sales/Transport]:[Sales/Transport]], $B39)</f>
        <v>4.0404896705707749</v>
      </c>
      <c r="E39" s="17">
        <f>SUMIFS(Peak_Hour[Achievable Peak Hour therm 2028], Peak_Hour[[Rate Class]:[Rate Class]], $B38, Peak_Hour[[Sales/Transport]:[Sales/Transport]], $B39)</f>
        <v>6.7174567524072168</v>
      </c>
      <c r="F39" s="17">
        <f>SUMIFS(Peak_Hour[Achievable Peak Hour therm 2029], Peak_Hour[[Rate Class]:[Rate Class]], $B38, Peak_Hour[[Sales/Transport]:[Sales/Transport]], $B39)</f>
        <v>10.411690831618934</v>
      </c>
      <c r="G39" s="17">
        <f>SUMIFS(Peak_Hour[Achievable Peak Hour therm 2030], Peak_Hour[[Rate Class]:[Rate Class]], $B38, Peak_Hour[[Sales/Transport]:[Sales/Transport]], $B39)</f>
        <v>15.209445937296039</v>
      </c>
      <c r="H39" s="17">
        <f>SUMIFS(Peak_Hour[Achievable Peak Hour therm 2031], Peak_Hour[[Rate Class]:[Rate Class]], $B38, Peak_Hour[[Sales/Transport]:[Sales/Transport]], $B39)</f>
        <v>21.097673511962544</v>
      </c>
      <c r="I39" s="17">
        <f>SUMIFS(Peak_Hour[Achievable Peak Hour therm 2032], Peak_Hour[[Rate Class]:[Rate Class]], $B38, Peak_Hour[[Sales/Transport]:[Sales/Transport]], $B39)</f>
        <v>27.889084924082937</v>
      </c>
      <c r="J39" s="17">
        <f>SUMIFS(Peak_Hour[Achievable Peak Hour therm 2033], Peak_Hour[[Rate Class]:[Rate Class]], $B38, Peak_Hour[[Sales/Transport]:[Sales/Transport]], $B39)</f>
        <v>35.214331769039823</v>
      </c>
      <c r="K39" s="17">
        <f>SUMIFS(Peak_Hour[Achievable Peak Hour therm 2034], Peak_Hour[[Rate Class]:[Rate Class]], $B38, Peak_Hour[[Sales/Transport]:[Sales/Transport]], $B39)</f>
        <v>42.492576208936583</v>
      </c>
      <c r="L39" s="17">
        <f>SUMIFS(Peak_Hour[Achievable Peak Hour therm 2035], Peak_Hour[[Rate Class]:[Rate Class]], $B38, Peak_Hour[[Sales/Transport]:[Sales/Transport]], $B39)</f>
        <v>48.947404632218351</v>
      </c>
      <c r="M39" s="17">
        <f>SUMIFS(Peak_Hour[Achievable Peak Hour therm 2036], Peak_Hour[[Rate Class]:[Rate Class]], $B38, Peak_Hour[[Sales/Transport]:[Sales/Transport]], $B39)</f>
        <v>53.712146985941004</v>
      </c>
      <c r="N39" s="17">
        <f>SUMIFS(Peak_Hour[Achievable Peak Hour therm 2037], Peak_Hour[[Rate Class]:[Rate Class]], $B38, Peak_Hour[[Sales/Transport]:[Sales/Transport]], $B39)</f>
        <v>56.025449424120232</v>
      </c>
      <c r="O39" s="17">
        <f>SUMIFS(Peak_Hour[Achievable Peak Hour therm 2038], Peak_Hour[[Rate Class]:[Rate Class]], $B38, Peak_Hour[[Sales/Transport]:[Sales/Transport]], $B39)</f>
        <v>55.296825157267754</v>
      </c>
      <c r="P39" s="17">
        <f>SUMIFS(Peak_Hour[Achievable Peak Hour therm 2039], Peak_Hour[[Rate Class]:[Rate Class]], $B38, Peak_Hour[[Sales/Transport]:[Sales/Transport]], $B39)</f>
        <v>51.511766648629489</v>
      </c>
      <c r="Q39" s="17">
        <f>SUMIFS(Peak_Hour[Achievable Peak Hour therm 2040], Peak_Hour[[Rate Class]:[Rate Class]], $B38, Peak_Hour[[Sales/Transport]:[Sales/Transport]], $B39)</f>
        <v>42.057477574192191</v>
      </c>
      <c r="R39" s="17">
        <f>SUMIFS(Peak_Hour[Achievable Peak Hour therm 2041], Peak_Hour[[Rate Class]:[Rate Class]], $B38, Peak_Hour[[Sales/Transport]:[Sales/Transport]], $B39)</f>
        <v>34.626212565590933</v>
      </c>
      <c r="S39" s="17">
        <f>SUMIFS(Peak_Hour[Achievable Peak Hour therm 2042], Peak_Hour[[Rate Class]:[Rate Class]], $B38, Peak_Hour[[Sales/Transport]:[Sales/Transport]], $B39)</f>
        <v>15.12283149221979</v>
      </c>
      <c r="T39" s="17">
        <f>SUMIFS(Peak_Hour[Achievable Peak Hour therm 2043], Peak_Hour[[Rate Class]:[Rate Class]], $B38, Peak_Hour[[Sales/Transport]:[Sales/Transport]], $B39)</f>
        <v>4.2296298706441071</v>
      </c>
      <c r="U39" s="17">
        <f>SUMIFS(Peak_Hour[Achievable Peak Hour therm 2044], Peak_Hour[[Rate Class]:[Rate Class]], $B38, Peak_Hour[[Sales/Transport]:[Sales/Transport]], $B39)</f>
        <v>4.1929120574258194</v>
      </c>
      <c r="V39" s="17">
        <f>SUMIFS(Peak_Hour[Achievable Peak Hour therm 2045], Peak_Hour[[Rate Class]:[Rate Class]], $B38, Peak_Hour[[Sales/Transport]:[Sales/Transport]], $B39)</f>
        <v>4.1717806720844424</v>
      </c>
      <c r="W39" s="17">
        <f>SUMIFS(Peak_Hour[Achievable Peak Hour therm 2046], Peak_Hour[[Rate Class]:[Rate Class]], $B38, Peak_Hour[[Sales/Transport]:[Sales/Transport]], $B39)</f>
        <v>4.143495023825464</v>
      </c>
      <c r="X39" s="17">
        <f>SUMIFS(Peak_Hour[Achievable Peak Hour therm 2047], Peak_Hour[[Rate Class]:[Rate Class]], $B38, Peak_Hour[[Sales/Transport]:[Sales/Transport]], $B39)</f>
        <v>4.1095339005707858</v>
      </c>
      <c r="Y39" s="17">
        <f>SUMIFS(Peak_Hour[Achievable Peak Hour therm 2048], Peak_Hour[[Rate Class]:[Rate Class]], $B38, Peak_Hour[[Sales/Transport]:[Sales/Transport]], $B39)</f>
        <v>4.0764332731226443</v>
      </c>
      <c r="Z39" s="17">
        <f>SUMIFS(Peak_Hour[Achievable Peak Hour therm 2049], Peak_Hour[[Rate Class]:[Rate Class]], $B38, Peak_Hour[[Sales/Transport]:[Sales/Transport]], $B39)</f>
        <v>4.0439227454945366</v>
      </c>
      <c r="AA39" s="17">
        <f>SUMIFS(Peak_Hour[Achievable Peak Hour therm 2050], Peak_Hour[[Rate Class]:[Rate Class]], $B38, Peak_Hour[[Sales/Transport]:[Sales/Transport]], $B39)</f>
        <v>3.9694036181414827</v>
      </c>
    </row>
    <row r="40" spans="2:27" x14ac:dyDescent="0.2">
      <c r="B40" s="16" t="s">
        <v>40</v>
      </c>
      <c r="C40" s="17">
        <f>SUMIFS(Peak_Hour[Achievable Peak Hour therm 2026], Peak_Hour[[Rate Class]:[Rate Class]], $B38, Peak_Hour[[Sales/Transport]:[Sales/Transport]], $B40)</f>
        <v>11.387272074929319</v>
      </c>
      <c r="D40" s="17">
        <f>SUMIFS(Peak_Hour[Achievable Peak Hour therm 2027], Peak_Hour[[Rate Class]:[Rate Class]], $B38, Peak_Hour[[Sales/Transport]:[Sales/Transport]], $B40)</f>
        <v>21.064815298809652</v>
      </c>
      <c r="E40" s="17">
        <f>SUMIFS(Peak_Hour[Achievable Peak Hour therm 2028], Peak_Hour[[Rate Class]:[Rate Class]], $B38, Peak_Hour[[Sales/Transport]:[Sales/Transport]], $B40)</f>
        <v>35.474677377173535</v>
      </c>
      <c r="F40" s="17">
        <f>SUMIFS(Peak_Hour[Achievable Peak Hour therm 2029], Peak_Hour[[Rate Class]:[Rate Class]], $B38, Peak_Hour[[Sales/Transport]:[Sales/Transport]], $B40)</f>
        <v>55.359324058291541</v>
      </c>
      <c r="G40" s="17">
        <f>SUMIFS(Peak_Hour[Achievable Peak Hour therm 2030], Peak_Hour[[Rate Class]:[Rate Class]], $B38, Peak_Hour[[Sales/Transport]:[Sales/Transport]], $B40)</f>
        <v>81.217217666750386</v>
      </c>
      <c r="H40" s="17">
        <f>SUMIFS(Peak_Hour[Achievable Peak Hour therm 2031], Peak_Hour[[Rate Class]:[Rate Class]], $B38, Peak_Hour[[Sales/Transport]:[Sales/Transport]], $B40)</f>
        <v>112.94520127554995</v>
      </c>
      <c r="I40" s="17">
        <f>SUMIFS(Peak_Hour[Achievable Peak Hour therm 2032], Peak_Hour[[Rate Class]:[Rate Class]], $B38, Peak_Hour[[Sales/Transport]:[Sales/Transport]], $B40)</f>
        <v>149.60840094494904</v>
      </c>
      <c r="J40" s="17">
        <f>SUMIFS(Peak_Hour[Achievable Peak Hour therm 2033], Peak_Hour[[Rate Class]:[Rate Class]], $B38, Peak_Hour[[Sales/Transport]:[Sales/Transport]], $B40)</f>
        <v>189.21576981624952</v>
      </c>
      <c r="K40" s="17">
        <f>SUMIFS(Peak_Hour[Achievable Peak Hour therm 2034], Peak_Hour[[Rate Class]:[Rate Class]], $B38, Peak_Hour[[Sales/Transport]:[Sales/Transport]], $B40)</f>
        <v>228.62013887925835</v>
      </c>
      <c r="L40" s="17">
        <f>SUMIFS(Peak_Hour[Achievable Peak Hour therm 2035], Peak_Hour[[Rate Class]:[Rate Class]], $B38, Peak_Hour[[Sales/Transport]:[Sales/Transport]], $B40)</f>
        <v>263.65774854324457</v>
      </c>
      <c r="M40" s="17">
        <f>SUMIFS(Peak_Hour[Achievable Peak Hour therm 2036], Peak_Hour[[Rate Class]:[Rate Class]], $B38, Peak_Hour[[Sales/Transport]:[Sales/Transport]], $B40)</f>
        <v>289.62861104247298</v>
      </c>
      <c r="N40" s="17">
        <f>SUMIFS(Peak_Hour[Achievable Peak Hour therm 2037], Peak_Hour[[Rate Class]:[Rate Class]], $B38, Peak_Hour[[Sales/Transport]:[Sales/Transport]], $B40)</f>
        <v>302.14368555562885</v>
      </c>
      <c r="O40" s="17">
        <f>SUMIFS(Peak_Hour[Achievable Peak Hour therm 2038], Peak_Hour[[Rate Class]:[Rate Class]], $B38, Peak_Hour[[Sales/Transport]:[Sales/Transport]], $B40)</f>
        <v>298.22038538549157</v>
      </c>
      <c r="P40" s="17">
        <f>SUMIFS(Peak_Hour[Achievable Peak Hour therm 2039], Peak_Hour[[Rate Class]:[Rate Class]], $B38, Peak_Hour[[Sales/Transport]:[Sales/Transport]], $B40)</f>
        <v>277.75370972022296</v>
      </c>
      <c r="Q40" s="17">
        <f>SUMIFS(Peak_Hour[Achievable Peak Hour therm 2040], Peak_Hour[[Rate Class]:[Rate Class]], $B38, Peak_Hour[[Sales/Transport]:[Sales/Transport]], $B40)</f>
        <v>227.05161924807055</v>
      </c>
      <c r="R40" s="17">
        <f>SUMIFS(Peak_Hour[Achievable Peak Hour therm 2041], Peak_Hour[[Rate Class]:[Rate Class]], $B38, Peak_Hour[[Sales/Transport]:[Sales/Transport]], $B40)</f>
        <v>186.70004671499092</v>
      </c>
      <c r="S40" s="17">
        <f>SUMIFS(Peak_Hour[Achievable Peak Hour therm 2042], Peak_Hour[[Rate Class]:[Rate Class]], $B38, Peak_Hour[[Sales/Transport]:[Sales/Transport]], $B40)</f>
        <v>81.312367642112989</v>
      </c>
      <c r="T40" s="17">
        <f>SUMIFS(Peak_Hour[Achievable Peak Hour therm 2043], Peak_Hour[[Rate Class]:[Rate Class]], $B38, Peak_Hour[[Sales/Transport]:[Sales/Transport]], $B40)</f>
        <v>21.503322451360788</v>
      </c>
      <c r="U40" s="17">
        <f>SUMIFS(Peak_Hour[Achievable Peak Hour therm 2044], Peak_Hour[[Rate Class]:[Rate Class]], $B38, Peak_Hour[[Sales/Transport]:[Sales/Transport]], $B40)</f>
        <v>21.472630184594021</v>
      </c>
      <c r="V40" s="17">
        <f>SUMIFS(Peak_Hour[Achievable Peak Hour therm 2045], Peak_Hour[[Rate Class]:[Rate Class]], $B38, Peak_Hour[[Sales/Transport]:[Sales/Transport]], $B40)</f>
        <v>21.355662130092394</v>
      </c>
      <c r="W40" s="17">
        <f>SUMIFS(Peak_Hour[Achievable Peak Hour therm 2046], Peak_Hour[[Rate Class]:[Rate Class]], $B38, Peak_Hour[[Sales/Transport]:[Sales/Transport]], $B40)</f>
        <v>21.203085776410411</v>
      </c>
      <c r="X40" s="17">
        <f>SUMIFS(Peak_Hour[Achievable Peak Hour therm 2047], Peak_Hour[[Rate Class]:[Rate Class]], $B38, Peak_Hour[[Sales/Transport]:[Sales/Transport]], $B40)</f>
        <v>21.039640346435057</v>
      </c>
      <c r="Y40" s="17">
        <f>SUMIFS(Peak_Hour[Achievable Peak Hour therm 2048], Peak_Hour[[Rate Class]:[Rate Class]], $B38, Peak_Hour[[Sales/Transport]:[Sales/Transport]], $B40)</f>
        <v>20.877454846682198</v>
      </c>
      <c r="Z40" s="17">
        <f>SUMIFS(Peak_Hour[Achievable Peak Hour therm 2049], Peak_Hour[[Rate Class]:[Rate Class]], $B38, Peak_Hour[[Sales/Transport]:[Sales/Transport]], $B40)</f>
        <v>20.716519564893947</v>
      </c>
      <c r="AA40" s="17">
        <f>SUMIFS(Peak_Hour[Achievable Peak Hour therm 2050], Peak_Hour[[Rate Class]:[Rate Class]], $B38, Peak_Hour[[Sales/Transport]:[Sales/Transport]], $B40)</f>
        <v>20.556824863680028</v>
      </c>
    </row>
    <row r="41" spans="2:27" ht="13.5" thickBot="1" x14ac:dyDescent="0.25">
      <c r="B41" s="14" t="s">
        <v>34</v>
      </c>
      <c r="C41" s="15">
        <f>SUM(C34,C35,C38)</f>
        <v>357.15123921300471</v>
      </c>
      <c r="D41" s="15">
        <f t="shared" ref="D41:AA41" si="11">SUM(D34,D35,D38)</f>
        <v>419.27046051729076</v>
      </c>
      <c r="E41" s="15">
        <f t="shared" si="11"/>
        <v>524.6581762410957</v>
      </c>
      <c r="F41" s="15">
        <f t="shared" si="11"/>
        <v>654.59048794847661</v>
      </c>
      <c r="G41" s="15">
        <f t="shared" si="11"/>
        <v>808.18007440916119</v>
      </c>
      <c r="H41" s="15">
        <f t="shared" si="11"/>
        <v>988.46139313519041</v>
      </c>
      <c r="I41" s="15">
        <f t="shared" si="11"/>
        <v>1177.5723122131294</v>
      </c>
      <c r="J41" s="15">
        <f t="shared" si="11"/>
        <v>1363.4457880349053</v>
      </c>
      <c r="K41" s="15">
        <f t="shared" si="11"/>
        <v>1519.3985607269037</v>
      </c>
      <c r="L41" s="15">
        <f t="shared" si="11"/>
        <v>1633.935590676753</v>
      </c>
      <c r="M41" s="15">
        <f t="shared" si="11"/>
        <v>1721.520184398355</v>
      </c>
      <c r="N41" s="15">
        <f t="shared" si="11"/>
        <v>1772.2920156833966</v>
      </c>
      <c r="O41" s="15">
        <f t="shared" si="11"/>
        <v>1751.8074030237549</v>
      </c>
      <c r="P41" s="15">
        <f t="shared" si="11"/>
        <v>1655.5236979201629</v>
      </c>
      <c r="Q41" s="15">
        <f t="shared" si="11"/>
        <v>1466.2968978366657</v>
      </c>
      <c r="R41" s="15">
        <f t="shared" si="11"/>
        <v>1261.7106760316187</v>
      </c>
      <c r="S41" s="15">
        <f t="shared" si="11"/>
        <v>927.02752515031352</v>
      </c>
      <c r="T41" s="15">
        <f t="shared" si="11"/>
        <v>727.76782249951475</v>
      </c>
      <c r="U41" s="15">
        <f t="shared" si="11"/>
        <v>513.21519291451546</v>
      </c>
      <c r="V41" s="15">
        <f t="shared" si="11"/>
        <v>486.91411608824677</v>
      </c>
      <c r="W41" s="15">
        <f t="shared" si="11"/>
        <v>482.12823670210867</v>
      </c>
      <c r="X41" s="15">
        <f t="shared" si="11"/>
        <v>475.20718975656075</v>
      </c>
      <c r="Y41" s="15">
        <f t="shared" si="11"/>
        <v>461.14380823646155</v>
      </c>
      <c r="Z41" s="15">
        <f t="shared" si="11"/>
        <v>451.30928516056997</v>
      </c>
      <c r="AA41" s="15">
        <f t="shared" si="11"/>
        <v>354.93356348977733</v>
      </c>
    </row>
    <row r="43" spans="2:27" x14ac:dyDescent="0.2">
      <c r="B43" s="9" t="s">
        <v>84</v>
      </c>
    </row>
    <row r="44" spans="2:27" x14ac:dyDescent="0.2">
      <c r="B44" s="11"/>
      <c r="C44" s="12">
        <v>2026</v>
      </c>
      <c r="D44" s="12">
        <v>2027</v>
      </c>
      <c r="E44" s="12">
        <v>2028</v>
      </c>
      <c r="F44" s="12">
        <v>2029</v>
      </c>
      <c r="G44" s="12">
        <v>2030</v>
      </c>
      <c r="H44" s="12">
        <v>2031</v>
      </c>
      <c r="I44" s="12">
        <v>2032</v>
      </c>
      <c r="J44" s="12">
        <v>2033</v>
      </c>
      <c r="K44" s="12">
        <v>2034</v>
      </c>
      <c r="L44" s="12">
        <v>2035</v>
      </c>
      <c r="M44" s="12">
        <v>2036</v>
      </c>
      <c r="N44" s="12">
        <v>2037</v>
      </c>
      <c r="O44" s="12">
        <v>2038</v>
      </c>
      <c r="P44" s="12">
        <v>2039</v>
      </c>
      <c r="Q44" s="12">
        <v>2040</v>
      </c>
      <c r="R44" s="12">
        <v>2041</v>
      </c>
      <c r="S44" s="12">
        <v>2042</v>
      </c>
      <c r="T44" s="12">
        <v>2043</v>
      </c>
      <c r="U44" s="12">
        <v>2044</v>
      </c>
      <c r="V44" s="12">
        <v>2045</v>
      </c>
      <c r="W44" s="12">
        <v>2046</v>
      </c>
      <c r="X44" s="12">
        <v>2047</v>
      </c>
      <c r="Y44" s="12">
        <v>2048</v>
      </c>
      <c r="Z44" s="12">
        <v>2049</v>
      </c>
      <c r="AA44" s="12">
        <v>2050</v>
      </c>
    </row>
    <row r="45" spans="2:27" x14ac:dyDescent="0.2">
      <c r="B45" s="9" t="s">
        <v>28</v>
      </c>
      <c r="C45" s="18">
        <f>SUMIFS(Peak_Hour[Achievable Peak Hour therm 2026], Peak_Hour[[Rate Class]:[Rate Class]], $B45, Peak_Hour[[Cost-Effective]:[Cost-Effective]], 1)</f>
        <v>95.390151949435065</v>
      </c>
      <c r="D45" s="18">
        <f>SUMIFS(Peak_Hour[Achievable Peak Hour therm 2027], Peak_Hour[[Rate Class]:[Rate Class]], $B45, Peak_Hour[[Cost-Effective]:[Cost-Effective]], 1)</f>
        <v>134.52573742664026</v>
      </c>
      <c r="E45" s="18">
        <f>SUMIFS(Peak_Hour[Achievable Peak Hour therm 2028], Peak_Hour[[Rate Class]:[Rate Class]], $B45, Peak_Hour[[Cost-Effective]:[Cost-Effective]], 1)</f>
        <v>191.30152642881652</v>
      </c>
      <c r="F45" s="18">
        <f>SUMIFS(Peak_Hour[Achievable Peak Hour therm 2029], Peak_Hour[[Rate Class]:[Rate Class]], $B45, Peak_Hour[[Cost-Effective]:[Cost-Effective]], 1)</f>
        <v>258.4818450538466</v>
      </c>
      <c r="G45" s="18">
        <f>SUMIFS(Peak_Hour[Achievable Peak Hour therm 2030], Peak_Hour[[Rate Class]:[Rate Class]], $B45, Peak_Hour[[Cost-Effective]:[Cost-Effective]], 1)</f>
        <v>340.04112128202712</v>
      </c>
      <c r="H45" s="18">
        <f>SUMIFS(Peak_Hour[Achievable Peak Hour therm 2031], Peak_Hour[[Rate Class]:[Rate Class]], $B45, Peak_Hour[[Cost-Effective]:[Cost-Effective]], 1)</f>
        <v>434.59678027244053</v>
      </c>
      <c r="I45" s="18">
        <f>SUMIFS(Peak_Hour[Achievable Peak Hour therm 2032], Peak_Hour[[Rate Class]:[Rate Class]], $B45, Peak_Hour[[Cost-Effective]:[Cost-Effective]], 1)</f>
        <v>538.41700784241334</v>
      </c>
      <c r="J45" s="18">
        <f>SUMIFS(Peak_Hour[Achievable Peak Hour therm 2033], Peak_Hour[[Rate Class]:[Rate Class]], $B45, Peak_Hour[[Cost-Effective]:[Cost-Effective]], 1)</f>
        <v>645.17657363971671</v>
      </c>
      <c r="K45" s="18">
        <f>SUMIFS(Peak_Hour[Achievable Peak Hour therm 2034], Peak_Hour[[Rate Class]:[Rate Class]], $B45, Peak_Hour[[Cost-Effective]:[Cost-Effective]], 1)</f>
        <v>745.97558546207404</v>
      </c>
      <c r="L45" s="18">
        <f>SUMIFS(Peak_Hour[Achievable Peak Hour therm 2035], Peak_Hour[[Rate Class]:[Rate Class]], $B45, Peak_Hour[[Cost-Effective]:[Cost-Effective]], 1)</f>
        <v>829.98222801444695</v>
      </c>
      <c r="M45" s="18">
        <f>SUMIFS(Peak_Hour[Achievable Peak Hour therm 2036], Peak_Hour[[Rate Class]:[Rate Class]], $B45, Peak_Hour[[Cost-Effective]:[Cost-Effective]], 1)</f>
        <v>886.45291808002344</v>
      </c>
      <c r="N45" s="18">
        <f>SUMIFS(Peak_Hour[Achievable Peak Hour therm 2037], Peak_Hour[[Rate Class]:[Rate Class]], $B45, Peak_Hour[[Cost-Effective]:[Cost-Effective]], 1)</f>
        <v>906.8069488947026</v>
      </c>
      <c r="O45" s="18">
        <f>SUMIFS(Peak_Hour[Achievable Peak Hour therm 2038], Peak_Hour[[Rate Class]:[Rate Class]], $B45, Peak_Hour[[Cost-Effective]:[Cost-Effective]], 1)</f>
        <v>887.17489352117457</v>
      </c>
      <c r="P45" s="18">
        <f>SUMIFS(Peak_Hour[Achievable Peak Hour therm 2039], Peak_Hour[[Rate Class]:[Rate Class]], $B45, Peak_Hour[[Cost-Effective]:[Cost-Effective]], 1)</f>
        <v>833.51952340077332</v>
      </c>
      <c r="Q45" s="18">
        <f>SUMIFS(Peak_Hour[Achievable Peak Hour therm 2040], Peak_Hour[[Rate Class]:[Rate Class]], $B45, Peak_Hour[[Cost-Effective]:[Cost-Effective]], 1)</f>
        <v>749.14782925322697</v>
      </c>
      <c r="R45" s="18">
        <f>SUMIFS(Peak_Hour[Achievable Peak Hour therm 2041], Peak_Hour[[Rate Class]:[Rate Class]], $B45, Peak_Hour[[Cost-Effective]:[Cost-Effective]], 1)</f>
        <v>653.86369118112282</v>
      </c>
      <c r="S45" s="18">
        <f>SUMIFS(Peak_Hour[Achievable Peak Hour therm 2042], Peak_Hour[[Rate Class]:[Rate Class]], $B45, Peak_Hour[[Cost-Effective]:[Cost-Effective]], 1)</f>
        <v>514.40423768211406</v>
      </c>
      <c r="T45" s="18">
        <f>SUMIFS(Peak_Hour[Achievable Peak Hour therm 2043], Peak_Hour[[Rate Class]:[Rate Class]], $B45, Peak_Hour[[Cost-Effective]:[Cost-Effective]], 1)</f>
        <v>446.00119123899748</v>
      </c>
      <c r="U45" s="18">
        <f>SUMIFS(Peak_Hour[Achievable Peak Hour therm 2044], Peak_Hour[[Rate Class]:[Rate Class]], $B45, Peak_Hour[[Cost-Effective]:[Cost-Effective]], 1)</f>
        <v>328.34295305205387</v>
      </c>
      <c r="V45" s="18">
        <f>SUMIFS(Peak_Hour[Achievable Peak Hour therm 2045], Peak_Hour[[Rate Class]:[Rate Class]], $B45, Peak_Hour[[Cost-Effective]:[Cost-Effective]], 1)</f>
        <v>316.97819151457128</v>
      </c>
      <c r="W45" s="18">
        <f>SUMIFS(Peak_Hour[Achievable Peak Hour therm 2046], Peak_Hour[[Rate Class]:[Rate Class]], $B45, Peak_Hour[[Cost-Effective]:[Cost-Effective]], 1)</f>
        <v>312.62659148177875</v>
      </c>
      <c r="X45" s="18">
        <f>SUMIFS(Peak_Hour[Achievable Peak Hour therm 2047], Peak_Hour[[Rate Class]:[Rate Class]], $B45, Peak_Hour[[Cost-Effective]:[Cost-Effective]], 1)</f>
        <v>309.5616370425534</v>
      </c>
      <c r="Y45" s="18">
        <f>SUMIFS(Peak_Hour[Achievable Peak Hour therm 2048], Peak_Hour[[Rate Class]:[Rate Class]], $B45, Peak_Hour[[Cost-Effective]:[Cost-Effective]], 1)</f>
        <v>306.16232318157586</v>
      </c>
      <c r="Z45" s="18">
        <f>SUMIFS(Peak_Hour[Achievable Peak Hour therm 2049], Peak_Hour[[Rate Class]:[Rate Class]], $B45, Peak_Hour[[Cost-Effective]:[Cost-Effective]], 1)</f>
        <v>302.04271286266129</v>
      </c>
      <c r="AA45" s="18">
        <f>SUMIFS(Peak_Hour[Achievable Peak Hour therm 2050], Peak_Hour[[Rate Class]:[Rate Class]], $B45, Peak_Hour[[Cost-Effective]:[Cost-Effective]], 1)</f>
        <v>249.96816985034368</v>
      </c>
    </row>
    <row r="46" spans="2:27" x14ac:dyDescent="0.2">
      <c r="B46" s="9" t="s">
        <v>31</v>
      </c>
      <c r="C46" s="18">
        <f>SUMIFS(Peak_Hour[Achievable Peak Hour therm 2026], Peak_Hour[[Rate Class]:[Rate Class]], $B46, Peak_Hour[[Cost-Effective]:[Cost-Effective]], 1)</f>
        <v>197.40683967708767</v>
      </c>
      <c r="D46" s="18">
        <f>SUMIFS(Peak_Hour[Achievable Peak Hour therm 2027], Peak_Hour[[Rate Class]:[Rate Class]], $B46, Peak_Hour[[Cost-Effective]:[Cost-Effective]], 1)</f>
        <v>202.8550981094001</v>
      </c>
      <c r="E46" s="18">
        <f>SUMIFS(Peak_Hour[Achievable Peak Hour therm 2028], Peak_Hour[[Rate Class]:[Rate Class]], $B46, Peak_Hour[[Cost-Effective]:[Cost-Effective]], 1)</f>
        <v>221.80101871666048</v>
      </c>
      <c r="F46" s="18">
        <f>SUMIFS(Peak_Hour[Achievable Peak Hour therm 2029], Peak_Hour[[Rate Class]:[Rate Class]], $B46, Peak_Hour[[Cost-Effective]:[Cost-Effective]], 1)</f>
        <v>251.15366377497463</v>
      </c>
      <c r="G46" s="18">
        <f>SUMIFS(Peak_Hour[Achievable Peak Hour therm 2030], Peak_Hour[[Rate Class]:[Rate Class]], $B46, Peak_Hour[[Cost-Effective]:[Cost-Effective]], 1)</f>
        <v>282.06297842087167</v>
      </c>
      <c r="H46" s="18">
        <f>SUMIFS(Peak_Hour[Achievable Peak Hour therm 2031], Peak_Hour[[Rate Class]:[Rate Class]], $B46, Peak_Hour[[Cost-Effective]:[Cost-Effective]], 1)</f>
        <v>314.26412600011901</v>
      </c>
      <c r="I46" s="18">
        <f>SUMIFS(Peak_Hour[Achievable Peak Hour therm 2032], Peak_Hour[[Rate Class]:[Rate Class]], $B46, Peak_Hour[[Cost-Effective]:[Cost-Effective]], 1)</f>
        <v>335.64174818621831</v>
      </c>
      <c r="J46" s="18">
        <f>SUMIFS(Peak_Hour[Achievable Peak Hour therm 2033], Peak_Hour[[Rate Class]:[Rate Class]], $B46, Peak_Hour[[Cost-Effective]:[Cost-Effective]], 1)</f>
        <v>344.32998424631387</v>
      </c>
      <c r="K46" s="18">
        <f>SUMIFS(Peak_Hour[Achievable Peak Hour therm 2034], Peak_Hour[[Rate Class]:[Rate Class]], $B46, Peak_Hour[[Cost-Effective]:[Cost-Effective]], 1)</f>
        <v>328.49997313574278</v>
      </c>
      <c r="L46" s="18">
        <f>SUMIFS(Peak_Hour[Achievable Peak Hour therm 2035], Peak_Hour[[Rate Class]:[Rate Class]], $B46, Peak_Hour[[Cost-Effective]:[Cost-Effective]], 1)</f>
        <v>295.30823916368922</v>
      </c>
      <c r="M46" s="18">
        <f>SUMIFS(Peak_Hour[Achievable Peak Hour therm 2036], Peak_Hour[[Rate Class]:[Rate Class]], $B46, Peak_Hour[[Cost-Effective]:[Cost-Effective]], 1)</f>
        <v>278.80058686907847</v>
      </c>
      <c r="N46" s="18">
        <f>SUMIFS(Peak_Hour[Achievable Peak Hour therm 2037], Peak_Hour[[Rate Class]:[Rate Class]], $B46, Peak_Hour[[Cost-Effective]:[Cost-Effective]], 1)</f>
        <v>290.52192913829265</v>
      </c>
      <c r="O46" s="18">
        <f>SUMIFS(Peak_Hour[Achievable Peak Hour therm 2038], Peak_Hour[[Rate Class]:[Rate Class]], $B46, Peak_Hour[[Cost-Effective]:[Cost-Effective]], 1)</f>
        <v>297.25219191486468</v>
      </c>
      <c r="P46" s="18">
        <f>SUMIFS(Peak_Hour[Achievable Peak Hour therm 2039], Peak_Hour[[Rate Class]:[Rate Class]], $B46, Peak_Hour[[Cost-Effective]:[Cost-Effective]], 1)</f>
        <v>291.76842980714224</v>
      </c>
      <c r="Q46" s="18">
        <f>SUMIFS(Peak_Hour[Achievable Peak Hour therm 2040], Peak_Hour[[Rate Class]:[Rate Class]], $B46, Peak_Hour[[Cost-Effective]:[Cost-Effective]], 1)</f>
        <v>271.89936115087028</v>
      </c>
      <c r="R46" s="18">
        <f>SUMIFS(Peak_Hour[Achievable Peak Hour therm 2041], Peak_Hour[[Rate Class]:[Rate Class]], $B46, Peak_Hour[[Cost-Effective]:[Cost-Effective]], 1)</f>
        <v>240.11785192347904</v>
      </c>
      <c r="S46" s="18">
        <f>SUMIFS(Peak_Hour[Achievable Peak Hour therm 2042], Peak_Hour[[Rate Class]:[Rate Class]], $B46, Peak_Hour[[Cost-Effective]:[Cost-Effective]], 1)</f>
        <v>203.19597536742481</v>
      </c>
      <c r="T46" s="18">
        <f>SUMIFS(Peak_Hour[Achievable Peak Hour therm 2043], Peak_Hour[[Rate Class]:[Rate Class]], $B46, Peak_Hour[[Cost-Effective]:[Cost-Effective]], 1)</f>
        <v>174.7559351659217</v>
      </c>
      <c r="U46" s="18">
        <f>SUMIFS(Peak_Hour[Achievable Peak Hour therm 2044], Peak_Hour[[Rate Class]:[Rate Class]], $B46, Peak_Hour[[Cost-Effective]:[Cost-Effective]], 1)</f>
        <v>135.65024987311801</v>
      </c>
      <c r="V46" s="18">
        <f>SUMIFS(Peak_Hour[Achievable Peak Hour therm 2045], Peak_Hour[[Rate Class]:[Rate Class]], $B46, Peak_Hour[[Cost-Effective]:[Cost-Effective]], 1)</f>
        <v>129.13825268630382</v>
      </c>
      <c r="W46" s="18">
        <f>SUMIFS(Peak_Hour[Achievable Peak Hour therm 2046], Peak_Hour[[Rate Class]:[Rate Class]], $B46, Peak_Hour[[Cost-Effective]:[Cost-Effective]], 1)</f>
        <v>128.97552128147166</v>
      </c>
      <c r="X46" s="18">
        <f>SUMIFS(Peak_Hour[Achievable Peak Hour therm 2047], Peak_Hour[[Rate Class]:[Rate Class]], $B46, Peak_Hour[[Cost-Effective]:[Cost-Effective]], 1)</f>
        <v>125.39212544306615</v>
      </c>
      <c r="Y46" s="18">
        <f>SUMIFS(Peak_Hour[Achievable Peak Hour therm 2048], Peak_Hour[[Rate Class]:[Rate Class]], $B46, Peak_Hour[[Cost-Effective]:[Cost-Effective]], 1)</f>
        <v>114.99760679286121</v>
      </c>
      <c r="Z46" s="18">
        <f>SUMIFS(Peak_Hour[Achievable Peak Hour therm 2049], Peak_Hour[[Rate Class]:[Rate Class]], $B46, Peak_Hour[[Cost-Effective]:[Cost-Effective]], 1)</f>
        <v>109.54957812149893</v>
      </c>
      <c r="AA46" s="18">
        <f>SUMIFS(Peak_Hour[Achievable Peak Hour therm 2050], Peak_Hour[[Rate Class]:[Rate Class]], $B46, Peak_Hour[[Cost-Effective]:[Cost-Effective]], 1)</f>
        <v>65.555489413806427</v>
      </c>
    </row>
    <row r="47" spans="2:27" x14ac:dyDescent="0.2">
      <c r="B47" s="16" t="s">
        <v>39</v>
      </c>
      <c r="C47" s="17">
        <f>SUMIFS(Peak_Hour[Achievable Peak Hour therm 2026], Peak_Hour[[Rate Class]:[Rate Class]], $B46, Peak_Hour[[Sales/Transport]:[Sales/Transport]], $B47, Peak_Hour[[Cost-Effective]:[Cost-Effective]], 1)</f>
        <v>186.77952965246033</v>
      </c>
      <c r="D47" s="17">
        <f>SUMIFS(Peak_Hour[Achievable Peak Hour therm 2027], Peak_Hour[[Rate Class]:[Rate Class]], $B46, Peak_Hour[[Sales/Transport]:[Sales/Transport]], $B47, Peak_Hour[[Cost-Effective]:[Cost-Effective]], 1)</f>
        <v>190.85581283271154</v>
      </c>
      <c r="E47" s="17">
        <f>SUMIFS(Peak_Hour[Achievable Peak Hour therm 2028], Peak_Hour[[Rate Class]:[Rate Class]], $B46, Peak_Hour[[Sales/Transport]:[Sales/Transport]], $B47, Peak_Hour[[Cost-Effective]:[Cost-Effective]], 1)</f>
        <v>208.03437514622783</v>
      </c>
      <c r="F47" s="17">
        <f>SUMIFS(Peak_Hour[Achievable Peak Hour therm 2029], Peak_Hour[[Rate Class]:[Rate Class]], $B46, Peak_Hour[[Sales/Transport]:[Sales/Transport]], $B47, Peak_Hour[[Cost-Effective]:[Cost-Effective]], 1)</f>
        <v>235.03902566591449</v>
      </c>
      <c r="G47" s="17">
        <f>SUMIFS(Peak_Hour[Achievable Peak Hour therm 2030], Peak_Hour[[Rate Class]:[Rate Class]], $B46, Peak_Hour[[Sales/Transport]:[Sales/Transport]], $B47, Peak_Hour[[Cost-Effective]:[Cost-Effective]], 1)</f>
        <v>263.74826699266612</v>
      </c>
      <c r="H47" s="17">
        <f>SUMIFS(Peak_Hour[Achievable Peak Hour therm 2031], Peak_Hour[[Rate Class]:[Rate Class]], $B46, Peak_Hour[[Sales/Transport]:[Sales/Transport]], $B47, Peak_Hour[[Cost-Effective]:[Cost-Effective]], 1)</f>
        <v>294.30648757103887</v>
      </c>
      <c r="I47" s="17">
        <f>SUMIFS(Peak_Hour[Achievable Peak Hour therm 2032], Peak_Hour[[Rate Class]:[Rate Class]], $B46, Peak_Hour[[Sales/Transport]:[Sales/Transport]], $B47, Peak_Hour[[Cost-Effective]:[Cost-Effective]], 1)</f>
        <v>315.02921238295437</v>
      </c>
      <c r="J47" s="17">
        <f>SUMIFS(Peak_Hour[Achievable Peak Hour therm 2033], Peak_Hour[[Rate Class]:[Rate Class]], $B46, Peak_Hour[[Sales/Transport]:[Sales/Transport]], $B47, Peak_Hour[[Cost-Effective]:[Cost-Effective]], 1)</f>
        <v>324.08096066857007</v>
      </c>
      <c r="K47" s="17">
        <f>SUMIFS(Peak_Hour[Achievable Peak Hour therm 2034], Peak_Hour[[Rate Class]:[Rate Class]], $B46, Peak_Hour[[Sales/Transport]:[Sales/Transport]], $B47, Peak_Hour[[Cost-Effective]:[Cost-Effective]], 1)</f>
        <v>309.41254389536255</v>
      </c>
      <c r="L47" s="17">
        <f>SUMIFS(Peak_Hour[Achievable Peak Hour therm 2035], Peak_Hour[[Rate Class]:[Rate Class]], $B46, Peak_Hour[[Sales/Transport]:[Sales/Transport]], $B47, Peak_Hour[[Cost-Effective]:[Cost-Effective]], 1)</f>
        <v>281.04949106230401</v>
      </c>
      <c r="M47" s="17">
        <f>SUMIFS(Peak_Hour[Achievable Peak Hour therm 2036], Peak_Hour[[Rate Class]:[Rate Class]], $B46, Peak_Hour[[Sales/Transport]:[Sales/Transport]], $B47, Peak_Hour[[Cost-Effective]:[Cost-Effective]], 1)</f>
        <v>266.36841655991623</v>
      </c>
      <c r="N47" s="17">
        <f>SUMIFS(Peak_Hour[Achievable Peak Hour therm 2037], Peak_Hour[[Rate Class]:[Rate Class]], $B46, Peak_Hour[[Sales/Transport]:[Sales/Transport]], $B47, Peak_Hour[[Cost-Effective]:[Cost-Effective]], 1)</f>
        <v>277.72212246197756</v>
      </c>
      <c r="O47" s="17">
        <f>SUMIFS(Peak_Hour[Achievable Peak Hour therm 2038], Peak_Hour[[Rate Class]:[Rate Class]], $B46, Peak_Hour[[Sales/Transport]:[Sales/Transport]], $B47, Peak_Hour[[Cost-Effective]:[Cost-Effective]], 1)</f>
        <v>284.450557043233</v>
      </c>
      <c r="P47" s="17">
        <f>SUMIFS(Peak_Hour[Achievable Peak Hour therm 2039], Peak_Hour[[Rate Class]:[Rate Class]], $B46, Peak_Hour[[Sales/Transport]:[Sales/Transport]], $B47, Peak_Hour[[Cost-Effective]:[Cost-Effective]], 1)</f>
        <v>279.42351492060993</v>
      </c>
      <c r="Q47" s="17">
        <f>SUMIFS(Peak_Hour[Achievable Peak Hour therm 2040], Peak_Hour[[Rate Class]:[Rate Class]], $B46, Peak_Hour[[Sales/Transport]:[Sales/Transport]], $B47, Peak_Hour[[Cost-Effective]:[Cost-Effective]], 1)</f>
        <v>260.40353563940397</v>
      </c>
      <c r="R47" s="17">
        <f>SUMIFS(Peak_Hour[Achievable Peak Hour therm 2041], Peak_Hour[[Rate Class]:[Rate Class]], $B46, Peak_Hour[[Sales/Transport]:[Sales/Transport]], $B47, Peak_Hour[[Cost-Effective]:[Cost-Effective]], 1)</f>
        <v>230.67334908531433</v>
      </c>
      <c r="S47" s="17">
        <f>SUMIFS(Peak_Hour[Achievable Peak Hour therm 2042], Peak_Hour[[Rate Class]:[Rate Class]], $B46, Peak_Hour[[Sales/Transport]:[Sales/Transport]], $B47, Peak_Hour[[Cost-Effective]:[Cost-Effective]], 1)</f>
        <v>194.49514137017377</v>
      </c>
      <c r="T47" s="17">
        <f>SUMIFS(Peak_Hour[Achievable Peak Hour therm 2043], Peak_Hour[[Rate Class]:[Rate Class]], $B46, Peak_Hour[[Sales/Transport]:[Sales/Transport]], $B47, Peak_Hour[[Cost-Effective]:[Cost-Effective]], 1)</f>
        <v>167.20500765487046</v>
      </c>
      <c r="U47" s="17">
        <f>SUMIFS(Peak_Hour[Achievable Peak Hour therm 2044], Peak_Hour[[Rate Class]:[Rate Class]], $B46, Peak_Hour[[Sales/Transport]:[Sales/Transport]], $B47, Peak_Hour[[Cost-Effective]:[Cost-Effective]], 1)</f>
        <v>129.28399392486978</v>
      </c>
      <c r="V47" s="17">
        <f>SUMIFS(Peak_Hour[Achievable Peak Hour therm 2045], Peak_Hour[[Rate Class]:[Rate Class]], $B46, Peak_Hour[[Sales/Transport]:[Sales/Transport]], $B47, Peak_Hour[[Cost-Effective]:[Cost-Effective]], 1)</f>
        <v>123.0063918640857</v>
      </c>
      <c r="W47" s="17">
        <f>SUMIFS(Peak_Hour[Achievable Peak Hour therm 2046], Peak_Hour[[Rate Class]:[Rate Class]], $B46, Peak_Hour[[Sales/Transport]:[Sales/Transport]], $B47, Peak_Hour[[Cost-Effective]:[Cost-Effective]], 1)</f>
        <v>122.86030907798437</v>
      </c>
      <c r="X47" s="17">
        <f>SUMIFS(Peak_Hour[Achievable Peak Hour therm 2047], Peak_Hour[[Rate Class]:[Rate Class]], $B46, Peak_Hour[[Sales/Transport]:[Sales/Transport]], $B47, Peak_Hour[[Cost-Effective]:[Cost-Effective]], 1)</f>
        <v>119.4130644361495</v>
      </c>
      <c r="Y47" s="17">
        <f>SUMIFS(Peak_Hour[Achievable Peak Hour therm 2048], Peak_Hour[[Rate Class]:[Rate Class]], $B46, Peak_Hour[[Sales/Transport]:[Sales/Transport]], $B47, Peak_Hour[[Cost-Effective]:[Cost-Effective]], 1)</f>
        <v>109.21674235219648</v>
      </c>
      <c r="Z47" s="17">
        <f>SUMIFS(Peak_Hour[Achievable Peak Hour therm 2049], Peak_Hour[[Rate Class]:[Rate Class]], $B46, Peak_Hour[[Sales/Transport]:[Sales/Transport]], $B47, Peak_Hour[[Cost-Effective]:[Cost-Effective]], 1)</f>
        <v>104.02312694650159</v>
      </c>
      <c r="AA47" s="17">
        <f>SUMIFS(Peak_Hour[Achievable Peak Hour therm 2050], Peak_Hour[[Rate Class]:[Rate Class]], $B46, Peak_Hour[[Sales/Transport]:[Sales/Transport]], $B47, Peak_Hour[[Cost-Effective]:[Cost-Effective]], 1)</f>
        <v>61.869882965921384</v>
      </c>
    </row>
    <row r="48" spans="2:27" x14ac:dyDescent="0.2">
      <c r="B48" s="16" t="s">
        <v>40</v>
      </c>
      <c r="C48" s="17">
        <f>SUMIFS(Peak_Hour[Achievable Peak Hour therm 2026], Peak_Hour[[Rate Class]:[Rate Class]], $B46, Peak_Hour[[Sales/Transport]:[Sales/Transport]], $B48, Peak_Hour[[Cost-Effective]:[Cost-Effective]], 1)</f>
        <v>10.627310024627356</v>
      </c>
      <c r="D48" s="17">
        <f>SUMIFS(Peak_Hour[Achievable Peak Hour therm 2027], Peak_Hour[[Rate Class]:[Rate Class]], $B46, Peak_Hour[[Sales/Transport]:[Sales/Transport]], $B48, Peak_Hour[[Cost-Effective]:[Cost-Effective]], 1)</f>
        <v>11.999285276688594</v>
      </c>
      <c r="E48" s="17">
        <f>SUMIFS(Peak_Hour[Achievable Peak Hour therm 2028], Peak_Hour[[Rate Class]:[Rate Class]], $B46, Peak_Hour[[Sales/Transport]:[Sales/Transport]], $B48, Peak_Hour[[Cost-Effective]:[Cost-Effective]], 1)</f>
        <v>13.76664357043259</v>
      </c>
      <c r="F48" s="17">
        <f>SUMIFS(Peak_Hour[Achievable Peak Hour therm 2029], Peak_Hour[[Rate Class]:[Rate Class]], $B46, Peak_Hour[[Sales/Transport]:[Sales/Transport]], $B48, Peak_Hour[[Cost-Effective]:[Cost-Effective]], 1)</f>
        <v>16.114638109060152</v>
      </c>
      <c r="G48" s="17">
        <f>SUMIFS(Peak_Hour[Achievable Peak Hour therm 2030], Peak_Hour[[Rate Class]:[Rate Class]], $B46, Peak_Hour[[Sales/Transport]:[Sales/Transport]], $B48, Peak_Hour[[Cost-Effective]:[Cost-Effective]], 1)</f>
        <v>18.314711428205459</v>
      </c>
      <c r="H48" s="17">
        <f>SUMIFS(Peak_Hour[Achievable Peak Hour therm 2031], Peak_Hour[[Rate Class]:[Rate Class]], $B46, Peak_Hour[[Sales/Transport]:[Sales/Transport]], $B48, Peak_Hour[[Cost-Effective]:[Cost-Effective]], 1)</f>
        <v>19.957638429080205</v>
      </c>
      <c r="I48" s="17">
        <f>SUMIFS(Peak_Hour[Achievable Peak Hour therm 2032], Peak_Hour[[Rate Class]:[Rate Class]], $B46, Peak_Hour[[Sales/Transport]:[Sales/Transport]], $B48, Peak_Hour[[Cost-Effective]:[Cost-Effective]], 1)</f>
        <v>20.612535803263974</v>
      </c>
      <c r="J48" s="17">
        <f>SUMIFS(Peak_Hour[Achievable Peak Hour therm 2033], Peak_Hour[[Rate Class]:[Rate Class]], $B46, Peak_Hour[[Sales/Transport]:[Sales/Transport]], $B48, Peak_Hour[[Cost-Effective]:[Cost-Effective]], 1)</f>
        <v>20.249023577743859</v>
      </c>
      <c r="K48" s="17">
        <f>SUMIFS(Peak_Hour[Achievable Peak Hour therm 2034], Peak_Hour[[Rate Class]:[Rate Class]], $B46, Peak_Hour[[Sales/Transport]:[Sales/Transport]], $B48, Peak_Hour[[Cost-Effective]:[Cost-Effective]], 1)</f>
        <v>19.0874292403802</v>
      </c>
      <c r="L48" s="17">
        <f>SUMIFS(Peak_Hour[Achievable Peak Hour therm 2035], Peak_Hour[[Rate Class]:[Rate Class]], $B46, Peak_Hour[[Sales/Transport]:[Sales/Transport]], $B48, Peak_Hour[[Cost-Effective]:[Cost-Effective]], 1)</f>
        <v>14.258748101385169</v>
      </c>
      <c r="M48" s="17">
        <f>SUMIFS(Peak_Hour[Achievable Peak Hour therm 2036], Peak_Hour[[Rate Class]:[Rate Class]], $B46, Peak_Hour[[Sales/Transport]:[Sales/Transport]], $B48, Peak_Hour[[Cost-Effective]:[Cost-Effective]], 1)</f>
        <v>12.43217030916237</v>
      </c>
      <c r="N48" s="17">
        <f>SUMIFS(Peak_Hour[Achievable Peak Hour therm 2037], Peak_Hour[[Rate Class]:[Rate Class]], $B46, Peak_Hour[[Sales/Transport]:[Sales/Transport]], $B48, Peak_Hour[[Cost-Effective]:[Cost-Effective]], 1)</f>
        <v>12.799806676314859</v>
      </c>
      <c r="O48" s="17">
        <f>SUMIFS(Peak_Hour[Achievable Peak Hour therm 2038], Peak_Hour[[Rate Class]:[Rate Class]], $B46, Peak_Hour[[Sales/Transport]:[Sales/Transport]], $B48, Peak_Hour[[Cost-Effective]:[Cost-Effective]], 1)</f>
        <v>12.801634871631736</v>
      </c>
      <c r="P48" s="17">
        <f>SUMIFS(Peak_Hour[Achievable Peak Hour therm 2039], Peak_Hour[[Rate Class]:[Rate Class]], $B46, Peak_Hour[[Sales/Transport]:[Sales/Transport]], $B48, Peak_Hour[[Cost-Effective]:[Cost-Effective]], 1)</f>
        <v>12.344914886532134</v>
      </c>
      <c r="Q48" s="17">
        <f>SUMIFS(Peak_Hour[Achievable Peak Hour therm 2040], Peak_Hour[[Rate Class]:[Rate Class]], $B46, Peak_Hour[[Sales/Transport]:[Sales/Transport]], $B48, Peak_Hour[[Cost-Effective]:[Cost-Effective]], 1)</f>
        <v>11.495825511466398</v>
      </c>
      <c r="R48" s="17">
        <f>SUMIFS(Peak_Hour[Achievable Peak Hour therm 2041], Peak_Hour[[Rate Class]:[Rate Class]], $B46, Peak_Hour[[Sales/Transport]:[Sales/Transport]], $B48, Peak_Hour[[Cost-Effective]:[Cost-Effective]], 1)</f>
        <v>9.4445028381646647</v>
      </c>
      <c r="S48" s="17">
        <f>SUMIFS(Peak_Hour[Achievable Peak Hour therm 2042], Peak_Hour[[Rate Class]:[Rate Class]], $B46, Peak_Hour[[Sales/Transport]:[Sales/Transport]], $B48, Peak_Hour[[Cost-Effective]:[Cost-Effective]], 1)</f>
        <v>8.7008339972511166</v>
      </c>
      <c r="T48" s="17">
        <f>SUMIFS(Peak_Hour[Achievable Peak Hour therm 2043], Peak_Hour[[Rate Class]:[Rate Class]], $B46, Peak_Hour[[Sales/Transport]:[Sales/Transport]], $B48, Peak_Hour[[Cost-Effective]:[Cost-Effective]], 1)</f>
        <v>7.55092751105121</v>
      </c>
      <c r="U48" s="17">
        <f>SUMIFS(Peak_Hour[Achievable Peak Hour therm 2044], Peak_Hour[[Rate Class]:[Rate Class]], $B46, Peak_Hour[[Sales/Transport]:[Sales/Transport]], $B48, Peak_Hour[[Cost-Effective]:[Cost-Effective]], 1)</f>
        <v>6.3662559482482841</v>
      </c>
      <c r="V48" s="17">
        <f>SUMIFS(Peak_Hour[Achievable Peak Hour therm 2045], Peak_Hour[[Rate Class]:[Rate Class]], $B46, Peak_Hour[[Sales/Transport]:[Sales/Transport]], $B48, Peak_Hour[[Cost-Effective]:[Cost-Effective]], 1)</f>
        <v>6.1318608222181039</v>
      </c>
      <c r="W48" s="17">
        <f>SUMIFS(Peak_Hour[Achievable Peak Hour therm 2046], Peak_Hour[[Rate Class]:[Rate Class]], $B46, Peak_Hour[[Sales/Transport]:[Sales/Transport]], $B48, Peak_Hour[[Cost-Effective]:[Cost-Effective]], 1)</f>
        <v>6.1152122034872791</v>
      </c>
      <c r="X48" s="17">
        <f>SUMIFS(Peak_Hour[Achievable Peak Hour therm 2047], Peak_Hour[[Rate Class]:[Rate Class]], $B46, Peak_Hour[[Sales/Transport]:[Sales/Transport]], $B48, Peak_Hour[[Cost-Effective]:[Cost-Effective]], 1)</f>
        <v>5.9790610069166608</v>
      </c>
      <c r="Y48" s="17">
        <f>SUMIFS(Peak_Hour[Achievable Peak Hour therm 2048], Peak_Hour[[Rate Class]:[Rate Class]], $B46, Peak_Hour[[Sales/Transport]:[Sales/Transport]], $B48, Peak_Hour[[Cost-Effective]:[Cost-Effective]], 1)</f>
        <v>5.7808644406647378</v>
      </c>
      <c r="Z48" s="17">
        <f>SUMIFS(Peak_Hour[Achievable Peak Hour therm 2049], Peak_Hour[[Rate Class]:[Rate Class]], $B46, Peak_Hour[[Sales/Transport]:[Sales/Transport]], $B48, Peak_Hour[[Cost-Effective]:[Cost-Effective]], 1)</f>
        <v>5.5264511749973382</v>
      </c>
      <c r="AA48" s="17">
        <f>SUMIFS(Peak_Hour[Achievable Peak Hour therm 2050], Peak_Hour[[Rate Class]:[Rate Class]], $B46, Peak_Hour[[Sales/Transport]:[Sales/Transport]], $B48, Peak_Hour[[Cost-Effective]:[Cost-Effective]], 1)</f>
        <v>3.6856064478850277</v>
      </c>
    </row>
    <row r="49" spans="2:27" x14ac:dyDescent="0.2">
      <c r="B49" s="9" t="s">
        <v>33</v>
      </c>
      <c r="C49" s="18">
        <f>SUMIFS(Peak_Hour[Achievable Peak Hour therm 2026], Peak_Hour[[Rate Class]:[Rate Class]], $B49, Peak_Hour[[Cost-Effective]:[Cost-Effective]], 1)</f>
        <v>9.8764431216833781</v>
      </c>
      <c r="D49" s="18">
        <f>SUMIFS(Peak_Hour[Achievable Peak Hour therm 2027], Peak_Hour[[Rate Class]:[Rate Class]], $B49, Peak_Hour[[Cost-Effective]:[Cost-Effective]], 1)</f>
        <v>18.967045694152997</v>
      </c>
      <c r="E49" s="18">
        <f>SUMIFS(Peak_Hour[Achievable Peak Hour therm 2028], Peak_Hour[[Rate Class]:[Rate Class]], $B49, Peak_Hour[[Cost-Effective]:[Cost-Effective]], 1)</f>
        <v>32.857581356907396</v>
      </c>
      <c r="F49" s="18">
        <f>SUMIFS(Peak_Hour[Achievable Peak Hour therm 2029], Peak_Hour[[Rate Class]:[Rate Class]], $B49, Peak_Hour[[Cost-Effective]:[Cost-Effective]], 1)</f>
        <v>52.386796150227916</v>
      </c>
      <c r="G49" s="18">
        <f>SUMIFS(Peak_Hour[Achievable Peak Hour therm 2030], Peak_Hour[[Rate Class]:[Rate Class]], $B49, Peak_Hour[[Cost-Effective]:[Cost-Effective]], 1)</f>
        <v>78.20615415645338</v>
      </c>
      <c r="H49" s="18">
        <f>SUMIFS(Peak_Hour[Achievable Peak Hour therm 2031], Peak_Hour[[Rate Class]:[Rate Class]], $B49, Peak_Hour[[Cost-Effective]:[Cost-Effective]], 1)</f>
        <v>110.40379945245373</v>
      </c>
      <c r="I49" s="18">
        <f>SUMIFS(Peak_Hour[Achievable Peak Hour therm 2032], Peak_Hour[[Rate Class]:[Rate Class]], $B49, Peak_Hour[[Cost-Effective]:[Cost-Effective]], 1)</f>
        <v>148.22609357548123</v>
      </c>
      <c r="J49" s="18">
        <f>SUMIFS(Peak_Hour[Achievable Peak Hour therm 2033], Peak_Hour[[Rate Class]:[Rate Class]], $B49, Peak_Hour[[Cost-Effective]:[Cost-Effective]], 1)</f>
        <v>189.84616760805085</v>
      </c>
      <c r="K49" s="18">
        <f>SUMIFS(Peak_Hour[Achievable Peak Hour therm 2034], Peak_Hour[[Rate Class]:[Rate Class]], $B49, Peak_Hour[[Cost-Effective]:[Cost-Effective]], 1)</f>
        <v>232.19181872279466</v>
      </c>
      <c r="L49" s="18">
        <f>SUMIFS(Peak_Hour[Achievable Peak Hour therm 2035], Peak_Hour[[Rate Class]:[Rate Class]], $B49, Peak_Hour[[Cost-Effective]:[Cost-Effective]], 1)</f>
        <v>271.00309114377762</v>
      </c>
      <c r="M49" s="18">
        <f>SUMIFS(Peak_Hour[Achievable Peak Hour therm 2036], Peak_Hour[[Rate Class]:[Rate Class]], $B49, Peak_Hour[[Cost-Effective]:[Cost-Effective]], 1)</f>
        <v>301.27014982430364</v>
      </c>
      <c r="N49" s="18">
        <f>SUMIFS(Peak_Hour[Achievable Peak Hour therm 2037], Peak_Hour[[Rate Class]:[Rate Class]], $B49, Peak_Hour[[Cost-Effective]:[Cost-Effective]], 1)</f>
        <v>318.10967069154736</v>
      </c>
      <c r="O49" s="18">
        <f>SUMIFS(Peak_Hour[Achievable Peak Hour therm 2038], Peak_Hour[[Rate Class]:[Rate Class]], $B49, Peak_Hour[[Cost-Effective]:[Cost-Effective]], 1)</f>
        <v>317.79819203141653</v>
      </c>
      <c r="P49" s="18">
        <f>SUMIFS(Peak_Hour[Achievable Peak Hour therm 2039], Peak_Hour[[Rate Class]:[Rate Class]], $B49, Peak_Hour[[Cost-Effective]:[Cost-Effective]], 1)</f>
        <v>299.24425634332545</v>
      </c>
      <c r="Q49" s="18">
        <f>SUMIFS(Peak_Hour[Achievable Peak Hour therm 2040], Peak_Hour[[Rate Class]:[Rate Class]], $B49, Peak_Hour[[Cost-Effective]:[Cost-Effective]], 1)</f>
        <v>259.73099677176623</v>
      </c>
      <c r="R49" s="18">
        <f>SUMIFS(Peak_Hour[Achievable Peak Hour therm 2041], Peak_Hour[[Rate Class]:[Rate Class]], $B49, Peak_Hour[[Cost-Effective]:[Cost-Effective]], 1)</f>
        <v>217.18235243142152</v>
      </c>
      <c r="S49" s="18">
        <f>SUMIFS(Peak_Hour[Achievable Peak Hour therm 2042], Peak_Hour[[Rate Class]:[Rate Class]], $B49, Peak_Hour[[Cost-Effective]:[Cost-Effective]], 1)</f>
        <v>94.937258261323564</v>
      </c>
      <c r="T49" s="18">
        <f>SUMIFS(Peak_Hour[Achievable Peak Hour therm 2043], Peak_Hour[[Rate Class]:[Rate Class]], $B49, Peak_Hour[[Cost-Effective]:[Cost-Effective]], 1)</f>
        <v>25.732633341835825</v>
      </c>
      <c r="U49" s="18">
        <f>SUMIFS(Peak_Hour[Achievable Peak Hour therm 2044], Peak_Hour[[Rate Class]:[Rate Class]], $B49, Peak_Hour[[Cost-Effective]:[Cost-Effective]], 1)</f>
        <v>25.665299752944048</v>
      </c>
      <c r="V49" s="18">
        <f>SUMIFS(Peak_Hour[Achievable Peak Hour therm 2045], Peak_Hour[[Rate Class]:[Rate Class]], $B49, Peak_Hour[[Cost-Effective]:[Cost-Effective]], 1)</f>
        <v>25.52736038813833</v>
      </c>
      <c r="W49" s="18">
        <f>SUMIFS(Peak_Hour[Achievable Peak Hour therm 2046], Peak_Hour[[Rate Class]:[Rate Class]], $B49, Peak_Hour[[Cost-Effective]:[Cost-Effective]], 1)</f>
        <v>25.346503044200446</v>
      </c>
      <c r="X49" s="18">
        <f>SUMIFS(Peak_Hour[Achievable Peak Hour therm 2047], Peak_Hour[[Rate Class]:[Rate Class]], $B49, Peak_Hour[[Cost-Effective]:[Cost-Effective]], 1)</f>
        <v>25.149100938891927</v>
      </c>
      <c r="Y49" s="18">
        <f>SUMIFS(Peak_Hour[Achievable Peak Hour therm 2048], Peak_Hour[[Rate Class]:[Rate Class]], $B49, Peak_Hour[[Cost-Effective]:[Cost-Effective]], 1)</f>
        <v>24.953818664914333</v>
      </c>
      <c r="Z49" s="18">
        <f>SUMIFS(Peak_Hour[Achievable Peak Hour therm 2049], Peak_Hour[[Rate Class]:[Rate Class]], $B49, Peak_Hour[[Cost-Effective]:[Cost-Effective]], 1)</f>
        <v>24.760375838387141</v>
      </c>
      <c r="AA49" s="18">
        <f>SUMIFS(Peak_Hour[Achievable Peak Hour therm 2050], Peak_Hour[[Rate Class]:[Rate Class]], $B49, Peak_Hour[[Cost-Effective]:[Cost-Effective]], 1)</f>
        <v>24.526164030552611</v>
      </c>
    </row>
    <row r="50" spans="2:27" x14ac:dyDescent="0.2">
      <c r="B50" s="16" t="s">
        <v>39</v>
      </c>
      <c r="C50" s="17">
        <f>SUMIFS(Peak_Hour[Achievable Peak Hour therm 2026], Peak_Hour[[Rate Class]:[Rate Class]], $B49, Peak_Hour[[Sales/Transport]:[Sales/Transport]], $B50, Peak_Hour[[Cost-Effective]:[Cost-Effective]], 1)</f>
        <v>1.6666756440932864</v>
      </c>
      <c r="D50" s="17">
        <f>SUMIFS(Peak_Hour[Achievable Peak Hour therm 2027], Peak_Hour[[Rate Class]:[Rate Class]], $B49, Peak_Hour[[Sales/Transport]:[Sales/Transport]], $B50, Peak_Hour[[Cost-Effective]:[Cost-Effective]], 1)</f>
        <v>3.0857565001465539</v>
      </c>
      <c r="E50" s="17">
        <f>SUMIFS(Peak_Hour[Achievable Peak Hour therm 2028], Peak_Hour[[Rate Class]:[Rate Class]], $B49, Peak_Hour[[Sales/Transport]:[Sales/Transport]], $B50, Peak_Hour[[Cost-Effective]:[Cost-Effective]], 1)</f>
        <v>5.2652504152622832</v>
      </c>
      <c r="F50" s="17">
        <f>SUMIFS(Peak_Hour[Achievable Peak Hour therm 2029], Peak_Hour[[Rate Class]:[Rate Class]], $B49, Peak_Hour[[Sales/Transport]:[Sales/Transport]], $B50, Peak_Hour[[Cost-Effective]:[Cost-Effective]], 1)</f>
        <v>8.3295219652979373</v>
      </c>
      <c r="G50" s="17">
        <f>SUMIFS(Peak_Hour[Achievable Peak Hour therm 2030], Peak_Hour[[Rate Class]:[Rate Class]], $B49, Peak_Hour[[Sales/Transport]:[Sales/Transport]], $B50, Peak_Hour[[Cost-Effective]:[Cost-Effective]], 1)</f>
        <v>12.374973413960808</v>
      </c>
      <c r="H50" s="17">
        <f>SUMIFS(Peak_Hour[Achievable Peak Hour therm 2031], Peak_Hour[[Rate Class]:[Rate Class]], $B49, Peak_Hour[[Sales/Transport]:[Sales/Transport]], $B50, Peak_Hour[[Cost-Effective]:[Cost-Effective]], 1)</f>
        <v>17.42035401804528</v>
      </c>
      <c r="I50" s="17">
        <f>SUMIFS(Peak_Hour[Achievable Peak Hour therm 2032], Peak_Hour[[Rate Class]:[Rate Class]], $B49, Peak_Hour[[Sales/Transport]:[Sales/Transport]], $B50, Peak_Hour[[Cost-Effective]:[Cost-Effective]], 1)</f>
        <v>23.335709667687279</v>
      </c>
      <c r="J50" s="17">
        <f>SUMIFS(Peak_Hour[Achievable Peak Hour therm 2033], Peak_Hour[[Rate Class]:[Rate Class]], $B49, Peak_Hour[[Sales/Transport]:[Sales/Transport]], $B50, Peak_Hour[[Cost-Effective]:[Cost-Effective]], 1)</f>
        <v>29.834688980243488</v>
      </c>
      <c r="K50" s="17">
        <f>SUMIFS(Peak_Hour[Achievable Peak Hour therm 2034], Peak_Hour[[Rate Class]:[Rate Class]], $B49, Peak_Hour[[Sales/Transport]:[Sales/Transport]], $B50, Peak_Hour[[Cost-Effective]:[Cost-Effective]], 1)</f>
        <v>36.438464273051636</v>
      </c>
      <c r="L50" s="17">
        <f>SUMIFS(Peak_Hour[Achievable Peak Hour therm 2035], Peak_Hour[[Rate Class]:[Rate Class]], $B49, Peak_Hour[[Sales/Transport]:[Sales/Transport]], $B50, Peak_Hour[[Cost-Effective]:[Cost-Effective]], 1)</f>
        <v>42.476419284780967</v>
      </c>
      <c r="M50" s="17">
        <f>SUMIFS(Peak_Hour[Achievable Peak Hour therm 2036], Peak_Hour[[Rate Class]:[Rate Class]], $B49, Peak_Hour[[Sales/Transport]:[Sales/Transport]], $B50, Peak_Hour[[Cost-Effective]:[Cost-Effective]], 1)</f>
        <v>47.168475724509172</v>
      </c>
      <c r="N50" s="17">
        <f>SUMIFS(Peak_Hour[Achievable Peak Hour therm 2037], Peak_Hour[[Rate Class]:[Rate Class]], $B49, Peak_Hour[[Sales/Transport]:[Sales/Transport]], $B50, Peak_Hour[[Cost-Effective]:[Cost-Effective]], 1)</f>
        <v>49.794791445136632</v>
      </c>
      <c r="O50" s="17">
        <f>SUMIFS(Peak_Hour[Achievable Peak Hour therm 2038], Peak_Hour[[Rate Class]:[Rate Class]], $B49, Peak_Hour[[Sales/Transport]:[Sales/Transport]], $B50, Peak_Hour[[Cost-Effective]:[Cost-Effective]], 1)</f>
        <v>49.741450363758133</v>
      </c>
      <c r="P50" s="17">
        <f>SUMIFS(Peak_Hour[Achievable Peak Hour therm 2039], Peak_Hour[[Rate Class]:[Rate Class]], $B49, Peak_Hour[[Sales/Transport]:[Sales/Transport]], $B50, Peak_Hour[[Cost-Effective]:[Cost-Effective]], 1)</f>
        <v>46.842726367474988</v>
      </c>
      <c r="Q50" s="17">
        <f>SUMIFS(Peak_Hour[Achievable Peak Hour therm 2040], Peak_Hour[[Rate Class]:[Rate Class]], $B49, Peak_Hour[[Sales/Transport]:[Sales/Transport]], $B50, Peak_Hour[[Cost-Effective]:[Cost-Effective]], 1)</f>
        <v>40.608862292005362</v>
      </c>
      <c r="R50" s="17">
        <f>SUMIFS(Peak_Hour[Achievable Peak Hour therm 2041], Peak_Hour[[Rate Class]:[Rate Class]], $B49, Peak_Hour[[Sales/Transport]:[Sales/Transport]], $B50, Peak_Hour[[Cost-Effective]:[Cost-Effective]], 1)</f>
        <v>33.979718268662928</v>
      </c>
      <c r="S50" s="17">
        <f>SUMIFS(Peak_Hour[Achievable Peak Hour therm 2042], Peak_Hour[[Rate Class]:[Rate Class]], $B49, Peak_Hour[[Sales/Transport]:[Sales/Transport]], $B50, Peak_Hour[[Cost-Effective]:[Cost-Effective]], 1)</f>
        <v>14.891620776058728</v>
      </c>
      <c r="T50" s="17">
        <f>SUMIFS(Peak_Hour[Achievable Peak Hour therm 2043], Peak_Hour[[Rate Class]:[Rate Class]], $B49, Peak_Hour[[Sales/Transport]:[Sales/Transport]], $B50, Peak_Hour[[Cost-Effective]:[Cost-Effective]], 1)</f>
        <v>4.2293108904750296</v>
      </c>
      <c r="U50" s="17">
        <f>SUMIFS(Peak_Hour[Achievable Peak Hour therm 2044], Peak_Hour[[Rate Class]:[Rate Class]], $B49, Peak_Hour[[Sales/Transport]:[Sales/Transport]], $B50, Peak_Hour[[Cost-Effective]:[Cost-Effective]], 1)</f>
        <v>4.1926695683500315</v>
      </c>
      <c r="V50" s="17">
        <f>SUMIFS(Peak_Hour[Achievable Peak Hour therm 2045], Peak_Hour[[Rate Class]:[Rate Class]], $B49, Peak_Hour[[Sales/Transport]:[Sales/Transport]], $B50, Peak_Hour[[Cost-Effective]:[Cost-Effective]], 1)</f>
        <v>4.1716982580459367</v>
      </c>
      <c r="W50" s="17">
        <f>SUMIFS(Peak_Hour[Achievable Peak Hour therm 2046], Peak_Hour[[Rate Class]:[Rate Class]], $B49, Peak_Hour[[Sales/Transport]:[Sales/Transport]], $B50, Peak_Hour[[Cost-Effective]:[Cost-Effective]], 1)</f>
        <v>4.1434172677900296</v>
      </c>
      <c r="X50" s="17">
        <f>SUMIFS(Peak_Hour[Achievable Peak Hour therm 2047], Peak_Hour[[Rate Class]:[Rate Class]], $B49, Peak_Hour[[Sales/Transport]:[Sales/Transport]], $B50, Peak_Hour[[Cost-Effective]:[Cost-Effective]], 1)</f>
        <v>4.1094605924568697</v>
      </c>
      <c r="Y50" s="17">
        <f>SUMIFS(Peak_Hour[Achievable Peak Hour therm 2048], Peak_Hour[[Rate Class]:[Rate Class]], $B49, Peak_Hour[[Sales/Transport]:[Sales/Transport]], $B50, Peak_Hour[[Cost-Effective]:[Cost-Effective]], 1)</f>
        <v>4.0763638182321325</v>
      </c>
      <c r="Z50" s="17">
        <f>SUMIFS(Peak_Hour[Achievable Peak Hour therm 2049], Peak_Hour[[Rate Class]:[Rate Class]], $B49, Peak_Hour[[Sales/Transport]:[Sales/Transport]], $B50, Peak_Hour[[Cost-Effective]:[Cost-Effective]], 1)</f>
        <v>4.0438562734931942</v>
      </c>
      <c r="AA50" s="17">
        <f>SUMIFS(Peak_Hour[Achievable Peak Hour therm 2050], Peak_Hour[[Rate Class]:[Rate Class]], $B49, Peak_Hour[[Sales/Transport]:[Sales/Transport]], $B50, Peak_Hour[[Cost-Effective]:[Cost-Effective]], 1)</f>
        <v>3.9693391668725813</v>
      </c>
    </row>
    <row r="51" spans="2:27" x14ac:dyDescent="0.2">
      <c r="B51" s="16" t="s">
        <v>40</v>
      </c>
      <c r="C51" s="17">
        <f>SUMIFS(Peak_Hour[Achievable Peak Hour therm 2026], Peak_Hour[[Rate Class]:[Rate Class]], $B49, Peak_Hour[[Sales/Transport]:[Sales/Transport]], $B51, Peak_Hour[[Cost-Effective]:[Cost-Effective]], 1)</f>
        <v>8.2097674775900913</v>
      </c>
      <c r="D51" s="17">
        <f>SUMIFS(Peak_Hour[Achievable Peak Hour therm 2027], Peak_Hour[[Rate Class]:[Rate Class]], $B49, Peak_Hour[[Sales/Transport]:[Sales/Transport]], $B51, Peak_Hour[[Cost-Effective]:[Cost-Effective]], 1)</f>
        <v>15.881289194006442</v>
      </c>
      <c r="E51" s="17">
        <f>SUMIFS(Peak_Hour[Achievable Peak Hour therm 2028], Peak_Hour[[Rate Class]:[Rate Class]], $B49, Peak_Hour[[Sales/Transport]:[Sales/Transport]], $B51, Peak_Hour[[Cost-Effective]:[Cost-Effective]], 1)</f>
        <v>27.59233094164513</v>
      </c>
      <c r="F51" s="17">
        <f>SUMIFS(Peak_Hour[Achievable Peak Hour therm 2029], Peak_Hour[[Rate Class]:[Rate Class]], $B49, Peak_Hour[[Sales/Transport]:[Sales/Transport]], $B51, Peak_Hour[[Cost-Effective]:[Cost-Effective]], 1)</f>
        <v>44.057274184929931</v>
      </c>
      <c r="G51" s="17">
        <f>SUMIFS(Peak_Hour[Achievable Peak Hour therm 2030], Peak_Hour[[Rate Class]:[Rate Class]], $B49, Peak_Hour[[Sales/Transport]:[Sales/Transport]], $B51, Peak_Hour[[Cost-Effective]:[Cost-Effective]], 1)</f>
        <v>65.831180742492535</v>
      </c>
      <c r="H51" s="17">
        <f>SUMIFS(Peak_Hour[Achievable Peak Hour therm 2031], Peak_Hour[[Rate Class]:[Rate Class]], $B49, Peak_Hour[[Sales/Transport]:[Sales/Transport]], $B51, Peak_Hour[[Cost-Effective]:[Cost-Effective]], 1)</f>
        <v>92.983445434408523</v>
      </c>
      <c r="I51" s="17">
        <f>SUMIFS(Peak_Hour[Achievable Peak Hour therm 2032], Peak_Hour[[Rate Class]:[Rate Class]], $B49, Peak_Hour[[Sales/Transport]:[Sales/Transport]], $B51, Peak_Hour[[Cost-Effective]:[Cost-Effective]], 1)</f>
        <v>124.89038390779393</v>
      </c>
      <c r="J51" s="17">
        <f>SUMIFS(Peak_Hour[Achievable Peak Hour therm 2033], Peak_Hour[[Rate Class]:[Rate Class]], $B49, Peak_Hour[[Sales/Transport]:[Sales/Transport]], $B51, Peak_Hour[[Cost-Effective]:[Cost-Effective]], 1)</f>
        <v>160.01147862780749</v>
      </c>
      <c r="K51" s="17">
        <f>SUMIFS(Peak_Hour[Achievable Peak Hour therm 2034], Peak_Hour[[Rate Class]:[Rate Class]], $B49, Peak_Hour[[Sales/Transport]:[Sales/Transport]], $B51, Peak_Hour[[Cost-Effective]:[Cost-Effective]], 1)</f>
        <v>195.75335444974311</v>
      </c>
      <c r="L51" s="17">
        <f>SUMIFS(Peak_Hour[Achievable Peak Hour therm 2035], Peak_Hour[[Rate Class]:[Rate Class]], $B49, Peak_Hour[[Sales/Transport]:[Sales/Transport]], $B51, Peak_Hour[[Cost-Effective]:[Cost-Effective]], 1)</f>
        <v>228.52667185899676</v>
      </c>
      <c r="M51" s="17">
        <f>SUMIFS(Peak_Hour[Achievable Peak Hour therm 2036], Peak_Hour[[Rate Class]:[Rate Class]], $B49, Peak_Hour[[Sales/Transport]:[Sales/Transport]], $B51, Peak_Hour[[Cost-Effective]:[Cost-Effective]], 1)</f>
        <v>254.10167409979445</v>
      </c>
      <c r="N51" s="17">
        <f>SUMIFS(Peak_Hour[Achievable Peak Hour therm 2037], Peak_Hour[[Rate Class]:[Rate Class]], $B49, Peak_Hour[[Sales/Transport]:[Sales/Transport]], $B51, Peak_Hour[[Cost-Effective]:[Cost-Effective]], 1)</f>
        <v>268.31487924641078</v>
      </c>
      <c r="O51" s="17">
        <f>SUMIFS(Peak_Hour[Achievable Peak Hour therm 2038], Peak_Hour[[Rate Class]:[Rate Class]], $B49, Peak_Hour[[Sales/Transport]:[Sales/Transport]], $B51, Peak_Hour[[Cost-Effective]:[Cost-Effective]], 1)</f>
        <v>268.05674166765846</v>
      </c>
      <c r="P51" s="17">
        <f>SUMIFS(Peak_Hour[Achievable Peak Hour therm 2039], Peak_Hour[[Rate Class]:[Rate Class]], $B49, Peak_Hour[[Sales/Transport]:[Sales/Transport]], $B51, Peak_Hour[[Cost-Effective]:[Cost-Effective]], 1)</f>
        <v>252.40152997585048</v>
      </c>
      <c r="Q51" s="17">
        <f>SUMIFS(Peak_Hour[Achievable Peak Hour therm 2040], Peak_Hour[[Rate Class]:[Rate Class]], $B49, Peak_Hour[[Sales/Transport]:[Sales/Transport]], $B51, Peak_Hour[[Cost-Effective]:[Cost-Effective]], 1)</f>
        <v>219.1221344797608</v>
      </c>
      <c r="R51" s="17">
        <f>SUMIFS(Peak_Hour[Achievable Peak Hour therm 2041], Peak_Hour[[Rate Class]:[Rate Class]], $B49, Peak_Hour[[Sales/Transport]:[Sales/Transport]], $B51, Peak_Hour[[Cost-Effective]:[Cost-Effective]], 1)</f>
        <v>183.20263416275856</v>
      </c>
      <c r="S51" s="17">
        <f>SUMIFS(Peak_Hour[Achievable Peak Hour therm 2042], Peak_Hour[[Rate Class]:[Rate Class]], $B49, Peak_Hour[[Sales/Transport]:[Sales/Transport]], $B51, Peak_Hour[[Cost-Effective]:[Cost-Effective]], 1)</f>
        <v>80.045637485264862</v>
      </c>
      <c r="T51" s="17">
        <f>SUMIFS(Peak_Hour[Achievable Peak Hour therm 2043], Peak_Hour[[Rate Class]:[Rate Class]], $B49, Peak_Hour[[Sales/Transport]:[Sales/Transport]], $B51, Peak_Hour[[Cost-Effective]:[Cost-Effective]], 1)</f>
        <v>21.503322451360788</v>
      </c>
      <c r="U51" s="17">
        <f>SUMIFS(Peak_Hour[Achievable Peak Hour therm 2044], Peak_Hour[[Rate Class]:[Rate Class]], $B49, Peak_Hour[[Sales/Transport]:[Sales/Transport]], $B51, Peak_Hour[[Cost-Effective]:[Cost-Effective]], 1)</f>
        <v>21.472630184594021</v>
      </c>
      <c r="V51" s="17">
        <f>SUMIFS(Peak_Hour[Achievable Peak Hour therm 2045], Peak_Hour[[Rate Class]:[Rate Class]], $B49, Peak_Hour[[Sales/Transport]:[Sales/Transport]], $B51, Peak_Hour[[Cost-Effective]:[Cost-Effective]], 1)</f>
        <v>21.355662130092394</v>
      </c>
      <c r="W51" s="17">
        <f>SUMIFS(Peak_Hour[Achievable Peak Hour therm 2046], Peak_Hour[[Rate Class]:[Rate Class]], $B49, Peak_Hour[[Sales/Transport]:[Sales/Transport]], $B51, Peak_Hour[[Cost-Effective]:[Cost-Effective]], 1)</f>
        <v>21.203085776410411</v>
      </c>
      <c r="X51" s="17">
        <f>SUMIFS(Peak_Hour[Achievable Peak Hour therm 2047], Peak_Hour[[Rate Class]:[Rate Class]], $B49, Peak_Hour[[Sales/Transport]:[Sales/Transport]], $B51, Peak_Hour[[Cost-Effective]:[Cost-Effective]], 1)</f>
        <v>21.039640346435057</v>
      </c>
      <c r="Y51" s="17">
        <f>SUMIFS(Peak_Hour[Achievable Peak Hour therm 2048], Peak_Hour[[Rate Class]:[Rate Class]], $B49, Peak_Hour[[Sales/Transport]:[Sales/Transport]], $B51, Peak_Hour[[Cost-Effective]:[Cost-Effective]], 1)</f>
        <v>20.877454846682198</v>
      </c>
      <c r="Z51" s="17">
        <f>SUMIFS(Peak_Hour[Achievable Peak Hour therm 2049], Peak_Hour[[Rate Class]:[Rate Class]], $B49, Peak_Hour[[Sales/Transport]:[Sales/Transport]], $B51, Peak_Hour[[Cost-Effective]:[Cost-Effective]], 1)</f>
        <v>20.716519564893947</v>
      </c>
      <c r="AA51" s="17">
        <f>SUMIFS(Peak_Hour[Achievable Peak Hour therm 2050], Peak_Hour[[Rate Class]:[Rate Class]], $B49, Peak_Hour[[Sales/Transport]:[Sales/Transport]], $B51, Peak_Hour[[Cost-Effective]:[Cost-Effective]], 1)</f>
        <v>20.556824863680028</v>
      </c>
    </row>
    <row r="52" spans="2:27" ht="13.5" thickBot="1" x14ac:dyDescent="0.25">
      <c r="B52" s="14" t="s">
        <v>34</v>
      </c>
      <c r="C52" s="15">
        <f>SUM(C45,C46,C49)</f>
        <v>302.67343474820615</v>
      </c>
      <c r="D52" s="15">
        <f t="shared" ref="D52:AA52" si="12">SUM(D45,D46,D49)</f>
        <v>356.34788123019337</v>
      </c>
      <c r="E52" s="15">
        <f t="shared" si="12"/>
        <v>445.96012650238441</v>
      </c>
      <c r="F52" s="15">
        <f t="shared" si="12"/>
        <v>562.02230497904918</v>
      </c>
      <c r="G52" s="15">
        <f t="shared" si="12"/>
        <v>700.3102538593522</v>
      </c>
      <c r="H52" s="15">
        <f t="shared" si="12"/>
        <v>859.2647057250133</v>
      </c>
      <c r="I52" s="15">
        <f t="shared" si="12"/>
        <v>1022.2848496041129</v>
      </c>
      <c r="J52" s="15">
        <f t="shared" si="12"/>
        <v>1179.3527254940814</v>
      </c>
      <c r="K52" s="15">
        <f t="shared" si="12"/>
        <v>1306.6673773206116</v>
      </c>
      <c r="L52" s="15">
        <f t="shared" si="12"/>
        <v>1396.2935583219137</v>
      </c>
      <c r="M52" s="15">
        <f t="shared" si="12"/>
        <v>1466.5236547734055</v>
      </c>
      <c r="N52" s="15">
        <f t="shared" si="12"/>
        <v>1515.4385487245427</v>
      </c>
      <c r="O52" s="15">
        <f t="shared" si="12"/>
        <v>1502.2252774674557</v>
      </c>
      <c r="P52" s="15">
        <f t="shared" si="12"/>
        <v>1424.5322095512411</v>
      </c>
      <c r="Q52" s="15">
        <f t="shared" si="12"/>
        <v>1280.7781871758634</v>
      </c>
      <c r="R52" s="15">
        <f t="shared" si="12"/>
        <v>1111.1638955360233</v>
      </c>
      <c r="S52" s="15">
        <f t="shared" si="12"/>
        <v>812.53747131086243</v>
      </c>
      <c r="T52" s="15">
        <f t="shared" si="12"/>
        <v>646.489759746755</v>
      </c>
      <c r="U52" s="15">
        <f t="shared" si="12"/>
        <v>489.65850267811595</v>
      </c>
      <c r="V52" s="15">
        <f t="shared" si="12"/>
        <v>471.64380458901343</v>
      </c>
      <c r="W52" s="15">
        <f t="shared" si="12"/>
        <v>466.94861580745084</v>
      </c>
      <c r="X52" s="15">
        <f t="shared" si="12"/>
        <v>460.1028634245115</v>
      </c>
      <c r="Y52" s="15">
        <f t="shared" si="12"/>
        <v>446.1137486393514</v>
      </c>
      <c r="Z52" s="15">
        <f t="shared" si="12"/>
        <v>436.35266682254735</v>
      </c>
      <c r="AA52" s="15">
        <f t="shared" si="12"/>
        <v>340.04982329470272</v>
      </c>
    </row>
    <row r="55" spans="2:27" x14ac:dyDescent="0.2">
      <c r="B55" s="9" t="s">
        <v>85</v>
      </c>
    </row>
    <row r="56" spans="2:27" x14ac:dyDescent="0.2">
      <c r="B56" s="11"/>
      <c r="C56" s="12">
        <v>2026</v>
      </c>
      <c r="D56" s="12">
        <v>2027</v>
      </c>
      <c r="E56" s="12">
        <v>2028</v>
      </c>
      <c r="F56" s="12">
        <v>2029</v>
      </c>
      <c r="G56" s="12">
        <v>2030</v>
      </c>
      <c r="H56" s="12">
        <v>2031</v>
      </c>
      <c r="I56" s="12">
        <v>2032</v>
      </c>
      <c r="J56" s="12">
        <v>2033</v>
      </c>
      <c r="K56" s="12">
        <v>2034</v>
      </c>
      <c r="L56" s="12">
        <v>2035</v>
      </c>
      <c r="M56" s="12">
        <v>2036</v>
      </c>
      <c r="N56" s="12">
        <v>2037</v>
      </c>
      <c r="O56" s="12">
        <v>2038</v>
      </c>
      <c r="P56" s="12">
        <v>2039</v>
      </c>
      <c r="Q56" s="12">
        <v>2040</v>
      </c>
      <c r="R56" s="12">
        <v>2041</v>
      </c>
      <c r="S56" s="12">
        <v>2042</v>
      </c>
      <c r="T56" s="12">
        <v>2043</v>
      </c>
      <c r="U56" s="12">
        <v>2044</v>
      </c>
      <c r="V56" s="12">
        <v>2045</v>
      </c>
      <c r="W56" s="12">
        <v>2046</v>
      </c>
      <c r="X56" s="12">
        <v>2047</v>
      </c>
      <c r="Y56" s="12">
        <v>2048</v>
      </c>
      <c r="Z56" s="12">
        <v>2049</v>
      </c>
      <c r="AA56" s="12">
        <v>2050</v>
      </c>
    </row>
    <row r="57" spans="2:27" x14ac:dyDescent="0.2">
      <c r="B57" s="9" t="s">
        <v>28</v>
      </c>
      <c r="C57" s="18">
        <f>SUMIFS(Peak_Hour[Achievable Peak Hour therm 2026], Peak_Hour[[Sector]:[Sector]], $B57)</f>
        <v>144.60150302773781</v>
      </c>
      <c r="D57" s="18">
        <f>SUMIFS(Peak_Hour[Achievable Peak Hour therm 2027], Peak_Hour[[Sector]:[Sector]], $B57)</f>
        <v>188.87856318059775</v>
      </c>
      <c r="E57" s="18">
        <f>SUMIFS(Peak_Hour[Achievable Peak Hour therm 2028], Peak_Hour[[Sector]:[Sector]], $B57)</f>
        <v>256.59346073781489</v>
      </c>
      <c r="F57" s="18">
        <f>SUMIFS(Peak_Hour[Achievable Peak Hour therm 2029], Peak_Hour[[Sector]:[Sector]], $B57)</f>
        <v>331.87902807748236</v>
      </c>
      <c r="G57" s="18">
        <f>SUMIFS(Peak_Hour[Achievable Peak Hour therm 2030], Peak_Hour[[Sector]:[Sector]], $B57)</f>
        <v>421.85386419723892</v>
      </c>
      <c r="H57" s="18">
        <f>SUMIFS(Peak_Hour[Achievable Peak Hour therm 2031], Peak_Hour[[Sector]:[Sector]], $B57)</f>
        <v>530.01150752446358</v>
      </c>
      <c r="I57" s="18">
        <f>SUMIFS(Peak_Hour[Achievable Peak Hour therm 2032], Peak_Hour[[Sector]:[Sector]], $B57)</f>
        <v>651.87314557225852</v>
      </c>
      <c r="J57" s="18">
        <f>SUMIFS(Peak_Hour[Achievable Peak Hour therm 2033], Peak_Hour[[Sector]:[Sector]], $B57)</f>
        <v>779.81319555580592</v>
      </c>
      <c r="K57" s="18">
        <f>SUMIFS(Peak_Hour[Achievable Peak Hour therm 2034], Peak_Hour[[Sector]:[Sector]], $B57)</f>
        <v>902.97409094635555</v>
      </c>
      <c r="L57" s="18">
        <f>SUMIFS(Peak_Hour[Achievable Peak Hour therm 2035], Peak_Hour[[Sector]:[Sector]], $B57)</f>
        <v>1007.9285901301806</v>
      </c>
      <c r="M57" s="18">
        <f>SUMIFS(Peak_Hour[Achievable Peak Hour therm 2036], Peak_Hour[[Sector]:[Sector]], $B57)</f>
        <v>1080.9009032012864</v>
      </c>
      <c r="N57" s="18">
        <f>SUMIFS(Peak_Hour[Achievable Peak Hour therm 2037], Peak_Hour[[Sector]:[Sector]], $B57)</f>
        <v>1105.7636624898128</v>
      </c>
      <c r="O57" s="18">
        <f>SUMIFS(Peak_Hour[Achievable Peak Hour therm 2038], Peak_Hour[[Sector]:[Sector]], $B57)</f>
        <v>1084.7325598530904</v>
      </c>
      <c r="P57" s="18">
        <f>SUMIFS(Peak_Hour[Achievable Peak Hour therm 2039], Peak_Hour[[Sector]:[Sector]], $B57)</f>
        <v>1020.3807417486115</v>
      </c>
      <c r="Q57" s="18">
        <f>SUMIFS(Peak_Hour[Achievable Peak Hour therm 2040], Peak_Hour[[Sector]:[Sector]], $B57)</f>
        <v>915.4860011598031</v>
      </c>
      <c r="R57" s="18">
        <f>SUMIFS(Peak_Hour[Achievable Peak Hour therm 2041], Peak_Hour[[Sector]:[Sector]], $B57)</f>
        <v>794.08021913064147</v>
      </c>
      <c r="S57" s="18">
        <f>SUMIFS(Peak_Hour[Achievable Peak Hour therm 2042], Peak_Hour[[Sector]:[Sector]], $B57)</f>
        <v>624.04037869795866</v>
      </c>
      <c r="T57" s="18">
        <f>SUMIFS(Peak_Hour[Achievable Peak Hour therm 2043], Peak_Hour[[Sector]:[Sector]], $B57)</f>
        <v>525.10036844020499</v>
      </c>
      <c r="U57" s="18">
        <f>SUMIFS(Peak_Hour[Achievable Peak Hour therm 2044], Peak_Hour[[Sector]:[Sector]], $B57)</f>
        <v>350.80966773408483</v>
      </c>
      <c r="V57" s="18">
        <f>SUMIFS(Peak_Hour[Achievable Peak Hour therm 2045], Peak_Hour[[Sector]:[Sector]], $B57)</f>
        <v>331.79902564617333</v>
      </c>
      <c r="W57" s="18">
        <f>SUMIFS(Peak_Hour[Achievable Peak Hour therm 2046], Peak_Hour[[Sector]:[Sector]], $B57)</f>
        <v>327.38503990605363</v>
      </c>
      <c r="X57" s="18">
        <f>SUMIFS(Peak_Hour[Achievable Peak Hour therm 2047], Peak_Hour[[Sector]:[Sector]], $B57)</f>
        <v>324.25884072906666</v>
      </c>
      <c r="Y57" s="18">
        <f>SUMIFS(Peak_Hour[Achievable Peak Hour therm 2048], Peak_Hour[[Sector]:[Sector]], $B57)</f>
        <v>320.79877053648352</v>
      </c>
      <c r="Z57" s="18">
        <f>SUMIFS(Peak_Hour[Achievable Peak Hour therm 2049], Peak_Hour[[Sector]:[Sector]], $B57)</f>
        <v>316.61847585338052</v>
      </c>
      <c r="AA57" s="18">
        <f>SUMIFS(Peak_Hour[Achievable Peak Hour therm 2050], Peak_Hour[[Sector]:[Sector]], $B57)</f>
        <v>264.48302074261483</v>
      </c>
    </row>
    <row r="58" spans="2:27" x14ac:dyDescent="0.2">
      <c r="B58" s="16" t="s">
        <v>43</v>
      </c>
      <c r="C58" s="17">
        <f>SUMIFS(Peak_Hour[Achievable Peak Hour therm 2026], Peak_Hour[[Sector]:[Sector]], $B$57, Peak_Hour[[End Use]:[End Use]], $B58)</f>
        <v>1.2125590918418163</v>
      </c>
      <c r="D58" s="17">
        <f>SUMIFS(Peak_Hour[Achievable Peak Hour therm 2027], Peak_Hour[[Sector]:[Sector]], $B$57, Peak_Hour[[End Use]:[End Use]], $B58)</f>
        <v>1.5166452029415052</v>
      </c>
      <c r="E58" s="17">
        <f>SUMIFS(Peak_Hour[Achievable Peak Hour therm 2028], Peak_Hour[[Sector]:[Sector]], $B$57, Peak_Hour[[End Use]:[End Use]], $B58)</f>
        <v>1.9122576398836233</v>
      </c>
      <c r="F58" s="17">
        <f>SUMIFS(Peak_Hour[Achievable Peak Hour therm 2029], Peak_Hour[[Sector]:[Sector]], $B$57, Peak_Hour[[End Use]:[End Use]], $B58)</f>
        <v>2.2572888083477194</v>
      </c>
      <c r="G58" s="17">
        <f>SUMIFS(Peak_Hour[Achievable Peak Hour therm 2030], Peak_Hour[[Sector]:[Sector]], $B$57, Peak_Hour[[End Use]:[End Use]], $B58)</f>
        <v>2.5290618893950274</v>
      </c>
      <c r="H58" s="17">
        <f>SUMIFS(Peak_Hour[Achievable Peak Hour therm 2031], Peak_Hour[[Sector]:[Sector]], $B$57, Peak_Hour[[End Use]:[End Use]], $B58)</f>
        <v>2.7435594534559375</v>
      </c>
      <c r="I58" s="17">
        <f>SUMIFS(Peak_Hour[Achievable Peak Hour therm 2032], Peak_Hour[[Sector]:[Sector]], $B$57, Peak_Hour[[End Use]:[End Use]], $B58)</f>
        <v>2.9117677290695876</v>
      </c>
      <c r="J58" s="17">
        <f>SUMIFS(Peak_Hour[Achievable Peak Hour therm 2033], Peak_Hour[[Sector]:[Sector]], $B$57, Peak_Hour[[End Use]:[End Use]], $B58)</f>
        <v>3.0450049906415897</v>
      </c>
      <c r="K58" s="17">
        <f>SUMIFS(Peak_Hour[Achievable Peak Hour therm 2034], Peak_Hour[[Sector]:[Sector]], $B$57, Peak_Hour[[End Use]:[End Use]], $B58)</f>
        <v>3.1500531546107586</v>
      </c>
      <c r="L58" s="17">
        <f>SUMIFS(Peak_Hour[Achievable Peak Hour therm 2035], Peak_Hour[[Sector]:[Sector]], $B$57, Peak_Hour[[End Use]:[End Use]], $B58)</f>
        <v>3.2324578261225492</v>
      </c>
      <c r="M58" s="17">
        <f>SUMIFS(Peak_Hour[Achievable Peak Hour therm 2036], Peak_Hour[[Sector]:[Sector]], $B$57, Peak_Hour[[End Use]:[End Use]], $B58)</f>
        <v>3.2967703552709282</v>
      </c>
      <c r="N58" s="17">
        <f>SUMIFS(Peak_Hour[Achievable Peak Hour therm 2037], Peak_Hour[[Sector]:[Sector]], $B$57, Peak_Hour[[End Use]:[End Use]], $B58)</f>
        <v>3.3463588743148232</v>
      </c>
      <c r="O58" s="17">
        <f>SUMIFS(Peak_Hour[Achievable Peak Hour therm 2038], Peak_Hour[[Sector]:[Sector]], $B$57, Peak_Hour[[End Use]:[End Use]], $B58)</f>
        <v>3.4044989906999676</v>
      </c>
      <c r="P58" s="17">
        <f>SUMIFS(Peak_Hour[Achievable Peak Hour therm 2039], Peak_Hour[[Sector]:[Sector]], $B$57, Peak_Hour[[End Use]:[End Use]], $B58)</f>
        <v>3.4206594694687982</v>
      </c>
      <c r="Q58" s="17">
        <f>SUMIFS(Peak_Hour[Achievable Peak Hour therm 2040], Peak_Hour[[Sector]:[Sector]], $B$57, Peak_Hour[[End Use]:[End Use]], $B58)</f>
        <v>3.6718285442899332</v>
      </c>
      <c r="R58" s="17">
        <f>SUMIFS(Peak_Hour[Achievable Peak Hour therm 2041], Peak_Hour[[Sector]:[Sector]], $B$57, Peak_Hour[[End Use]:[End Use]], $B58)</f>
        <v>3.4923909652517535</v>
      </c>
      <c r="S58" s="17">
        <f>SUMIFS(Peak_Hour[Achievable Peak Hour therm 2042], Peak_Hour[[Sector]:[Sector]], $B$57, Peak_Hour[[End Use]:[End Use]], $B58)</f>
        <v>1.9766202535042443</v>
      </c>
      <c r="T58" s="17">
        <f>SUMIFS(Peak_Hour[Achievable Peak Hour therm 2043], Peak_Hour[[Sector]:[Sector]], $B$57, Peak_Hour[[End Use]:[End Use]], $B58)</f>
        <v>0.23875841156215122</v>
      </c>
      <c r="U58" s="17">
        <f>SUMIFS(Peak_Hour[Achievable Peak Hour therm 2044], Peak_Hour[[Sector]:[Sector]], $B$57, Peak_Hour[[End Use]:[End Use]], $B58)</f>
        <v>0.21466332799862572</v>
      </c>
      <c r="V58" s="17">
        <f>SUMIFS(Peak_Hour[Achievable Peak Hour therm 2045], Peak_Hour[[Sector]:[Sector]], $B$57, Peak_Hour[[End Use]:[End Use]], $B58)</f>
        <v>0.19258062302879417</v>
      </c>
      <c r="W58" s="17">
        <f>SUMIFS(Peak_Hour[Achievable Peak Hour therm 2046], Peak_Hour[[Sector]:[Sector]], $B$57, Peak_Hour[[End Use]:[End Use]], $B58)</f>
        <v>0.17196110699906669</v>
      </c>
      <c r="X58" s="17">
        <f>SUMIFS(Peak_Hour[Achievable Peak Hour therm 2047], Peak_Hour[[Sector]:[Sector]], $B$57, Peak_Hour[[End Use]:[End Use]], $B58)</f>
        <v>0.15347392450301062</v>
      </c>
      <c r="Y58" s="17">
        <f>SUMIFS(Peak_Hour[Achievable Peak Hour therm 2048], Peak_Hour[[Sector]:[Sector]], $B$57, Peak_Hour[[End Use]:[End Use]], $B58)</f>
        <v>0.12109586666818455</v>
      </c>
      <c r="Z58" s="17">
        <f>SUMIFS(Peak_Hour[Achievable Peak Hour therm 2049], Peak_Hour[[Sector]:[Sector]], $B$57, Peak_Hour[[End Use]:[End Use]], $B58)</f>
        <v>6.0519656741411618E-2</v>
      </c>
      <c r="AA58" s="17">
        <f>SUMIFS(Peak_Hour[Achievable Peak Hour therm 2050], Peak_Hour[[Sector]:[Sector]], $B$57, Peak_Hour[[End Use]:[End Use]], $B58)</f>
        <v>4.6822594297635217E-2</v>
      </c>
    </row>
    <row r="59" spans="2:27" x14ac:dyDescent="0.2">
      <c r="B59" s="16" t="s">
        <v>44</v>
      </c>
      <c r="C59" s="17">
        <f>SUMIFS(Peak_Hour[Achievable Peak Hour therm 2026], Peak_Hour[[Sector]:[Sector]], $B$57, Peak_Hour[[End Use]:[End Use]], $B59)</f>
        <v>140.48245558371565</v>
      </c>
      <c r="D59" s="17">
        <f>SUMIFS(Peak_Hour[Achievable Peak Hour therm 2027], Peak_Hour[[Sector]:[Sector]], $B$57, Peak_Hour[[End Use]:[End Use]], $B59)</f>
        <v>182.03234232498463</v>
      </c>
      <c r="E59" s="17">
        <f>SUMIFS(Peak_Hour[Achievable Peak Hour therm 2028], Peak_Hour[[Sector]:[Sector]], $B$57, Peak_Hour[[End Use]:[End Use]], $B59)</f>
        <v>245.97387309797577</v>
      </c>
      <c r="F59" s="17">
        <f>SUMIFS(Peak_Hour[Achievable Peak Hour therm 2029], Peak_Hour[[Sector]:[Sector]], $B$57, Peak_Hour[[End Use]:[End Use]], $B59)</f>
        <v>316.7309576471489</v>
      </c>
      <c r="G59" s="17">
        <f>SUMIFS(Peak_Hour[Achievable Peak Hour therm 2030], Peak_Hour[[Sector]:[Sector]], $B$57, Peak_Hour[[End Use]:[End Use]], $B59)</f>
        <v>401.73320999248898</v>
      </c>
      <c r="H59" s="17">
        <f>SUMIFS(Peak_Hour[Achievable Peak Hour therm 2031], Peak_Hour[[Sector]:[Sector]], $B$57, Peak_Hour[[End Use]:[End Use]], $B59)</f>
        <v>504.86970393709606</v>
      </c>
      <c r="I59" s="17">
        <f>SUMIFS(Peak_Hour[Achievable Peak Hour therm 2032], Peak_Hour[[Sector]:[Sector]], $B$57, Peak_Hour[[End Use]:[End Use]], $B59)</f>
        <v>622.04659065595808</v>
      </c>
      <c r="J59" s="17">
        <f>SUMIFS(Peak_Hour[Achievable Peak Hour therm 2033], Peak_Hour[[Sector]:[Sector]], $B$57, Peak_Hour[[End Use]:[End Use]], $B59)</f>
        <v>745.90292442013777</v>
      </c>
      <c r="K59" s="17">
        <f>SUMIFS(Peak_Hour[Achievable Peak Hour therm 2034], Peak_Hour[[Sector]:[Sector]], $B$57, Peak_Hour[[End Use]:[End Use]], $B59)</f>
        <v>865.69805772272389</v>
      </c>
      <c r="L59" s="17">
        <f>SUMIFS(Peak_Hour[Achievable Peak Hour therm 2035], Peak_Hour[[Sector]:[Sector]], $B$57, Peak_Hour[[End Use]:[End Use]], $B59)</f>
        <v>968.00106696465446</v>
      </c>
      <c r="M59" s="17">
        <f>SUMIFS(Peak_Hour[Achievable Peak Hour therm 2036], Peak_Hour[[Sector]:[Sector]], $B$57, Peak_Hour[[End Use]:[End Use]], $B59)</f>
        <v>1038.9775813363492</v>
      </c>
      <c r="N59" s="17">
        <f>SUMIFS(Peak_Hour[Achievable Peak Hour therm 2037], Peak_Hour[[Sector]:[Sector]], $B$57, Peak_Hour[[End Use]:[End Use]], $B59)</f>
        <v>1062.4498274539847</v>
      </c>
      <c r="O59" s="17">
        <f>SUMIFS(Peak_Hour[Achievable Peak Hour therm 2038], Peak_Hour[[Sector]:[Sector]], $B$57, Peak_Hour[[End Use]:[End Use]], $B59)</f>
        <v>1040.5933126738228</v>
      </c>
      <c r="P59" s="17">
        <f>SUMIFS(Peak_Hour[Achievable Peak Hour therm 2039], Peak_Hour[[Sector]:[Sector]], $B$57, Peak_Hour[[End Use]:[End Use]], $B59)</f>
        <v>976.02465365150533</v>
      </c>
      <c r="Q59" s="17">
        <f>SUMIFS(Peak_Hour[Achievable Peak Hour therm 2040], Peak_Hour[[Sector]:[Sector]], $B$57, Peak_Hour[[End Use]:[End Use]], $B59)</f>
        <v>873.21435210296829</v>
      </c>
      <c r="R59" s="17">
        <f>SUMIFS(Peak_Hour[Achievable Peak Hour therm 2041], Peak_Hour[[Sector]:[Sector]], $B$57, Peak_Hour[[End Use]:[End Use]], $B59)</f>
        <v>751.90146377004123</v>
      </c>
      <c r="S59" s="17">
        <f>SUMIFS(Peak_Hour[Achievable Peak Hour therm 2042], Peak_Hour[[Sector]:[Sector]], $B$57, Peak_Hour[[End Use]:[End Use]], $B59)</f>
        <v>583.77139971680469</v>
      </c>
      <c r="T59" s="17">
        <f>SUMIFS(Peak_Hour[Achievable Peak Hour therm 2043], Peak_Hour[[Sector]:[Sector]], $B$57, Peak_Hour[[End Use]:[End Use]], $B59)</f>
        <v>487.10580172394202</v>
      </c>
      <c r="U59" s="17">
        <f>SUMIFS(Peak_Hour[Achievable Peak Hour therm 2044], Peak_Hour[[Sector]:[Sector]], $B$57, Peak_Hour[[End Use]:[End Use]], $B59)</f>
        <v>314.80130696996571</v>
      </c>
      <c r="V59" s="17">
        <f>SUMIFS(Peak_Hour[Achievable Peak Hour therm 2045], Peak_Hour[[Sector]:[Sector]], $B$57, Peak_Hour[[End Use]:[End Use]], $B59)</f>
        <v>297.38812617472718</v>
      </c>
      <c r="W59" s="17">
        <f>SUMIFS(Peak_Hour[Achievable Peak Hour therm 2046], Peak_Hour[[Sector]:[Sector]], $B$57, Peak_Hour[[End Use]:[End Use]], $B59)</f>
        <v>295.16957743820296</v>
      </c>
      <c r="X59" s="17">
        <f>SUMIFS(Peak_Hour[Achievable Peak Hour therm 2047], Peak_Hour[[Sector]:[Sector]], $B$57, Peak_Hour[[End Use]:[End Use]], $B59)</f>
        <v>292.41655759332497</v>
      </c>
      <c r="Y59" s="17">
        <f>SUMIFS(Peak_Hour[Achievable Peak Hour therm 2048], Peak_Hour[[Sector]:[Sector]], $B$57, Peak_Hour[[End Use]:[End Use]], $B59)</f>
        <v>289.39434332893268</v>
      </c>
      <c r="Z59" s="17">
        <f>SUMIFS(Peak_Hour[Achievable Peak Hour therm 2049], Peak_Hour[[Sector]:[Sector]], $B$57, Peak_Hour[[End Use]:[End Use]], $B59)</f>
        <v>286.27802573951544</v>
      </c>
      <c r="AA59" s="17">
        <f>SUMIFS(Peak_Hour[Achievable Peak Hour therm 2050], Peak_Hour[[Sector]:[Sector]], $B$57, Peak_Hour[[End Use]:[End Use]], $B59)</f>
        <v>236.71715452625514</v>
      </c>
    </row>
    <row r="60" spans="2:27" ht="15" x14ac:dyDescent="0.25">
      <c r="B60" s="8" t="s">
        <v>45</v>
      </c>
      <c r="C60" s="17">
        <f>SUMIFS(Peak_Hour[Achievable Peak Hour therm 2026], Peak_Hour[[Sector]:[Sector]], $B$57, Peak_Hour[[End Use]:[End Use]], $B60)</f>
        <v>0.73834625331425774</v>
      </c>
      <c r="D60" s="17">
        <f>SUMIFS(Peak_Hour[Achievable Peak Hour therm 2027], Peak_Hour[[Sector]:[Sector]], $B$57, Peak_Hour[[End Use]:[End Use]], $B60)</f>
        <v>1.4138525050269837</v>
      </c>
      <c r="E60" s="17">
        <f>SUMIFS(Peak_Hour[Achievable Peak Hour therm 2028], Peak_Hour[[Sector]:[Sector]], $B$57, Peak_Hour[[End Use]:[End Use]], $B60)</f>
        <v>2.5075961438052432</v>
      </c>
      <c r="F60" s="17">
        <f>SUMIFS(Peak_Hour[Achievable Peak Hour therm 2029], Peak_Hour[[Sector]:[Sector]], $B$57, Peak_Hour[[End Use]:[End Use]], $B60)</f>
        <v>4.0371975384597985</v>
      </c>
      <c r="G60" s="17">
        <f>SUMIFS(Peak_Hour[Achievable Peak Hour therm 2030], Peak_Hour[[Sector]:[Sector]], $B$57, Peak_Hour[[End Use]:[End Use]], $B60)</f>
        <v>6.0983987279302285</v>
      </c>
      <c r="H60" s="17">
        <f>SUMIFS(Peak_Hour[Achievable Peak Hour therm 2031], Peak_Hour[[Sector]:[Sector]], $B$57, Peak_Hour[[End Use]:[End Use]], $B60)</f>
        <v>8.7259934910683192</v>
      </c>
      <c r="I60" s="17">
        <f>SUMIFS(Peak_Hour[Achievable Peak Hour therm 2032], Peak_Hour[[Sector]:[Sector]], $B$57, Peak_Hour[[End Use]:[End Use]], $B60)</f>
        <v>11.904314683097851</v>
      </c>
      <c r="J60" s="17">
        <f>SUMIFS(Peak_Hour[Achievable Peak Hour therm 2033], Peak_Hour[[Sector]:[Sector]], $B$57, Peak_Hour[[End Use]:[End Use]], $B60)</f>
        <v>15.55509538054535</v>
      </c>
      <c r="K60" s="17">
        <f>SUMIFS(Peak_Hour[Achievable Peak Hour therm 2034], Peak_Hour[[Sector]:[Sector]], $B$57, Peak_Hour[[End Use]:[End Use]], $B60)</f>
        <v>19.528392365080851</v>
      </c>
      <c r="L60" s="17">
        <f>SUMIFS(Peak_Hour[Achievable Peak Hour therm 2035], Peak_Hour[[Sector]:[Sector]], $B$57, Peak_Hour[[End Use]:[End Use]], $B60)</f>
        <v>23.605080049339094</v>
      </c>
      <c r="M60" s="17">
        <f>SUMIFS(Peak_Hour[Achievable Peak Hour therm 2036], Peak_Hour[[Sector]:[Sector]], $B$57, Peak_Hour[[End Use]:[End Use]], $B60)</f>
        <v>27.514663591301538</v>
      </c>
      <c r="N60" s="17">
        <f>SUMIFS(Peak_Hour[Achievable Peak Hour therm 2037], Peak_Hour[[Sector]:[Sector]], $B$57, Peak_Hour[[End Use]:[End Use]], $B60)</f>
        <v>30.971543526115813</v>
      </c>
      <c r="O60" s="17">
        <f>SUMIFS(Peak_Hour[Achievable Peak Hour therm 2038], Peak_Hour[[Sector]:[Sector]], $B$57, Peak_Hour[[End Use]:[End Use]], $B60)</f>
        <v>33.727235094899299</v>
      </c>
      <c r="P60" s="17">
        <f>SUMIFS(Peak_Hour[Achievable Peak Hour therm 2039], Peak_Hour[[Sector]:[Sector]], $B$57, Peak_Hour[[End Use]:[End Use]], $B60)</f>
        <v>35.626264221219266</v>
      </c>
      <c r="Q60" s="17">
        <f>SUMIFS(Peak_Hour[Achievable Peak Hour therm 2040], Peak_Hour[[Sector]:[Sector]], $B$57, Peak_Hour[[End Use]:[End Use]], $B60)</f>
        <v>36.646613212316971</v>
      </c>
      <c r="R60" s="17">
        <f>SUMIFS(Peak_Hour[Achievable Peak Hour therm 2041], Peak_Hour[[Sector]:[Sector]], $B$57, Peak_Hour[[End Use]:[End Use]], $B60)</f>
        <v>37.191188450441011</v>
      </c>
      <c r="S60" s="17">
        <f>SUMIFS(Peak_Hour[Achievable Peak Hour therm 2042], Peak_Hour[[Sector]:[Sector]], $B$57, Peak_Hour[[End Use]:[End Use]], $B60)</f>
        <v>36.946206813607823</v>
      </c>
      <c r="T60" s="17">
        <f>SUMIFS(Peak_Hour[Achievable Peak Hour therm 2043], Peak_Hour[[Sector]:[Sector]], $B$57, Peak_Hour[[End Use]:[End Use]], $B60)</f>
        <v>36.52376218955289</v>
      </c>
      <c r="U60" s="17">
        <f>SUMIFS(Peak_Hour[Achievable Peak Hour therm 2044], Peak_Hour[[Sector]:[Sector]], $B$57, Peak_Hour[[End Use]:[End Use]], $B60)</f>
        <v>34.770896377953044</v>
      </c>
      <c r="V60" s="17">
        <f>SUMIFS(Peak_Hour[Achievable Peak Hour therm 2045], Peak_Hour[[Sector]:[Sector]], $B$57, Peak_Hour[[End Use]:[End Use]], $B60)</f>
        <v>33.280512794005112</v>
      </c>
      <c r="W60" s="17">
        <f>SUMIFS(Peak_Hour[Achievable Peak Hour therm 2046], Peak_Hour[[Sector]:[Sector]], $B$57, Peak_Hour[[End Use]:[End Use]], $B60)</f>
        <v>31.204321328579795</v>
      </c>
      <c r="X60" s="17">
        <f>SUMIFS(Peak_Hour[Achievable Peak Hour therm 2047], Peak_Hour[[Sector]:[Sector]], $B$57, Peak_Hour[[End Use]:[End Use]], $B60)</f>
        <v>30.952281865216293</v>
      </c>
      <c r="Y60" s="17">
        <f>SUMIFS(Peak_Hour[Achievable Peak Hour therm 2048], Peak_Hour[[Sector]:[Sector]], $B$57, Peak_Hour[[End Use]:[End Use]], $B60)</f>
        <v>30.649684288230084</v>
      </c>
      <c r="Z60" s="17">
        <f>SUMIFS(Peak_Hour[Achievable Peak Hour therm 2049], Peak_Hour[[Sector]:[Sector]], $B$57, Peak_Hour[[End Use]:[End Use]], $B60)</f>
        <v>29.749354147004802</v>
      </c>
      <c r="AA60" s="17">
        <f>SUMIFS(Peak_Hour[Achievable Peak Hour therm 2050], Peak_Hour[[Sector]:[Sector]], $B$57, Peak_Hour[[End Use]:[End Use]], $B60)</f>
        <v>27.291685015084575</v>
      </c>
    </row>
    <row r="61" spans="2:27" x14ac:dyDescent="0.2">
      <c r="B61" s="16" t="s">
        <v>46</v>
      </c>
      <c r="C61" s="17">
        <f>SUMIFS(Peak_Hour[Achievable Peak Hour therm 2026], Peak_Hour[[Sector]:[Sector]], $B$57, Peak_Hour[[End Use]:[End Use]], $B61)</f>
        <v>2.1681420988661615</v>
      </c>
      <c r="D61" s="17">
        <f>SUMIFS(Peak_Hour[Achievable Peak Hour therm 2027], Peak_Hour[[Sector]:[Sector]], $B$57, Peak_Hour[[End Use]:[End Use]], $B61)</f>
        <v>3.9157231476446777</v>
      </c>
      <c r="E61" s="17">
        <f>SUMIFS(Peak_Hour[Achievable Peak Hour therm 2028], Peak_Hour[[Sector]:[Sector]], $B$57, Peak_Hour[[End Use]:[End Use]], $B61)</f>
        <v>6.1997338561502255</v>
      </c>
      <c r="F61" s="17">
        <f>SUMIFS(Peak_Hour[Achievable Peak Hour therm 2029], Peak_Hour[[Sector]:[Sector]], $B$57, Peak_Hour[[End Use]:[End Use]], $B61)</f>
        <v>8.8535840835259414</v>
      </c>
      <c r="G61" s="17">
        <f>SUMIFS(Peak_Hour[Achievable Peak Hour therm 2030], Peak_Hour[[Sector]:[Sector]], $B$57, Peak_Hour[[End Use]:[End Use]], $B61)</f>
        <v>11.493193587424615</v>
      </c>
      <c r="H61" s="17">
        <f>SUMIFS(Peak_Hour[Achievable Peak Hour therm 2031], Peak_Hour[[Sector]:[Sector]], $B$57, Peak_Hour[[End Use]:[End Use]], $B61)</f>
        <v>13.672250642843149</v>
      </c>
      <c r="I61" s="17">
        <f>SUMIFS(Peak_Hour[Achievable Peak Hour therm 2032], Peak_Hour[[Sector]:[Sector]], $B$57, Peak_Hour[[End Use]:[End Use]], $B61)</f>
        <v>15.010472504132807</v>
      </c>
      <c r="J61" s="17">
        <f>SUMIFS(Peak_Hour[Achievable Peak Hour therm 2033], Peak_Hour[[Sector]:[Sector]], $B$57, Peak_Hour[[End Use]:[End Use]], $B61)</f>
        <v>15.310170764481063</v>
      </c>
      <c r="K61" s="17">
        <f>SUMIFS(Peak_Hour[Achievable Peak Hour therm 2034], Peak_Hour[[Sector]:[Sector]], $B$57, Peak_Hour[[End Use]:[End Use]], $B61)</f>
        <v>14.597587703940459</v>
      </c>
      <c r="L61" s="17">
        <f>SUMIFS(Peak_Hour[Achievable Peak Hour therm 2035], Peak_Hour[[Sector]:[Sector]], $B$57, Peak_Hour[[End Use]:[End Use]], $B61)</f>
        <v>13.089985290064464</v>
      </c>
      <c r="M61" s="17">
        <f>SUMIFS(Peak_Hour[Achievable Peak Hour therm 2036], Peak_Hour[[Sector]:[Sector]], $B$57, Peak_Hour[[End Use]:[End Use]], $B61)</f>
        <v>11.111887918364623</v>
      </c>
      <c r="N61" s="17">
        <f>SUMIFS(Peak_Hour[Achievable Peak Hour therm 2037], Peak_Hour[[Sector]:[Sector]], $B$57, Peak_Hour[[End Use]:[End Use]], $B61)</f>
        <v>8.9959326353973523</v>
      </c>
      <c r="O61" s="17">
        <f>SUMIFS(Peak_Hour[Achievable Peak Hour therm 2038], Peak_Hour[[Sector]:[Sector]], $B$57, Peak_Hour[[End Use]:[End Use]], $B61)</f>
        <v>7.0075130936681251</v>
      </c>
      <c r="P61" s="17">
        <f>SUMIFS(Peak_Hour[Achievable Peak Hour therm 2039], Peak_Hour[[Sector]:[Sector]], $B$57, Peak_Hour[[End Use]:[End Use]], $B61)</f>
        <v>5.3091644064178984</v>
      </c>
      <c r="Q61" s="17">
        <f>SUMIFS(Peak_Hour[Achievable Peak Hour therm 2040], Peak_Hour[[Sector]:[Sector]], $B$57, Peak_Hour[[End Use]:[End Use]], $B61)</f>
        <v>1.9532073002277843</v>
      </c>
      <c r="R61" s="17">
        <f>SUMIFS(Peak_Hour[Achievable Peak Hour therm 2041], Peak_Hour[[Sector]:[Sector]], $B$57, Peak_Hour[[End Use]:[End Use]], $B61)</f>
        <v>1.4951759449072828</v>
      </c>
      <c r="S61" s="17">
        <f>SUMIFS(Peak_Hour[Achievable Peak Hour therm 2042], Peak_Hour[[Sector]:[Sector]], $B$57, Peak_Hour[[End Use]:[End Use]], $B61)</f>
        <v>1.346151914041626</v>
      </c>
      <c r="T61" s="17">
        <f>SUMIFS(Peak_Hour[Achievable Peak Hour therm 2043], Peak_Hour[[Sector]:[Sector]], $B$57, Peak_Hour[[End Use]:[End Use]], $B61)</f>
        <v>1.2320461151478534</v>
      </c>
      <c r="U61" s="17">
        <f>SUMIFS(Peak_Hour[Achievable Peak Hour therm 2044], Peak_Hour[[Sector]:[Sector]], $B$57, Peak_Hour[[End Use]:[End Use]], $B61)</f>
        <v>1.0228010581675457</v>
      </c>
      <c r="V61" s="17">
        <f>SUMIFS(Peak_Hour[Achievable Peak Hour therm 2045], Peak_Hour[[Sector]:[Sector]], $B$57, Peak_Hour[[End Use]:[End Use]], $B61)</f>
        <v>0.93780605441237364</v>
      </c>
      <c r="W61" s="17">
        <f>SUMIFS(Peak_Hour[Achievable Peak Hour therm 2046], Peak_Hour[[Sector]:[Sector]], $B$57, Peak_Hour[[End Use]:[End Use]], $B61)</f>
        <v>0.83918003227181448</v>
      </c>
      <c r="X61" s="17">
        <f>SUMIFS(Peak_Hour[Achievable Peak Hour therm 2047], Peak_Hour[[Sector]:[Sector]], $B$57, Peak_Hour[[End Use]:[End Use]], $B61)</f>
        <v>0.73652734602241088</v>
      </c>
      <c r="Y61" s="17">
        <f>SUMIFS(Peak_Hour[Achievable Peak Hour therm 2048], Peak_Hour[[Sector]:[Sector]], $B$57, Peak_Hour[[End Use]:[End Use]], $B61)</f>
        <v>0.63364705265250743</v>
      </c>
      <c r="Z61" s="17">
        <f>SUMIFS(Peak_Hour[Achievable Peak Hour therm 2049], Peak_Hour[[Sector]:[Sector]], $B$57, Peak_Hour[[End Use]:[End Use]], $B61)</f>
        <v>0.53057631011881301</v>
      </c>
      <c r="AA61" s="17">
        <f>SUMIFS(Peak_Hour[Achievable Peak Hour therm 2050], Peak_Hour[[Sector]:[Sector]], $B$57, Peak_Hour[[End Use]:[End Use]], $B61)</f>
        <v>0.42735860697742989</v>
      </c>
    </row>
    <row r="62" spans="2:27" x14ac:dyDescent="0.2">
      <c r="B62" s="9" t="s">
        <v>31</v>
      </c>
      <c r="C62" s="18">
        <f>SUMIFS(Peak_Hour[Achievable Peak Hour therm 2026], Peak_Hour[[Sector]:[Sector]], $B62)</f>
        <v>197.40085368423613</v>
      </c>
      <c r="D62" s="18">
        <f>SUMIFS(Peak_Hour[Achievable Peak Hour therm 2027], Peak_Hour[[Sector]:[Sector]], $B62)</f>
        <v>202.42934979061801</v>
      </c>
      <c r="E62" s="18">
        <f>SUMIFS(Peak_Hour[Achievable Peak Hour therm 2028], Peak_Hour[[Sector]:[Sector]], $B62)</f>
        <v>221.04527042436388</v>
      </c>
      <c r="F62" s="18">
        <f>SUMIFS(Peak_Hour[Achievable Peak Hour therm 2029], Peak_Hour[[Sector]:[Sector]], $B62)</f>
        <v>249.42225383931961</v>
      </c>
      <c r="G62" s="18">
        <f>SUMIFS(Peak_Hour[Achievable Peak Hour therm 2030], Peak_Hour[[Sector]:[Sector]], $B62)</f>
        <v>278.90693712995363</v>
      </c>
      <c r="H62" s="18">
        <f>SUMIFS(Peak_Hour[Achievable Peak Hour therm 2031], Peak_Hour[[Sector]:[Sector]], $B62)</f>
        <v>309.18954123117419</v>
      </c>
      <c r="I62" s="18">
        <f>SUMIFS(Peak_Hour[Achievable Peak Hour therm 2032], Peak_Hour[[Sector]:[Sector]], $B62)</f>
        <v>328.13431825226792</v>
      </c>
      <c r="J62" s="18">
        <f>SUMIFS(Peak_Hour[Achievable Peak Hour therm 2033], Peak_Hour[[Sector]:[Sector]], $B62)</f>
        <v>333.93888982652174</v>
      </c>
      <c r="K62" s="18">
        <f>SUMIFS(Peak_Hour[Achievable Peak Hour therm 2034], Peak_Hour[[Sector]:[Sector]], $B62)</f>
        <v>314.93560573110096</v>
      </c>
      <c r="L62" s="18">
        <f>SUMIFS(Peak_Hour[Achievable Peak Hour therm 2035], Peak_Hour[[Sector]:[Sector]], $B62)</f>
        <v>278.54432280241548</v>
      </c>
      <c r="M62" s="18">
        <f>SUMIFS(Peak_Hour[Achievable Peak Hour therm 2036], Peak_Hour[[Sector]:[Sector]], $B62)</f>
        <v>259.18327253005128</v>
      </c>
      <c r="N62" s="18">
        <f>SUMIFS(Peak_Hour[Achievable Peak Hour therm 2037], Peak_Hour[[Sector]:[Sector]], $B62)</f>
        <v>268.87156340870922</v>
      </c>
      <c r="O62" s="18">
        <f>SUMIFS(Peak_Hour[Achievable Peak Hour therm 2038], Peak_Hour[[Sector]:[Sector]], $B62)</f>
        <v>274.83477555700063</v>
      </c>
      <c r="P62" s="18">
        <f>SUMIFS(Peak_Hour[Achievable Peak Hour therm 2039], Peak_Hour[[Sector]:[Sector]], $B62)</f>
        <v>270.02404115306945</v>
      </c>
      <c r="Q62" s="18">
        <f>SUMIFS(Peak_Hour[Achievable Peak Hour therm 2040], Peak_Hour[[Sector]:[Sector]], $B62)</f>
        <v>253.41771642451209</v>
      </c>
      <c r="R62" s="18">
        <f>SUMIFS(Peak_Hour[Achievable Peak Hour therm 2041], Peak_Hour[[Sector]:[Sector]], $B62)</f>
        <v>223.27677642872442</v>
      </c>
      <c r="S62" s="18">
        <f>SUMIFS(Peak_Hour[Achievable Peak Hour therm 2042], Peak_Hour[[Sector]:[Sector]], $B62)</f>
        <v>196.53681251581637</v>
      </c>
      <c r="T62" s="18">
        <f>SUMIFS(Peak_Hour[Achievable Peak Hour therm 2043], Peak_Hour[[Sector]:[Sector]], $B62)</f>
        <v>174.30522918119476</v>
      </c>
      <c r="U62" s="18">
        <f>SUMIFS(Peak_Hour[Achievable Peak Hour therm 2044], Peak_Hour[[Sector]:[Sector]], $B62)</f>
        <v>134.08165912859346</v>
      </c>
      <c r="V62" s="18">
        <f>SUMIFS(Peak_Hour[Achievable Peak Hour therm 2045], Peak_Hour[[Sector]:[Sector]], $B62)</f>
        <v>126.94343111800704</v>
      </c>
      <c r="W62" s="18">
        <f>SUMIFS(Peak_Hour[Achievable Peak Hour therm 2046], Peak_Hour[[Sector]:[Sector]], $B62)</f>
        <v>126.7723574497569</v>
      </c>
      <c r="X62" s="18">
        <f>SUMIFS(Peak_Hour[Achievable Peak Hour therm 2047], Peak_Hour[[Sector]:[Sector]], $B62)</f>
        <v>123.19320644474531</v>
      </c>
      <c r="Y62" s="18">
        <f>SUMIFS(Peak_Hour[Achievable Peak Hour therm 2048], Peak_Hour[[Sector]:[Sector]], $B62)</f>
        <v>112.80392848175899</v>
      </c>
      <c r="Z62" s="18">
        <f>SUMIFS(Peak_Hour[Achievable Peak Hour therm 2049], Peak_Hour[[Sector]:[Sector]], $B62)</f>
        <v>107.36208288266624</v>
      </c>
      <c r="AA62" s="18">
        <f>SUMIFS(Peak_Hour[Achievable Peak Hour therm 2050], Peak_Hour[[Sector]:[Sector]], $B62)</f>
        <v>63.332561274751711</v>
      </c>
    </row>
    <row r="63" spans="2:27" x14ac:dyDescent="0.2">
      <c r="B63" s="16" t="s">
        <v>43</v>
      </c>
      <c r="C63" s="17">
        <f>SUMIFS(Peak_Hour[Achievable Peak Hour therm 2026], Peak_Hour[[Sector]:[Sector]], $B$62, Peak_Hour[[End Use]:[End Use]], $B63)</f>
        <v>1.5912989875428243</v>
      </c>
      <c r="D63" s="17">
        <f>SUMIFS(Peak_Hour[Achievable Peak Hour therm 2027], Peak_Hour[[Sector]:[Sector]], $B$62, Peak_Hour[[End Use]:[End Use]], $B63)</f>
        <v>2.6656633373967389</v>
      </c>
      <c r="E63" s="17">
        <f>SUMIFS(Peak_Hour[Achievable Peak Hour therm 2028], Peak_Hour[[Sector]:[Sector]], $B$62, Peak_Hour[[End Use]:[End Use]], $B63)</f>
        <v>4.216243238658886</v>
      </c>
      <c r="F63" s="17">
        <f>SUMIFS(Peak_Hour[Achievable Peak Hour therm 2029], Peak_Hour[[Sector]:[Sector]], $B$62, Peak_Hour[[End Use]:[End Use]], $B63)</f>
        <v>6.3859902668308735</v>
      </c>
      <c r="G63" s="17">
        <f>SUMIFS(Peak_Hour[Achievable Peak Hour therm 2030], Peak_Hour[[Sector]:[Sector]], $B$62, Peak_Hour[[End Use]:[End Use]], $B63)</f>
        <v>9.1136910660237547</v>
      </c>
      <c r="H63" s="17">
        <f>SUMIFS(Peak_Hour[Achievable Peak Hour therm 2031], Peak_Hour[[Sector]:[Sector]], $B$62, Peak_Hour[[End Use]:[End Use]], $B63)</f>
        <v>12.31214547592838</v>
      </c>
      <c r="I63" s="17">
        <f>SUMIFS(Peak_Hour[Achievable Peak Hour therm 2032], Peak_Hour[[Sector]:[Sector]], $B$62, Peak_Hour[[End Use]:[End Use]], $B63)</f>
        <v>15.836945713835668</v>
      </c>
      <c r="J63" s="17">
        <f>SUMIFS(Peak_Hour[Achievable Peak Hour therm 2033], Peak_Hour[[Sector]:[Sector]], $B$62, Peak_Hour[[End Use]:[End Use]], $B63)</f>
        <v>19.526359749873048</v>
      </c>
      <c r="K63" s="17">
        <f>SUMIFS(Peak_Hour[Achievable Peak Hour therm 2034], Peak_Hour[[Sector]:[Sector]], $B$62, Peak_Hour[[End Use]:[End Use]], $B63)</f>
        <v>23.20716238309458</v>
      </c>
      <c r="L63" s="17">
        <f>SUMIFS(Peak_Hour[Achievable Peak Hour therm 2035], Peak_Hour[[Sector]:[Sector]], $B$62, Peak_Hour[[End Use]:[End Use]], $B63)</f>
        <v>26.594154623252599</v>
      </c>
      <c r="M63" s="17">
        <f>SUMIFS(Peak_Hour[Achievable Peak Hour therm 2036], Peak_Hour[[Sector]:[Sector]], $B$62, Peak_Hour[[End Use]:[End Use]], $B63)</f>
        <v>29.789366475050585</v>
      </c>
      <c r="N63" s="17">
        <f>SUMIFS(Peak_Hour[Achievable Peak Hour therm 2037], Peak_Hour[[Sector]:[Sector]], $B$62, Peak_Hour[[End Use]:[End Use]], $B63)</f>
        <v>32.813481633031358</v>
      </c>
      <c r="O63" s="17">
        <f>SUMIFS(Peak_Hour[Achievable Peak Hour therm 2038], Peak_Hour[[Sector]:[Sector]], $B$62, Peak_Hour[[End Use]:[End Use]], $B63)</f>
        <v>39.032606883649855</v>
      </c>
      <c r="P63" s="17">
        <f>SUMIFS(Peak_Hour[Achievable Peak Hour therm 2039], Peak_Hour[[Sector]:[Sector]], $B$62, Peak_Hour[[End Use]:[End Use]], $B63)</f>
        <v>43.694676169129536</v>
      </c>
      <c r="Q63" s="17">
        <f>SUMIFS(Peak_Hour[Achievable Peak Hour therm 2040], Peak_Hour[[Sector]:[Sector]], $B$62, Peak_Hour[[End Use]:[End Use]], $B63)</f>
        <v>45.199883968280758</v>
      </c>
      <c r="R63" s="17">
        <f>SUMIFS(Peak_Hour[Achievable Peak Hour therm 2041], Peak_Hour[[Sector]:[Sector]], $B$62, Peak_Hour[[End Use]:[End Use]], $B63)</f>
        <v>46.015178970090936</v>
      </c>
      <c r="S63" s="17">
        <f>SUMIFS(Peak_Hour[Achievable Peak Hour therm 2042], Peak_Hour[[Sector]:[Sector]], $B$62, Peak_Hour[[End Use]:[End Use]], $B63)</f>
        <v>46.153284706552938</v>
      </c>
      <c r="T63" s="17">
        <f>SUMIFS(Peak_Hour[Achievable Peak Hour therm 2043], Peak_Hour[[Sector]:[Sector]], $B$62, Peak_Hour[[End Use]:[End Use]], $B63)</f>
        <v>42.152151442013363</v>
      </c>
      <c r="U63" s="17">
        <f>SUMIFS(Peak_Hour[Achievable Peak Hour therm 2044], Peak_Hour[[Sector]:[Sector]], $B$62, Peak_Hour[[End Use]:[End Use]], $B63)</f>
        <v>28.757675473442404</v>
      </c>
      <c r="V63" s="17">
        <f>SUMIFS(Peak_Hour[Achievable Peak Hour therm 2045], Peak_Hour[[Sector]:[Sector]], $B$62, Peak_Hour[[End Use]:[End Use]], $B63)</f>
        <v>25.562019542614301</v>
      </c>
      <c r="W63" s="17">
        <f>SUMIFS(Peak_Hour[Achievable Peak Hour therm 2046], Peak_Hour[[Sector]:[Sector]], $B$62, Peak_Hour[[End Use]:[End Use]], $B63)</f>
        <v>24.85709031402142</v>
      </c>
      <c r="X63" s="17">
        <f>SUMIFS(Peak_Hour[Achievable Peak Hour therm 2047], Peak_Hour[[Sector]:[Sector]], $B$62, Peak_Hour[[End Use]:[End Use]], $B63)</f>
        <v>24.076846504684138</v>
      </c>
      <c r="Y63" s="17">
        <f>SUMIFS(Peak_Hour[Achievable Peak Hour therm 2048], Peak_Hour[[Sector]:[Sector]], $B$62, Peak_Hour[[End Use]:[End Use]], $B63)</f>
        <v>14.974805018520836</v>
      </c>
      <c r="Z63" s="17">
        <f>SUMIFS(Peak_Hour[Achievable Peak Hour therm 2049], Peak_Hour[[Sector]:[Sector]], $B$62, Peak_Hour[[End Use]:[End Use]], $B63)</f>
        <v>10.931784555750095</v>
      </c>
      <c r="AA63" s="17">
        <f>SUMIFS(Peak_Hour[Achievable Peak Hour therm 2050], Peak_Hour[[Sector]:[Sector]], $B$62, Peak_Hour[[End Use]:[End Use]], $B63)</f>
        <v>10.454460097034657</v>
      </c>
    </row>
    <row r="64" spans="2:27" x14ac:dyDescent="0.2">
      <c r="B64" s="16" t="s">
        <v>46</v>
      </c>
      <c r="C64" s="17">
        <f>SUMIFS(Peak_Hour[Achievable Peak Hour therm 2026], Peak_Hour[[Sector]:[Sector]], $B$62, Peak_Hour[[End Use]:[End Use]], $B64)</f>
        <v>116.45551884008962</v>
      </c>
      <c r="D64" s="17">
        <f>SUMIFS(Peak_Hour[Achievable Peak Hour therm 2027], Peak_Hour[[Sector]:[Sector]], $B$62, Peak_Hour[[End Use]:[End Use]], $B64)</f>
        <v>134.58330513316295</v>
      </c>
      <c r="E64" s="17">
        <f>SUMIFS(Peak_Hour[Achievable Peak Hour therm 2028], Peak_Hour[[Sector]:[Sector]], $B$62, Peak_Hour[[End Use]:[End Use]], $B64)</f>
        <v>152.82501429193425</v>
      </c>
      <c r="F64" s="17">
        <f>SUMIFS(Peak_Hour[Achievable Peak Hour therm 2029], Peak_Hour[[Sector]:[Sector]], $B$62, Peak_Hour[[End Use]:[End Use]], $B64)</f>
        <v>177.87514262730502</v>
      </c>
      <c r="G64" s="17">
        <f>SUMIFS(Peak_Hour[Achievable Peak Hour therm 2030], Peak_Hour[[Sector]:[Sector]], $B$62, Peak_Hour[[End Use]:[End Use]], $B64)</f>
        <v>194.26366862766031</v>
      </c>
      <c r="H64" s="17">
        <f>SUMIFS(Peak_Hour[Achievable Peak Hour therm 2031], Peak_Hour[[Sector]:[Sector]], $B$62, Peak_Hour[[End Use]:[End Use]], $B64)</f>
        <v>197.57201534453301</v>
      </c>
      <c r="I64" s="17">
        <f>SUMIFS(Peak_Hour[Achievable Peak Hour therm 2032], Peak_Hour[[Sector]:[Sector]], $B$62, Peak_Hour[[End Use]:[End Use]], $B64)</f>
        <v>185.36119305146357</v>
      </c>
      <c r="J64" s="17">
        <f>SUMIFS(Peak_Hour[Achievable Peak Hour therm 2033], Peak_Hour[[Sector]:[Sector]], $B$62, Peak_Hour[[End Use]:[End Use]], $B64)</f>
        <v>158.62685291027719</v>
      </c>
      <c r="K64" s="17">
        <f>SUMIFS(Peak_Hour[Achievable Peak Hour therm 2034], Peak_Hour[[Sector]:[Sector]], $B$62, Peak_Hour[[End Use]:[End Use]], $B64)</f>
        <v>108.04119439904203</v>
      </c>
      <c r="L64" s="17">
        <f>SUMIFS(Peak_Hour[Achievable Peak Hour therm 2035], Peak_Hour[[Sector]:[Sector]], $B$62, Peak_Hour[[End Use]:[End Use]], $B64)</f>
        <v>43.872222252319489</v>
      </c>
      <c r="M64" s="17">
        <f>SUMIFS(Peak_Hour[Achievable Peak Hour therm 2036], Peak_Hour[[Sector]:[Sector]], $B$62, Peak_Hour[[End Use]:[End Use]], $B64)</f>
        <v>3.0828813540467626</v>
      </c>
      <c r="N64" s="17">
        <f>SUMIFS(Peak_Hour[Achievable Peak Hour therm 2037], Peak_Hour[[Sector]:[Sector]], $B$62, Peak_Hour[[End Use]:[End Use]], $B64)</f>
        <v>0</v>
      </c>
      <c r="O64" s="17">
        <f>SUMIFS(Peak_Hour[Achievable Peak Hour therm 2038], Peak_Hour[[Sector]:[Sector]], $B$62, Peak_Hour[[End Use]:[End Use]], $B64)</f>
        <v>0</v>
      </c>
      <c r="P64" s="17">
        <f>SUMIFS(Peak_Hour[Achievable Peak Hour therm 2039], Peak_Hour[[Sector]:[Sector]], $B$62, Peak_Hour[[End Use]:[End Use]], $B64)</f>
        <v>0</v>
      </c>
      <c r="Q64" s="17">
        <f>SUMIFS(Peak_Hour[Achievable Peak Hour therm 2040], Peak_Hour[[Sector]:[Sector]], $B$62, Peak_Hour[[End Use]:[End Use]], $B64)</f>
        <v>0</v>
      </c>
      <c r="R64" s="17">
        <f>SUMIFS(Peak_Hour[Achievable Peak Hour therm 2041], Peak_Hour[[Sector]:[Sector]], $B$62, Peak_Hour[[End Use]:[End Use]], $B64)</f>
        <v>0</v>
      </c>
      <c r="S64" s="17">
        <f>SUMIFS(Peak_Hour[Achievable Peak Hour therm 2042], Peak_Hour[[Sector]:[Sector]], $B$62, Peak_Hour[[End Use]:[End Use]], $B64)</f>
        <v>0</v>
      </c>
      <c r="T64" s="17">
        <f>SUMIFS(Peak_Hour[Achievable Peak Hour therm 2043], Peak_Hour[[Sector]:[Sector]], $B$62, Peak_Hour[[End Use]:[End Use]], $B64)</f>
        <v>0</v>
      </c>
      <c r="U64" s="17">
        <f>SUMIFS(Peak_Hour[Achievable Peak Hour therm 2044], Peak_Hour[[Sector]:[Sector]], $B$62, Peak_Hour[[End Use]:[End Use]], $B64)</f>
        <v>0</v>
      </c>
      <c r="V64" s="17">
        <f>SUMIFS(Peak_Hour[Achievable Peak Hour therm 2045], Peak_Hour[[Sector]:[Sector]], $B$62, Peak_Hour[[End Use]:[End Use]], $B64)</f>
        <v>0</v>
      </c>
      <c r="W64" s="17">
        <f>SUMIFS(Peak_Hour[Achievable Peak Hour therm 2046], Peak_Hour[[Sector]:[Sector]], $B$62, Peak_Hour[[End Use]:[End Use]], $B64)</f>
        <v>0</v>
      </c>
      <c r="X64" s="17">
        <f>SUMIFS(Peak_Hour[Achievable Peak Hour therm 2047], Peak_Hour[[Sector]:[Sector]], $B$62, Peak_Hour[[End Use]:[End Use]], $B64)</f>
        <v>0</v>
      </c>
      <c r="Y64" s="17">
        <f>SUMIFS(Peak_Hour[Achievable Peak Hour therm 2048], Peak_Hour[[Sector]:[Sector]], $B$62, Peak_Hour[[End Use]:[End Use]], $B64)</f>
        <v>0</v>
      </c>
      <c r="Z64" s="17">
        <f>SUMIFS(Peak_Hour[Achievable Peak Hour therm 2049], Peak_Hour[[Sector]:[Sector]], $B$62, Peak_Hour[[End Use]:[End Use]], $B64)</f>
        <v>0</v>
      </c>
      <c r="AA64" s="17">
        <f>SUMIFS(Peak_Hour[Achievable Peak Hour therm 2050], Peak_Hour[[Sector]:[Sector]], $B$62, Peak_Hour[[End Use]:[End Use]], $B64)</f>
        <v>0</v>
      </c>
    </row>
    <row r="65" spans="2:27" x14ac:dyDescent="0.2">
      <c r="B65" s="16" t="s">
        <v>44</v>
      </c>
      <c r="C65" s="17">
        <f>SUMIFS(Peak_Hour[Achievable Peak Hour therm 2026], Peak_Hour[[Sector]:[Sector]], $B$62, Peak_Hour[[End Use]:[End Use]], $B65)</f>
        <v>79.022196140471365</v>
      </c>
      <c r="D65" s="17">
        <f>SUMIFS(Peak_Hour[Achievable Peak Hour therm 2027], Peak_Hour[[Sector]:[Sector]], $B$62, Peak_Hour[[End Use]:[End Use]], $B65)</f>
        <v>64.507958200540713</v>
      </c>
      <c r="E65" s="17">
        <f>SUMIFS(Peak_Hour[Achievable Peak Hour therm 2028], Peak_Hour[[Sector]:[Sector]], $B$62, Peak_Hour[[End Use]:[End Use]], $B65)</f>
        <v>62.803416184432017</v>
      </c>
      <c r="F65" s="17">
        <f>SUMIFS(Peak_Hour[Achievable Peak Hour therm 2029], Peak_Hour[[Sector]:[Sector]], $B$62, Peak_Hour[[End Use]:[End Use]], $B65)</f>
        <v>63.224953622445177</v>
      </c>
      <c r="G65" s="17">
        <f>SUMIFS(Peak_Hour[Achievable Peak Hour therm 2030], Peak_Hour[[Sector]:[Sector]], $B$62, Peak_Hour[[End Use]:[End Use]], $B65)</f>
        <v>72.632782181901391</v>
      </c>
      <c r="H65" s="17">
        <f>SUMIFS(Peak_Hour[Achievable Peak Hour therm 2031], Peak_Hour[[Sector]:[Sector]], $B$62, Peak_Hour[[End Use]:[End Use]], $B65)</f>
        <v>95.240528325085137</v>
      </c>
      <c r="I65" s="17">
        <f>SUMIFS(Peak_Hour[Achievable Peak Hour therm 2032], Peak_Hour[[Sector]:[Sector]], $B$62, Peak_Hour[[End Use]:[End Use]], $B65)</f>
        <v>121.54059167012437</v>
      </c>
      <c r="J65" s="17">
        <f>SUMIFS(Peak_Hour[Achievable Peak Hour therm 2033], Peak_Hour[[Sector]:[Sector]], $B$62, Peak_Hour[[End Use]:[End Use]], $B65)</f>
        <v>148.96443323811491</v>
      </c>
      <c r="K65" s="17">
        <f>SUMIFS(Peak_Hour[Achievable Peak Hour therm 2034], Peak_Hour[[Sector]:[Sector]], $B$62, Peak_Hour[[End Use]:[End Use]], $B65)</f>
        <v>175.42977975081712</v>
      </c>
      <c r="L65" s="17">
        <f>SUMIFS(Peak_Hour[Achievable Peak Hour therm 2035], Peak_Hour[[Sector]:[Sector]], $B$62, Peak_Hour[[End Use]:[End Use]], $B65)</f>
        <v>198.46725981979901</v>
      </c>
      <c r="M65" s="17">
        <f>SUMIFS(Peak_Hour[Achievable Peak Hour therm 2036], Peak_Hour[[Sector]:[Sector]], $B$62, Peak_Hour[[End Use]:[End Use]], $B65)</f>
        <v>215.52445741306315</v>
      </c>
      <c r="N65" s="17">
        <f>SUMIFS(Peak_Hour[Achievable Peak Hour therm 2037], Peak_Hour[[Sector]:[Sector]], $B$62, Peak_Hour[[End Use]:[End Use]], $B65)</f>
        <v>224.35726618839269</v>
      </c>
      <c r="O65" s="17">
        <f>SUMIFS(Peak_Hour[Achievable Peak Hour therm 2038], Peak_Hour[[Sector]:[Sector]], $B$62, Peak_Hour[[End Use]:[End Use]], $B65)</f>
        <v>223.50939577134423</v>
      </c>
      <c r="P65" s="17">
        <f>SUMIFS(Peak_Hour[Achievable Peak Hour therm 2039], Peak_Hour[[Sector]:[Sector]], $B$62, Peak_Hour[[End Use]:[End Use]], $B65)</f>
        <v>213.78952572687336</v>
      </c>
      <c r="Q65" s="17">
        <f>SUMIFS(Peak_Hour[Achievable Peak Hour therm 2040], Peak_Hour[[Sector]:[Sector]], $B$62, Peak_Hour[[End Use]:[End Use]], $B65)</f>
        <v>195.75025853628688</v>
      </c>
      <c r="R65" s="17">
        <f>SUMIFS(Peak_Hour[Achievable Peak Hour therm 2041], Peak_Hour[[Sector]:[Sector]], $B$62, Peak_Hour[[End Use]:[End Use]], $B65)</f>
        <v>164.64254045977691</v>
      </c>
      <c r="S65" s="17">
        <f>SUMIFS(Peak_Hour[Achievable Peak Hour therm 2042], Peak_Hour[[Sector]:[Sector]], $B$62, Peak_Hour[[End Use]:[End Use]], $B65)</f>
        <v>138.13283222935186</v>
      </c>
      <c r="T65" s="17">
        <f>SUMIFS(Peak_Hour[Achievable Peak Hour therm 2043], Peak_Hour[[Sector]:[Sector]], $B$62, Peak_Hour[[End Use]:[End Use]], $B65)</f>
        <v>120.61112950914899</v>
      </c>
      <c r="U65" s="17">
        <f>SUMIFS(Peak_Hour[Achievable Peak Hour therm 2044], Peak_Hour[[Sector]:[Sector]], $B$62, Peak_Hour[[End Use]:[End Use]], $B65)</f>
        <v>94.669649122632038</v>
      </c>
      <c r="V65" s="17">
        <f>SUMIFS(Peak_Hour[Achievable Peak Hour therm 2045], Peak_Hour[[Sector]:[Sector]], $B$62, Peak_Hour[[End Use]:[End Use]], $B65)</f>
        <v>90.845666575228449</v>
      </c>
      <c r="W65" s="17">
        <f>SUMIFS(Peak_Hour[Achievable Peak Hour therm 2046], Peak_Hour[[Sector]:[Sector]], $B$62, Peak_Hour[[End Use]:[End Use]], $B65)</f>
        <v>91.574799078920989</v>
      </c>
      <c r="X65" s="17">
        <f>SUMIFS(Peak_Hour[Achievable Peak Hour therm 2047], Peak_Hour[[Sector]:[Sector]], $B$62, Peak_Hour[[End Use]:[End Use]], $B65)</f>
        <v>91.449432038328752</v>
      </c>
      <c r="Y65" s="17">
        <f>SUMIFS(Peak_Hour[Achievable Peak Hour therm 2048], Peak_Hour[[Sector]:[Sector]], $B$62, Peak_Hour[[End Use]:[End Use]], $B65)</f>
        <v>92.182570180024143</v>
      </c>
      <c r="Z65" s="17">
        <f>SUMIFS(Peak_Hour[Achievable Peak Hour therm 2049], Peak_Hour[[Sector]:[Sector]], $B$62, Peak_Hour[[End Use]:[End Use]], $B65)</f>
        <v>91.650997113576693</v>
      </c>
      <c r="AA65" s="17">
        <f>SUMIFS(Peak_Hour[Achievable Peak Hour therm 2050], Peak_Hour[[Sector]:[Sector]], $B$62, Peak_Hour[[End Use]:[End Use]], $B65)</f>
        <v>50.181048823625737</v>
      </c>
    </row>
    <row r="66" spans="2:27" x14ac:dyDescent="0.2">
      <c r="B66" s="16" t="s">
        <v>45</v>
      </c>
      <c r="C66" s="17">
        <f>SUMIFS(Peak_Hour[Achievable Peak Hour therm 2026], Peak_Hour[[Sector]:[Sector]], $B$62, Peak_Hour[[End Use]:[End Use]], $B66)</f>
        <v>0.33183971613244329</v>
      </c>
      <c r="D66" s="17">
        <f>SUMIFS(Peak_Hour[Achievable Peak Hour therm 2027], Peak_Hour[[Sector]:[Sector]], $B$62, Peak_Hour[[End Use]:[End Use]], $B66)</f>
        <v>0.67242311951755862</v>
      </c>
      <c r="E66" s="17">
        <f>SUMIFS(Peak_Hour[Achievable Peak Hour therm 2028], Peak_Hour[[Sector]:[Sector]], $B$62, Peak_Hour[[End Use]:[End Use]], $B66)</f>
        <v>1.2005967093388592</v>
      </c>
      <c r="F66" s="17">
        <f>SUMIFS(Peak_Hour[Achievable Peak Hour therm 2029], Peak_Hour[[Sector]:[Sector]], $B$62, Peak_Hour[[End Use]:[End Use]], $B66)</f>
        <v>1.9361673227385843</v>
      </c>
      <c r="G66" s="17">
        <f>SUMIFS(Peak_Hour[Achievable Peak Hour therm 2030], Peak_Hour[[Sector]:[Sector]], $B$62, Peak_Hour[[End Use]:[End Use]], $B66)</f>
        <v>2.8967952543684365</v>
      </c>
      <c r="H66" s="17">
        <f>SUMIFS(Peak_Hour[Achievable Peak Hour therm 2031], Peak_Hour[[Sector]:[Sector]], $B$62, Peak_Hour[[End Use]:[End Use]], $B66)</f>
        <v>4.0648520856273587</v>
      </c>
      <c r="I66" s="17">
        <f>SUMIFS(Peak_Hour[Achievable Peak Hour therm 2032], Peak_Hour[[Sector]:[Sector]], $B$62, Peak_Hour[[End Use]:[End Use]], $B66)</f>
        <v>5.3955878168447589</v>
      </c>
      <c r="J66" s="17">
        <f>SUMIFS(Peak_Hour[Achievable Peak Hour therm 2033], Peak_Hour[[Sector]:[Sector]], $B$62, Peak_Hour[[End Use]:[End Use]], $B66)</f>
        <v>6.8212439282567194</v>
      </c>
      <c r="K66" s="17">
        <f>SUMIFS(Peak_Hour[Achievable Peak Hour therm 2034], Peak_Hour[[Sector]:[Sector]], $B$62, Peak_Hour[[End Use]:[End Use]], $B66)</f>
        <v>8.2574691981471435</v>
      </c>
      <c r="L66" s="17">
        <f>SUMIFS(Peak_Hour[Achievable Peak Hour therm 2035], Peak_Hour[[Sector]:[Sector]], $B$62, Peak_Hour[[End Use]:[End Use]], $B66)</f>
        <v>9.6106861070442289</v>
      </c>
      <c r="M66" s="17">
        <f>SUMIFS(Peak_Hour[Achievable Peak Hour therm 2036], Peak_Hour[[Sector]:[Sector]], $B$62, Peak_Hour[[End Use]:[End Use]], $B66)</f>
        <v>10.786567287890849</v>
      </c>
      <c r="N66" s="17">
        <f>SUMIFS(Peak_Hour[Achievable Peak Hour therm 2037], Peak_Hour[[Sector]:[Sector]], $B$62, Peak_Hour[[End Use]:[End Use]], $B66)</f>
        <v>11.700815587285019</v>
      </c>
      <c r="O66" s="17">
        <f>SUMIFS(Peak_Hour[Achievable Peak Hour therm 2038], Peak_Hour[[Sector]:[Sector]], $B$62, Peak_Hour[[End Use]:[End Use]], $B66)</f>
        <v>12.292772902006526</v>
      </c>
      <c r="P66" s="17">
        <f>SUMIFS(Peak_Hour[Achievable Peak Hour therm 2039], Peak_Hour[[Sector]:[Sector]], $B$62, Peak_Hour[[End Use]:[End Use]], $B66)</f>
        <v>12.539839257066314</v>
      </c>
      <c r="Q66" s="17">
        <f>SUMIFS(Peak_Hour[Achievable Peak Hour therm 2040], Peak_Hour[[Sector]:[Sector]], $B$62, Peak_Hour[[End Use]:[End Use]], $B66)</f>
        <v>12.467573919944421</v>
      </c>
      <c r="R66" s="17">
        <f>SUMIFS(Peak_Hour[Achievable Peak Hour therm 2041], Peak_Hour[[Sector]:[Sector]], $B$62, Peak_Hour[[End Use]:[End Use]], $B66)</f>
        <v>12.61905699885652</v>
      </c>
      <c r="S66" s="17">
        <f>SUMIFS(Peak_Hour[Achievable Peak Hour therm 2042], Peak_Hour[[Sector]:[Sector]], $B$62, Peak_Hour[[End Use]:[End Use]], $B66)</f>
        <v>12.250695579911458</v>
      </c>
      <c r="T66" s="17">
        <f>SUMIFS(Peak_Hour[Achievable Peak Hour therm 2043], Peak_Hour[[Sector]:[Sector]], $B$62, Peak_Hour[[End Use]:[End Use]], $B66)</f>
        <v>11.541948230032185</v>
      </c>
      <c r="U66" s="17">
        <f>SUMIFS(Peak_Hour[Achievable Peak Hour therm 2044], Peak_Hour[[Sector]:[Sector]], $B$62, Peak_Hour[[End Use]:[End Use]], $B66)</f>
        <v>10.654334532519012</v>
      </c>
      <c r="V66" s="17">
        <f>SUMIFS(Peak_Hour[Achievable Peak Hour therm 2045], Peak_Hour[[Sector]:[Sector]], $B$62, Peak_Hour[[End Use]:[End Use]], $B66)</f>
        <v>10.535745000164232</v>
      </c>
      <c r="W66" s="17">
        <f>SUMIFS(Peak_Hour[Achievable Peak Hour therm 2046], Peak_Hour[[Sector]:[Sector]], $B$62, Peak_Hour[[End Use]:[End Use]], $B66)</f>
        <v>10.340468056814517</v>
      </c>
      <c r="X66" s="17">
        <f>SUMIFS(Peak_Hour[Achievable Peak Hour therm 2047], Peak_Hour[[Sector]:[Sector]], $B$62, Peak_Hour[[End Use]:[End Use]], $B66)</f>
        <v>7.6669279017324339</v>
      </c>
      <c r="Y66" s="17">
        <f>SUMIFS(Peak_Hour[Achievable Peak Hour therm 2048], Peak_Hour[[Sector]:[Sector]], $B$62, Peak_Hour[[End Use]:[End Use]], $B66)</f>
        <v>5.6465532832140362</v>
      </c>
      <c r="Z66" s="17">
        <f>SUMIFS(Peak_Hour[Achievable Peak Hour therm 2049], Peak_Hour[[Sector]:[Sector]], $B$62, Peak_Hour[[End Use]:[End Use]], $B66)</f>
        <v>4.7793012133394654</v>
      </c>
      <c r="AA66" s="17">
        <f>SUMIFS(Peak_Hour[Achievable Peak Hour therm 2050], Peak_Hour[[Sector]:[Sector]], $B$62, Peak_Hour[[End Use]:[End Use]], $B66)</f>
        <v>2.6970523540913258</v>
      </c>
    </row>
    <row r="67" spans="2:27" x14ac:dyDescent="0.2">
      <c r="B67" s="9" t="s">
        <v>33</v>
      </c>
      <c r="C67" s="18">
        <f>SUMIFS(Peak_Hour[Achievable Peak Hour therm 2026], Peak_Hour[[Sector]:[Sector]], $B67)</f>
        <v>15.148882501030608</v>
      </c>
      <c r="D67" s="18">
        <f>SUMIFS(Peak_Hour[Achievable Peak Hour therm 2027], Peak_Hour[[Sector]:[Sector]], $B67)</f>
        <v>27.962547546074905</v>
      </c>
      <c r="E67" s="18">
        <f>SUMIFS(Peak_Hour[Achievable Peak Hour therm 2028], Peak_Hour[[Sector]:[Sector]], $B67)</f>
        <v>47.019445078916817</v>
      </c>
      <c r="F67" s="18">
        <f>SUMIFS(Peak_Hour[Achievable Peak Hour therm 2029], Peak_Hour[[Sector]:[Sector]], $B67)</f>
        <v>73.289206031674809</v>
      </c>
      <c r="G67" s="18">
        <f>SUMIFS(Peak_Hour[Achievable Peak Hour therm 2030], Peak_Hour[[Sector]:[Sector]], $B67)</f>
        <v>107.41927308196856</v>
      </c>
      <c r="H67" s="18">
        <f>SUMIFS(Peak_Hour[Achievable Peak Hour therm 2031], Peak_Hour[[Sector]:[Sector]], $B67)</f>
        <v>149.26034437955269</v>
      </c>
      <c r="I67" s="18">
        <f>SUMIFS(Peak_Hour[Achievable Peak Hour therm 2032], Peak_Hour[[Sector]:[Sector]], $B67)</f>
        <v>197.56484838860294</v>
      </c>
      <c r="J67" s="18">
        <f>SUMIFS(Peak_Hour[Achievable Peak Hour therm 2033], Peak_Hour[[Sector]:[Sector]], $B67)</f>
        <v>249.69370265257749</v>
      </c>
      <c r="K67" s="18">
        <f>SUMIFS(Peak_Hour[Achievable Peak Hour therm 2034], Peak_Hour[[Sector]:[Sector]], $B67)</f>
        <v>301.48886404944761</v>
      </c>
      <c r="L67" s="18">
        <f>SUMIFS(Peak_Hour[Achievable Peak Hour therm 2035], Peak_Hour[[Sector]:[Sector]], $B67)</f>
        <v>347.46267774415691</v>
      </c>
      <c r="M67" s="18">
        <f>SUMIFS(Peak_Hour[Achievable Peak Hour therm 2036], Peak_Hour[[Sector]:[Sector]], $B67)</f>
        <v>381.43600866701735</v>
      </c>
      <c r="N67" s="18">
        <f>SUMIFS(Peak_Hour[Achievable Peak Hour therm 2037], Peak_Hour[[Sector]:[Sector]], $B67)</f>
        <v>397.65678978487472</v>
      </c>
      <c r="O67" s="18">
        <f>SUMIFS(Peak_Hour[Achievable Peak Hour therm 2038], Peak_Hour[[Sector]:[Sector]], $B67)</f>
        <v>392.24006761366354</v>
      </c>
      <c r="P67" s="18">
        <f>SUMIFS(Peak_Hour[Achievable Peak Hour therm 2039], Peak_Hour[[Sector]:[Sector]], $B67)</f>
        <v>365.11891501848214</v>
      </c>
      <c r="Q67" s="18">
        <f>SUMIFS(Peak_Hour[Achievable Peak Hour therm 2040], Peak_Hour[[Sector]:[Sector]], $B67)</f>
        <v>297.3931802523507</v>
      </c>
      <c r="R67" s="18">
        <f>SUMIFS(Peak_Hour[Achievable Peak Hour therm 2041], Peak_Hour[[Sector]:[Sector]], $B67)</f>
        <v>244.35368047225296</v>
      </c>
      <c r="S67" s="18">
        <f>SUMIFS(Peak_Hour[Achievable Peak Hour therm 2042], Peak_Hour[[Sector]:[Sector]], $B67)</f>
        <v>106.45033393653858</v>
      </c>
      <c r="T67" s="18">
        <f>SUMIFS(Peak_Hour[Achievable Peak Hour therm 2043], Peak_Hour[[Sector]:[Sector]], $B67)</f>
        <v>28.362224878115068</v>
      </c>
      <c r="U67" s="18">
        <f>SUMIFS(Peak_Hour[Achievable Peak Hour therm 2044], Peak_Hour[[Sector]:[Sector]], $B67)</f>
        <v>28.323866051837253</v>
      </c>
      <c r="V67" s="18">
        <f>SUMIFS(Peak_Hour[Achievable Peak Hour therm 2045], Peak_Hour[[Sector]:[Sector]], $B67)</f>
        <v>28.171659324066418</v>
      </c>
      <c r="W67" s="18">
        <f>SUMIFS(Peak_Hour[Achievable Peak Hour therm 2046], Peak_Hour[[Sector]:[Sector]], $B67)</f>
        <v>27.97083934629816</v>
      </c>
      <c r="X67" s="18">
        <f>SUMIFS(Peak_Hour[Achievable Peak Hour therm 2047], Peak_Hour[[Sector]:[Sector]], $B67)</f>
        <v>27.755142582748814</v>
      </c>
      <c r="Y67" s="18">
        <f>SUMIFS(Peak_Hour[Achievable Peak Hour therm 2048], Peak_Hour[[Sector]:[Sector]], $B67)</f>
        <v>27.541109218219102</v>
      </c>
      <c r="Z67" s="18">
        <f>SUMIFS(Peak_Hour[Achievable Peak Hour therm 2049], Peak_Hour[[Sector]:[Sector]], $B67)</f>
        <v>27.328726424523225</v>
      </c>
      <c r="AA67" s="18">
        <f>SUMIFS(Peak_Hour[Achievable Peak Hour therm 2050], Peak_Hour[[Sector]:[Sector]], $B67)</f>
        <v>27.117981472410793</v>
      </c>
    </row>
    <row r="68" spans="2:27" x14ac:dyDescent="0.2">
      <c r="B68" s="16" t="s">
        <v>44</v>
      </c>
      <c r="C68" s="17">
        <f>SUMIFS(Peak_Hour[Achievable Peak Hour therm 2026], Peak_Hour[[Sector]:[Sector]], $B$67, Peak_Hour[[End Use]:[End Use]], $B68)</f>
        <v>13.492989147065382</v>
      </c>
      <c r="D68" s="17">
        <f>SUMIFS(Peak_Hour[Achievable Peak Hour therm 2027], Peak_Hour[[Sector]:[Sector]], $B$67, Peak_Hour[[End Use]:[End Use]], $B68)</f>
        <v>24.999256922020614</v>
      </c>
      <c r="E68" s="17">
        <f>SUMIFS(Peak_Hour[Achievable Peak Hour therm 2028], Peak_Hour[[Sector]:[Sector]], $B$67, Peak_Hour[[End Use]:[End Use]], $B68)</f>
        <v>42.078738372052293</v>
      </c>
      <c r="F68" s="17">
        <f>SUMIFS(Peak_Hour[Achievable Peak Hour therm 2029], Peak_Hour[[Sector]:[Sector]], $B$67, Peak_Hour[[End Use]:[End Use]], $B68)</f>
        <v>65.699625791547803</v>
      </c>
      <c r="G68" s="17">
        <f>SUMIFS(Peak_Hour[Achievable Peak Hour therm 2030], Peak_Hour[[Sector]:[Sector]], $B$67, Peak_Hour[[End Use]:[End Use]], $B68)</f>
        <v>96.423015625596264</v>
      </c>
      <c r="H68" s="17">
        <f>SUMIFS(Peak_Hour[Achievable Peak Hour therm 2031], Peak_Hour[[Sector]:[Sector]], $B$67, Peak_Hour[[End Use]:[End Use]], $B68)</f>
        <v>134.12595077763118</v>
      </c>
      <c r="I68" s="17">
        <f>SUMIFS(Peak_Hour[Achievable Peak Hour therm 2032], Peak_Hour[[Sector]:[Sector]], $B$67, Peak_Hour[[End Use]:[End Use]], $B68)</f>
        <v>177.69518015018895</v>
      </c>
      <c r="J68" s="17">
        <f>SUMIFS(Peak_Hour[Achievable Peak Hour therm 2033], Peak_Hour[[Sector]:[Sector]], $B$67, Peak_Hour[[End Use]:[End Use]], $B68)</f>
        <v>224.75902080901565</v>
      </c>
      <c r="K68" s="17">
        <f>SUMIFS(Peak_Hour[Achievable Peak Hour therm 2034], Peak_Hour[[Sector]:[Sector]], $B$67, Peak_Hour[[End Use]:[End Use]], $B68)</f>
        <v>271.56691493636595</v>
      </c>
      <c r="L68" s="17">
        <f>SUMIFS(Peak_Hour[Achievable Peak Hour therm 2035], Peak_Hour[[Sector]:[Sector]], $B$67, Peak_Hour[[End Use]:[End Use]], $B68)</f>
        <v>313.15395872988182</v>
      </c>
      <c r="M68" s="17">
        <f>SUMIFS(Peak_Hour[Achievable Peak Hour therm 2036], Peak_Hour[[Sector]:[Sector]], $B$67, Peak_Hour[[End Use]:[End Use]], $B68)</f>
        <v>343.91196768462777</v>
      </c>
      <c r="N68" s="17">
        <f>SUMIFS(Peak_Hour[Achievable Peak Hour therm 2037], Peak_Hour[[Sector]:[Sector]], $B$67, Peak_Hour[[End Use]:[End Use]], $B68)</f>
        <v>358.59928101581858</v>
      </c>
      <c r="O68" s="17">
        <f>SUMIFS(Peak_Hour[Achievable Peak Hour therm 2038], Peak_Hour[[Sector]:[Sector]], $B$67, Peak_Hour[[End Use]:[End Use]], $B68)</f>
        <v>353.64928631676207</v>
      </c>
      <c r="P68" s="17">
        <f>SUMIFS(Peak_Hour[Achievable Peak Hour therm 2039], Peak_Hour[[Sector]:[Sector]], $B$67, Peak_Hour[[End Use]:[End Use]], $B68)</f>
        <v>328.91574244619011</v>
      </c>
      <c r="Q68" s="17">
        <f>SUMIFS(Peak_Hour[Achievable Peak Hour therm 2040], Peak_Hour[[Sector]:[Sector]], $B$67, Peak_Hour[[End Use]:[End Use]], $B68)</f>
        <v>268.59344582368038</v>
      </c>
      <c r="R68" s="17">
        <f>SUMIFS(Peak_Hour[Achievable Peak Hour therm 2041], Peak_Hour[[Sector]:[Sector]], $B$67, Peak_Hour[[End Use]:[End Use]], $B68)</f>
        <v>220.08634846525894</v>
      </c>
      <c r="S68" s="17">
        <f>SUMIFS(Peak_Hour[Achievable Peak Hour therm 2042], Peak_Hour[[Sector]:[Sector]], $B$67, Peak_Hour[[End Use]:[End Use]], $B68)</f>
        <v>93.212593127827873</v>
      </c>
      <c r="T68" s="17">
        <f>SUMIFS(Peak_Hour[Achievable Peak Hour therm 2043], Peak_Hour[[Sector]:[Sector]], $B$67, Peak_Hour[[End Use]:[End Use]], $B68)</f>
        <v>21.350477567294924</v>
      </c>
      <c r="U68" s="17">
        <f>SUMIFS(Peak_Hour[Achievable Peak Hour therm 2044], Peak_Hour[[Sector]:[Sector]], $B$67, Peak_Hour[[End Use]:[End Use]], $B68)</f>
        <v>21.271961905845075</v>
      </c>
      <c r="V68" s="17">
        <f>SUMIFS(Peak_Hour[Achievable Peak Hour therm 2045], Peak_Hour[[Sector]:[Sector]], $B$67, Peak_Hour[[End Use]:[End Use]], $B68)</f>
        <v>21.108950804134203</v>
      </c>
      <c r="W68" s="17">
        <f>SUMIFS(Peak_Hour[Achievable Peak Hour therm 2046], Peak_Hour[[Sector]:[Sector]], $B$67, Peak_Hour[[End Use]:[End Use]], $B68)</f>
        <v>20.946428409823927</v>
      </c>
      <c r="X68" s="17">
        <f>SUMIFS(Peak_Hour[Achievable Peak Hour therm 2047], Peak_Hour[[Sector]:[Sector]], $B$67, Peak_Hour[[End Use]:[End Use]], $B68)</f>
        <v>20.784905810685007</v>
      </c>
      <c r="Y68" s="17">
        <f>SUMIFS(Peak_Hour[Achievable Peak Hour therm 2048], Peak_Hour[[Sector]:[Sector]], $B$67, Peak_Hour[[End Use]:[End Use]], $B68)</f>
        <v>20.624628786802525</v>
      </c>
      <c r="Z68" s="17">
        <f>SUMIFS(Peak_Hour[Achievable Peak Hour therm 2049], Peak_Hour[[Sector]:[Sector]], $B$67, Peak_Hour[[End Use]:[End Use]], $B68)</f>
        <v>20.465587732649333</v>
      </c>
      <c r="AA68" s="17">
        <f>SUMIFS(Peak_Hour[Achievable Peak Hour therm 2050], Peak_Hour[[Sector]:[Sector]], $B$67, Peak_Hour[[End Use]:[End Use]], $B68)</f>
        <v>20.307773116776129</v>
      </c>
    </row>
    <row r="69" spans="2:27" x14ac:dyDescent="0.2">
      <c r="B69" s="16" t="s">
        <v>47</v>
      </c>
      <c r="C69" s="17">
        <f>SUMIFS(Peak_Hour[Achievable Peak Hour therm 2026], Peak_Hour[[Sector]:[Sector]], $B$67, Peak_Hour[[End Use]:[End Use]], $B69)</f>
        <v>1.285796858137326</v>
      </c>
      <c r="D69" s="17">
        <f>SUMIFS(Peak_Hour[Achievable Peak Hour therm 2027], Peak_Hour[[Sector]:[Sector]], $B$67, Peak_Hour[[End Use]:[End Use]], $B69)</f>
        <v>2.3511292875254139</v>
      </c>
      <c r="E69" s="17">
        <f>SUMIFS(Peak_Hour[Achievable Peak Hour therm 2028], Peak_Hour[[Sector]:[Sector]], $B$67, Peak_Hour[[End Use]:[End Use]], $B69)</f>
        <v>3.9197174569332485</v>
      </c>
      <c r="F69" s="17">
        <f>SUMIFS(Peak_Hour[Achievable Peak Hour therm 2029], Peak_Hour[[Sector]:[Sector]], $B$67, Peak_Hour[[End Use]:[End Use]], $B69)</f>
        <v>6.0737974504995096</v>
      </c>
      <c r="G69" s="17">
        <f>SUMIFS(Peak_Hour[Achievable Peak Hour therm 2030], Peak_Hour[[Sector]:[Sector]], $B$67, Peak_Hour[[End Use]:[End Use]], $B69)</f>
        <v>8.8566617735135509</v>
      </c>
      <c r="H69" s="17">
        <f>SUMIFS(Peak_Hour[Achievable Peak Hour therm 2031], Peak_Hour[[Sector]:[Sector]], $B$67, Peak_Hour[[End Use]:[End Use]], $B69)</f>
        <v>12.247708739356669</v>
      </c>
      <c r="I69" s="17">
        <f>SUMIFS(Peak_Hour[Achievable Peak Hour therm 2032], Peak_Hour[[Sector]:[Sector]], $B$67, Peak_Hour[[End Use]:[End Use]], $B69)</f>
        <v>16.135392111574532</v>
      </c>
      <c r="J69" s="17">
        <f>SUMIFS(Peak_Hour[Achievable Peak Hour therm 2033], Peak_Hour[[Sector]:[Sector]], $B$67, Peak_Hour[[End Use]:[End Use]], $B69)</f>
        <v>20.294438572097452</v>
      </c>
      <c r="K69" s="17">
        <f>SUMIFS(Peak_Hour[Achievable Peak Hour therm 2034], Peak_Hour[[Sector]:[Sector]], $B$67, Peak_Hour[[End Use]:[End Use]], $B69)</f>
        <v>24.377362759137942</v>
      </c>
      <c r="L69" s="17">
        <f>SUMIFS(Peak_Hour[Achievable Peak Hour therm 2035], Peak_Hour[[Sector]:[Sector]], $B$67, Peak_Hour[[End Use]:[End Use]], $B69)</f>
        <v>27.932472126085852</v>
      </c>
      <c r="M69" s="17">
        <f>SUMIFS(Peak_Hour[Achievable Peak Hour therm 2036], Peak_Hour[[Sector]:[Sector]], $B$67, Peak_Hour[[End Use]:[End Use]], $B69)</f>
        <v>30.45860338670807</v>
      </c>
      <c r="N69" s="17">
        <f>SUMIFS(Peak_Hour[Achievable Peak Hour therm 2037], Peak_Hour[[Sector]:[Sector]], $B$67, Peak_Hour[[End Use]:[End Use]], $B69)</f>
        <v>31.49821209315505</v>
      </c>
      <c r="O69" s="17">
        <f>SUMIFS(Peak_Hour[Achievable Peak Hour therm 2038], Peak_Hour[[Sector]:[Sector]], $B$67, Peak_Hour[[End Use]:[End Use]], $B69)</f>
        <v>30.75468701048343</v>
      </c>
      <c r="P69" s="17">
        <f>SUMIFS(Peak_Hour[Achievable Peak Hour therm 2039], Peak_Hour[[Sector]:[Sector]], $B$67, Peak_Hour[[End Use]:[End Use]], $B69)</f>
        <v>28.258157599872074</v>
      </c>
      <c r="Q69" s="17">
        <f>SUMIFS(Peak_Hour[Achievable Peak Hour therm 2040], Peak_Hour[[Sector]:[Sector]], $B$67, Peak_Hour[[End Use]:[End Use]], $B69)</f>
        <v>22.124658172141498</v>
      </c>
      <c r="R69" s="17">
        <f>SUMIFS(Peak_Hour[Achievable Peak Hour therm 2041], Peak_Hour[[Sector]:[Sector]], $B$67, Peak_Hour[[End Use]:[End Use]], $B69)</f>
        <v>17.622031847690952</v>
      </c>
      <c r="S69" s="17">
        <f>SUMIFS(Peak_Hour[Achievable Peak Hour therm 2042], Peak_Hour[[Sector]:[Sector]], $B$67, Peak_Hour[[End Use]:[End Use]], $B69)</f>
        <v>6.3735561262727565</v>
      </c>
      <c r="T69" s="17">
        <f>SUMIFS(Peak_Hour[Achievable Peak Hour therm 2043], Peak_Hour[[Sector]:[Sector]], $B$67, Peak_Hour[[End Use]:[End Use]], $B69)</f>
        <v>0</v>
      </c>
      <c r="U69" s="17">
        <f>SUMIFS(Peak_Hour[Achievable Peak Hour therm 2044], Peak_Hour[[Sector]:[Sector]], $B$67, Peak_Hour[[End Use]:[End Use]], $B69)</f>
        <v>0</v>
      </c>
      <c r="V69" s="17">
        <f>SUMIFS(Peak_Hour[Achievable Peak Hour therm 2045], Peak_Hour[[Sector]:[Sector]], $B$67, Peak_Hour[[End Use]:[End Use]], $B69)</f>
        <v>0</v>
      </c>
      <c r="W69" s="17">
        <f>SUMIFS(Peak_Hour[Achievable Peak Hour therm 2046], Peak_Hour[[Sector]:[Sector]], $B$67, Peak_Hour[[End Use]:[End Use]], $B69)</f>
        <v>0</v>
      </c>
      <c r="X69" s="17">
        <f>SUMIFS(Peak_Hour[Achievable Peak Hour therm 2047], Peak_Hour[[Sector]:[Sector]], $B$67, Peak_Hour[[End Use]:[End Use]], $B69)</f>
        <v>0</v>
      </c>
      <c r="Y69" s="17">
        <f>SUMIFS(Peak_Hour[Achievable Peak Hour therm 2048], Peak_Hour[[Sector]:[Sector]], $B$67, Peak_Hour[[End Use]:[End Use]], $B69)</f>
        <v>0</v>
      </c>
      <c r="Z69" s="17">
        <f>SUMIFS(Peak_Hour[Achievable Peak Hour therm 2049], Peak_Hour[[Sector]:[Sector]], $B$67, Peak_Hour[[End Use]:[End Use]], $B69)</f>
        <v>0</v>
      </c>
      <c r="AA69" s="17">
        <f>SUMIFS(Peak_Hour[Achievable Peak Hour therm 2050], Peak_Hour[[Sector]:[Sector]], $B$67, Peak_Hour[[End Use]:[End Use]], $B69)</f>
        <v>0</v>
      </c>
    </row>
    <row r="70" spans="2:27" x14ac:dyDescent="0.2">
      <c r="B70" s="16" t="s">
        <v>45</v>
      </c>
      <c r="C70" s="17">
        <f>SUMIFS(Peak_Hour[Achievable Peak Hour therm 2026], Peak_Hour[[Sector]:[Sector]], $B$67, Peak_Hour[[End Use]:[End Use]], $B70)</f>
        <v>5.8448567282040509E-2</v>
      </c>
      <c r="D70" s="17">
        <f>SUMIFS(Peak_Hour[Achievable Peak Hour therm 2027], Peak_Hour[[Sector]:[Sector]], $B$67, Peak_Hour[[End Use]:[End Use]], $B70)</f>
        <v>0.10913240185474386</v>
      </c>
      <c r="E70" s="17">
        <f>SUMIFS(Peak_Hour[Achievable Peak Hour therm 2028], Peak_Hour[[Sector]:[Sector]], $B$67, Peak_Hour[[End Use]:[End Use]], $B70)</f>
        <v>0.26334935222821071</v>
      </c>
      <c r="F70" s="17">
        <f>SUMIFS(Peak_Hour[Achievable Peak Hour therm 2029], Peak_Hour[[Sector]:[Sector]], $B$67, Peak_Hour[[End Use]:[End Use]], $B70)</f>
        <v>0.43904807669960516</v>
      </c>
      <c r="G70" s="17">
        <f>SUMIFS(Peak_Hour[Achievable Peak Hour therm 2030], Peak_Hour[[Sector]:[Sector]], $B$67, Peak_Hour[[End Use]:[End Use]], $B70)</f>
        <v>0.68623511854759445</v>
      </c>
      <c r="H70" s="17">
        <f>SUMIFS(Peak_Hour[Achievable Peak Hour therm 2031], Peak_Hour[[Sector]:[Sector]], $B$67, Peak_Hour[[End Use]:[End Use]], $B70)</f>
        <v>1.0171332900133572</v>
      </c>
      <c r="I70" s="17">
        <f>SUMIFS(Peak_Hour[Achievable Peak Hour therm 2032], Peak_Hour[[Sector]:[Sector]], $B$67, Peak_Hour[[End Use]:[End Use]], $B70)</f>
        <v>1.4397938921449271</v>
      </c>
      <c r="J70" s="17">
        <f>SUMIFS(Peak_Hour[Achievable Peak Hour therm 2033], Peak_Hour[[Sector]:[Sector]], $B$67, Peak_Hour[[End Use]:[End Use]], $B70)</f>
        <v>1.9553683153568344</v>
      </c>
      <c r="K70" s="17">
        <f>SUMIFS(Peak_Hour[Achievable Peak Hour therm 2034], Peak_Hour[[Sector]:[Sector]], $B$67, Peak_Hour[[End Use]:[End Use]], $B70)</f>
        <v>2.5555594085630409</v>
      </c>
      <c r="L70" s="17">
        <f>SUMIFS(Peak_Hour[Achievable Peak Hour therm 2035], Peak_Hour[[Sector]:[Sector]], $B$67, Peak_Hour[[End Use]:[End Use]], $B70)</f>
        <v>3.2210049391156557</v>
      </c>
      <c r="M70" s="17">
        <f>SUMIFS(Peak_Hour[Achievable Peak Hour therm 2036], Peak_Hour[[Sector]:[Sector]], $B$67, Peak_Hour[[End Use]:[End Use]], $B70)</f>
        <v>3.9214553735191711</v>
      </c>
      <c r="N70" s="17">
        <f>SUMIFS(Peak_Hour[Achievable Peak Hour therm 2037], Peak_Hour[[Sector]:[Sector]], $B$67, Peak_Hour[[End Use]:[End Use]], $B70)</f>
        <v>4.6184173009430927</v>
      </c>
      <c r="O70" s="17">
        <f>SUMIFS(Peak_Hour[Achievable Peak Hour therm 2038], Peak_Hour[[Sector]:[Sector]], $B$67, Peak_Hour[[End Use]:[End Use]], $B70)</f>
        <v>5.2703424731302055</v>
      </c>
      <c r="P70" s="17">
        <f>SUMIFS(Peak_Hour[Achievable Peak Hour therm 2039], Peak_Hour[[Sector]:[Sector]], $B$67, Peak_Hour[[End Use]:[End Use]], $B70)</f>
        <v>5.8395286689769481</v>
      </c>
      <c r="Q70" s="17">
        <f>SUMIFS(Peak_Hour[Achievable Peak Hour therm 2040], Peak_Hour[[Sector]:[Sector]], $B$67, Peak_Hour[[End Use]:[End Use]], $B70)</f>
        <v>6.2989901131563286</v>
      </c>
      <c r="R70" s="17">
        <f>SUMIFS(Peak_Hour[Achievable Peak Hour therm 2041], Peak_Hour[[Sector]:[Sector]], $B$67, Peak_Hour[[End Use]:[End Use]], $B70)</f>
        <v>6.6453001593030701</v>
      </c>
      <c r="S70" s="17">
        <f>SUMIFS(Peak_Hour[Achievable Peak Hour therm 2042], Peak_Hour[[Sector]:[Sector]], $B$67, Peak_Hour[[End Use]:[End Use]], $B70)</f>
        <v>6.864184682437994</v>
      </c>
      <c r="T70" s="17">
        <f>SUMIFS(Peak_Hour[Achievable Peak Hour therm 2043], Peak_Hour[[Sector]:[Sector]], $B$67, Peak_Hour[[End Use]:[End Use]], $B70)</f>
        <v>7.0117473108201454</v>
      </c>
      <c r="U70" s="17">
        <f>SUMIFS(Peak_Hour[Achievable Peak Hour therm 2044], Peak_Hour[[Sector]:[Sector]], $B$67, Peak_Hour[[End Use]:[End Use]], $B70)</f>
        <v>7.0519041459921734</v>
      </c>
      <c r="V70" s="17">
        <f>SUMIFS(Peak_Hour[Achievable Peak Hour therm 2045], Peak_Hour[[Sector]:[Sector]], $B$67, Peak_Hour[[End Use]:[End Use]], $B70)</f>
        <v>7.0627085199322117</v>
      </c>
      <c r="W70" s="17">
        <f>SUMIFS(Peak_Hour[Achievable Peak Hour therm 2046], Peak_Hour[[Sector]:[Sector]], $B$67, Peak_Hour[[End Use]:[End Use]], $B70)</f>
        <v>7.0244109364742204</v>
      </c>
      <c r="X70" s="17">
        <f>SUMIFS(Peak_Hour[Achievable Peak Hour therm 2047], Peak_Hour[[Sector]:[Sector]], $B$67, Peak_Hour[[End Use]:[End Use]], $B70)</f>
        <v>6.9702367720638057</v>
      </c>
      <c r="Y70" s="17">
        <f>SUMIFS(Peak_Hour[Achievable Peak Hour therm 2048], Peak_Hour[[Sector]:[Sector]], $B$67, Peak_Hour[[End Use]:[End Use]], $B70)</f>
        <v>6.9164804314165726</v>
      </c>
      <c r="Z70" s="17">
        <f>SUMIFS(Peak_Hour[Achievable Peak Hour therm 2049], Peak_Hour[[Sector]:[Sector]], $B$67, Peak_Hour[[End Use]:[End Use]], $B70)</f>
        <v>6.863138691873897</v>
      </c>
      <c r="AA70" s="17">
        <f>SUMIFS(Peak_Hour[Achievable Peak Hour therm 2050], Peak_Hour[[Sector]:[Sector]], $B$67, Peak_Hour[[End Use]:[End Use]], $B70)</f>
        <v>6.8102083556346624</v>
      </c>
    </row>
    <row r="71" spans="2:27" x14ac:dyDescent="0.2">
      <c r="B71" s="16" t="s">
        <v>46</v>
      </c>
      <c r="C71" s="17">
        <f>SUMIFS(Peak_Hour[Achievable Peak Hour therm 2026], Peak_Hour[[Sector]:[Sector]], $B$67, Peak_Hour[[End Use]:[End Use]], $B71)</f>
        <v>0.31164792854585416</v>
      </c>
      <c r="D71" s="17">
        <f>SUMIFS(Peak_Hour[Achievable Peak Hour therm 2027], Peak_Hour[[Sector]:[Sector]], $B$67, Peak_Hour[[End Use]:[End Use]], $B71)</f>
        <v>0.50302893467415144</v>
      </c>
      <c r="E71" s="17">
        <f>SUMIFS(Peak_Hour[Achievable Peak Hour therm 2028], Peak_Hour[[Sector]:[Sector]], $B$67, Peak_Hour[[End Use]:[End Use]], $B71)</f>
        <v>0.75763989770306783</v>
      </c>
      <c r="F71" s="17">
        <f>SUMIFS(Peak_Hour[Achievable Peak Hour therm 2029], Peak_Hour[[Sector]:[Sector]], $B$67, Peak_Hour[[End Use]:[End Use]], $B71)</f>
        <v>1.0767347129278526</v>
      </c>
      <c r="G71" s="17">
        <f>SUMIFS(Peak_Hour[Achievable Peak Hour therm 2030], Peak_Hour[[Sector]:[Sector]], $B$67, Peak_Hour[[End Use]:[End Use]], $B71)</f>
        <v>1.4533605643111933</v>
      </c>
      <c r="H71" s="17">
        <f>SUMIFS(Peak_Hour[Achievable Peak Hour therm 2031], Peak_Hour[[Sector]:[Sector]], $B$67, Peak_Hour[[End Use]:[End Use]], $B71)</f>
        <v>1.8695515725515062</v>
      </c>
      <c r="I71" s="17">
        <f>SUMIFS(Peak_Hour[Achievable Peak Hour therm 2032], Peak_Hour[[Sector]:[Sector]], $B$67, Peak_Hour[[End Use]:[End Use]], $B71)</f>
        <v>2.2944822346945077</v>
      </c>
      <c r="J71" s="17">
        <f>SUMIFS(Peak_Hour[Achievable Peak Hour therm 2033], Peak_Hour[[Sector]:[Sector]], $B$67, Peak_Hour[[End Use]:[End Use]], $B71)</f>
        <v>2.6848749561075871</v>
      </c>
      <c r="K71" s="17">
        <f>SUMIFS(Peak_Hour[Achievable Peak Hour therm 2034], Peak_Hour[[Sector]:[Sector]], $B$67, Peak_Hour[[End Use]:[End Use]], $B71)</f>
        <v>2.9890269453807043</v>
      </c>
      <c r="L71" s="17">
        <f>SUMIFS(Peak_Hour[Achievable Peak Hour therm 2035], Peak_Hour[[Sector]:[Sector]], $B$67, Peak_Hour[[End Use]:[End Use]], $B71)</f>
        <v>3.1552419490737869</v>
      </c>
      <c r="M71" s="17">
        <f>SUMIFS(Peak_Hour[Achievable Peak Hour therm 2036], Peak_Hour[[Sector]:[Sector]], $B$67, Peak_Hour[[End Use]:[End Use]], $B71)</f>
        <v>3.1439822221625109</v>
      </c>
      <c r="N71" s="17">
        <f>SUMIFS(Peak_Hour[Achievable Peak Hour therm 2037], Peak_Hour[[Sector]:[Sector]], $B$67, Peak_Hour[[End Use]:[End Use]], $B71)</f>
        <v>2.9408793749582856</v>
      </c>
      <c r="O71" s="17">
        <f>SUMIFS(Peak_Hour[Achievable Peak Hour therm 2038], Peak_Hour[[Sector]:[Sector]], $B$67, Peak_Hour[[End Use]:[End Use]], $B71)</f>
        <v>2.5657518132882915</v>
      </c>
      <c r="P71" s="17">
        <f>SUMIFS(Peak_Hour[Achievable Peak Hour therm 2039], Peak_Hour[[Sector]:[Sector]], $B$67, Peak_Hour[[End Use]:[End Use]], $B71)</f>
        <v>2.1054863034428632</v>
      </c>
      <c r="Q71" s="17">
        <f>SUMIFS(Peak_Hour[Achievable Peak Hour therm 2040], Peak_Hour[[Sector]:[Sector]], $B$67, Peak_Hour[[End Use]:[End Use]], $B71)</f>
        <v>0.37608614337241686</v>
      </c>
      <c r="R71" s="17">
        <f>SUMIFS(Peak_Hour[Achievable Peak Hour therm 2041], Peak_Hour[[Sector]:[Sector]], $B$67, Peak_Hour[[End Use]:[End Use]], $B71)</f>
        <v>0</v>
      </c>
      <c r="S71" s="17">
        <f>SUMIFS(Peak_Hour[Achievable Peak Hour therm 2042], Peak_Hour[[Sector]:[Sector]], $B$67, Peak_Hour[[End Use]:[End Use]], $B71)</f>
        <v>0</v>
      </c>
      <c r="T71" s="17">
        <f>SUMIFS(Peak_Hour[Achievable Peak Hour therm 2043], Peak_Hour[[Sector]:[Sector]], $B$67, Peak_Hour[[End Use]:[End Use]], $B71)</f>
        <v>0</v>
      </c>
      <c r="U71" s="17">
        <f>SUMIFS(Peak_Hour[Achievable Peak Hour therm 2044], Peak_Hour[[Sector]:[Sector]], $B$67, Peak_Hour[[End Use]:[End Use]], $B71)</f>
        <v>0</v>
      </c>
      <c r="V71" s="17">
        <f>SUMIFS(Peak_Hour[Achievable Peak Hour therm 2045], Peak_Hour[[Sector]:[Sector]], $B$67, Peak_Hour[[End Use]:[End Use]], $B71)</f>
        <v>0</v>
      </c>
      <c r="W71" s="17">
        <f>SUMIFS(Peak_Hour[Achievable Peak Hour therm 2046], Peak_Hour[[Sector]:[Sector]], $B$67, Peak_Hour[[End Use]:[End Use]], $B71)</f>
        <v>0</v>
      </c>
      <c r="X71" s="17">
        <f>SUMIFS(Peak_Hour[Achievable Peak Hour therm 2047], Peak_Hour[[Sector]:[Sector]], $B$67, Peak_Hour[[End Use]:[End Use]], $B71)</f>
        <v>0</v>
      </c>
      <c r="Y71" s="17">
        <f>SUMIFS(Peak_Hour[Achievable Peak Hour therm 2048], Peak_Hour[[Sector]:[Sector]], $B$67, Peak_Hour[[End Use]:[End Use]], $B71)</f>
        <v>0</v>
      </c>
      <c r="Z71" s="17">
        <f>SUMIFS(Peak_Hour[Achievable Peak Hour therm 2049], Peak_Hour[[Sector]:[Sector]], $B$67, Peak_Hour[[End Use]:[End Use]], $B71)</f>
        <v>0</v>
      </c>
      <c r="AA71" s="17">
        <f>SUMIFS(Peak_Hour[Achievable Peak Hour therm 2050], Peak_Hour[[Sector]:[Sector]], $B$67, Peak_Hour[[End Use]:[End Use]], $B71)</f>
        <v>0</v>
      </c>
    </row>
    <row r="72" spans="2:27" ht="13.5" thickBot="1" x14ac:dyDescent="0.25">
      <c r="B72" s="14" t="s">
        <v>34</v>
      </c>
      <c r="C72" s="15">
        <f>SUM(C57,C62,C67)</f>
        <v>357.15123921300449</v>
      </c>
      <c r="D72" s="15">
        <f t="shared" ref="D72:AA72" si="13">SUM(D57,D62,D67)</f>
        <v>419.27046051729064</v>
      </c>
      <c r="E72" s="15">
        <f t="shared" si="13"/>
        <v>524.65817624109559</v>
      </c>
      <c r="F72" s="15">
        <f t="shared" si="13"/>
        <v>654.59048794847672</v>
      </c>
      <c r="G72" s="15">
        <f t="shared" si="13"/>
        <v>808.18007440916108</v>
      </c>
      <c r="H72" s="15">
        <f t="shared" si="13"/>
        <v>988.46139313519052</v>
      </c>
      <c r="I72" s="15">
        <f t="shared" si="13"/>
        <v>1177.5723122131294</v>
      </c>
      <c r="J72" s="15">
        <f t="shared" si="13"/>
        <v>1363.445788034905</v>
      </c>
      <c r="K72" s="15">
        <f t="shared" si="13"/>
        <v>1519.398560726904</v>
      </c>
      <c r="L72" s="15">
        <f t="shared" si="13"/>
        <v>1633.935590676753</v>
      </c>
      <c r="M72" s="15">
        <f t="shared" si="13"/>
        <v>1721.520184398355</v>
      </c>
      <c r="N72" s="15">
        <f t="shared" si="13"/>
        <v>1772.2920156833968</v>
      </c>
      <c r="O72" s="15">
        <f t="shared" si="13"/>
        <v>1751.8074030237544</v>
      </c>
      <c r="P72" s="15">
        <f t="shared" si="13"/>
        <v>1655.5236979201629</v>
      </c>
      <c r="Q72" s="15">
        <f t="shared" si="13"/>
        <v>1466.2968978366659</v>
      </c>
      <c r="R72" s="15">
        <f t="shared" si="13"/>
        <v>1261.710676031619</v>
      </c>
      <c r="S72" s="15">
        <f t="shared" si="13"/>
        <v>927.02752515031352</v>
      </c>
      <c r="T72" s="15">
        <f t="shared" si="13"/>
        <v>727.76782249951475</v>
      </c>
      <c r="U72" s="15">
        <f t="shared" si="13"/>
        <v>513.21519291451557</v>
      </c>
      <c r="V72" s="15">
        <f t="shared" si="13"/>
        <v>486.91411608824677</v>
      </c>
      <c r="W72" s="15">
        <f t="shared" si="13"/>
        <v>482.12823670210867</v>
      </c>
      <c r="X72" s="15">
        <f t="shared" si="13"/>
        <v>475.20718975656081</v>
      </c>
      <c r="Y72" s="15">
        <f t="shared" si="13"/>
        <v>461.14380823646161</v>
      </c>
      <c r="Z72" s="15">
        <f t="shared" si="13"/>
        <v>451.30928516056997</v>
      </c>
      <c r="AA72" s="15">
        <f t="shared" si="13"/>
        <v>354.93356348977733</v>
      </c>
    </row>
    <row r="73" spans="2:27" ht="15" x14ac:dyDescent="0.25">
      <c r="O73"/>
      <c r="P73"/>
      <c r="Q73"/>
    </row>
    <row r="74" spans="2:27" x14ac:dyDescent="0.2">
      <c r="B74" s="9" t="s">
        <v>86</v>
      </c>
    </row>
    <row r="75" spans="2:27" x14ac:dyDescent="0.2">
      <c r="B75" s="11"/>
      <c r="C75" s="12">
        <v>2026</v>
      </c>
      <c r="D75" s="12">
        <v>2027</v>
      </c>
      <c r="E75" s="12">
        <v>2028</v>
      </c>
      <c r="F75" s="12">
        <v>2029</v>
      </c>
      <c r="G75" s="12">
        <v>2030</v>
      </c>
      <c r="H75" s="12">
        <v>2031</v>
      </c>
      <c r="I75" s="12">
        <v>2032</v>
      </c>
      <c r="J75" s="12">
        <v>2033</v>
      </c>
      <c r="K75" s="12">
        <v>2034</v>
      </c>
      <c r="L75" s="12">
        <v>2035</v>
      </c>
      <c r="M75" s="12">
        <v>2036</v>
      </c>
      <c r="N75" s="12">
        <v>2037</v>
      </c>
      <c r="O75" s="12">
        <v>2038</v>
      </c>
      <c r="P75" s="12">
        <v>2039</v>
      </c>
      <c r="Q75" s="12">
        <v>2040</v>
      </c>
      <c r="R75" s="12">
        <v>2041</v>
      </c>
      <c r="S75" s="12">
        <v>2042</v>
      </c>
      <c r="T75" s="12">
        <v>2043</v>
      </c>
      <c r="U75" s="12">
        <v>2044</v>
      </c>
      <c r="V75" s="12">
        <v>2045</v>
      </c>
      <c r="W75" s="12">
        <v>2046</v>
      </c>
      <c r="X75" s="12">
        <v>2047</v>
      </c>
      <c r="Y75" s="12">
        <v>2048</v>
      </c>
      <c r="Z75" s="12">
        <v>2049</v>
      </c>
      <c r="AA75" s="12">
        <v>2050</v>
      </c>
    </row>
    <row r="76" spans="2:27" x14ac:dyDescent="0.2">
      <c r="B76" s="9" t="s">
        <v>28</v>
      </c>
      <c r="C76" s="18">
        <f>SUMIFS(Peak_Hour[Achievable Peak Hour therm 2026], Peak_Hour[[Sector]:[Sector]], $B76, Peak_Hour[[Cost-Effective]:[Cost-Effective]], 1)</f>
        <v>95.390151949435065</v>
      </c>
      <c r="D76" s="18">
        <f>SUMIFS(Peak_Hour[Achievable Peak Hour therm 2027], Peak_Hour[[Sector]:[Sector]], $B76, Peak_Hour[[Cost-Effective]:[Cost-Effective]], 1)</f>
        <v>134.52573742664026</v>
      </c>
      <c r="E76" s="18">
        <f>SUMIFS(Peak_Hour[Achievable Peak Hour therm 2028], Peak_Hour[[Sector]:[Sector]], $B76, Peak_Hour[[Cost-Effective]:[Cost-Effective]], 1)</f>
        <v>191.30152642881652</v>
      </c>
      <c r="F76" s="18">
        <f>SUMIFS(Peak_Hour[Achievable Peak Hour therm 2029], Peak_Hour[[Sector]:[Sector]], $B76, Peak_Hour[[Cost-Effective]:[Cost-Effective]], 1)</f>
        <v>258.4818450538466</v>
      </c>
      <c r="G76" s="18">
        <f>SUMIFS(Peak_Hour[Achievable Peak Hour therm 2030], Peak_Hour[[Sector]:[Sector]], $B76, Peak_Hour[[Cost-Effective]:[Cost-Effective]], 1)</f>
        <v>340.04112128202712</v>
      </c>
      <c r="H76" s="18">
        <f>SUMIFS(Peak_Hour[Achievable Peak Hour therm 2031], Peak_Hour[[Sector]:[Sector]], $B76, Peak_Hour[[Cost-Effective]:[Cost-Effective]], 1)</f>
        <v>434.59678027244053</v>
      </c>
      <c r="I76" s="18">
        <f>SUMIFS(Peak_Hour[Achievable Peak Hour therm 2032], Peak_Hour[[Sector]:[Sector]], $B76, Peak_Hour[[Cost-Effective]:[Cost-Effective]], 1)</f>
        <v>538.41700784241334</v>
      </c>
      <c r="J76" s="18">
        <f>SUMIFS(Peak_Hour[Achievable Peak Hour therm 2033], Peak_Hour[[Sector]:[Sector]], $B76, Peak_Hour[[Cost-Effective]:[Cost-Effective]], 1)</f>
        <v>645.17657363971671</v>
      </c>
      <c r="K76" s="18">
        <f>SUMIFS(Peak_Hour[Achievable Peak Hour therm 2034], Peak_Hour[[Sector]:[Sector]], $B76, Peak_Hour[[Cost-Effective]:[Cost-Effective]], 1)</f>
        <v>745.97558546207404</v>
      </c>
      <c r="L76" s="18">
        <f>SUMIFS(Peak_Hour[Achievable Peak Hour therm 2035], Peak_Hour[[Sector]:[Sector]], $B76, Peak_Hour[[Cost-Effective]:[Cost-Effective]], 1)</f>
        <v>829.98222801444695</v>
      </c>
      <c r="M76" s="18">
        <f>SUMIFS(Peak_Hour[Achievable Peak Hour therm 2036], Peak_Hour[[Sector]:[Sector]], $B76, Peak_Hour[[Cost-Effective]:[Cost-Effective]], 1)</f>
        <v>886.45291808002344</v>
      </c>
      <c r="N76" s="18">
        <f>SUMIFS(Peak_Hour[Achievable Peak Hour therm 2037], Peak_Hour[[Sector]:[Sector]], $B76, Peak_Hour[[Cost-Effective]:[Cost-Effective]], 1)</f>
        <v>906.8069488947026</v>
      </c>
      <c r="O76" s="18">
        <f>SUMIFS(Peak_Hour[Achievable Peak Hour therm 2038], Peak_Hour[[Sector]:[Sector]], $B76, Peak_Hour[[Cost-Effective]:[Cost-Effective]], 1)</f>
        <v>887.17489352117457</v>
      </c>
      <c r="P76" s="18">
        <f>SUMIFS(Peak_Hour[Achievable Peak Hour therm 2039], Peak_Hour[[Sector]:[Sector]], $B76, Peak_Hour[[Cost-Effective]:[Cost-Effective]], 1)</f>
        <v>833.51952340077332</v>
      </c>
      <c r="Q76" s="18">
        <f>SUMIFS(Peak_Hour[Achievable Peak Hour therm 2040], Peak_Hour[[Sector]:[Sector]], $B76, Peak_Hour[[Cost-Effective]:[Cost-Effective]], 1)</f>
        <v>749.14782925322697</v>
      </c>
      <c r="R76" s="18">
        <f>SUMIFS(Peak_Hour[Achievable Peak Hour therm 2041], Peak_Hour[[Sector]:[Sector]], $B76, Peak_Hour[[Cost-Effective]:[Cost-Effective]], 1)</f>
        <v>653.86369118112282</v>
      </c>
      <c r="S76" s="18">
        <f>SUMIFS(Peak_Hour[Achievable Peak Hour therm 2042], Peak_Hour[[Sector]:[Sector]], $B76, Peak_Hour[[Cost-Effective]:[Cost-Effective]], 1)</f>
        <v>514.40423768211406</v>
      </c>
      <c r="T76" s="18">
        <f>SUMIFS(Peak_Hour[Achievable Peak Hour therm 2043], Peak_Hour[[Sector]:[Sector]], $B76, Peak_Hour[[Cost-Effective]:[Cost-Effective]], 1)</f>
        <v>446.00119123899748</v>
      </c>
      <c r="U76" s="18">
        <f>SUMIFS(Peak_Hour[Achievable Peak Hour therm 2044], Peak_Hour[[Sector]:[Sector]], $B76, Peak_Hour[[Cost-Effective]:[Cost-Effective]], 1)</f>
        <v>328.34295305205387</v>
      </c>
      <c r="V76" s="18">
        <f>SUMIFS(Peak_Hour[Achievable Peak Hour therm 2045], Peak_Hour[[Sector]:[Sector]], $B76, Peak_Hour[[Cost-Effective]:[Cost-Effective]], 1)</f>
        <v>316.97819151457128</v>
      </c>
      <c r="W76" s="18">
        <f>SUMIFS(Peak_Hour[Achievable Peak Hour therm 2046], Peak_Hour[[Sector]:[Sector]], $B76, Peak_Hour[[Cost-Effective]:[Cost-Effective]], 1)</f>
        <v>312.62659148177875</v>
      </c>
      <c r="X76" s="18">
        <f>SUMIFS(Peak_Hour[Achievable Peak Hour therm 2047], Peak_Hour[[Sector]:[Sector]], $B76, Peak_Hour[[Cost-Effective]:[Cost-Effective]], 1)</f>
        <v>309.5616370425534</v>
      </c>
      <c r="Y76" s="18">
        <f>SUMIFS(Peak_Hour[Achievable Peak Hour therm 2048], Peak_Hour[[Sector]:[Sector]], $B76, Peak_Hour[[Cost-Effective]:[Cost-Effective]], 1)</f>
        <v>306.16232318157586</v>
      </c>
      <c r="Z76" s="18">
        <f>SUMIFS(Peak_Hour[Achievable Peak Hour therm 2049], Peak_Hour[[Sector]:[Sector]], $B76, Peak_Hour[[Cost-Effective]:[Cost-Effective]], 1)</f>
        <v>302.04271286266129</v>
      </c>
      <c r="AA76" s="18">
        <f>SUMIFS(Peak_Hour[Achievable Peak Hour therm 2050], Peak_Hour[[Sector]:[Sector]], $B76, Peak_Hour[[Cost-Effective]:[Cost-Effective]], 1)</f>
        <v>249.96816985034368</v>
      </c>
    </row>
    <row r="77" spans="2:27" x14ac:dyDescent="0.2">
      <c r="B77" s="16" t="s">
        <v>43</v>
      </c>
      <c r="C77" s="17">
        <f>SUMIFS(Peak_Hour[Achievable Peak Hour therm 2026], Peak_Hour[[Sector]:[Sector]], $B$57, Peak_Hour[[End Use]:[End Use]], $B77, Peak_Hour[[Cost-Effective]:[Cost-Effective]], 1)</f>
        <v>4.8581229659149525E-4</v>
      </c>
      <c r="D77" s="17">
        <f>SUMIFS(Peak_Hour[Achievable Peak Hour therm 2027], Peak_Hour[[Sector]:[Sector]], $B$57, Peak_Hour[[End Use]:[End Use]], $B77, Peak_Hour[[Cost-Effective]:[Cost-Effective]], 1)</f>
        <v>5.9730792048616173E-4</v>
      </c>
      <c r="E77" s="17">
        <f>SUMIFS(Peak_Hour[Achievable Peak Hour therm 2028], Peak_Hour[[Sector]:[Sector]], $B$57, Peak_Hour[[End Use]:[End Use]], $B77, Peak_Hour[[Cost-Effective]:[Cost-Effective]], 1)</f>
        <v>1.3488597125006216E-3</v>
      </c>
      <c r="F77" s="17">
        <f>SUMIFS(Peak_Hour[Achievable Peak Hour therm 2029], Peak_Hour[[Sector]:[Sector]], $B$57, Peak_Hour[[End Use]:[End Use]], $B77, Peak_Hour[[Cost-Effective]:[Cost-Effective]], 1)</f>
        <v>2.5439245792008638E-3</v>
      </c>
      <c r="G77" s="17">
        <f>SUMIFS(Peak_Hour[Achievable Peak Hour therm 2030], Peak_Hour[[Sector]:[Sector]], $B$57, Peak_Hour[[End Use]:[End Use]], $B77, Peak_Hour[[Cost-Effective]:[Cost-Effective]], 1)</f>
        <v>4.3325843410113264E-3</v>
      </c>
      <c r="H77" s="17">
        <f>SUMIFS(Peak_Hour[Achievable Peak Hour therm 2031], Peak_Hour[[Sector]:[Sector]], $B$57, Peak_Hour[[End Use]:[End Use]], $B77, Peak_Hour[[Cost-Effective]:[Cost-Effective]], 1)</f>
        <v>6.8617373294595739E-3</v>
      </c>
      <c r="I77" s="17">
        <f>SUMIFS(Peak_Hour[Achievable Peak Hour therm 2032], Peak_Hour[[Sector]:[Sector]], $B$57, Peak_Hour[[End Use]:[End Use]], $B77, Peak_Hour[[Cost-Effective]:[Cost-Effective]], 1)</f>
        <v>1.0243750273502028E-2</v>
      </c>
      <c r="J77" s="17">
        <f>SUMIFS(Peak_Hour[Achievable Peak Hour therm 2033], Peak_Hour[[Sector]:[Sector]], $B$57, Peak_Hour[[End Use]:[End Use]], $B77, Peak_Hour[[Cost-Effective]:[Cost-Effective]], 1)</f>
        <v>1.4577715020662739E-2</v>
      </c>
      <c r="K77" s="17">
        <f>SUMIFS(Peak_Hour[Achievable Peak Hour therm 2034], Peak_Hour[[Sector]:[Sector]], $B$57, Peak_Hour[[End Use]:[End Use]], $B77, Peak_Hour[[Cost-Effective]:[Cost-Effective]], 1)</f>
        <v>1.9864809473612077E-2</v>
      </c>
      <c r="L77" s="17">
        <f>SUMIFS(Peak_Hour[Achievable Peak Hour therm 2035], Peak_Hour[[Sector]:[Sector]], $B$57, Peak_Hour[[End Use]:[End Use]], $B77, Peak_Hour[[Cost-Effective]:[Cost-Effective]], 1)</f>
        <v>2.6002283113983893E-2</v>
      </c>
      <c r="M77" s="17">
        <f>SUMIFS(Peak_Hour[Achievable Peak Hour therm 2036], Peak_Hour[[Sector]:[Sector]], $B$57, Peak_Hour[[End Use]:[End Use]], $B77, Peak_Hour[[Cost-Effective]:[Cost-Effective]], 1)</f>
        <v>3.2772242482229826E-2</v>
      </c>
      <c r="N77" s="17">
        <f>SUMIFS(Peak_Hour[Achievable Peak Hour therm 2037], Peak_Hour[[Sector]:[Sector]], $B$57, Peak_Hour[[End Use]:[End Use]], $B77, Peak_Hour[[Cost-Effective]:[Cost-Effective]], 1)</f>
        <v>3.983572708100358E-2</v>
      </c>
      <c r="O77" s="17">
        <f>SUMIFS(Peak_Hour[Achievable Peak Hour therm 2038], Peak_Hour[[Sector]:[Sector]], $B$57, Peak_Hour[[End Use]:[End Use]], $B77, Peak_Hour[[Cost-Effective]:[Cost-Effective]], 1)</f>
        <v>6.7506635876478066E-2</v>
      </c>
      <c r="P77" s="17">
        <f>SUMIFS(Peak_Hour[Achievable Peak Hour therm 2039], Peak_Hour[[Sector]:[Sector]], $B$57, Peak_Hour[[End Use]:[End Use]], $B77, Peak_Hour[[Cost-Effective]:[Cost-Effective]], 1)</f>
        <v>6.2887655712002666E-2</v>
      </c>
      <c r="Q77" s="17">
        <f>SUMIFS(Peak_Hour[Achievable Peak Hour therm 2040], Peak_Hour[[Sector]:[Sector]], $B$57, Peak_Hour[[End Use]:[End Use]], $B77, Peak_Hour[[Cost-Effective]:[Cost-Effective]], 1)</f>
        <v>7.1412951409700193E-2</v>
      </c>
      <c r="R77" s="17">
        <f>SUMIFS(Peak_Hour[Achievable Peak Hour therm 2041], Peak_Hour[[Sector]:[Sector]], $B$57, Peak_Hour[[End Use]:[End Use]], $B77, Peak_Hour[[Cost-Effective]:[Cost-Effective]], 1)</f>
        <v>7.6608953241833574E-2</v>
      </c>
      <c r="S77" s="17">
        <f>SUMIFS(Peak_Hour[Achievable Peak Hour therm 2042], Peak_Hour[[Sector]:[Sector]], $B$57, Peak_Hour[[End Use]:[End Use]], $B77, Peak_Hour[[Cost-Effective]:[Cost-Effective]], 1)</f>
        <v>7.9604567011280686E-2</v>
      </c>
      <c r="T77" s="17">
        <f>SUMIFS(Peak_Hour[Achievable Peak Hour therm 2043], Peak_Hour[[Sector]:[Sector]], $B$57, Peak_Hour[[End Use]:[End Use]], $B77, Peak_Hour[[Cost-Effective]:[Cost-Effective]], 1)</f>
        <v>8.1007922746316838E-2</v>
      </c>
      <c r="U77" s="17">
        <f>SUMIFS(Peak_Hour[Achievable Peak Hour therm 2044], Peak_Hour[[Sector]:[Sector]], $B$57, Peak_Hour[[End Use]:[End Use]], $B77, Peak_Hour[[Cost-Effective]:[Cost-Effective]], 1)</f>
        <v>8.0591171710224618E-2</v>
      </c>
      <c r="V77" s="17">
        <f>SUMIFS(Peak_Hour[Achievable Peak Hour therm 2045], Peak_Hour[[Sector]:[Sector]], $B$57, Peak_Hour[[End Use]:[End Use]], $B77, Peak_Hour[[Cost-Effective]:[Cost-Effective]], 1)</f>
        <v>7.9675099183408718E-2</v>
      </c>
      <c r="W77" s="17">
        <f>SUMIFS(Peak_Hour[Achievable Peak Hour therm 2046], Peak_Hour[[Sector]:[Sector]], $B$57, Peak_Hour[[End Use]:[End Use]], $B77, Peak_Hour[[Cost-Effective]:[Cost-Effective]], 1)</f>
        <v>7.7632024012007167E-2</v>
      </c>
      <c r="X77" s="17">
        <f>SUMIFS(Peak_Hour[Achievable Peak Hour therm 2047], Peak_Hour[[Sector]:[Sector]], $B$57, Peak_Hour[[End Use]:[End Use]], $B77, Peak_Hour[[Cost-Effective]:[Cost-Effective]], 1)</f>
        <v>7.5175379930749658E-2</v>
      </c>
      <c r="Y77" s="17">
        <f>SUMIFS(Peak_Hour[Achievable Peak Hour therm 2048], Peak_Hour[[Sector]:[Sector]], $B$57, Peak_Hour[[End Use]:[End Use]], $B77, Peak_Hour[[Cost-Effective]:[Cost-Effective]], 1)</f>
        <v>5.6954632448022305E-2</v>
      </c>
      <c r="Z77" s="17">
        <f>SUMIFS(Peak_Hour[Achievable Peak Hour therm 2049], Peak_Hour[[Sector]:[Sector]], $B$57, Peak_Hour[[End Use]:[End Use]], $B77, Peak_Hour[[Cost-Effective]:[Cost-Effective]], 1)</f>
        <v>9.0947294337776121E-3</v>
      </c>
      <c r="AA77" s="17">
        <f>SUMIFS(Peak_Hour[Achievable Peak Hour therm 2050], Peak_Hour[[Sector]:[Sector]], $B$57, Peak_Hour[[End Use]:[End Use]], $B77, Peak_Hour[[Cost-Effective]:[Cost-Effective]], 1)</f>
        <v>6.9833366461900153E-3</v>
      </c>
    </row>
    <row r="78" spans="2:27" x14ac:dyDescent="0.2">
      <c r="B78" s="16" t="s">
        <v>44</v>
      </c>
      <c r="C78" s="17">
        <f>SUMIFS(Peak_Hour[Achievable Peak Hour therm 2026], Peak_Hour[[Sector]:[Sector]], $B$57, Peak_Hour[[End Use]:[End Use]], $B78, Peak_Hour[[Cost-Effective]:[Cost-Effective]], 1)</f>
        <v>92.483177784958031</v>
      </c>
      <c r="D78" s="17">
        <f>SUMIFS(Peak_Hour[Achievable Peak Hour therm 2027], Peak_Hour[[Sector]:[Sector]], $B$57, Peak_Hour[[End Use]:[End Use]], $B78, Peak_Hour[[Cost-Effective]:[Cost-Effective]], 1)</f>
        <v>129.19556446604813</v>
      </c>
      <c r="E78" s="17">
        <f>SUMIFS(Peak_Hour[Achievable Peak Hour therm 2028], Peak_Hour[[Sector]:[Sector]], $B$57, Peak_Hour[[End Use]:[End Use]], $B78, Peak_Hour[[Cost-Effective]:[Cost-Effective]], 1)</f>
        <v>182.59284756914857</v>
      </c>
      <c r="F78" s="17">
        <f>SUMIFS(Peak_Hour[Achievable Peak Hour therm 2029], Peak_Hour[[Sector]:[Sector]], $B$57, Peak_Hour[[End Use]:[End Use]], $B78, Peak_Hour[[Cost-Effective]:[Cost-Effective]], 1)</f>
        <v>245.58851950728169</v>
      </c>
      <c r="G78" s="17">
        <f>SUMIFS(Peak_Hour[Achievable Peak Hour therm 2030], Peak_Hour[[Sector]:[Sector]], $B$57, Peak_Hour[[End Use]:[End Use]], $B78, Peak_Hour[[Cost-Effective]:[Cost-Effective]], 1)</f>
        <v>322.44519638233112</v>
      </c>
      <c r="H78" s="17">
        <f>SUMIFS(Peak_Hour[Achievable Peak Hour therm 2031], Peak_Hour[[Sector]:[Sector]], $B$57, Peak_Hour[[End Use]:[End Use]], $B78, Peak_Hour[[Cost-Effective]:[Cost-Effective]], 1)</f>
        <v>412.19167440119952</v>
      </c>
      <c r="I78" s="17">
        <f>SUMIFS(Peak_Hour[Achievable Peak Hour therm 2032], Peak_Hour[[Sector]:[Sector]], $B$57, Peak_Hour[[End Use]:[End Use]], $B78, Peak_Hour[[Cost-Effective]:[Cost-Effective]], 1)</f>
        <v>511.49197690490911</v>
      </c>
      <c r="J78" s="17">
        <f>SUMIFS(Peak_Hour[Achievable Peak Hour therm 2033], Peak_Hour[[Sector]:[Sector]], $B$57, Peak_Hour[[End Use]:[End Use]], $B78, Peak_Hour[[Cost-Effective]:[Cost-Effective]], 1)</f>
        <v>614.29672977966902</v>
      </c>
      <c r="K78" s="17">
        <f>SUMIFS(Peak_Hour[Achievable Peak Hour therm 2034], Peak_Hour[[Sector]:[Sector]], $B$57, Peak_Hour[[End Use]:[End Use]], $B78, Peak_Hour[[Cost-Effective]:[Cost-Effective]], 1)</f>
        <v>711.82974058357956</v>
      </c>
      <c r="L78" s="17">
        <f>SUMIFS(Peak_Hour[Achievable Peak Hour therm 2035], Peak_Hour[[Sector]:[Sector]], $B$57, Peak_Hour[[End Use]:[End Use]], $B78, Peak_Hour[[Cost-Effective]:[Cost-Effective]], 1)</f>
        <v>793.26116039192937</v>
      </c>
      <c r="M78" s="17">
        <f>SUMIFS(Peak_Hour[Achievable Peak Hour therm 2036], Peak_Hour[[Sector]:[Sector]], $B$57, Peak_Hour[[End Use]:[End Use]], $B78, Peak_Hour[[Cost-Effective]:[Cost-Effective]], 1)</f>
        <v>847.79359432787533</v>
      </c>
      <c r="N78" s="17">
        <f>SUMIFS(Peak_Hour[Achievable Peak Hour therm 2037], Peak_Hour[[Sector]:[Sector]], $B$57, Peak_Hour[[End Use]:[End Use]], $B78, Peak_Hour[[Cost-Effective]:[Cost-Effective]], 1)</f>
        <v>866.79963700610858</v>
      </c>
      <c r="O78" s="17">
        <f>SUMIFS(Peak_Hour[Achievable Peak Hour therm 2038], Peak_Hour[[Sector]:[Sector]], $B$57, Peak_Hour[[End Use]:[End Use]], $B78, Peak_Hour[[Cost-Effective]:[Cost-Effective]], 1)</f>
        <v>846.37263869673063</v>
      </c>
      <c r="P78" s="17">
        <f>SUMIFS(Peak_Hour[Achievable Peak Hour therm 2039], Peak_Hour[[Sector]:[Sector]], $B$57, Peak_Hour[[End Use]:[End Use]], $B78, Peak_Hour[[Cost-Effective]:[Cost-Effective]], 1)</f>
        <v>792.52120711742407</v>
      </c>
      <c r="Q78" s="17">
        <f>SUMIFS(Peak_Hour[Achievable Peak Hour therm 2040], Peak_Hour[[Sector]:[Sector]], $B$57, Peak_Hour[[End Use]:[End Use]], $B78, Peak_Hour[[Cost-Effective]:[Cost-Effective]], 1)</f>
        <v>710.47659578927255</v>
      </c>
      <c r="R78" s="17">
        <f>SUMIFS(Peak_Hour[Achievable Peak Hour therm 2041], Peak_Hour[[Sector]:[Sector]], $B$57, Peak_Hour[[End Use]:[End Use]], $B78, Peak_Hour[[Cost-Effective]:[Cost-Effective]], 1)</f>
        <v>615.1007178325325</v>
      </c>
      <c r="S78" s="17">
        <f>SUMIFS(Peak_Hour[Achievable Peak Hour therm 2042], Peak_Hour[[Sector]:[Sector]], $B$57, Peak_Hour[[End Use]:[End Use]], $B78, Peak_Hour[[Cost-Effective]:[Cost-Effective]], 1)</f>
        <v>476.03227438745358</v>
      </c>
      <c r="T78" s="17">
        <f>SUMIFS(Peak_Hour[Achievable Peak Hour therm 2043], Peak_Hour[[Sector]:[Sector]], $B$57, Peak_Hour[[End Use]:[End Use]], $B78, Peak_Hour[[Cost-Effective]:[Cost-Effective]], 1)</f>
        <v>408.16437501155036</v>
      </c>
      <c r="U78" s="17">
        <f>SUMIFS(Peak_Hour[Achievable Peak Hour therm 2044], Peak_Hour[[Sector]:[Sector]], $B$57, Peak_Hour[[End Use]:[End Use]], $B78, Peak_Hour[[Cost-Effective]:[Cost-Effective]], 1)</f>
        <v>292.46866444422324</v>
      </c>
      <c r="V78" s="17">
        <f>SUMIFS(Peak_Hour[Achievable Peak Hour therm 2045], Peak_Hour[[Sector]:[Sector]], $B$57, Peak_Hour[[End Use]:[End Use]], $B78, Peak_Hour[[Cost-Effective]:[Cost-Effective]], 1)</f>
        <v>282.68019756697049</v>
      </c>
      <c r="W78" s="17">
        <f>SUMIFS(Peak_Hour[Achievable Peak Hour therm 2046], Peak_Hour[[Sector]:[Sector]], $B$57, Peak_Hour[[End Use]:[End Use]], $B78, Peak_Hour[[Cost-Effective]:[Cost-Effective]], 1)</f>
        <v>280.50545809691511</v>
      </c>
      <c r="X78" s="17">
        <f>SUMIFS(Peak_Hour[Achievable Peak Hour therm 2047], Peak_Hour[[Sector]:[Sector]], $B$57, Peak_Hour[[End Use]:[End Use]], $B78, Peak_Hour[[Cost-Effective]:[Cost-Effective]], 1)</f>
        <v>277.79765245138395</v>
      </c>
      <c r="Y78" s="17">
        <f>SUMIFS(Peak_Hour[Achievable Peak Hour therm 2048], Peak_Hour[[Sector]:[Sector]], $B$57, Peak_Hour[[End Use]:[End Use]], $B78, Peak_Hour[[Cost-Effective]:[Cost-Effective]], 1)</f>
        <v>274.82203720824521</v>
      </c>
      <c r="Z78" s="17">
        <f>SUMIFS(Peak_Hour[Achievable Peak Hour therm 2049], Peak_Hour[[Sector]:[Sector]], $B$57, Peak_Hour[[End Use]:[End Use]], $B78, Peak_Hour[[Cost-Effective]:[Cost-Effective]], 1)</f>
        <v>271.75368767610382</v>
      </c>
      <c r="AA78" s="17">
        <f>SUMIFS(Peak_Hour[Achievable Peak Hour therm 2050], Peak_Hour[[Sector]:[Sector]], $B$57, Peak_Hour[[End Use]:[End Use]], $B78, Peak_Hour[[Cost-Effective]:[Cost-Effective]], 1)</f>
        <v>222.24214289163547</v>
      </c>
    </row>
    <row r="79" spans="2:27" ht="15" x14ac:dyDescent="0.25">
      <c r="B79" s="8" t="s">
        <v>45</v>
      </c>
      <c r="C79" s="17">
        <f>SUMIFS(Peak_Hour[Achievable Peak Hour therm 2026], Peak_Hour[[Sector]:[Sector]], $B$57, Peak_Hour[[End Use]:[End Use]], $B79, Peak_Hour[[Cost-Effective]:[Cost-Effective]], 1)</f>
        <v>0.73834625331425774</v>
      </c>
      <c r="D79" s="17">
        <f>SUMIFS(Peak_Hour[Achievable Peak Hour therm 2027], Peak_Hour[[Sector]:[Sector]], $B$57, Peak_Hour[[End Use]:[End Use]], $B79, Peak_Hour[[Cost-Effective]:[Cost-Effective]], 1)</f>
        <v>1.4138525050269837</v>
      </c>
      <c r="E79" s="17">
        <f>SUMIFS(Peak_Hour[Achievable Peak Hour therm 2028], Peak_Hour[[Sector]:[Sector]], $B$57, Peak_Hour[[End Use]:[End Use]], $B79, Peak_Hour[[Cost-Effective]:[Cost-Effective]], 1)</f>
        <v>2.5075961438052432</v>
      </c>
      <c r="F79" s="17">
        <f>SUMIFS(Peak_Hour[Achievable Peak Hour therm 2029], Peak_Hour[[Sector]:[Sector]], $B$57, Peak_Hour[[End Use]:[End Use]], $B79, Peak_Hour[[Cost-Effective]:[Cost-Effective]], 1)</f>
        <v>4.0371975384597985</v>
      </c>
      <c r="G79" s="17">
        <f>SUMIFS(Peak_Hour[Achievable Peak Hour therm 2030], Peak_Hour[[Sector]:[Sector]], $B$57, Peak_Hour[[End Use]:[End Use]], $B79, Peak_Hour[[Cost-Effective]:[Cost-Effective]], 1)</f>
        <v>6.0983987279302285</v>
      </c>
      <c r="H79" s="17">
        <f>SUMIFS(Peak_Hour[Achievable Peak Hour therm 2031], Peak_Hour[[Sector]:[Sector]], $B$57, Peak_Hour[[End Use]:[End Use]], $B79, Peak_Hour[[Cost-Effective]:[Cost-Effective]], 1)</f>
        <v>8.7259934910683192</v>
      </c>
      <c r="I79" s="17">
        <f>SUMIFS(Peak_Hour[Achievable Peak Hour therm 2032], Peak_Hour[[Sector]:[Sector]], $B$57, Peak_Hour[[End Use]:[End Use]], $B79, Peak_Hour[[Cost-Effective]:[Cost-Effective]], 1)</f>
        <v>11.904314683097851</v>
      </c>
      <c r="J79" s="17">
        <f>SUMIFS(Peak_Hour[Achievable Peak Hour therm 2033], Peak_Hour[[Sector]:[Sector]], $B$57, Peak_Hour[[End Use]:[End Use]], $B79, Peak_Hour[[Cost-Effective]:[Cost-Effective]], 1)</f>
        <v>15.55509538054535</v>
      </c>
      <c r="K79" s="17">
        <f>SUMIFS(Peak_Hour[Achievable Peak Hour therm 2034], Peak_Hour[[Sector]:[Sector]], $B$57, Peak_Hour[[End Use]:[End Use]], $B79, Peak_Hour[[Cost-Effective]:[Cost-Effective]], 1)</f>
        <v>19.528392365080851</v>
      </c>
      <c r="L79" s="17">
        <f>SUMIFS(Peak_Hour[Achievable Peak Hour therm 2035], Peak_Hour[[Sector]:[Sector]], $B$57, Peak_Hour[[End Use]:[End Use]], $B79, Peak_Hour[[Cost-Effective]:[Cost-Effective]], 1)</f>
        <v>23.605080049339094</v>
      </c>
      <c r="M79" s="17">
        <f>SUMIFS(Peak_Hour[Achievable Peak Hour therm 2036], Peak_Hour[[Sector]:[Sector]], $B$57, Peak_Hour[[End Use]:[End Use]], $B79, Peak_Hour[[Cost-Effective]:[Cost-Effective]], 1)</f>
        <v>27.514663591301538</v>
      </c>
      <c r="N79" s="17">
        <f>SUMIFS(Peak_Hour[Achievable Peak Hour therm 2037], Peak_Hour[[Sector]:[Sector]], $B$57, Peak_Hour[[End Use]:[End Use]], $B79, Peak_Hour[[Cost-Effective]:[Cost-Effective]], 1)</f>
        <v>30.971543526115813</v>
      </c>
      <c r="O79" s="17">
        <f>SUMIFS(Peak_Hour[Achievable Peak Hour therm 2038], Peak_Hour[[Sector]:[Sector]], $B$57, Peak_Hour[[End Use]:[End Use]], $B79, Peak_Hour[[Cost-Effective]:[Cost-Effective]], 1)</f>
        <v>33.727235094899299</v>
      </c>
      <c r="P79" s="17">
        <f>SUMIFS(Peak_Hour[Achievable Peak Hour therm 2039], Peak_Hour[[Sector]:[Sector]], $B$57, Peak_Hour[[End Use]:[End Use]], $B79, Peak_Hour[[Cost-Effective]:[Cost-Effective]], 1)</f>
        <v>35.626264221219266</v>
      </c>
      <c r="Q79" s="17">
        <f>SUMIFS(Peak_Hour[Achievable Peak Hour therm 2040], Peak_Hour[[Sector]:[Sector]], $B$57, Peak_Hour[[End Use]:[End Use]], $B79, Peak_Hour[[Cost-Effective]:[Cost-Effective]], 1)</f>
        <v>36.646613212316971</v>
      </c>
      <c r="R79" s="17">
        <f>SUMIFS(Peak_Hour[Achievable Peak Hour therm 2041], Peak_Hour[[Sector]:[Sector]], $B$57, Peak_Hour[[End Use]:[End Use]], $B79, Peak_Hour[[Cost-Effective]:[Cost-Effective]], 1)</f>
        <v>37.191188450441011</v>
      </c>
      <c r="S79" s="17">
        <f>SUMIFS(Peak_Hour[Achievable Peak Hour therm 2042], Peak_Hour[[Sector]:[Sector]], $B$57, Peak_Hour[[End Use]:[End Use]], $B79, Peak_Hour[[Cost-Effective]:[Cost-Effective]], 1)</f>
        <v>36.946206813607823</v>
      </c>
      <c r="T79" s="17">
        <f>SUMIFS(Peak_Hour[Achievable Peak Hour therm 2043], Peak_Hour[[Sector]:[Sector]], $B$57, Peak_Hour[[End Use]:[End Use]], $B79, Peak_Hour[[Cost-Effective]:[Cost-Effective]], 1)</f>
        <v>36.52376218955289</v>
      </c>
      <c r="U79" s="17">
        <f>SUMIFS(Peak_Hour[Achievable Peak Hour therm 2044], Peak_Hour[[Sector]:[Sector]], $B$57, Peak_Hour[[End Use]:[End Use]], $B79, Peak_Hour[[Cost-Effective]:[Cost-Effective]], 1)</f>
        <v>34.770896377953044</v>
      </c>
      <c r="V79" s="17">
        <f>SUMIFS(Peak_Hour[Achievable Peak Hour therm 2045], Peak_Hour[[Sector]:[Sector]], $B$57, Peak_Hour[[End Use]:[End Use]], $B79, Peak_Hour[[Cost-Effective]:[Cost-Effective]], 1)</f>
        <v>33.280512794005112</v>
      </c>
      <c r="W79" s="17">
        <f>SUMIFS(Peak_Hour[Achievable Peak Hour therm 2046], Peak_Hour[[Sector]:[Sector]], $B$57, Peak_Hour[[End Use]:[End Use]], $B79, Peak_Hour[[Cost-Effective]:[Cost-Effective]], 1)</f>
        <v>31.204321328579795</v>
      </c>
      <c r="X79" s="17">
        <f>SUMIFS(Peak_Hour[Achievable Peak Hour therm 2047], Peak_Hour[[Sector]:[Sector]], $B$57, Peak_Hour[[End Use]:[End Use]], $B79, Peak_Hour[[Cost-Effective]:[Cost-Effective]], 1)</f>
        <v>30.952281865216293</v>
      </c>
      <c r="Y79" s="17">
        <f>SUMIFS(Peak_Hour[Achievable Peak Hour therm 2048], Peak_Hour[[Sector]:[Sector]], $B$57, Peak_Hour[[End Use]:[End Use]], $B79, Peak_Hour[[Cost-Effective]:[Cost-Effective]], 1)</f>
        <v>30.649684288230084</v>
      </c>
      <c r="Z79" s="17">
        <f>SUMIFS(Peak_Hour[Achievable Peak Hour therm 2049], Peak_Hour[[Sector]:[Sector]], $B$57, Peak_Hour[[End Use]:[End Use]], $B79, Peak_Hour[[Cost-Effective]:[Cost-Effective]], 1)</f>
        <v>29.749354147004802</v>
      </c>
      <c r="AA79" s="17">
        <f>SUMIFS(Peak_Hour[Achievable Peak Hour therm 2050], Peak_Hour[[Sector]:[Sector]], $B$57, Peak_Hour[[End Use]:[End Use]], $B79, Peak_Hour[[Cost-Effective]:[Cost-Effective]], 1)</f>
        <v>27.291685015084575</v>
      </c>
    </row>
    <row r="80" spans="2:27" x14ac:dyDescent="0.2">
      <c r="B80" s="16" t="s">
        <v>46</v>
      </c>
      <c r="C80" s="17">
        <f>SUMIFS(Peak_Hour[Achievable Peak Hour therm 2026], Peak_Hour[[Sector]:[Sector]], $B$57, Peak_Hour[[End Use]:[End Use]], $B80, Peak_Hour[[Cost-Effective]:[Cost-Effective]], 1)</f>
        <v>2.1681420988661615</v>
      </c>
      <c r="D80" s="17">
        <f>SUMIFS(Peak_Hour[Achievable Peak Hour therm 2027], Peak_Hour[[Sector]:[Sector]], $B$57, Peak_Hour[[End Use]:[End Use]], $B80, Peak_Hour[[Cost-Effective]:[Cost-Effective]], 1)</f>
        <v>3.9157231476446777</v>
      </c>
      <c r="E80" s="17">
        <f>SUMIFS(Peak_Hour[Achievable Peak Hour therm 2028], Peak_Hour[[Sector]:[Sector]], $B$57, Peak_Hour[[End Use]:[End Use]], $B80, Peak_Hour[[Cost-Effective]:[Cost-Effective]], 1)</f>
        <v>6.1997338561502255</v>
      </c>
      <c r="F80" s="17">
        <f>SUMIFS(Peak_Hour[Achievable Peak Hour therm 2029], Peak_Hour[[Sector]:[Sector]], $B$57, Peak_Hour[[End Use]:[End Use]], $B80, Peak_Hour[[Cost-Effective]:[Cost-Effective]], 1)</f>
        <v>8.8535840835259414</v>
      </c>
      <c r="G80" s="17">
        <f>SUMIFS(Peak_Hour[Achievable Peak Hour therm 2030], Peak_Hour[[Sector]:[Sector]], $B$57, Peak_Hour[[End Use]:[End Use]], $B80, Peak_Hour[[Cost-Effective]:[Cost-Effective]], 1)</f>
        <v>11.493193587424615</v>
      </c>
      <c r="H80" s="17">
        <f>SUMIFS(Peak_Hour[Achievable Peak Hour therm 2031], Peak_Hour[[Sector]:[Sector]], $B$57, Peak_Hour[[End Use]:[End Use]], $B80, Peak_Hour[[Cost-Effective]:[Cost-Effective]], 1)</f>
        <v>13.672250642843149</v>
      </c>
      <c r="I80" s="17">
        <f>SUMIFS(Peak_Hour[Achievable Peak Hour therm 2032], Peak_Hour[[Sector]:[Sector]], $B$57, Peak_Hour[[End Use]:[End Use]], $B80, Peak_Hour[[Cost-Effective]:[Cost-Effective]], 1)</f>
        <v>15.010472504132807</v>
      </c>
      <c r="J80" s="17">
        <f>SUMIFS(Peak_Hour[Achievable Peak Hour therm 2033], Peak_Hour[[Sector]:[Sector]], $B$57, Peak_Hour[[End Use]:[End Use]], $B80, Peak_Hour[[Cost-Effective]:[Cost-Effective]], 1)</f>
        <v>15.310170764481063</v>
      </c>
      <c r="K80" s="17">
        <f>SUMIFS(Peak_Hour[Achievable Peak Hour therm 2034], Peak_Hour[[Sector]:[Sector]], $B$57, Peak_Hour[[End Use]:[End Use]], $B80, Peak_Hour[[Cost-Effective]:[Cost-Effective]], 1)</f>
        <v>14.597587703940459</v>
      </c>
      <c r="L80" s="17">
        <f>SUMIFS(Peak_Hour[Achievable Peak Hour therm 2035], Peak_Hour[[Sector]:[Sector]], $B$57, Peak_Hour[[End Use]:[End Use]], $B80, Peak_Hour[[Cost-Effective]:[Cost-Effective]], 1)</f>
        <v>13.089985290064464</v>
      </c>
      <c r="M80" s="17">
        <f>SUMIFS(Peak_Hour[Achievable Peak Hour therm 2036], Peak_Hour[[Sector]:[Sector]], $B$57, Peak_Hour[[End Use]:[End Use]], $B80, Peak_Hour[[Cost-Effective]:[Cost-Effective]], 1)</f>
        <v>11.111887918364623</v>
      </c>
      <c r="N80" s="17">
        <f>SUMIFS(Peak_Hour[Achievable Peak Hour therm 2037], Peak_Hour[[Sector]:[Sector]], $B$57, Peak_Hour[[End Use]:[End Use]], $B80, Peak_Hour[[Cost-Effective]:[Cost-Effective]], 1)</f>
        <v>8.9959326353973523</v>
      </c>
      <c r="O80" s="17">
        <f>SUMIFS(Peak_Hour[Achievable Peak Hour therm 2038], Peak_Hour[[Sector]:[Sector]], $B$57, Peak_Hour[[End Use]:[End Use]], $B80, Peak_Hour[[Cost-Effective]:[Cost-Effective]], 1)</f>
        <v>7.0075130936681251</v>
      </c>
      <c r="P80" s="17">
        <f>SUMIFS(Peak_Hour[Achievable Peak Hour therm 2039], Peak_Hour[[Sector]:[Sector]], $B$57, Peak_Hour[[End Use]:[End Use]], $B80, Peak_Hour[[Cost-Effective]:[Cost-Effective]], 1)</f>
        <v>5.3091644064178984</v>
      </c>
      <c r="Q80" s="17">
        <f>SUMIFS(Peak_Hour[Achievable Peak Hour therm 2040], Peak_Hour[[Sector]:[Sector]], $B$57, Peak_Hour[[End Use]:[End Use]], $B80, Peak_Hour[[Cost-Effective]:[Cost-Effective]], 1)</f>
        <v>1.9532073002277843</v>
      </c>
      <c r="R80" s="17">
        <f>SUMIFS(Peak_Hour[Achievable Peak Hour therm 2041], Peak_Hour[[Sector]:[Sector]], $B$57, Peak_Hour[[End Use]:[End Use]], $B80, Peak_Hour[[Cost-Effective]:[Cost-Effective]], 1)</f>
        <v>1.4951759449072828</v>
      </c>
      <c r="S80" s="17">
        <f>SUMIFS(Peak_Hour[Achievable Peak Hour therm 2042], Peak_Hour[[Sector]:[Sector]], $B$57, Peak_Hour[[End Use]:[End Use]], $B80, Peak_Hour[[Cost-Effective]:[Cost-Effective]], 1)</f>
        <v>1.346151914041626</v>
      </c>
      <c r="T80" s="17">
        <f>SUMIFS(Peak_Hour[Achievable Peak Hour therm 2043], Peak_Hour[[Sector]:[Sector]], $B$57, Peak_Hour[[End Use]:[End Use]], $B80, Peak_Hour[[Cost-Effective]:[Cost-Effective]], 1)</f>
        <v>1.2320461151478534</v>
      </c>
      <c r="U80" s="17">
        <f>SUMIFS(Peak_Hour[Achievable Peak Hour therm 2044], Peak_Hour[[Sector]:[Sector]], $B$57, Peak_Hour[[End Use]:[End Use]], $B80, Peak_Hour[[Cost-Effective]:[Cost-Effective]], 1)</f>
        <v>1.0228010581675457</v>
      </c>
      <c r="V80" s="17">
        <f>SUMIFS(Peak_Hour[Achievable Peak Hour therm 2045], Peak_Hour[[Sector]:[Sector]], $B$57, Peak_Hour[[End Use]:[End Use]], $B80, Peak_Hour[[Cost-Effective]:[Cost-Effective]], 1)</f>
        <v>0.93780605441237364</v>
      </c>
      <c r="W80" s="17">
        <f>SUMIFS(Peak_Hour[Achievable Peak Hour therm 2046], Peak_Hour[[Sector]:[Sector]], $B$57, Peak_Hour[[End Use]:[End Use]], $B80, Peak_Hour[[Cost-Effective]:[Cost-Effective]], 1)</f>
        <v>0.83918003227181448</v>
      </c>
      <c r="X80" s="17">
        <f>SUMIFS(Peak_Hour[Achievable Peak Hour therm 2047], Peak_Hour[[Sector]:[Sector]], $B$57, Peak_Hour[[End Use]:[End Use]], $B80, Peak_Hour[[Cost-Effective]:[Cost-Effective]], 1)</f>
        <v>0.73652734602241088</v>
      </c>
      <c r="Y80" s="17">
        <f>SUMIFS(Peak_Hour[Achievable Peak Hour therm 2048], Peak_Hour[[Sector]:[Sector]], $B$57, Peak_Hour[[End Use]:[End Use]], $B80, Peak_Hour[[Cost-Effective]:[Cost-Effective]], 1)</f>
        <v>0.63364705265250743</v>
      </c>
      <c r="Z80" s="17">
        <f>SUMIFS(Peak_Hour[Achievable Peak Hour therm 2049], Peak_Hour[[Sector]:[Sector]], $B$57, Peak_Hour[[End Use]:[End Use]], $B80, Peak_Hour[[Cost-Effective]:[Cost-Effective]], 1)</f>
        <v>0.53057631011881301</v>
      </c>
      <c r="AA80" s="17">
        <f>SUMIFS(Peak_Hour[Achievable Peak Hour therm 2050], Peak_Hour[[Sector]:[Sector]], $B$57, Peak_Hour[[End Use]:[End Use]], $B80, Peak_Hour[[Cost-Effective]:[Cost-Effective]], 1)</f>
        <v>0.42735860697742989</v>
      </c>
    </row>
    <row r="81" spans="2:27" x14ac:dyDescent="0.2">
      <c r="B81" s="9" t="s">
        <v>31</v>
      </c>
      <c r="C81" s="18">
        <f>SUMIFS(Peak_Hour[Achievable Peak Hour therm 2026], Peak_Hour[[Sector]:[Sector]], $B81, Peak_Hour[[Cost-Effective]:[Cost-Effective]], 1)</f>
        <v>196.28936569342292</v>
      </c>
      <c r="D81" s="18">
        <f>SUMIFS(Peak_Hour[Achievable Peak Hour therm 2027], Peak_Hour[[Sector]:[Sector]], $B81, Peak_Hour[[Cost-Effective]:[Cost-Effective]], 1)</f>
        <v>200.63765504726342</v>
      </c>
      <c r="E81" s="18">
        <f>SUMIFS(Peak_Hour[Achievable Peak Hour therm 2028], Peak_Hour[[Sector]:[Sector]], $B81, Peak_Hour[[Cost-Effective]:[Cost-Effective]], 1)</f>
        <v>217.94620489216285</v>
      </c>
      <c r="F81" s="18">
        <f>SUMIFS(Peak_Hour[Achievable Peak Hour therm 2029], Peak_Hour[[Sector]:[Sector]], $B81, Peak_Hour[[Cost-Effective]:[Cost-Effective]], 1)</f>
        <v>245.02990848312197</v>
      </c>
      <c r="G81" s="18">
        <f>SUMIFS(Peak_Hour[Achievable Peak Hour therm 2030], Peak_Hour[[Sector]:[Sector]], $B81, Peak_Hour[[Cost-Effective]:[Cost-Effective]], 1)</f>
        <v>272.96871493057466</v>
      </c>
      <c r="H81" s="18">
        <f>SUMIFS(Peak_Hour[Achievable Peak Hour therm 2031], Peak_Hour[[Sector]:[Sector]], $B81, Peak_Hour[[Cost-Effective]:[Cost-Effective]], 1)</f>
        <v>301.5095975821115</v>
      </c>
      <c r="I81" s="18">
        <f>SUMIFS(Peak_Hour[Achievable Peak Hour therm 2032], Peak_Hour[[Sector]:[Sector]], $B81, Peak_Hour[[Cost-Effective]:[Cost-Effective]], 1)</f>
        <v>318.62421519891609</v>
      </c>
      <c r="J81" s="18">
        <f>SUMIFS(Peak_Hour[Achievable Peak Hour therm 2033], Peak_Hour[[Sector]:[Sector]], $B81, Peak_Hour[[Cost-Effective]:[Cost-Effective]], 1)</f>
        <v>322.6698091978397</v>
      </c>
      <c r="K81" s="18">
        <f>SUMIFS(Peak_Hour[Achievable Peak Hour therm 2034], Peak_Hour[[Sector]:[Sector]], $B81, Peak_Hour[[Cost-Effective]:[Cost-Effective]], 1)</f>
        <v>302.17922608195289</v>
      </c>
      <c r="L81" s="18">
        <f>SUMIFS(Peak_Hour[Achievable Peak Hour therm 2035], Peak_Hour[[Sector]:[Sector]], $B81, Peak_Hour[[Cost-Effective]:[Cost-Effective]], 1)</f>
        <v>264.78559374359486</v>
      </c>
      <c r="M81" s="18">
        <f>SUMIFS(Peak_Hour[Achievable Peak Hour therm 2036], Peak_Hour[[Sector]:[Sector]], $B81, Peak_Hour[[Cost-Effective]:[Cost-Effective]], 1)</f>
        <v>245.08916528982149</v>
      </c>
      <c r="N81" s="18">
        <f>SUMIFS(Peak_Hour[Achievable Peak Hour therm 2037], Peak_Hour[[Sector]:[Sector]], $B81, Peak_Hour[[Cost-Effective]:[Cost-Effective]], 1)</f>
        <v>255.20868010011313</v>
      </c>
      <c r="O81" s="18">
        <f>SUMIFS(Peak_Hour[Achievable Peak Hour therm 2038], Peak_Hour[[Sector]:[Sector]], $B81, Peak_Hour[[Cost-Effective]:[Cost-Effective]], 1)</f>
        <v>262.25158659325263</v>
      </c>
      <c r="P81" s="18">
        <f>SUMIFS(Peak_Hour[Achievable Peak Hour therm 2039], Peak_Hour[[Sector]:[Sector]], $B81, Peak_Hour[[Cost-Effective]:[Cost-Effective]], 1)</f>
        <v>259.04359490740603</v>
      </c>
      <c r="Q81" s="18">
        <f>SUMIFS(Peak_Hour[Achievable Peak Hour therm 2040], Peak_Hour[[Sector]:[Sector]], $B81, Peak_Hour[[Cost-Effective]:[Cost-Effective]], 1)</f>
        <v>244.59029554589176</v>
      </c>
      <c r="R81" s="18">
        <f>SUMIFS(Peak_Hour[Achievable Peak Hour therm 2041], Peak_Hour[[Sector]:[Sector]], $B81, Peak_Hour[[Cost-Effective]:[Cost-Effective]], 1)</f>
        <v>217.51962117202606</v>
      </c>
      <c r="S81" s="18">
        <f>SUMIFS(Peak_Hour[Achievable Peak Hour therm 2042], Peak_Hour[[Sector]:[Sector]], $B81, Peak_Hour[[Cost-Effective]:[Cost-Effective]], 1)</f>
        <v>193.33690261858516</v>
      </c>
      <c r="T81" s="18">
        <f>SUMIFS(Peak_Hour[Achievable Peak Hour therm 2043], Peak_Hour[[Sector]:[Sector]], $B81, Peak_Hour[[Cost-Effective]:[Cost-Effective]], 1)</f>
        <v>172.12634362964249</v>
      </c>
      <c r="U81" s="18">
        <f>SUMIFS(Peak_Hour[Achievable Peak Hour therm 2044], Peak_Hour[[Sector]:[Sector]], $B81, Peak_Hour[[Cost-Effective]:[Cost-Effective]], 1)</f>
        <v>132.99168357422488</v>
      </c>
      <c r="V81" s="18">
        <f>SUMIFS(Peak_Hour[Achievable Peak Hour therm 2045], Peak_Hour[[Sector]:[Sector]], $B81, Peak_Hour[[Cost-Effective]:[Cost-Effective]], 1)</f>
        <v>126.49395375037574</v>
      </c>
      <c r="W81" s="18">
        <f>SUMIFS(Peak_Hour[Achievable Peak Hour therm 2046], Peak_Hour[[Sector]:[Sector]], $B81, Peak_Hour[[Cost-Effective]:[Cost-Effective]], 1)</f>
        <v>126.35118497937397</v>
      </c>
      <c r="X81" s="18">
        <f>SUMIFS(Peak_Hour[Achievable Peak Hour therm 2047], Peak_Hour[[Sector]:[Sector]], $B81, Peak_Hour[[Cost-Effective]:[Cost-Effective]], 1)</f>
        <v>122.78608379920929</v>
      </c>
      <c r="Y81" s="18">
        <f>SUMIFS(Peak_Hour[Achievable Peak Hour therm 2048], Peak_Hour[[Sector]:[Sector]], $B81, Peak_Hour[[Cost-Effective]:[Cost-Effective]], 1)</f>
        <v>112.41031623955647</v>
      </c>
      <c r="Z81" s="18">
        <f>SUMIFS(Peak_Hour[Achievable Peak Hour therm 2049], Peak_Hour[[Sector]:[Sector]], $B81, Peak_Hour[[Cost-Effective]:[Cost-Effective]], 1)</f>
        <v>106.98122753536283</v>
      </c>
      <c r="AA81" s="18">
        <f>SUMIFS(Peak_Hour[Achievable Peak Hour therm 2050], Peak_Hour[[Sector]:[Sector]], $B81, Peak_Hour[[Cost-Effective]:[Cost-Effective]], 1)</f>
        <v>62.96367197194823</v>
      </c>
    </row>
    <row r="82" spans="2:27" x14ac:dyDescent="0.2">
      <c r="B82" s="16" t="s">
        <v>43</v>
      </c>
      <c r="C82" s="17">
        <f>SUMIFS(Peak_Hour[Achievable Peak Hour therm 2026], Peak_Hour[[Sector]:[Sector]], $B$81, Peak_Hour[[End Use]:[End Use]], $B82, Peak_Hour[[Cost-Effective]:[Cost-Effective]], 1)</f>
        <v>1.3444283410763578</v>
      </c>
      <c r="D82" s="17">
        <f>SUMIFS(Peak_Hour[Achievable Peak Hour therm 2027], Peak_Hour[[Sector]:[Sector]], $B$81, Peak_Hour[[End Use]:[End Use]], $B82, Peak_Hour[[Cost-Effective]:[Cost-Effective]], 1)</f>
        <v>2.2731297138701407</v>
      </c>
      <c r="E82" s="17">
        <f>SUMIFS(Peak_Hour[Achievable Peak Hour therm 2028], Peak_Hour[[Sector]:[Sector]], $B$81, Peak_Hour[[End Use]:[End Use]], $B82, Peak_Hour[[Cost-Effective]:[Cost-Effective]], 1)</f>
        <v>3.6535442777812821</v>
      </c>
      <c r="F82" s="17">
        <f>SUMIFS(Peak_Hour[Achievable Peak Hour therm 2029], Peak_Hour[[Sector]:[Sector]], $B$81, Peak_Hour[[End Use]:[End Use]], $B82, Peak_Hour[[Cost-Effective]:[Cost-Effective]], 1)</f>
        <v>5.6071843244585278</v>
      </c>
      <c r="G82" s="17">
        <f>SUMIFS(Peak_Hour[Achievable Peak Hour therm 2030], Peak_Hour[[Sector]:[Sector]], $B$81, Peak_Hour[[End Use]:[End Use]], $B82, Peak_Hour[[Cost-Effective]:[Cost-Effective]], 1)</f>
        <v>8.0670863126064916</v>
      </c>
      <c r="H82" s="17">
        <f>SUMIFS(Peak_Hour[Achievable Peak Hour therm 2031], Peak_Hour[[Sector]:[Sector]], $B$81, Peak_Hour[[End Use]:[End Use]], $B82, Peak_Hour[[Cost-Effective]:[Cost-Effective]], 1)</f>
        <v>10.94463570332484</v>
      </c>
      <c r="I82" s="17">
        <f>SUMIFS(Peak_Hour[Achievable Peak Hour therm 2032], Peak_Hour[[Sector]:[Sector]], $B$81, Peak_Hour[[End Use]:[End Use]], $B82, Peak_Hour[[Cost-Effective]:[Cost-Effective]], 1)</f>
        <v>14.100687843830023</v>
      </c>
      <c r="J82" s="17">
        <f>SUMIFS(Peak_Hour[Achievable Peak Hour therm 2033], Peak_Hour[[Sector]:[Sector]], $B$81, Peak_Hour[[End Use]:[End Use]], $B82, Peak_Hour[[Cost-Effective]:[Cost-Effective]], 1)</f>
        <v>17.387781606533363</v>
      </c>
      <c r="K82" s="17">
        <f>SUMIFS(Peak_Hour[Achievable Peak Hour therm 2034], Peak_Hour[[Sector]:[Sector]], $B$81, Peak_Hour[[End Use]:[End Use]], $B82, Peak_Hour[[Cost-Effective]:[Cost-Effective]], 1)</f>
        <v>20.657567421694324</v>
      </c>
      <c r="L82" s="17">
        <f>SUMIFS(Peak_Hour[Achievable Peak Hour therm 2035], Peak_Hour[[Sector]:[Sector]], $B$81, Peak_Hour[[End Use]:[End Use]], $B82, Peak_Hour[[Cost-Effective]:[Cost-Effective]], 1)</f>
        <v>23.660139076089806</v>
      </c>
      <c r="M82" s="17">
        <f>SUMIFS(Peak_Hour[Achievable Peak Hour therm 2036], Peak_Hour[[Sector]:[Sector]], $B$81, Peak_Hour[[End Use]:[End Use]], $B82, Peak_Hour[[Cost-Effective]:[Cost-Effective]], 1)</f>
        <v>26.54011561625699</v>
      </c>
      <c r="N82" s="17">
        <f>SUMIFS(Peak_Hour[Achievable Peak Hour therm 2037], Peak_Hour[[Sector]:[Sector]], $B$81, Peak_Hour[[End Use]:[End Use]], $B82, Peak_Hour[[Cost-Effective]:[Cost-Effective]], 1)</f>
        <v>29.361293374446806</v>
      </c>
      <c r="O82" s="17">
        <f>SUMIFS(Peak_Hour[Achievable Peak Hour therm 2038], Peak_Hour[[Sector]:[Sector]], $B$81, Peak_Hour[[End Use]:[End Use]], $B82, Peak_Hour[[Cost-Effective]:[Cost-Effective]], 1)</f>
        <v>35.429993460601743</v>
      </c>
      <c r="P82" s="17">
        <f>SUMIFS(Peak_Hour[Achievable Peak Hour therm 2039], Peak_Hour[[Sector]:[Sector]], $B$81, Peak_Hour[[End Use]:[End Use]], $B82, Peak_Hour[[Cost-Effective]:[Cost-Effective]], 1)</f>
        <v>40.135402330269962</v>
      </c>
      <c r="Q82" s="17">
        <f>SUMIFS(Peak_Hour[Achievable Peak Hour therm 2040], Peak_Hour[[Sector]:[Sector]], $B$81, Peak_Hour[[End Use]:[End Use]], $B82, Peak_Hour[[Cost-Effective]:[Cost-Effective]], 1)</f>
        <v>41.887657913564993</v>
      </c>
      <c r="R82" s="17">
        <f>SUMIFS(Peak_Hour[Achievable Peak Hour therm 2041], Peak_Hour[[Sector]:[Sector]], $B$81, Peak_Hour[[End Use]:[End Use]], $B82, Peak_Hour[[Cost-Effective]:[Cost-Effective]], 1)</f>
        <v>43.025085249353609</v>
      </c>
      <c r="S82" s="17">
        <f>SUMIFS(Peak_Hour[Achievable Peak Hour therm 2042], Peak_Hour[[Sector]:[Sector]], $B$81, Peak_Hour[[End Use]:[End Use]], $B82, Peak_Hour[[Cost-Effective]:[Cost-Effective]], 1)</f>
        <v>43.57503797321467</v>
      </c>
      <c r="T82" s="17">
        <f>SUMIFS(Peak_Hour[Achievable Peak Hour therm 2043], Peak_Hour[[Sector]:[Sector]], $B$81, Peak_Hour[[End Use]:[End Use]], $B82, Peak_Hour[[Cost-Effective]:[Cost-Effective]], 1)</f>
        <v>40.244594081330796</v>
      </c>
      <c r="U82" s="17">
        <f>SUMIFS(Peak_Hour[Achievable Peak Hour therm 2044], Peak_Hour[[Sector]:[Sector]], $B$81, Peak_Hour[[End Use]:[End Use]], $B82, Peak_Hour[[Cost-Effective]:[Cost-Effective]], 1)</f>
        <v>27.835084792910578</v>
      </c>
      <c r="V82" s="17">
        <f>SUMIFS(Peak_Hour[Achievable Peak Hour therm 2045], Peak_Hour[[Sector]:[Sector]], $B$81, Peak_Hour[[End Use]:[End Use]], $B82, Peak_Hour[[Cost-Effective]:[Cost-Effective]], 1)</f>
        <v>25.171730318416369</v>
      </c>
      <c r="W82" s="17">
        <f>SUMIFS(Peak_Hour[Achievable Peak Hour therm 2046], Peak_Hour[[Sector]:[Sector]], $B$81, Peak_Hour[[End Use]:[End Use]], $B82, Peak_Hour[[Cost-Effective]:[Cost-Effective]], 1)</f>
        <v>24.491428447674892</v>
      </c>
      <c r="X82" s="17">
        <f>SUMIFS(Peak_Hour[Achievable Peak Hour therm 2047], Peak_Hour[[Sector]:[Sector]], $B$81, Peak_Hour[[End Use]:[End Use]], $B82, Peak_Hour[[Cost-Effective]:[Cost-Effective]], 1)</f>
        <v>23.721738341414152</v>
      </c>
      <c r="Y82" s="17">
        <f>SUMIFS(Peak_Hour[Achievable Peak Hour therm 2048], Peak_Hour[[Sector]:[Sector]], $B$81, Peak_Hour[[End Use]:[End Use]], $B82, Peak_Hour[[Cost-Effective]:[Cost-Effective]], 1)</f>
        <v>14.630223475597393</v>
      </c>
      <c r="Z82" s="17">
        <f>SUMIFS(Peak_Hour[Achievable Peak Hour therm 2049], Peak_Hour[[Sector]:[Sector]], $B$81, Peak_Hour[[End Use]:[End Use]], $B82, Peak_Hour[[Cost-Effective]:[Cost-Effective]], 1)</f>
        <v>10.597700037644776</v>
      </c>
      <c r="AA82" s="17">
        <f>SUMIFS(Peak_Hour[Achievable Peak Hour therm 2050], Peak_Hour[[Sector]:[Sector]], $B$81, Peak_Hour[[End Use]:[End Use]], $B82, Peak_Hour[[Cost-Effective]:[Cost-Effective]], 1)</f>
        <v>10.130852685377176</v>
      </c>
    </row>
    <row r="83" spans="2:27" x14ac:dyDescent="0.2">
      <c r="B83" s="16" t="s">
        <v>46</v>
      </c>
      <c r="C83" s="17">
        <f>SUMIFS(Peak_Hour[Achievable Peak Hour therm 2026], Peak_Hour[[Sector]:[Sector]], $B$81, Peak_Hour[[End Use]:[End Use]], $B83, Peak_Hour[[Cost-Effective]:[Cost-Effective]], 1)</f>
        <v>116.45551884008962</v>
      </c>
      <c r="D83" s="17">
        <f>SUMIFS(Peak_Hour[Achievable Peak Hour therm 2027], Peak_Hour[[Sector]:[Sector]], $B$81, Peak_Hour[[End Use]:[End Use]], $B83, Peak_Hour[[Cost-Effective]:[Cost-Effective]], 1)</f>
        <v>134.58330513316295</v>
      </c>
      <c r="E83" s="17">
        <f>SUMIFS(Peak_Hour[Achievable Peak Hour therm 2028], Peak_Hour[[Sector]:[Sector]], $B$81, Peak_Hour[[End Use]:[End Use]], $B83, Peak_Hour[[Cost-Effective]:[Cost-Effective]], 1)</f>
        <v>152.82501429193425</v>
      </c>
      <c r="F83" s="17">
        <f>SUMIFS(Peak_Hour[Achievable Peak Hour therm 2029], Peak_Hour[[Sector]:[Sector]], $B$81, Peak_Hour[[End Use]:[End Use]], $B83, Peak_Hour[[Cost-Effective]:[Cost-Effective]], 1)</f>
        <v>177.87514262730502</v>
      </c>
      <c r="G83" s="17">
        <f>SUMIFS(Peak_Hour[Achievable Peak Hour therm 2030], Peak_Hour[[Sector]:[Sector]], $B$81, Peak_Hour[[End Use]:[End Use]], $B83, Peak_Hour[[Cost-Effective]:[Cost-Effective]], 1)</f>
        <v>194.26366862766031</v>
      </c>
      <c r="H83" s="17">
        <f>SUMIFS(Peak_Hour[Achievable Peak Hour therm 2031], Peak_Hour[[Sector]:[Sector]], $B$81, Peak_Hour[[End Use]:[End Use]], $B83, Peak_Hour[[Cost-Effective]:[Cost-Effective]], 1)</f>
        <v>197.57201534453301</v>
      </c>
      <c r="I83" s="17">
        <f>SUMIFS(Peak_Hour[Achievable Peak Hour therm 2032], Peak_Hour[[Sector]:[Sector]], $B$81, Peak_Hour[[End Use]:[End Use]], $B83, Peak_Hour[[Cost-Effective]:[Cost-Effective]], 1)</f>
        <v>185.36119305146357</v>
      </c>
      <c r="J83" s="17">
        <f>SUMIFS(Peak_Hour[Achievable Peak Hour therm 2033], Peak_Hour[[Sector]:[Sector]], $B$81, Peak_Hour[[End Use]:[End Use]], $B83, Peak_Hour[[Cost-Effective]:[Cost-Effective]], 1)</f>
        <v>158.62685291027719</v>
      </c>
      <c r="K83" s="17">
        <f>SUMIFS(Peak_Hour[Achievable Peak Hour therm 2034], Peak_Hour[[Sector]:[Sector]], $B$81, Peak_Hour[[End Use]:[End Use]], $B83, Peak_Hour[[Cost-Effective]:[Cost-Effective]], 1)</f>
        <v>108.04119439904203</v>
      </c>
      <c r="L83" s="17">
        <f>SUMIFS(Peak_Hour[Achievable Peak Hour therm 2035], Peak_Hour[[Sector]:[Sector]], $B$81, Peak_Hour[[End Use]:[End Use]], $B83, Peak_Hour[[Cost-Effective]:[Cost-Effective]], 1)</f>
        <v>43.872222252319489</v>
      </c>
      <c r="M83" s="17">
        <f>SUMIFS(Peak_Hour[Achievable Peak Hour therm 2036], Peak_Hour[[Sector]:[Sector]], $B$81, Peak_Hour[[End Use]:[End Use]], $B83, Peak_Hour[[Cost-Effective]:[Cost-Effective]], 1)</f>
        <v>3.0828813540467626</v>
      </c>
      <c r="N83" s="17">
        <f>SUMIFS(Peak_Hour[Achievable Peak Hour therm 2037], Peak_Hour[[Sector]:[Sector]], $B$81, Peak_Hour[[End Use]:[End Use]], $B83, Peak_Hour[[Cost-Effective]:[Cost-Effective]], 1)</f>
        <v>0</v>
      </c>
      <c r="O83" s="17">
        <f>SUMIFS(Peak_Hour[Achievable Peak Hour therm 2038], Peak_Hour[[Sector]:[Sector]], $B$81, Peak_Hour[[End Use]:[End Use]], $B83, Peak_Hour[[Cost-Effective]:[Cost-Effective]], 1)</f>
        <v>0</v>
      </c>
      <c r="P83" s="17">
        <f>SUMIFS(Peak_Hour[Achievable Peak Hour therm 2039], Peak_Hour[[Sector]:[Sector]], $B$81, Peak_Hour[[End Use]:[End Use]], $B83, Peak_Hour[[Cost-Effective]:[Cost-Effective]], 1)</f>
        <v>0</v>
      </c>
      <c r="Q83" s="17">
        <f>SUMIFS(Peak_Hour[Achievable Peak Hour therm 2040], Peak_Hour[[Sector]:[Sector]], $B$81, Peak_Hour[[End Use]:[End Use]], $B83, Peak_Hour[[Cost-Effective]:[Cost-Effective]], 1)</f>
        <v>0</v>
      </c>
      <c r="R83" s="17">
        <f>SUMIFS(Peak_Hour[Achievable Peak Hour therm 2041], Peak_Hour[[Sector]:[Sector]], $B$81, Peak_Hour[[End Use]:[End Use]], $B83, Peak_Hour[[Cost-Effective]:[Cost-Effective]], 1)</f>
        <v>0</v>
      </c>
      <c r="S83" s="17">
        <f>SUMIFS(Peak_Hour[Achievable Peak Hour therm 2042], Peak_Hour[[Sector]:[Sector]], $B$81, Peak_Hour[[End Use]:[End Use]], $B83, Peak_Hour[[Cost-Effective]:[Cost-Effective]], 1)</f>
        <v>0</v>
      </c>
      <c r="T83" s="17">
        <f>SUMIFS(Peak_Hour[Achievable Peak Hour therm 2043], Peak_Hour[[Sector]:[Sector]], $B$81, Peak_Hour[[End Use]:[End Use]], $B83, Peak_Hour[[Cost-Effective]:[Cost-Effective]], 1)</f>
        <v>0</v>
      </c>
      <c r="U83" s="17">
        <f>SUMIFS(Peak_Hour[Achievable Peak Hour therm 2044], Peak_Hour[[Sector]:[Sector]], $B$81, Peak_Hour[[End Use]:[End Use]], $B83, Peak_Hour[[Cost-Effective]:[Cost-Effective]], 1)</f>
        <v>0</v>
      </c>
      <c r="V83" s="17">
        <f>SUMIFS(Peak_Hour[Achievable Peak Hour therm 2045], Peak_Hour[[Sector]:[Sector]], $B$81, Peak_Hour[[End Use]:[End Use]], $B83, Peak_Hour[[Cost-Effective]:[Cost-Effective]], 1)</f>
        <v>0</v>
      </c>
      <c r="W83" s="17">
        <f>SUMIFS(Peak_Hour[Achievable Peak Hour therm 2046], Peak_Hour[[Sector]:[Sector]], $B$81, Peak_Hour[[End Use]:[End Use]], $B83, Peak_Hour[[Cost-Effective]:[Cost-Effective]], 1)</f>
        <v>0</v>
      </c>
      <c r="X83" s="17">
        <f>SUMIFS(Peak_Hour[Achievable Peak Hour therm 2047], Peak_Hour[[Sector]:[Sector]], $B$81, Peak_Hour[[End Use]:[End Use]], $B83, Peak_Hour[[Cost-Effective]:[Cost-Effective]], 1)</f>
        <v>0</v>
      </c>
      <c r="Y83" s="17">
        <f>SUMIFS(Peak_Hour[Achievable Peak Hour therm 2048], Peak_Hour[[Sector]:[Sector]], $B$81, Peak_Hour[[End Use]:[End Use]], $B83, Peak_Hour[[Cost-Effective]:[Cost-Effective]], 1)</f>
        <v>0</v>
      </c>
      <c r="Z83" s="17">
        <f>SUMIFS(Peak_Hour[Achievable Peak Hour therm 2049], Peak_Hour[[Sector]:[Sector]], $B$81, Peak_Hour[[End Use]:[End Use]], $B83, Peak_Hour[[Cost-Effective]:[Cost-Effective]], 1)</f>
        <v>0</v>
      </c>
      <c r="AA83" s="17">
        <f>SUMIFS(Peak_Hour[Achievable Peak Hour therm 2050], Peak_Hour[[Sector]:[Sector]], $B$81, Peak_Hour[[End Use]:[End Use]], $B83, Peak_Hour[[Cost-Effective]:[Cost-Effective]], 1)</f>
        <v>0</v>
      </c>
    </row>
    <row r="84" spans="2:27" x14ac:dyDescent="0.2">
      <c r="B84" s="16" t="s">
        <v>44</v>
      </c>
      <c r="C84" s="17">
        <f>SUMIFS(Peak_Hour[Achievable Peak Hour therm 2026], Peak_Hour[[Sector]:[Sector]], $B$81, Peak_Hour[[End Use]:[End Use]], $B84, Peak_Hour[[Cost-Effective]:[Cost-Effective]], 1)</f>
        <v>78.157989059389692</v>
      </c>
      <c r="D84" s="17">
        <f>SUMIFS(Peak_Hour[Achievable Peak Hour therm 2027], Peak_Hour[[Sector]:[Sector]], $B$81, Peak_Hour[[End Use]:[End Use]], $B84, Peak_Hour[[Cost-Effective]:[Cost-Effective]], 1)</f>
        <v>63.109614325580011</v>
      </c>
      <c r="E84" s="17">
        <f>SUMIFS(Peak_Hour[Achievable Peak Hour therm 2028], Peak_Hour[[Sector]:[Sector]], $B$81, Peak_Hour[[End Use]:[End Use]], $B84, Peak_Hour[[Cost-Effective]:[Cost-Effective]], 1)</f>
        <v>60.268495638150711</v>
      </c>
      <c r="F84" s="17">
        <f>SUMIFS(Peak_Hour[Achievable Peak Hour therm 2029], Peak_Hour[[Sector]:[Sector]], $B$81, Peak_Hour[[End Use]:[End Use]], $B84, Peak_Hour[[Cost-Effective]:[Cost-Effective]], 1)</f>
        <v>59.613758217040612</v>
      </c>
      <c r="G84" s="17">
        <f>SUMIFS(Peak_Hour[Achievable Peak Hour therm 2030], Peak_Hour[[Sector]:[Sector]], $B$81, Peak_Hour[[End Use]:[End Use]], $B84, Peak_Hour[[Cost-Effective]:[Cost-Effective]], 1)</f>
        <v>67.744710293145943</v>
      </c>
      <c r="H84" s="17">
        <f>SUMIFS(Peak_Hour[Achievable Peak Hour therm 2031], Peak_Hour[[Sector]:[Sector]], $B$81, Peak_Hour[[End Use]:[End Use]], $B84, Peak_Hour[[Cost-Effective]:[Cost-Effective]], 1)</f>
        <v>88.933154869754475</v>
      </c>
      <c r="I84" s="17">
        <f>SUMIFS(Peak_Hour[Achievable Peak Hour therm 2032], Peak_Hour[[Sector]:[Sector]], $B$81, Peak_Hour[[End Use]:[End Use]], $B84, Peak_Hour[[Cost-Effective]:[Cost-Effective]], 1)</f>
        <v>113.77360623897263</v>
      </c>
      <c r="J84" s="17">
        <f>SUMIFS(Peak_Hour[Achievable Peak Hour therm 2033], Peak_Hour[[Sector]:[Sector]], $B$81, Peak_Hour[[End Use]:[End Use]], $B84, Peak_Hour[[Cost-Effective]:[Cost-Effective]], 1)</f>
        <v>139.84279272606824</v>
      </c>
      <c r="K84" s="17">
        <f>SUMIFS(Peak_Hour[Achievable Peak Hour therm 2034], Peak_Hour[[Sector]:[Sector]], $B$81, Peak_Hour[[End Use]:[End Use]], $B84, Peak_Hour[[Cost-Effective]:[Cost-Effective]], 1)</f>
        <v>165.23391792485091</v>
      </c>
      <c r="L84" s="17">
        <f>SUMIFS(Peak_Hour[Achievable Peak Hour therm 2035], Peak_Hour[[Sector]:[Sector]], $B$81, Peak_Hour[[End Use]:[End Use]], $B84, Peak_Hour[[Cost-Effective]:[Cost-Effective]], 1)</f>
        <v>187.6553824755317</v>
      </c>
      <c r="M84" s="17">
        <f>SUMIFS(Peak_Hour[Achievable Peak Hour therm 2036], Peak_Hour[[Sector]:[Sector]], $B$81, Peak_Hour[[End Use]:[End Use]], $B84, Peak_Hour[[Cost-Effective]:[Cost-Effective]], 1)</f>
        <v>204.69395267133979</v>
      </c>
      <c r="N84" s="17">
        <f>SUMIFS(Peak_Hour[Achievable Peak Hour therm 2037], Peak_Hour[[Sector]:[Sector]], $B$81, Peak_Hour[[End Use]:[End Use]], $B84, Peak_Hour[[Cost-Effective]:[Cost-Effective]], 1)</f>
        <v>214.16178591425228</v>
      </c>
      <c r="O84" s="17">
        <f>SUMIFS(Peak_Hour[Achievable Peak Hour therm 2038], Peak_Hour[[Sector]:[Sector]], $B$81, Peak_Hour[[End Use]:[End Use]], $B84, Peak_Hour[[Cost-Effective]:[Cost-Effective]], 1)</f>
        <v>214.54404585055607</v>
      </c>
      <c r="P84" s="17">
        <f>SUMIFS(Peak_Hour[Achievable Peak Hour therm 2039], Peak_Hour[[Sector]:[Sector]], $B$81, Peak_Hour[[End Use]:[End Use]], $B84, Peak_Hour[[Cost-Effective]:[Cost-Effective]], 1)</f>
        <v>206.38265657680341</v>
      </c>
      <c r="Q84" s="17">
        <f>SUMIFS(Peak_Hour[Achievable Peak Hour therm 2040], Peak_Hour[[Sector]:[Sector]], $B$81, Peak_Hour[[End Use]:[End Use]], $B84, Peak_Hour[[Cost-Effective]:[Cost-Effective]], 1)</f>
        <v>190.24759616278681</v>
      </c>
      <c r="R84" s="17">
        <f>SUMIFS(Peak_Hour[Achievable Peak Hour therm 2041], Peak_Hour[[Sector]:[Sector]], $B$81, Peak_Hour[[End Use]:[End Use]], $B84, Peak_Hour[[Cost-Effective]:[Cost-Effective]], 1)</f>
        <v>161.8858074464122</v>
      </c>
      <c r="S84" s="17">
        <f>SUMIFS(Peak_Hour[Achievable Peak Hour therm 2042], Peak_Hour[[Sector]:[Sector]], $B$81, Peak_Hour[[End Use]:[End Use]], $B84, Peak_Hour[[Cost-Effective]:[Cost-Effective]], 1)</f>
        <v>137.51885531676237</v>
      </c>
      <c r="T84" s="17">
        <f>SUMIFS(Peak_Hour[Achievable Peak Hour therm 2043], Peak_Hour[[Sector]:[Sector]], $B$81, Peak_Hour[[End Use]:[End Use]], $B84, Peak_Hour[[Cost-Effective]:[Cost-Effective]], 1)</f>
        <v>120.34387487636759</v>
      </c>
      <c r="U84" s="17">
        <f>SUMIFS(Peak_Hour[Achievable Peak Hour therm 2044], Peak_Hour[[Sector]:[Sector]], $B$81, Peak_Hour[[End Use]:[End Use]], $B84, Peak_Hour[[Cost-Effective]:[Cost-Effective]], 1)</f>
        <v>94.502704907823528</v>
      </c>
      <c r="V84" s="17">
        <f>SUMIFS(Peak_Hour[Achievable Peak Hour therm 2045], Peak_Hour[[Sector]:[Sector]], $B$81, Peak_Hour[[End Use]:[End Use]], $B84, Peak_Hour[[Cost-Effective]:[Cost-Effective]], 1)</f>
        <v>90.786478431795132</v>
      </c>
      <c r="W84" s="17">
        <f>SUMIFS(Peak_Hour[Achievable Peak Hour therm 2046], Peak_Hour[[Sector]:[Sector]], $B$81, Peak_Hour[[End Use]:[End Use]], $B84, Peak_Hour[[Cost-Effective]:[Cost-Effective]], 1)</f>
        <v>91.519288474884576</v>
      </c>
      <c r="X84" s="17">
        <f>SUMIFS(Peak_Hour[Achievable Peak Hour therm 2047], Peak_Hour[[Sector]:[Sector]], $B$81, Peak_Hour[[End Use]:[End Use]], $B84, Peak_Hour[[Cost-Effective]:[Cost-Effective]], 1)</f>
        <v>91.397417556062706</v>
      </c>
      <c r="Y84" s="17">
        <f>SUMIFS(Peak_Hour[Achievable Peak Hour therm 2048], Peak_Hour[[Sector]:[Sector]], $B$81, Peak_Hour[[End Use]:[End Use]], $B84, Peak_Hour[[Cost-Effective]:[Cost-Effective]], 1)</f>
        <v>92.133539480745043</v>
      </c>
      <c r="Z84" s="17">
        <f>SUMIFS(Peak_Hour[Achievable Peak Hour therm 2049], Peak_Hour[[Sector]:[Sector]], $B$81, Peak_Hour[[End Use]:[End Use]], $B84, Peak_Hour[[Cost-Effective]:[Cost-Effective]], 1)</f>
        <v>91.604226284378626</v>
      </c>
      <c r="AA84" s="17">
        <f>SUMIFS(Peak_Hour[Achievable Peak Hour therm 2050], Peak_Hour[[Sector]:[Sector]], $B$81, Peak_Hour[[End Use]:[End Use]], $B84, Peak_Hour[[Cost-Effective]:[Cost-Effective]], 1)</f>
        <v>50.135766932479733</v>
      </c>
    </row>
    <row r="85" spans="2:27" x14ac:dyDescent="0.2">
      <c r="B85" s="16" t="s">
        <v>45</v>
      </c>
      <c r="C85" s="17">
        <f>SUMIFS(Peak_Hour[Achievable Peak Hour therm 2026], Peak_Hour[[Sector]:[Sector]], $B$81, Peak_Hour[[End Use]:[End Use]], $B85, Peak_Hour[[Cost-Effective]:[Cost-Effective]], 1)</f>
        <v>0.33142945286731545</v>
      </c>
      <c r="D85" s="17">
        <f>SUMIFS(Peak_Hour[Achievable Peak Hour therm 2027], Peak_Hour[[Sector]:[Sector]], $B$81, Peak_Hour[[End Use]:[End Use]], $B85, Peak_Hour[[Cost-Effective]:[Cost-Effective]], 1)</f>
        <v>0.67160587465028709</v>
      </c>
      <c r="E85" s="17">
        <f>SUMIFS(Peak_Hour[Achievable Peak Hour therm 2028], Peak_Hour[[Sector]:[Sector]], $B$81, Peak_Hour[[End Use]:[End Use]], $B85, Peak_Hour[[Cost-Effective]:[Cost-Effective]], 1)</f>
        <v>1.1991506842966624</v>
      </c>
      <c r="F85" s="17">
        <f>SUMIFS(Peak_Hour[Achievable Peak Hour therm 2029], Peak_Hour[[Sector]:[Sector]], $B$81, Peak_Hour[[End Use]:[End Use]], $B85, Peak_Hour[[Cost-Effective]:[Cost-Effective]], 1)</f>
        <v>1.9338233143178549</v>
      </c>
      <c r="G85" s="17">
        <f>SUMIFS(Peak_Hour[Achievable Peak Hour therm 2030], Peak_Hour[[Sector]:[Sector]], $B$81, Peak_Hour[[End Use]:[End Use]], $B85, Peak_Hour[[Cost-Effective]:[Cost-Effective]], 1)</f>
        <v>2.8932496971619486</v>
      </c>
      <c r="H85" s="17">
        <f>SUMIFS(Peak_Hour[Achievable Peak Hour therm 2031], Peak_Hour[[Sector]:[Sector]], $B$81, Peak_Hour[[End Use]:[End Use]], $B85, Peak_Hour[[Cost-Effective]:[Cost-Effective]], 1)</f>
        <v>4.0597916644988779</v>
      </c>
      <c r="I85" s="17">
        <f>SUMIFS(Peak_Hour[Achievable Peak Hour therm 2032], Peak_Hour[[Sector]:[Sector]], $B$81, Peak_Hour[[End Use]:[End Use]], $B85, Peak_Hour[[Cost-Effective]:[Cost-Effective]], 1)</f>
        <v>5.3887280646502553</v>
      </c>
      <c r="J85" s="17">
        <f>SUMIFS(Peak_Hour[Achievable Peak Hour therm 2033], Peak_Hour[[Sector]:[Sector]], $B$81, Peak_Hour[[End Use]:[End Use]], $B85, Peak_Hour[[Cost-Effective]:[Cost-Effective]], 1)</f>
        <v>6.8123819549610447</v>
      </c>
      <c r="K85" s="17">
        <f>SUMIFS(Peak_Hour[Achievable Peak Hour therm 2034], Peak_Hour[[Sector]:[Sector]], $B$81, Peak_Hour[[End Use]:[End Use]], $B85, Peak_Hour[[Cost-Effective]:[Cost-Effective]], 1)</f>
        <v>8.2465463363655758</v>
      </c>
      <c r="L85" s="17">
        <f>SUMIFS(Peak_Hour[Achievable Peak Hour therm 2035], Peak_Hour[[Sector]:[Sector]], $B$81, Peak_Hour[[End Use]:[End Use]], $B85, Peak_Hour[[Cost-Effective]:[Cost-Effective]], 1)</f>
        <v>9.5978499396537238</v>
      </c>
      <c r="M85" s="17">
        <f>SUMIFS(Peak_Hour[Achievable Peak Hour therm 2036], Peak_Hour[[Sector]:[Sector]], $B$81, Peak_Hour[[End Use]:[End Use]], $B85, Peak_Hour[[Cost-Effective]:[Cost-Effective]], 1)</f>
        <v>10.772215648178005</v>
      </c>
      <c r="N85" s="17">
        <f>SUMIFS(Peak_Hour[Achievable Peak Hour therm 2037], Peak_Hour[[Sector]:[Sector]], $B$81, Peak_Hour[[End Use]:[End Use]], $B85, Peak_Hour[[Cost-Effective]:[Cost-Effective]], 1)</f>
        <v>11.68560081141397</v>
      </c>
      <c r="O85" s="17">
        <f>SUMIFS(Peak_Hour[Achievable Peak Hour therm 2038], Peak_Hour[[Sector]:[Sector]], $B$81, Peak_Hour[[End Use]:[End Use]], $B85, Peak_Hour[[Cost-Effective]:[Cost-Effective]], 1)</f>
        <v>12.277547282094908</v>
      </c>
      <c r="P85" s="17">
        <f>SUMIFS(Peak_Hour[Achievable Peak Hour therm 2039], Peak_Hour[[Sector]:[Sector]], $B$81, Peak_Hour[[End Use]:[End Use]], $B85, Peak_Hour[[Cost-Effective]:[Cost-Effective]], 1)</f>
        <v>12.525536000332524</v>
      </c>
      <c r="Q85" s="17">
        <f>SUMIFS(Peak_Hour[Achievable Peak Hour therm 2040], Peak_Hour[[Sector]:[Sector]], $B$81, Peak_Hour[[End Use]:[End Use]], $B85, Peak_Hour[[Cost-Effective]:[Cost-Effective]], 1)</f>
        <v>12.455041469539927</v>
      </c>
      <c r="R85" s="17">
        <f>SUMIFS(Peak_Hour[Achievable Peak Hour therm 2041], Peak_Hour[[Sector]:[Sector]], $B$81, Peak_Hour[[End Use]:[End Use]], $B85, Peak_Hour[[Cost-Effective]:[Cost-Effective]], 1)</f>
        <v>12.608728476260223</v>
      </c>
      <c r="S85" s="17">
        <f>SUMIFS(Peak_Hour[Achievable Peak Hour therm 2042], Peak_Hour[[Sector]:[Sector]], $B$81, Peak_Hour[[End Use]:[End Use]], $B85, Peak_Hour[[Cost-Effective]:[Cost-Effective]], 1)</f>
        <v>12.243009328607968</v>
      </c>
      <c r="T85" s="17">
        <f>SUMIFS(Peak_Hour[Achievable Peak Hour therm 2043], Peak_Hour[[Sector]:[Sector]], $B$81, Peak_Hour[[End Use]:[End Use]], $B85, Peak_Hour[[Cost-Effective]:[Cost-Effective]], 1)</f>
        <v>11.537874671943964</v>
      </c>
      <c r="U85" s="17">
        <f>SUMIFS(Peak_Hour[Achievable Peak Hour therm 2044], Peak_Hour[[Sector]:[Sector]], $B$81, Peak_Hour[[End Use]:[End Use]], $B85, Peak_Hour[[Cost-Effective]:[Cost-Effective]], 1)</f>
        <v>10.653893873490819</v>
      </c>
      <c r="V85" s="17">
        <f>SUMIFS(Peak_Hour[Achievable Peak Hour therm 2045], Peak_Hour[[Sector]:[Sector]], $B$81, Peak_Hour[[End Use]:[End Use]], $B85, Peak_Hour[[Cost-Effective]:[Cost-Effective]], 1)</f>
        <v>10.535745000164232</v>
      </c>
      <c r="W85" s="17">
        <f>SUMIFS(Peak_Hour[Achievable Peak Hour therm 2046], Peak_Hour[[Sector]:[Sector]], $B$81, Peak_Hour[[End Use]:[End Use]], $B85, Peak_Hour[[Cost-Effective]:[Cost-Effective]], 1)</f>
        <v>10.340468056814517</v>
      </c>
      <c r="X85" s="17">
        <f>SUMIFS(Peak_Hour[Achievable Peak Hour therm 2047], Peak_Hour[[Sector]:[Sector]], $B$81, Peak_Hour[[End Use]:[End Use]], $B85, Peak_Hour[[Cost-Effective]:[Cost-Effective]], 1)</f>
        <v>7.6669279017324339</v>
      </c>
      <c r="Y85" s="17">
        <f>SUMIFS(Peak_Hour[Achievable Peak Hour therm 2048], Peak_Hour[[Sector]:[Sector]], $B$81, Peak_Hour[[End Use]:[End Use]], $B85, Peak_Hour[[Cost-Effective]:[Cost-Effective]], 1)</f>
        <v>5.6465532832140362</v>
      </c>
      <c r="Z85" s="17">
        <f>SUMIFS(Peak_Hour[Achievable Peak Hour therm 2049], Peak_Hour[[Sector]:[Sector]], $B$81, Peak_Hour[[End Use]:[End Use]], $B85, Peak_Hour[[Cost-Effective]:[Cost-Effective]], 1)</f>
        <v>4.7793012133394654</v>
      </c>
      <c r="AA85" s="17">
        <f>SUMIFS(Peak_Hour[Achievable Peak Hour therm 2050], Peak_Hour[[Sector]:[Sector]], $B$81, Peak_Hour[[End Use]:[End Use]], $B85, Peak_Hour[[Cost-Effective]:[Cost-Effective]], 1)</f>
        <v>2.6970523540913258</v>
      </c>
    </row>
    <row r="86" spans="2:27" x14ac:dyDescent="0.2">
      <c r="B86" s="9" t="s">
        <v>33</v>
      </c>
      <c r="C86" s="18">
        <f>SUMIFS(Peak_Hour[Achievable Peak Hour therm 2026], Peak_Hour[[Sector]:[Sector]], $B86, Peak_Hour[[Cost-Effective]:[Cost-Effective]], 1)</f>
        <v>10.993917105348075</v>
      </c>
      <c r="D86" s="18">
        <f>SUMIFS(Peak_Hour[Achievable Peak Hour therm 2027], Peak_Hour[[Sector]:[Sector]], $B86, Peak_Hour[[Cost-Effective]:[Cost-Effective]], 1)</f>
        <v>21.184488756289621</v>
      </c>
      <c r="E86" s="18">
        <f>SUMIFS(Peak_Hour[Achievable Peak Hour therm 2028], Peak_Hour[[Sector]:[Sector]], $B86, Peak_Hour[[Cost-Effective]:[Cost-Effective]], 1)</f>
        <v>36.712395181405</v>
      </c>
      <c r="F86" s="18">
        <f>SUMIFS(Peak_Hour[Achievable Peak Hour therm 2029], Peak_Hour[[Sector]:[Sector]], $B86, Peak_Hour[[Cost-Effective]:[Cost-Effective]], 1)</f>
        <v>58.510551442080732</v>
      </c>
      <c r="G86" s="18">
        <f>SUMIFS(Peak_Hour[Achievable Peak Hour therm 2030], Peak_Hour[[Sector]:[Sector]], $B86, Peak_Hour[[Cost-Effective]:[Cost-Effective]], 1)</f>
        <v>87.300417646750361</v>
      </c>
      <c r="H86" s="18">
        <f>SUMIFS(Peak_Hour[Achievable Peak Hour therm 2031], Peak_Hour[[Sector]:[Sector]], $B86, Peak_Hour[[Cost-Effective]:[Cost-Effective]], 1)</f>
        <v>123.15832787046139</v>
      </c>
      <c r="I86" s="18">
        <f>SUMIFS(Peak_Hour[Achievable Peak Hour therm 2032], Peak_Hour[[Sector]:[Sector]], $B86, Peak_Hour[[Cost-Effective]:[Cost-Effective]], 1)</f>
        <v>165.24362656278325</v>
      </c>
      <c r="J86" s="18">
        <f>SUMIFS(Peak_Hour[Achievable Peak Hour therm 2033], Peak_Hour[[Sector]:[Sector]], $B86, Peak_Hour[[Cost-Effective]:[Cost-Effective]], 1)</f>
        <v>211.50634265652474</v>
      </c>
      <c r="K86" s="18">
        <f>SUMIFS(Peak_Hour[Achievable Peak Hour therm 2034], Peak_Hour[[Sector]:[Sector]], $B86, Peak_Hour[[Cost-Effective]:[Cost-Effective]], 1)</f>
        <v>258.51256577658489</v>
      </c>
      <c r="L86" s="18">
        <f>SUMIFS(Peak_Hour[Achievable Peak Hour therm 2035], Peak_Hour[[Sector]:[Sector]], $B86, Peak_Hour[[Cost-Effective]:[Cost-Effective]], 1)</f>
        <v>301.52573656387204</v>
      </c>
      <c r="M86" s="18">
        <f>SUMIFS(Peak_Hour[Achievable Peak Hour therm 2036], Peak_Hour[[Sector]:[Sector]], $B86, Peak_Hour[[Cost-Effective]:[Cost-Effective]], 1)</f>
        <v>334.98157140356062</v>
      </c>
      <c r="N86" s="18">
        <f>SUMIFS(Peak_Hour[Achievable Peak Hour therm 2037], Peak_Hour[[Sector]:[Sector]], $B86, Peak_Hour[[Cost-Effective]:[Cost-Effective]], 1)</f>
        <v>353.42291972972708</v>
      </c>
      <c r="O86" s="18">
        <f>SUMIFS(Peak_Hour[Achievable Peak Hour therm 2038], Peak_Hour[[Sector]:[Sector]], $B86, Peak_Hour[[Cost-Effective]:[Cost-Effective]], 1)</f>
        <v>352.79879735302853</v>
      </c>
      <c r="P86" s="18">
        <f>SUMIFS(Peak_Hour[Achievable Peak Hour therm 2039], Peak_Hour[[Sector]:[Sector]], $B86, Peak_Hour[[Cost-Effective]:[Cost-Effective]], 1)</f>
        <v>331.96909124306183</v>
      </c>
      <c r="Q86" s="18">
        <f>SUMIFS(Peak_Hour[Achievable Peak Hour therm 2040], Peak_Hour[[Sector]:[Sector]], $B86, Peak_Hour[[Cost-Effective]:[Cost-Effective]], 1)</f>
        <v>287.04006237674497</v>
      </c>
      <c r="R86" s="18">
        <f>SUMIFS(Peak_Hour[Achievable Peak Hour therm 2041], Peak_Hour[[Sector]:[Sector]], $B86, Peak_Hour[[Cost-Effective]:[Cost-Effective]], 1)</f>
        <v>239.78058318287458</v>
      </c>
      <c r="S86" s="18">
        <f>SUMIFS(Peak_Hour[Achievable Peak Hour therm 2042], Peak_Hour[[Sector]:[Sector]], $B86, Peak_Hour[[Cost-Effective]:[Cost-Effective]], 1)</f>
        <v>104.79633101016329</v>
      </c>
      <c r="T86" s="18">
        <f>SUMIFS(Peak_Hour[Achievable Peak Hour therm 2043], Peak_Hour[[Sector]:[Sector]], $B86, Peak_Hour[[Cost-Effective]:[Cost-Effective]], 1)</f>
        <v>28.362224878115068</v>
      </c>
      <c r="U86" s="18">
        <f>SUMIFS(Peak_Hour[Achievable Peak Hour therm 2044], Peak_Hour[[Sector]:[Sector]], $B86, Peak_Hour[[Cost-Effective]:[Cost-Effective]], 1)</f>
        <v>28.323866051837253</v>
      </c>
      <c r="V86" s="18">
        <f>SUMIFS(Peak_Hour[Achievable Peak Hour therm 2045], Peak_Hour[[Sector]:[Sector]], $B86, Peak_Hour[[Cost-Effective]:[Cost-Effective]], 1)</f>
        <v>28.171659324066418</v>
      </c>
      <c r="W86" s="18">
        <f>SUMIFS(Peak_Hour[Achievable Peak Hour therm 2046], Peak_Hour[[Sector]:[Sector]], $B86, Peak_Hour[[Cost-Effective]:[Cost-Effective]], 1)</f>
        <v>27.97083934629816</v>
      </c>
      <c r="X86" s="18">
        <f>SUMIFS(Peak_Hour[Achievable Peak Hour therm 2047], Peak_Hour[[Sector]:[Sector]], $B86, Peak_Hour[[Cost-Effective]:[Cost-Effective]], 1)</f>
        <v>27.755142582748814</v>
      </c>
      <c r="Y86" s="18">
        <f>SUMIFS(Peak_Hour[Achievable Peak Hour therm 2048], Peak_Hour[[Sector]:[Sector]], $B86, Peak_Hour[[Cost-Effective]:[Cost-Effective]], 1)</f>
        <v>27.541109218219102</v>
      </c>
      <c r="Z86" s="18">
        <f>SUMIFS(Peak_Hour[Achievable Peak Hour therm 2049], Peak_Hour[[Sector]:[Sector]], $B86, Peak_Hour[[Cost-Effective]:[Cost-Effective]], 1)</f>
        <v>27.328726424523225</v>
      </c>
      <c r="AA86" s="18">
        <f>SUMIFS(Peak_Hour[Achievable Peak Hour therm 2050], Peak_Hour[[Sector]:[Sector]], $B86, Peak_Hour[[Cost-Effective]:[Cost-Effective]], 1)</f>
        <v>27.117981472410793</v>
      </c>
    </row>
    <row r="87" spans="2:27" x14ac:dyDescent="0.2">
      <c r="B87" s="16" t="s">
        <v>44</v>
      </c>
      <c r="C87" s="17">
        <f>SUMIFS(Peak_Hour[Achievable Peak Hour therm 2026], Peak_Hour[[Sector]:[Sector]], $B$86, Peak_Hour[[End Use]:[End Use]], $B87, Peak_Hour[[Cost-Effective]:[Cost-Effective]], 1)</f>
        <v>9.3380237513828472</v>
      </c>
      <c r="D87" s="17">
        <f>SUMIFS(Peak_Hour[Achievable Peak Hour therm 2027], Peak_Hour[[Sector]:[Sector]], $B$86, Peak_Hour[[End Use]:[End Use]], $B87, Peak_Hour[[Cost-Effective]:[Cost-Effective]], 1)</f>
        <v>18.221198132235319</v>
      </c>
      <c r="E87" s="17">
        <f>SUMIFS(Peak_Hour[Achievable Peak Hour therm 2028], Peak_Hour[[Sector]:[Sector]], $B$86, Peak_Hour[[End Use]:[End Use]], $B87, Peak_Hour[[Cost-Effective]:[Cost-Effective]], 1)</f>
        <v>31.771688474540497</v>
      </c>
      <c r="F87" s="17">
        <f>SUMIFS(Peak_Hour[Achievable Peak Hour therm 2029], Peak_Hour[[Sector]:[Sector]], $B$86, Peak_Hour[[End Use]:[End Use]], $B87, Peak_Hour[[Cost-Effective]:[Cost-Effective]], 1)</f>
        <v>50.920971201953726</v>
      </c>
      <c r="G87" s="17">
        <f>SUMIFS(Peak_Hour[Achievable Peak Hour therm 2030], Peak_Hour[[Sector]:[Sector]], $B$86, Peak_Hour[[End Use]:[End Use]], $B87, Peak_Hour[[Cost-Effective]:[Cost-Effective]], 1)</f>
        <v>76.304160190378042</v>
      </c>
      <c r="H87" s="17">
        <f>SUMIFS(Peak_Hour[Achievable Peak Hour therm 2031], Peak_Hour[[Sector]:[Sector]], $B$86, Peak_Hour[[End Use]:[End Use]], $B87, Peak_Hour[[Cost-Effective]:[Cost-Effective]], 1)</f>
        <v>108.02393426853993</v>
      </c>
      <c r="I87" s="17">
        <f>SUMIFS(Peak_Hour[Achievable Peak Hour therm 2032], Peak_Hour[[Sector]:[Sector]], $B$86, Peak_Hour[[End Use]:[End Use]], $B87, Peak_Hour[[Cost-Effective]:[Cost-Effective]], 1)</f>
        <v>145.37395832436928</v>
      </c>
      <c r="J87" s="17">
        <f>SUMIFS(Peak_Hour[Achievable Peak Hour therm 2033], Peak_Hour[[Sector]:[Sector]], $B$86, Peak_Hour[[End Use]:[End Use]], $B87, Peak_Hour[[Cost-Effective]:[Cost-Effective]], 1)</f>
        <v>186.57166081296293</v>
      </c>
      <c r="K87" s="17">
        <f>SUMIFS(Peak_Hour[Achievable Peak Hour therm 2034], Peak_Hour[[Sector]:[Sector]], $B$86, Peak_Hour[[End Use]:[End Use]], $B87, Peak_Hour[[Cost-Effective]:[Cost-Effective]], 1)</f>
        <v>228.59061666350323</v>
      </c>
      <c r="L87" s="17">
        <f>SUMIFS(Peak_Hour[Achievable Peak Hour therm 2035], Peak_Hour[[Sector]:[Sector]], $B$86, Peak_Hour[[End Use]:[End Use]], $B87, Peak_Hour[[Cost-Effective]:[Cost-Effective]], 1)</f>
        <v>267.2170175495969</v>
      </c>
      <c r="M87" s="17">
        <f>SUMIFS(Peak_Hour[Achievable Peak Hour therm 2036], Peak_Hour[[Sector]:[Sector]], $B$86, Peak_Hour[[End Use]:[End Use]], $B87, Peak_Hour[[Cost-Effective]:[Cost-Effective]], 1)</f>
        <v>297.45753042117082</v>
      </c>
      <c r="N87" s="17">
        <f>SUMIFS(Peak_Hour[Achievable Peak Hour therm 2037], Peak_Hour[[Sector]:[Sector]], $B$86, Peak_Hour[[End Use]:[End Use]], $B87, Peak_Hour[[Cost-Effective]:[Cost-Effective]], 1)</f>
        <v>314.36541096067066</v>
      </c>
      <c r="O87" s="17">
        <f>SUMIFS(Peak_Hour[Achievable Peak Hour therm 2038], Peak_Hour[[Sector]:[Sector]], $B$86, Peak_Hour[[End Use]:[End Use]], $B87, Peak_Hour[[Cost-Effective]:[Cost-Effective]], 1)</f>
        <v>314.20801605612655</v>
      </c>
      <c r="P87" s="17">
        <f>SUMIFS(Peak_Hour[Achievable Peak Hour therm 2039], Peak_Hour[[Sector]:[Sector]], $B$86, Peak_Hour[[End Use]:[End Use]], $B87, Peak_Hour[[Cost-Effective]:[Cost-Effective]], 1)</f>
        <v>295.76591867076979</v>
      </c>
      <c r="Q87" s="17">
        <f>SUMIFS(Peak_Hour[Achievable Peak Hour therm 2040], Peak_Hour[[Sector]:[Sector]], $B$86, Peak_Hour[[End Use]:[End Use]], $B87, Peak_Hour[[Cost-Effective]:[Cost-Effective]], 1)</f>
        <v>258.24032794807471</v>
      </c>
      <c r="R87" s="17">
        <f>SUMIFS(Peak_Hour[Achievable Peak Hour therm 2041], Peak_Hour[[Sector]:[Sector]], $B$86, Peak_Hour[[End Use]:[End Use]], $B87, Peak_Hour[[Cost-Effective]:[Cost-Effective]], 1)</f>
        <v>215.51325117588055</v>
      </c>
      <c r="S87" s="17">
        <f>SUMIFS(Peak_Hour[Achievable Peak Hour therm 2042], Peak_Hour[[Sector]:[Sector]], $B$86, Peak_Hour[[End Use]:[End Use]], $B87, Peak_Hour[[Cost-Effective]:[Cost-Effective]], 1)</f>
        <v>91.558590201452574</v>
      </c>
      <c r="T87" s="17">
        <f>SUMIFS(Peak_Hour[Achievable Peak Hour therm 2043], Peak_Hour[[Sector]:[Sector]], $B$86, Peak_Hour[[End Use]:[End Use]], $B87, Peak_Hour[[Cost-Effective]:[Cost-Effective]], 1)</f>
        <v>21.350477567294924</v>
      </c>
      <c r="U87" s="17">
        <f>SUMIFS(Peak_Hour[Achievable Peak Hour therm 2044], Peak_Hour[[Sector]:[Sector]], $B$86, Peak_Hour[[End Use]:[End Use]], $B87, Peak_Hour[[Cost-Effective]:[Cost-Effective]], 1)</f>
        <v>21.271961905845075</v>
      </c>
      <c r="V87" s="17">
        <f>SUMIFS(Peak_Hour[Achievable Peak Hour therm 2045], Peak_Hour[[Sector]:[Sector]], $B$86, Peak_Hour[[End Use]:[End Use]], $B87, Peak_Hour[[Cost-Effective]:[Cost-Effective]], 1)</f>
        <v>21.108950804134203</v>
      </c>
      <c r="W87" s="17">
        <f>SUMIFS(Peak_Hour[Achievable Peak Hour therm 2046], Peak_Hour[[Sector]:[Sector]], $B$86, Peak_Hour[[End Use]:[End Use]], $B87, Peak_Hour[[Cost-Effective]:[Cost-Effective]], 1)</f>
        <v>20.946428409823927</v>
      </c>
      <c r="X87" s="17">
        <f>SUMIFS(Peak_Hour[Achievable Peak Hour therm 2047], Peak_Hour[[Sector]:[Sector]], $B$86, Peak_Hour[[End Use]:[End Use]], $B87, Peak_Hour[[Cost-Effective]:[Cost-Effective]], 1)</f>
        <v>20.784905810685007</v>
      </c>
      <c r="Y87" s="17">
        <f>SUMIFS(Peak_Hour[Achievable Peak Hour therm 2048], Peak_Hour[[Sector]:[Sector]], $B$86, Peak_Hour[[End Use]:[End Use]], $B87, Peak_Hour[[Cost-Effective]:[Cost-Effective]], 1)</f>
        <v>20.624628786802525</v>
      </c>
      <c r="Z87" s="17">
        <f>SUMIFS(Peak_Hour[Achievable Peak Hour therm 2049], Peak_Hour[[Sector]:[Sector]], $B$86, Peak_Hour[[End Use]:[End Use]], $B87, Peak_Hour[[Cost-Effective]:[Cost-Effective]], 1)</f>
        <v>20.465587732649333</v>
      </c>
      <c r="AA87" s="17">
        <f>SUMIFS(Peak_Hour[Achievable Peak Hour therm 2050], Peak_Hour[[Sector]:[Sector]], $B$86, Peak_Hour[[End Use]:[End Use]], $B87, Peak_Hour[[Cost-Effective]:[Cost-Effective]], 1)</f>
        <v>20.307773116776129</v>
      </c>
    </row>
    <row r="88" spans="2:27" x14ac:dyDescent="0.2">
      <c r="B88" s="16" t="s">
        <v>47</v>
      </c>
      <c r="C88" s="17">
        <f>SUMIFS(Peak_Hour[Achievable Peak Hour therm 2026], Peak_Hour[[Sector]:[Sector]], $B$86, Peak_Hour[[End Use]:[End Use]], $B88, Peak_Hour[[Cost-Effective]:[Cost-Effective]], 1)</f>
        <v>1.285796858137326</v>
      </c>
      <c r="D88" s="17">
        <f>SUMIFS(Peak_Hour[Achievable Peak Hour therm 2027], Peak_Hour[[Sector]:[Sector]], $B$86, Peak_Hour[[End Use]:[End Use]], $B88, Peak_Hour[[Cost-Effective]:[Cost-Effective]], 1)</f>
        <v>2.3511292875254139</v>
      </c>
      <c r="E88" s="17">
        <f>SUMIFS(Peak_Hour[Achievable Peak Hour therm 2028], Peak_Hour[[Sector]:[Sector]], $B$86, Peak_Hour[[End Use]:[End Use]], $B88, Peak_Hour[[Cost-Effective]:[Cost-Effective]], 1)</f>
        <v>3.9197174569332485</v>
      </c>
      <c r="F88" s="17">
        <f>SUMIFS(Peak_Hour[Achievable Peak Hour therm 2029], Peak_Hour[[Sector]:[Sector]], $B$86, Peak_Hour[[End Use]:[End Use]], $B88, Peak_Hour[[Cost-Effective]:[Cost-Effective]], 1)</f>
        <v>6.0737974504995096</v>
      </c>
      <c r="G88" s="17">
        <f>SUMIFS(Peak_Hour[Achievable Peak Hour therm 2030], Peak_Hour[[Sector]:[Sector]], $B$86, Peak_Hour[[End Use]:[End Use]], $B88, Peak_Hour[[Cost-Effective]:[Cost-Effective]], 1)</f>
        <v>8.8566617735135509</v>
      </c>
      <c r="H88" s="17">
        <f>SUMIFS(Peak_Hour[Achievable Peak Hour therm 2031], Peak_Hour[[Sector]:[Sector]], $B$86, Peak_Hour[[End Use]:[End Use]], $B88, Peak_Hour[[Cost-Effective]:[Cost-Effective]], 1)</f>
        <v>12.247708739356669</v>
      </c>
      <c r="I88" s="17">
        <f>SUMIFS(Peak_Hour[Achievable Peak Hour therm 2032], Peak_Hour[[Sector]:[Sector]], $B$86, Peak_Hour[[End Use]:[End Use]], $B88, Peak_Hour[[Cost-Effective]:[Cost-Effective]], 1)</f>
        <v>16.135392111574532</v>
      </c>
      <c r="J88" s="17">
        <f>SUMIFS(Peak_Hour[Achievable Peak Hour therm 2033], Peak_Hour[[Sector]:[Sector]], $B$86, Peak_Hour[[End Use]:[End Use]], $B88, Peak_Hour[[Cost-Effective]:[Cost-Effective]], 1)</f>
        <v>20.294438572097452</v>
      </c>
      <c r="K88" s="17">
        <f>SUMIFS(Peak_Hour[Achievable Peak Hour therm 2034], Peak_Hour[[Sector]:[Sector]], $B$86, Peak_Hour[[End Use]:[End Use]], $B88, Peak_Hour[[Cost-Effective]:[Cost-Effective]], 1)</f>
        <v>24.377362759137942</v>
      </c>
      <c r="L88" s="17">
        <f>SUMIFS(Peak_Hour[Achievable Peak Hour therm 2035], Peak_Hour[[Sector]:[Sector]], $B$86, Peak_Hour[[End Use]:[End Use]], $B88, Peak_Hour[[Cost-Effective]:[Cost-Effective]], 1)</f>
        <v>27.932472126085852</v>
      </c>
      <c r="M88" s="17">
        <f>SUMIFS(Peak_Hour[Achievable Peak Hour therm 2036], Peak_Hour[[Sector]:[Sector]], $B$86, Peak_Hour[[End Use]:[End Use]], $B88, Peak_Hour[[Cost-Effective]:[Cost-Effective]], 1)</f>
        <v>30.45860338670807</v>
      </c>
      <c r="N88" s="17">
        <f>SUMIFS(Peak_Hour[Achievable Peak Hour therm 2037], Peak_Hour[[Sector]:[Sector]], $B$86, Peak_Hour[[End Use]:[End Use]], $B88, Peak_Hour[[Cost-Effective]:[Cost-Effective]], 1)</f>
        <v>31.49821209315505</v>
      </c>
      <c r="O88" s="17">
        <f>SUMIFS(Peak_Hour[Achievable Peak Hour therm 2038], Peak_Hour[[Sector]:[Sector]], $B$86, Peak_Hour[[End Use]:[End Use]], $B88, Peak_Hour[[Cost-Effective]:[Cost-Effective]], 1)</f>
        <v>30.75468701048343</v>
      </c>
      <c r="P88" s="17">
        <f>SUMIFS(Peak_Hour[Achievable Peak Hour therm 2039], Peak_Hour[[Sector]:[Sector]], $B$86, Peak_Hour[[End Use]:[End Use]], $B88, Peak_Hour[[Cost-Effective]:[Cost-Effective]], 1)</f>
        <v>28.258157599872074</v>
      </c>
      <c r="Q88" s="17">
        <f>SUMIFS(Peak_Hour[Achievable Peak Hour therm 2040], Peak_Hour[[Sector]:[Sector]], $B$86, Peak_Hour[[End Use]:[End Use]], $B88, Peak_Hour[[Cost-Effective]:[Cost-Effective]], 1)</f>
        <v>22.124658172141498</v>
      </c>
      <c r="R88" s="17">
        <f>SUMIFS(Peak_Hour[Achievable Peak Hour therm 2041], Peak_Hour[[Sector]:[Sector]], $B$86, Peak_Hour[[End Use]:[End Use]], $B88, Peak_Hour[[Cost-Effective]:[Cost-Effective]], 1)</f>
        <v>17.622031847690952</v>
      </c>
      <c r="S88" s="17">
        <f>SUMIFS(Peak_Hour[Achievable Peak Hour therm 2042], Peak_Hour[[Sector]:[Sector]], $B$86, Peak_Hour[[End Use]:[End Use]], $B88, Peak_Hour[[Cost-Effective]:[Cost-Effective]], 1)</f>
        <v>6.3735561262727565</v>
      </c>
      <c r="T88" s="17">
        <f>SUMIFS(Peak_Hour[Achievable Peak Hour therm 2043], Peak_Hour[[Sector]:[Sector]], $B$86, Peak_Hour[[End Use]:[End Use]], $B88, Peak_Hour[[Cost-Effective]:[Cost-Effective]], 1)</f>
        <v>0</v>
      </c>
      <c r="U88" s="17">
        <f>SUMIFS(Peak_Hour[Achievable Peak Hour therm 2044], Peak_Hour[[Sector]:[Sector]], $B$86, Peak_Hour[[End Use]:[End Use]], $B88, Peak_Hour[[Cost-Effective]:[Cost-Effective]], 1)</f>
        <v>0</v>
      </c>
      <c r="V88" s="17">
        <f>SUMIFS(Peak_Hour[Achievable Peak Hour therm 2045], Peak_Hour[[Sector]:[Sector]], $B$86, Peak_Hour[[End Use]:[End Use]], $B88, Peak_Hour[[Cost-Effective]:[Cost-Effective]], 1)</f>
        <v>0</v>
      </c>
      <c r="W88" s="17">
        <f>SUMIFS(Peak_Hour[Achievable Peak Hour therm 2046], Peak_Hour[[Sector]:[Sector]], $B$86, Peak_Hour[[End Use]:[End Use]], $B88, Peak_Hour[[Cost-Effective]:[Cost-Effective]], 1)</f>
        <v>0</v>
      </c>
      <c r="X88" s="17">
        <f>SUMIFS(Peak_Hour[Achievable Peak Hour therm 2047], Peak_Hour[[Sector]:[Sector]], $B$86, Peak_Hour[[End Use]:[End Use]], $B88, Peak_Hour[[Cost-Effective]:[Cost-Effective]], 1)</f>
        <v>0</v>
      </c>
      <c r="Y88" s="17">
        <f>SUMIFS(Peak_Hour[Achievable Peak Hour therm 2048], Peak_Hour[[Sector]:[Sector]], $B$86, Peak_Hour[[End Use]:[End Use]], $B88, Peak_Hour[[Cost-Effective]:[Cost-Effective]], 1)</f>
        <v>0</v>
      </c>
      <c r="Z88" s="17">
        <f>SUMIFS(Peak_Hour[Achievable Peak Hour therm 2049], Peak_Hour[[Sector]:[Sector]], $B$86, Peak_Hour[[End Use]:[End Use]], $B88, Peak_Hour[[Cost-Effective]:[Cost-Effective]], 1)</f>
        <v>0</v>
      </c>
      <c r="AA88" s="17">
        <f>SUMIFS(Peak_Hour[Achievable Peak Hour therm 2050], Peak_Hour[[Sector]:[Sector]], $B$86, Peak_Hour[[End Use]:[End Use]], $B88, Peak_Hour[[Cost-Effective]:[Cost-Effective]], 1)</f>
        <v>0</v>
      </c>
    </row>
    <row r="89" spans="2:27" x14ac:dyDescent="0.2">
      <c r="B89" s="16" t="s">
        <v>45</v>
      </c>
      <c r="C89" s="17">
        <f>SUMIFS(Peak_Hour[Achievable Peak Hour therm 2026], Peak_Hour[[Sector]:[Sector]], $B$86, Peak_Hour[[End Use]:[End Use]], $B89, Peak_Hour[[Cost-Effective]:[Cost-Effective]], 1)</f>
        <v>5.8448567282040509E-2</v>
      </c>
      <c r="D89" s="17">
        <f>SUMIFS(Peak_Hour[Achievable Peak Hour therm 2027], Peak_Hour[[Sector]:[Sector]], $B$86, Peak_Hour[[End Use]:[End Use]], $B89, Peak_Hour[[Cost-Effective]:[Cost-Effective]], 1)</f>
        <v>0.10913240185474386</v>
      </c>
      <c r="E89" s="17">
        <f>SUMIFS(Peak_Hour[Achievable Peak Hour therm 2028], Peak_Hour[[Sector]:[Sector]], $B$86, Peak_Hour[[End Use]:[End Use]], $B89, Peak_Hour[[Cost-Effective]:[Cost-Effective]], 1)</f>
        <v>0.26334935222821071</v>
      </c>
      <c r="F89" s="17">
        <f>SUMIFS(Peak_Hour[Achievable Peak Hour therm 2029], Peak_Hour[[Sector]:[Sector]], $B$86, Peak_Hour[[End Use]:[End Use]], $B89, Peak_Hour[[Cost-Effective]:[Cost-Effective]], 1)</f>
        <v>0.43904807669960516</v>
      </c>
      <c r="G89" s="17">
        <f>SUMIFS(Peak_Hour[Achievable Peak Hour therm 2030], Peak_Hour[[Sector]:[Sector]], $B$86, Peak_Hour[[End Use]:[End Use]], $B89, Peak_Hour[[Cost-Effective]:[Cost-Effective]], 1)</f>
        <v>0.68623511854759445</v>
      </c>
      <c r="H89" s="17">
        <f>SUMIFS(Peak_Hour[Achievable Peak Hour therm 2031], Peak_Hour[[Sector]:[Sector]], $B$86, Peak_Hour[[End Use]:[End Use]], $B89, Peak_Hour[[Cost-Effective]:[Cost-Effective]], 1)</f>
        <v>1.0171332900133572</v>
      </c>
      <c r="I89" s="17">
        <f>SUMIFS(Peak_Hour[Achievable Peak Hour therm 2032], Peak_Hour[[Sector]:[Sector]], $B$86, Peak_Hour[[End Use]:[End Use]], $B89, Peak_Hour[[Cost-Effective]:[Cost-Effective]], 1)</f>
        <v>1.4397938921449271</v>
      </c>
      <c r="J89" s="17">
        <f>SUMIFS(Peak_Hour[Achievable Peak Hour therm 2033], Peak_Hour[[Sector]:[Sector]], $B$86, Peak_Hour[[End Use]:[End Use]], $B89, Peak_Hour[[Cost-Effective]:[Cost-Effective]], 1)</f>
        <v>1.9553683153568344</v>
      </c>
      <c r="K89" s="17">
        <f>SUMIFS(Peak_Hour[Achievable Peak Hour therm 2034], Peak_Hour[[Sector]:[Sector]], $B$86, Peak_Hour[[End Use]:[End Use]], $B89, Peak_Hour[[Cost-Effective]:[Cost-Effective]], 1)</f>
        <v>2.5555594085630409</v>
      </c>
      <c r="L89" s="17">
        <f>SUMIFS(Peak_Hour[Achievable Peak Hour therm 2035], Peak_Hour[[Sector]:[Sector]], $B$86, Peak_Hour[[End Use]:[End Use]], $B89, Peak_Hour[[Cost-Effective]:[Cost-Effective]], 1)</f>
        <v>3.2210049391156557</v>
      </c>
      <c r="M89" s="17">
        <f>SUMIFS(Peak_Hour[Achievable Peak Hour therm 2036], Peak_Hour[[Sector]:[Sector]], $B$86, Peak_Hour[[End Use]:[End Use]], $B89, Peak_Hour[[Cost-Effective]:[Cost-Effective]], 1)</f>
        <v>3.9214553735191711</v>
      </c>
      <c r="N89" s="17">
        <f>SUMIFS(Peak_Hour[Achievable Peak Hour therm 2037], Peak_Hour[[Sector]:[Sector]], $B$86, Peak_Hour[[End Use]:[End Use]], $B89, Peak_Hour[[Cost-Effective]:[Cost-Effective]], 1)</f>
        <v>4.6184173009430927</v>
      </c>
      <c r="O89" s="17">
        <f>SUMIFS(Peak_Hour[Achievable Peak Hour therm 2038], Peak_Hour[[Sector]:[Sector]], $B$86, Peak_Hour[[End Use]:[End Use]], $B89, Peak_Hour[[Cost-Effective]:[Cost-Effective]], 1)</f>
        <v>5.2703424731302055</v>
      </c>
      <c r="P89" s="17">
        <f>SUMIFS(Peak_Hour[Achievable Peak Hour therm 2039], Peak_Hour[[Sector]:[Sector]], $B$86, Peak_Hour[[End Use]:[End Use]], $B89, Peak_Hour[[Cost-Effective]:[Cost-Effective]], 1)</f>
        <v>5.8395286689769481</v>
      </c>
      <c r="Q89" s="17">
        <f>SUMIFS(Peak_Hour[Achievable Peak Hour therm 2040], Peak_Hour[[Sector]:[Sector]], $B$86, Peak_Hour[[End Use]:[End Use]], $B89, Peak_Hour[[Cost-Effective]:[Cost-Effective]], 1)</f>
        <v>6.2989901131563286</v>
      </c>
      <c r="R89" s="17">
        <f>SUMIFS(Peak_Hour[Achievable Peak Hour therm 2041], Peak_Hour[[Sector]:[Sector]], $B$86, Peak_Hour[[End Use]:[End Use]], $B89, Peak_Hour[[Cost-Effective]:[Cost-Effective]], 1)</f>
        <v>6.6453001593030701</v>
      </c>
      <c r="S89" s="17">
        <f>SUMIFS(Peak_Hour[Achievable Peak Hour therm 2042], Peak_Hour[[Sector]:[Sector]], $B$86, Peak_Hour[[End Use]:[End Use]], $B89, Peak_Hour[[Cost-Effective]:[Cost-Effective]], 1)</f>
        <v>6.864184682437994</v>
      </c>
      <c r="T89" s="17">
        <f>SUMIFS(Peak_Hour[Achievable Peak Hour therm 2043], Peak_Hour[[Sector]:[Sector]], $B$86, Peak_Hour[[End Use]:[End Use]], $B89, Peak_Hour[[Cost-Effective]:[Cost-Effective]], 1)</f>
        <v>7.0117473108201454</v>
      </c>
      <c r="U89" s="17">
        <f>SUMIFS(Peak_Hour[Achievable Peak Hour therm 2044], Peak_Hour[[Sector]:[Sector]], $B$86, Peak_Hour[[End Use]:[End Use]], $B89, Peak_Hour[[Cost-Effective]:[Cost-Effective]], 1)</f>
        <v>7.0519041459921734</v>
      </c>
      <c r="V89" s="17">
        <f>SUMIFS(Peak_Hour[Achievable Peak Hour therm 2045], Peak_Hour[[Sector]:[Sector]], $B$86, Peak_Hour[[End Use]:[End Use]], $B89, Peak_Hour[[Cost-Effective]:[Cost-Effective]], 1)</f>
        <v>7.0627085199322117</v>
      </c>
      <c r="W89" s="17">
        <f>SUMIFS(Peak_Hour[Achievable Peak Hour therm 2046], Peak_Hour[[Sector]:[Sector]], $B$86, Peak_Hour[[End Use]:[End Use]], $B89, Peak_Hour[[Cost-Effective]:[Cost-Effective]], 1)</f>
        <v>7.0244109364742204</v>
      </c>
      <c r="X89" s="17">
        <f>SUMIFS(Peak_Hour[Achievable Peak Hour therm 2047], Peak_Hour[[Sector]:[Sector]], $B$86, Peak_Hour[[End Use]:[End Use]], $B89, Peak_Hour[[Cost-Effective]:[Cost-Effective]], 1)</f>
        <v>6.9702367720638057</v>
      </c>
      <c r="Y89" s="17">
        <f>SUMIFS(Peak_Hour[Achievable Peak Hour therm 2048], Peak_Hour[[Sector]:[Sector]], $B$86, Peak_Hour[[End Use]:[End Use]], $B89, Peak_Hour[[Cost-Effective]:[Cost-Effective]], 1)</f>
        <v>6.9164804314165726</v>
      </c>
      <c r="Z89" s="17">
        <f>SUMIFS(Peak_Hour[Achievable Peak Hour therm 2049], Peak_Hour[[Sector]:[Sector]], $B$86, Peak_Hour[[End Use]:[End Use]], $B89, Peak_Hour[[Cost-Effective]:[Cost-Effective]], 1)</f>
        <v>6.863138691873897</v>
      </c>
      <c r="AA89" s="17">
        <f>SUMIFS(Peak_Hour[Achievable Peak Hour therm 2050], Peak_Hour[[Sector]:[Sector]], $B$86, Peak_Hour[[End Use]:[End Use]], $B89, Peak_Hour[[Cost-Effective]:[Cost-Effective]], 1)</f>
        <v>6.8102083556346624</v>
      </c>
    </row>
    <row r="90" spans="2:27" x14ac:dyDescent="0.2">
      <c r="B90" s="16" t="s">
        <v>46</v>
      </c>
      <c r="C90" s="17">
        <f>SUMIFS(Peak_Hour[Achievable Peak Hour therm 2026], Peak_Hour[[Sector]:[Sector]], $B$86, Peak_Hour[[End Use]:[End Use]], $B90, Peak_Hour[[Cost-Effective]:[Cost-Effective]], 1)</f>
        <v>0.31164792854585416</v>
      </c>
      <c r="D90" s="17">
        <f>SUMIFS(Peak_Hour[Achievable Peak Hour therm 2027], Peak_Hour[[Sector]:[Sector]], $B$86, Peak_Hour[[End Use]:[End Use]], $B90, Peak_Hour[[Cost-Effective]:[Cost-Effective]], 1)</f>
        <v>0.50302893467415144</v>
      </c>
      <c r="E90" s="17">
        <f>SUMIFS(Peak_Hour[Achievable Peak Hour therm 2028], Peak_Hour[[Sector]:[Sector]], $B$86, Peak_Hour[[End Use]:[End Use]], $B90, Peak_Hour[[Cost-Effective]:[Cost-Effective]], 1)</f>
        <v>0.75763989770306783</v>
      </c>
      <c r="F90" s="17">
        <f>SUMIFS(Peak_Hour[Achievable Peak Hour therm 2029], Peak_Hour[[Sector]:[Sector]], $B$86, Peak_Hour[[End Use]:[End Use]], $B90, Peak_Hour[[Cost-Effective]:[Cost-Effective]], 1)</f>
        <v>1.0767347129278526</v>
      </c>
      <c r="G90" s="17">
        <f>SUMIFS(Peak_Hour[Achievable Peak Hour therm 2030], Peak_Hour[[Sector]:[Sector]], $B$86, Peak_Hour[[End Use]:[End Use]], $B90, Peak_Hour[[Cost-Effective]:[Cost-Effective]], 1)</f>
        <v>1.4533605643111933</v>
      </c>
      <c r="H90" s="17">
        <f>SUMIFS(Peak_Hour[Achievable Peak Hour therm 2031], Peak_Hour[[Sector]:[Sector]], $B$86, Peak_Hour[[End Use]:[End Use]], $B90, Peak_Hour[[Cost-Effective]:[Cost-Effective]], 1)</f>
        <v>1.8695515725515062</v>
      </c>
      <c r="I90" s="17">
        <f>SUMIFS(Peak_Hour[Achievable Peak Hour therm 2032], Peak_Hour[[Sector]:[Sector]], $B$86, Peak_Hour[[End Use]:[End Use]], $B90, Peak_Hour[[Cost-Effective]:[Cost-Effective]], 1)</f>
        <v>2.2944822346945077</v>
      </c>
      <c r="J90" s="17">
        <f>SUMIFS(Peak_Hour[Achievable Peak Hour therm 2033], Peak_Hour[[Sector]:[Sector]], $B$86, Peak_Hour[[End Use]:[End Use]], $B90, Peak_Hour[[Cost-Effective]:[Cost-Effective]], 1)</f>
        <v>2.6848749561075871</v>
      </c>
      <c r="K90" s="17">
        <f>SUMIFS(Peak_Hour[Achievable Peak Hour therm 2034], Peak_Hour[[Sector]:[Sector]], $B$86, Peak_Hour[[End Use]:[End Use]], $B90, Peak_Hour[[Cost-Effective]:[Cost-Effective]], 1)</f>
        <v>2.9890269453807043</v>
      </c>
      <c r="L90" s="17">
        <f>SUMIFS(Peak_Hour[Achievable Peak Hour therm 2035], Peak_Hour[[Sector]:[Sector]], $B$86, Peak_Hour[[End Use]:[End Use]], $B90, Peak_Hour[[Cost-Effective]:[Cost-Effective]], 1)</f>
        <v>3.1552419490737869</v>
      </c>
      <c r="M90" s="17">
        <f>SUMIFS(Peak_Hour[Achievable Peak Hour therm 2036], Peak_Hour[[Sector]:[Sector]], $B$86, Peak_Hour[[End Use]:[End Use]], $B90, Peak_Hour[[Cost-Effective]:[Cost-Effective]], 1)</f>
        <v>3.1439822221625109</v>
      </c>
      <c r="N90" s="17">
        <f>SUMIFS(Peak_Hour[Achievable Peak Hour therm 2037], Peak_Hour[[Sector]:[Sector]], $B$86, Peak_Hour[[End Use]:[End Use]], $B90, Peak_Hour[[Cost-Effective]:[Cost-Effective]], 1)</f>
        <v>2.9408793749582856</v>
      </c>
      <c r="O90" s="17">
        <f>SUMIFS(Peak_Hour[Achievable Peak Hour therm 2038], Peak_Hour[[Sector]:[Sector]], $B$86, Peak_Hour[[End Use]:[End Use]], $B90, Peak_Hour[[Cost-Effective]:[Cost-Effective]], 1)</f>
        <v>2.5657518132882915</v>
      </c>
      <c r="P90" s="17">
        <f>SUMIFS(Peak_Hour[Achievable Peak Hour therm 2039], Peak_Hour[[Sector]:[Sector]], $B$86, Peak_Hour[[End Use]:[End Use]], $B90, Peak_Hour[[Cost-Effective]:[Cost-Effective]], 1)</f>
        <v>2.1054863034428632</v>
      </c>
      <c r="Q90" s="17">
        <f>SUMIFS(Peak_Hour[Achievable Peak Hour therm 2040], Peak_Hour[[Sector]:[Sector]], $B$86, Peak_Hour[[End Use]:[End Use]], $B90, Peak_Hour[[Cost-Effective]:[Cost-Effective]], 1)</f>
        <v>0.37608614337241686</v>
      </c>
      <c r="R90" s="17">
        <f>SUMIFS(Peak_Hour[Achievable Peak Hour therm 2041], Peak_Hour[[Sector]:[Sector]], $B$86, Peak_Hour[[End Use]:[End Use]], $B90, Peak_Hour[[Cost-Effective]:[Cost-Effective]], 1)</f>
        <v>0</v>
      </c>
      <c r="S90" s="17">
        <f>SUMIFS(Peak_Hour[Achievable Peak Hour therm 2042], Peak_Hour[[Sector]:[Sector]], $B$86, Peak_Hour[[End Use]:[End Use]], $B90, Peak_Hour[[Cost-Effective]:[Cost-Effective]], 1)</f>
        <v>0</v>
      </c>
      <c r="T90" s="17">
        <f>SUMIFS(Peak_Hour[Achievable Peak Hour therm 2043], Peak_Hour[[Sector]:[Sector]], $B$86, Peak_Hour[[End Use]:[End Use]], $B90, Peak_Hour[[Cost-Effective]:[Cost-Effective]], 1)</f>
        <v>0</v>
      </c>
      <c r="U90" s="17">
        <f>SUMIFS(Peak_Hour[Achievable Peak Hour therm 2044], Peak_Hour[[Sector]:[Sector]], $B$86, Peak_Hour[[End Use]:[End Use]], $B90, Peak_Hour[[Cost-Effective]:[Cost-Effective]], 1)</f>
        <v>0</v>
      </c>
      <c r="V90" s="17">
        <f>SUMIFS(Peak_Hour[Achievable Peak Hour therm 2045], Peak_Hour[[Sector]:[Sector]], $B$86, Peak_Hour[[End Use]:[End Use]], $B90, Peak_Hour[[Cost-Effective]:[Cost-Effective]], 1)</f>
        <v>0</v>
      </c>
      <c r="W90" s="17">
        <f>SUMIFS(Peak_Hour[Achievable Peak Hour therm 2046], Peak_Hour[[Sector]:[Sector]], $B$86, Peak_Hour[[End Use]:[End Use]], $B90, Peak_Hour[[Cost-Effective]:[Cost-Effective]], 1)</f>
        <v>0</v>
      </c>
      <c r="X90" s="17">
        <f>SUMIFS(Peak_Hour[Achievable Peak Hour therm 2047], Peak_Hour[[Sector]:[Sector]], $B$86, Peak_Hour[[End Use]:[End Use]], $B90, Peak_Hour[[Cost-Effective]:[Cost-Effective]], 1)</f>
        <v>0</v>
      </c>
      <c r="Y90" s="17">
        <f>SUMIFS(Peak_Hour[Achievable Peak Hour therm 2048], Peak_Hour[[Sector]:[Sector]], $B$86, Peak_Hour[[End Use]:[End Use]], $B90, Peak_Hour[[Cost-Effective]:[Cost-Effective]], 1)</f>
        <v>0</v>
      </c>
      <c r="Z90" s="17">
        <f>SUMIFS(Peak_Hour[Achievable Peak Hour therm 2049], Peak_Hour[[Sector]:[Sector]], $B$86, Peak_Hour[[End Use]:[End Use]], $B90, Peak_Hour[[Cost-Effective]:[Cost-Effective]], 1)</f>
        <v>0</v>
      </c>
      <c r="AA90" s="17">
        <f>SUMIFS(Peak_Hour[Achievable Peak Hour therm 2050], Peak_Hour[[Sector]:[Sector]], $B$86, Peak_Hour[[End Use]:[End Use]], $B90, Peak_Hour[[Cost-Effective]:[Cost-Effective]], 1)</f>
        <v>0</v>
      </c>
    </row>
    <row r="91" spans="2:27" ht="13.5" thickBot="1" x14ac:dyDescent="0.25">
      <c r="B91" s="14" t="s">
        <v>34</v>
      </c>
      <c r="C91" s="15">
        <f>SUM(C76,C81,C86)</f>
        <v>302.67343474820609</v>
      </c>
      <c r="D91" s="15">
        <f t="shared" ref="D91:AA91" si="14">SUM(D76,D81,D86)</f>
        <v>356.34788123019331</v>
      </c>
      <c r="E91" s="15">
        <f t="shared" si="14"/>
        <v>445.96012650238436</v>
      </c>
      <c r="F91" s="15">
        <f t="shared" si="14"/>
        <v>562.0223049790493</v>
      </c>
      <c r="G91" s="15">
        <f t="shared" si="14"/>
        <v>700.3102538593522</v>
      </c>
      <c r="H91" s="15">
        <f t="shared" si="14"/>
        <v>859.2647057250133</v>
      </c>
      <c r="I91" s="15">
        <f t="shared" si="14"/>
        <v>1022.2848496041127</v>
      </c>
      <c r="J91" s="15">
        <f t="shared" si="14"/>
        <v>1179.3527254940811</v>
      </c>
      <c r="K91" s="15">
        <f t="shared" si="14"/>
        <v>1306.6673773206116</v>
      </c>
      <c r="L91" s="15">
        <f t="shared" si="14"/>
        <v>1396.2935583219139</v>
      </c>
      <c r="M91" s="15">
        <f t="shared" si="14"/>
        <v>1466.5236547734055</v>
      </c>
      <c r="N91" s="15">
        <f t="shared" si="14"/>
        <v>1515.4385487245427</v>
      </c>
      <c r="O91" s="15">
        <f t="shared" si="14"/>
        <v>1502.2252774674557</v>
      </c>
      <c r="P91" s="15">
        <f t="shared" si="14"/>
        <v>1424.5322095512411</v>
      </c>
      <c r="Q91" s="15">
        <f t="shared" si="14"/>
        <v>1280.7781871758636</v>
      </c>
      <c r="R91" s="15">
        <f t="shared" si="14"/>
        <v>1111.1638955360236</v>
      </c>
      <c r="S91" s="15">
        <f t="shared" si="14"/>
        <v>812.53747131086254</v>
      </c>
      <c r="T91" s="15">
        <f t="shared" si="14"/>
        <v>646.489759746755</v>
      </c>
      <c r="U91" s="15">
        <f t="shared" si="14"/>
        <v>489.65850267811601</v>
      </c>
      <c r="V91" s="15">
        <f t="shared" si="14"/>
        <v>471.64380458901343</v>
      </c>
      <c r="W91" s="15">
        <f t="shared" si="14"/>
        <v>466.94861580745084</v>
      </c>
      <c r="X91" s="15">
        <f t="shared" si="14"/>
        <v>460.1028634245115</v>
      </c>
      <c r="Y91" s="15">
        <f t="shared" si="14"/>
        <v>446.1137486393514</v>
      </c>
      <c r="Z91" s="15">
        <f t="shared" si="14"/>
        <v>436.35266682254735</v>
      </c>
      <c r="AA91" s="15">
        <f t="shared" si="14"/>
        <v>340.04982329470272</v>
      </c>
    </row>
  </sheetData>
  <pageMargins left="0.7" right="0.7" top="0.75" bottom="0.75" header="0.3" footer="0.3"/>
  <pageSetup orientation="portrait" r:id="rId1"/>
  <headerFooter>
    <oddHeader>&amp;RNWN 2025 CPA 
CPA Summary/ &amp;A &amp;P of &amp;N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C4AF9-864A-48C9-BC4E-12D7F52F93F1}">
  <sheetPr>
    <tabColor theme="6"/>
  </sheetPr>
  <dimension ref="N2:U331"/>
  <sheetViews>
    <sheetView showGridLines="0" topLeftCell="M1" zoomScale="85" zoomScaleNormal="85" workbookViewId="0">
      <selection activeCell="O37" sqref="O37"/>
    </sheetView>
  </sheetViews>
  <sheetFormatPr defaultRowHeight="15" x14ac:dyDescent="0.25"/>
  <cols>
    <col min="1" max="1" width="5.7109375" customWidth="1"/>
    <col min="14" max="14" width="32.140625" bestFit="1" customWidth="1"/>
    <col min="15" max="15" width="34.28515625" bestFit="1" customWidth="1"/>
    <col min="16" max="16" width="15.28515625" customWidth="1"/>
    <col min="17" max="17" width="19.7109375" bestFit="1" customWidth="1"/>
    <col min="18" max="18" width="19.7109375" customWidth="1"/>
    <col min="19" max="19" width="32.28515625" customWidth="1"/>
    <col min="20" max="20" width="13.28515625" customWidth="1"/>
    <col min="21" max="21" width="10.5703125" customWidth="1"/>
  </cols>
  <sheetData>
    <row r="2" spans="14:21" ht="15.75" thickBot="1" x14ac:dyDescent="0.3"/>
    <row r="3" spans="14:21" ht="15.75" thickBot="1" x14ac:dyDescent="0.3">
      <c r="N3" t="s">
        <v>87</v>
      </c>
      <c r="O3" t="s">
        <v>88</v>
      </c>
      <c r="P3" t="s">
        <v>89</v>
      </c>
      <c r="Q3" t="s">
        <v>90</v>
      </c>
      <c r="S3" s="32" t="s">
        <v>88</v>
      </c>
      <c r="T3" s="32" t="s">
        <v>89</v>
      </c>
      <c r="U3" s="32" t="s">
        <v>91</v>
      </c>
    </row>
    <row r="4" spans="14:21" x14ac:dyDescent="0.25">
      <c r="N4" s="1">
        <v>-74.800242939593787</v>
      </c>
      <c r="O4" s="1">
        <v>-72.566985688484721</v>
      </c>
      <c r="P4" s="7">
        <v>180.55825570378283</v>
      </c>
      <c r="Q4" s="7">
        <f>SUM($P$4:P4)</f>
        <v>180.55825570378283</v>
      </c>
      <c r="S4" s="33">
        <v>-72.556115491623899</v>
      </c>
      <c r="T4" s="34">
        <v>180.55825570378283</v>
      </c>
      <c r="U4" s="34">
        <f>SUM($T$4:T4)</f>
        <v>180.55825570378283</v>
      </c>
    </row>
    <row r="5" spans="14:21" x14ac:dyDescent="0.25">
      <c r="N5" s="1">
        <v>-12.417746747424896</v>
      </c>
      <c r="O5" s="1">
        <v>4.6064513862797822</v>
      </c>
      <c r="P5" s="7">
        <v>3770.3543325778742</v>
      </c>
      <c r="Q5" s="7">
        <f>SUM($P$4:P5)</f>
        <v>3950.912588281657</v>
      </c>
      <c r="S5" s="1">
        <v>-4.6362099288917396</v>
      </c>
      <c r="T5" s="7">
        <v>199380.66432107432</v>
      </c>
      <c r="U5" s="7">
        <f>SUM($T$4:T5)</f>
        <v>199561.22257677809</v>
      </c>
    </row>
    <row r="6" spans="14:21" x14ac:dyDescent="0.25">
      <c r="N6" s="1">
        <v>-12.417746747424893</v>
      </c>
      <c r="O6" s="1">
        <v>0.4672931329656026</v>
      </c>
      <c r="P6" s="7">
        <v>1120.780243833535</v>
      </c>
      <c r="Q6" s="7">
        <f>SUM($P$4:P6)</f>
        <v>5071.6928321151918</v>
      </c>
      <c r="S6" s="33">
        <v>-0.21971342616594719</v>
      </c>
      <c r="T6" s="34">
        <v>12676.932189901294</v>
      </c>
      <c r="U6" s="34">
        <f>SUM($T$4:T6)</f>
        <v>212238.15476667939</v>
      </c>
    </row>
    <row r="7" spans="14:21" x14ac:dyDescent="0.25">
      <c r="N7" s="1">
        <v>-12.417746747424893</v>
      </c>
      <c r="O7" s="1">
        <v>4.6064513862797813</v>
      </c>
      <c r="P7" s="7">
        <v>2130.6767299796134</v>
      </c>
      <c r="Q7" s="7">
        <f>SUM($P$4:P7)</f>
        <v>7202.3695620948056</v>
      </c>
      <c r="S7" s="1">
        <v>-0.14225449887629976</v>
      </c>
      <c r="T7" s="7">
        <v>2782.1721551164701</v>
      </c>
      <c r="U7" s="7">
        <f>SUM($T$4:T7)</f>
        <v>215020.32692179587</v>
      </c>
    </row>
    <row r="8" spans="14:21" x14ac:dyDescent="0.25">
      <c r="N8" s="1">
        <v>-12.417746747424893</v>
      </c>
      <c r="O8" s="1">
        <v>4.6064513862797822</v>
      </c>
      <c r="P8" s="7">
        <v>32074.658699829346</v>
      </c>
      <c r="Q8" s="7">
        <f>SUM($P$4:P8)</f>
        <v>39277.028261924148</v>
      </c>
      <c r="S8" s="33">
        <v>0.29221442436180856</v>
      </c>
      <c r="T8" s="34">
        <v>26168.820672965907</v>
      </c>
      <c r="U8" s="34">
        <f>SUM($T$4:T8)</f>
        <v>241189.14759476177</v>
      </c>
    </row>
    <row r="9" spans="14:21" x14ac:dyDescent="0.25">
      <c r="N9" s="1">
        <v>-12.417746747424893</v>
      </c>
      <c r="O9" s="1">
        <v>4.6064513862797831</v>
      </c>
      <c r="P9" s="7">
        <v>2243.008446728943</v>
      </c>
      <c r="Q9" s="7">
        <f>SUM($P$4:P9)</f>
        <v>41520.03670865309</v>
      </c>
      <c r="S9" s="1">
        <v>0.31170492918077397</v>
      </c>
      <c r="T9" s="7">
        <v>87076.698453800156</v>
      </c>
      <c r="U9" s="7">
        <f>SUM($T$4:T9)</f>
        <v>328265.84604856191</v>
      </c>
    </row>
    <row r="10" spans="14:21" x14ac:dyDescent="0.25">
      <c r="N10" s="1">
        <v>-12.417746747424893</v>
      </c>
      <c r="O10" s="1">
        <v>0.4672931329656026</v>
      </c>
      <c r="P10" s="7">
        <v>843.51701791413245</v>
      </c>
      <c r="Q10" s="7">
        <f>SUM($P$4:P10)</f>
        <v>42363.553726567225</v>
      </c>
      <c r="S10" s="33">
        <v>0.31471286405929094</v>
      </c>
      <c r="T10" s="34">
        <v>1253767.8439488614</v>
      </c>
      <c r="U10" s="34">
        <f>SUM($T$4:T10)</f>
        <v>1582033.6899974232</v>
      </c>
    </row>
    <row r="11" spans="14:21" x14ac:dyDescent="0.25">
      <c r="N11" s="1">
        <v>-12.417746747424893</v>
      </c>
      <c r="O11" s="1">
        <v>4.6064513862797813</v>
      </c>
      <c r="P11" s="7">
        <v>5347.332291617462</v>
      </c>
      <c r="Q11" s="7">
        <f>SUM($P$4:P11)</f>
        <v>47710.886018184683</v>
      </c>
      <c r="S11" s="1">
        <v>0.31471741879439069</v>
      </c>
      <c r="T11" s="7">
        <v>3586.9163322296663</v>
      </c>
      <c r="U11" s="7">
        <f>SUM($T$4:T11)</f>
        <v>1585620.6063296529</v>
      </c>
    </row>
    <row r="12" spans="14:21" x14ac:dyDescent="0.25">
      <c r="N12" s="1">
        <v>-12.417746747424887</v>
      </c>
      <c r="O12" s="1">
        <v>4.6064513862797822</v>
      </c>
      <c r="P12" s="7">
        <v>1849.422967142981</v>
      </c>
      <c r="Q12" s="7">
        <f>SUM($P$4:P12)</f>
        <v>49560.308985327662</v>
      </c>
      <c r="S12" s="33">
        <v>0.3147858863878969</v>
      </c>
      <c r="T12" s="34">
        <v>35367.857097761778</v>
      </c>
      <c r="U12" s="34">
        <f>SUM($T$4:T12)</f>
        <v>1620988.4634274147</v>
      </c>
    </row>
    <row r="13" spans="14:21" x14ac:dyDescent="0.25">
      <c r="N13" s="1">
        <v>-12.417746747424886</v>
      </c>
      <c r="O13" s="1">
        <v>4.6064513862797805</v>
      </c>
      <c r="P13" s="7">
        <v>9136.6489549647631</v>
      </c>
      <c r="Q13" s="7">
        <f>SUM($P$4:P13)</f>
        <v>58696.957940292428</v>
      </c>
      <c r="S13" s="1">
        <v>0.32608125835666424</v>
      </c>
      <c r="T13" s="7">
        <v>35070.280238624902</v>
      </c>
      <c r="U13" s="7">
        <f>SUM($T$4:T13)</f>
        <v>1656058.7436660395</v>
      </c>
    </row>
    <row r="14" spans="14:21" x14ac:dyDescent="0.25">
      <c r="N14" s="1">
        <v>-12.417746747424886</v>
      </c>
      <c r="O14" s="1">
        <v>0.4672931329656026</v>
      </c>
      <c r="P14" s="7">
        <v>361.64839476665543</v>
      </c>
      <c r="Q14" s="7">
        <f>SUM($P$4:P14)</f>
        <v>59058.606335059085</v>
      </c>
      <c r="S14" s="33">
        <v>0.3420808028547585</v>
      </c>
      <c r="T14" s="34">
        <v>8728.2406616546377</v>
      </c>
      <c r="U14" s="34">
        <f>SUM($T$4:T14)</f>
        <v>1664786.9843276942</v>
      </c>
    </row>
    <row r="15" spans="14:21" x14ac:dyDescent="0.25">
      <c r="N15" s="1">
        <v>-12.417746747424884</v>
      </c>
      <c r="O15" s="1">
        <v>4.6064513862797813</v>
      </c>
      <c r="P15" s="7">
        <v>46636.90424155692</v>
      </c>
      <c r="Q15" s="7">
        <f>SUM($P$4:P15)</f>
        <v>105695.51057661601</v>
      </c>
      <c r="S15" s="1">
        <v>0.34234566110225662</v>
      </c>
      <c r="T15" s="7">
        <v>5100.4688951351964</v>
      </c>
      <c r="U15" s="7">
        <f>SUM($T$4:T15)</f>
        <v>1669887.4532228294</v>
      </c>
    </row>
    <row r="16" spans="14:21" x14ac:dyDescent="0.25">
      <c r="N16" s="1">
        <v>-10.954809796076024</v>
      </c>
      <c r="O16" s="1">
        <v>0.4672931329656026</v>
      </c>
      <c r="P16" s="7">
        <v>1117.6697288643488</v>
      </c>
      <c r="Q16" s="7">
        <f>SUM($P$4:P16)</f>
        <v>106813.18030548036</v>
      </c>
      <c r="S16" s="33">
        <v>0.37518483473571218</v>
      </c>
      <c r="T16" s="34">
        <v>116.66193093170637</v>
      </c>
      <c r="U16" s="34">
        <f>SUM($T$4:T16)</f>
        <v>1670004.1151537611</v>
      </c>
    </row>
    <row r="17" spans="14:21" x14ac:dyDescent="0.25">
      <c r="N17" s="1">
        <v>-5.8259972515793415</v>
      </c>
      <c r="O17" s="1">
        <v>-4.638321728440391</v>
      </c>
      <c r="P17" s="7">
        <v>199380.66432107432</v>
      </c>
      <c r="Q17" s="7">
        <f>SUM($P$4:P17)</f>
        <v>306193.8446265547</v>
      </c>
      <c r="S17" s="1">
        <v>0.37725445534453023</v>
      </c>
      <c r="T17" s="7">
        <v>9340.9995524325695</v>
      </c>
      <c r="U17" s="7">
        <f>SUM($T$4:T17)</f>
        <v>1679345.1147061938</v>
      </c>
    </row>
    <row r="18" spans="14:21" x14ac:dyDescent="0.25">
      <c r="N18" s="1">
        <v>-4.6386228285855591</v>
      </c>
      <c r="O18" s="1">
        <v>0.97738688913926242</v>
      </c>
      <c r="P18" s="7">
        <v>202439.32561368297</v>
      </c>
      <c r="Q18" s="7">
        <f>SUM($P$4:P18)</f>
        <v>508633.17024023767</v>
      </c>
      <c r="S18" s="33">
        <v>0.38296061453198671</v>
      </c>
      <c r="T18" s="34">
        <v>113.97098615265178</v>
      </c>
      <c r="U18" s="34">
        <f>SUM($T$4:T18)</f>
        <v>1679459.0856923466</v>
      </c>
    </row>
    <row r="19" spans="14:21" x14ac:dyDescent="0.25">
      <c r="N19" s="1">
        <v>-4.2176825861077756</v>
      </c>
      <c r="O19" s="1">
        <v>0.97738688913926242</v>
      </c>
      <c r="P19" s="7">
        <v>85087.182950547096</v>
      </c>
      <c r="Q19" s="7">
        <f>SUM($P$4:P19)</f>
        <v>593720.35319078481</v>
      </c>
      <c r="S19" s="1">
        <v>0.38543848974872502</v>
      </c>
      <c r="T19" s="7">
        <v>19.870527705429538</v>
      </c>
      <c r="U19" s="7">
        <f>SUM($T$4:T19)</f>
        <v>1679478.956220052</v>
      </c>
    </row>
    <row r="20" spans="14:21" x14ac:dyDescent="0.25">
      <c r="N20" s="1">
        <v>-4.2176825861077756</v>
      </c>
      <c r="O20" s="1">
        <v>0.4672931329656026</v>
      </c>
      <c r="P20" s="7">
        <v>13422.110860338913</v>
      </c>
      <c r="Q20" s="7">
        <f>SUM($P$4:P20)</f>
        <v>607142.46405112371</v>
      </c>
      <c r="S20" s="33">
        <v>0.38633795504404511</v>
      </c>
      <c r="T20" s="34">
        <v>528.31160988766032</v>
      </c>
      <c r="U20" s="34">
        <f>SUM($T$4:T20)</f>
        <v>1680007.2678299397</v>
      </c>
    </row>
    <row r="21" spans="14:21" x14ac:dyDescent="0.25">
      <c r="N21" s="1">
        <v>-2.9939407192181542</v>
      </c>
      <c r="O21" s="1">
        <v>0.97738688913926253</v>
      </c>
      <c r="P21" s="7">
        <v>40270.812176857042</v>
      </c>
      <c r="Q21" s="7">
        <f>SUM($P$4:P21)</f>
        <v>647413.27622798074</v>
      </c>
      <c r="S21" s="1">
        <v>0.39077703200476271</v>
      </c>
      <c r="T21" s="7">
        <v>4490.8981989650956</v>
      </c>
      <c r="U21" s="7">
        <f>SUM($T$4:T21)</f>
        <v>1684498.1660289047</v>
      </c>
    </row>
    <row r="22" spans="14:21" x14ac:dyDescent="0.25">
      <c r="N22" s="1">
        <v>-2.4521156710348886</v>
      </c>
      <c r="O22" s="1">
        <v>0.4672931329656026</v>
      </c>
      <c r="P22" s="7">
        <v>239.28581448054265</v>
      </c>
      <c r="Q22" s="7">
        <f>SUM($P$4:P22)</f>
        <v>647652.56204246124</v>
      </c>
      <c r="S22" s="33">
        <v>0.39079499690783254</v>
      </c>
      <c r="T22" s="34">
        <v>18537.83130639161</v>
      </c>
      <c r="U22" s="34">
        <f>SUM($T$4:T22)</f>
        <v>1703035.9973352964</v>
      </c>
    </row>
    <row r="23" spans="14:21" x14ac:dyDescent="0.25">
      <c r="N23" s="1">
        <v>-2.4521156710348886</v>
      </c>
      <c r="O23" s="1">
        <v>0.77362100319819394</v>
      </c>
      <c r="P23" s="7">
        <v>7865.6228853992989</v>
      </c>
      <c r="Q23" s="7">
        <f>SUM($P$4:P23)</f>
        <v>655518.18492786051</v>
      </c>
      <c r="S23" s="1">
        <v>0.39256110936000738</v>
      </c>
      <c r="T23" s="7">
        <v>59.937606442966626</v>
      </c>
      <c r="U23" s="7">
        <f>SUM($T$4:T23)</f>
        <v>1703095.9349417393</v>
      </c>
    </row>
    <row r="24" spans="14:21" x14ac:dyDescent="0.25">
      <c r="N24" s="1">
        <v>-2.4233962837795024</v>
      </c>
      <c r="O24" s="1">
        <v>0.97738688913926275</v>
      </c>
      <c r="P24" s="7">
        <v>166783.72932441893</v>
      </c>
      <c r="Q24" s="7">
        <f>SUM($P$4:P24)</f>
        <v>822301.91425227944</v>
      </c>
      <c r="S24" s="33">
        <v>0.39849029325848362</v>
      </c>
      <c r="T24" s="34">
        <v>2842.3845727537714</v>
      </c>
      <c r="U24" s="34">
        <f>SUM($T$4:T24)</f>
        <v>1705938.319514493</v>
      </c>
    </row>
    <row r="25" spans="14:21" x14ac:dyDescent="0.25">
      <c r="N25" s="1">
        <v>-2.419289187851335</v>
      </c>
      <c r="O25" s="1">
        <v>-0.14691685958113598</v>
      </c>
      <c r="P25" s="7">
        <v>2782.1721551164701</v>
      </c>
      <c r="Q25" s="7">
        <f>SUM($P$4:P25)</f>
        <v>825084.08640739589</v>
      </c>
      <c r="S25" s="1">
        <v>0.39945244400678936</v>
      </c>
      <c r="T25" s="7">
        <v>0</v>
      </c>
      <c r="U25" s="7">
        <f>SUM($T$4:T25)</f>
        <v>1705938.319514493</v>
      </c>
    </row>
    <row r="26" spans="14:21" x14ac:dyDescent="0.25">
      <c r="N26" s="1">
        <v>-2.3861665887837624</v>
      </c>
      <c r="O26" s="1">
        <v>0.4672931329656026</v>
      </c>
      <c r="P26" s="7">
        <v>318.43241905276449</v>
      </c>
      <c r="Q26" s="7">
        <f>SUM($P$4:P26)</f>
        <v>825402.51882644871</v>
      </c>
      <c r="S26" s="33">
        <v>0.40155497015203706</v>
      </c>
      <c r="T26" s="34">
        <v>1.0139146897587412</v>
      </c>
      <c r="U26" s="34">
        <f>SUM($T$4:T26)</f>
        <v>1705939.3334291826</v>
      </c>
    </row>
    <row r="27" spans="14:21" x14ac:dyDescent="0.25">
      <c r="N27" s="1">
        <v>-2.3861665887837624</v>
      </c>
      <c r="O27" s="1">
        <v>0.67410983752979503</v>
      </c>
      <c r="P27" s="7">
        <v>9101.0452943336022</v>
      </c>
      <c r="Q27" s="7">
        <f>SUM($P$4:P27)</f>
        <v>834503.56412078231</v>
      </c>
      <c r="S27" s="1">
        <v>0.40221275807976958</v>
      </c>
      <c r="T27" s="7">
        <v>3515.6627298873191</v>
      </c>
      <c r="U27" s="7">
        <f>SUM($T$4:T27)</f>
        <v>1709454.9961590699</v>
      </c>
    </row>
    <row r="28" spans="14:21" x14ac:dyDescent="0.25">
      <c r="N28" s="1">
        <v>-2.2239257747150929</v>
      </c>
      <c r="O28" s="1">
        <v>0.4672931329656026</v>
      </c>
      <c r="P28" s="7">
        <v>17691.390786215605</v>
      </c>
      <c r="Q28" s="7">
        <f>SUM($P$4:P28)</f>
        <v>852194.95490699797</v>
      </c>
      <c r="S28" s="33">
        <v>0.40794358718426899</v>
      </c>
      <c r="T28" s="34">
        <v>423.47688228980559</v>
      </c>
      <c r="U28" s="34">
        <f>SUM($T$4:T28)</f>
        <v>1709878.4730413598</v>
      </c>
    </row>
    <row r="29" spans="14:21" x14ac:dyDescent="0.25">
      <c r="N29" s="1">
        <v>-2.2239257747150929</v>
      </c>
      <c r="O29" s="1">
        <v>1.2304919070027225</v>
      </c>
      <c r="P29" s="7">
        <v>113541.767300072</v>
      </c>
      <c r="Q29" s="7">
        <f>SUM($P$4:P29)</f>
        <v>965736.72220706998</v>
      </c>
      <c r="S29" s="1">
        <v>0.40833687299633525</v>
      </c>
      <c r="T29" s="7">
        <v>76.030744426143571</v>
      </c>
      <c r="U29" s="7">
        <f>SUM($T$4:T29)</f>
        <v>1709954.503785786</v>
      </c>
    </row>
    <row r="30" spans="14:21" x14ac:dyDescent="0.25">
      <c r="N30" s="1">
        <v>-2.1462333666955802</v>
      </c>
      <c r="O30" s="1">
        <v>0.97738688913926208</v>
      </c>
      <c r="P30" s="7">
        <v>106573.67479984659</v>
      </c>
      <c r="Q30" s="7">
        <f>SUM($P$4:P30)</f>
        <v>1072310.3970069166</v>
      </c>
      <c r="S30" s="33">
        <v>0.41884502741441992</v>
      </c>
      <c r="T30" s="34">
        <v>1736.2150683792622</v>
      </c>
      <c r="U30" s="34">
        <f>SUM($T$4:T30)</f>
        <v>1711690.7188541652</v>
      </c>
    </row>
    <row r="31" spans="14:21" x14ac:dyDescent="0.25">
      <c r="N31" s="1">
        <v>-2.1462333666955802</v>
      </c>
      <c r="O31" s="1">
        <v>0.4672931329656026</v>
      </c>
      <c r="P31" s="7">
        <v>56059.967965929216</v>
      </c>
      <c r="Q31" s="7">
        <f>SUM($P$4:P31)</f>
        <v>1128370.3649728459</v>
      </c>
      <c r="S31" s="1">
        <v>0.42297297401521511</v>
      </c>
      <c r="T31" s="7">
        <v>3936.6677977856789</v>
      </c>
      <c r="U31" s="7">
        <f>SUM($T$4:T31)</f>
        <v>1715627.3866519509</v>
      </c>
    </row>
    <row r="32" spans="14:21" x14ac:dyDescent="0.25">
      <c r="N32" s="1">
        <v>-2.1339466048744784</v>
      </c>
      <c r="O32" s="1">
        <v>0.97738688913926219</v>
      </c>
      <c r="P32" s="7">
        <v>55944.917400584498</v>
      </c>
      <c r="Q32" s="7">
        <f>SUM($P$4:P32)</f>
        <v>1184315.2823734304</v>
      </c>
      <c r="S32" s="33">
        <v>0.43742304496645162</v>
      </c>
      <c r="T32" s="34">
        <v>51174.728149903545</v>
      </c>
      <c r="U32" s="34">
        <f>SUM($T$4:T32)</f>
        <v>1766802.1148018544</v>
      </c>
    </row>
    <row r="33" spans="14:21" x14ac:dyDescent="0.25">
      <c r="N33" s="1">
        <v>-2.0305204206127274</v>
      </c>
      <c r="O33" s="1">
        <v>0.37368649964878498</v>
      </c>
      <c r="P33" s="7">
        <v>116.66193093170637</v>
      </c>
      <c r="Q33" s="7">
        <f>SUM($P$4:P33)</f>
        <v>1184431.9443043622</v>
      </c>
      <c r="S33" s="1">
        <v>0.44099484804725886</v>
      </c>
      <c r="T33" s="7">
        <v>870.43556699667874</v>
      </c>
      <c r="U33" s="7">
        <f>SUM($T$4:T33)</f>
        <v>1767672.5503688511</v>
      </c>
    </row>
    <row r="34" spans="14:21" x14ac:dyDescent="0.25">
      <c r="N34" s="1">
        <v>-2.0227495107528393</v>
      </c>
      <c r="O34" s="1">
        <v>0.38145740950867718</v>
      </c>
      <c r="P34" s="7">
        <v>113.97098615265178</v>
      </c>
      <c r="Q34" s="7">
        <f>SUM($P$4:P34)</f>
        <v>1184545.9152905149</v>
      </c>
      <c r="S34" s="33">
        <v>0.44953636493952409</v>
      </c>
      <c r="T34" s="34">
        <v>86543.408874652901</v>
      </c>
      <c r="U34" s="34">
        <f>SUM($T$4:T34)</f>
        <v>1854215.9592435039</v>
      </c>
    </row>
    <row r="35" spans="14:21" x14ac:dyDescent="0.25">
      <c r="N35" s="1">
        <v>-2.0202731874183506</v>
      </c>
      <c r="O35" s="1">
        <v>0.38393373284316173</v>
      </c>
      <c r="P35" s="7">
        <v>19.870527705429538</v>
      </c>
      <c r="Q35" s="7">
        <f>SUM($P$4:P35)</f>
        <v>1184565.7858182203</v>
      </c>
      <c r="S35" s="1">
        <v>0.4643532811229259</v>
      </c>
      <c r="T35" s="7">
        <v>141995.90273898144</v>
      </c>
      <c r="U35" s="7">
        <f>SUM($T$4:T35)</f>
        <v>1996211.8619824853</v>
      </c>
    </row>
    <row r="36" spans="14:21" x14ac:dyDescent="0.25">
      <c r="N36" s="1">
        <v>-2.0193742854541559</v>
      </c>
      <c r="O36" s="1">
        <v>0.38483263480735791</v>
      </c>
      <c r="P36" s="7">
        <v>528.31160988766032</v>
      </c>
      <c r="Q36" s="7">
        <f>SUM($P$4:P36)</f>
        <v>1185094.0974281081</v>
      </c>
      <c r="S36" s="33">
        <v>0.46879645606328157</v>
      </c>
      <c r="T36" s="34">
        <v>843.51701791413245</v>
      </c>
      <c r="U36" s="34">
        <f>SUM($T$4:T36)</f>
        <v>1997055.3790003995</v>
      </c>
    </row>
    <row r="37" spans="14:21" x14ac:dyDescent="0.25">
      <c r="N37" s="1">
        <v>-2.0131550286721267</v>
      </c>
      <c r="O37" s="1">
        <v>0.4672931329656026</v>
      </c>
      <c r="P37" s="7">
        <v>9.4548811052827233</v>
      </c>
      <c r="Q37" s="7">
        <f>SUM($P$4:P37)</f>
        <v>1185103.5523092134</v>
      </c>
      <c r="S37" s="1">
        <v>0.46879645606328157</v>
      </c>
      <c r="T37" s="7">
        <v>361.64839476665543</v>
      </c>
      <c r="U37" s="7">
        <f>SUM($T$4:T37)</f>
        <v>1997417.0273951662</v>
      </c>
    </row>
    <row r="38" spans="14:21" x14ac:dyDescent="0.25">
      <c r="N38" s="1">
        <v>-2.0131550286721267</v>
      </c>
      <c r="O38" s="1">
        <v>0.39105189158938575</v>
      </c>
      <c r="P38" s="7">
        <v>59.937606442966626</v>
      </c>
      <c r="Q38" s="7">
        <f>SUM($P$4:P38)</f>
        <v>1185163.4899156564</v>
      </c>
      <c r="S38" s="33">
        <v>0.46879645606328157</v>
      </c>
      <c r="T38" s="34">
        <v>1120.780243833535</v>
      </c>
      <c r="U38" s="34">
        <f>SUM($T$4:T38)</f>
        <v>1998537.8076389998</v>
      </c>
    </row>
    <row r="39" spans="14:21" x14ac:dyDescent="0.25">
      <c r="N39" s="1">
        <v>-2.0071271053248574</v>
      </c>
      <c r="O39" s="1">
        <v>0.39707981493665734</v>
      </c>
      <c r="P39" s="7">
        <v>2842.3845727537714</v>
      </c>
      <c r="Q39" s="7">
        <f>SUM($P$4:P39)</f>
        <v>1188005.8744884101</v>
      </c>
      <c r="S39" s="1">
        <v>0.46879645606328157</v>
      </c>
      <c r="T39" s="7">
        <v>1117.6697288643488</v>
      </c>
      <c r="U39" s="7">
        <f>SUM($T$4:T39)</f>
        <v>1999655.4773678642</v>
      </c>
    </row>
    <row r="40" spans="14:21" x14ac:dyDescent="0.25">
      <c r="N40" s="1">
        <v>-2.0071271053248574</v>
      </c>
      <c r="O40" s="1">
        <v>0.4672931329656026</v>
      </c>
      <c r="P40" s="7">
        <v>1495.1533612281635</v>
      </c>
      <c r="Q40" s="7">
        <f>SUM($P$4:P40)</f>
        <v>1189501.0278496381</v>
      </c>
      <c r="S40" s="33">
        <v>0.46879645606328157</v>
      </c>
      <c r="T40" s="34">
        <v>13422.110860338913</v>
      </c>
      <c r="U40" s="34">
        <f>SUM($T$4:T40)</f>
        <v>2013077.5882282031</v>
      </c>
    </row>
    <row r="41" spans="14:21" x14ac:dyDescent="0.25">
      <c r="N41" s="1">
        <v>-2.004166800695204</v>
      </c>
      <c r="O41" s="1">
        <v>0.4672931329656026</v>
      </c>
      <c r="P41" s="7">
        <v>0.53334019995847881</v>
      </c>
      <c r="Q41" s="7">
        <f>SUM($P$4:P41)</f>
        <v>1189501.561189838</v>
      </c>
      <c r="S41" s="1">
        <v>0.46879645606328157</v>
      </c>
      <c r="T41" s="7">
        <v>318.43241905276449</v>
      </c>
      <c r="U41" s="7">
        <f>SUM($T$4:T41)</f>
        <v>2013396.0206472559</v>
      </c>
    </row>
    <row r="42" spans="14:21" x14ac:dyDescent="0.25">
      <c r="N42" s="1">
        <v>-2.004166800695204</v>
      </c>
      <c r="O42" s="1">
        <v>0.40004011956630897</v>
      </c>
      <c r="P42" s="7">
        <v>1.0139146897587412</v>
      </c>
      <c r="Q42" s="7">
        <f>SUM($P$4:P42)</f>
        <v>1189502.5751045276</v>
      </c>
      <c r="S42" s="33">
        <v>0.46879645606328157</v>
      </c>
      <c r="T42" s="34">
        <v>239.28581448054265</v>
      </c>
      <c r="U42" s="34">
        <f>SUM($T$4:T42)</f>
        <v>2013635.3064617366</v>
      </c>
    </row>
    <row r="43" spans="14:21" x14ac:dyDescent="0.25">
      <c r="N43" s="1">
        <v>-1.9977821848254711</v>
      </c>
      <c r="O43" s="1">
        <v>0.40642473543604118</v>
      </c>
      <c r="P43" s="7">
        <v>423.47688228980559</v>
      </c>
      <c r="Q43" s="7">
        <f>SUM($P$4:P43)</f>
        <v>1189926.0519868175</v>
      </c>
      <c r="S43" s="1">
        <v>0.46879645606328157</v>
      </c>
      <c r="T43" s="7">
        <v>9.4548811052827233</v>
      </c>
      <c r="U43" s="7">
        <f>SUM($T$4:T43)</f>
        <v>2013644.7613428419</v>
      </c>
    </row>
    <row r="44" spans="14:21" x14ac:dyDescent="0.25">
      <c r="N44" s="1">
        <v>-1.9977821848254711</v>
      </c>
      <c r="O44" s="1">
        <v>0.4672931329656026</v>
      </c>
      <c r="P44" s="7">
        <v>16.762134066415669</v>
      </c>
      <c r="Q44" s="7">
        <f>SUM($P$4:P44)</f>
        <v>1189942.8141208838</v>
      </c>
      <c r="S44" s="33">
        <v>0.46879645606328157</v>
      </c>
      <c r="T44" s="34">
        <v>1495.1533612281635</v>
      </c>
      <c r="U44" s="34">
        <f>SUM($T$4:T44)</f>
        <v>2015139.91470407</v>
      </c>
    </row>
    <row r="45" spans="14:21" x14ac:dyDescent="0.25">
      <c r="N45" s="1">
        <v>-1.9973891453265649</v>
      </c>
      <c r="O45" s="1">
        <v>0.40681777493494881</v>
      </c>
      <c r="P45" s="7">
        <v>76.030744426143571</v>
      </c>
      <c r="Q45" s="7">
        <f>SUM($P$4:P45)</f>
        <v>1190018.84486531</v>
      </c>
      <c r="S45" s="1">
        <v>0.46879645606328157</v>
      </c>
      <c r="T45" s="7">
        <v>0.53334019995847881</v>
      </c>
      <c r="U45" s="7">
        <f>SUM($T$4:T45)</f>
        <v>2015140.4480442698</v>
      </c>
    </row>
    <row r="46" spans="14:21" x14ac:dyDescent="0.25">
      <c r="N46" s="1">
        <v>-1.9868845531200463</v>
      </c>
      <c r="O46" s="1">
        <v>0.41732236714146631</v>
      </c>
      <c r="P46" s="7">
        <v>1736.2150683792622</v>
      </c>
      <c r="Q46" s="7">
        <f>SUM($P$4:P46)</f>
        <v>1191755.0599336892</v>
      </c>
      <c r="S46" s="33">
        <v>0.46879645606328157</v>
      </c>
      <c r="T46" s="34">
        <v>16.762134066415669</v>
      </c>
      <c r="U46" s="34">
        <f>SUM($T$4:T46)</f>
        <v>2015157.2101783361</v>
      </c>
    </row>
    <row r="47" spans="14:21" x14ac:dyDescent="0.25">
      <c r="N47" s="1">
        <v>-1.984349841954884</v>
      </c>
      <c r="O47" s="1">
        <v>1.4263152691032981</v>
      </c>
      <c r="P47" s="7">
        <v>0</v>
      </c>
      <c r="Q47" s="7">
        <f>SUM($P$4:P47)</f>
        <v>1191755.0599336892</v>
      </c>
      <c r="S47" s="1">
        <v>0.46879645606328157</v>
      </c>
      <c r="T47" s="7">
        <v>45523.63178136685</v>
      </c>
      <c r="U47" s="7">
        <f>SUM($T$4:T47)</f>
        <v>2060680.841959703</v>
      </c>
    </row>
    <row r="48" spans="14:21" x14ac:dyDescent="0.25">
      <c r="N48" s="1">
        <v>-1.984349841954884</v>
      </c>
      <c r="O48" s="1">
        <v>0.4672931329656026</v>
      </c>
      <c r="P48" s="7">
        <v>0</v>
      </c>
      <c r="Q48" s="7">
        <f>SUM($P$4:P48)</f>
        <v>1191755.0599336892</v>
      </c>
      <c r="S48" s="33">
        <v>0.46879645606328157</v>
      </c>
      <c r="T48" s="34">
        <v>0</v>
      </c>
      <c r="U48" s="34">
        <f>SUM($T$4:T48)</f>
        <v>2060680.841959703</v>
      </c>
    </row>
    <row r="49" spans="14:21" x14ac:dyDescent="0.25">
      <c r="N49" s="1">
        <v>-1.9826031070438808</v>
      </c>
      <c r="O49" s="1">
        <v>0.42160381321763152</v>
      </c>
      <c r="P49" s="7">
        <v>3936.6677977856789</v>
      </c>
      <c r="Q49" s="7">
        <f>SUM($P$4:P49)</f>
        <v>1195691.7277314749</v>
      </c>
      <c r="S49" s="1">
        <v>0.46879645606328157</v>
      </c>
      <c r="T49" s="7">
        <v>56059.967965929216</v>
      </c>
      <c r="U49" s="7">
        <f>SUM($T$4:T49)</f>
        <v>2116740.8099256321</v>
      </c>
    </row>
    <row r="50" spans="14:21" x14ac:dyDescent="0.25">
      <c r="N50" s="1">
        <v>-1.9563441520871856</v>
      </c>
      <c r="O50" s="1">
        <v>0.44786276817432807</v>
      </c>
      <c r="P50" s="7">
        <v>86543.408874652901</v>
      </c>
      <c r="Q50" s="7">
        <f>SUM($P$4:P50)</f>
        <v>1282235.1366061277</v>
      </c>
      <c r="S50" s="33">
        <v>0.46879645606328157</v>
      </c>
      <c r="T50" s="34">
        <v>8.5583901369802806</v>
      </c>
      <c r="U50" s="34">
        <f>SUM($T$4:T50)</f>
        <v>2116749.3683157689</v>
      </c>
    </row>
    <row r="51" spans="14:21" x14ac:dyDescent="0.25">
      <c r="N51" s="1">
        <v>-1.9563441520871856</v>
      </c>
      <c r="O51" s="1">
        <v>0.4672931329656026</v>
      </c>
      <c r="P51" s="7">
        <v>45523.63178136685</v>
      </c>
      <c r="Q51" s="7">
        <f>SUM($P$4:P51)</f>
        <v>1327758.7683874946</v>
      </c>
      <c r="S51" s="1">
        <v>0.46879645606328157</v>
      </c>
      <c r="T51" s="7">
        <v>0</v>
      </c>
      <c r="U51" s="7">
        <f>SUM($T$4:T51)</f>
        <v>2116749.3683157689</v>
      </c>
    </row>
    <row r="52" spans="14:21" x14ac:dyDescent="0.25">
      <c r="N52" s="1">
        <v>-1.9048534768386352</v>
      </c>
      <c r="O52" s="1">
        <v>0.49935344342287746</v>
      </c>
      <c r="P52" s="7">
        <v>5015.8502214553228</v>
      </c>
      <c r="Q52" s="7">
        <f>SUM($P$4:P52)</f>
        <v>1332774.6186089499</v>
      </c>
      <c r="S52" s="33">
        <v>0.46879645606328157</v>
      </c>
      <c r="T52" s="34">
        <v>17691.390786215605</v>
      </c>
      <c r="U52" s="34">
        <f>SUM($T$4:T52)</f>
        <v>2134440.7591019846</v>
      </c>
    </row>
    <row r="53" spans="14:21" x14ac:dyDescent="0.25">
      <c r="N53" s="1">
        <v>-1.9034258936939203</v>
      </c>
      <c r="O53" s="1">
        <v>0.50078102656759649</v>
      </c>
      <c r="P53" s="7">
        <v>1006.8998567540093</v>
      </c>
      <c r="Q53" s="7">
        <f>SUM($P$4:P53)</f>
        <v>1333781.5184657041</v>
      </c>
      <c r="S53" s="1">
        <v>0.46879645606328157</v>
      </c>
      <c r="T53" s="7">
        <v>7499.3128438664517</v>
      </c>
      <c r="U53" s="7">
        <f>SUM($T$4:T53)</f>
        <v>2141940.0719458512</v>
      </c>
    </row>
    <row r="54" spans="14:21" x14ac:dyDescent="0.25">
      <c r="N54" s="1">
        <v>-1.9034258936939177</v>
      </c>
      <c r="O54" s="1">
        <v>0.50078102656759582</v>
      </c>
      <c r="P54" s="7">
        <v>451.44528813003114</v>
      </c>
      <c r="Q54" s="7">
        <f>SUM($P$4:P54)</f>
        <v>1334232.9637538341</v>
      </c>
      <c r="S54" s="33">
        <v>0.46879645606328157</v>
      </c>
      <c r="T54" s="34">
        <v>5650.0587094169359</v>
      </c>
      <c r="U54" s="34">
        <f>SUM($T$4:T54)</f>
        <v>2147590.1306552682</v>
      </c>
    </row>
    <row r="55" spans="14:21" x14ac:dyDescent="0.25">
      <c r="N55" s="1">
        <v>-1.9034258936939168</v>
      </c>
      <c r="O55" s="1">
        <v>0.4672931329656026</v>
      </c>
      <c r="P55" s="7">
        <v>0</v>
      </c>
      <c r="Q55" s="7">
        <f>SUM($P$4:P55)</f>
        <v>1334232.9637538341</v>
      </c>
      <c r="S55" s="1">
        <v>0.46879645606328157</v>
      </c>
      <c r="T55" s="7">
        <v>402.4054804502851</v>
      </c>
      <c r="U55" s="7">
        <f>SUM($T$4:T55)</f>
        <v>2147992.5361357187</v>
      </c>
    </row>
    <row r="56" spans="14:21" x14ac:dyDescent="0.25">
      <c r="N56" s="1">
        <v>-1.9034258936939168</v>
      </c>
      <c r="O56" s="1">
        <v>0.5007810265675956</v>
      </c>
      <c r="P56" s="7">
        <v>0</v>
      </c>
      <c r="Q56" s="7">
        <f>SUM($P$4:P56)</f>
        <v>1334232.9637538341</v>
      </c>
      <c r="S56" s="33">
        <v>0.46879645606328157</v>
      </c>
      <c r="T56" s="34">
        <v>0</v>
      </c>
      <c r="U56" s="34">
        <f>SUM($T$4:T56)</f>
        <v>2147992.5361357187</v>
      </c>
    </row>
    <row r="57" spans="14:21" x14ac:dyDescent="0.25">
      <c r="N57" s="1">
        <v>-1.9034258936939159</v>
      </c>
      <c r="O57" s="1">
        <v>0.50078102656759549</v>
      </c>
      <c r="P57" s="7">
        <v>3256.7291713879167</v>
      </c>
      <c r="Q57" s="7">
        <f>SUM($P$4:P57)</f>
        <v>1337489.692925222</v>
      </c>
      <c r="S57" s="1">
        <v>0.46879645606328157</v>
      </c>
      <c r="T57" s="7">
        <v>0</v>
      </c>
      <c r="U57" s="7">
        <f>SUM($T$4:T57)</f>
        <v>2147992.5361357187</v>
      </c>
    </row>
    <row r="58" spans="14:21" x14ac:dyDescent="0.25">
      <c r="N58" s="1">
        <v>-1.8862935958635241</v>
      </c>
      <c r="O58" s="1">
        <v>0.5179133243979881</v>
      </c>
      <c r="P58" s="7">
        <v>3656.8703470838163</v>
      </c>
      <c r="Q58" s="7">
        <f>SUM($P$4:P58)</f>
        <v>1341146.5632723058</v>
      </c>
      <c r="S58" s="33">
        <v>0.46879645606328157</v>
      </c>
      <c r="T58" s="34">
        <v>58.985839234662066</v>
      </c>
      <c r="U58" s="34">
        <f>SUM($T$4:T58)</f>
        <v>2148051.5219749534</v>
      </c>
    </row>
    <row r="59" spans="14:21" x14ac:dyDescent="0.25">
      <c r="N59" s="1">
        <v>-1.8781339009530855</v>
      </c>
      <c r="O59" s="1">
        <v>0.52607301930842676</v>
      </c>
      <c r="P59" s="7">
        <v>19194.627360026549</v>
      </c>
      <c r="Q59" s="7">
        <f>SUM($P$4:P59)</f>
        <v>1360341.1906323323</v>
      </c>
      <c r="S59" s="1">
        <v>0.46879645606328157</v>
      </c>
      <c r="T59" s="7">
        <v>3243.6473420483571</v>
      </c>
      <c r="U59" s="7">
        <f>SUM($T$4:T59)</f>
        <v>2151295.1693170019</v>
      </c>
    </row>
    <row r="60" spans="14:21" x14ac:dyDescent="0.25">
      <c r="N60" s="1">
        <v>-1.8720646301964523</v>
      </c>
      <c r="O60" s="1">
        <v>0.5321422900650602</v>
      </c>
      <c r="P60" s="7">
        <v>1049.9682136959284</v>
      </c>
      <c r="Q60" s="7">
        <f>SUM($P$4:P60)</f>
        <v>1361391.1588460284</v>
      </c>
      <c r="S60" s="33">
        <v>0.46879645606328157</v>
      </c>
      <c r="T60" s="34">
        <v>18041.210993117689</v>
      </c>
      <c r="U60" s="34">
        <f>SUM($T$4:T60)</f>
        <v>2169336.3803101196</v>
      </c>
    </row>
    <row r="61" spans="14:21" x14ac:dyDescent="0.25">
      <c r="N61" s="1">
        <v>-1.8033881638395048</v>
      </c>
      <c r="O61" s="1">
        <v>0.39780112308435872</v>
      </c>
      <c r="P61" s="7">
        <v>0</v>
      </c>
      <c r="Q61" s="7">
        <f>SUM($P$4:P61)</f>
        <v>1361391.1588460284</v>
      </c>
      <c r="S61" s="1">
        <v>0.46879645606328157</v>
      </c>
      <c r="T61" s="7">
        <v>401.28867965234974</v>
      </c>
      <c r="U61" s="7">
        <f>SUM($T$4:T61)</f>
        <v>2169737.668989772</v>
      </c>
    </row>
    <row r="62" spans="14:21" x14ac:dyDescent="0.25">
      <c r="N62" s="1">
        <v>-1.7967922822783473</v>
      </c>
      <c r="O62" s="1">
        <v>0.97738688913926242</v>
      </c>
      <c r="P62" s="7">
        <v>142742.51939149908</v>
      </c>
      <c r="Q62" s="7">
        <f>SUM($P$4:P62)</f>
        <v>1504133.6782375274</v>
      </c>
      <c r="S62" s="33">
        <v>0.46879645606328157</v>
      </c>
      <c r="T62" s="34">
        <v>5254.7190340859215</v>
      </c>
      <c r="U62" s="34">
        <f>SUM($T$4:T62)</f>
        <v>2174992.388023858</v>
      </c>
    </row>
    <row r="63" spans="14:21" x14ac:dyDescent="0.25">
      <c r="N63" s="1">
        <v>-1.7967922822783473</v>
      </c>
      <c r="O63" s="1">
        <v>0.4672931329656026</v>
      </c>
      <c r="P63" s="7">
        <v>5650.0587094169359</v>
      </c>
      <c r="Q63" s="7">
        <f>SUM($P$4:P63)</f>
        <v>1509783.7369469444</v>
      </c>
      <c r="S63" s="1">
        <v>0.46879645606328157</v>
      </c>
      <c r="T63" s="7">
        <v>3342.505333046744</v>
      </c>
      <c r="U63" s="7">
        <f>SUM($T$4:T63)</f>
        <v>2178334.8933569049</v>
      </c>
    </row>
    <row r="64" spans="14:21" x14ac:dyDescent="0.25">
      <c r="N64" s="1">
        <v>-1.7705282647850258</v>
      </c>
      <c r="O64" s="1">
        <v>0.63367865547648627</v>
      </c>
      <c r="P64" s="7">
        <v>216.21831434278869</v>
      </c>
      <c r="Q64" s="7">
        <f>SUM($P$4:P64)</f>
        <v>1509999.9552612873</v>
      </c>
      <c r="S64" s="33">
        <v>0.46879645606328157</v>
      </c>
      <c r="T64" s="34">
        <v>6435.2455324606335</v>
      </c>
      <c r="U64" s="34">
        <f>SUM($T$4:T64)</f>
        <v>2184770.1388893654</v>
      </c>
    </row>
    <row r="65" spans="14:21" x14ac:dyDescent="0.25">
      <c r="N65" s="1">
        <v>-1.7705282647850258</v>
      </c>
      <c r="O65" s="1">
        <v>0.4672931329656026</v>
      </c>
      <c r="P65" s="7">
        <v>8.5583901369802806</v>
      </c>
      <c r="Q65" s="7">
        <f>SUM($P$4:P65)</f>
        <v>1510008.5136514243</v>
      </c>
      <c r="S65" s="1">
        <v>0.46879645606328157</v>
      </c>
      <c r="T65" s="7">
        <v>56.761808982021996</v>
      </c>
      <c r="U65" s="7">
        <f>SUM($T$4:T65)</f>
        <v>2184826.9006983475</v>
      </c>
    </row>
    <row r="66" spans="14:21" x14ac:dyDescent="0.25">
      <c r="N66" s="1">
        <v>-1.7614983797832529</v>
      </c>
      <c r="O66" s="1">
        <v>0.64270854047825887</v>
      </c>
      <c r="P66" s="7">
        <v>0</v>
      </c>
      <c r="Q66" s="7">
        <f>SUM($P$4:P66)</f>
        <v>1510008.5136514243</v>
      </c>
      <c r="S66" s="33">
        <v>0.46879645606328157</v>
      </c>
      <c r="T66" s="34">
        <v>1146.615460790335</v>
      </c>
      <c r="U66" s="34">
        <f>SUM($T$4:T66)</f>
        <v>2185973.5161591377</v>
      </c>
    </row>
    <row r="67" spans="14:21" x14ac:dyDescent="0.25">
      <c r="N67" s="1">
        <v>-1.7614983797832529</v>
      </c>
      <c r="O67" s="1">
        <v>0.4672931329656026</v>
      </c>
      <c r="P67" s="7">
        <v>0</v>
      </c>
      <c r="Q67" s="7">
        <f>SUM($P$4:P67)</f>
        <v>1510008.5136514243</v>
      </c>
      <c r="S67" s="1">
        <v>0.46879645606328157</v>
      </c>
      <c r="T67" s="7">
        <v>8309.8567264847952</v>
      </c>
      <c r="U67" s="7">
        <f>SUM($T$4:T67)</f>
        <v>2194283.3728856225</v>
      </c>
    </row>
    <row r="68" spans="14:21" x14ac:dyDescent="0.25">
      <c r="N68" s="1">
        <v>-1.6880764755566879</v>
      </c>
      <c r="O68" s="1">
        <v>0.71613044470482479</v>
      </c>
      <c r="P68" s="7">
        <v>114491.53940883272</v>
      </c>
      <c r="Q68" s="7">
        <f>SUM($P$4:P68)</f>
        <v>1624500.0530602571</v>
      </c>
      <c r="S68" s="33">
        <v>0.46879645606328157</v>
      </c>
      <c r="T68" s="34">
        <v>6280.7069976626035</v>
      </c>
      <c r="U68" s="34">
        <f>SUM($T$4:T68)</f>
        <v>2200564.0798832853</v>
      </c>
    </row>
    <row r="69" spans="14:21" x14ac:dyDescent="0.25">
      <c r="N69" s="1">
        <v>-1.6880764755566879</v>
      </c>
      <c r="O69" s="1">
        <v>1.3498045353129324</v>
      </c>
      <c r="P69" s="7">
        <v>156119.36343032928</v>
      </c>
      <c r="Q69" s="7">
        <f>SUM($P$4:P69)</f>
        <v>1780619.4164905865</v>
      </c>
      <c r="S69" s="1">
        <v>0.46879645606328157</v>
      </c>
      <c r="T69" s="7">
        <v>457.86719932368749</v>
      </c>
      <c r="U69" s="7">
        <f>SUM($T$4:T69)</f>
        <v>2201021.9470826089</v>
      </c>
    </row>
    <row r="70" spans="14:21" x14ac:dyDescent="0.25">
      <c r="N70" s="1">
        <v>-1.6783636673275446</v>
      </c>
      <c r="O70" s="1">
        <v>0.49614962194702583</v>
      </c>
      <c r="P70" s="7">
        <v>43132.755305089006</v>
      </c>
      <c r="Q70" s="7">
        <f>SUM($P$4:P70)</f>
        <v>1823752.1717956755</v>
      </c>
      <c r="S70" s="33">
        <v>0.46879645606328157</v>
      </c>
      <c r="T70" s="34">
        <v>4174.9034589365929</v>
      </c>
      <c r="U70" s="34">
        <f>SUM($T$4:T70)</f>
        <v>2205196.8505415455</v>
      </c>
    </row>
    <row r="71" spans="14:21" x14ac:dyDescent="0.25">
      <c r="N71" s="1">
        <v>-1.663616816755924</v>
      </c>
      <c r="O71" s="1">
        <v>0.74059010350558885</v>
      </c>
      <c r="P71" s="7">
        <v>316967.90779886756</v>
      </c>
      <c r="Q71" s="7">
        <f>SUM($P$4:P71)</f>
        <v>2140720.0795945432</v>
      </c>
      <c r="S71" s="1">
        <v>0.46879645606328157</v>
      </c>
      <c r="T71" s="7">
        <v>164.21940476821717</v>
      </c>
      <c r="U71" s="7">
        <f>SUM($T$4:T71)</f>
        <v>2205361.0699463137</v>
      </c>
    </row>
    <row r="72" spans="14:21" x14ac:dyDescent="0.25">
      <c r="N72" s="1">
        <v>-1.6610612193350758</v>
      </c>
      <c r="O72" s="1">
        <v>0.97738688913926253</v>
      </c>
      <c r="P72" s="7">
        <v>131532.51809129864</v>
      </c>
      <c r="Q72" s="7">
        <f>SUM($P$4:P72)</f>
        <v>2272252.5976858418</v>
      </c>
      <c r="S72" s="33">
        <v>0.46879645606328157</v>
      </c>
      <c r="T72" s="34">
        <v>7969.5797019415058</v>
      </c>
      <c r="U72" s="34">
        <f>SUM($T$4:T72)</f>
        <v>2213330.6496482552</v>
      </c>
    </row>
    <row r="73" spans="14:21" x14ac:dyDescent="0.25">
      <c r="N73" s="1">
        <v>-1.6498768461339095</v>
      </c>
      <c r="O73" s="1">
        <v>-0.22061295249342769</v>
      </c>
      <c r="P73" s="7">
        <v>12676.932189901294</v>
      </c>
      <c r="Q73" s="7">
        <f>SUM($P$4:P73)</f>
        <v>2284929.5298757432</v>
      </c>
      <c r="S73" s="1">
        <v>0.46879645606328157</v>
      </c>
      <c r="T73" s="7">
        <v>4644.2742401552459</v>
      </c>
      <c r="U73" s="7">
        <f>SUM($T$4:T73)</f>
        <v>2217974.9238884104</v>
      </c>
    </row>
    <row r="74" spans="14:21" x14ac:dyDescent="0.25">
      <c r="N74" s="1">
        <v>-1.6498768461339095</v>
      </c>
      <c r="O74" s="1">
        <v>0.4672931329656026</v>
      </c>
      <c r="P74" s="7">
        <v>402.4054804502851</v>
      </c>
      <c r="Q74" s="7">
        <f>SUM($P$4:P74)</f>
        <v>2285331.9353561937</v>
      </c>
      <c r="S74" s="33">
        <v>0.46879645606328157</v>
      </c>
      <c r="T74" s="34">
        <v>58.512467527153504</v>
      </c>
      <c r="U74" s="34">
        <f>SUM($T$4:T74)</f>
        <v>2218033.4363559377</v>
      </c>
    </row>
    <row r="75" spans="14:21" x14ac:dyDescent="0.25">
      <c r="N75" s="1">
        <v>-1.6353884600453192</v>
      </c>
      <c r="O75" s="1">
        <v>0.76881846021619471</v>
      </c>
      <c r="P75" s="7">
        <v>14256.685425333682</v>
      </c>
      <c r="Q75" s="7">
        <f>SUM($P$4:P75)</f>
        <v>2299588.6207815274</v>
      </c>
      <c r="S75" s="1">
        <v>0.46879645606328157</v>
      </c>
      <c r="T75" s="7">
        <v>41.178998155643662</v>
      </c>
      <c r="U75" s="7">
        <f>SUM($T$4:T75)</f>
        <v>2218074.6153540933</v>
      </c>
    </row>
    <row r="76" spans="14:21" x14ac:dyDescent="0.25">
      <c r="N76" s="1">
        <v>-1.6353884600453192</v>
      </c>
      <c r="O76" s="1">
        <v>0.7688184602161946</v>
      </c>
      <c r="P76" s="7">
        <v>33698.935653884422</v>
      </c>
      <c r="Q76" s="7">
        <f>SUM($P$4:P76)</f>
        <v>2333287.5564354118</v>
      </c>
      <c r="S76" s="33">
        <v>0.46879645606328157</v>
      </c>
      <c r="T76" s="34">
        <v>835.14453620872018</v>
      </c>
      <c r="U76" s="34">
        <f>SUM($T$4:T76)</f>
        <v>2218909.7598903021</v>
      </c>
    </row>
    <row r="77" spans="14:21" x14ac:dyDescent="0.25">
      <c r="N77" s="1">
        <v>-1.6353884600453192</v>
      </c>
      <c r="O77" s="1">
        <v>0.4672931329656026</v>
      </c>
      <c r="P77" s="7">
        <v>7499.3128438664517</v>
      </c>
      <c r="Q77" s="7">
        <f>SUM($P$4:P77)</f>
        <v>2340786.8692792784</v>
      </c>
      <c r="S77" s="1">
        <v>0.46879645606328157</v>
      </c>
      <c r="T77" s="7">
        <v>1707.5621527146432</v>
      </c>
      <c r="U77" s="7">
        <f>SUM($T$4:T77)</f>
        <v>2220617.3220430166</v>
      </c>
    </row>
    <row r="78" spans="14:21" x14ac:dyDescent="0.25">
      <c r="N78" s="1">
        <v>-1.6353884600453179</v>
      </c>
      <c r="O78" s="1">
        <v>0.76881846021619438</v>
      </c>
      <c r="P78" s="7">
        <v>116764.88919364836</v>
      </c>
      <c r="Q78" s="7">
        <f>SUM($P$4:P78)</f>
        <v>2457551.7584729269</v>
      </c>
      <c r="S78" s="33">
        <v>0.46879645606328157</v>
      </c>
      <c r="T78" s="34">
        <v>1491.0038440173473</v>
      </c>
      <c r="U78" s="34">
        <f>SUM($T$4:T78)</f>
        <v>2222108.3258870337</v>
      </c>
    </row>
    <row r="79" spans="14:21" x14ac:dyDescent="0.25">
      <c r="N79" s="1">
        <v>-1.5991162222161577</v>
      </c>
      <c r="O79" s="1">
        <v>0.57539706705841231</v>
      </c>
      <c r="P79" s="7">
        <v>1452479.5570661987</v>
      </c>
      <c r="Q79" s="7">
        <f>SUM($P$4:P79)</f>
        <v>3910031.3155391254</v>
      </c>
      <c r="S79" s="1">
        <v>0.46879645606328157</v>
      </c>
      <c r="T79" s="7">
        <v>0.53186001444952924</v>
      </c>
      <c r="U79" s="7">
        <f>SUM($T$4:T79)</f>
        <v>2222108.8577470481</v>
      </c>
    </row>
    <row r="80" spans="14:21" x14ac:dyDescent="0.25">
      <c r="N80" s="1">
        <v>-1.5885651785496615</v>
      </c>
      <c r="O80" s="1">
        <v>0.81564174171185133</v>
      </c>
      <c r="P80" s="7">
        <v>64054.624116169085</v>
      </c>
      <c r="Q80" s="7">
        <f>SUM($P$4:P80)</f>
        <v>3974085.9396552946</v>
      </c>
      <c r="S80" s="33">
        <v>0.46879645606328157</v>
      </c>
      <c r="T80" s="34">
        <v>456.59647494642331</v>
      </c>
      <c r="U80" s="34">
        <f>SUM($T$4:T80)</f>
        <v>2222565.4542219946</v>
      </c>
    </row>
    <row r="81" spans="14:21" x14ac:dyDescent="0.25">
      <c r="N81" s="1">
        <v>-1.584987198022715</v>
      </c>
      <c r="O81" s="1">
        <v>0.81921972223879724</v>
      </c>
      <c r="P81" s="7">
        <v>56382.665970807328</v>
      </c>
      <c r="Q81" s="7">
        <f>SUM($P$4:P81)</f>
        <v>4030468.6056261021</v>
      </c>
      <c r="S81" s="1">
        <v>0.46879645606328157</v>
      </c>
      <c r="T81" s="7">
        <v>45397.289495368597</v>
      </c>
      <c r="U81" s="7">
        <f>SUM($T$4:T81)</f>
        <v>2267962.7437173631</v>
      </c>
    </row>
    <row r="82" spans="14:21" x14ac:dyDescent="0.25">
      <c r="N82" s="1">
        <v>-1.584987198022715</v>
      </c>
      <c r="O82" s="1">
        <v>1.3498045353129324</v>
      </c>
      <c r="P82" s="7">
        <v>76875.333365969738</v>
      </c>
      <c r="Q82" s="7">
        <f>SUM($P$4:P82)</f>
        <v>4107343.9389920719</v>
      </c>
      <c r="S82" s="33">
        <v>0.46879645606328157</v>
      </c>
      <c r="T82" s="34">
        <v>95.748916000932752</v>
      </c>
      <c r="U82" s="34">
        <f>SUM($T$4:T82)</f>
        <v>2268058.4926333642</v>
      </c>
    </row>
    <row r="83" spans="14:21" x14ac:dyDescent="0.25">
      <c r="N83" s="1">
        <v>-1.5595670473974299</v>
      </c>
      <c r="O83" s="1">
        <v>0.61494624187714031</v>
      </c>
      <c r="P83" s="7">
        <v>21489.026238431277</v>
      </c>
      <c r="Q83" s="7">
        <f>SUM($P$4:P83)</f>
        <v>4128832.9652305031</v>
      </c>
      <c r="S83" s="1">
        <v>0.46879645606328157</v>
      </c>
      <c r="T83" s="7">
        <v>3192.3998087097798</v>
      </c>
      <c r="U83" s="7">
        <f>SUM($T$4:T83)</f>
        <v>2271250.8924420741</v>
      </c>
    </row>
    <row r="84" spans="14:21" x14ac:dyDescent="0.25">
      <c r="N84" s="1">
        <v>-1.5023279778075442</v>
      </c>
      <c r="O84" s="1">
        <v>1.3498045353129324</v>
      </c>
      <c r="P84" s="7">
        <v>103420.57907026491</v>
      </c>
      <c r="Q84" s="7">
        <f>SUM($P$4:P84)</f>
        <v>4232253.5443007676</v>
      </c>
      <c r="S84" s="33">
        <v>0.46879645606328157</v>
      </c>
      <c r="T84" s="34">
        <v>192.8508409716693</v>
      </c>
      <c r="U84" s="34">
        <f>SUM($T$4:T84)</f>
        <v>2271443.7432830459</v>
      </c>
    </row>
    <row r="85" spans="14:21" x14ac:dyDescent="0.25">
      <c r="N85" s="1">
        <v>-1.5023279778075442</v>
      </c>
      <c r="O85" s="1">
        <v>0.9018789424539676</v>
      </c>
      <c r="P85" s="7">
        <v>75844.41189187704</v>
      </c>
      <c r="Q85" s="7">
        <f>SUM($P$4:P85)</f>
        <v>4308097.9561926443</v>
      </c>
      <c r="S85" s="1">
        <v>0.46879645606328157</v>
      </c>
      <c r="T85" s="7">
        <v>55904.384058656113</v>
      </c>
      <c r="U85" s="7">
        <f>SUM($T$4:T85)</f>
        <v>2327348.1273417021</v>
      </c>
    </row>
    <row r="86" spans="14:21" x14ac:dyDescent="0.25">
      <c r="N86" s="1">
        <v>-1.4789321877336017</v>
      </c>
      <c r="O86" s="1">
        <v>1.3498045353129324</v>
      </c>
      <c r="P86" s="7">
        <v>177839.21458840321</v>
      </c>
      <c r="Q86" s="7">
        <f>SUM($P$4:P86)</f>
        <v>4485937.1707810471</v>
      </c>
      <c r="S86" s="33">
        <v>0.46879645606328157</v>
      </c>
      <c r="T86" s="34">
        <v>832.82674947434168</v>
      </c>
      <c r="U86" s="34">
        <f>SUM($T$4:T86)</f>
        <v>2328180.9540911764</v>
      </c>
    </row>
    <row r="87" spans="14:21" x14ac:dyDescent="0.25">
      <c r="N87" s="1">
        <v>-1.4789321877336017</v>
      </c>
      <c r="O87" s="1">
        <v>0.92527473252791004</v>
      </c>
      <c r="P87" s="7">
        <v>130419.98761781072</v>
      </c>
      <c r="Q87" s="7">
        <f>SUM($P$4:P87)</f>
        <v>4616357.1583988573</v>
      </c>
      <c r="S87" s="1">
        <v>0.46879645606328157</v>
      </c>
      <c r="T87" s="7">
        <v>525.89032555350798</v>
      </c>
      <c r="U87" s="7">
        <f>SUM($T$4:T87)</f>
        <v>2328706.8444167301</v>
      </c>
    </row>
    <row r="88" spans="14:21" x14ac:dyDescent="0.25">
      <c r="N88" s="1">
        <v>-1.4152039125174969</v>
      </c>
      <c r="O88" s="1">
        <v>2.7997804967521378</v>
      </c>
      <c r="P88" s="7">
        <v>104426.62516139673</v>
      </c>
      <c r="Q88" s="7">
        <f>SUM($P$4:P88)</f>
        <v>4720783.7835602537</v>
      </c>
      <c r="S88" s="33">
        <v>0.46879645606328157</v>
      </c>
      <c r="T88" s="34">
        <v>1702.8231348152322</v>
      </c>
      <c r="U88" s="34">
        <f>SUM($T$4:T88)</f>
        <v>2330409.6675515454</v>
      </c>
    </row>
    <row r="89" spans="14:21" x14ac:dyDescent="0.25">
      <c r="N89" s="1">
        <v>-1.4152039125174969</v>
      </c>
      <c r="O89" s="1">
        <v>0.4672931329656026</v>
      </c>
      <c r="P89" s="7">
        <v>4644.2742401552459</v>
      </c>
      <c r="Q89" s="7">
        <f>SUM($P$4:P89)</f>
        <v>4725428.0578004094</v>
      </c>
      <c r="S89" s="1">
        <v>0.46879645606328157</v>
      </c>
      <c r="T89" s="7">
        <v>7478.4999102090324</v>
      </c>
      <c r="U89" s="7">
        <f>SUM($T$4:T89)</f>
        <v>2337888.1674617543</v>
      </c>
    </row>
    <row r="90" spans="14:21" x14ac:dyDescent="0.25">
      <c r="N90" s="1">
        <v>-1.4126267988180841</v>
      </c>
      <c r="O90" s="1">
        <v>0.99158012144343211</v>
      </c>
      <c r="P90" s="7">
        <v>4777.5726107268574</v>
      </c>
      <c r="Q90" s="7">
        <f>SUM($P$4:P90)</f>
        <v>4730205.630411136</v>
      </c>
      <c r="S90" s="33">
        <v>0.46879645606328157</v>
      </c>
      <c r="T90" s="34">
        <v>3799.7819594950106</v>
      </c>
      <c r="U90" s="34">
        <f>SUM($T$4:T90)</f>
        <v>2341687.9494212493</v>
      </c>
    </row>
    <row r="91" spans="14:21" x14ac:dyDescent="0.25">
      <c r="N91" s="1">
        <v>-1.4126267988180818</v>
      </c>
      <c r="O91" s="1">
        <v>0.99158012144343133</v>
      </c>
      <c r="P91" s="7">
        <v>0</v>
      </c>
      <c r="Q91" s="7">
        <f>SUM($P$4:P91)</f>
        <v>4730205.630411136</v>
      </c>
      <c r="S91" s="1">
        <v>0.46879645606328157</v>
      </c>
      <c r="T91" s="7">
        <v>17743.564913972372</v>
      </c>
      <c r="U91" s="7">
        <f>SUM($T$4:T91)</f>
        <v>2359431.5143352216</v>
      </c>
    </row>
    <row r="92" spans="14:21" x14ac:dyDescent="0.25">
      <c r="N92" s="1">
        <v>-1.4126267988180814</v>
      </c>
      <c r="O92" s="1">
        <v>0.99158012144343133</v>
      </c>
      <c r="P92" s="7">
        <v>784.61214397851518</v>
      </c>
      <c r="Q92" s="7">
        <f>SUM($P$4:P92)</f>
        <v>4730990.2425551144</v>
      </c>
      <c r="S92" s="33">
        <v>0.46879645606328157</v>
      </c>
      <c r="T92" s="34">
        <v>3183.53990290108</v>
      </c>
      <c r="U92" s="34">
        <f>SUM($T$4:T92)</f>
        <v>2362615.0542381229</v>
      </c>
    </row>
    <row r="93" spans="14:21" x14ac:dyDescent="0.25">
      <c r="N93" s="1">
        <v>-1.412626798818081</v>
      </c>
      <c r="O93" s="1">
        <v>0.99158012144343122</v>
      </c>
      <c r="P93" s="7">
        <v>0</v>
      </c>
      <c r="Q93" s="7">
        <f>SUM($P$4:P93)</f>
        <v>4730990.2425551144</v>
      </c>
      <c r="S93" s="1">
        <v>0.46879645606328157</v>
      </c>
      <c r="T93" s="7">
        <v>250.46951704587329</v>
      </c>
      <c r="U93" s="7">
        <f>SUM($T$4:T93)</f>
        <v>2362865.5237551685</v>
      </c>
    </row>
    <row r="94" spans="14:21" x14ac:dyDescent="0.25">
      <c r="N94" s="1">
        <v>-1.412626798818081</v>
      </c>
      <c r="O94" s="1">
        <v>0.4672931329656026</v>
      </c>
      <c r="P94" s="7">
        <v>0</v>
      </c>
      <c r="Q94" s="7">
        <f>SUM($P$4:P94)</f>
        <v>4730990.2425551144</v>
      </c>
      <c r="S94" s="33">
        <v>0.46879645606328157</v>
      </c>
      <c r="T94" s="34">
        <v>0</v>
      </c>
      <c r="U94" s="34">
        <f>SUM($T$4:T94)</f>
        <v>2362865.5237551685</v>
      </c>
    </row>
    <row r="95" spans="14:21" x14ac:dyDescent="0.25">
      <c r="N95" s="1">
        <v>-1.3967912097249016</v>
      </c>
      <c r="O95" s="1">
        <v>0.77772207954966799</v>
      </c>
      <c r="P95" s="7">
        <v>188877.10424782516</v>
      </c>
      <c r="Q95" s="7">
        <f>SUM($P$4:P95)</f>
        <v>4919867.3468029397</v>
      </c>
      <c r="S95" s="1">
        <v>0.46879645606328157</v>
      </c>
      <c r="T95" s="7">
        <v>1563.0682535415342</v>
      </c>
      <c r="U95" s="7">
        <f>SUM($T$4:T95)</f>
        <v>2364428.5920087099</v>
      </c>
    </row>
    <row r="96" spans="14:21" x14ac:dyDescent="0.25">
      <c r="N96" s="1">
        <v>-1.3808313679047273</v>
      </c>
      <c r="O96" s="1">
        <v>0.29076811148401677</v>
      </c>
      <c r="P96" s="7">
        <v>26168.820672965907</v>
      </c>
      <c r="Q96" s="7">
        <f>SUM($P$4:P96)</f>
        <v>4946036.1674759053</v>
      </c>
      <c r="S96" s="33">
        <v>0.46879645606328157</v>
      </c>
      <c r="T96" s="34">
        <v>0.3957369734310518</v>
      </c>
      <c r="U96" s="34">
        <f>SUM($T$4:T96)</f>
        <v>2364428.9877456832</v>
      </c>
    </row>
    <row r="97" spans="14:21" x14ac:dyDescent="0.25">
      <c r="N97" s="1">
        <v>-1.3808313679047273</v>
      </c>
      <c r="O97" s="1">
        <v>0.4672931329656026</v>
      </c>
      <c r="P97" s="7">
        <v>3243.6473420483571</v>
      </c>
      <c r="Q97" s="7">
        <f>SUM($P$4:P97)</f>
        <v>4949279.8148179539</v>
      </c>
      <c r="S97" s="1">
        <v>0.46879645606328157</v>
      </c>
      <c r="T97" s="7">
        <v>3518.8627229125377</v>
      </c>
      <c r="U97" s="7">
        <f>SUM($T$4:T97)</f>
        <v>2367947.8504685955</v>
      </c>
    </row>
    <row r="98" spans="14:21" x14ac:dyDescent="0.25">
      <c r="N98" s="1">
        <v>-1.3757745673941897</v>
      </c>
      <c r="O98" s="1">
        <v>0.4672931329656026</v>
      </c>
      <c r="P98" s="7">
        <v>401.28867965234974</v>
      </c>
      <c r="Q98" s="7">
        <f>SUM($P$4:P98)</f>
        <v>4949681.1034976058</v>
      </c>
      <c r="S98" s="33">
        <v>0.46879645606328157</v>
      </c>
      <c r="T98" s="34">
        <v>84.247735486316486</v>
      </c>
      <c r="U98" s="34">
        <f>SUM($T$4:T98)</f>
        <v>2368032.0982040819</v>
      </c>
    </row>
    <row r="99" spans="14:21" x14ac:dyDescent="0.25">
      <c r="N99" s="1">
        <v>-1.3633570527640948</v>
      </c>
      <c r="O99" s="1">
        <v>1.0408498674974225</v>
      </c>
      <c r="P99" s="7">
        <v>52964.870723111657</v>
      </c>
      <c r="Q99" s="7">
        <f>SUM($P$4:P99)</f>
        <v>5002645.9742207173</v>
      </c>
      <c r="S99" s="1">
        <v>0.46879645606328157</v>
      </c>
      <c r="T99" s="7">
        <v>249.77438596519767</v>
      </c>
      <c r="U99" s="7">
        <f>SUM($T$4:T99)</f>
        <v>2368281.8725900473</v>
      </c>
    </row>
    <row r="100" spans="14:21" x14ac:dyDescent="0.25">
      <c r="N100" s="1">
        <v>-1.3633570527640948</v>
      </c>
      <c r="O100" s="1">
        <v>0.4672931329656026</v>
      </c>
      <c r="P100" s="7">
        <v>58.985839234662066</v>
      </c>
      <c r="Q100" s="7">
        <f>SUM($P$4:P100)</f>
        <v>5002704.960059952</v>
      </c>
      <c r="S100" s="33">
        <v>0.46879645606328157</v>
      </c>
      <c r="T100" s="34">
        <v>1558.7302513084924</v>
      </c>
      <c r="U100" s="34">
        <f>SUM($T$4:T100)</f>
        <v>2369840.6028413558</v>
      </c>
    </row>
    <row r="101" spans="14:21" x14ac:dyDescent="0.25">
      <c r="N101" s="1">
        <v>-1.358533704083926</v>
      </c>
      <c r="O101" s="1">
        <v>0.81597958519064395</v>
      </c>
      <c r="P101" s="7">
        <v>2035837.3511534417</v>
      </c>
      <c r="Q101" s="7">
        <f>SUM($P$4:P101)</f>
        <v>7038542.3112133937</v>
      </c>
      <c r="S101" s="1">
        <v>0.46879645606328157</v>
      </c>
      <c r="T101" s="7">
        <v>5240.1355487824294</v>
      </c>
      <c r="U101" s="7">
        <f>SUM($T$4:T101)</f>
        <v>2375080.7383901384</v>
      </c>
    </row>
    <row r="102" spans="14:21" x14ac:dyDescent="0.25">
      <c r="N102" s="1">
        <v>-1.3196045040170097</v>
      </c>
      <c r="O102" s="1">
        <v>0.4672931329656026</v>
      </c>
      <c r="P102" s="7">
        <v>18041.210993117689</v>
      </c>
      <c r="Q102" s="7">
        <f>SUM($P$4:P102)</f>
        <v>7056583.5222065113</v>
      </c>
      <c r="S102" s="33">
        <v>0.46879645606328157</v>
      </c>
      <c r="T102" s="34">
        <v>1458.8027601479635</v>
      </c>
      <c r="U102" s="34">
        <f>SUM($T$4:T102)</f>
        <v>2376539.5411502863</v>
      </c>
    </row>
    <row r="103" spans="14:21" x14ac:dyDescent="0.25">
      <c r="N103" s="1">
        <v>-1.3196045040170097</v>
      </c>
      <c r="O103" s="1">
        <v>1.0674536938902881</v>
      </c>
      <c r="P103" s="7">
        <v>355014.99885355233</v>
      </c>
      <c r="Q103" s="7">
        <f>SUM($P$4:P103)</f>
        <v>7411598.5210600635</v>
      </c>
      <c r="S103" s="1">
        <v>0.46879645606328157</v>
      </c>
      <c r="T103" s="7">
        <v>0.38088689773579798</v>
      </c>
      <c r="U103" s="7">
        <f>SUM($T$4:T103)</f>
        <v>2376539.9220371842</v>
      </c>
    </row>
    <row r="104" spans="14:21" x14ac:dyDescent="0.25">
      <c r="N104" s="1">
        <v>-1.316001647904363</v>
      </c>
      <c r="O104" s="1">
        <v>0.85851164137020752</v>
      </c>
      <c r="P104" s="7">
        <v>60388.84064659915</v>
      </c>
      <c r="Q104" s="7">
        <f>SUM($P$4:P104)</f>
        <v>7471987.3617066629</v>
      </c>
      <c r="S104" s="33">
        <v>0.46879645606328157</v>
      </c>
      <c r="T104" s="34">
        <v>750.39615679960832</v>
      </c>
      <c r="U104" s="34">
        <f>SUM($T$4:T104)</f>
        <v>2377290.3181939838</v>
      </c>
    </row>
    <row r="105" spans="14:21" x14ac:dyDescent="0.25">
      <c r="N105" s="1">
        <v>-1.294529871073506</v>
      </c>
      <c r="O105" s="1">
        <v>0.87998341820106674</v>
      </c>
      <c r="P105" s="7">
        <v>0</v>
      </c>
      <c r="Q105" s="7">
        <f>SUM($P$4:P105)</f>
        <v>7471987.3617066629</v>
      </c>
      <c r="S105" s="1">
        <v>0.46879645606328157</v>
      </c>
      <c r="T105" s="7">
        <v>500.62060298883966</v>
      </c>
      <c r="U105" s="7">
        <f>SUM($T$4:T105)</f>
        <v>2377790.9387969724</v>
      </c>
    </row>
    <row r="106" spans="14:21" x14ac:dyDescent="0.25">
      <c r="N106" s="1">
        <v>-1.2870853928308228</v>
      </c>
      <c r="O106" s="1">
        <v>0.31315439476537577</v>
      </c>
      <c r="P106" s="7">
        <v>1253767.8439488614</v>
      </c>
      <c r="Q106" s="7">
        <f>SUM($P$4:P106)</f>
        <v>8725755.2056555245</v>
      </c>
      <c r="S106" s="33">
        <v>0.46879645606328157</v>
      </c>
      <c r="T106" s="34">
        <v>1429.5195491637473</v>
      </c>
      <c r="U106" s="34">
        <f>SUM($T$4:T106)</f>
        <v>2379220.4583461359</v>
      </c>
    </row>
    <row r="107" spans="14:21" x14ac:dyDescent="0.25">
      <c r="N107" s="1">
        <v>-1.2870808413903396</v>
      </c>
      <c r="O107" s="1">
        <v>0.3131589462058586</v>
      </c>
      <c r="P107" s="7">
        <v>3586.9163322296663</v>
      </c>
      <c r="Q107" s="7">
        <f>SUM($P$4:P107)</f>
        <v>8729342.1219877545</v>
      </c>
      <c r="S107" s="1">
        <v>0.46879645606328157</v>
      </c>
      <c r="T107" s="7">
        <v>34.557041075082815</v>
      </c>
      <c r="U107" s="7">
        <f>SUM($T$4:T107)</f>
        <v>2379255.015387211</v>
      </c>
    </row>
    <row r="108" spans="14:21" x14ac:dyDescent="0.25">
      <c r="N108" s="1">
        <v>-1.2870124233221063</v>
      </c>
      <c r="O108" s="1">
        <v>0.31322736427409226</v>
      </c>
      <c r="P108" s="7">
        <v>35367.857097761778</v>
      </c>
      <c r="Q108" s="7">
        <f>SUM($P$4:P108)</f>
        <v>8764709.9790855162</v>
      </c>
      <c r="S108" s="33">
        <v>0.46879645606328157</v>
      </c>
      <c r="T108" s="34">
        <v>1425.5521862655496</v>
      </c>
      <c r="U108" s="34">
        <f>SUM($T$4:T108)</f>
        <v>2380680.5675734766</v>
      </c>
    </row>
    <row r="109" spans="14:21" x14ac:dyDescent="0.25">
      <c r="N109" s="1">
        <v>-1.2779614084288315</v>
      </c>
      <c r="O109" s="1">
        <v>0.97128060153331008</v>
      </c>
      <c r="P109" s="7">
        <v>236469.44625941443</v>
      </c>
      <c r="Q109" s="7">
        <f>SUM($P$4:P109)</f>
        <v>9001179.425344931</v>
      </c>
      <c r="S109" s="1">
        <v>0.46879645606328157</v>
      </c>
      <c r="T109" s="7">
        <v>17.073572344784111</v>
      </c>
      <c r="U109" s="7">
        <f>SUM($T$4:T109)</f>
        <v>2380697.6411458212</v>
      </c>
    </row>
    <row r="110" spans="14:21" x14ac:dyDescent="0.25">
      <c r="N110" s="1">
        <v>-1.1767139597520102</v>
      </c>
      <c r="O110" s="1">
        <v>1.6706195166052316</v>
      </c>
      <c r="P110" s="7">
        <v>97795.739210705025</v>
      </c>
      <c r="Q110" s="7">
        <f>SUM($P$4:P110)</f>
        <v>9098975.1645556353</v>
      </c>
      <c r="S110" s="33">
        <v>0.46879645606328157</v>
      </c>
      <c r="T110" s="34">
        <v>7.1723632770218568</v>
      </c>
      <c r="U110" s="34">
        <f>SUM($T$4:T110)</f>
        <v>2380704.8135090983</v>
      </c>
    </row>
    <row r="111" spans="14:21" x14ac:dyDescent="0.25">
      <c r="N111" s="1">
        <v>-1.1767139597520102</v>
      </c>
      <c r="O111" s="1">
        <v>0.4672931329656026</v>
      </c>
      <c r="P111" s="7">
        <v>6435.2455324606335</v>
      </c>
      <c r="Q111" s="7">
        <f>SUM($P$4:P111)</f>
        <v>9105410.4100880958</v>
      </c>
      <c r="S111" s="1">
        <v>0.46879645606328157</v>
      </c>
      <c r="T111" s="7">
        <v>976.98623734773059</v>
      </c>
      <c r="U111" s="7">
        <f>SUM($T$4:T111)</f>
        <v>2381681.7997464458</v>
      </c>
    </row>
    <row r="112" spans="14:21" x14ac:dyDescent="0.25">
      <c r="N112" s="1">
        <v>-1.16169772439717</v>
      </c>
      <c r="O112" s="1">
        <v>0.74954200350345179</v>
      </c>
      <c r="P112" s="7">
        <v>270013.13141160889</v>
      </c>
      <c r="Q112" s="7">
        <f>SUM($P$4:P112)</f>
        <v>9375423.5414997041</v>
      </c>
      <c r="S112" s="33">
        <v>0.46879645606328157</v>
      </c>
      <c r="T112" s="34">
        <v>900.89671795404035</v>
      </c>
      <c r="U112" s="34">
        <f>SUM($T$4:T112)</f>
        <v>2382582.6964643998</v>
      </c>
    </row>
    <row r="113" spans="14:21" x14ac:dyDescent="0.25">
      <c r="N113" s="1">
        <v>-1.16169772439717</v>
      </c>
      <c r="O113" s="1">
        <v>0.4672931329656026</v>
      </c>
      <c r="P113" s="7">
        <v>3342.505333046744</v>
      </c>
      <c r="Q113" s="7">
        <f>SUM($P$4:P113)</f>
        <v>9378766.0468327515</v>
      </c>
      <c r="S113" s="1">
        <v>0.46879645606328157</v>
      </c>
      <c r="T113" s="7">
        <v>282.20021352038754</v>
      </c>
      <c r="U113" s="7">
        <f>SUM($T$4:T113)</f>
        <v>2382864.8966779201</v>
      </c>
    </row>
    <row r="114" spans="14:21" x14ac:dyDescent="0.25">
      <c r="N114" s="1">
        <v>-1.1565307758200241</v>
      </c>
      <c r="O114" s="1">
        <v>1.247676144441489</v>
      </c>
      <c r="P114" s="7">
        <v>116830.31956298163</v>
      </c>
      <c r="Q114" s="7">
        <f>SUM($P$4:P114)</f>
        <v>9495596.3663957324</v>
      </c>
      <c r="S114" s="33">
        <v>0.46879645606328157</v>
      </c>
      <c r="T114" s="34">
        <v>95.142379427334987</v>
      </c>
      <c r="U114" s="34">
        <f>SUM($T$4:T114)</f>
        <v>2382960.0390573475</v>
      </c>
    </row>
    <row r="115" spans="14:21" x14ac:dyDescent="0.25">
      <c r="N115" s="1">
        <v>-1.1565307758200241</v>
      </c>
      <c r="O115" s="1">
        <v>1.3498045353129324</v>
      </c>
      <c r="P115" s="7">
        <v>159308.49749870252</v>
      </c>
      <c r="Q115" s="7">
        <f>SUM($P$4:P115)</f>
        <v>9654904.8638944346</v>
      </c>
      <c r="S115" s="1">
        <v>0.46879645606328157</v>
      </c>
      <c r="T115" s="7">
        <v>447.81415804733126</v>
      </c>
      <c r="U115" s="7">
        <f>SUM($T$4:T115)</f>
        <v>2383407.853215395</v>
      </c>
    </row>
    <row r="116" spans="14:21" x14ac:dyDescent="0.25">
      <c r="N116" s="1">
        <v>-1.1155084905636294</v>
      </c>
      <c r="O116" s="1">
        <v>1.1513170717988055</v>
      </c>
      <c r="P116" s="7">
        <v>645615.82191064174</v>
      </c>
      <c r="Q116" s="7">
        <f>SUM($P$4:P116)</f>
        <v>10300520.685805077</v>
      </c>
      <c r="S116" s="33">
        <v>0.46879645606328157</v>
      </c>
      <c r="T116" s="34">
        <v>898.39644839423602</v>
      </c>
      <c r="U116" s="34">
        <f>SUM($T$4:T116)</f>
        <v>2384306.2496637893</v>
      </c>
    </row>
    <row r="117" spans="14:21" x14ac:dyDescent="0.25">
      <c r="N117" s="1">
        <v>-1.0909408465043908</v>
      </c>
      <c r="O117" s="1">
        <v>1.2637758031966404</v>
      </c>
      <c r="P117" s="7">
        <v>300600.84520323668</v>
      </c>
      <c r="Q117" s="7">
        <f>SUM($P$4:P117)</f>
        <v>10601121.531008314</v>
      </c>
      <c r="S117" s="1">
        <v>0.46879645606328157</v>
      </c>
      <c r="T117" s="7">
        <v>281.41701985392865</v>
      </c>
      <c r="U117" s="7">
        <f>SUM($T$4:T117)</f>
        <v>2384587.6666836431</v>
      </c>
    </row>
    <row r="118" spans="14:21" x14ac:dyDescent="0.25">
      <c r="N118" s="1">
        <v>-1.064501844170566</v>
      </c>
      <c r="O118" s="1">
        <v>1.2247390996280272</v>
      </c>
      <c r="P118" s="7">
        <v>1473437.4737715977</v>
      </c>
      <c r="Q118" s="7">
        <f>SUM($P$4:P118)</f>
        <v>12074559.004779913</v>
      </c>
      <c r="S118" s="33">
        <v>0.46879645606328157</v>
      </c>
      <c r="T118" s="34">
        <v>446.57133399713621</v>
      </c>
      <c r="U118" s="34">
        <f>SUM($T$4:T118)</f>
        <v>2385034.2380176401</v>
      </c>
    </row>
    <row r="119" spans="14:21" x14ac:dyDescent="0.25">
      <c r="N119" s="1">
        <v>-1.0589434871448775</v>
      </c>
      <c r="O119" s="1">
        <v>1.1423746693328465</v>
      </c>
      <c r="P119" s="7">
        <v>0</v>
      </c>
      <c r="Q119" s="7">
        <f>SUM($P$4:P119)</f>
        <v>12074559.004779913</v>
      </c>
      <c r="S119" s="1">
        <v>0.46879645606328157</v>
      </c>
      <c r="T119" s="7">
        <v>196.36945383572544</v>
      </c>
      <c r="U119" s="7">
        <f>SUM($T$4:T119)</f>
        <v>2385230.6074714758</v>
      </c>
    </row>
    <row r="120" spans="14:21" x14ac:dyDescent="0.25">
      <c r="N120" s="1">
        <v>-1.0544023849485795</v>
      </c>
      <c r="O120" s="1">
        <v>1.3498045353129324</v>
      </c>
      <c r="P120" s="7">
        <v>654.46283185489983</v>
      </c>
      <c r="Q120" s="7">
        <f>SUM($P$4:P120)</f>
        <v>12075213.467611767</v>
      </c>
      <c r="S120" s="33">
        <v>0.46879645606328157</v>
      </c>
      <c r="T120" s="34">
        <v>61.511492601697057</v>
      </c>
      <c r="U120" s="34">
        <f>SUM($T$4:T120)</f>
        <v>2385292.1189640774</v>
      </c>
    </row>
    <row r="121" spans="14:21" x14ac:dyDescent="0.25">
      <c r="N121" s="1">
        <v>-1.0515961444114803</v>
      </c>
      <c r="O121" s="1">
        <v>1.1229171448630897</v>
      </c>
      <c r="P121" s="7">
        <v>1134.4622371749685</v>
      </c>
      <c r="Q121" s="7">
        <f>SUM($P$4:P121)</f>
        <v>12076347.929848943</v>
      </c>
      <c r="S121" s="1">
        <v>0.46879645606328157</v>
      </c>
      <c r="T121" s="7">
        <v>97.610547228284489</v>
      </c>
      <c r="U121" s="7">
        <f>SUM($T$4:T121)</f>
        <v>2385389.7295113057</v>
      </c>
    </row>
    <row r="122" spans="14:21" x14ac:dyDescent="0.25">
      <c r="N122" s="1">
        <v>-1.0218982000484012</v>
      </c>
      <c r="O122" s="1">
        <v>0.4672931329656026</v>
      </c>
      <c r="P122" s="7">
        <v>5254.7190340859215</v>
      </c>
      <c r="Q122" s="7">
        <f>SUM($P$4:P122)</f>
        <v>12081602.648883028</v>
      </c>
      <c r="S122" s="33">
        <v>0.46879645606328157</v>
      </c>
      <c r="T122" s="34">
        <v>5.9573071563768426E-2</v>
      </c>
      <c r="U122" s="34">
        <f>SUM($T$4:T122)</f>
        <v>2385389.7890843772</v>
      </c>
    </row>
    <row r="123" spans="14:21" x14ac:dyDescent="0.25">
      <c r="N123" s="1">
        <v>-1.0218982000484012</v>
      </c>
      <c r="O123" s="1">
        <v>1.3823087202131159</v>
      </c>
      <c r="P123" s="7">
        <v>245427.86396765054</v>
      </c>
      <c r="Q123" s="7">
        <f>SUM($P$4:P123)</f>
        <v>12327030.512850678</v>
      </c>
      <c r="S123" s="1">
        <v>0.46879645606328157</v>
      </c>
      <c r="T123" s="7">
        <v>5.9407737697581037E-2</v>
      </c>
      <c r="U123" s="7">
        <f>SUM($T$4:T123)</f>
        <v>2385389.8484921148</v>
      </c>
    </row>
    <row r="124" spans="14:21" x14ac:dyDescent="0.25">
      <c r="N124" s="1">
        <v>-0.98917871968601667</v>
      </c>
      <c r="O124" s="1">
        <v>0.4672931329656026</v>
      </c>
      <c r="P124" s="7">
        <v>41.178998155643662</v>
      </c>
      <c r="Q124" s="7">
        <f>SUM($P$4:P124)</f>
        <v>12327071.691848833</v>
      </c>
      <c r="S124" s="33">
        <v>0.46879645606328157</v>
      </c>
      <c r="T124" s="34">
        <v>0</v>
      </c>
      <c r="U124" s="34">
        <f>SUM($T$4:T124)</f>
        <v>2385389.8484921148</v>
      </c>
    </row>
    <row r="125" spans="14:21" x14ac:dyDescent="0.25">
      <c r="N125" s="1">
        <v>-0.92322963743489139</v>
      </c>
      <c r="O125" s="1">
        <v>0.4672931329656026</v>
      </c>
      <c r="P125" s="7">
        <v>58.512467527153504</v>
      </c>
      <c r="Q125" s="7">
        <f>SUM($P$4:P125)</f>
        <v>12327130.204316361</v>
      </c>
      <c r="S125" s="1">
        <v>0.46879645606328157</v>
      </c>
      <c r="T125" s="7">
        <v>111.95594407772765</v>
      </c>
      <c r="U125" s="7">
        <f>SUM($T$4:T125)</f>
        <v>2385501.8044361924</v>
      </c>
    </row>
    <row r="126" spans="14:21" x14ac:dyDescent="0.25">
      <c r="N126" s="1">
        <v>-0.92006591684998851</v>
      </c>
      <c r="O126" s="1">
        <v>1.8347649468629108</v>
      </c>
      <c r="P126" s="7">
        <v>232572.43108735583</v>
      </c>
      <c r="Q126" s="7">
        <f>SUM($P$4:P126)</f>
        <v>12559702.635403717</v>
      </c>
      <c r="S126" s="33">
        <v>0.46879645606328157</v>
      </c>
      <c r="T126" s="34">
        <v>35.069493199355456</v>
      </c>
      <c r="U126" s="34">
        <f>SUM($T$4:T126)</f>
        <v>2385536.8739293916</v>
      </c>
    </row>
    <row r="127" spans="14:21" x14ac:dyDescent="0.25">
      <c r="N127" s="1">
        <v>-0.92006591684998851</v>
      </c>
      <c r="O127" s="1">
        <v>0.4672931329656026</v>
      </c>
      <c r="P127" s="7">
        <v>8309.8567264847952</v>
      </c>
      <c r="Q127" s="7">
        <f>SUM($P$4:P127)</f>
        <v>12568012.492130201</v>
      </c>
      <c r="S127" s="1">
        <v>0.46879645606328157</v>
      </c>
      <c r="T127" s="7">
        <v>55.650615477232421</v>
      </c>
      <c r="U127" s="7">
        <f>SUM($T$4:T127)</f>
        <v>2385592.5245448686</v>
      </c>
    </row>
    <row r="128" spans="14:21" x14ac:dyDescent="0.25">
      <c r="N128" s="1">
        <v>-0.88213896288743165</v>
      </c>
      <c r="O128" s="1">
        <v>0.4672931329656026</v>
      </c>
      <c r="P128" s="7">
        <v>56.761808982021996</v>
      </c>
      <c r="Q128" s="7">
        <f>SUM($P$4:P128)</f>
        <v>12568069.253939183</v>
      </c>
      <c r="S128" s="33">
        <v>0.46879645606328157</v>
      </c>
      <c r="T128" s="34">
        <v>3.8336326194336126</v>
      </c>
      <c r="U128" s="34">
        <f>SUM($T$4:T128)</f>
        <v>2385596.3581774882</v>
      </c>
    </row>
    <row r="129" spans="14:21" x14ac:dyDescent="0.25">
      <c r="N129" s="1">
        <v>-0.88213896288743165</v>
      </c>
      <c r="O129" s="1">
        <v>1.5220679573740847</v>
      </c>
      <c r="P129" s="7">
        <v>50999.763638162294</v>
      </c>
      <c r="Q129" s="7">
        <f>SUM($P$4:P129)</f>
        <v>12619069.017577346</v>
      </c>
      <c r="S129" s="1">
        <v>0.47033994588863864</v>
      </c>
      <c r="T129" s="7">
        <v>60984.133968959119</v>
      </c>
      <c r="U129" s="7">
        <f>SUM($T$4:T129)</f>
        <v>2446580.4921464473</v>
      </c>
    </row>
    <row r="130" spans="14:21" x14ac:dyDescent="0.25">
      <c r="N130" s="1">
        <v>-0.87478341436528484</v>
      </c>
      <c r="O130" s="1">
        <v>0.3405888332870794</v>
      </c>
      <c r="P130" s="7">
        <v>8728.2406616546377</v>
      </c>
      <c r="Q130" s="7">
        <f>SUM($P$4:P130)</f>
        <v>12627797.258239001</v>
      </c>
      <c r="S130" s="33">
        <v>0.47128342394054895</v>
      </c>
      <c r="T130" s="34">
        <v>38403.339130470711</v>
      </c>
      <c r="U130" s="34">
        <f>SUM($T$4:T130)</f>
        <v>2484983.8312769178</v>
      </c>
    </row>
    <row r="131" spans="14:21" x14ac:dyDescent="0.25">
      <c r="N131" s="1">
        <v>-0.87451879801526411</v>
      </c>
      <c r="O131" s="1">
        <v>0.34085344963710096</v>
      </c>
      <c r="P131" s="7">
        <v>5100.4688951351964</v>
      </c>
      <c r="Q131" s="7">
        <f>SUM($P$4:P131)</f>
        <v>12632897.727134136</v>
      </c>
      <c r="S131" s="1">
        <v>0.48909649355352658</v>
      </c>
      <c r="T131" s="7">
        <v>21113.425041375274</v>
      </c>
      <c r="U131" s="7">
        <f>SUM($T$4:T131)</f>
        <v>2506097.256318293</v>
      </c>
    </row>
    <row r="132" spans="14:21" x14ac:dyDescent="0.25">
      <c r="N132" s="1">
        <v>-0.83964188629624992</v>
      </c>
      <c r="O132" s="1">
        <v>0.37573036135611498</v>
      </c>
      <c r="P132" s="7">
        <v>9340.9995524325695</v>
      </c>
      <c r="Q132" s="7">
        <f>SUM($P$4:P132)</f>
        <v>12642238.726686569</v>
      </c>
      <c r="S132" s="33">
        <v>0.49391908016017066</v>
      </c>
      <c r="T132" s="34">
        <v>69979.151454631166</v>
      </c>
      <c r="U132" s="34">
        <f>SUM($T$4:T132)</f>
        <v>2576076.4077729243</v>
      </c>
    </row>
    <row r="133" spans="14:21" x14ac:dyDescent="0.25">
      <c r="N133" s="1">
        <v>-0.83964188629624992</v>
      </c>
      <c r="O133" s="1">
        <v>0.4672931329656026</v>
      </c>
      <c r="P133" s="7">
        <v>1146.615460790335</v>
      </c>
      <c r="Q133" s="7">
        <f>SUM($P$4:P133)</f>
        <v>12643385.34214736</v>
      </c>
      <c r="S133" s="1">
        <v>0.49797257233303088</v>
      </c>
      <c r="T133" s="7">
        <v>43132.755305089006</v>
      </c>
      <c r="U133" s="7">
        <f>SUM($T$4:T133)</f>
        <v>2619209.1630780133</v>
      </c>
    </row>
    <row r="134" spans="14:21" x14ac:dyDescent="0.25">
      <c r="N134" s="1">
        <v>-0.83080982062758046</v>
      </c>
      <c r="O134" s="1">
        <v>1.3730611803456818</v>
      </c>
      <c r="P134" s="7">
        <v>20658.991128480564</v>
      </c>
      <c r="Q134" s="7">
        <f>SUM($P$4:P134)</f>
        <v>12664044.33327584</v>
      </c>
      <c r="S134" s="33">
        <v>0.5008616376449998</v>
      </c>
      <c r="T134" s="34">
        <v>5015.8502214553228</v>
      </c>
      <c r="U134" s="34">
        <f>SUM($T$4:T134)</f>
        <v>2624225.0132994684</v>
      </c>
    </row>
    <row r="135" spans="14:21" x14ac:dyDescent="0.25">
      <c r="N135" s="1">
        <v>-0.82613165992981141</v>
      </c>
      <c r="O135" s="1">
        <v>0.38924058772255321</v>
      </c>
      <c r="P135" s="7">
        <v>4490.8981989650956</v>
      </c>
      <c r="Q135" s="7">
        <f>SUM($P$4:P135)</f>
        <v>12668535.231474806</v>
      </c>
      <c r="S135" s="1">
        <v>0.50215667349601001</v>
      </c>
      <c r="T135" s="7">
        <v>10.303242830139796</v>
      </c>
      <c r="U135" s="7">
        <f>SUM($T$4:T135)</f>
        <v>2624235.3165422985</v>
      </c>
    </row>
    <row r="136" spans="14:21" x14ac:dyDescent="0.25">
      <c r="N136" s="1">
        <v>-0.82611371143425327</v>
      </c>
      <c r="O136" s="1">
        <v>0.38925853621811146</v>
      </c>
      <c r="P136" s="7">
        <v>18537.83130639161</v>
      </c>
      <c r="Q136" s="7">
        <f>SUM($P$4:P136)</f>
        <v>12687073.062781198</v>
      </c>
      <c r="S136" s="33">
        <v>0.50215667349601012</v>
      </c>
      <c r="T136" s="34">
        <v>0</v>
      </c>
      <c r="U136" s="34">
        <f>SUM($T$4:T136)</f>
        <v>2624235.3165422985</v>
      </c>
    </row>
    <row r="137" spans="14:21" x14ac:dyDescent="0.25">
      <c r="N137" s="1">
        <v>-0.81470637820874159</v>
      </c>
      <c r="O137" s="1">
        <v>0.40066586944362315</v>
      </c>
      <c r="P137" s="7">
        <v>3515.6627298873191</v>
      </c>
      <c r="Q137" s="7">
        <f>SUM($P$4:P137)</f>
        <v>12690588.725511085</v>
      </c>
      <c r="S137" s="1">
        <v>0.50215667349601023</v>
      </c>
      <c r="T137" s="7">
        <v>1006.8998567540093</v>
      </c>
      <c r="U137" s="7">
        <f>SUM($T$4:T137)</f>
        <v>2625242.2163990526</v>
      </c>
    </row>
    <row r="138" spans="14:21" x14ac:dyDescent="0.25">
      <c r="N138" s="1">
        <v>-0.77948651728774332</v>
      </c>
      <c r="O138" s="1">
        <v>0.4672931329656026</v>
      </c>
      <c r="P138" s="7">
        <v>6280.7069976626035</v>
      </c>
      <c r="Q138" s="7">
        <f>SUM($P$4:P138)</f>
        <v>12696869.432508748</v>
      </c>
      <c r="S138" s="33">
        <v>0.50215667349601045</v>
      </c>
      <c r="T138" s="34">
        <v>3256.7291713879167</v>
      </c>
      <c r="U138" s="34">
        <f>SUM($T$4:T138)</f>
        <v>2628498.9455704405</v>
      </c>
    </row>
    <row r="139" spans="14:21" x14ac:dyDescent="0.25">
      <c r="N139" s="1">
        <v>-0.77948651728774332</v>
      </c>
      <c r="O139" s="1">
        <v>0.43588573036462142</v>
      </c>
      <c r="P139" s="7">
        <v>51174.728149903545</v>
      </c>
      <c r="Q139" s="7">
        <f>SUM($P$4:P139)</f>
        <v>12748044.160658652</v>
      </c>
      <c r="S139" s="1">
        <v>0.50215667349601045</v>
      </c>
      <c r="T139" s="7">
        <v>441.14204529989132</v>
      </c>
      <c r="U139" s="7">
        <f>SUM($T$4:T139)</f>
        <v>2628940.0876157405</v>
      </c>
    </row>
    <row r="140" spans="14:21" x14ac:dyDescent="0.25">
      <c r="N140" s="1">
        <v>-0.77752011669449606</v>
      </c>
      <c r="O140" s="1">
        <v>0.65174377694598584</v>
      </c>
      <c r="P140" s="7">
        <v>188045.80053800132</v>
      </c>
      <c r="Q140" s="7">
        <f>SUM($P$4:P140)</f>
        <v>12936089.961196654</v>
      </c>
      <c r="S140" s="33">
        <v>0.51251564378097125</v>
      </c>
      <c r="T140" s="34">
        <v>339090.9216655824</v>
      </c>
      <c r="U140" s="34">
        <f>SUM($T$4:T140)</f>
        <v>2968031.0092813228</v>
      </c>
    </row>
    <row r="141" spans="14:21" x14ac:dyDescent="0.25">
      <c r="N141" s="1">
        <v>-0.77595970828116723</v>
      </c>
      <c r="O141" s="1">
        <v>0.4672931329656026</v>
      </c>
      <c r="P141" s="7">
        <v>457.86719932368749</v>
      </c>
      <c r="Q141" s="7">
        <f>SUM($P$4:P141)</f>
        <v>12936547.828395978</v>
      </c>
      <c r="S141" s="1">
        <v>0.51937884624311836</v>
      </c>
      <c r="T141" s="7">
        <v>3656.8703470838163</v>
      </c>
      <c r="U141" s="7">
        <f>SUM($T$4:T141)</f>
        <v>2971687.8796284068</v>
      </c>
    </row>
    <row r="142" spans="14:21" x14ac:dyDescent="0.25">
      <c r="N142" s="1">
        <v>-0.77595970828116723</v>
      </c>
      <c r="O142" s="1">
        <v>0.43941253937119779</v>
      </c>
      <c r="P142" s="7">
        <v>870.43556699667874</v>
      </c>
      <c r="Q142" s="7">
        <f>SUM($P$4:P142)</f>
        <v>12937418.263962975</v>
      </c>
      <c r="S142" s="33">
        <v>0.52785966317045518</v>
      </c>
      <c r="T142" s="34">
        <v>19194.627360026549</v>
      </c>
      <c r="U142" s="34">
        <f>SUM($T$4:T142)</f>
        <v>2990882.5069884332</v>
      </c>
    </row>
    <row r="143" spans="14:21" x14ac:dyDescent="0.25">
      <c r="N143" s="1">
        <v>-0.75648033687548133</v>
      </c>
      <c r="O143" s="1">
        <v>0.31026572305143058</v>
      </c>
      <c r="P143" s="7">
        <v>87076.698453800156</v>
      </c>
      <c r="Q143" s="7">
        <f>SUM($P$4:P143)</f>
        <v>13024494.962416776</v>
      </c>
      <c r="S143" s="1">
        <v>0.52822410145746046</v>
      </c>
      <c r="T143" s="7">
        <v>54323.790880837943</v>
      </c>
      <c r="U143" s="7">
        <f>SUM($T$4:T143)</f>
        <v>3045206.2978692711</v>
      </c>
    </row>
    <row r="144" spans="14:21" x14ac:dyDescent="0.25">
      <c r="N144" s="1">
        <v>-0.75648033687548133</v>
      </c>
      <c r="O144" s="1">
        <v>1.3498045353129324</v>
      </c>
      <c r="P144" s="7">
        <v>108264.89744208155</v>
      </c>
      <c r="Q144" s="7">
        <f>SUM($P$4:P144)</f>
        <v>13132759.859858857</v>
      </c>
      <c r="S144" s="33">
        <v>0.5336602125984965</v>
      </c>
      <c r="T144" s="34">
        <v>1049.9682136959284</v>
      </c>
      <c r="U144" s="34">
        <f>SUM($T$4:T144)</f>
        <v>3046256.2660829672</v>
      </c>
    </row>
    <row r="145" spans="14:21" x14ac:dyDescent="0.25">
      <c r="N145" s="1">
        <v>-0.75262252118466844</v>
      </c>
      <c r="O145" s="1">
        <v>1.5197498070855304</v>
      </c>
      <c r="P145" s="7">
        <v>690393.49099260895</v>
      </c>
      <c r="Q145" s="7">
        <f>SUM($P$4:P145)</f>
        <v>13823153.350851467</v>
      </c>
      <c r="S145" s="1">
        <v>0.57733454144262297</v>
      </c>
      <c r="T145" s="7">
        <v>1452479.5570661987</v>
      </c>
      <c r="U145" s="7">
        <f>SUM($T$4:T145)</f>
        <v>4498735.8231491661</v>
      </c>
    </row>
    <row r="146" spans="14:21" x14ac:dyDescent="0.25">
      <c r="N146" s="1">
        <v>-0.74748036655043748</v>
      </c>
      <c r="O146" s="1">
        <v>0.77985665564418205</v>
      </c>
      <c r="P146" s="7">
        <v>946.99966710693946</v>
      </c>
      <c r="Q146" s="7">
        <f>SUM($P$4:P146)</f>
        <v>13824100.350518573</v>
      </c>
      <c r="S146" s="33">
        <v>0.58128438772003632</v>
      </c>
      <c r="T146" s="34">
        <v>59326.841491146741</v>
      </c>
      <c r="U146" s="34">
        <f>SUM($T$4:T146)</f>
        <v>4558062.664640313</v>
      </c>
    </row>
    <row r="147" spans="14:21" x14ac:dyDescent="0.25">
      <c r="N147" s="1">
        <v>-0.74659023207454367</v>
      </c>
      <c r="O147" s="1">
        <v>0.4687820155778209</v>
      </c>
      <c r="P147" s="7">
        <v>60984.133968959119</v>
      </c>
      <c r="Q147" s="7">
        <f>SUM($P$4:P147)</f>
        <v>13885084.484487532</v>
      </c>
      <c r="S147" s="1">
        <v>0.59563553114271894</v>
      </c>
      <c r="T147" s="7">
        <v>66540.899956311725</v>
      </c>
      <c r="U147" s="7">
        <f>SUM($T$4:T147)</f>
        <v>4624603.564596625</v>
      </c>
    </row>
    <row r="148" spans="14:21" x14ac:dyDescent="0.25">
      <c r="N148" s="1">
        <v>-0.7456473449187514</v>
      </c>
      <c r="O148" s="1">
        <v>0.4697249027336135</v>
      </c>
      <c r="P148" s="7">
        <v>38403.339130470711</v>
      </c>
      <c r="Q148" s="7">
        <f>SUM($P$4:P148)</f>
        <v>13923487.823618002</v>
      </c>
      <c r="S148" s="33">
        <v>0.59928910413830139</v>
      </c>
      <c r="T148" s="34">
        <v>27841.608656946406</v>
      </c>
      <c r="U148" s="34">
        <f>SUM($T$4:T148)</f>
        <v>4652445.1732535716</v>
      </c>
    </row>
    <row r="149" spans="14:21" x14ac:dyDescent="0.25">
      <c r="N149" s="1">
        <v>-0.74454349524626096</v>
      </c>
      <c r="O149" s="1">
        <v>1.5539245767561041</v>
      </c>
      <c r="P149" s="7">
        <v>832423.1069540499</v>
      </c>
      <c r="Q149" s="7">
        <f>SUM($P$4:P149)</f>
        <v>14755910.930572052</v>
      </c>
      <c r="S149" s="1">
        <v>0.60321762052417904</v>
      </c>
      <c r="T149" s="7">
        <v>17868.774034817176</v>
      </c>
      <c r="U149" s="7">
        <f>SUM($T$4:T149)</f>
        <v>4670313.9472883884</v>
      </c>
    </row>
    <row r="150" spans="14:21" x14ac:dyDescent="0.25">
      <c r="N150" s="1">
        <v>-0.74213157254111406</v>
      </c>
      <c r="O150" s="1">
        <v>0.32461448738579723</v>
      </c>
      <c r="P150" s="7">
        <v>35070.280238624902</v>
      </c>
      <c r="Q150" s="7">
        <f>SUM($P$4:P150)</f>
        <v>14790981.210810676</v>
      </c>
      <c r="S150" s="33">
        <v>0.61336528443004357</v>
      </c>
      <c r="T150" s="34">
        <v>0</v>
      </c>
      <c r="U150" s="34">
        <f>SUM($T$4:T150)</f>
        <v>4670313.9472883884</v>
      </c>
    </row>
    <row r="151" spans="14:21" x14ac:dyDescent="0.25">
      <c r="N151" s="1">
        <v>-0.74213157254111406</v>
      </c>
      <c r="O151" s="1">
        <v>1.3498045353129324</v>
      </c>
      <c r="P151" s="7">
        <v>47821.436015690248</v>
      </c>
      <c r="Q151" s="7">
        <f>SUM($P$4:P151)</f>
        <v>14838802.646826366</v>
      </c>
      <c r="S151" s="1">
        <v>0.61712638109792717</v>
      </c>
      <c r="T151" s="7">
        <v>21489.026238431277</v>
      </c>
      <c r="U151" s="7">
        <f>SUM($T$4:T151)</f>
        <v>4691802.9735268196</v>
      </c>
    </row>
    <row r="152" spans="14:21" x14ac:dyDescent="0.25">
      <c r="N152" s="1">
        <v>-0.72038239017334771</v>
      </c>
      <c r="O152" s="1">
        <v>0.4672931329656026</v>
      </c>
      <c r="P152" s="7">
        <v>4174.9034589365929</v>
      </c>
      <c r="Q152" s="7">
        <f>SUM($P$4:P152)</f>
        <v>14842977.550285302</v>
      </c>
      <c r="S152" s="33">
        <v>0.620922996735911</v>
      </c>
      <c r="T152" s="34">
        <v>16968.014784208732</v>
      </c>
      <c r="U152" s="34">
        <f>SUM($T$4:T152)</f>
        <v>4708770.9883110281</v>
      </c>
    </row>
    <row r="153" spans="14:21" x14ac:dyDescent="0.25">
      <c r="N153" s="1">
        <v>-0.68880560164319704</v>
      </c>
      <c r="O153" s="1">
        <v>1.3498045353129324</v>
      </c>
      <c r="P153" s="7">
        <v>67534.851668963427</v>
      </c>
      <c r="Q153" s="7">
        <f>SUM($P$4:P153)</f>
        <v>14910512.401954265</v>
      </c>
      <c r="S153" s="1">
        <v>0.63500966445397222</v>
      </c>
      <c r="T153" s="7">
        <v>216.21831434278869</v>
      </c>
      <c r="U153" s="7">
        <f>SUM($T$4:T153)</f>
        <v>4708987.2066253712</v>
      </c>
    </row>
    <row r="154" spans="14:21" x14ac:dyDescent="0.25">
      <c r="N154" s="1">
        <v>-0.68880560164319704</v>
      </c>
      <c r="O154" s="1">
        <v>0.52656664600916792</v>
      </c>
      <c r="P154" s="7">
        <v>54323.790880837943</v>
      </c>
      <c r="Q154" s="7">
        <f>SUM($P$4:P154)</f>
        <v>14964836.192835104</v>
      </c>
      <c r="S154" s="33">
        <v>0.6424655840773541</v>
      </c>
      <c r="T154" s="34">
        <v>3246.1876124249052</v>
      </c>
      <c r="U154" s="34">
        <f>SUM($T$4:T154)</f>
        <v>4712233.3942377958</v>
      </c>
    </row>
    <row r="155" spans="14:21" x14ac:dyDescent="0.25">
      <c r="N155" s="1">
        <v>-0.68329641534671282</v>
      </c>
      <c r="O155" s="1">
        <v>0.4672931329656026</v>
      </c>
      <c r="P155" s="7">
        <v>55904.384058656113</v>
      </c>
      <c r="Q155" s="7">
        <f>SUM($P$4:P155)</f>
        <v>15020740.57689376</v>
      </c>
      <c r="S155" s="1">
        <v>0.64386964843618288</v>
      </c>
      <c r="T155" s="7">
        <v>139869.14104997626</v>
      </c>
      <c r="U155" s="7">
        <f>SUM($T$4:T155)</f>
        <v>4852102.5352877723</v>
      </c>
    </row>
    <row r="156" spans="14:21" x14ac:dyDescent="0.25">
      <c r="N156" s="1">
        <v>-0.65050185742862832</v>
      </c>
      <c r="O156" s="1">
        <v>0.4672931329656026</v>
      </c>
      <c r="P156" s="7">
        <v>164.21940476821717</v>
      </c>
      <c r="Q156" s="7">
        <f>SUM($P$4:P156)</f>
        <v>15020904.796298528</v>
      </c>
      <c r="S156" s="33">
        <v>0.64466377230496807</v>
      </c>
      <c r="T156" s="34">
        <v>0</v>
      </c>
      <c r="U156" s="34">
        <f>SUM($T$4:T156)</f>
        <v>4852102.5352877723</v>
      </c>
    </row>
    <row r="157" spans="14:21" x14ac:dyDescent="0.25">
      <c r="N157" s="1">
        <v>-0.63571527425478014</v>
      </c>
      <c r="O157" s="1">
        <v>0.57965697339758471</v>
      </c>
      <c r="P157" s="7">
        <v>59326.841491146741</v>
      </c>
      <c r="Q157" s="7">
        <f>SUM($P$4:P157)</f>
        <v>15080231.637789674</v>
      </c>
      <c r="S157" s="1">
        <v>0.6447732688732245</v>
      </c>
      <c r="T157" s="7">
        <v>32095.232869905001</v>
      </c>
      <c r="U157" s="7">
        <f>SUM($T$4:T157)</f>
        <v>4884197.7681576777</v>
      </c>
    </row>
    <row r="158" spans="14:21" x14ac:dyDescent="0.25">
      <c r="N158" s="1">
        <v>-0.63100424586121473</v>
      </c>
      <c r="O158" s="1">
        <v>1.3498045353129324</v>
      </c>
      <c r="P158" s="7">
        <v>161444.34813900606</v>
      </c>
      <c r="Q158" s="7">
        <f>SUM($P$4:P158)</f>
        <v>15241675.985928681</v>
      </c>
      <c r="S158" s="33">
        <v>0.65246902598376266</v>
      </c>
      <c r="T158" s="34">
        <v>188045.80053800132</v>
      </c>
      <c r="U158" s="34">
        <f>SUM($T$4:T158)</f>
        <v>5072243.5686956793</v>
      </c>
    </row>
    <row r="159" spans="14:21" x14ac:dyDescent="0.25">
      <c r="N159" s="1">
        <v>-0.62137311888954427</v>
      </c>
      <c r="O159" s="1">
        <v>0.59399912876282102</v>
      </c>
      <c r="P159" s="7">
        <v>66540.899956311725</v>
      </c>
      <c r="Q159" s="7">
        <f>SUM($P$4:P159)</f>
        <v>15308216.885884993</v>
      </c>
      <c r="S159" s="1">
        <v>0.65343555751088278</v>
      </c>
      <c r="T159" s="7">
        <v>30810.139428076578</v>
      </c>
      <c r="U159" s="7">
        <f>SUM($T$4:T159)</f>
        <v>5103053.7081237556</v>
      </c>
    </row>
    <row r="160" spans="14:21" x14ac:dyDescent="0.25">
      <c r="N160" s="1">
        <v>-0.62137311888954427</v>
      </c>
      <c r="O160" s="1">
        <v>0.4672931329656026</v>
      </c>
      <c r="P160" s="7">
        <v>7969.5797019415058</v>
      </c>
      <c r="Q160" s="7">
        <f>SUM($P$4:P160)</f>
        <v>15316186.465586934</v>
      </c>
      <c r="S160" s="33">
        <v>0.67611045759419564</v>
      </c>
      <c r="T160" s="34">
        <v>9101.0452943336022</v>
      </c>
      <c r="U160" s="34">
        <f>SUM($T$4:T160)</f>
        <v>5112154.7534180889</v>
      </c>
    </row>
    <row r="161" spans="14:21" x14ac:dyDescent="0.25">
      <c r="N161" s="1">
        <v>-0.61665548152684757</v>
      </c>
      <c r="O161" s="1">
        <v>1.3498045353129324</v>
      </c>
      <c r="P161" s="7">
        <v>71459.345311565514</v>
      </c>
      <c r="Q161" s="7">
        <f>SUM($P$4:P161)</f>
        <v>15387645.8108985</v>
      </c>
      <c r="S161" s="1">
        <v>0.6845419973980994</v>
      </c>
      <c r="T161" s="7">
        <v>24371.116434916261</v>
      </c>
      <c r="U161" s="7">
        <f>SUM($T$4:T161)</f>
        <v>5136525.8698530048</v>
      </c>
    </row>
    <row r="162" spans="14:21" x14ac:dyDescent="0.25">
      <c r="N162" s="1">
        <v>-0.61394190043143382</v>
      </c>
      <c r="O162" s="1">
        <v>0.60143034722093058</v>
      </c>
      <c r="P162" s="7">
        <v>17868.774034817176</v>
      </c>
      <c r="Q162" s="7">
        <f>SUM($P$4:P162)</f>
        <v>15405514.584933316</v>
      </c>
      <c r="S162" s="33">
        <v>0.70922491099711515</v>
      </c>
      <c r="T162" s="34">
        <v>6340.3910767761017</v>
      </c>
      <c r="U162" s="34">
        <f>SUM($T$4:T162)</f>
        <v>5142866.260929781</v>
      </c>
    </row>
    <row r="163" spans="14:21" x14ac:dyDescent="0.25">
      <c r="N163" s="1">
        <v>-0.60414025211616262</v>
      </c>
      <c r="O163" s="1">
        <v>0.462605807810749</v>
      </c>
      <c r="P163" s="7">
        <v>141995.90273898144</v>
      </c>
      <c r="Q163" s="7">
        <f>SUM($P$4:P163)</f>
        <v>15547510.487672297</v>
      </c>
      <c r="S163" s="1">
        <v>0.71832183785075965</v>
      </c>
      <c r="T163" s="7">
        <v>114491.53940883272</v>
      </c>
      <c r="U163" s="7">
        <f>SUM($T$4:T163)</f>
        <v>5257357.8003386138</v>
      </c>
    </row>
    <row r="164" spans="14:21" x14ac:dyDescent="0.25">
      <c r="N164" s="1">
        <v>-0.60414025211616262</v>
      </c>
      <c r="O164" s="1">
        <v>1.3498045353129324</v>
      </c>
      <c r="P164" s="7">
        <v>193624.00103788357</v>
      </c>
      <c r="Q164" s="7">
        <f>SUM($P$4:P164)</f>
        <v>15741134.48871018</v>
      </c>
      <c r="S164" s="33">
        <v>0.74268681584633867</v>
      </c>
      <c r="T164" s="34">
        <v>316967.90779886756</v>
      </c>
      <c r="U164" s="34">
        <f>SUM($T$4:T164)</f>
        <v>5574325.7081374815</v>
      </c>
    </row>
    <row r="165" spans="14:21" x14ac:dyDescent="0.25">
      <c r="N165" s="1">
        <v>-0.60380535681987313</v>
      </c>
      <c r="O165" s="1">
        <v>0.61156689083249149</v>
      </c>
      <c r="P165" s="7">
        <v>0</v>
      </c>
      <c r="Q165" s="7">
        <f>SUM($P$4:P165)</f>
        <v>15741134.48871018</v>
      </c>
      <c r="S165" s="1">
        <v>0.74657684122995405</v>
      </c>
      <c r="T165" s="7">
        <v>9057.2385028854223</v>
      </c>
      <c r="U165" s="7">
        <f>SUM($T$4:T165)</f>
        <v>5583382.9466403667</v>
      </c>
    </row>
    <row r="166" spans="14:21" x14ac:dyDescent="0.25">
      <c r="N166" s="1">
        <v>-0.59619935801880586</v>
      </c>
      <c r="O166" s="1">
        <v>0.61917288963355954</v>
      </c>
      <c r="P166" s="7">
        <v>16968.014784208732</v>
      </c>
      <c r="Q166" s="7">
        <f>SUM($P$4:P166)</f>
        <v>15758102.503494389</v>
      </c>
      <c r="S166" s="33">
        <v>0.75104133618656443</v>
      </c>
      <c r="T166" s="34">
        <v>270013.13141160889</v>
      </c>
      <c r="U166" s="34">
        <f>SUM($T$4:T166)</f>
        <v>5853396.0780519759</v>
      </c>
    </row>
    <row r="167" spans="14:21" x14ac:dyDescent="0.25">
      <c r="N167" s="1">
        <v>-0.58986680859649776</v>
      </c>
      <c r="O167" s="1">
        <v>0.4672931329656026</v>
      </c>
      <c r="P167" s="7">
        <v>835.14453620872018</v>
      </c>
      <c r="Q167" s="7">
        <f>SUM($P$4:P167)</f>
        <v>15758937.648030598</v>
      </c>
      <c r="S167" s="1">
        <v>0.77056441978284884</v>
      </c>
      <c r="T167" s="7">
        <v>116764.88919364836</v>
      </c>
      <c r="U167" s="7">
        <f>SUM($T$4:T167)</f>
        <v>5970160.9672456244</v>
      </c>
    </row>
    <row r="168" spans="14:21" x14ac:dyDescent="0.25">
      <c r="N168" s="1">
        <v>-0.58986680859649776</v>
      </c>
      <c r="O168" s="1">
        <v>0.59780871454245266</v>
      </c>
      <c r="P168" s="7">
        <v>27841.608656946406</v>
      </c>
      <c r="Q168" s="7">
        <f>SUM($P$4:P168)</f>
        <v>15786779.256687544</v>
      </c>
      <c r="S168" s="33">
        <v>0.77056441978284884</v>
      </c>
      <c r="T168" s="34">
        <v>14256.685425333682</v>
      </c>
      <c r="U168" s="34">
        <f>SUM($T$4:T168)</f>
        <v>5984417.6526709581</v>
      </c>
    </row>
    <row r="169" spans="14:21" x14ac:dyDescent="0.25">
      <c r="N169" s="1">
        <v>-0.57900269369997159</v>
      </c>
      <c r="O169" s="1">
        <v>0.48774336622694031</v>
      </c>
      <c r="P169" s="7">
        <v>21113.425041375274</v>
      </c>
      <c r="Q169" s="7">
        <f>SUM($P$4:P169)</f>
        <v>15807892.68172892</v>
      </c>
      <c r="S169" s="1">
        <v>0.77056441978284884</v>
      </c>
      <c r="T169" s="7">
        <v>33698.935653884422</v>
      </c>
      <c r="U169" s="7">
        <f>SUM($T$4:T169)</f>
        <v>6018116.588324842</v>
      </c>
    </row>
    <row r="170" spans="14:21" x14ac:dyDescent="0.25">
      <c r="N170" s="1">
        <v>-0.57900269369997159</v>
      </c>
      <c r="O170" s="1">
        <v>1.3498045353129324</v>
      </c>
      <c r="P170" s="7">
        <v>28790.026706892073</v>
      </c>
      <c r="Q170" s="7">
        <f>SUM($P$4:P170)</f>
        <v>15836682.708435813</v>
      </c>
      <c r="S170" s="33">
        <v>0.77592035079775601</v>
      </c>
      <c r="T170" s="34">
        <v>7865.6228853992989</v>
      </c>
      <c r="U170" s="34">
        <f>SUM($T$4:T170)</f>
        <v>6025982.2112102415</v>
      </c>
    </row>
    <row r="171" spans="14:21" x14ac:dyDescent="0.25">
      <c r="N171" s="1">
        <v>-0.57457239540926608</v>
      </c>
      <c r="O171" s="1">
        <v>0.64079985224309877</v>
      </c>
      <c r="P171" s="7">
        <v>3246.1876124249052</v>
      </c>
      <c r="Q171" s="7">
        <f>SUM($P$4:P171)</f>
        <v>15839928.896048239</v>
      </c>
      <c r="S171" s="1">
        <v>0.77957147669492277</v>
      </c>
      <c r="T171" s="7">
        <v>188877.10424782516</v>
      </c>
      <c r="U171" s="7">
        <f>SUM($T$4:T171)</f>
        <v>6214859.3154580668</v>
      </c>
    </row>
    <row r="172" spans="14:21" x14ac:dyDescent="0.25">
      <c r="N172" s="1">
        <v>-0.57457239540926608</v>
      </c>
      <c r="O172" s="1">
        <v>0.4672931329656026</v>
      </c>
      <c r="P172" s="7">
        <v>1707.5621527146432</v>
      </c>
      <c r="Q172" s="7">
        <f>SUM($P$4:P172)</f>
        <v>15841636.458200954</v>
      </c>
      <c r="S172" s="33">
        <v>0.78156560486090332</v>
      </c>
      <c r="T172" s="34">
        <v>946.99966710693946</v>
      </c>
      <c r="U172" s="34">
        <f>SUM($T$4:T172)</f>
        <v>6215806.3151251739</v>
      </c>
    </row>
    <row r="173" spans="14:21" x14ac:dyDescent="0.25">
      <c r="N173" s="1">
        <v>-0.574311889298731</v>
      </c>
      <c r="O173" s="1">
        <v>1.3498045353129324</v>
      </c>
      <c r="P173" s="7">
        <v>87007.038505705932</v>
      </c>
      <c r="Q173" s="7">
        <f>SUM($P$4:P173)</f>
        <v>15928643.496706659</v>
      </c>
      <c r="S173" s="1">
        <v>0.78413371730219905</v>
      </c>
      <c r="T173" s="7">
        <v>25911.652433115589</v>
      </c>
      <c r="U173" s="7">
        <f>SUM($T$4:T173)</f>
        <v>6241717.9675582899</v>
      </c>
    </row>
    <row r="174" spans="14:21" x14ac:dyDescent="0.25">
      <c r="N174" s="1">
        <v>-0.574311889298731</v>
      </c>
      <c r="O174" s="1">
        <v>0.4924341706281804</v>
      </c>
      <c r="P174" s="7">
        <v>69979.151454631166</v>
      </c>
      <c r="Q174" s="7">
        <f>SUM($P$4:P174)</f>
        <v>15998622.64816129</v>
      </c>
      <c r="S174" s="33">
        <v>0.81784693560954203</v>
      </c>
      <c r="T174" s="34">
        <v>64054.624116169085</v>
      </c>
      <c r="U174" s="34">
        <f>SUM($T$4:T174)</f>
        <v>6305772.5916744592</v>
      </c>
    </row>
    <row r="175" spans="14:21" x14ac:dyDescent="0.25">
      <c r="N175" s="1">
        <v>-0.57316921040971502</v>
      </c>
      <c r="O175" s="1">
        <v>0.64220303724264949</v>
      </c>
      <c r="P175" s="7">
        <v>139869.14104997626</v>
      </c>
      <c r="Q175" s="7">
        <f>SUM($P$4:P175)</f>
        <v>16138491.789211266</v>
      </c>
      <c r="S175" s="1">
        <v>0.81817891528232645</v>
      </c>
      <c r="T175" s="7">
        <v>2035837.3511534417</v>
      </c>
      <c r="U175" s="7">
        <f>SUM($T$4:T175)</f>
        <v>8341609.9428279009</v>
      </c>
    </row>
    <row r="176" spans="14:21" x14ac:dyDescent="0.25">
      <c r="N176" s="1">
        <v>-0.56360929242142277</v>
      </c>
      <c r="O176" s="1">
        <v>0.65176295523094208</v>
      </c>
      <c r="P176" s="7">
        <v>30810.139428076578</v>
      </c>
      <c r="Q176" s="7">
        <f>SUM($P$4:P176)</f>
        <v>16169301.928639343</v>
      </c>
      <c r="S176" s="33">
        <v>0.821237949728441</v>
      </c>
      <c r="T176" s="34">
        <v>56382.665970807328</v>
      </c>
      <c r="U176" s="34">
        <f>SUM($T$4:T176)</f>
        <v>8397992.6087987088</v>
      </c>
    </row>
    <row r="177" spans="14:21" x14ac:dyDescent="0.25">
      <c r="N177" s="1">
        <v>-0.5558095120879909</v>
      </c>
      <c r="O177" s="1">
        <v>0.51093654783892051</v>
      </c>
      <c r="P177" s="7">
        <v>339090.9216655824</v>
      </c>
      <c r="Q177" s="7">
        <f>SUM($P$4:P177)</f>
        <v>16508392.850304926</v>
      </c>
      <c r="S177" s="1">
        <v>0.82269155867172739</v>
      </c>
      <c r="T177" s="7">
        <v>6068.9613531585128</v>
      </c>
      <c r="U177" s="7">
        <f>SUM($T$4:T177)</f>
        <v>8404061.5701518673</v>
      </c>
    </row>
    <row r="178" spans="14:21" x14ac:dyDescent="0.25">
      <c r="N178" s="1">
        <v>-0.5558095120879909</v>
      </c>
      <c r="O178" s="1">
        <v>1.3498045353129324</v>
      </c>
      <c r="P178" s="7">
        <v>462380.53142423095</v>
      </c>
      <c r="Q178" s="7">
        <f>SUM($P$4:P178)</f>
        <v>16970773.381729156</v>
      </c>
      <c r="S178" s="33">
        <v>0.82469876547258869</v>
      </c>
      <c r="T178" s="34">
        <v>1222.5450198307299</v>
      </c>
      <c r="U178" s="34">
        <f>SUM($T$4:T178)</f>
        <v>8405284.1151716989</v>
      </c>
    </row>
    <row r="179" spans="14:21" x14ac:dyDescent="0.25">
      <c r="N179" s="1">
        <v>-0.54419015397598791</v>
      </c>
      <c r="O179" s="1">
        <v>0.4672931329656026</v>
      </c>
      <c r="P179" s="7">
        <v>1491.0038440173473</v>
      </c>
      <c r="Q179" s="7">
        <f>SUM($P$4:P179)</f>
        <v>16972264.385573175</v>
      </c>
      <c r="S179" s="1">
        <v>0.82586222793453246</v>
      </c>
      <c r="T179" s="7">
        <v>46138.877985826919</v>
      </c>
      <c r="U179" s="7">
        <f>SUM($T$4:T179)</f>
        <v>8451422.9931575265</v>
      </c>
    </row>
    <row r="180" spans="14:21" x14ac:dyDescent="0.25">
      <c r="N180" s="1">
        <v>-0.54122984934633578</v>
      </c>
      <c r="O180" s="1">
        <v>0.4672931329656026</v>
      </c>
      <c r="P180" s="7">
        <v>0.53186001444952924</v>
      </c>
      <c r="Q180" s="7">
        <f>SUM($P$4:P180)</f>
        <v>16972264.917433191</v>
      </c>
      <c r="S180" s="33">
        <v>0.86076517770537941</v>
      </c>
      <c r="T180" s="34">
        <v>60388.84064659915</v>
      </c>
      <c r="U180" s="34">
        <f>SUM($T$4:T180)</f>
        <v>8511811.833804125</v>
      </c>
    </row>
    <row r="181" spans="14:21" x14ac:dyDescent="0.25">
      <c r="N181" s="1">
        <v>-0.53252233435948138</v>
      </c>
      <c r="O181" s="1">
        <v>0.68284991329288358</v>
      </c>
      <c r="P181" s="7">
        <v>24371.116434916261</v>
      </c>
      <c r="Q181" s="7">
        <f>SUM($P$4:P181)</f>
        <v>16996636.033868108</v>
      </c>
      <c r="S181" s="1">
        <v>0.88261126905663323</v>
      </c>
      <c r="T181" s="7">
        <v>0</v>
      </c>
      <c r="U181" s="7">
        <f>SUM($T$4:T181)</f>
        <v>8511811.833804125</v>
      </c>
    </row>
    <row r="182" spans="14:21" x14ac:dyDescent="0.25">
      <c r="N182" s="1">
        <v>-0.52141289060601304</v>
      </c>
      <c r="O182" s="1">
        <v>0.4672931329656026</v>
      </c>
      <c r="P182" s="7">
        <v>0</v>
      </c>
      <c r="Q182" s="7">
        <f>SUM($P$4:P182)</f>
        <v>16996636.033868108</v>
      </c>
      <c r="S182" s="33">
        <v>0.90369371952310962</v>
      </c>
      <c r="T182" s="34">
        <v>75844.41189187704</v>
      </c>
      <c r="U182" s="34">
        <f>SUM($T$4:T182)</f>
        <v>8587656.2456960026</v>
      </c>
    </row>
    <row r="183" spans="14:21" x14ac:dyDescent="0.25">
      <c r="N183" s="1">
        <v>-0.50471968428702207</v>
      </c>
      <c r="O183" s="1">
        <v>1.691854048884281</v>
      </c>
      <c r="P183" s="7">
        <v>631824.56514146749</v>
      </c>
      <c r="Q183" s="7">
        <f>SUM($P$4:P183)</f>
        <v>17628460.599009577</v>
      </c>
      <c r="S183" s="1">
        <v>0.92103381774613569</v>
      </c>
      <c r="T183" s="7">
        <v>1076.6952683231746</v>
      </c>
      <c r="U183" s="7">
        <f>SUM($T$4:T183)</f>
        <v>8588732.9409643263</v>
      </c>
    </row>
    <row r="184" spans="14:21" x14ac:dyDescent="0.25">
      <c r="N184" s="1">
        <v>-0.5018574295414473</v>
      </c>
      <c r="O184" s="1">
        <v>0.4672931329656026</v>
      </c>
      <c r="P184" s="7">
        <v>456.59647494642331</v>
      </c>
      <c r="Q184" s="7">
        <f>SUM($P$4:P184)</f>
        <v>17628917.195484523</v>
      </c>
      <c r="S184" s="33">
        <v>0.92779737929095774</v>
      </c>
      <c r="T184" s="34">
        <v>152.89602432722208</v>
      </c>
      <c r="U184" s="34">
        <f>SUM($T$4:T184)</f>
        <v>8588885.836988654</v>
      </c>
    </row>
    <row r="185" spans="14:21" x14ac:dyDescent="0.25">
      <c r="N185" s="1">
        <v>-0.4934072007383169</v>
      </c>
      <c r="O185" s="1">
        <v>0.4672931329656026</v>
      </c>
      <c r="P185" s="7">
        <v>45397.289495368597</v>
      </c>
      <c r="Q185" s="7">
        <f>SUM($P$4:P185)</f>
        <v>17674314.48497989</v>
      </c>
      <c r="S185" s="1">
        <v>0.92783233583242875</v>
      </c>
      <c r="T185" s="7">
        <v>130419.98761781072</v>
      </c>
      <c r="U185" s="7">
        <f>SUM($T$4:T185)</f>
        <v>8719305.8246064652</v>
      </c>
    </row>
    <row r="186" spans="14:21" x14ac:dyDescent="0.25">
      <c r="N186" s="1">
        <v>-0.47866416110189608</v>
      </c>
      <c r="O186" s="1">
        <v>1.3498045353129324</v>
      </c>
      <c r="P186" s="7">
        <v>289331.42756803375</v>
      </c>
      <c r="Q186" s="7">
        <f>SUM($P$4:P186)</f>
        <v>17963645.912547924</v>
      </c>
      <c r="S186" s="33">
        <v>0.97164391620221835</v>
      </c>
      <c r="T186" s="34">
        <v>0</v>
      </c>
      <c r="U186" s="34">
        <f>SUM($T$4:T186)</f>
        <v>8719305.8246064652</v>
      </c>
    </row>
    <row r="187" spans="14:21" x14ac:dyDescent="0.25">
      <c r="N187" s="1">
        <v>-0.47397683594704287</v>
      </c>
      <c r="O187" s="1">
        <v>0.4672931329656026</v>
      </c>
      <c r="P187" s="7">
        <v>95.748916000932752</v>
      </c>
      <c r="Q187" s="7">
        <f>SUM($P$4:P187)</f>
        <v>17963741.661463924</v>
      </c>
      <c r="S187" s="1">
        <v>0.97453209038453636</v>
      </c>
      <c r="T187" s="7">
        <v>236469.44625941443</v>
      </c>
      <c r="U187" s="7">
        <f>SUM($T$4:T187)</f>
        <v>8955775.27086588</v>
      </c>
    </row>
    <row r="188" spans="14:21" x14ac:dyDescent="0.25">
      <c r="N188" s="1">
        <v>-0.47052634267505622</v>
      </c>
      <c r="O188" s="1">
        <v>0.74484590497730885</v>
      </c>
      <c r="P188" s="7">
        <v>9057.2385028854223</v>
      </c>
      <c r="Q188" s="7">
        <f>SUM($P$4:P188)</f>
        <v>17972798.89996681</v>
      </c>
      <c r="S188" s="33">
        <v>0.978522268047187</v>
      </c>
      <c r="T188" s="34">
        <v>55944.917400584498</v>
      </c>
      <c r="U188" s="34">
        <f>SUM($T$4:T188)</f>
        <v>9011720.1882664636</v>
      </c>
    </row>
    <row r="189" spans="14:21" x14ac:dyDescent="0.25">
      <c r="N189" s="1">
        <v>-0.45352660268570494</v>
      </c>
      <c r="O189" s="1">
        <v>1.3498045353129324</v>
      </c>
      <c r="P189" s="7">
        <v>43020.800531836532</v>
      </c>
      <c r="Q189" s="7">
        <f>SUM($P$4:P189)</f>
        <v>18015819.700498648</v>
      </c>
      <c r="S189" s="1">
        <v>0.97852226804718723</v>
      </c>
      <c r="T189" s="7">
        <v>166783.72932441893</v>
      </c>
      <c r="U189" s="7">
        <f>SUM($T$4:T189)</f>
        <v>9178503.9175908826</v>
      </c>
    </row>
    <row r="190" spans="14:21" x14ac:dyDescent="0.25">
      <c r="N190" s="1">
        <v>-0.44883579828446457</v>
      </c>
      <c r="O190" s="1">
        <v>1.3498045353129324</v>
      </c>
      <c r="P190" s="7">
        <v>129744.68130424</v>
      </c>
      <c r="Q190" s="7">
        <f>SUM($P$4:P190)</f>
        <v>18145564.381802887</v>
      </c>
      <c r="S190" s="33">
        <v>0.97852226804718723</v>
      </c>
      <c r="T190" s="34">
        <v>131532.51809129864</v>
      </c>
      <c r="U190" s="34">
        <f>SUM($T$4:T190)</f>
        <v>9310036.4356821813</v>
      </c>
    </row>
    <row r="191" spans="14:21" x14ac:dyDescent="0.25">
      <c r="N191" s="1">
        <v>-0.43309078277059071</v>
      </c>
      <c r="O191" s="1">
        <v>0.78228146488177475</v>
      </c>
      <c r="P191" s="7">
        <v>25911.652433115589</v>
      </c>
      <c r="Q191" s="7">
        <f>SUM($P$4:P191)</f>
        <v>18171476.034236003</v>
      </c>
      <c r="S191" s="1">
        <v>0.97852226804718734</v>
      </c>
      <c r="T191" s="7">
        <v>202439.32561368297</v>
      </c>
      <c r="U191" s="7">
        <f>SUM($T$4:T191)</f>
        <v>9512475.7612958644</v>
      </c>
    </row>
    <row r="192" spans="14:21" x14ac:dyDescent="0.25">
      <c r="N192" s="1">
        <v>-0.43136821392107066</v>
      </c>
      <c r="O192" s="1">
        <v>0.4672931329656026</v>
      </c>
      <c r="P192" s="7">
        <v>525.89032555350798</v>
      </c>
      <c r="Q192" s="7">
        <f>SUM($P$4:P192)</f>
        <v>18172001.924561556</v>
      </c>
      <c r="S192" s="33">
        <v>0.97852226804718734</v>
      </c>
      <c r="T192" s="34">
        <v>40270.812176857042</v>
      </c>
      <c r="U192" s="34">
        <f>SUM($T$4:T192)</f>
        <v>9552746.5734727215</v>
      </c>
    </row>
    <row r="193" spans="14:21" x14ac:dyDescent="0.25">
      <c r="N193" s="1">
        <v>-0.43033342107372458</v>
      </c>
      <c r="O193" s="1">
        <v>1.3498045353129324</v>
      </c>
      <c r="P193" s="7">
        <v>690933.03784412437</v>
      </c>
      <c r="Q193" s="7">
        <f>SUM($P$4:P193)</f>
        <v>18862934.962405682</v>
      </c>
      <c r="S193" s="1">
        <v>0.97852226804718734</v>
      </c>
      <c r="T193" s="7">
        <v>106573.67479984659</v>
      </c>
      <c r="U193" s="7">
        <f>SUM($T$4:T193)</f>
        <v>9659320.248272568</v>
      </c>
    </row>
    <row r="194" spans="14:21" x14ac:dyDescent="0.25">
      <c r="N194" s="1">
        <v>-0.42363157097620913</v>
      </c>
      <c r="O194" s="1">
        <v>1.3498045353129324</v>
      </c>
      <c r="P194" s="7">
        <v>43764.69519643113</v>
      </c>
      <c r="Q194" s="7">
        <f>SUM($P$4:P194)</f>
        <v>18906699.657602113</v>
      </c>
      <c r="S194" s="33">
        <v>0.97852226804718756</v>
      </c>
      <c r="T194" s="34">
        <v>85087.182950547096</v>
      </c>
      <c r="U194" s="34">
        <f>SUM($T$4:T194)</f>
        <v>9744407.431223115</v>
      </c>
    </row>
    <row r="195" spans="14:21" x14ac:dyDescent="0.25">
      <c r="N195" s="1">
        <v>-0.42363157097620913</v>
      </c>
      <c r="O195" s="1">
        <v>0.64311448895070245</v>
      </c>
      <c r="P195" s="7">
        <v>32095.232869905001</v>
      </c>
      <c r="Q195" s="7">
        <f>SUM($P$4:P195)</f>
        <v>18938794.890472017</v>
      </c>
      <c r="S195" s="1">
        <v>0.97852226804718756</v>
      </c>
      <c r="T195" s="7">
        <v>142742.51939149908</v>
      </c>
      <c r="U195" s="7">
        <f>SUM($T$4:T195)</f>
        <v>9887149.9506146144</v>
      </c>
    </row>
    <row r="196" spans="14:21" x14ac:dyDescent="0.25">
      <c r="N196" s="1">
        <v>-0.41470332290347733</v>
      </c>
      <c r="O196" s="1">
        <v>1.3498045353129324</v>
      </c>
      <c r="P196" s="7">
        <v>100707.80430188008</v>
      </c>
      <c r="Q196" s="7">
        <f>SUM($P$4:P196)</f>
        <v>19039502.694773898</v>
      </c>
      <c r="S196" s="33">
        <v>0.99346568308222682</v>
      </c>
      <c r="T196" s="34">
        <v>784.61214397851518</v>
      </c>
      <c r="U196" s="34">
        <f>SUM($T$4:T196)</f>
        <v>9887934.5627585929</v>
      </c>
    </row>
    <row r="197" spans="14:21" x14ac:dyDescent="0.25">
      <c r="N197" s="1">
        <v>-0.39445929554307774</v>
      </c>
      <c r="O197" s="1">
        <v>0.4672931329656026</v>
      </c>
      <c r="P197" s="7">
        <v>3192.3998087097798</v>
      </c>
      <c r="Q197" s="7">
        <f>SUM($P$4:P197)</f>
        <v>19042695.094582606</v>
      </c>
      <c r="S197" s="1">
        <v>0.99346568308222705</v>
      </c>
      <c r="T197" s="7">
        <v>0</v>
      </c>
      <c r="U197" s="7">
        <f>SUM($T$4:T197)</f>
        <v>9887934.5627585929</v>
      </c>
    </row>
    <row r="198" spans="14:21" x14ac:dyDescent="0.25">
      <c r="N198" s="1">
        <v>-0.39445929554307774</v>
      </c>
      <c r="O198" s="1">
        <v>0.82091295210928661</v>
      </c>
      <c r="P198" s="7">
        <v>6068.9613531585128</v>
      </c>
      <c r="Q198" s="7">
        <f>SUM($P$4:P198)</f>
        <v>19048764.055935763</v>
      </c>
      <c r="S198" s="33">
        <v>0.99346568308222716</v>
      </c>
      <c r="T198" s="34">
        <v>4777.5726107268574</v>
      </c>
      <c r="U198" s="34">
        <f>SUM($T$4:T198)</f>
        <v>9892712.1353693195</v>
      </c>
    </row>
    <row r="199" spans="14:21" x14ac:dyDescent="0.25">
      <c r="N199" s="1">
        <v>-0.39270346508962162</v>
      </c>
      <c r="O199" s="1">
        <v>0.82266878256274323</v>
      </c>
      <c r="P199" s="7">
        <v>1222.5450198307299</v>
      </c>
      <c r="Q199" s="7">
        <f>SUM($P$4:P199)</f>
        <v>19049986.600955594</v>
      </c>
      <c r="S199" s="1">
        <v>0.99346568308222716</v>
      </c>
      <c r="T199" s="7">
        <v>0</v>
      </c>
      <c r="U199" s="7">
        <f>SUM($T$4:T199)</f>
        <v>9892712.1353693195</v>
      </c>
    </row>
    <row r="200" spans="14:21" x14ac:dyDescent="0.25">
      <c r="N200" s="1">
        <v>-0.39270346508962162</v>
      </c>
      <c r="O200" s="1">
        <v>0.4672931329656026</v>
      </c>
      <c r="P200" s="7">
        <v>192.8508409716693</v>
      </c>
      <c r="Q200" s="7">
        <f>SUM($P$4:P200)</f>
        <v>19050179.451796565</v>
      </c>
      <c r="S200" s="33">
        <v>0.99346568308222738</v>
      </c>
      <c r="T200" s="34">
        <v>0</v>
      </c>
      <c r="U200" s="34">
        <f>SUM($T$4:T200)</f>
        <v>9892712.1353693195</v>
      </c>
    </row>
    <row r="201" spans="14:21" x14ac:dyDescent="0.25">
      <c r="N201" s="1">
        <v>-0.39232123746975334</v>
      </c>
      <c r="O201" s="1">
        <v>1.8115497635035092</v>
      </c>
      <c r="P201" s="7">
        <v>11137.237521460393</v>
      </c>
      <c r="Q201" s="7">
        <f>SUM($P$4:P201)</f>
        <v>19061316.689318027</v>
      </c>
      <c r="S201" s="1">
        <v>1.0102916666928312</v>
      </c>
      <c r="T201" s="7">
        <v>10588.76755965134</v>
      </c>
      <c r="U201" s="7">
        <f>SUM($T$4:T201)</f>
        <v>9903300.9029289708</v>
      </c>
    </row>
    <row r="202" spans="14:21" x14ac:dyDescent="0.25">
      <c r="N202" s="1">
        <v>-0.39143361450399961</v>
      </c>
      <c r="O202" s="1">
        <v>1.3498045353129324</v>
      </c>
      <c r="P202" s="7">
        <v>57358.583920070705</v>
      </c>
      <c r="Q202" s="7">
        <f>SUM($P$4:P202)</f>
        <v>19118675.273238096</v>
      </c>
      <c r="S202" s="33">
        <v>1.0431192059478598</v>
      </c>
      <c r="T202" s="34">
        <v>52964.870723111657</v>
      </c>
      <c r="U202" s="34">
        <f>SUM($T$4:T202)</f>
        <v>9956265.7736520823</v>
      </c>
    </row>
    <row r="203" spans="14:21" x14ac:dyDescent="0.25">
      <c r="N203" s="1">
        <v>-0.39143361450399961</v>
      </c>
      <c r="O203" s="1">
        <v>0.82393863314836524</v>
      </c>
      <c r="P203" s="7">
        <v>46138.877985826919</v>
      </c>
      <c r="Q203" s="7">
        <f>SUM($P$4:P203)</f>
        <v>19164814.151223924</v>
      </c>
      <c r="S203" s="1">
        <v>1.0693868045906043</v>
      </c>
      <c r="T203" s="7">
        <v>355014.99885355233</v>
      </c>
      <c r="U203" s="7">
        <f>SUM($T$4:T203)</f>
        <v>10311280.772505635</v>
      </c>
    </row>
    <row r="204" spans="14:21" x14ac:dyDescent="0.25">
      <c r="N204" s="1">
        <v>-0.35075582285265838</v>
      </c>
      <c r="O204" s="1">
        <v>1.320843656536087</v>
      </c>
      <c r="P204" s="7">
        <v>285728.18715643114</v>
      </c>
      <c r="Q204" s="7">
        <f>SUM($P$4:P204)</f>
        <v>19450542.338380355</v>
      </c>
      <c r="S204" s="33">
        <v>1.0740585840718533</v>
      </c>
      <c r="T204" s="34">
        <v>113091.98467017675</v>
      </c>
      <c r="U204" s="34">
        <f>SUM($T$4:T204)</f>
        <v>10424372.757175812</v>
      </c>
    </row>
    <row r="205" spans="14:21" x14ac:dyDescent="0.25">
      <c r="N205" s="1">
        <v>-0.3434612543701927</v>
      </c>
      <c r="O205" s="1">
        <v>0.4672931329656026</v>
      </c>
      <c r="P205" s="7">
        <v>832.82674947434168</v>
      </c>
      <c r="Q205" s="7">
        <f>SUM($P$4:P205)</f>
        <v>19451375.165129829</v>
      </c>
      <c r="S205" s="1">
        <v>1.1242032532001407</v>
      </c>
      <c r="T205" s="7">
        <v>1134.4622371749685</v>
      </c>
      <c r="U205" s="7">
        <f>SUM($T$4:T205)</f>
        <v>10425507.219412988</v>
      </c>
    </row>
    <row r="206" spans="14:21" x14ac:dyDescent="0.25">
      <c r="N206" s="1">
        <v>-0.312476110582809</v>
      </c>
      <c r="O206" s="1">
        <v>1.9574497417124983</v>
      </c>
      <c r="P206" s="7">
        <v>615700.37983159535</v>
      </c>
      <c r="Q206" s="7">
        <f>SUM($P$4:P206)</f>
        <v>20067075.544961423</v>
      </c>
      <c r="S206" s="33">
        <v>1.129907317416722</v>
      </c>
      <c r="T206" s="34">
        <v>163822.6150757517</v>
      </c>
      <c r="U206" s="34">
        <f>SUM($T$4:T206)</f>
        <v>10589329.83448874</v>
      </c>
    </row>
    <row r="207" spans="14:21" x14ac:dyDescent="0.25">
      <c r="N207" s="1">
        <v>-0.30047011666954615</v>
      </c>
      <c r="O207" s="1">
        <v>0.4672931329656026</v>
      </c>
      <c r="P207" s="7">
        <v>1702.8231348152322</v>
      </c>
      <c r="Q207" s="7">
        <f>SUM($P$4:P207)</f>
        <v>20068778.368096236</v>
      </c>
      <c r="S207" s="1">
        <v>1.1448426152905071</v>
      </c>
      <c r="T207" s="7">
        <v>0</v>
      </c>
      <c r="U207" s="7">
        <f>SUM($T$4:T207)</f>
        <v>10589329.83448874</v>
      </c>
    </row>
    <row r="208" spans="14:21" x14ac:dyDescent="0.25">
      <c r="N208" s="1">
        <v>-0.29815547996194269</v>
      </c>
      <c r="O208" s="1">
        <v>1.3498045353129324</v>
      </c>
      <c r="P208" s="7">
        <v>65397.376721834182</v>
      </c>
      <c r="Q208" s="7">
        <f>SUM($P$4:P208)</f>
        <v>20134175.744818069</v>
      </c>
      <c r="S208" s="33">
        <v>1.1464992164240204</v>
      </c>
      <c r="T208" s="34">
        <v>2733.0390564982008</v>
      </c>
      <c r="U208" s="34">
        <f>SUM($T$4:T208)</f>
        <v>10592062.873545239</v>
      </c>
    </row>
    <row r="209" spans="14:21" x14ac:dyDescent="0.25">
      <c r="N209" s="1">
        <v>-0.29647398136297803</v>
      </c>
      <c r="O209" s="1">
        <v>0.91889826628938653</v>
      </c>
      <c r="P209" s="7">
        <v>1076.6952683231746</v>
      </c>
      <c r="Q209" s="7">
        <f>SUM($P$4:P209)</f>
        <v>20135252.440086391</v>
      </c>
      <c r="S209" s="1">
        <v>1.1550316830750478</v>
      </c>
      <c r="T209" s="7">
        <v>645615.82191064174</v>
      </c>
      <c r="U209" s="7">
        <f>SUM($T$4:T209)</f>
        <v>11237678.695455881</v>
      </c>
    </row>
    <row r="210" spans="14:21" x14ac:dyDescent="0.25">
      <c r="N210" s="1">
        <v>-0.28971783165162007</v>
      </c>
      <c r="O210" s="1">
        <v>0.92565441600074494</v>
      </c>
      <c r="P210" s="7">
        <v>152.89602432722208</v>
      </c>
      <c r="Q210" s="7">
        <f>SUM($P$4:P210)</f>
        <v>20135405.336110719</v>
      </c>
      <c r="S210" s="33">
        <v>1.1580212128537464</v>
      </c>
      <c r="T210" s="34">
        <v>17799.0052739534</v>
      </c>
      <c r="U210" s="34">
        <f>SUM($T$4:T210)</f>
        <v>11255477.700729834</v>
      </c>
    </row>
    <row r="211" spans="14:21" x14ac:dyDescent="0.25">
      <c r="N211" s="1">
        <v>-0.26124582980080768</v>
      </c>
      <c r="O211" s="1">
        <v>1.9266972517404557</v>
      </c>
      <c r="P211" s="7">
        <v>0</v>
      </c>
      <c r="Q211" s="7">
        <f>SUM($P$4:P211)</f>
        <v>20135405.336110719</v>
      </c>
      <c r="S211" s="1">
        <v>1.205529753091187</v>
      </c>
      <c r="T211" s="7">
        <v>157405.15788490849</v>
      </c>
      <c r="U211" s="7">
        <f>SUM($T$4:T211)</f>
        <v>11412882.858614743</v>
      </c>
    </row>
    <row r="212" spans="14:21" x14ac:dyDescent="0.25">
      <c r="N212" s="1">
        <v>-0.24591934386764219</v>
      </c>
      <c r="O212" s="1">
        <v>0.96945290378472293</v>
      </c>
      <c r="P212" s="7">
        <v>0</v>
      </c>
      <c r="Q212" s="7">
        <f>SUM($P$4:P212)</f>
        <v>20135405.336110719</v>
      </c>
      <c r="S212" s="33">
        <v>1.2264958108031483</v>
      </c>
      <c r="T212" s="34">
        <v>1473437.4737715977</v>
      </c>
      <c r="U212" s="34">
        <f>SUM($T$4:T212)</f>
        <v>12886320.332386341</v>
      </c>
    </row>
    <row r="213" spans="14:21" x14ac:dyDescent="0.25">
      <c r="N213" s="1">
        <v>-0.2335376618596588</v>
      </c>
      <c r="O213" s="1">
        <v>0.70773230705298595</v>
      </c>
      <c r="P213" s="7">
        <v>6340.3910767761017</v>
      </c>
      <c r="Q213" s="7">
        <f>SUM($P$4:P213)</f>
        <v>20141745.727187496</v>
      </c>
      <c r="S213" s="1">
        <v>1.2305472770115664</v>
      </c>
      <c r="T213" s="7">
        <v>2971.495236032616</v>
      </c>
      <c r="U213" s="7">
        <f>SUM($T$4:T213)</f>
        <v>12889291.827622373</v>
      </c>
    </row>
    <row r="214" spans="14:21" x14ac:dyDescent="0.25">
      <c r="N214" s="1">
        <v>-0.22513952420782057</v>
      </c>
      <c r="O214" s="1">
        <v>1.3498045353129324</v>
      </c>
      <c r="P214" s="7">
        <v>233288.42524781841</v>
      </c>
      <c r="Q214" s="7">
        <f>SUM($P$4:P214)</f>
        <v>20375034.152435314</v>
      </c>
      <c r="S214" s="33">
        <v>1.23224171147488</v>
      </c>
      <c r="T214" s="34">
        <v>113541.767300072</v>
      </c>
      <c r="U214" s="34">
        <f>SUM($T$4:T214)</f>
        <v>13002833.594922444</v>
      </c>
    </row>
    <row r="215" spans="14:21" x14ac:dyDescent="0.25">
      <c r="N215" s="1">
        <v>-0.177009527284818</v>
      </c>
      <c r="O215" s="1">
        <v>2.0954632346128959</v>
      </c>
      <c r="P215" s="7">
        <v>79.979758465034806</v>
      </c>
      <c r="Q215" s="7">
        <f>SUM($P$4:P215)</f>
        <v>20375114.132193778</v>
      </c>
      <c r="S215" s="1">
        <v>1.2496993866846109</v>
      </c>
      <c r="T215" s="7">
        <v>116830.31956298163</v>
      </c>
      <c r="U215" s="7">
        <f>SUM($T$4:T215)</f>
        <v>13119663.914485425</v>
      </c>
    </row>
    <row r="216" spans="14:21" x14ac:dyDescent="0.25">
      <c r="N216" s="1">
        <v>-0.17696193753835973</v>
      </c>
      <c r="O216" s="1">
        <v>2.0954632346128963</v>
      </c>
      <c r="P216" s="7">
        <v>35523.41735819231</v>
      </c>
      <c r="Q216" s="7">
        <f>SUM($P$4:P216)</f>
        <v>20410637.549551971</v>
      </c>
      <c r="S216" s="33">
        <v>1.264440182592973</v>
      </c>
      <c r="T216" s="34">
        <v>300600.84520323668</v>
      </c>
      <c r="U216" s="34">
        <f>SUM($T$4:T216)</f>
        <v>13420264.759688661</v>
      </c>
    </row>
    <row r="217" spans="14:21" x14ac:dyDescent="0.25">
      <c r="N217" s="1">
        <v>-0.17245150869645037</v>
      </c>
      <c r="O217" s="1">
        <v>0.4672931329656026</v>
      </c>
      <c r="P217" s="7">
        <v>7478.4999102090324</v>
      </c>
      <c r="Q217" s="7">
        <f>SUM($P$4:P217)</f>
        <v>20418116.049462181</v>
      </c>
      <c r="S217" s="1">
        <v>1.3226226408551862</v>
      </c>
      <c r="T217" s="7">
        <v>285728.18715643114</v>
      </c>
      <c r="U217" s="7">
        <f>SUM($T$4:T217)</f>
        <v>13705992.946845092</v>
      </c>
    </row>
    <row r="218" spans="14:21" x14ac:dyDescent="0.25">
      <c r="N218" s="1">
        <v>-0.14324970019558894</v>
      </c>
      <c r="O218" s="1">
        <v>1.0721225474567759</v>
      </c>
      <c r="P218" s="7">
        <v>113091.98467017675</v>
      </c>
      <c r="Q218" s="7">
        <f>SUM($P$4:P218)</f>
        <v>20531208.034132358</v>
      </c>
      <c r="S218" s="33">
        <v>1.3518893460495207</v>
      </c>
      <c r="T218" s="34">
        <v>156119.36343032928</v>
      </c>
      <c r="U218" s="34">
        <f>SUM($T$4:T218)</f>
        <v>13862112.310275421</v>
      </c>
    </row>
    <row r="219" spans="14:21" x14ac:dyDescent="0.25">
      <c r="N219" s="1">
        <v>-0.14324970019558894</v>
      </c>
      <c r="O219" s="1">
        <v>0.4672931329656026</v>
      </c>
      <c r="P219" s="7">
        <v>3799.7819594950106</v>
      </c>
      <c r="Q219" s="7">
        <f>SUM($P$4:P219)</f>
        <v>20535007.816091854</v>
      </c>
      <c r="S219" s="1">
        <v>1.3518893460495207</v>
      </c>
      <c r="T219" s="7">
        <v>76875.333365969738</v>
      </c>
      <c r="U219" s="7">
        <f>SUM($T$4:T219)</f>
        <v>13938987.64364139</v>
      </c>
    </row>
    <row r="220" spans="14:21" x14ac:dyDescent="0.25">
      <c r="N220" s="1">
        <v>-0.13956329883334065</v>
      </c>
      <c r="O220" s="1">
        <v>2.1230659331929727</v>
      </c>
      <c r="P220" s="7">
        <v>1115.9578164051716</v>
      </c>
      <c r="Q220" s="7">
        <f>SUM($P$4:P220)</f>
        <v>20536123.773908257</v>
      </c>
      <c r="S220" s="33">
        <v>1.3518893460495207</v>
      </c>
      <c r="T220" s="34">
        <v>103420.57907026491</v>
      </c>
      <c r="U220" s="34">
        <f>SUM($T$4:T220)</f>
        <v>14042408.222711654</v>
      </c>
    </row>
    <row r="221" spans="14:21" x14ac:dyDescent="0.25">
      <c r="N221" s="1">
        <v>-0.12205024667384824</v>
      </c>
      <c r="O221" s="1">
        <v>1.3498045353129324</v>
      </c>
      <c r="P221" s="7">
        <v>114874.44649587969</v>
      </c>
      <c r="Q221" s="7">
        <f>SUM($P$4:P221)</f>
        <v>20650998.220404137</v>
      </c>
      <c r="S221" s="1">
        <v>1.3518893460495207</v>
      </c>
      <c r="T221" s="7">
        <v>177839.21458840321</v>
      </c>
      <c r="U221" s="7">
        <f>SUM($T$4:T221)</f>
        <v>14220247.437300058</v>
      </c>
    </row>
    <row r="222" spans="14:21" x14ac:dyDescent="0.25">
      <c r="N222" s="1">
        <v>-0.1208952283669998</v>
      </c>
      <c r="O222" s="1">
        <v>1.550704251021745</v>
      </c>
      <c r="P222" s="7">
        <v>136191.95409840252</v>
      </c>
      <c r="Q222" s="7">
        <f>SUM($P$4:P222)</f>
        <v>20787190.17450254</v>
      </c>
      <c r="S222" s="33">
        <v>1.3518893460495207</v>
      </c>
      <c r="T222" s="34">
        <v>159308.49749870252</v>
      </c>
      <c r="U222" s="34">
        <f>SUM($T$4:T222)</f>
        <v>14379555.93479876</v>
      </c>
    </row>
    <row r="223" spans="14:21" x14ac:dyDescent="0.25">
      <c r="N223" s="1">
        <v>-0.1208952283669998</v>
      </c>
      <c r="O223" s="1">
        <v>0.4672931329656026</v>
      </c>
      <c r="P223" s="7">
        <v>17743.564913972372</v>
      </c>
      <c r="Q223" s="7">
        <f>SUM($P$4:P223)</f>
        <v>20804933.739416514</v>
      </c>
      <c r="S223" s="1">
        <v>1.3518893460495207</v>
      </c>
      <c r="T223" s="7">
        <v>654.46283185489983</v>
      </c>
      <c r="U223" s="7">
        <f>SUM($T$4:T223)</f>
        <v>14380210.397630615</v>
      </c>
    </row>
    <row r="224" spans="14:21" x14ac:dyDescent="0.25">
      <c r="N224" s="1">
        <v>-0.12035701680335814</v>
      </c>
      <c r="O224" s="1">
        <v>0.4672931329656026</v>
      </c>
      <c r="P224" s="7">
        <v>3183.53990290108</v>
      </c>
      <c r="Q224" s="7">
        <f>SUM($P$4:P224)</f>
        <v>20808117.279319413</v>
      </c>
      <c r="S224" s="33">
        <v>1.3518893460495207</v>
      </c>
      <c r="T224" s="34">
        <v>108264.89744208155</v>
      </c>
      <c r="U224" s="34">
        <f>SUM($T$4:T224)</f>
        <v>14488475.295072697</v>
      </c>
    </row>
    <row r="225" spans="14:21" x14ac:dyDescent="0.25">
      <c r="N225" s="1">
        <v>-0.11733133576427998</v>
      </c>
      <c r="O225" s="1">
        <v>1.3498045353129324</v>
      </c>
      <c r="P225" s="7">
        <v>85532.978924274386</v>
      </c>
      <c r="Q225" s="7">
        <f>SUM($P$4:P225)</f>
        <v>20893650.258243687</v>
      </c>
      <c r="S225" s="1">
        <v>1.3518893460495207</v>
      </c>
      <c r="T225" s="7">
        <v>47821.436015690248</v>
      </c>
      <c r="U225" s="7">
        <f>SUM($T$4:T225)</f>
        <v>14536296.731088387</v>
      </c>
    </row>
    <row r="226" spans="14:21" x14ac:dyDescent="0.25">
      <c r="N226" s="1">
        <v>-0.11304474947304376</v>
      </c>
      <c r="O226" s="1">
        <v>0.4672931329656026</v>
      </c>
      <c r="P226" s="7">
        <v>250.46951704587329</v>
      </c>
      <c r="Q226" s="7">
        <f>SUM($P$4:P226)</f>
        <v>20893900.727760732</v>
      </c>
      <c r="S226" s="33">
        <v>1.3518893460495207</v>
      </c>
      <c r="T226" s="34">
        <v>67534.851668963427</v>
      </c>
      <c r="U226" s="34">
        <f>SUM($T$4:T226)</f>
        <v>14603831.58275735</v>
      </c>
    </row>
    <row r="227" spans="14:21" x14ac:dyDescent="0.25">
      <c r="N227" s="1">
        <v>-0.11304474947304376</v>
      </c>
      <c r="O227" s="1">
        <v>1.1567665262170677</v>
      </c>
      <c r="P227" s="7">
        <v>17799.0052739534</v>
      </c>
      <c r="Q227" s="7">
        <f>SUM($P$4:P227)</f>
        <v>20911699.733034685</v>
      </c>
      <c r="S227" s="1">
        <v>1.3518893460495207</v>
      </c>
      <c r="T227" s="7">
        <v>161444.34813900606</v>
      </c>
      <c r="U227" s="7">
        <f>SUM($T$4:T227)</f>
        <v>14765275.930896357</v>
      </c>
    </row>
    <row r="228" spans="14:21" x14ac:dyDescent="0.25">
      <c r="N228" s="1">
        <v>-8.7370159319194146E-2</v>
      </c>
      <c r="O228" s="1">
        <v>1.1280020883331712</v>
      </c>
      <c r="P228" s="7">
        <v>163822.6150757517</v>
      </c>
      <c r="Q228" s="7">
        <f>SUM($P$4:P228)</f>
        <v>21075522.348110437</v>
      </c>
      <c r="S228" s="33">
        <v>1.3518893460495207</v>
      </c>
      <c r="T228" s="34">
        <v>71459.345311565514</v>
      </c>
      <c r="U228" s="34">
        <f>SUM($T$4:T228)</f>
        <v>14836735.276207922</v>
      </c>
    </row>
    <row r="229" spans="14:21" x14ac:dyDescent="0.25">
      <c r="N229" s="1">
        <v>-7.0871986976393714E-2</v>
      </c>
      <c r="O229" s="1">
        <v>1.008786206068599</v>
      </c>
      <c r="P229" s="7">
        <v>10588.76755965134</v>
      </c>
      <c r="Q229" s="7">
        <f>SUM($P$4:P229)</f>
        <v>21086111.115670089</v>
      </c>
      <c r="S229" s="1">
        <v>1.3518893460495207</v>
      </c>
      <c r="T229" s="7">
        <v>193624.00103788357</v>
      </c>
      <c r="U229" s="7">
        <f>SUM($T$4:T229)</f>
        <v>15030359.277245805</v>
      </c>
    </row>
    <row r="230" spans="14:21" x14ac:dyDescent="0.25">
      <c r="N230" s="1">
        <v>-7.0854437090028394E-2</v>
      </c>
      <c r="O230" s="1">
        <v>1.1445178105623359</v>
      </c>
      <c r="P230" s="7">
        <v>2733.0390564982008</v>
      </c>
      <c r="Q230" s="7">
        <f>SUM($P$4:P230)</f>
        <v>21088844.154726587</v>
      </c>
      <c r="S230" s="33">
        <v>1.3518893460495207</v>
      </c>
      <c r="T230" s="34">
        <v>28790.026706892073</v>
      </c>
      <c r="U230" s="34">
        <f>SUM($T$4:T230)</f>
        <v>15059149.303952698</v>
      </c>
    </row>
    <row r="231" spans="14:21" x14ac:dyDescent="0.25">
      <c r="N231" s="1">
        <v>-6.086570555985079E-2</v>
      </c>
      <c r="O231" s="1">
        <v>2.1474879975497321</v>
      </c>
      <c r="P231" s="7">
        <v>1831.7540292164235</v>
      </c>
      <c r="Q231" s="7">
        <f>SUM($P$4:P231)</f>
        <v>21090675.908755805</v>
      </c>
      <c r="S231" s="1">
        <v>1.3518893460495207</v>
      </c>
      <c r="T231" s="7">
        <v>87007.038505705932</v>
      </c>
      <c r="U231" s="7">
        <f>SUM($T$4:T231)</f>
        <v>15146156.342458403</v>
      </c>
    </row>
    <row r="232" spans="14:21" x14ac:dyDescent="0.25">
      <c r="N232" s="1">
        <v>-3.9391026458677245E-2</v>
      </c>
      <c r="O232" s="1">
        <v>1.3498045353129324</v>
      </c>
      <c r="P232" s="7">
        <v>154540.88140890078</v>
      </c>
      <c r="Q232" s="7">
        <f>SUM($P$4:P232)</f>
        <v>21245216.790164705</v>
      </c>
      <c r="S232" s="33">
        <v>1.3518893460495207</v>
      </c>
      <c r="T232" s="34">
        <v>462380.53142423095</v>
      </c>
      <c r="U232" s="34">
        <f>SUM($T$4:T232)</f>
        <v>15608536.873882635</v>
      </c>
    </row>
    <row r="233" spans="14:21" x14ac:dyDescent="0.25">
      <c r="N233" s="1">
        <v>-1.5995236384734907E-2</v>
      </c>
      <c r="O233" s="1">
        <v>1.3498045353129324</v>
      </c>
      <c r="P233" s="7">
        <v>265744.29594796582</v>
      </c>
      <c r="Q233" s="7">
        <f>SUM($P$4:P233)</f>
        <v>21510961.086112671</v>
      </c>
      <c r="S233" s="1">
        <v>1.3518893460495207</v>
      </c>
      <c r="T233" s="7">
        <v>289331.42756803375</v>
      </c>
      <c r="U233" s="7">
        <f>SUM($T$4:T233)</f>
        <v>15897868.301450668</v>
      </c>
    </row>
    <row r="234" spans="14:21" x14ac:dyDescent="0.25">
      <c r="N234" s="1">
        <v>-1.1801302289501605E-2</v>
      </c>
      <c r="O234" s="1">
        <v>1.2035709453628638</v>
      </c>
      <c r="P234" s="7">
        <v>157405.15788490849</v>
      </c>
      <c r="Q234" s="7">
        <f>SUM($P$4:P234)</f>
        <v>21668366.243997578</v>
      </c>
      <c r="S234" s="33">
        <v>1.3518893460495207</v>
      </c>
      <c r="T234" s="34">
        <v>43020.800531836532</v>
      </c>
      <c r="U234" s="34">
        <f>SUM($T$4:T234)</f>
        <v>15940889.101982504</v>
      </c>
    </row>
    <row r="235" spans="14:21" x14ac:dyDescent="0.25">
      <c r="N235" s="1">
        <v>1.2700298285369591E-2</v>
      </c>
      <c r="O235" s="1">
        <v>0.4672931329656026</v>
      </c>
      <c r="P235" s="7">
        <v>1563.0682535415342</v>
      </c>
      <c r="Q235" s="7">
        <f>SUM($P$4:P235)</f>
        <v>21669929.312251121</v>
      </c>
      <c r="S235" s="1">
        <v>1.3518893460495207</v>
      </c>
      <c r="T235" s="7">
        <v>129744.68130424</v>
      </c>
      <c r="U235" s="7">
        <f>SUM($T$4:T235)</f>
        <v>16070633.783286745</v>
      </c>
    </row>
    <row r="236" spans="14:21" x14ac:dyDescent="0.25">
      <c r="N236" s="1">
        <v>1.2700298285369591E-2</v>
      </c>
      <c r="O236" s="1">
        <v>1.2280725459377344</v>
      </c>
      <c r="P236" s="7">
        <v>2971.495236032616</v>
      </c>
      <c r="Q236" s="7">
        <f>SUM($P$4:P236)</f>
        <v>21672900.807487153</v>
      </c>
      <c r="S236" s="33">
        <v>1.3518893460495207</v>
      </c>
      <c r="T236" s="34">
        <v>43764.69519643113</v>
      </c>
      <c r="U236" s="34">
        <f>SUM($T$4:T236)</f>
        <v>16114398.478483176</v>
      </c>
    </row>
    <row r="237" spans="14:21" x14ac:dyDescent="0.25">
      <c r="N237" s="1">
        <v>1.3024461667565736E-2</v>
      </c>
      <c r="O237" s="1">
        <v>2.1784609474153913</v>
      </c>
      <c r="P237" s="7">
        <v>0</v>
      </c>
      <c r="Q237" s="7">
        <f>SUM($P$4:P237)</f>
        <v>21672900.807487153</v>
      </c>
      <c r="S237" s="1">
        <v>1.3518893460495207</v>
      </c>
      <c r="T237" s="7">
        <v>690933.03784412437</v>
      </c>
      <c r="U237" s="7">
        <f>SUM($T$4:T237)</f>
        <v>16805331.516327299</v>
      </c>
    </row>
    <row r="238" spans="14:21" x14ac:dyDescent="0.25">
      <c r="N238" s="1">
        <v>3.4201124712622752E-2</v>
      </c>
      <c r="O238" s="1">
        <v>2.3371498089884883</v>
      </c>
      <c r="P238" s="7">
        <v>37781.319872285858</v>
      </c>
      <c r="Q238" s="7">
        <f>SUM($P$4:P238)</f>
        <v>21710682.127359439</v>
      </c>
      <c r="S238" s="33">
        <v>1.3518893460495207</v>
      </c>
      <c r="T238" s="34">
        <v>100707.80430188008</v>
      </c>
      <c r="U238" s="34">
        <f>SUM($T$4:T238)</f>
        <v>16906039.320629179</v>
      </c>
    </row>
    <row r="239" spans="14:21" x14ac:dyDescent="0.25">
      <c r="N239" s="1">
        <v>4.7733038831375328E-2</v>
      </c>
      <c r="O239" s="1">
        <v>0.4672931329656026</v>
      </c>
      <c r="P239" s="7">
        <v>34.557041075082815</v>
      </c>
      <c r="Q239" s="7">
        <f>SUM($P$4:P239)</f>
        <v>21710716.684400514</v>
      </c>
      <c r="S239" s="1">
        <v>1.3518893460495207</v>
      </c>
      <c r="T239" s="7">
        <v>57358.583920070705</v>
      </c>
      <c r="U239" s="7">
        <f>SUM($T$4:T239)</f>
        <v>16963397.904549249</v>
      </c>
    </row>
    <row r="240" spans="14:21" x14ac:dyDescent="0.25">
      <c r="N240" s="1">
        <v>9.9579898584776755E-2</v>
      </c>
      <c r="O240" s="1">
        <v>0.4672931329656026</v>
      </c>
      <c r="P240" s="7">
        <v>0.3957369734310518</v>
      </c>
      <c r="Q240" s="7">
        <f>SUM($P$4:P240)</f>
        <v>21710717.080137488</v>
      </c>
      <c r="S240" s="33">
        <v>1.3518893460495207</v>
      </c>
      <c r="T240" s="34">
        <v>65397.376721834182</v>
      </c>
      <c r="U240" s="34">
        <f>SUM($T$4:T240)</f>
        <v>17028795.281271081</v>
      </c>
    </row>
    <row r="241" spans="14:21" x14ac:dyDescent="0.25">
      <c r="N241" s="1">
        <v>0.13085257854413071</v>
      </c>
      <c r="O241" s="1">
        <v>0.4672931329656026</v>
      </c>
      <c r="P241" s="7">
        <v>3518.8627229125377</v>
      </c>
      <c r="Q241" s="7">
        <f>SUM($P$4:P241)</f>
        <v>21714235.942860398</v>
      </c>
      <c r="S241" s="1">
        <v>1.3518893460495207</v>
      </c>
      <c r="T241" s="7">
        <v>233288.42524781841</v>
      </c>
      <c r="U241" s="7">
        <f>SUM($T$4:T241)</f>
        <v>17262083.7065189</v>
      </c>
    </row>
    <row r="242" spans="14:21" x14ac:dyDescent="0.25">
      <c r="N242" s="1">
        <v>0.13336080475326101</v>
      </c>
      <c r="O242" s="1">
        <v>0.4672931329656026</v>
      </c>
      <c r="P242" s="7">
        <v>249.77438596519767</v>
      </c>
      <c r="Q242" s="7">
        <f>SUM($P$4:P242)</f>
        <v>21714485.717246365</v>
      </c>
      <c r="S242" s="33">
        <v>1.3518893460495207</v>
      </c>
      <c r="T242" s="34">
        <v>114874.44649587969</v>
      </c>
      <c r="U242" s="34">
        <f>SUM($T$4:T242)</f>
        <v>17376958.153014779</v>
      </c>
    </row>
    <row r="243" spans="14:21" x14ac:dyDescent="0.25">
      <c r="N243" s="1">
        <v>0.14333244733186137</v>
      </c>
      <c r="O243" s="1">
        <v>0.4672931329656026</v>
      </c>
      <c r="P243" s="7">
        <v>84.247735486316486</v>
      </c>
      <c r="Q243" s="7">
        <f>SUM($P$4:P243)</f>
        <v>21714569.96498185</v>
      </c>
      <c r="S243" s="1">
        <v>1.3518893460495207</v>
      </c>
      <c r="T243" s="7">
        <v>85532.978924274386</v>
      </c>
      <c r="U243" s="7">
        <f>SUM($T$4:T243)</f>
        <v>17462491.131939054</v>
      </c>
    </row>
    <row r="244" spans="14:21" x14ac:dyDescent="0.25">
      <c r="N244" s="1">
        <v>0.15881169413742999</v>
      </c>
      <c r="O244" s="1">
        <v>2.5150333144518231</v>
      </c>
      <c r="P244" s="7">
        <v>0</v>
      </c>
      <c r="Q244" s="7">
        <f>SUM($P$4:P244)</f>
        <v>21714569.96498185</v>
      </c>
      <c r="S244" s="33">
        <v>1.3518893460495207</v>
      </c>
      <c r="T244" s="34">
        <v>154540.88140890078</v>
      </c>
      <c r="U244" s="34">
        <f>SUM($T$4:T244)</f>
        <v>17617032.013347954</v>
      </c>
    </row>
    <row r="245" spans="14:21" x14ac:dyDescent="0.25">
      <c r="N245" s="1">
        <v>0.27234300754259277</v>
      </c>
      <c r="O245" s="1">
        <v>2.4468562968171641</v>
      </c>
      <c r="P245" s="7">
        <v>128665.80823350952</v>
      </c>
      <c r="Q245" s="7">
        <f>SUM($P$4:P245)</f>
        <v>21843235.773215361</v>
      </c>
      <c r="S245" s="1">
        <v>1.3518893460495207</v>
      </c>
      <c r="T245" s="7">
        <v>265744.29594796582</v>
      </c>
      <c r="U245" s="7">
        <f>SUM($T$4:T245)</f>
        <v>17882776.309295919</v>
      </c>
    </row>
    <row r="246" spans="14:21" x14ac:dyDescent="0.25">
      <c r="N246" s="1">
        <v>0.2862229915968616</v>
      </c>
      <c r="O246" s="1">
        <v>0.4672931329656026</v>
      </c>
      <c r="P246" s="7">
        <v>1458.8027601479635</v>
      </c>
      <c r="Q246" s="7">
        <f>SUM($P$4:P246)</f>
        <v>21844694.575975507</v>
      </c>
      <c r="S246" s="33">
        <v>1.3518893460495207</v>
      </c>
      <c r="T246" s="34">
        <v>238053.9331794914</v>
      </c>
      <c r="U246" s="34">
        <f>SUM($T$4:T246)</f>
        <v>18120830.242475409</v>
      </c>
    </row>
    <row r="247" spans="14:21" x14ac:dyDescent="0.25">
      <c r="N247" s="1">
        <v>0.28680257702508921</v>
      </c>
      <c r="O247" s="1">
        <v>0.4672931329656026</v>
      </c>
      <c r="P247" s="7">
        <v>1558.7302513084924</v>
      </c>
      <c r="Q247" s="7">
        <f>SUM($P$4:P247)</f>
        <v>21846253.306226816</v>
      </c>
      <c r="S247" s="1">
        <v>1.3518893460495207</v>
      </c>
      <c r="T247" s="7">
        <v>80201.03115150996</v>
      </c>
      <c r="U247" s="7">
        <f>SUM($T$4:T247)</f>
        <v>18201031.27362692</v>
      </c>
    </row>
    <row r="248" spans="14:21" x14ac:dyDescent="0.25">
      <c r="N248" s="1">
        <v>0.30640617552884364</v>
      </c>
      <c r="O248" s="1">
        <v>1.3498045353129324</v>
      </c>
      <c r="P248" s="7">
        <v>238053.9331794914</v>
      </c>
      <c r="Q248" s="7">
        <f>SUM($P$4:P248)</f>
        <v>22084307.239406306</v>
      </c>
      <c r="S248" s="33">
        <v>1.3518893460495207</v>
      </c>
      <c r="T248" s="34">
        <v>14020.939869910626</v>
      </c>
      <c r="U248" s="34">
        <f>SUM($T$4:T248)</f>
        <v>18215052.21349683</v>
      </c>
    </row>
    <row r="249" spans="14:21" x14ac:dyDescent="0.25">
      <c r="N249" s="1">
        <v>0.31276660789219263</v>
      </c>
      <c r="O249" s="1">
        <v>1.3924248009371851</v>
      </c>
      <c r="P249" s="7">
        <v>5018.5675843448917</v>
      </c>
      <c r="Q249" s="7">
        <f>SUM($P$4:P249)</f>
        <v>22089325.80699065</v>
      </c>
      <c r="S249" s="1">
        <v>1.3518893460495207</v>
      </c>
      <c r="T249" s="7">
        <v>119844.0209432228</v>
      </c>
      <c r="U249" s="7">
        <f>SUM($T$4:T249)</f>
        <v>18334896.234440055</v>
      </c>
    </row>
    <row r="250" spans="14:21" x14ac:dyDescent="0.25">
      <c r="N250" s="1">
        <v>0.32978329916770832</v>
      </c>
      <c r="O250" s="1">
        <v>1.5451555468200735</v>
      </c>
      <c r="P250" s="7">
        <v>1707344.0270731666</v>
      </c>
      <c r="Q250" s="7">
        <f>SUM($P$4:P250)</f>
        <v>23796669.834063817</v>
      </c>
      <c r="S250" s="33">
        <v>1.3518893460495207</v>
      </c>
      <c r="T250" s="34">
        <v>20951.424031430306</v>
      </c>
      <c r="U250" s="34">
        <f>SUM($T$4:T250)</f>
        <v>18355847.658471484</v>
      </c>
    </row>
    <row r="251" spans="14:21" x14ac:dyDescent="0.25">
      <c r="N251" s="1">
        <v>0.35237906657670803</v>
      </c>
      <c r="O251" s="1">
        <v>1.5400545897156579</v>
      </c>
      <c r="P251" s="7">
        <v>4147.2552535930881</v>
      </c>
      <c r="Q251" s="7">
        <f>SUM($P$4:P251)</f>
        <v>23800817.089317411</v>
      </c>
      <c r="S251" s="1">
        <v>1.3773462019900615</v>
      </c>
      <c r="T251" s="7">
        <v>20658.991128480564</v>
      </c>
      <c r="U251" s="7">
        <f>SUM($T$4:T251)</f>
        <v>18376506.649599966</v>
      </c>
    </row>
    <row r="252" spans="14:21" x14ac:dyDescent="0.25">
      <c r="N252" s="1">
        <v>0.44103875130047027</v>
      </c>
      <c r="O252" s="1">
        <v>0.4672931329656026</v>
      </c>
      <c r="P252" s="7">
        <v>5240.1355487824294</v>
      </c>
      <c r="Q252" s="7">
        <f>SUM($P$4:P252)</f>
        <v>23806057.224866193</v>
      </c>
      <c r="S252" s="33">
        <v>1.3849526560687626</v>
      </c>
      <c r="T252" s="34">
        <v>245427.86396765054</v>
      </c>
      <c r="U252" s="34">
        <f>SUM($T$4:T252)</f>
        <v>18621934.513567615</v>
      </c>
    </row>
    <row r="253" spans="14:21" x14ac:dyDescent="0.25">
      <c r="N253" s="1">
        <v>0.54287103449888297</v>
      </c>
      <c r="O253" s="1">
        <v>0.4672931329656026</v>
      </c>
      <c r="P253" s="7">
        <v>500.62060298883966</v>
      </c>
      <c r="Q253" s="7">
        <f>SUM($P$4:P253)</f>
        <v>23806557.84546918</v>
      </c>
      <c r="S253" s="1">
        <v>1.3939934856606468</v>
      </c>
      <c r="T253" s="7">
        <v>5018.5675843448917</v>
      </c>
      <c r="U253" s="7">
        <f>SUM($T$4:T253)</f>
        <v>18626953.081151959</v>
      </c>
    </row>
    <row r="254" spans="14:21" x14ac:dyDescent="0.25">
      <c r="N254" s="1">
        <v>0.57134666754224184</v>
      </c>
      <c r="O254" s="1">
        <v>0.4672931329656026</v>
      </c>
      <c r="P254" s="7">
        <v>17.073572344784111</v>
      </c>
      <c r="Q254" s="7">
        <f>SUM($P$4:P254)</f>
        <v>23806574.919041526</v>
      </c>
      <c r="S254" s="33">
        <v>1.4294031461324603</v>
      </c>
      <c r="T254" s="34">
        <v>0</v>
      </c>
      <c r="U254" s="34">
        <f>SUM($T$4:T254)</f>
        <v>18626953.081151959</v>
      </c>
    </row>
    <row r="255" spans="14:21" x14ac:dyDescent="0.25">
      <c r="N255" s="1">
        <v>0.57134666754224184</v>
      </c>
      <c r="O255" s="1">
        <v>3.0616063307454859</v>
      </c>
      <c r="P255" s="7">
        <v>542.67795181613758</v>
      </c>
      <c r="Q255" s="7">
        <f>SUM($P$4:P255)</f>
        <v>23807117.596993342</v>
      </c>
      <c r="S255" s="1">
        <v>1.5244121677903659</v>
      </c>
      <c r="T255" s="7">
        <v>690393.49099260895</v>
      </c>
      <c r="U255" s="7">
        <f>SUM($T$4:T255)</f>
        <v>19317346.572144568</v>
      </c>
    </row>
    <row r="256" spans="14:21" x14ac:dyDescent="0.25">
      <c r="N256" s="1">
        <v>0.5807979884614396</v>
      </c>
      <c r="O256" s="1">
        <v>0.4672931329656026</v>
      </c>
      <c r="P256" s="7">
        <v>0.38088689773579798</v>
      </c>
      <c r="Q256" s="7">
        <f>SUM($P$4:P256)</f>
        <v>23807117.977880239</v>
      </c>
      <c r="S256" s="33">
        <v>1.5248652160889229</v>
      </c>
      <c r="T256" s="34">
        <v>50999.763638162294</v>
      </c>
      <c r="U256" s="34">
        <f>SUM($T$4:T256)</f>
        <v>19368346.335782729</v>
      </c>
    </row>
    <row r="257" spans="14:21" x14ac:dyDescent="0.25">
      <c r="N257" s="1">
        <v>0.60943428210909911</v>
      </c>
      <c r="O257" s="1">
        <v>0.4672931329656026</v>
      </c>
      <c r="P257" s="7">
        <v>750.39615679960832</v>
      </c>
      <c r="Q257" s="7">
        <f>SUM($P$4:P257)</f>
        <v>23807868.374037039</v>
      </c>
      <c r="S257" s="1">
        <v>1.542008675451815</v>
      </c>
      <c r="T257" s="7">
        <v>4147.2552535930881</v>
      </c>
      <c r="U257" s="7">
        <f>SUM($T$4:T257)</f>
        <v>19372493.591036323</v>
      </c>
    </row>
    <row r="258" spans="14:21" x14ac:dyDescent="0.25">
      <c r="N258" s="1">
        <v>0.76800378363567889</v>
      </c>
      <c r="O258" s="1">
        <v>3.0425560657676498</v>
      </c>
      <c r="P258" s="7">
        <v>1181602.2579793802</v>
      </c>
      <c r="Q258" s="7">
        <f>SUM($P$4:P258)</f>
        <v>24989470.63201642</v>
      </c>
      <c r="S258" s="33">
        <v>1.5480652502776169</v>
      </c>
      <c r="T258" s="34">
        <v>1707344.0270731666</v>
      </c>
      <c r="U258" s="34">
        <f>SUM($T$4:T258)</f>
        <v>21079837.618109491</v>
      </c>
    </row>
    <row r="259" spans="14:21" x14ac:dyDescent="0.25">
      <c r="N259" s="1">
        <v>0.84230412208661365</v>
      </c>
      <c r="O259" s="1">
        <v>3.1049333541129269</v>
      </c>
      <c r="P259" s="7">
        <v>4293.6528914536157</v>
      </c>
      <c r="Q259" s="7">
        <f>SUM($P$4:P259)</f>
        <v>24993764.284907874</v>
      </c>
      <c r="S259" s="1">
        <v>1.5525574707264282</v>
      </c>
      <c r="T259" s="7">
        <v>136191.95409840252</v>
      </c>
      <c r="U259" s="7">
        <f>SUM($T$4:T259)</f>
        <v>21216029.572207894</v>
      </c>
    </row>
    <row r="260" spans="14:21" x14ac:dyDescent="0.25">
      <c r="N260" s="1">
        <v>0.84544894628196166</v>
      </c>
      <c r="O260" s="1">
        <v>0.4672931329656026</v>
      </c>
      <c r="P260" s="7">
        <v>7.1723632770218568</v>
      </c>
      <c r="Q260" s="7">
        <f>SUM($P$4:P260)</f>
        <v>24993771.457271151</v>
      </c>
      <c r="S260" s="33">
        <v>1.5586748479947377</v>
      </c>
      <c r="T260" s="34">
        <v>832423.1069540499</v>
      </c>
      <c r="U260" s="34">
        <f>SUM($T$4:T260)</f>
        <v>22048452.679161943</v>
      </c>
    </row>
    <row r="261" spans="14:21" x14ac:dyDescent="0.25">
      <c r="N261" s="1">
        <v>0.87892520177383748</v>
      </c>
      <c r="O261" s="1">
        <v>0.4672931329656026</v>
      </c>
      <c r="P261" s="7">
        <v>1429.5195491637473</v>
      </c>
      <c r="Q261" s="7">
        <f>SUM($P$4:P261)</f>
        <v>24995200.976820316</v>
      </c>
      <c r="S261" s="1">
        <v>1.6729306241216606</v>
      </c>
      <c r="T261" s="7">
        <v>97795.739210705025</v>
      </c>
      <c r="U261" s="7">
        <f>SUM($T$4:T261)</f>
        <v>22146248.41837265</v>
      </c>
    </row>
    <row r="262" spans="14:21" x14ac:dyDescent="0.25">
      <c r="N262" s="1">
        <v>0.87892520177383748</v>
      </c>
      <c r="O262" s="1">
        <v>2.0801417060437122</v>
      </c>
      <c r="P262" s="7">
        <v>101653.13220322155</v>
      </c>
      <c r="Q262" s="7">
        <f>SUM($P$4:P262)</f>
        <v>25096854.109023537</v>
      </c>
      <c r="S262" s="33">
        <v>1.6949246466819741</v>
      </c>
      <c r="T262" s="34">
        <v>631824.56514146749</v>
      </c>
      <c r="U262" s="34">
        <f>SUM($T$4:T262)</f>
        <v>22778072.983514119</v>
      </c>
    </row>
    <row r="263" spans="14:21" x14ac:dyDescent="0.25">
      <c r="N263" s="1">
        <v>0.99024316795274525</v>
      </c>
      <c r="O263" s="1">
        <v>3.2626630602848077</v>
      </c>
      <c r="P263" s="7">
        <v>257.12726263195503</v>
      </c>
      <c r="Q263" s="7">
        <f>SUM($P$4:P263)</f>
        <v>25097111.236286171</v>
      </c>
      <c r="S263" s="1">
        <v>1.816962744920003</v>
      </c>
      <c r="T263" s="7">
        <v>11137.237521460393</v>
      </c>
      <c r="U263" s="7">
        <f>SUM($T$4:T263)</f>
        <v>22789210.221035581</v>
      </c>
    </row>
    <row r="264" spans="14:21" x14ac:dyDescent="0.25">
      <c r="N264" s="1">
        <v>0.9902907320146096</v>
      </c>
      <c r="O264" s="1">
        <v>3.262663060284809</v>
      </c>
      <c r="P264" s="7">
        <v>114213.71026819877</v>
      </c>
      <c r="Q264" s="7">
        <f>SUM($P$4:P264)</f>
        <v>25211324.94655437</v>
      </c>
      <c r="S264" s="33">
        <v>1.8363827829694128</v>
      </c>
      <c r="T264" s="34">
        <v>232572.43108735583</v>
      </c>
      <c r="U264" s="34">
        <f>SUM($T$4:T264)</f>
        <v>23021782.652122937</v>
      </c>
    </row>
    <row r="265" spans="14:21" x14ac:dyDescent="0.25">
      <c r="N265" s="1">
        <v>1.125330756000142</v>
      </c>
      <c r="O265" s="1">
        <v>0.4672931329656026</v>
      </c>
      <c r="P265" s="7">
        <v>1425.5521862655496</v>
      </c>
      <c r="Q265" s="7">
        <f>SUM($P$4:P265)</f>
        <v>25212750.498740636</v>
      </c>
      <c r="S265" s="1">
        <v>1.9324064363868176</v>
      </c>
      <c r="T265" s="7">
        <v>0</v>
      </c>
      <c r="U265" s="7">
        <f>SUM($T$4:T265)</f>
        <v>23021782.652122937</v>
      </c>
    </row>
    <row r="266" spans="14:21" x14ac:dyDescent="0.25">
      <c r="N266" s="1">
        <v>1.1653770988675287</v>
      </c>
      <c r="O266" s="1">
        <v>3.4456295194441906</v>
      </c>
      <c r="P266" s="7">
        <v>346.04020068797445</v>
      </c>
      <c r="Q266" s="7">
        <f>SUM($P$4:P266)</f>
        <v>25213096.538941324</v>
      </c>
      <c r="S266" s="33">
        <v>1.9632380334848212</v>
      </c>
      <c r="T266" s="34">
        <v>615700.37983159535</v>
      </c>
      <c r="U266" s="34">
        <f>SUM($T$4:T266)</f>
        <v>23637483.031954534</v>
      </c>
    </row>
    <row r="267" spans="14:21" x14ac:dyDescent="0.25">
      <c r="N267" s="1">
        <v>1.1654284680543423</v>
      </c>
      <c r="O267" s="1">
        <v>3.4456295194441906</v>
      </c>
      <c r="P267" s="7">
        <v>153757.69254339486</v>
      </c>
      <c r="Q267" s="7">
        <f>SUM($P$4:P267)</f>
        <v>25366854.231484719</v>
      </c>
      <c r="S267" s="1">
        <v>2.0816500174096979</v>
      </c>
      <c r="T267" s="7">
        <v>101653.13220322155</v>
      </c>
      <c r="U267" s="7">
        <f>SUM($T$4:T267)</f>
        <v>23739136.164157756</v>
      </c>
    </row>
    <row r="268" spans="14:21" x14ac:dyDescent="0.25">
      <c r="N268" s="1">
        <v>1.3162248517699382</v>
      </c>
      <c r="O268" s="1">
        <v>3.5404233392613156</v>
      </c>
      <c r="P268" s="7">
        <v>0</v>
      </c>
      <c r="Q268" s="7">
        <f>SUM($P$4:P268)</f>
        <v>25366854.231484719</v>
      </c>
      <c r="S268" s="33">
        <v>2.1016065496947873</v>
      </c>
      <c r="T268" s="34">
        <v>35523.41735819231</v>
      </c>
      <c r="U268" s="34">
        <f>SUM($T$4:T268)</f>
        <v>23774659.581515949</v>
      </c>
    </row>
    <row r="269" spans="14:21" x14ac:dyDescent="0.25">
      <c r="N269" s="1">
        <v>1.5733259870010581</v>
      </c>
      <c r="O269" s="1">
        <v>4.9495393045774785</v>
      </c>
      <c r="P269" s="7">
        <v>1458.9987673111657</v>
      </c>
      <c r="Q269" s="7">
        <f>SUM($P$4:P269)</f>
        <v>25368313.230252031</v>
      </c>
      <c r="S269" s="1">
        <v>2.1016065496947882</v>
      </c>
      <c r="T269" s="7">
        <v>79.979758465034806</v>
      </c>
      <c r="U269" s="7">
        <f>SUM($T$4:T269)</f>
        <v>23774739.561274413</v>
      </c>
    </row>
    <row r="270" spans="14:21" x14ac:dyDescent="0.25">
      <c r="N270" s="1">
        <v>1.5867031063130539</v>
      </c>
      <c r="O270" s="1">
        <v>4.9629164238894754</v>
      </c>
      <c r="P270" s="7">
        <v>457.02215965026329</v>
      </c>
      <c r="Q270" s="7">
        <f>SUM($P$4:P270)</f>
        <v>25368770.252411682</v>
      </c>
      <c r="S270" s="33">
        <v>2.1292802529367787</v>
      </c>
      <c r="T270" s="34">
        <v>1115.9578164051716</v>
      </c>
      <c r="U270" s="34">
        <f>SUM($T$4:T270)</f>
        <v>23775855.519090816</v>
      </c>
    </row>
    <row r="271" spans="14:21" x14ac:dyDescent="0.25">
      <c r="N271" s="1">
        <v>1.6499948460693128</v>
      </c>
      <c r="O271" s="1">
        <v>1.3498045353129324</v>
      </c>
      <c r="P271" s="7">
        <v>80201.03115150996</v>
      </c>
      <c r="Q271" s="7">
        <f>SUM($P$4:P271)</f>
        <v>25448971.283563193</v>
      </c>
      <c r="S271" s="1">
        <v>2.1510583204467864</v>
      </c>
      <c r="T271" s="7">
        <v>1831.7540292164235</v>
      </c>
      <c r="U271" s="7">
        <f>SUM($T$4:T271)</f>
        <v>23777687.273120034</v>
      </c>
    </row>
    <row r="272" spans="14:21" x14ac:dyDescent="0.25">
      <c r="N272" s="1">
        <v>1.6499948460693128</v>
      </c>
      <c r="O272" s="1">
        <v>4.0542017663308254</v>
      </c>
      <c r="P272" s="7">
        <v>58816.147574223811</v>
      </c>
      <c r="Q272" s="7">
        <f>SUM($P$4:P272)</f>
        <v>25507787.431137417</v>
      </c>
      <c r="S272" s="33">
        <v>2.1841675638299041</v>
      </c>
      <c r="T272" s="34">
        <v>0</v>
      </c>
      <c r="U272" s="34">
        <f>SUM($T$4:T272)</f>
        <v>23777687.273120034</v>
      </c>
    </row>
    <row r="273" spans="14:21" x14ac:dyDescent="0.25">
      <c r="N273" s="1">
        <v>1.90935600167047</v>
      </c>
      <c r="O273" s="1">
        <v>4.1643496847215875</v>
      </c>
      <c r="P273" s="7">
        <v>206970.11712472982</v>
      </c>
      <c r="Q273" s="7">
        <f>SUM($P$4:P273)</f>
        <v>25714757.548262145</v>
      </c>
      <c r="S273" s="1">
        <v>2.3391484583424971</v>
      </c>
      <c r="T273" s="7">
        <v>37781.319872285858</v>
      </c>
      <c r="U273" s="7">
        <f>SUM($T$4:T273)</f>
        <v>23815468.592992321</v>
      </c>
    </row>
    <row r="274" spans="14:21" x14ac:dyDescent="0.25">
      <c r="N274" s="1">
        <v>2.0495723242131194</v>
      </c>
      <c r="O274" s="1">
        <v>4.2240856134876896</v>
      </c>
      <c r="P274" s="7">
        <v>245888.20797345351</v>
      </c>
      <c r="Q274" s="7">
        <f>SUM($P$4:P274)</f>
        <v>25960645.7562356</v>
      </c>
      <c r="S274" s="33">
        <v>2.4464080274040976</v>
      </c>
      <c r="T274" s="34">
        <v>64332.904116754762</v>
      </c>
      <c r="U274" s="34">
        <f>SUM($T$4:T274)</f>
        <v>23879801.497109074</v>
      </c>
    </row>
    <row r="275" spans="14:21" x14ac:dyDescent="0.25">
      <c r="N275" s="1">
        <v>2.1571713853867371</v>
      </c>
      <c r="O275" s="1">
        <v>5.5333847029631578</v>
      </c>
      <c r="P275" s="7">
        <v>725.23330538859204</v>
      </c>
      <c r="Q275" s="7">
        <f>SUM($P$4:P275)</f>
        <v>25961370.989540987</v>
      </c>
      <c r="S275" s="1">
        <v>2.5214884046734412</v>
      </c>
      <c r="T275" s="7">
        <v>0</v>
      </c>
      <c r="U275" s="7">
        <f>SUM($T$4:T275)</f>
        <v>23879801.497109074</v>
      </c>
    </row>
    <row r="276" spans="14:21" x14ac:dyDescent="0.25">
      <c r="N276" s="1">
        <v>2.8150631036590616</v>
      </c>
      <c r="O276" s="1">
        <v>0.4672931329656026</v>
      </c>
      <c r="P276" s="7">
        <v>900.89671795404035</v>
      </c>
      <c r="Q276" s="7">
        <f>SUM($P$4:P276)</f>
        <v>25962271.886258941</v>
      </c>
      <c r="S276" s="33">
        <v>2.802799235966686</v>
      </c>
      <c r="T276" s="34">
        <v>104426.62516139673</v>
      </c>
      <c r="U276" s="34">
        <f>SUM($T$4:T276)</f>
        <v>23984228.122270472</v>
      </c>
    </row>
    <row r="277" spans="14:21" x14ac:dyDescent="0.25">
      <c r="N277" s="1">
        <v>2.8150631036590616</v>
      </c>
      <c r="O277" s="1">
        <v>5.5745076746880287</v>
      </c>
      <c r="P277" s="7">
        <v>1712.6637301297569</v>
      </c>
      <c r="Q277" s="7">
        <f>SUM($P$4:P277)</f>
        <v>25963984.549989071</v>
      </c>
      <c r="S277" s="1">
        <v>3.0511356646093293</v>
      </c>
      <c r="T277" s="7">
        <v>1181602.2579793802</v>
      </c>
      <c r="U277" s="7">
        <f>SUM($T$4:T277)</f>
        <v>25165830.380249854</v>
      </c>
    </row>
    <row r="278" spans="14:21" x14ac:dyDescent="0.25">
      <c r="N278" s="1">
        <v>2.830234673049798</v>
      </c>
      <c r="O278" s="1">
        <v>5.5896792440787584</v>
      </c>
      <c r="P278" s="7">
        <v>536.48110898756477</v>
      </c>
      <c r="Q278" s="7">
        <f>SUM($P$4:P278)</f>
        <v>25964521.031098057</v>
      </c>
      <c r="S278" s="33">
        <v>3.0639475088090991</v>
      </c>
      <c r="T278" s="34">
        <v>542.67795181613758</v>
      </c>
      <c r="U278" s="34">
        <f>SUM($T$4:T278)</f>
        <v>25166373.058201671</v>
      </c>
    </row>
    <row r="279" spans="14:21" x14ac:dyDescent="0.25">
      <c r="N279" s="1">
        <v>2.830234673049798</v>
      </c>
      <c r="O279" s="1">
        <v>0.4672931329656026</v>
      </c>
      <c r="P279" s="7">
        <v>282.20021352038754</v>
      </c>
      <c r="Q279" s="7">
        <f>SUM($P$4:P279)</f>
        <v>25964803.231311578</v>
      </c>
      <c r="S279" s="1">
        <v>3.1136734111162339</v>
      </c>
      <c r="T279" s="7">
        <v>4293.6528914536157</v>
      </c>
      <c r="U279" s="7">
        <f>SUM($T$4:T279)</f>
        <v>25170666.711093124</v>
      </c>
    </row>
    <row r="280" spans="14:21" x14ac:dyDescent="0.25">
      <c r="N280" s="1">
        <v>2.851747483966371</v>
      </c>
      <c r="O280" s="1">
        <v>4.5233469633551158</v>
      </c>
      <c r="P280" s="7">
        <v>21522.737946706788</v>
      </c>
      <c r="Q280" s="7">
        <f>SUM($P$4:P280)</f>
        <v>25986325.969258286</v>
      </c>
      <c r="S280" s="33">
        <v>3.2718088582133347</v>
      </c>
      <c r="T280" s="34">
        <v>114213.71026819877</v>
      </c>
      <c r="U280" s="34">
        <f>SUM($T$4:T280)</f>
        <v>25284880.421361323</v>
      </c>
    </row>
    <row r="281" spans="14:21" x14ac:dyDescent="0.25">
      <c r="N281" s="1">
        <v>2.851747483966371</v>
      </c>
      <c r="O281" s="1">
        <v>0.4672931329656026</v>
      </c>
      <c r="P281" s="7">
        <v>976.98623734773059</v>
      </c>
      <c r="Q281" s="7">
        <f>SUM($P$4:P281)</f>
        <v>25987302.955495633</v>
      </c>
      <c r="S281" s="1">
        <v>3.2718088582133351</v>
      </c>
      <c r="T281" s="7">
        <v>257.12726263195503</v>
      </c>
      <c r="U281" s="7">
        <f>SUM($T$4:T281)</f>
        <v>25285137.548623957</v>
      </c>
    </row>
    <row r="282" spans="14:21" x14ac:dyDescent="0.25">
      <c r="N282" s="1">
        <v>2.8636201715795879</v>
      </c>
      <c r="O282" s="1">
        <v>1.3498045353129324</v>
      </c>
      <c r="P282" s="7">
        <v>14020.939869910626</v>
      </c>
      <c r="Q282" s="7">
        <f>SUM($P$4:P282)</f>
        <v>26001323.895365544</v>
      </c>
      <c r="S282" s="33">
        <v>3.4552459768459727</v>
      </c>
      <c r="T282" s="34">
        <v>153757.69254339486</v>
      </c>
      <c r="U282" s="34">
        <f>SUM($T$4:T282)</f>
        <v>25438895.241167352</v>
      </c>
    </row>
    <row r="283" spans="14:21" x14ac:dyDescent="0.25">
      <c r="N283" s="1">
        <v>2.8636201715795879</v>
      </c>
      <c r="O283" s="1">
        <v>5.2678270918411005</v>
      </c>
      <c r="P283" s="7">
        <v>10282.382366881271</v>
      </c>
      <c r="Q283" s="7">
        <f>SUM($P$4:P283)</f>
        <v>26011606.277732424</v>
      </c>
      <c r="S283" s="1">
        <v>3.4552459768459731</v>
      </c>
      <c r="T283" s="7">
        <v>346.04020068797445</v>
      </c>
      <c r="U283" s="7">
        <f>SUM($T$4:T283)</f>
        <v>25439241.28136804</v>
      </c>
    </row>
    <row r="284" spans="14:21" x14ac:dyDescent="0.25">
      <c r="N284" s="1">
        <v>3.11293179741818</v>
      </c>
      <c r="O284" s="1">
        <v>1.3498045353129324</v>
      </c>
      <c r="P284" s="7">
        <v>119844.0209432228</v>
      </c>
      <c r="Q284" s="7">
        <f>SUM($P$4:P284)</f>
        <v>26131450.298675649</v>
      </c>
      <c r="S284" s="33">
        <v>3.5491587045464943</v>
      </c>
      <c r="T284" s="34">
        <v>0</v>
      </c>
      <c r="U284" s="34">
        <f>SUM($T$4:T284)</f>
        <v>25439241.28136804</v>
      </c>
    </row>
    <row r="285" spans="14:21" x14ac:dyDescent="0.25">
      <c r="N285" s="1">
        <v>3.4772274133658292</v>
      </c>
      <c r="O285" s="1">
        <v>6.2366719843947944</v>
      </c>
      <c r="P285" s="7">
        <v>851.3240763802911</v>
      </c>
      <c r="Q285" s="7">
        <f>SUM($P$4:P285)</f>
        <v>26132301.622752029</v>
      </c>
      <c r="S285" s="1">
        <v>4.0579169333457017</v>
      </c>
      <c r="T285" s="7">
        <v>58816.147574223811</v>
      </c>
      <c r="U285" s="7">
        <f>SUM($T$4:T285)</f>
        <v>25498057.428942263</v>
      </c>
    </row>
    <row r="286" spans="14:21" x14ac:dyDescent="0.25">
      <c r="N286" s="1">
        <v>3.4772274133658292</v>
      </c>
      <c r="O286" s="1">
        <v>0.4672931329656026</v>
      </c>
      <c r="P286" s="7">
        <v>447.81415804733126</v>
      </c>
      <c r="Q286" s="7">
        <f>SUM($P$4:P286)</f>
        <v>26132749.436910078</v>
      </c>
      <c r="S286" s="33">
        <v>4.1758149643389944</v>
      </c>
      <c r="T286" s="34">
        <v>206970.11712472982</v>
      </c>
      <c r="U286" s="34">
        <f>SUM($T$4:T286)</f>
        <v>25705027.546066992</v>
      </c>
    </row>
    <row r="287" spans="14:21" x14ac:dyDescent="0.25">
      <c r="N287" s="1">
        <v>3.58207699444247</v>
      </c>
      <c r="O287" s="1">
        <v>0.4672931329656026</v>
      </c>
      <c r="P287" s="7">
        <v>95.142379427334987</v>
      </c>
      <c r="Q287" s="7">
        <f>SUM($P$4:P287)</f>
        <v>26132844.579289507</v>
      </c>
      <c r="S287" s="1">
        <v>4.2229354693772434</v>
      </c>
      <c r="T287" s="7">
        <v>245888.20797345351</v>
      </c>
      <c r="U287" s="7">
        <f>SUM($T$4:T287)</f>
        <v>25950915.754040446</v>
      </c>
    </row>
    <row r="288" spans="14:21" x14ac:dyDescent="0.25">
      <c r="N288" s="1">
        <v>4.2780000550079311</v>
      </c>
      <c r="O288" s="1">
        <v>0.4672931329656026</v>
      </c>
      <c r="P288" s="7">
        <v>898.39644839423602</v>
      </c>
      <c r="Q288" s="7">
        <f>SUM($P$4:P288)</f>
        <v>26133742.9757379</v>
      </c>
      <c r="S288" s="33">
        <v>4.5261602226805371</v>
      </c>
      <c r="T288" s="34">
        <v>21522.737946706788</v>
      </c>
      <c r="U288" s="34">
        <f>SUM($T$4:T288)</f>
        <v>25972438.491987154</v>
      </c>
    </row>
    <row r="289" spans="14:21" x14ac:dyDescent="0.25">
      <c r="N289" s="1">
        <v>4.2931716243986662</v>
      </c>
      <c r="O289" s="1">
        <v>0.4672931329656026</v>
      </c>
      <c r="P289" s="7">
        <v>281.41701985392865</v>
      </c>
      <c r="Q289" s="7">
        <f>SUM($P$4:P289)</f>
        <v>26134024.392757755</v>
      </c>
      <c r="S289" s="1">
        <v>4.6071205936402739</v>
      </c>
      <c r="T289" s="7">
        <v>9136.6489549647631</v>
      </c>
      <c r="U289" s="7">
        <f>SUM($T$4:T289)</f>
        <v>25981575.140942119</v>
      </c>
    </row>
    <row r="290" spans="14:21" x14ac:dyDescent="0.25">
      <c r="N290" s="1">
        <v>4.3265571229284552</v>
      </c>
      <c r="O290" s="1">
        <v>1.3498045353129324</v>
      </c>
      <c r="P290" s="7">
        <v>20951.424031430306</v>
      </c>
      <c r="Q290" s="7">
        <f>SUM($P$4:P290)</f>
        <v>26154975.816789184</v>
      </c>
      <c r="S290" s="33">
        <v>4.6071205936402748</v>
      </c>
      <c r="T290" s="34">
        <v>5347.332291617462</v>
      </c>
      <c r="U290" s="34">
        <f>SUM($T$4:T290)</f>
        <v>25986922.473233737</v>
      </c>
    </row>
    <row r="291" spans="14:21" x14ac:dyDescent="0.25">
      <c r="N291" s="1">
        <v>4.6640762916573406</v>
      </c>
      <c r="O291" s="1">
        <v>7.594746159211109</v>
      </c>
      <c r="P291" s="7">
        <v>5575.8851803807229</v>
      </c>
      <c r="Q291" s="7">
        <f>SUM($P$4:P291)</f>
        <v>26160551.701969564</v>
      </c>
      <c r="S291" s="1">
        <v>4.6071205936402748</v>
      </c>
      <c r="T291" s="7">
        <v>32074.658699829346</v>
      </c>
      <c r="U291" s="7">
        <f>SUM($T$4:T291)</f>
        <v>26018997.131933566</v>
      </c>
    </row>
    <row r="292" spans="14:21" x14ac:dyDescent="0.25">
      <c r="N292" s="1">
        <v>4.6850485019782608</v>
      </c>
      <c r="O292" s="1">
        <v>7.615718369532031</v>
      </c>
      <c r="P292" s="7">
        <v>1746.6108568383788</v>
      </c>
      <c r="Q292" s="7">
        <f>SUM($P$4:P292)</f>
        <v>26162298.312826402</v>
      </c>
      <c r="S292" s="33">
        <v>4.6071205936402748</v>
      </c>
      <c r="T292" s="34">
        <v>2243.008446728943</v>
      </c>
      <c r="U292" s="34">
        <f>SUM($T$4:T292)</f>
        <v>26021240.140380297</v>
      </c>
    </row>
    <row r="293" spans="14:21" x14ac:dyDescent="0.25">
      <c r="N293" s="1">
        <v>4.9401643647146969</v>
      </c>
      <c r="O293" s="1">
        <v>0.4672931329656026</v>
      </c>
      <c r="P293" s="7">
        <v>446.57133399713621</v>
      </c>
      <c r="Q293" s="7">
        <f>SUM($P$4:P293)</f>
        <v>26162744.884160399</v>
      </c>
      <c r="S293" s="1">
        <v>4.6071205936402757</v>
      </c>
      <c r="T293" s="7">
        <v>48486.327208699899</v>
      </c>
      <c r="U293" s="7">
        <f>SUM($T$4:T293)</f>
        <v>26069726.467588998</v>
      </c>
    </row>
    <row r="294" spans="14:21" x14ac:dyDescent="0.25">
      <c r="N294" s="1">
        <v>5.5794100196641887</v>
      </c>
      <c r="O294" s="1">
        <v>8.5100798872179535</v>
      </c>
      <c r="P294" s="7">
        <v>2771.6388323529955</v>
      </c>
      <c r="Q294" s="7">
        <f>SUM($P$4:P294)</f>
        <v>26165516.522992752</v>
      </c>
      <c r="S294" s="33">
        <v>4.6071205936402757</v>
      </c>
      <c r="T294" s="34">
        <v>2130.6767299796134</v>
      </c>
      <c r="U294" s="34">
        <f>SUM($T$4:T294)</f>
        <v>26071857.144318979</v>
      </c>
    </row>
    <row r="295" spans="14:21" x14ac:dyDescent="0.25">
      <c r="N295" s="1">
        <v>6.8072244786385783</v>
      </c>
      <c r="O295" s="1">
        <v>9.7747780822102239</v>
      </c>
      <c r="P295" s="7">
        <v>9148.0685068002385</v>
      </c>
      <c r="Q295" s="7">
        <f>SUM($P$4:P295)</f>
        <v>26174664.591499552</v>
      </c>
      <c r="S295" s="1">
        <v>4.6071205936402766</v>
      </c>
      <c r="T295" s="7">
        <v>3770.3543325778742</v>
      </c>
      <c r="U295" s="7">
        <f>SUM($T$4:T295)</f>
        <v>26075627.498651557</v>
      </c>
    </row>
    <row r="296" spans="14:21" x14ac:dyDescent="0.25">
      <c r="N296" s="1">
        <v>6.8344561392661927</v>
      </c>
      <c r="O296" s="1">
        <v>9.8020097428378392</v>
      </c>
      <c r="P296" s="7">
        <v>2865.5747484361905</v>
      </c>
      <c r="Q296" s="7">
        <f>SUM($P$4:P296)</f>
        <v>26177530.16624799</v>
      </c>
      <c r="S296" s="33">
        <v>4.9629714957201605</v>
      </c>
      <c r="T296" s="34">
        <v>1458.9987673111657</v>
      </c>
      <c r="U296" s="34">
        <f>SUM($T$4:T296)</f>
        <v>26077086.497418869</v>
      </c>
    </row>
    <row r="297" spans="14:21" x14ac:dyDescent="0.25">
      <c r="N297" s="1">
        <v>7.1065022091179086</v>
      </c>
      <c r="O297" s="1">
        <v>9.2810154983924846</v>
      </c>
      <c r="P297" s="7">
        <v>12051.761862208776</v>
      </c>
      <c r="Q297" s="7">
        <f>SUM($P$4:P297)</f>
        <v>26189581.928110197</v>
      </c>
      <c r="S297" s="1">
        <v>4.9763830298479474</v>
      </c>
      <c r="T297" s="7">
        <v>457.02215965026329</v>
      </c>
      <c r="U297" s="7">
        <f>SUM($T$4:T297)</f>
        <v>26077543.51957852</v>
      </c>
    </row>
    <row r="298" spans="14:21" x14ac:dyDescent="0.25">
      <c r="N298" s="1">
        <v>7.995752395375872</v>
      </c>
      <c r="O298" s="1">
        <v>10.96330599894752</v>
      </c>
      <c r="P298" s="7">
        <v>4547.285515076137</v>
      </c>
      <c r="Q298" s="7">
        <f>SUM($P$4:P298)</f>
        <v>26194129.213625275</v>
      </c>
      <c r="S298" s="33">
        <v>5.2779884734018419</v>
      </c>
      <c r="T298" s="34">
        <v>10282.382366881271</v>
      </c>
      <c r="U298" s="34">
        <f>SUM($T$4:T298)</f>
        <v>26087825.901945401</v>
      </c>
    </row>
    <row r="299" spans="14:21" x14ac:dyDescent="0.25">
      <c r="N299" s="1">
        <v>8.0075245929314374</v>
      </c>
      <c r="O299" s="1">
        <v>10.243276612019471</v>
      </c>
      <c r="P299" s="7">
        <v>112254.39466551182</v>
      </c>
      <c r="Q299" s="7">
        <f>SUM($P$4:P299)</f>
        <v>26306383.608290788</v>
      </c>
      <c r="S299" s="1">
        <v>5.548318931380634</v>
      </c>
      <c r="T299" s="7">
        <v>725.23330538859204</v>
      </c>
      <c r="U299" s="7">
        <f>SUM($T$4:T299)</f>
        <v>26088551.135250788</v>
      </c>
    </row>
    <row r="300" spans="14:21" x14ac:dyDescent="0.25">
      <c r="N300" s="1">
        <v>13.531684575414111</v>
      </c>
      <c r="O300" s="1">
        <v>0.4672931329656026</v>
      </c>
      <c r="P300" s="7">
        <v>196.36945383572544</v>
      </c>
      <c r="Q300" s="7">
        <f>SUM($P$4:P300)</f>
        <v>26306579.977744624</v>
      </c>
      <c r="S300" s="33">
        <v>5.5895476986406782</v>
      </c>
      <c r="T300" s="34">
        <v>1712.6637301297569</v>
      </c>
      <c r="U300" s="34">
        <f>SUM($T$4:T300)</f>
        <v>26090263.798980918</v>
      </c>
    </row>
    <row r="301" spans="14:21" x14ac:dyDescent="0.25">
      <c r="N301" s="1">
        <v>13.531684575414111</v>
      </c>
      <c r="O301" s="1">
        <v>18.912940749416155</v>
      </c>
      <c r="P301" s="7">
        <v>4961.0582851689924</v>
      </c>
      <c r="Q301" s="7">
        <f>SUM($P$4:P301)</f>
        <v>26311541.036029793</v>
      </c>
      <c r="S301" s="1">
        <v>5.6047582993619702</v>
      </c>
      <c r="T301" s="7">
        <v>536.48110898756477</v>
      </c>
      <c r="U301" s="7">
        <f>SUM($T$4:T301)</f>
        <v>26090800.280089904</v>
      </c>
    </row>
    <row r="302" spans="14:21" x14ac:dyDescent="0.25">
      <c r="N302" s="1">
        <v>13.585154326643281</v>
      </c>
      <c r="O302" s="1">
        <v>18.966410500645331</v>
      </c>
      <c r="P302" s="7">
        <v>1554.020210597756</v>
      </c>
      <c r="Q302" s="7">
        <f>SUM($P$4:P302)</f>
        <v>26313095.056240391</v>
      </c>
      <c r="S302" s="33">
        <v>6.2534155337635324</v>
      </c>
      <c r="T302" s="34">
        <v>851.3240763802911</v>
      </c>
      <c r="U302" s="34">
        <f>SUM($T$4:T302)</f>
        <v>26091651.604166284</v>
      </c>
    </row>
    <row r="303" spans="14:21" x14ac:dyDescent="0.25">
      <c r="N303" s="1">
        <v>13.585154326643281</v>
      </c>
      <c r="O303" s="1">
        <v>0.4672931329656026</v>
      </c>
      <c r="P303" s="7">
        <v>61.511492601697057</v>
      </c>
      <c r="Q303" s="7">
        <f>SUM($P$4:P303)</f>
        <v>26313156.567732994</v>
      </c>
      <c r="S303" s="1">
        <v>7.6149835753434596</v>
      </c>
      <c r="T303" s="7">
        <v>5575.8851803807229</v>
      </c>
      <c r="U303" s="7">
        <f>SUM($T$4:T303)</f>
        <v>26097227.489346664</v>
      </c>
    </row>
    <row r="304" spans="14:21" x14ac:dyDescent="0.25">
      <c r="N304" s="1">
        <v>15.865375968895169</v>
      </c>
      <c r="O304" s="1">
        <v>0.4672931329656026</v>
      </c>
      <c r="P304" s="7">
        <v>97.610547228284489</v>
      </c>
      <c r="Q304" s="7">
        <f>SUM($P$4:P304)</f>
        <v>26313254.178280223</v>
      </c>
      <c r="S304" s="33">
        <v>7.6360097400874594</v>
      </c>
      <c r="T304" s="34">
        <v>1746.6108568383788</v>
      </c>
      <c r="U304" s="34">
        <f>SUM($T$4:T304)</f>
        <v>26098974.100203503</v>
      </c>
    </row>
    <row r="305" spans="14:21" x14ac:dyDescent="0.25">
      <c r="N305" s="1">
        <v>15.865375968895169</v>
      </c>
      <c r="O305" s="1">
        <v>21.246632142897212</v>
      </c>
      <c r="P305" s="7">
        <v>2466.0231242068071</v>
      </c>
      <c r="Q305" s="7">
        <f>SUM($P$4:P305)</f>
        <v>26315720.20140443</v>
      </c>
      <c r="S305" s="1">
        <v>8.5326721482838117</v>
      </c>
      <c r="T305" s="7">
        <v>2771.6388323529955</v>
      </c>
      <c r="U305" s="7">
        <f>SUM($T$4:T305)</f>
        <v>26101745.739035856</v>
      </c>
    </row>
    <row r="306" spans="14:21" x14ac:dyDescent="0.25">
      <c r="N306" s="1">
        <v>19.6928546862563</v>
      </c>
      <c r="O306" s="1">
        <v>23.390063768125486</v>
      </c>
      <c r="P306" s="7">
        <v>13676.054767840178</v>
      </c>
      <c r="Q306" s="7">
        <f>SUM($P$4:P306)</f>
        <v>26329396.25617227</v>
      </c>
      <c r="S306" s="33">
        <v>9.3056427927734386</v>
      </c>
      <c r="T306" s="34">
        <v>12051.761862208776</v>
      </c>
      <c r="U306" s="34">
        <f>SUM($T$4:T306)</f>
        <v>26113797.500898063</v>
      </c>
    </row>
    <row r="307" spans="14:21" x14ac:dyDescent="0.25">
      <c r="N307" s="1">
        <v>19.75917944605521</v>
      </c>
      <c r="O307" s="1">
        <v>23.4563885279244</v>
      </c>
      <c r="P307" s="7">
        <v>4283.9378795448965</v>
      </c>
      <c r="Q307" s="7">
        <f>SUM($P$4:P307)</f>
        <v>26333680.194051813</v>
      </c>
      <c r="S307" s="1">
        <v>9.8006239851399997</v>
      </c>
      <c r="T307" s="7">
        <v>9148.0685068002385</v>
      </c>
      <c r="U307" s="7">
        <f>SUM($T$4:T307)</f>
        <v>26122945.569404863</v>
      </c>
    </row>
    <row r="308" spans="14:21" x14ac:dyDescent="0.25">
      <c r="N308" s="1">
        <v>22.587603914734448</v>
      </c>
      <c r="O308" s="1">
        <v>26.28481299660363</v>
      </c>
      <c r="P308" s="7">
        <v>6798.0389196866581</v>
      </c>
      <c r="Q308" s="7">
        <f>SUM($P$4:P308)</f>
        <v>26340478.232971501</v>
      </c>
      <c r="S308" s="33">
        <v>9.8279257036449756</v>
      </c>
      <c r="T308" s="34">
        <v>2865.5747484361905</v>
      </c>
      <c r="U308" s="34">
        <f>SUM($T$4:T308)</f>
        <v>26125811.144153301</v>
      </c>
    </row>
    <row r="309" spans="14:21" x14ac:dyDescent="0.25">
      <c r="N309" s="1">
        <v>28.114302665753623</v>
      </c>
      <c r="O309" s="1">
        <v>34.554309996350511</v>
      </c>
      <c r="P309" s="7">
        <v>715.08535399184655</v>
      </c>
      <c r="Q309" s="7">
        <f>SUM($P$4:P309)</f>
        <v>26341193.318325493</v>
      </c>
      <c r="S309" s="1">
        <v>10.270379208764339</v>
      </c>
      <c r="T309" s="7">
        <v>112254.39466551182</v>
      </c>
      <c r="U309" s="7">
        <f>SUM($T$4:T309)</f>
        <v>26238065.538818814</v>
      </c>
    </row>
    <row r="310" spans="14:21" x14ac:dyDescent="0.25">
      <c r="N310" s="1">
        <v>28.212682939850325</v>
      </c>
      <c r="O310" s="1">
        <v>34.652690270447202</v>
      </c>
      <c r="P310" s="7">
        <v>223.99597596502127</v>
      </c>
      <c r="Q310" s="7">
        <f>SUM($P$4:P310)</f>
        <v>26341417.314301457</v>
      </c>
      <c r="S310" s="33">
        <v>10.992209583308044</v>
      </c>
      <c r="T310" s="34">
        <v>4547.285515076137</v>
      </c>
      <c r="U310" s="34">
        <f>SUM($T$4:T310)</f>
        <v>26242612.824333891</v>
      </c>
    </row>
    <row r="311" spans="14:21" x14ac:dyDescent="0.25">
      <c r="N311" s="1">
        <v>32.408117274389646</v>
      </c>
      <c r="O311" s="1">
        <v>38.848124604986538</v>
      </c>
      <c r="P311" s="7">
        <v>355.45178414799312</v>
      </c>
      <c r="Q311" s="7">
        <f>SUM($P$4:P311)</f>
        <v>26341772.766085606</v>
      </c>
      <c r="S311" s="1">
        <v>18.96229606252064</v>
      </c>
      <c r="T311" s="7">
        <v>4961.0582851689924</v>
      </c>
      <c r="U311" s="7">
        <f>SUM($T$4:T311)</f>
        <v>26247573.882619061</v>
      </c>
    </row>
    <row r="312" spans="14:21" x14ac:dyDescent="0.25">
      <c r="N312" s="1">
        <v>35.351924592401389</v>
      </c>
      <c r="O312" s="1">
        <v>37.756131512662904</v>
      </c>
      <c r="P312" s="7">
        <v>106.10526445676403</v>
      </c>
      <c r="Q312" s="7">
        <f>SUM($P$4:P312)</f>
        <v>26341878.871350061</v>
      </c>
      <c r="S312" s="33">
        <v>19.015903373383992</v>
      </c>
      <c r="T312" s="34">
        <v>1554.020210597756</v>
      </c>
      <c r="U312" s="34">
        <f>SUM($T$4:T312)</f>
        <v>26249127.902829658</v>
      </c>
    </row>
    <row r="313" spans="14:21" x14ac:dyDescent="0.25">
      <c r="N313" s="1">
        <v>41.815630596090237</v>
      </c>
      <c r="O313" s="1">
        <v>44.21983751635176</v>
      </c>
      <c r="P313" s="7">
        <v>0.11325231508379817</v>
      </c>
      <c r="Q313" s="7">
        <f>SUM($P$4:P313)</f>
        <v>26341878.984602377</v>
      </c>
      <c r="S313" s="1">
        <v>21.301991256786227</v>
      </c>
      <c r="T313" s="7">
        <v>2466.0231242068071</v>
      </c>
      <c r="U313" s="7">
        <f>SUM($T$4:T313)</f>
        <v>26251593.925953865</v>
      </c>
    </row>
    <row r="314" spans="14:21" x14ac:dyDescent="0.25">
      <c r="N314" s="1">
        <v>41.815630596090237</v>
      </c>
      <c r="O314" s="1">
        <v>0.4672931329656026</v>
      </c>
      <c r="P314" s="7">
        <v>5.9573071563768426E-2</v>
      </c>
      <c r="Q314" s="7">
        <f>SUM($P$4:P314)</f>
        <v>26341879.04417545</v>
      </c>
      <c r="S314" s="33">
        <v>23.450937208591306</v>
      </c>
      <c r="T314" s="34">
        <v>13676.054767840178</v>
      </c>
      <c r="U314" s="34">
        <f>SUM($T$4:T314)</f>
        <v>26265269.980721705</v>
      </c>
    </row>
    <row r="315" spans="14:21" x14ac:dyDescent="0.25">
      <c r="N315" s="1">
        <v>43.27856754743911</v>
      </c>
      <c r="O315" s="1">
        <v>0.4672931329656026</v>
      </c>
      <c r="P315" s="7">
        <v>5.9407737697581037E-2</v>
      </c>
      <c r="Q315" s="7">
        <f>SUM($P$4:P315)</f>
        <v>26341879.103583187</v>
      </c>
      <c r="S315" s="1">
        <v>23.517432599625359</v>
      </c>
      <c r="T315" s="7">
        <v>4283.9378795448965</v>
      </c>
      <c r="U315" s="7">
        <f>SUM($T$4:T315)</f>
        <v>26269553.918601248</v>
      </c>
    </row>
    <row r="316" spans="14:21" x14ac:dyDescent="0.25">
      <c r="N316" s="1">
        <v>71.19939926673959</v>
      </c>
      <c r="O316" s="1">
        <v>73.603606187001091</v>
      </c>
      <c r="P316" s="7">
        <v>0</v>
      </c>
      <c r="Q316" s="7">
        <f>SUM($P$4:P316)</f>
        <v>26341879.103583187</v>
      </c>
      <c r="S316" s="33">
        <v>26.353133650414581</v>
      </c>
      <c r="T316" s="34">
        <v>6798.0389196866581</v>
      </c>
      <c r="U316" s="34">
        <f>SUM($T$4:T316)</f>
        <v>26276351.957520936</v>
      </c>
    </row>
    <row r="317" spans="14:21" x14ac:dyDescent="0.25">
      <c r="N317" s="1">
        <v>71.19939926673959</v>
      </c>
      <c r="O317" s="1">
        <v>0.4672931329656026</v>
      </c>
      <c r="P317" s="7">
        <v>0</v>
      </c>
      <c r="Q317" s="7">
        <f>SUM($P$4:P317)</f>
        <v>26341879.103583187</v>
      </c>
      <c r="S317" s="1">
        <v>34.643905276580966</v>
      </c>
      <c r="T317" s="7">
        <v>715.08535399184655</v>
      </c>
      <c r="U317" s="7">
        <f>SUM($T$4:T317)</f>
        <v>26277067.042874929</v>
      </c>
    </row>
    <row r="318" spans="14:21" x14ac:dyDescent="0.25">
      <c r="N318" s="1">
        <v>75.838878444344346</v>
      </c>
      <c r="O318" s="1">
        <v>80.014804576481396</v>
      </c>
      <c r="P318" s="7">
        <v>709.72561583374534</v>
      </c>
      <c r="Q318" s="7">
        <f>SUM($P$4:P318)</f>
        <v>26342588.82919902</v>
      </c>
      <c r="S318" s="33">
        <v>34.742538649938538</v>
      </c>
      <c r="T318" s="34">
        <v>223.99597596502127</v>
      </c>
      <c r="U318" s="34">
        <f>SUM($T$4:T318)</f>
        <v>26277291.038850892</v>
      </c>
    </row>
    <row r="319" spans="14:21" x14ac:dyDescent="0.25">
      <c r="N319" s="1">
        <v>75.838878444344346</v>
      </c>
      <c r="O319" s="1">
        <v>0.4672931329656026</v>
      </c>
      <c r="P319" s="7">
        <v>111.95594407772765</v>
      </c>
      <c r="Q319" s="7">
        <f>SUM($P$4:P319)</f>
        <v>26342700.785143096</v>
      </c>
      <c r="S319" s="1">
        <v>37.781056979495851</v>
      </c>
      <c r="T319" s="7">
        <v>106.10526445676403</v>
      </c>
      <c r="U319" s="7">
        <f>SUM($T$4:T319)</f>
        <v>26277397.144115347</v>
      </c>
    </row>
    <row r="320" spans="14:21" x14ac:dyDescent="0.25">
      <c r="N320" s="1">
        <v>76.067787865166579</v>
      </c>
      <c r="O320" s="1">
        <v>0.4672931329656026</v>
      </c>
      <c r="P320" s="7">
        <v>35.069493199355456</v>
      </c>
      <c r="Q320" s="7">
        <f>SUM($P$4:P320)</f>
        <v>26342735.854636297</v>
      </c>
      <c r="S320" s="33">
        <v>38.948766421870459</v>
      </c>
      <c r="T320" s="34">
        <v>355.45178414799312</v>
      </c>
      <c r="U320" s="34">
        <f>SUM($T$4:T320)</f>
        <v>26277752.595899496</v>
      </c>
    </row>
    <row r="321" spans="14:21" x14ac:dyDescent="0.25">
      <c r="N321" s="1">
        <v>76.067787865166579</v>
      </c>
      <c r="O321" s="1">
        <v>80.243713997303686</v>
      </c>
      <c r="P321" s="7">
        <v>222.31707179932943</v>
      </c>
      <c r="Q321" s="7">
        <f>SUM($P$4:P321)</f>
        <v>26342958.171708096</v>
      </c>
      <c r="S321" s="1">
        <v>44.24881371052647</v>
      </c>
      <c r="T321" s="7">
        <v>0.11325231508379817</v>
      </c>
      <c r="U321" s="7">
        <f>SUM($T$4:T321)</f>
        <v>26277752.709151812</v>
      </c>
    </row>
    <row r="322" spans="14:21" x14ac:dyDescent="0.25">
      <c r="N322" s="1">
        <v>85.829647673268298</v>
      </c>
      <c r="O322" s="1">
        <v>0.4672931329656026</v>
      </c>
      <c r="P322" s="7">
        <v>55.650615477232421</v>
      </c>
      <c r="Q322" s="7">
        <f>SUM($P$4:P322)</f>
        <v>26343013.822323572</v>
      </c>
      <c r="S322" s="33">
        <v>73.650996838004474</v>
      </c>
      <c r="T322" s="34">
        <v>0</v>
      </c>
      <c r="U322" s="34">
        <f>SUM($T$4:T322)</f>
        <v>26277752.709151812</v>
      </c>
    </row>
    <row r="323" spans="14:21" x14ac:dyDescent="0.25">
      <c r="N323" s="1">
        <v>85.829647673268298</v>
      </c>
      <c r="O323" s="1">
        <v>90.005573805405362</v>
      </c>
      <c r="P323" s="7">
        <v>352.78758681793954</v>
      </c>
      <c r="Q323" s="7">
        <f>SUM($P$4:P323)</f>
        <v>26343366.609910391</v>
      </c>
      <c r="S323" s="1">
        <v>80.221354375114629</v>
      </c>
      <c r="T323" s="7">
        <v>709.72561583374534</v>
      </c>
      <c r="U323" s="7">
        <f>SUM($T$4:T323)</f>
        <v>26278462.434767645</v>
      </c>
    </row>
    <row r="324" spans="14:21" x14ac:dyDescent="0.25">
      <c r="N324" s="1">
        <v>86.742034011699559</v>
      </c>
      <c r="O324" s="1">
        <v>89.14624093196106</v>
      </c>
      <c r="P324" s="7">
        <v>139.90466271436728</v>
      </c>
      <c r="Q324" s="7">
        <f>SUM($P$4:P324)</f>
        <v>26343506.514573105</v>
      </c>
      <c r="S324" s="33">
        <v>80.45085270266388</v>
      </c>
      <c r="T324" s="34">
        <v>222.31707179932943</v>
      </c>
      <c r="U324" s="34">
        <f>SUM($T$4:T324)</f>
        <v>26278684.751839444</v>
      </c>
    </row>
    <row r="325" spans="14:21" x14ac:dyDescent="0.25">
      <c r="N325" s="1">
        <v>98.408514201596844</v>
      </c>
      <c r="O325" s="1">
        <v>0.4672931329656026</v>
      </c>
      <c r="P325" s="7">
        <v>3.8336326194336126</v>
      </c>
      <c r="Q325" s="7">
        <f>SUM($P$4:P325)</f>
        <v>26343510.348205723</v>
      </c>
      <c r="S325" s="1">
        <v>89.203371966498025</v>
      </c>
      <c r="T325" s="7">
        <v>139.90466271436728</v>
      </c>
      <c r="U325" s="7">
        <f>SUM($T$4:T325)</f>
        <v>26278824.656502157</v>
      </c>
    </row>
    <row r="326" spans="14:21" x14ac:dyDescent="0.25">
      <c r="N326" s="1">
        <v>98.408514201596844</v>
      </c>
      <c r="O326" s="1">
        <v>100.81272112185832</v>
      </c>
      <c r="P326" s="7">
        <v>96.852511922987958</v>
      </c>
      <c r="Q326" s="7">
        <f>SUM($P$4:P326)</f>
        <v>26343607.200717647</v>
      </c>
      <c r="S326" s="33">
        <v>90.237826483306293</v>
      </c>
      <c r="T326" s="34">
        <v>352.78758681793954</v>
      </c>
      <c r="U326" s="34">
        <f>SUM($T$4:T326)</f>
        <v>26279177.444088977</v>
      </c>
    </row>
    <row r="327" spans="14:21" x14ac:dyDescent="0.25">
      <c r="N327" s="1">
        <v>107.30169101876636</v>
      </c>
      <c r="O327" s="1">
        <v>109.70589793902788</v>
      </c>
      <c r="P327" s="7">
        <v>74.258002619361662</v>
      </c>
      <c r="Q327" s="7">
        <f>SUM($P$4:P327)</f>
        <v>26343681.458720267</v>
      </c>
      <c r="S327" s="1">
        <v>100.877163400171</v>
      </c>
      <c r="T327" s="7">
        <v>96.852511922987958</v>
      </c>
      <c r="U327" s="7">
        <f>SUM($T$4:T327)</f>
        <v>26279274.296600901</v>
      </c>
    </row>
    <row r="328" spans="14:21" x14ac:dyDescent="0.25">
      <c r="N328" s="1">
        <v>141.98654624574391</v>
      </c>
      <c r="O328" s="1">
        <v>144.39075316600542</v>
      </c>
      <c r="P328" s="7">
        <v>992.02551060467727</v>
      </c>
      <c r="Q328" s="7">
        <f>SUM($P$4:P328)</f>
        <v>26344673.484230872</v>
      </c>
      <c r="S328" s="33">
        <v>109.77591346502038</v>
      </c>
      <c r="T328" s="34">
        <v>74.258002619361662</v>
      </c>
      <c r="U328" s="34">
        <f>SUM($T$4:T328)</f>
        <v>26279348.554603521</v>
      </c>
    </row>
    <row r="329" spans="14:21" x14ac:dyDescent="0.25">
      <c r="N329" s="1">
        <v>179.81294196447735</v>
      </c>
      <c r="O329" s="1">
        <v>182.21714888473889</v>
      </c>
      <c r="P329" s="7">
        <v>959.07867827100085</v>
      </c>
      <c r="Q329" s="7">
        <f>SUM($P$4:P329)</f>
        <v>26345632.562909145</v>
      </c>
      <c r="S329" s="1">
        <v>144.48250527644851</v>
      </c>
      <c r="T329" s="7">
        <v>992.02551060467727</v>
      </c>
      <c r="U329" s="7">
        <f>SUM($T$4:T329)</f>
        <v>26280340.580114126</v>
      </c>
    </row>
    <row r="330" spans="14:21" x14ac:dyDescent="0.25">
      <c r="N330" s="1">
        <v>434.00531046353086</v>
      </c>
      <c r="O330" s="1">
        <v>436.17982375280542</v>
      </c>
      <c r="P330" s="7">
        <v>156.10473553637433</v>
      </c>
      <c r="Q330" s="7">
        <f>SUM($P$4:P330)</f>
        <v>26345788.66764468</v>
      </c>
      <c r="S330" s="33">
        <v>182.33260634553213</v>
      </c>
      <c r="T330" s="34">
        <v>959.07867827100085</v>
      </c>
      <c r="U330" s="34">
        <f>SUM($T$4:T330)</f>
        <v>26281299.658792399</v>
      </c>
    </row>
    <row r="331" spans="14:21" ht="15.75" thickBot="1" x14ac:dyDescent="0.3">
      <c r="S331" s="35">
        <v>435.82595087377831</v>
      </c>
      <c r="T331" s="36">
        <v>156.10473553637433</v>
      </c>
      <c r="U331" s="36">
        <f>SUM($T$4:T331)</f>
        <v>26281455.763527934</v>
      </c>
    </row>
  </sheetData>
  <sortState xmlns:xlrd2="http://schemas.microsoft.com/office/spreadsheetml/2017/richdata2" ref="S3:U331">
    <sortCondition ref="S4:S331"/>
  </sortState>
  <phoneticPr fontId="3" type="noConversion"/>
  <pageMargins left="0.7" right="0.7" top="0.75" bottom="0.75" header="0.3" footer="0.3"/>
  <pageSetup orientation="portrait" r:id="rId1"/>
  <headerFooter>
    <oddHeader>&amp;RNWN 2025 CPA 
CPA Summary/ &amp;A &amp;P of &amp;N</oddHeader>
  </headerFooter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5409E5-E8D7-465A-AD38-A84275DDD524}">
  <sheetPr>
    <tabColor theme="4"/>
  </sheetPr>
  <dimension ref="A1:AR1541"/>
  <sheetViews>
    <sheetView topLeftCell="A245" zoomScale="85" zoomScaleNormal="85" workbookViewId="0">
      <selection activeCell="B282" sqref="B282"/>
    </sheetView>
  </sheetViews>
  <sheetFormatPr defaultRowHeight="15" x14ac:dyDescent="0.25"/>
  <cols>
    <col min="1" max="1" width="45.5703125" bestFit="1" customWidth="1"/>
    <col min="2" max="2" width="81" bestFit="1" customWidth="1"/>
    <col min="3" max="3" width="13" bestFit="1" customWidth="1"/>
    <col min="4" max="4" width="33.7109375" bestFit="1" customWidth="1"/>
    <col min="5" max="5" width="12.7109375" bestFit="1" customWidth="1"/>
    <col min="6" max="6" width="37.42578125" bestFit="1" customWidth="1"/>
    <col min="7" max="7" width="11" bestFit="1" customWidth="1"/>
    <col min="8" max="8" width="25.7109375" bestFit="1" customWidth="1"/>
    <col min="9" max="9" width="18.28515625" bestFit="1" customWidth="1"/>
    <col min="10" max="10" width="16.7109375" bestFit="1" customWidth="1"/>
    <col min="11" max="11" width="12" customWidth="1"/>
    <col min="12" max="12" width="26" bestFit="1" customWidth="1"/>
    <col min="13" max="13" width="15.140625" bestFit="1" customWidth="1"/>
    <col min="14" max="15" width="10.5703125" bestFit="1" customWidth="1"/>
    <col min="16" max="16" width="32.140625" bestFit="1" customWidth="1"/>
    <col min="17" max="17" width="34.28515625" bestFit="1" customWidth="1"/>
    <col min="18" max="18" width="28.28515625" bestFit="1" customWidth="1"/>
    <col min="19" max="43" width="22.28515625" bestFit="1" customWidth="1"/>
    <col min="44" max="44" width="12.5703125" bestFit="1" customWidth="1"/>
    <col min="45" max="45" width="35.28515625" bestFit="1" customWidth="1"/>
    <col min="46" max="46" width="12.5703125" bestFit="1" customWidth="1"/>
  </cols>
  <sheetData>
    <row r="1" spans="1:44" x14ac:dyDescent="0.25">
      <c r="A1" t="s">
        <v>92</v>
      </c>
      <c r="B1" t="s">
        <v>93</v>
      </c>
      <c r="C1" t="s">
        <v>94</v>
      </c>
      <c r="D1" t="s">
        <v>95</v>
      </c>
      <c r="E1" t="s">
        <v>96</v>
      </c>
      <c r="F1" t="s">
        <v>97</v>
      </c>
      <c r="G1" t="s">
        <v>60</v>
      </c>
      <c r="H1" t="s">
        <v>50</v>
      </c>
      <c r="I1" t="s">
        <v>98</v>
      </c>
      <c r="J1" t="s">
        <v>99</v>
      </c>
      <c r="K1" t="s">
        <v>100</v>
      </c>
      <c r="L1" t="s">
        <v>101</v>
      </c>
      <c r="M1" t="s">
        <v>32</v>
      </c>
      <c r="N1" t="s">
        <v>102</v>
      </c>
      <c r="O1" t="s">
        <v>103</v>
      </c>
      <c r="P1" t="s">
        <v>87</v>
      </c>
      <c r="Q1" t="s">
        <v>88</v>
      </c>
      <c r="R1" t="s">
        <v>104</v>
      </c>
      <c r="S1" t="s">
        <v>105</v>
      </c>
      <c r="T1" t="s">
        <v>106</v>
      </c>
      <c r="U1" t="s">
        <v>107</v>
      </c>
      <c r="V1" t="s">
        <v>108</v>
      </c>
      <c r="W1" t="s">
        <v>109</v>
      </c>
      <c r="X1" t="s">
        <v>110</v>
      </c>
      <c r="Y1" t="s">
        <v>111</v>
      </c>
      <c r="Z1" t="s">
        <v>112</v>
      </c>
      <c r="AA1" t="s">
        <v>113</v>
      </c>
      <c r="AB1" t="s">
        <v>114</v>
      </c>
      <c r="AC1" t="s">
        <v>115</v>
      </c>
      <c r="AD1" t="s">
        <v>116</v>
      </c>
      <c r="AE1" t="s">
        <v>117</v>
      </c>
      <c r="AF1" t="s">
        <v>118</v>
      </c>
      <c r="AG1" t="s">
        <v>119</v>
      </c>
      <c r="AH1" t="s">
        <v>120</v>
      </c>
      <c r="AI1" t="s">
        <v>121</v>
      </c>
      <c r="AJ1" t="s">
        <v>122</v>
      </c>
      <c r="AK1" t="s">
        <v>123</v>
      </c>
      <c r="AL1" t="s">
        <v>124</v>
      </c>
      <c r="AM1" t="s">
        <v>125</v>
      </c>
      <c r="AN1" t="s">
        <v>126</v>
      </c>
      <c r="AO1" t="s">
        <v>127</v>
      </c>
      <c r="AP1" t="s">
        <v>128</v>
      </c>
      <c r="AQ1" t="s">
        <v>129</v>
      </c>
      <c r="AR1" t="s">
        <v>130</v>
      </c>
    </row>
    <row r="2" spans="1:44" x14ac:dyDescent="0.25">
      <c r="A2" t="s">
        <v>131</v>
      </c>
      <c r="B2" t="s">
        <v>132</v>
      </c>
      <c r="C2" t="s">
        <v>44</v>
      </c>
      <c r="D2" t="s">
        <v>133</v>
      </c>
      <c r="E2" t="s">
        <v>134</v>
      </c>
      <c r="F2" t="s">
        <v>133</v>
      </c>
      <c r="G2" t="s">
        <v>28</v>
      </c>
      <c r="H2" t="s">
        <v>55</v>
      </c>
      <c r="I2" t="s">
        <v>135</v>
      </c>
      <c r="J2" t="s">
        <v>39</v>
      </c>
      <c r="K2" t="s">
        <v>28</v>
      </c>
      <c r="L2">
        <v>23.3</v>
      </c>
      <c r="M2">
        <v>1</v>
      </c>
      <c r="N2" s="2">
        <v>1.2837912296962055</v>
      </c>
      <c r="O2" s="2">
        <v>3.7867973472078527</v>
      </c>
      <c r="P2" s="1">
        <v>-6.086570555985079E-2</v>
      </c>
      <c r="Q2" s="1">
        <v>2.1474879975497321</v>
      </c>
      <c r="R2" s="1">
        <v>-1.4803173165928876</v>
      </c>
      <c r="S2" s="19">
        <v>2.1904616161042041</v>
      </c>
      <c r="T2" s="19">
        <v>4.3756961124917737</v>
      </c>
      <c r="U2" s="19">
        <v>7.7632436838689296</v>
      </c>
      <c r="V2" s="19">
        <v>12.616415181611959</v>
      </c>
      <c r="W2" s="19">
        <v>19.129669128520241</v>
      </c>
      <c r="X2" s="19">
        <v>27.364890749455551</v>
      </c>
      <c r="Y2" s="19">
        <v>37.173936869326816</v>
      </c>
      <c r="Z2" s="19">
        <v>48.11987106591063</v>
      </c>
      <c r="AA2" s="19">
        <v>59.420553274283549</v>
      </c>
      <c r="AB2" s="19">
        <v>69.949654199982575</v>
      </c>
      <c r="AC2" s="19">
        <v>78.333350013257331</v>
      </c>
      <c r="AD2" s="19">
        <v>83.167178219573685</v>
      </c>
      <c r="AE2" s="19">
        <v>83.339330630142499</v>
      </c>
      <c r="AF2" s="19">
        <v>78.387534324613242</v>
      </c>
      <c r="AG2" s="19">
        <v>68.759782853141388</v>
      </c>
      <c r="AH2" s="19">
        <v>56.724854989703246</v>
      </c>
      <c r="AI2" s="19">
        <v>43.26720705373517</v>
      </c>
      <c r="AJ2" s="19">
        <v>29.874565524616894</v>
      </c>
      <c r="AK2" s="19">
        <v>2.1495021918184314</v>
      </c>
      <c r="AL2" s="19">
        <v>0</v>
      </c>
      <c r="AM2" s="19">
        <v>0</v>
      </c>
      <c r="AN2" s="19">
        <v>0</v>
      </c>
      <c r="AO2" s="19">
        <v>0</v>
      </c>
      <c r="AP2" s="19">
        <v>0</v>
      </c>
      <c r="AQ2" s="19">
        <v>0</v>
      </c>
      <c r="AR2" s="19">
        <v>812.10769768215812</v>
      </c>
    </row>
    <row r="3" spans="1:44" x14ac:dyDescent="0.25">
      <c r="A3" t="s">
        <v>131</v>
      </c>
      <c r="B3" t="s">
        <v>132</v>
      </c>
      <c r="C3" t="s">
        <v>44</v>
      </c>
      <c r="D3" t="s">
        <v>133</v>
      </c>
      <c r="E3" t="s">
        <v>134</v>
      </c>
      <c r="F3" t="s">
        <v>133</v>
      </c>
      <c r="G3" t="s">
        <v>28</v>
      </c>
      <c r="H3" t="s">
        <v>136</v>
      </c>
      <c r="I3" t="s">
        <v>135</v>
      </c>
      <c r="J3" t="s">
        <v>39</v>
      </c>
      <c r="K3" t="s">
        <v>28</v>
      </c>
      <c r="L3">
        <v>23.3</v>
      </c>
      <c r="M3">
        <v>1</v>
      </c>
      <c r="N3" s="2">
        <v>1.2837912296962055</v>
      </c>
      <c r="O3" s="2">
        <v>3.7867973472078527</v>
      </c>
      <c r="P3" s="1">
        <v>-6.086570555985079E-2</v>
      </c>
      <c r="Q3" s="1">
        <v>2.1474879975497321</v>
      </c>
      <c r="R3" s="1">
        <v>-1.4803173165928876</v>
      </c>
      <c r="S3" s="19">
        <v>2.7502462513308346</v>
      </c>
      <c r="T3" s="19">
        <v>5.4939295634618945</v>
      </c>
      <c r="U3" s="19">
        <v>9.7471837364132128</v>
      </c>
      <c r="V3" s="19">
        <v>15.840610172468352</v>
      </c>
      <c r="W3" s="19">
        <v>24.018362350253184</v>
      </c>
      <c r="X3" s="19">
        <v>34.358140607649744</v>
      </c>
      <c r="Y3" s="19">
        <v>46.67394295815479</v>
      </c>
      <c r="Z3" s="19">
        <v>60.417171449421112</v>
      </c>
      <c r="AA3" s="19">
        <v>74.605805777711595</v>
      </c>
      <c r="AB3" s="19">
        <v>87.825676939978138</v>
      </c>
      <c r="AC3" s="19">
        <v>98.351872794423045</v>
      </c>
      <c r="AD3" s="19">
        <v>104.42101265346476</v>
      </c>
      <c r="AE3" s="19">
        <v>104.63715956895668</v>
      </c>
      <c r="AF3" s="19">
        <v>98.419904207569914</v>
      </c>
      <c r="AG3" s="19">
        <v>86.331727360055282</v>
      </c>
      <c r="AH3" s="19">
        <v>71.221206820405186</v>
      </c>
      <c r="AI3" s="19">
        <v>54.324382189689715</v>
      </c>
      <c r="AJ3" s="19">
        <v>37.509176714241214</v>
      </c>
      <c r="AK3" s="19">
        <v>2.6988194186165209</v>
      </c>
      <c r="AL3" s="19">
        <v>0</v>
      </c>
      <c r="AM3" s="19">
        <v>0</v>
      </c>
      <c r="AN3" s="19">
        <v>0</v>
      </c>
      <c r="AO3" s="19">
        <v>0</v>
      </c>
      <c r="AP3" s="19">
        <v>0</v>
      </c>
      <c r="AQ3" s="19">
        <v>0</v>
      </c>
      <c r="AR3" s="19">
        <v>1019.6463315342652</v>
      </c>
    </row>
    <row r="4" spans="1:44" x14ac:dyDescent="0.25">
      <c r="A4" t="s">
        <v>131</v>
      </c>
      <c r="B4" t="s">
        <v>137</v>
      </c>
      <c r="C4" t="s">
        <v>44</v>
      </c>
      <c r="D4" t="s">
        <v>133</v>
      </c>
      <c r="E4" t="s">
        <v>134</v>
      </c>
      <c r="F4" t="s">
        <v>133</v>
      </c>
      <c r="G4" t="s">
        <v>28</v>
      </c>
      <c r="H4" t="s">
        <v>52</v>
      </c>
      <c r="I4" t="s">
        <v>135</v>
      </c>
      <c r="J4" t="s">
        <v>39</v>
      </c>
      <c r="K4" t="s">
        <v>28</v>
      </c>
      <c r="L4">
        <v>31</v>
      </c>
      <c r="M4">
        <v>1</v>
      </c>
      <c r="N4" s="2">
        <v>1.6225668455291766</v>
      </c>
      <c r="O4" s="2">
        <v>3.7706168785438607</v>
      </c>
      <c r="P4" s="1">
        <v>-0.50471968428702207</v>
      </c>
      <c r="Q4" s="1">
        <v>1.691854048884281</v>
      </c>
      <c r="R4" s="1">
        <v>-1.4685373466546079</v>
      </c>
      <c r="S4" s="19">
        <v>1265.2858036253424</v>
      </c>
      <c r="T4" s="19">
        <v>2527.5522435135231</v>
      </c>
      <c r="U4" s="19">
        <v>4484.3159775396753</v>
      </c>
      <c r="V4" s="19">
        <v>7287.6743899891508</v>
      </c>
      <c r="W4" s="19">
        <v>11049.953397227284</v>
      </c>
      <c r="X4" s="19">
        <v>15806.900028965134</v>
      </c>
      <c r="Y4" s="19">
        <v>21472.941703163968</v>
      </c>
      <c r="Z4" s="19">
        <v>27795.688947184062</v>
      </c>
      <c r="AA4" s="19">
        <v>34323.350817363833</v>
      </c>
      <c r="AB4" s="19">
        <v>40405.320858874766</v>
      </c>
      <c r="AC4" s="19">
        <v>45248.031279574097</v>
      </c>
      <c r="AD4" s="19">
        <v>48040.216343055683</v>
      </c>
      <c r="AE4" s="19">
        <v>48139.657483476105</v>
      </c>
      <c r="AF4" s="19">
        <v>45279.329997357534</v>
      </c>
      <c r="AG4" s="19">
        <v>39718.010333901337</v>
      </c>
      <c r="AH4" s="19">
        <v>32766.22297487604</v>
      </c>
      <c r="AI4" s="19">
        <v>24992.62367581475</v>
      </c>
      <c r="AJ4" s="19">
        <v>17256.574308296218</v>
      </c>
      <c r="AK4" s="19">
        <v>1241.626234476651</v>
      </c>
      <c r="AL4" s="19">
        <v>0</v>
      </c>
      <c r="AM4" s="19">
        <v>0</v>
      </c>
      <c r="AN4" s="19">
        <v>0</v>
      </c>
      <c r="AO4" s="19">
        <v>0</v>
      </c>
      <c r="AP4" s="19">
        <v>0</v>
      </c>
      <c r="AQ4" s="19">
        <v>0</v>
      </c>
      <c r="AR4" s="19">
        <v>469101.27679827512</v>
      </c>
    </row>
    <row r="5" spans="1:44" x14ac:dyDescent="0.25">
      <c r="A5" t="s">
        <v>131</v>
      </c>
      <c r="B5" t="s">
        <v>137</v>
      </c>
      <c r="C5" t="s">
        <v>44</v>
      </c>
      <c r="D5" t="s">
        <v>133</v>
      </c>
      <c r="E5" t="s">
        <v>134</v>
      </c>
      <c r="F5" t="s">
        <v>133</v>
      </c>
      <c r="G5" t="s">
        <v>28</v>
      </c>
      <c r="H5" t="s">
        <v>138</v>
      </c>
      <c r="I5" t="s">
        <v>135</v>
      </c>
      <c r="J5" t="s">
        <v>39</v>
      </c>
      <c r="K5" t="s">
        <v>28</v>
      </c>
      <c r="L5">
        <v>31</v>
      </c>
      <c r="M5">
        <v>1</v>
      </c>
      <c r="N5" s="2">
        <v>1.6225668455291766</v>
      </c>
      <c r="O5" s="2">
        <v>3.7706168785438607</v>
      </c>
      <c r="P5" s="1">
        <v>-0.50471968428702207</v>
      </c>
      <c r="Q5" s="1">
        <v>1.691854048884281</v>
      </c>
      <c r="R5" s="1">
        <v>-1.4685373466546079</v>
      </c>
      <c r="S5" s="19">
        <v>438.90621672388386</v>
      </c>
      <c r="T5" s="19">
        <v>876.76506730251151</v>
      </c>
      <c r="U5" s="19">
        <v>1555.5332673907058</v>
      </c>
      <c r="V5" s="19">
        <v>2527.9708237150194</v>
      </c>
      <c r="W5" s="19">
        <v>3833.0416943398632</v>
      </c>
      <c r="X5" s="19">
        <v>5483.1459184695323</v>
      </c>
      <c r="Y5" s="19">
        <v>7448.5998166299532</v>
      </c>
      <c r="Z5" s="19">
        <v>9641.8537551653644</v>
      </c>
      <c r="AA5" s="19">
        <v>11906.189107134353</v>
      </c>
      <c r="AB5" s="19">
        <v>14015.921511859882</v>
      </c>
      <c r="AC5" s="19">
        <v>15695.775741906908</v>
      </c>
      <c r="AD5" s="19">
        <v>16664.33745270321</v>
      </c>
      <c r="AE5" s="19">
        <v>16698.831900205576</v>
      </c>
      <c r="AF5" s="19">
        <v>15706.632737038966</v>
      </c>
      <c r="AG5" s="19">
        <v>13777.505130860232</v>
      </c>
      <c r="AH5" s="19">
        <v>11366.047829690518</v>
      </c>
      <c r="AI5" s="19">
        <v>8669.5178845171995</v>
      </c>
      <c r="AJ5" s="19">
        <v>5986.0133746601132</v>
      </c>
      <c r="AK5" s="19">
        <v>430.69911287857849</v>
      </c>
      <c r="AL5" s="19">
        <v>0</v>
      </c>
      <c r="AM5" s="19">
        <v>0</v>
      </c>
      <c r="AN5" s="19">
        <v>0</v>
      </c>
      <c r="AO5" s="19">
        <v>0</v>
      </c>
      <c r="AP5" s="19">
        <v>0</v>
      </c>
      <c r="AQ5" s="19">
        <v>0</v>
      </c>
      <c r="AR5" s="19">
        <v>162723.28834319237</v>
      </c>
    </row>
    <row r="6" spans="1:44" x14ac:dyDescent="0.25">
      <c r="A6" t="s">
        <v>131</v>
      </c>
      <c r="B6" t="s">
        <v>139</v>
      </c>
      <c r="C6" t="s">
        <v>44</v>
      </c>
      <c r="D6" t="s">
        <v>140</v>
      </c>
      <c r="E6" t="s">
        <v>134</v>
      </c>
      <c r="F6" t="s">
        <v>140</v>
      </c>
      <c r="G6" t="s">
        <v>28</v>
      </c>
      <c r="H6" t="s">
        <v>52</v>
      </c>
      <c r="I6" t="s">
        <v>135</v>
      </c>
      <c r="J6" t="s">
        <v>39</v>
      </c>
      <c r="K6" t="s">
        <v>28</v>
      </c>
      <c r="L6">
        <v>14</v>
      </c>
      <c r="M6">
        <v>0</v>
      </c>
      <c r="N6" s="2">
        <v>0.64465687783464154</v>
      </c>
      <c r="O6" s="2">
        <v>3.7403155854968446</v>
      </c>
      <c r="P6" s="1">
        <v>2.0495723242131194</v>
      </c>
      <c r="Q6" s="1">
        <v>4.2240856134876896</v>
      </c>
      <c r="R6" s="1">
        <v>-1.4464769027578741</v>
      </c>
      <c r="S6" s="19">
        <v>25839.379625311471</v>
      </c>
      <c r="T6" s="19">
        <v>25822.30726534237</v>
      </c>
      <c r="U6" s="19">
        <v>25802.355639490765</v>
      </c>
      <c r="V6" s="19">
        <v>23200.853247820545</v>
      </c>
      <c r="W6" s="19">
        <v>18541.019905198438</v>
      </c>
      <c r="X6" s="19">
        <v>14815.013460726152</v>
      </c>
      <c r="Y6" s="19">
        <v>11836.145090574521</v>
      </c>
      <c r="Z6" s="19">
        <v>9454.9698768792568</v>
      </c>
      <c r="AA6" s="19">
        <v>7551.8470681806657</v>
      </c>
      <c r="AB6" s="19">
        <v>6031.0197930624554</v>
      </c>
      <c r="AC6" s="19">
        <v>4815.8634865173617</v>
      </c>
      <c r="AD6" s="19">
        <v>1067.2818963824466</v>
      </c>
      <c r="AE6" s="19">
        <v>0</v>
      </c>
      <c r="AF6" s="19">
        <v>0</v>
      </c>
      <c r="AG6" s="19">
        <v>0</v>
      </c>
      <c r="AH6" s="19">
        <v>0</v>
      </c>
      <c r="AI6" s="19">
        <v>0</v>
      </c>
      <c r="AJ6" s="19">
        <v>0</v>
      </c>
      <c r="AK6" s="19">
        <v>0</v>
      </c>
      <c r="AL6" s="19">
        <v>0</v>
      </c>
      <c r="AM6" s="19">
        <v>0</v>
      </c>
      <c r="AN6" s="19">
        <v>0</v>
      </c>
      <c r="AO6" s="19">
        <v>0</v>
      </c>
      <c r="AP6" s="19">
        <v>0</v>
      </c>
      <c r="AQ6" s="19">
        <v>0</v>
      </c>
      <c r="AR6" s="19">
        <v>174778.05635548645</v>
      </c>
    </row>
    <row r="7" spans="1:44" x14ac:dyDescent="0.25">
      <c r="A7" t="s">
        <v>131</v>
      </c>
      <c r="B7" t="s">
        <v>139</v>
      </c>
      <c r="C7" t="s">
        <v>44</v>
      </c>
      <c r="D7" t="s">
        <v>140</v>
      </c>
      <c r="E7" t="s">
        <v>134</v>
      </c>
      <c r="F7" t="s">
        <v>140</v>
      </c>
      <c r="G7" t="s">
        <v>28</v>
      </c>
      <c r="H7" t="s">
        <v>53</v>
      </c>
      <c r="I7" t="s">
        <v>135</v>
      </c>
      <c r="J7" t="s">
        <v>39</v>
      </c>
      <c r="K7" t="s">
        <v>28</v>
      </c>
      <c r="L7">
        <v>14</v>
      </c>
      <c r="M7">
        <v>0</v>
      </c>
      <c r="N7" s="2">
        <v>0.64465687783464154</v>
      </c>
      <c r="O7" s="2">
        <v>3.7403155854968446</v>
      </c>
      <c r="P7" s="1">
        <v>2.0495723242131194</v>
      </c>
      <c r="Q7" s="1">
        <v>4.2240856134876896</v>
      </c>
      <c r="R7" s="1">
        <v>-1.4464769027578741</v>
      </c>
      <c r="S7" s="19">
        <v>780.75547251806893</v>
      </c>
      <c r="T7" s="19">
        <v>780.23961886105565</v>
      </c>
      <c r="U7" s="19">
        <v>779.63676611090602</v>
      </c>
      <c r="V7" s="19">
        <v>701.03049697758206</v>
      </c>
      <c r="W7" s="19">
        <v>560.23027514444959</v>
      </c>
      <c r="X7" s="19">
        <v>447.64630585636098</v>
      </c>
      <c r="Y7" s="19">
        <v>357.63765179298645</v>
      </c>
      <c r="Z7" s="19">
        <v>285.6887270867669</v>
      </c>
      <c r="AA7" s="19">
        <v>228.18450023180529</v>
      </c>
      <c r="AB7" s="19">
        <v>182.23160836592817</v>
      </c>
      <c r="AC7" s="19">
        <v>145.51478504983862</v>
      </c>
      <c r="AD7" s="19">
        <v>32.248691470277436</v>
      </c>
      <c r="AE7" s="19">
        <v>0</v>
      </c>
      <c r="AF7" s="19">
        <v>0</v>
      </c>
      <c r="AG7" s="19">
        <v>0</v>
      </c>
      <c r="AH7" s="19">
        <v>0</v>
      </c>
      <c r="AI7" s="19">
        <v>0</v>
      </c>
      <c r="AJ7" s="19">
        <v>0</v>
      </c>
      <c r="AK7" s="19">
        <v>0</v>
      </c>
      <c r="AL7" s="19">
        <v>0</v>
      </c>
      <c r="AM7" s="19">
        <v>0</v>
      </c>
      <c r="AN7" s="19">
        <v>0</v>
      </c>
      <c r="AO7" s="19">
        <v>0</v>
      </c>
      <c r="AP7" s="19">
        <v>0</v>
      </c>
      <c r="AQ7" s="19">
        <v>0</v>
      </c>
      <c r="AR7" s="19">
        <v>5281.0448994660264</v>
      </c>
    </row>
    <row r="8" spans="1:44" x14ac:dyDescent="0.25">
      <c r="A8" t="s">
        <v>131</v>
      </c>
      <c r="B8" t="s">
        <v>139</v>
      </c>
      <c r="C8" t="s">
        <v>44</v>
      </c>
      <c r="D8" t="s">
        <v>140</v>
      </c>
      <c r="E8" t="s">
        <v>134</v>
      </c>
      <c r="F8" t="s">
        <v>140</v>
      </c>
      <c r="G8" t="s">
        <v>28</v>
      </c>
      <c r="H8" t="s">
        <v>54</v>
      </c>
      <c r="I8" t="s">
        <v>135</v>
      </c>
      <c r="J8" t="s">
        <v>39</v>
      </c>
      <c r="K8" t="s">
        <v>28</v>
      </c>
      <c r="L8">
        <v>14</v>
      </c>
      <c r="M8">
        <v>0</v>
      </c>
      <c r="N8" s="2">
        <v>0.64465687783464154</v>
      </c>
      <c r="O8" s="2">
        <v>3.7403155854968446</v>
      </c>
      <c r="P8" s="1">
        <v>2.0495723242131194</v>
      </c>
      <c r="Q8" s="1">
        <v>4.2240856134876896</v>
      </c>
      <c r="R8" s="1">
        <v>-1.4464769027578741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  <c r="Y8" s="19">
        <v>0</v>
      </c>
      <c r="Z8" s="19">
        <v>0</v>
      </c>
      <c r="AA8" s="19">
        <v>0</v>
      </c>
      <c r="AB8" s="19">
        <v>0</v>
      </c>
      <c r="AC8" s="19">
        <v>0</v>
      </c>
      <c r="AD8" s="19">
        <v>0</v>
      </c>
      <c r="AE8" s="19">
        <v>0</v>
      </c>
      <c r="AF8" s="19">
        <v>0</v>
      </c>
      <c r="AG8" s="19">
        <v>0</v>
      </c>
      <c r="AH8" s="19">
        <v>0</v>
      </c>
      <c r="AI8" s="19">
        <v>0</v>
      </c>
      <c r="AJ8" s="19">
        <v>0</v>
      </c>
      <c r="AK8" s="19">
        <v>0</v>
      </c>
      <c r="AL8" s="19">
        <v>0</v>
      </c>
      <c r="AM8" s="19">
        <v>0</v>
      </c>
      <c r="AN8" s="19">
        <v>0</v>
      </c>
      <c r="AO8" s="19">
        <v>0</v>
      </c>
      <c r="AP8" s="19">
        <v>0</v>
      </c>
      <c r="AQ8" s="19">
        <v>0</v>
      </c>
      <c r="AR8" s="19">
        <v>0</v>
      </c>
    </row>
    <row r="9" spans="1:44" x14ac:dyDescent="0.25">
      <c r="A9" t="s">
        <v>131</v>
      </c>
      <c r="B9" t="s">
        <v>139</v>
      </c>
      <c r="C9" t="s">
        <v>44</v>
      </c>
      <c r="D9" t="s">
        <v>140</v>
      </c>
      <c r="E9" t="s">
        <v>134</v>
      </c>
      <c r="F9" t="s">
        <v>140</v>
      </c>
      <c r="G9" t="s">
        <v>28</v>
      </c>
      <c r="H9" t="s">
        <v>55</v>
      </c>
      <c r="I9" t="s">
        <v>135</v>
      </c>
      <c r="J9" t="s">
        <v>39</v>
      </c>
      <c r="K9" t="s">
        <v>28</v>
      </c>
      <c r="L9">
        <v>14</v>
      </c>
      <c r="M9">
        <v>0</v>
      </c>
      <c r="N9" s="2">
        <v>0.64465687783464154</v>
      </c>
      <c r="O9" s="2">
        <v>3.7403155854968446</v>
      </c>
      <c r="P9" s="1">
        <v>2.0495723242131194</v>
      </c>
      <c r="Q9" s="1">
        <v>4.2240856134876896</v>
      </c>
      <c r="R9" s="1">
        <v>-1.4464769027578741</v>
      </c>
      <c r="S9" s="19">
        <v>49.596795970868058</v>
      </c>
      <c r="T9" s="19">
        <v>49.564026826778424</v>
      </c>
      <c r="U9" s="19">
        <v>49.525731142787613</v>
      </c>
      <c r="V9" s="19">
        <v>44.532337910892743</v>
      </c>
      <c r="W9" s="19">
        <v>35.588129230050967</v>
      </c>
      <c r="X9" s="19">
        <v>28.43633285984674</v>
      </c>
      <c r="Y9" s="19">
        <v>22.718613281403037</v>
      </c>
      <c r="Z9" s="19">
        <v>18.148121924526713</v>
      </c>
      <c r="AA9" s="19">
        <v>14.495217132723234</v>
      </c>
      <c r="AB9" s="19">
        <v>11.576100607298535</v>
      </c>
      <c r="AC9" s="19">
        <v>9.2436971099098475</v>
      </c>
      <c r="AD9" s="19">
        <v>2.0485694016596057</v>
      </c>
      <c r="AE9" s="19">
        <v>0</v>
      </c>
      <c r="AF9" s="19">
        <v>0</v>
      </c>
      <c r="AG9" s="19">
        <v>0</v>
      </c>
      <c r="AH9" s="19">
        <v>0</v>
      </c>
      <c r="AI9" s="19">
        <v>0</v>
      </c>
      <c r="AJ9" s="19">
        <v>0</v>
      </c>
      <c r="AK9" s="19">
        <v>0</v>
      </c>
      <c r="AL9" s="19">
        <v>0</v>
      </c>
      <c r="AM9" s="19">
        <v>0</v>
      </c>
      <c r="AN9" s="19">
        <v>0</v>
      </c>
      <c r="AO9" s="19">
        <v>0</v>
      </c>
      <c r="AP9" s="19">
        <v>0</v>
      </c>
      <c r="AQ9" s="19">
        <v>0</v>
      </c>
      <c r="AR9" s="19">
        <v>335.47367339874552</v>
      </c>
    </row>
    <row r="10" spans="1:44" x14ac:dyDescent="0.25">
      <c r="A10" t="s">
        <v>131</v>
      </c>
      <c r="B10" t="s">
        <v>139</v>
      </c>
      <c r="C10" t="s">
        <v>44</v>
      </c>
      <c r="D10" t="s">
        <v>140</v>
      </c>
      <c r="E10" t="s">
        <v>134</v>
      </c>
      <c r="F10" t="s">
        <v>140</v>
      </c>
      <c r="G10" t="s">
        <v>28</v>
      </c>
      <c r="H10" t="s">
        <v>138</v>
      </c>
      <c r="I10" t="s">
        <v>135</v>
      </c>
      <c r="J10" t="s">
        <v>39</v>
      </c>
      <c r="K10" t="s">
        <v>28</v>
      </c>
      <c r="L10">
        <v>14</v>
      </c>
      <c r="M10">
        <v>0</v>
      </c>
      <c r="N10" s="2">
        <v>0.64465687783464154</v>
      </c>
      <c r="O10" s="2">
        <v>3.7403155854968446</v>
      </c>
      <c r="P10" s="1">
        <v>2.0495723242131194</v>
      </c>
      <c r="Q10" s="1">
        <v>4.2240856134876896</v>
      </c>
      <c r="R10" s="1">
        <v>-1.4464769027578741</v>
      </c>
      <c r="S10" s="19">
        <v>8963.2431829574325</v>
      </c>
      <c r="T10" s="19">
        <v>8957.3210704172343</v>
      </c>
      <c r="U10" s="19">
        <v>8950.4001893048935</v>
      </c>
      <c r="V10" s="19">
        <v>8047.9830680074483</v>
      </c>
      <c r="W10" s="19">
        <v>6431.5657991864309</v>
      </c>
      <c r="X10" s="19">
        <v>5139.0772662823028</v>
      </c>
      <c r="Y10" s="19">
        <v>4105.7582780224484</v>
      </c>
      <c r="Z10" s="19">
        <v>3279.768923360301</v>
      </c>
      <c r="AA10" s="19">
        <v>2619.6078518193713</v>
      </c>
      <c r="AB10" s="19">
        <v>2092.0586264190079</v>
      </c>
      <c r="AC10" s="19">
        <v>1670.5414832520405</v>
      </c>
      <c r="AD10" s="19">
        <v>370.22201464437239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0</v>
      </c>
      <c r="AK10" s="19">
        <v>0</v>
      </c>
      <c r="AL10" s="19">
        <v>0</v>
      </c>
      <c r="AM10" s="19">
        <v>0</v>
      </c>
      <c r="AN10" s="19">
        <v>0</v>
      </c>
      <c r="AO10" s="19">
        <v>0</v>
      </c>
      <c r="AP10" s="19">
        <v>0</v>
      </c>
      <c r="AQ10" s="19">
        <v>0</v>
      </c>
      <c r="AR10" s="19">
        <v>60627.547753673265</v>
      </c>
    </row>
    <row r="11" spans="1:44" x14ac:dyDescent="0.25">
      <c r="A11" t="s">
        <v>131</v>
      </c>
      <c r="B11" t="s">
        <v>139</v>
      </c>
      <c r="C11" t="s">
        <v>44</v>
      </c>
      <c r="D11" t="s">
        <v>140</v>
      </c>
      <c r="E11" t="s">
        <v>134</v>
      </c>
      <c r="F11" t="s">
        <v>140</v>
      </c>
      <c r="G11" t="s">
        <v>28</v>
      </c>
      <c r="H11" t="s">
        <v>141</v>
      </c>
      <c r="I11" t="s">
        <v>135</v>
      </c>
      <c r="J11" t="s">
        <v>39</v>
      </c>
      <c r="K11" t="s">
        <v>28</v>
      </c>
      <c r="L11">
        <v>14</v>
      </c>
      <c r="M11">
        <v>0</v>
      </c>
      <c r="N11" s="2">
        <v>0.64465687783464154</v>
      </c>
      <c r="O11" s="2">
        <v>3.7403155854968446</v>
      </c>
      <c r="P11" s="1">
        <v>2.0495723242131194</v>
      </c>
      <c r="Q11" s="1">
        <v>4.2240856134876896</v>
      </c>
      <c r="R11" s="1">
        <v>-1.4464769027578741</v>
      </c>
      <c r="S11" s="19">
        <v>657.13585603604145</v>
      </c>
      <c r="T11" s="19">
        <v>656.70167920805511</v>
      </c>
      <c r="U11" s="19">
        <v>656.19427814334574</v>
      </c>
      <c r="V11" s="19">
        <v>590.03400162279809</v>
      </c>
      <c r="W11" s="19">
        <v>471.52714824657829</v>
      </c>
      <c r="X11" s="19">
        <v>376.76897409577037</v>
      </c>
      <c r="Y11" s="19">
        <v>301.01169025909689</v>
      </c>
      <c r="Z11" s="19">
        <v>240.45467863136207</v>
      </c>
      <c r="AA11" s="19">
        <v>192.05528769510269</v>
      </c>
      <c r="AB11" s="19">
        <v>153.37827037465618</v>
      </c>
      <c r="AC11" s="19">
        <v>122.47494408361416</v>
      </c>
      <c r="AD11" s="19">
        <v>27.142648654150321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4444.8794570505715</v>
      </c>
    </row>
    <row r="12" spans="1:44" x14ac:dyDescent="0.25">
      <c r="A12" t="s">
        <v>131</v>
      </c>
      <c r="B12" t="s">
        <v>139</v>
      </c>
      <c r="C12" t="s">
        <v>44</v>
      </c>
      <c r="D12" t="s">
        <v>140</v>
      </c>
      <c r="E12" t="s">
        <v>134</v>
      </c>
      <c r="F12" t="s">
        <v>140</v>
      </c>
      <c r="G12" t="s">
        <v>28</v>
      </c>
      <c r="H12" t="s">
        <v>142</v>
      </c>
      <c r="I12" t="s">
        <v>135</v>
      </c>
      <c r="J12" t="s">
        <v>39</v>
      </c>
      <c r="K12" t="s">
        <v>28</v>
      </c>
      <c r="L12">
        <v>14</v>
      </c>
      <c r="M12">
        <v>0</v>
      </c>
      <c r="N12" s="2">
        <v>0.64465687783464154</v>
      </c>
      <c r="O12" s="2">
        <v>3.7403155854968446</v>
      </c>
      <c r="P12" s="1">
        <v>2.0495723242131194</v>
      </c>
      <c r="Q12" s="1">
        <v>4.2240856134876896</v>
      </c>
      <c r="R12" s="1">
        <v>-1.4464769027578741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</row>
    <row r="13" spans="1:44" x14ac:dyDescent="0.25">
      <c r="A13" t="s">
        <v>131</v>
      </c>
      <c r="B13" t="s">
        <v>139</v>
      </c>
      <c r="C13" t="s">
        <v>44</v>
      </c>
      <c r="D13" t="s">
        <v>140</v>
      </c>
      <c r="E13" t="s">
        <v>134</v>
      </c>
      <c r="F13" t="s">
        <v>140</v>
      </c>
      <c r="G13" t="s">
        <v>28</v>
      </c>
      <c r="H13" t="s">
        <v>136</v>
      </c>
      <c r="I13" t="s">
        <v>135</v>
      </c>
      <c r="J13" t="s">
        <v>39</v>
      </c>
      <c r="K13" t="s">
        <v>28</v>
      </c>
      <c r="L13">
        <v>14</v>
      </c>
      <c r="M13">
        <v>0</v>
      </c>
      <c r="N13" s="2">
        <v>0.64465687783464154</v>
      </c>
      <c r="O13" s="2">
        <v>3.7403155854968446</v>
      </c>
      <c r="P13" s="1">
        <v>2.0495723242131194</v>
      </c>
      <c r="Q13" s="1">
        <v>4.2240856134876896</v>
      </c>
      <c r="R13" s="1">
        <v>-1.4464769027578741</v>
      </c>
      <c r="S13" s="19">
        <v>62.27153271897879</v>
      </c>
      <c r="T13" s="19">
        <v>62.230389238066266</v>
      </c>
      <c r="U13" s="19">
        <v>62.182306879277782</v>
      </c>
      <c r="V13" s="19">
        <v>55.912824265898664</v>
      </c>
      <c r="W13" s="19">
        <v>44.682873366619539</v>
      </c>
      <c r="X13" s="19">
        <v>35.70339570180758</v>
      </c>
      <c r="Y13" s="19">
        <v>28.524481119983815</v>
      </c>
      <c r="Z13" s="19">
        <v>22.785975305239099</v>
      </c>
      <c r="AA13" s="19">
        <v>18.199550399974733</v>
      </c>
      <c r="AB13" s="19">
        <v>14.534437429163717</v>
      </c>
      <c r="AC13" s="19">
        <v>11.605975260220134</v>
      </c>
      <c r="AD13" s="19">
        <v>2.5720926931949322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421.20583437842504</v>
      </c>
    </row>
    <row r="14" spans="1:44" x14ac:dyDescent="0.25">
      <c r="A14" t="s">
        <v>131</v>
      </c>
      <c r="B14" t="s">
        <v>143</v>
      </c>
      <c r="C14" t="s">
        <v>44</v>
      </c>
      <c r="D14" t="s">
        <v>144</v>
      </c>
      <c r="E14" t="s">
        <v>145</v>
      </c>
      <c r="F14" t="s">
        <v>144</v>
      </c>
      <c r="G14" t="s">
        <v>28</v>
      </c>
      <c r="H14" t="s">
        <v>53</v>
      </c>
      <c r="I14" t="s">
        <v>135</v>
      </c>
      <c r="J14" t="s">
        <v>39</v>
      </c>
      <c r="K14" t="s">
        <v>28</v>
      </c>
      <c r="L14">
        <v>1.1599999999999999</v>
      </c>
      <c r="M14">
        <v>1</v>
      </c>
      <c r="N14" s="2">
        <v>4.4281689322710642</v>
      </c>
      <c r="O14" s="2">
        <v>3.7403155854968442</v>
      </c>
      <c r="P14" s="1">
        <v>-1.5595670473974299</v>
      </c>
      <c r="Q14" s="1">
        <v>0.61494624187714031</v>
      </c>
      <c r="R14" s="1">
        <v>-1.446476902757875</v>
      </c>
      <c r="S14" s="19">
        <v>21.05126396006694</v>
      </c>
      <c r="T14" s="19">
        <v>41.286888468101758</v>
      </c>
      <c r="U14" s="19">
        <v>72.729924217153709</v>
      </c>
      <c r="V14" s="19">
        <v>116.6878739902962</v>
      </c>
      <c r="W14" s="19">
        <v>172.53615286991638</v>
      </c>
      <c r="X14" s="19">
        <v>237.55124343630217</v>
      </c>
      <c r="Y14" s="19">
        <v>307.37847991360212</v>
      </c>
      <c r="Z14" s="19">
        <v>376.96768212141791</v>
      </c>
      <c r="AA14" s="19">
        <v>441.63084983163918</v>
      </c>
      <c r="AB14" s="19">
        <v>497.87670645919638</v>
      </c>
      <c r="AC14" s="19">
        <v>543.81547097121427</v>
      </c>
      <c r="AD14" s="19">
        <v>579.11687704310839</v>
      </c>
      <c r="AE14" s="19">
        <v>604.65057890827472</v>
      </c>
      <c r="AF14" s="19">
        <v>621.99452109735626</v>
      </c>
      <c r="AG14" s="19">
        <v>632.97262886249086</v>
      </c>
      <c r="AH14" s="19">
        <v>639.31633614430916</v>
      </c>
      <c r="AI14" s="19">
        <v>642.47503473742699</v>
      </c>
      <c r="AJ14" s="19">
        <v>644.212433271809</v>
      </c>
      <c r="AK14" s="19">
        <v>645.01006645691587</v>
      </c>
      <c r="AL14" s="19">
        <v>643.15682935756752</v>
      </c>
      <c r="AM14" s="19">
        <v>641.24111235417661</v>
      </c>
      <c r="AN14" s="19">
        <v>639.26395963135258</v>
      </c>
      <c r="AO14" s="19">
        <v>637.22625061332394</v>
      </c>
      <c r="AP14" s="19">
        <v>635.12867559438371</v>
      </c>
      <c r="AQ14" s="19">
        <v>632.97170091824978</v>
      </c>
      <c r="AR14" s="19">
        <v>11668.249541229654</v>
      </c>
    </row>
    <row r="15" spans="1:44" x14ac:dyDescent="0.25">
      <c r="A15" t="s">
        <v>131</v>
      </c>
      <c r="B15" t="s">
        <v>143</v>
      </c>
      <c r="C15" t="s">
        <v>44</v>
      </c>
      <c r="D15" t="s">
        <v>144</v>
      </c>
      <c r="E15" t="s">
        <v>145</v>
      </c>
      <c r="F15" t="s">
        <v>144</v>
      </c>
      <c r="G15" t="s">
        <v>28</v>
      </c>
      <c r="H15" t="s">
        <v>54</v>
      </c>
      <c r="I15" t="s">
        <v>135</v>
      </c>
      <c r="J15" t="s">
        <v>39</v>
      </c>
      <c r="K15" t="s">
        <v>28</v>
      </c>
      <c r="L15">
        <v>1.1599999999999999</v>
      </c>
      <c r="M15">
        <v>1</v>
      </c>
      <c r="N15" s="2">
        <v>4.4281689322710642</v>
      </c>
      <c r="O15" s="2">
        <v>3.7403155854968442</v>
      </c>
      <c r="P15" s="1">
        <v>-1.5595670473974299</v>
      </c>
      <c r="Q15" s="1">
        <v>0.61494624187714031</v>
      </c>
      <c r="R15" s="1">
        <v>-1.446476902757875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9">
        <v>0</v>
      </c>
      <c r="AL15" s="19">
        <v>0</v>
      </c>
      <c r="AM15" s="19">
        <v>0</v>
      </c>
      <c r="AN15" s="19">
        <v>0</v>
      </c>
      <c r="AO15" s="19">
        <v>0</v>
      </c>
      <c r="AP15" s="19">
        <v>0</v>
      </c>
      <c r="AQ15" s="19">
        <v>0</v>
      </c>
      <c r="AR15" s="19">
        <v>0</v>
      </c>
    </row>
    <row r="16" spans="1:44" x14ac:dyDescent="0.25">
      <c r="A16" t="s">
        <v>131</v>
      </c>
      <c r="B16" t="s">
        <v>143</v>
      </c>
      <c r="C16" t="s">
        <v>44</v>
      </c>
      <c r="D16" t="s">
        <v>144</v>
      </c>
      <c r="E16" t="s">
        <v>145</v>
      </c>
      <c r="F16" t="s">
        <v>144</v>
      </c>
      <c r="G16" t="s">
        <v>28</v>
      </c>
      <c r="H16" t="s">
        <v>141</v>
      </c>
      <c r="I16" t="s">
        <v>135</v>
      </c>
      <c r="J16" t="s">
        <v>39</v>
      </c>
      <c r="K16" t="s">
        <v>28</v>
      </c>
      <c r="L16">
        <v>1.1599999999999999</v>
      </c>
      <c r="M16">
        <v>1</v>
      </c>
      <c r="N16" s="2">
        <v>4.4281689322710642</v>
      </c>
      <c r="O16" s="2">
        <v>3.7403155854968442</v>
      </c>
      <c r="P16" s="1">
        <v>-1.5595670473974299</v>
      </c>
      <c r="Q16" s="1">
        <v>0.61494624187714031</v>
      </c>
      <c r="R16" s="1">
        <v>-1.446476902757875</v>
      </c>
      <c r="S16" s="19">
        <v>17.718147166389681</v>
      </c>
      <c r="T16" s="19">
        <v>34.749797793985643</v>
      </c>
      <c r="U16" s="19">
        <v>61.214352882771024</v>
      </c>
      <c r="V16" s="19">
        <v>98.212293941832627</v>
      </c>
      <c r="W16" s="19">
        <v>145.21792866551291</v>
      </c>
      <c r="X16" s="19">
        <v>199.93896322555429</v>
      </c>
      <c r="Y16" s="19">
        <v>258.71022059394841</v>
      </c>
      <c r="Z16" s="19">
        <v>317.28113245219339</v>
      </c>
      <c r="AA16" s="19">
        <v>371.70596527496286</v>
      </c>
      <c r="AB16" s="19">
        <v>419.04622793649031</v>
      </c>
      <c r="AC16" s="19">
        <v>457.71135473410527</v>
      </c>
      <c r="AD16" s="19">
        <v>487.42337151128282</v>
      </c>
      <c r="AE16" s="19">
        <v>508.9142372477977</v>
      </c>
      <c r="AF16" s="19">
        <v>523.51205525694149</v>
      </c>
      <c r="AG16" s="19">
        <v>532.75196262592965</v>
      </c>
      <c r="AH16" s="19">
        <v>538.09124958812674</v>
      </c>
      <c r="AI16" s="19">
        <v>540.74982090400113</v>
      </c>
      <c r="AJ16" s="19">
        <v>542.21213133710569</v>
      </c>
      <c r="AK16" s="19">
        <v>542.88347260123749</v>
      </c>
      <c r="AL16" s="19">
        <v>541.32366470928594</v>
      </c>
      <c r="AM16" s="19">
        <v>539.71126956476519</v>
      </c>
      <c r="AN16" s="19">
        <v>538.04716602305496</v>
      </c>
      <c r="AO16" s="19">
        <v>536.3320942662142</v>
      </c>
      <c r="AP16" s="19">
        <v>534.56663529193952</v>
      </c>
      <c r="AQ16" s="19">
        <v>532.75118160619343</v>
      </c>
      <c r="AR16" s="19">
        <v>9820.7766972016234</v>
      </c>
    </row>
    <row r="17" spans="1:44" x14ac:dyDescent="0.25">
      <c r="A17" t="s">
        <v>131</v>
      </c>
      <c r="B17" t="s">
        <v>143</v>
      </c>
      <c r="C17" t="s">
        <v>44</v>
      </c>
      <c r="D17" t="s">
        <v>144</v>
      </c>
      <c r="E17" t="s">
        <v>145</v>
      </c>
      <c r="F17" t="s">
        <v>144</v>
      </c>
      <c r="G17" t="s">
        <v>28</v>
      </c>
      <c r="H17" t="s">
        <v>142</v>
      </c>
      <c r="I17" t="s">
        <v>135</v>
      </c>
      <c r="J17" t="s">
        <v>39</v>
      </c>
      <c r="K17" t="s">
        <v>28</v>
      </c>
      <c r="L17">
        <v>1.1599999999999999</v>
      </c>
      <c r="M17">
        <v>1</v>
      </c>
      <c r="N17" s="2">
        <v>4.4281689322710642</v>
      </c>
      <c r="O17" s="2">
        <v>3.7403155854968442</v>
      </c>
      <c r="P17" s="1">
        <v>-1.5595670473974299</v>
      </c>
      <c r="Q17" s="1">
        <v>0.61494624187714031</v>
      </c>
      <c r="R17" s="1">
        <v>-1.446476902757875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9">
        <v>0</v>
      </c>
      <c r="AL17" s="19">
        <v>0</v>
      </c>
      <c r="AM17" s="19">
        <v>0</v>
      </c>
      <c r="AN17" s="19">
        <v>0</v>
      </c>
      <c r="AO17" s="19">
        <v>0</v>
      </c>
      <c r="AP17" s="19">
        <v>0</v>
      </c>
      <c r="AQ17" s="19">
        <v>0</v>
      </c>
      <c r="AR17" s="19">
        <v>0</v>
      </c>
    </row>
    <row r="18" spans="1:44" x14ac:dyDescent="0.25">
      <c r="A18" t="s">
        <v>131</v>
      </c>
      <c r="B18" t="s">
        <v>146</v>
      </c>
      <c r="C18" t="s">
        <v>44</v>
      </c>
      <c r="D18" t="s">
        <v>147</v>
      </c>
      <c r="E18" t="s">
        <v>145</v>
      </c>
      <c r="F18" t="s">
        <v>147</v>
      </c>
      <c r="G18" t="s">
        <v>28</v>
      </c>
      <c r="H18" t="s">
        <v>52</v>
      </c>
      <c r="I18" t="s">
        <v>135</v>
      </c>
      <c r="J18" t="s">
        <v>39</v>
      </c>
      <c r="K18" t="s">
        <v>28</v>
      </c>
      <c r="L18">
        <v>23.19</v>
      </c>
      <c r="M18">
        <v>1</v>
      </c>
      <c r="N18" s="2">
        <v>6.861830386345944</v>
      </c>
      <c r="O18" s="2">
        <v>2.9515177831974366</v>
      </c>
      <c r="P18" s="1">
        <v>-1.2870853928308228</v>
      </c>
      <c r="Q18" s="1">
        <v>0.31315439476537577</v>
      </c>
      <c r="R18" s="1">
        <v>-0.87220340107950334</v>
      </c>
      <c r="S18" s="19">
        <v>254.88287744937671</v>
      </c>
      <c r="T18" s="19">
        <v>391.77422425144442</v>
      </c>
      <c r="U18" s="19">
        <v>854.77280109421406</v>
      </c>
      <c r="V18" s="19">
        <v>1606.922866466658</v>
      </c>
      <c r="W18" s="19">
        <v>2746.8567613124378</v>
      </c>
      <c r="X18" s="19">
        <v>4376.6645596184135</v>
      </c>
      <c r="Y18" s="19">
        <v>6589.3027135946668</v>
      </c>
      <c r="Z18" s="19">
        <v>9451.3352168619731</v>
      </c>
      <c r="AA18" s="19">
        <v>12982.328958721826</v>
      </c>
      <c r="AB18" s="19">
        <v>17134.369764861272</v>
      </c>
      <c r="AC18" s="19">
        <v>21777.419780792956</v>
      </c>
      <c r="AD18" s="19">
        <v>26697.682769138963</v>
      </c>
      <c r="AE18" s="19">
        <v>31615.313685698078</v>
      </c>
      <c r="AF18" s="19">
        <v>36223.431838550096</v>
      </c>
      <c r="AG18" s="19">
        <v>40242.635543794881</v>
      </c>
      <c r="AH18" s="19">
        <v>43476.640798448061</v>
      </c>
      <c r="AI18" s="19">
        <v>75260.190910646823</v>
      </c>
      <c r="AJ18" s="19">
        <v>60092.144864255752</v>
      </c>
      <c r="AK18" s="19">
        <v>63619.642441694748</v>
      </c>
      <c r="AL18" s="19">
        <v>64510.99609845275</v>
      </c>
      <c r="AM18" s="19">
        <v>63976.430109040091</v>
      </c>
      <c r="AN18" s="19">
        <v>62875.558881611702</v>
      </c>
      <c r="AO18" s="19">
        <v>61470.964383311315</v>
      </c>
      <c r="AP18" s="19">
        <v>59979.293967994265</v>
      </c>
      <c r="AQ18" s="19">
        <v>58372.399608249296</v>
      </c>
      <c r="AR18" s="19">
        <v>826579.9564259121</v>
      </c>
    </row>
    <row r="19" spans="1:44" x14ac:dyDescent="0.25">
      <c r="A19" t="s">
        <v>131</v>
      </c>
      <c r="B19" t="s">
        <v>146</v>
      </c>
      <c r="C19" t="s">
        <v>44</v>
      </c>
      <c r="D19" t="s">
        <v>147</v>
      </c>
      <c r="E19" t="s">
        <v>148</v>
      </c>
      <c r="F19" t="s">
        <v>147</v>
      </c>
      <c r="G19" t="s">
        <v>28</v>
      </c>
      <c r="H19" t="s">
        <v>52</v>
      </c>
      <c r="I19" t="s">
        <v>135</v>
      </c>
      <c r="J19" t="s">
        <v>39</v>
      </c>
      <c r="K19" t="s">
        <v>28</v>
      </c>
      <c r="L19">
        <v>23.19</v>
      </c>
      <c r="M19">
        <v>1</v>
      </c>
      <c r="N19" s="2">
        <v>6.861830386345944</v>
      </c>
      <c r="O19" s="2">
        <v>2.9515177831974366</v>
      </c>
      <c r="P19" s="1">
        <v>-1.2870853928308228</v>
      </c>
      <c r="Q19" s="1">
        <v>0.31315439476537577</v>
      </c>
      <c r="R19" s="1">
        <v>-0.87220340107950334</v>
      </c>
      <c r="S19" s="19">
        <v>160.0589075001927</v>
      </c>
      <c r="T19" s="19">
        <v>101.30542498234402</v>
      </c>
      <c r="U19" s="19">
        <v>265.24416778198156</v>
      </c>
      <c r="V19" s="19">
        <v>506.53419851688642</v>
      </c>
      <c r="W19" s="19">
        <v>850.39398177111764</v>
      </c>
      <c r="X19" s="19">
        <v>1314.7470999801126</v>
      </c>
      <c r="Y19" s="19">
        <v>1895.1979357302955</v>
      </c>
      <c r="Z19" s="19">
        <v>2606.6409023155925</v>
      </c>
      <c r="AA19" s="19">
        <v>3426.3836783398892</v>
      </c>
      <c r="AB19" s="19">
        <v>4313.2722734733879</v>
      </c>
      <c r="AC19" s="19">
        <v>5214.6648375822151</v>
      </c>
      <c r="AD19" s="19">
        <v>6062.6852272194674</v>
      </c>
      <c r="AE19" s="19">
        <v>6785.6356328142956</v>
      </c>
      <c r="AF19" s="19">
        <v>7320.2089568075426</v>
      </c>
      <c r="AG19" s="19">
        <v>7623.7808592586753</v>
      </c>
      <c r="AH19" s="19">
        <v>7682.7855679543036</v>
      </c>
      <c r="AI19" s="19">
        <v>7513.853226984058</v>
      </c>
      <c r="AJ19" s="19">
        <v>7176.5879655791241</v>
      </c>
      <c r="AK19" s="19">
        <v>6675.1096754702703</v>
      </c>
      <c r="AL19" s="19">
        <v>6120.4065223965335</v>
      </c>
      <c r="AM19" s="19">
        <v>5476.7432123260423</v>
      </c>
      <c r="AN19" s="19">
        <v>4806.8006719615078</v>
      </c>
      <c r="AO19" s="19">
        <v>4135.3726985499161</v>
      </c>
      <c r="AP19" s="19">
        <v>3462.7017961778579</v>
      </c>
      <c r="AQ19" s="19">
        <v>2789.0717843422944</v>
      </c>
      <c r="AR19" s="19">
        <v>104286.18720581588</v>
      </c>
    </row>
    <row r="20" spans="1:44" x14ac:dyDescent="0.25">
      <c r="A20" t="s">
        <v>131</v>
      </c>
      <c r="B20" t="s">
        <v>146</v>
      </c>
      <c r="C20" t="s">
        <v>44</v>
      </c>
      <c r="D20" t="s">
        <v>147</v>
      </c>
      <c r="E20" t="s">
        <v>145</v>
      </c>
      <c r="F20" t="s">
        <v>147</v>
      </c>
      <c r="G20" t="s">
        <v>28</v>
      </c>
      <c r="H20" t="s">
        <v>138</v>
      </c>
      <c r="I20" t="s">
        <v>135</v>
      </c>
      <c r="J20" t="s">
        <v>39</v>
      </c>
      <c r="K20" t="s">
        <v>28</v>
      </c>
      <c r="L20">
        <v>23.19</v>
      </c>
      <c r="M20">
        <v>1</v>
      </c>
      <c r="N20" s="2">
        <v>6.861830386345944</v>
      </c>
      <c r="O20" s="2">
        <v>2.9515177831974366</v>
      </c>
      <c r="P20" s="1">
        <v>-1.2870853928308228</v>
      </c>
      <c r="Q20" s="1">
        <v>0.31315439476537577</v>
      </c>
      <c r="R20" s="1">
        <v>-0.87220340107950334</v>
      </c>
      <c r="S20" s="19">
        <v>88.414553556572173</v>
      </c>
      <c r="T20" s="19">
        <v>135.8998434056974</v>
      </c>
      <c r="U20" s="19">
        <v>296.50620848807586</v>
      </c>
      <c r="V20" s="19">
        <v>557.41432794643072</v>
      </c>
      <c r="W20" s="19">
        <v>952.83809044225291</v>
      </c>
      <c r="X20" s="19">
        <v>1518.1908136704451</v>
      </c>
      <c r="Y20" s="19">
        <v>2285.7175166162056</v>
      </c>
      <c r="Z20" s="19">
        <v>3278.5081213559683</v>
      </c>
      <c r="AA20" s="19">
        <v>4503.3500504086369</v>
      </c>
      <c r="AB20" s="19">
        <v>5943.6226881671319</v>
      </c>
      <c r="AC20" s="19">
        <v>7554.2181051973284</v>
      </c>
      <c r="AD20" s="19">
        <v>9260.9740075507107</v>
      </c>
      <c r="AE20" s="19">
        <v>10966.816888777312</v>
      </c>
      <c r="AF20" s="19">
        <v>12565.295034102181</v>
      </c>
      <c r="AG20" s="19">
        <v>13959.488731255176</v>
      </c>
      <c r="AH20" s="19">
        <v>15081.310383816201</v>
      </c>
      <c r="AI20" s="19">
        <v>26106.485639737908</v>
      </c>
      <c r="AJ20" s="19">
        <v>20844.947348357186</v>
      </c>
      <c r="AK20" s="19">
        <v>22068.576517182395</v>
      </c>
      <c r="AL20" s="19">
        <v>22377.772004976312</v>
      </c>
      <c r="AM20" s="19">
        <v>22192.340116520663</v>
      </c>
      <c r="AN20" s="19">
        <v>21810.466531796679</v>
      </c>
      <c r="AO20" s="19">
        <v>21323.23648818611</v>
      </c>
      <c r="AP20" s="19">
        <v>20805.801283657715</v>
      </c>
      <c r="AQ20" s="19">
        <v>20248.39684421026</v>
      </c>
      <c r="AR20" s="19">
        <v>286726.58813938161</v>
      </c>
    </row>
    <row r="21" spans="1:44" x14ac:dyDescent="0.25">
      <c r="A21" t="s">
        <v>131</v>
      </c>
      <c r="B21" t="s">
        <v>146</v>
      </c>
      <c r="C21" t="s">
        <v>44</v>
      </c>
      <c r="D21" t="s">
        <v>147</v>
      </c>
      <c r="E21" t="s">
        <v>148</v>
      </c>
      <c r="F21" t="s">
        <v>147</v>
      </c>
      <c r="G21" t="s">
        <v>28</v>
      </c>
      <c r="H21" t="s">
        <v>138</v>
      </c>
      <c r="I21" t="s">
        <v>135</v>
      </c>
      <c r="J21" t="s">
        <v>39</v>
      </c>
      <c r="K21" t="s">
        <v>28</v>
      </c>
      <c r="L21">
        <v>23.19</v>
      </c>
      <c r="M21">
        <v>1</v>
      </c>
      <c r="N21" s="2">
        <v>6.861830386345944</v>
      </c>
      <c r="O21" s="2">
        <v>2.9515177831974366</v>
      </c>
      <c r="P21" s="1">
        <v>-1.2870853928308228</v>
      </c>
      <c r="Q21" s="1">
        <v>0.31315439476537577</v>
      </c>
      <c r="R21" s="1">
        <v>-0.87220340107950334</v>
      </c>
      <c r="S21" s="19">
        <v>55.52172429547727</v>
      </c>
      <c r="T21" s="19">
        <v>35.141136243848791</v>
      </c>
      <c r="U21" s="19">
        <v>92.008709696814421</v>
      </c>
      <c r="V21" s="19">
        <v>175.70813493307944</v>
      </c>
      <c r="W21" s="19">
        <v>294.98727022344764</v>
      </c>
      <c r="X21" s="19">
        <v>456.06350276560664</v>
      </c>
      <c r="Y21" s="19">
        <v>657.41206732183002</v>
      </c>
      <c r="Z21" s="19">
        <v>904.19958361583872</v>
      </c>
      <c r="AA21" s="19">
        <v>1188.5544696666227</v>
      </c>
      <c r="AB21" s="19">
        <v>1496.2011032021323</v>
      </c>
      <c r="AC21" s="19">
        <v>1808.8789179396967</v>
      </c>
      <c r="AD21" s="19">
        <v>2103.0428292504648</v>
      </c>
      <c r="AE21" s="19">
        <v>2353.8220812498503</v>
      </c>
      <c r="AF21" s="19">
        <v>2539.2565139473008</v>
      </c>
      <c r="AG21" s="19">
        <v>2644.5604656922151</v>
      </c>
      <c r="AH21" s="19">
        <v>2665.0281998502128</v>
      </c>
      <c r="AI21" s="19">
        <v>2606.4284317621568</v>
      </c>
      <c r="AJ21" s="19">
        <v>2489.4368244181969</v>
      </c>
      <c r="AK21" s="19">
        <v>2315.4824984862912</v>
      </c>
      <c r="AL21" s="19">
        <v>2123.0653689943947</v>
      </c>
      <c r="AM21" s="19">
        <v>1899.7894676466583</v>
      </c>
      <c r="AN21" s="19">
        <v>1667.3977463680967</v>
      </c>
      <c r="AO21" s="19">
        <v>1434.490753522449</v>
      </c>
      <c r="AP21" s="19">
        <v>1201.152609670374</v>
      </c>
      <c r="AQ21" s="19">
        <v>967.48176698856309</v>
      </c>
      <c r="AR21" s="19">
        <v>36175.112177751624</v>
      </c>
    </row>
    <row r="22" spans="1:44" x14ac:dyDescent="0.25">
      <c r="A22" t="s">
        <v>131</v>
      </c>
      <c r="B22" t="s">
        <v>149</v>
      </c>
      <c r="C22" t="s">
        <v>44</v>
      </c>
      <c r="D22" t="s">
        <v>147</v>
      </c>
      <c r="E22" t="s">
        <v>145</v>
      </c>
      <c r="F22" t="s">
        <v>147</v>
      </c>
      <c r="G22" t="s">
        <v>28</v>
      </c>
      <c r="H22" t="s">
        <v>53</v>
      </c>
      <c r="I22" t="s">
        <v>135</v>
      </c>
      <c r="J22" t="s">
        <v>39</v>
      </c>
      <c r="K22" t="s">
        <v>28</v>
      </c>
      <c r="L22">
        <v>7.78</v>
      </c>
      <c r="M22">
        <v>1</v>
      </c>
      <c r="N22" s="2">
        <v>6.8602318529823343</v>
      </c>
      <c r="O22" s="2">
        <v>2.9515177831974371</v>
      </c>
      <c r="P22" s="1">
        <v>-1.2870124233221063</v>
      </c>
      <c r="Q22" s="1">
        <v>0.31322736427409226</v>
      </c>
      <c r="R22" s="1">
        <v>-0.87220340107950356</v>
      </c>
      <c r="S22" s="19">
        <v>1.6728834444614875</v>
      </c>
      <c r="T22" s="19">
        <v>2.5713481434120813</v>
      </c>
      <c r="U22" s="19">
        <v>5.6101660575865395</v>
      </c>
      <c r="V22" s="19">
        <v>10.546784023860464</v>
      </c>
      <c r="W22" s="19">
        <v>18.028559808688374</v>
      </c>
      <c r="X22" s="19">
        <v>28.725545462351249</v>
      </c>
      <c r="Y22" s="19">
        <v>43.247845953508687</v>
      </c>
      <c r="Z22" s="19">
        <v>62.032343524074122</v>
      </c>
      <c r="AA22" s="19">
        <v>85.207462356557002</v>
      </c>
      <c r="AB22" s="19">
        <v>112.45872534772734</v>
      </c>
      <c r="AC22" s="19">
        <v>142.93264961124106</v>
      </c>
      <c r="AD22" s="19">
        <v>175.22601736496725</v>
      </c>
      <c r="AE22" s="19">
        <v>207.50210993190575</v>
      </c>
      <c r="AF22" s="19">
        <v>237.746764438208</v>
      </c>
      <c r="AG22" s="19">
        <v>264.12617213207204</v>
      </c>
      <c r="AH22" s="19">
        <v>285.3520540114277</v>
      </c>
      <c r="AI22" s="19">
        <v>515.63785131821373</v>
      </c>
      <c r="AJ22" s="19">
        <v>403.65548393007384</v>
      </c>
      <c r="AK22" s="19">
        <v>428.77678290559442</v>
      </c>
      <c r="AL22" s="19">
        <v>434.80578950764152</v>
      </c>
      <c r="AM22" s="19">
        <v>430.86612098779909</v>
      </c>
      <c r="AN22" s="19">
        <v>422.94082087063458</v>
      </c>
      <c r="AO22" s="19">
        <v>412.80161133887486</v>
      </c>
      <c r="AP22" s="19">
        <v>402.03008429142278</v>
      </c>
      <c r="AQ22" s="19">
        <v>390.42071914162472</v>
      </c>
      <c r="AR22" s="19">
        <v>5524.9226959039288</v>
      </c>
    </row>
    <row r="23" spans="1:44" x14ac:dyDescent="0.25">
      <c r="A23" t="s">
        <v>131</v>
      </c>
      <c r="B23" t="s">
        <v>149</v>
      </c>
      <c r="C23" t="s">
        <v>44</v>
      </c>
      <c r="D23" t="s">
        <v>147</v>
      </c>
      <c r="E23" t="s">
        <v>148</v>
      </c>
      <c r="F23" t="s">
        <v>147</v>
      </c>
      <c r="G23" t="s">
        <v>28</v>
      </c>
      <c r="H23" t="s">
        <v>53</v>
      </c>
      <c r="I23" t="s">
        <v>135</v>
      </c>
      <c r="J23" t="s">
        <v>39</v>
      </c>
      <c r="K23" t="s">
        <v>28</v>
      </c>
      <c r="L23">
        <v>7.78</v>
      </c>
      <c r="M23">
        <v>1</v>
      </c>
      <c r="N23" s="2">
        <v>6.8602318529823343</v>
      </c>
      <c r="O23" s="2">
        <v>2.9515177831974371</v>
      </c>
      <c r="P23" s="1">
        <v>-1.2870124233221063</v>
      </c>
      <c r="Q23" s="1">
        <v>0.31322736427409226</v>
      </c>
      <c r="R23" s="1">
        <v>-0.87220340107950356</v>
      </c>
      <c r="S23" s="19">
        <v>1.1685077296580877</v>
      </c>
      <c r="T23" s="19">
        <v>0.73957878381760067</v>
      </c>
      <c r="U23" s="19">
        <v>1.9364111947321585</v>
      </c>
      <c r="V23" s="19">
        <v>3.697945559839785</v>
      </c>
      <c r="W23" s="19">
        <v>6.2082889135868538</v>
      </c>
      <c r="X23" s="19">
        <v>9.5982921092377609</v>
      </c>
      <c r="Y23" s="19">
        <v>13.835865005702578</v>
      </c>
      <c r="Z23" s="19">
        <v>19.0297440509209</v>
      </c>
      <c r="AA23" s="19">
        <v>25.014264282102769</v>
      </c>
      <c r="AB23" s="19">
        <v>31.488981590527647</v>
      </c>
      <c r="AC23" s="19">
        <v>38.069584913814758</v>
      </c>
      <c r="AD23" s="19">
        <v>44.260545452500544</v>
      </c>
      <c r="AE23" s="19">
        <v>49.538434389084962</v>
      </c>
      <c r="AF23" s="19">
        <v>53.441079177251176</v>
      </c>
      <c r="AG23" s="19">
        <v>55.657301442297978</v>
      </c>
      <c r="AH23" s="19">
        <v>56.088064461200418</v>
      </c>
      <c r="AI23" s="19">
        <v>54.854776359364024</v>
      </c>
      <c r="AJ23" s="19">
        <v>52.392576216605178</v>
      </c>
      <c r="AK23" s="19">
        <v>48.731541242671646</v>
      </c>
      <c r="AL23" s="19">
        <v>44.681938929648759</v>
      </c>
      <c r="AM23" s="19">
        <v>39.982884282450513</v>
      </c>
      <c r="AN23" s="19">
        <v>35.091978496140719</v>
      </c>
      <c r="AO23" s="19">
        <v>30.190228327446238</v>
      </c>
      <c r="AP23" s="19">
        <v>25.279404173928867</v>
      </c>
      <c r="AQ23" s="19">
        <v>20.361578055700441</v>
      </c>
      <c r="AR23" s="19">
        <v>761.33979514023235</v>
      </c>
    </row>
    <row r="24" spans="1:44" x14ac:dyDescent="0.25">
      <c r="A24" t="s">
        <v>131</v>
      </c>
      <c r="B24" t="s">
        <v>149</v>
      </c>
      <c r="C24" t="s">
        <v>44</v>
      </c>
      <c r="D24" t="s">
        <v>147</v>
      </c>
      <c r="E24" t="s">
        <v>145</v>
      </c>
      <c r="F24" t="s">
        <v>147</v>
      </c>
      <c r="G24" t="s">
        <v>28</v>
      </c>
      <c r="H24" t="s">
        <v>54</v>
      </c>
      <c r="I24" t="s">
        <v>135</v>
      </c>
      <c r="J24" t="s">
        <v>39</v>
      </c>
      <c r="K24" t="s">
        <v>28</v>
      </c>
      <c r="L24">
        <v>7.78</v>
      </c>
      <c r="M24">
        <v>1</v>
      </c>
      <c r="N24" s="2">
        <v>6.8602318529823343</v>
      </c>
      <c r="O24" s="2">
        <v>2.9515177831974371</v>
      </c>
      <c r="P24" s="1">
        <v>-1.2870124233221063</v>
      </c>
      <c r="Q24" s="1">
        <v>0.31322736427409226</v>
      </c>
      <c r="R24" s="1">
        <v>-0.87220340107950356</v>
      </c>
      <c r="S24" s="19">
        <v>3.5143379624594857</v>
      </c>
      <c r="T24" s="19">
        <v>5.4018027526130084</v>
      </c>
      <c r="U24" s="19">
        <v>11.785650469046733</v>
      </c>
      <c r="V24" s="19">
        <v>22.156333484934144</v>
      </c>
      <c r="W24" s="19">
        <v>37.873799489085378</v>
      </c>
      <c r="X24" s="19">
        <v>60.345671567808296</v>
      </c>
      <c r="Y24" s="19">
        <v>90.853637969943094</v>
      </c>
      <c r="Z24" s="19">
        <v>130.31548639490421</v>
      </c>
      <c r="AA24" s="19">
        <v>179.00100609871239</v>
      </c>
      <c r="AB24" s="19">
        <v>236.24955403067324</v>
      </c>
      <c r="AC24" s="19">
        <v>300.2681616981406</v>
      </c>
      <c r="AD24" s="19">
        <v>368.10899580306415</v>
      </c>
      <c r="AE24" s="19">
        <v>435.91353876951223</v>
      </c>
      <c r="AF24" s="19">
        <v>499.45050414798482</v>
      </c>
      <c r="AG24" s="19">
        <v>554.86748743673081</v>
      </c>
      <c r="AH24" s="19">
        <v>599.45811490827748</v>
      </c>
      <c r="AI24" s="19">
        <v>1083.234867179867</v>
      </c>
      <c r="AJ24" s="19">
        <v>847.98603012480896</v>
      </c>
      <c r="AK24" s="19">
        <v>900.76002041579761</v>
      </c>
      <c r="AL24" s="19">
        <v>913.42555718564347</v>
      </c>
      <c r="AM24" s="19">
        <v>905.14923244549084</v>
      </c>
      <c r="AN24" s="19">
        <v>888.5000252590313</v>
      </c>
      <c r="AO24" s="19">
        <v>867.19991072638811</v>
      </c>
      <c r="AP24" s="19">
        <v>844.57144456405695</v>
      </c>
      <c r="AQ24" s="19">
        <v>820.18287595154175</v>
      </c>
      <c r="AR24" s="19">
        <v>11606.574046836517</v>
      </c>
    </row>
    <row r="25" spans="1:44" x14ac:dyDescent="0.25">
      <c r="A25" t="s">
        <v>131</v>
      </c>
      <c r="B25" t="s">
        <v>149</v>
      </c>
      <c r="C25" t="s">
        <v>44</v>
      </c>
      <c r="D25" t="s">
        <v>147</v>
      </c>
      <c r="E25" t="s">
        <v>148</v>
      </c>
      <c r="F25" t="s">
        <v>147</v>
      </c>
      <c r="G25" t="s">
        <v>28</v>
      </c>
      <c r="H25" t="s">
        <v>54</v>
      </c>
      <c r="I25" t="s">
        <v>135</v>
      </c>
      <c r="J25" t="s">
        <v>39</v>
      </c>
      <c r="K25" t="s">
        <v>28</v>
      </c>
      <c r="L25">
        <v>7.78</v>
      </c>
      <c r="M25">
        <v>1</v>
      </c>
      <c r="N25" s="2">
        <v>6.8602318529823343</v>
      </c>
      <c r="O25" s="2">
        <v>2.9515177831974371</v>
      </c>
      <c r="P25" s="1">
        <v>-1.2870124233221063</v>
      </c>
      <c r="Q25" s="1">
        <v>0.31322736427409226</v>
      </c>
      <c r="R25" s="1">
        <v>-0.87220340107950356</v>
      </c>
      <c r="S25" s="19">
        <v>2.454762217511623</v>
      </c>
      <c r="T25" s="19">
        <v>1.5536825382574626</v>
      </c>
      <c r="U25" s="19">
        <v>4.0679483051309582</v>
      </c>
      <c r="V25" s="19">
        <v>7.7685211764630147</v>
      </c>
      <c r="W25" s="19">
        <v>13.042167093690152</v>
      </c>
      <c r="X25" s="19">
        <v>20.163773182134616</v>
      </c>
      <c r="Y25" s="19">
        <v>29.065925539515241</v>
      </c>
      <c r="Z25" s="19">
        <v>39.977054083147443</v>
      </c>
      <c r="AA25" s="19">
        <v>52.549135363035631</v>
      </c>
      <c r="AB25" s="19">
        <v>66.15100637713725</v>
      </c>
      <c r="AC25" s="19">
        <v>79.975319213444621</v>
      </c>
      <c r="AD25" s="19">
        <v>92.981083432837508</v>
      </c>
      <c r="AE25" s="19">
        <v>104.06869716521784</v>
      </c>
      <c r="AF25" s="19">
        <v>112.26724367989311</v>
      </c>
      <c r="AG25" s="19">
        <v>116.9230097854693</v>
      </c>
      <c r="AH25" s="19">
        <v>117.82794242447858</v>
      </c>
      <c r="AI25" s="19">
        <v>115.23709175327154</v>
      </c>
      <c r="AJ25" s="19">
        <v>110.06458349424337</v>
      </c>
      <c r="AK25" s="19">
        <v>102.3736028503828</v>
      </c>
      <c r="AL25" s="19">
        <v>93.866332849811982</v>
      </c>
      <c r="AM25" s="19">
        <v>83.994714962147782</v>
      </c>
      <c r="AN25" s="19">
        <v>73.720062575248718</v>
      </c>
      <c r="AO25" s="19">
        <v>63.422628670115991</v>
      </c>
      <c r="AP25" s="19">
        <v>53.106132439127421</v>
      </c>
      <c r="AQ25" s="19">
        <v>42.774926713297859</v>
      </c>
      <c r="AR25" s="19">
        <v>1599.3973478850116</v>
      </c>
    </row>
    <row r="26" spans="1:44" x14ac:dyDescent="0.25">
      <c r="A26" t="s">
        <v>131</v>
      </c>
      <c r="B26" t="s">
        <v>149</v>
      </c>
      <c r="C26" t="s">
        <v>44</v>
      </c>
      <c r="D26" t="s">
        <v>147</v>
      </c>
      <c r="E26" t="s">
        <v>145</v>
      </c>
      <c r="F26" t="s">
        <v>147</v>
      </c>
      <c r="G26" t="s">
        <v>28</v>
      </c>
      <c r="H26" t="s">
        <v>141</v>
      </c>
      <c r="I26" t="s">
        <v>135</v>
      </c>
      <c r="J26" t="s">
        <v>39</v>
      </c>
      <c r="K26" t="s">
        <v>28</v>
      </c>
      <c r="L26">
        <v>7.78</v>
      </c>
      <c r="M26">
        <v>1</v>
      </c>
      <c r="N26" s="2">
        <v>6.8602318529823343</v>
      </c>
      <c r="O26" s="2">
        <v>2.9515177831974371</v>
      </c>
      <c r="P26" s="1">
        <v>-1.2870124233221063</v>
      </c>
      <c r="Q26" s="1">
        <v>0.31322736427409226</v>
      </c>
      <c r="R26" s="1">
        <v>-0.87220340107950356</v>
      </c>
      <c r="S26" s="19">
        <v>1.4080102324217525</v>
      </c>
      <c r="T26" s="19">
        <v>2.1642180207051682</v>
      </c>
      <c r="U26" s="19">
        <v>4.7218897651353373</v>
      </c>
      <c r="V26" s="19">
        <v>8.8768765534158884</v>
      </c>
      <c r="W26" s="19">
        <v>15.17403783897938</v>
      </c>
      <c r="X26" s="19">
        <v>24.177334097478958</v>
      </c>
      <c r="Y26" s="19">
        <v>36.400270344203143</v>
      </c>
      <c r="Z26" s="19">
        <v>52.210555799429059</v>
      </c>
      <c r="AA26" s="19">
        <v>71.716280816768787</v>
      </c>
      <c r="AB26" s="19">
        <v>94.65276050100384</v>
      </c>
      <c r="AC26" s="19">
        <v>120.30164675612784</v>
      </c>
      <c r="AD26" s="19">
        <v>147.4818979488474</v>
      </c>
      <c r="AE26" s="19">
        <v>174.6476091926873</v>
      </c>
      <c r="AF26" s="19">
        <v>200.10352673549167</v>
      </c>
      <c r="AG26" s="19">
        <v>222.30619487782724</v>
      </c>
      <c r="AH26" s="19">
        <v>240.17131212628493</v>
      </c>
      <c r="AI26" s="19">
        <v>433.99519152616301</v>
      </c>
      <c r="AJ26" s="19">
        <v>339.74336564114549</v>
      </c>
      <c r="AK26" s="19">
        <v>360.88712561220848</v>
      </c>
      <c r="AL26" s="19">
        <v>365.961539502265</v>
      </c>
      <c r="AM26" s="19">
        <v>362.64565183139752</v>
      </c>
      <c r="AN26" s="19">
        <v>355.97519089945064</v>
      </c>
      <c r="AO26" s="19">
        <v>347.44135621021962</v>
      </c>
      <c r="AP26" s="19">
        <v>338.37532094528081</v>
      </c>
      <c r="AQ26" s="19">
        <v>328.60410527753413</v>
      </c>
      <c r="AR26" s="19">
        <v>4650.1432690524734</v>
      </c>
    </row>
    <row r="27" spans="1:44" x14ac:dyDescent="0.25">
      <c r="A27" t="s">
        <v>131</v>
      </c>
      <c r="B27" t="s">
        <v>149</v>
      </c>
      <c r="C27" t="s">
        <v>44</v>
      </c>
      <c r="D27" t="s">
        <v>147</v>
      </c>
      <c r="E27" t="s">
        <v>148</v>
      </c>
      <c r="F27" t="s">
        <v>147</v>
      </c>
      <c r="G27" t="s">
        <v>28</v>
      </c>
      <c r="H27" t="s">
        <v>141</v>
      </c>
      <c r="I27" t="s">
        <v>135</v>
      </c>
      <c r="J27" t="s">
        <v>39</v>
      </c>
      <c r="K27" t="s">
        <v>28</v>
      </c>
      <c r="L27">
        <v>7.78</v>
      </c>
      <c r="M27">
        <v>1</v>
      </c>
      <c r="N27" s="2">
        <v>6.8602318529823343</v>
      </c>
      <c r="O27" s="2">
        <v>2.9515177831974371</v>
      </c>
      <c r="P27" s="1">
        <v>-1.2870124233221063</v>
      </c>
      <c r="Q27" s="1">
        <v>0.31322736427409226</v>
      </c>
      <c r="R27" s="1">
        <v>-0.87220340107950356</v>
      </c>
      <c r="S27" s="19">
        <v>0.98349400579555679</v>
      </c>
      <c r="T27" s="19">
        <v>0.62247880971314729</v>
      </c>
      <c r="U27" s="19">
        <v>1.6298127555662318</v>
      </c>
      <c r="V27" s="19">
        <v>3.1124375128651556</v>
      </c>
      <c r="W27" s="19">
        <v>5.2253098356022658</v>
      </c>
      <c r="X27" s="19">
        <v>8.0785625252751103</v>
      </c>
      <c r="Y27" s="19">
        <v>11.645186379799666</v>
      </c>
      <c r="Z27" s="19">
        <v>16.016701242858421</v>
      </c>
      <c r="AA27" s="19">
        <v>21.053672437436511</v>
      </c>
      <c r="AB27" s="19">
        <v>26.50322617202745</v>
      </c>
      <c r="AC27" s="19">
        <v>32.041900635794029</v>
      </c>
      <c r="AD27" s="19">
        <v>37.252625755854744</v>
      </c>
      <c r="AE27" s="19">
        <v>41.694848944146294</v>
      </c>
      <c r="AF27" s="19">
        <v>44.97957497418632</v>
      </c>
      <c r="AG27" s="19">
        <v>46.844895380601237</v>
      </c>
      <c r="AH27" s="19">
        <v>47.207454254843526</v>
      </c>
      <c r="AI27" s="19">
        <v>46.16943676913133</v>
      </c>
      <c r="AJ27" s="19">
        <v>44.09708498230944</v>
      </c>
      <c r="AK27" s="19">
        <v>41.015713879248437</v>
      </c>
      <c r="AL27" s="19">
        <v>37.607298599121215</v>
      </c>
      <c r="AM27" s="19">
        <v>33.652260937728911</v>
      </c>
      <c r="AN27" s="19">
        <v>29.535748567585248</v>
      </c>
      <c r="AO27" s="19">
        <v>25.410108842267416</v>
      </c>
      <c r="AP27" s="19">
        <v>21.276831846389921</v>
      </c>
      <c r="AQ27" s="19">
        <v>17.137661530214512</v>
      </c>
      <c r="AR27" s="19">
        <v>640.79432757636209</v>
      </c>
    </row>
    <row r="28" spans="1:44" x14ac:dyDescent="0.25">
      <c r="A28" t="s">
        <v>131</v>
      </c>
      <c r="B28" t="s">
        <v>149</v>
      </c>
      <c r="C28" t="s">
        <v>44</v>
      </c>
      <c r="D28" t="s">
        <v>147</v>
      </c>
      <c r="E28" t="s">
        <v>145</v>
      </c>
      <c r="F28" t="s">
        <v>147</v>
      </c>
      <c r="G28" t="s">
        <v>28</v>
      </c>
      <c r="H28" t="s">
        <v>142</v>
      </c>
      <c r="I28" t="s">
        <v>135</v>
      </c>
      <c r="J28" t="s">
        <v>39</v>
      </c>
      <c r="K28" t="s">
        <v>28</v>
      </c>
      <c r="L28">
        <v>7.78</v>
      </c>
      <c r="M28">
        <v>1</v>
      </c>
      <c r="N28" s="2">
        <v>6.8602318529823343</v>
      </c>
      <c r="O28" s="2">
        <v>2.9515177831974371</v>
      </c>
      <c r="P28" s="1">
        <v>-1.2870124233221063</v>
      </c>
      <c r="Q28" s="1">
        <v>0.31322736427409226</v>
      </c>
      <c r="R28" s="1">
        <v>-0.87220340107950356</v>
      </c>
      <c r="S28" s="19">
        <v>2.8167683668959205</v>
      </c>
      <c r="T28" s="19">
        <v>4.3295856233255021</v>
      </c>
      <c r="U28" s="19">
        <v>9.4462876875022808</v>
      </c>
      <c r="V28" s="19">
        <v>17.758468295713548</v>
      </c>
      <c r="W28" s="19">
        <v>30.356135771402599</v>
      </c>
      <c r="X28" s="19">
        <v>48.367510628469454</v>
      </c>
      <c r="Y28" s="19">
        <v>72.819875659326257</v>
      </c>
      <c r="Z28" s="19">
        <v>104.44884462305136</v>
      </c>
      <c r="AA28" s="19">
        <v>143.47065564193281</v>
      </c>
      <c r="AB28" s="19">
        <v>189.35579833111751</v>
      </c>
      <c r="AC28" s="19">
        <v>240.66719492891173</v>
      </c>
      <c r="AD28" s="19">
        <v>295.04213482707917</v>
      </c>
      <c r="AE28" s="19">
        <v>349.38798710420701</v>
      </c>
      <c r="AF28" s="19">
        <v>400.3133437769024</v>
      </c>
      <c r="AG28" s="19">
        <v>444.73047359878666</v>
      </c>
      <c r="AH28" s="19">
        <v>480.47019762748886</v>
      </c>
      <c r="AI28" s="19">
        <v>868.22091113160207</v>
      </c>
      <c r="AJ28" s="19">
        <v>679.66719499953285</v>
      </c>
      <c r="AK28" s="19">
        <v>721.96594601165691</v>
      </c>
      <c r="AL28" s="19">
        <v>732.11746920155861</v>
      </c>
      <c r="AM28" s="19">
        <v>725.48393253796849</v>
      </c>
      <c r="AN28" s="19">
        <v>712.13946748148533</v>
      </c>
      <c r="AO28" s="19">
        <v>695.06726512994362</v>
      </c>
      <c r="AP28" s="19">
        <v>676.93037893450798</v>
      </c>
      <c r="AQ28" s="19">
        <v>657.38275735814545</v>
      </c>
      <c r="AR28" s="19">
        <v>9302.7565852785137</v>
      </c>
    </row>
    <row r="29" spans="1:44" x14ac:dyDescent="0.25">
      <c r="A29" t="s">
        <v>131</v>
      </c>
      <c r="B29" t="s">
        <v>149</v>
      </c>
      <c r="C29" t="s">
        <v>44</v>
      </c>
      <c r="D29" t="s">
        <v>147</v>
      </c>
      <c r="E29" t="s">
        <v>148</v>
      </c>
      <c r="F29" t="s">
        <v>147</v>
      </c>
      <c r="G29" t="s">
        <v>28</v>
      </c>
      <c r="H29" t="s">
        <v>142</v>
      </c>
      <c r="I29" t="s">
        <v>135</v>
      </c>
      <c r="J29" t="s">
        <v>39</v>
      </c>
      <c r="K29" t="s">
        <v>28</v>
      </c>
      <c r="L29">
        <v>7.78</v>
      </c>
      <c r="M29">
        <v>1</v>
      </c>
      <c r="N29" s="2">
        <v>6.8602318529823343</v>
      </c>
      <c r="O29" s="2">
        <v>2.9515177831974371</v>
      </c>
      <c r="P29" s="1">
        <v>-1.2870124233221063</v>
      </c>
      <c r="Q29" s="1">
        <v>0.31322736427409226</v>
      </c>
      <c r="R29" s="1">
        <v>-0.87220340107950356</v>
      </c>
      <c r="S29" s="19">
        <v>1.9675104205683609</v>
      </c>
      <c r="T29" s="19">
        <v>1.2452882655882671</v>
      </c>
      <c r="U29" s="19">
        <v>3.2604912294893853</v>
      </c>
      <c r="V29" s="19">
        <v>6.2265282796273969</v>
      </c>
      <c r="W29" s="19">
        <v>10.453395233384809</v>
      </c>
      <c r="X29" s="19">
        <v>16.161416193720989</v>
      </c>
      <c r="Y29" s="19">
        <v>23.296558409812391</v>
      </c>
      <c r="Z29" s="19">
        <v>32.041910182221223</v>
      </c>
      <c r="AA29" s="19">
        <v>42.118528092483416</v>
      </c>
      <c r="AB29" s="19">
        <v>53.02053023695175</v>
      </c>
      <c r="AC29" s="19">
        <v>64.100821178614936</v>
      </c>
      <c r="AD29" s="19">
        <v>74.525039233857143</v>
      </c>
      <c r="AE29" s="19">
        <v>83.41184521533846</v>
      </c>
      <c r="AF29" s="19">
        <v>89.983042044939225</v>
      </c>
      <c r="AG29" s="19">
        <v>93.714673672273236</v>
      </c>
      <c r="AH29" s="19">
        <v>94.439984003538953</v>
      </c>
      <c r="AI29" s="19">
        <v>92.36339766154228</v>
      </c>
      <c r="AJ29" s="19">
        <v>88.21759330317478</v>
      </c>
      <c r="AK29" s="19">
        <v>82.053214344904475</v>
      </c>
      <c r="AL29" s="19">
        <v>75.234573314295957</v>
      </c>
      <c r="AM29" s="19">
        <v>67.322397168154637</v>
      </c>
      <c r="AN29" s="19">
        <v>59.087185832926025</v>
      </c>
      <c r="AO29" s="19">
        <v>50.833714939112127</v>
      </c>
      <c r="AP29" s="19">
        <v>42.564965447440976</v>
      </c>
      <c r="AQ29" s="19">
        <v>34.284426184778837</v>
      </c>
      <c r="AR29" s="19">
        <v>1281.9290300887401</v>
      </c>
    </row>
    <row r="30" spans="1:44" x14ac:dyDescent="0.25">
      <c r="A30" t="s">
        <v>131</v>
      </c>
      <c r="B30" t="s">
        <v>150</v>
      </c>
      <c r="C30" t="s">
        <v>44</v>
      </c>
      <c r="D30" t="s">
        <v>147</v>
      </c>
      <c r="E30" t="s">
        <v>145</v>
      </c>
      <c r="F30" t="s">
        <v>147</v>
      </c>
      <c r="G30" t="s">
        <v>28</v>
      </c>
      <c r="H30" t="s">
        <v>55</v>
      </c>
      <c r="I30" t="s">
        <v>135</v>
      </c>
      <c r="J30" t="s">
        <v>39</v>
      </c>
      <c r="K30" t="s">
        <v>28</v>
      </c>
      <c r="L30">
        <v>20.64</v>
      </c>
      <c r="M30">
        <v>1</v>
      </c>
      <c r="N30" s="2">
        <v>6.8617306567581888</v>
      </c>
      <c r="O30" s="2">
        <v>2.9515177831974366</v>
      </c>
      <c r="P30" s="1">
        <v>-1.2870808413903396</v>
      </c>
      <c r="Q30" s="1">
        <v>0.3131589462058586</v>
      </c>
      <c r="R30" s="1">
        <v>-0.872203401079503</v>
      </c>
      <c r="S30" s="19">
        <v>0.43543280428756959</v>
      </c>
      <c r="T30" s="19">
        <v>0.66929309187226782</v>
      </c>
      <c r="U30" s="19">
        <v>1.4602633238206355</v>
      </c>
      <c r="V30" s="19">
        <v>2.7452096312682608</v>
      </c>
      <c r="W30" s="19">
        <v>4.6926319826725225</v>
      </c>
      <c r="X30" s="19">
        <v>7.4769374141233715</v>
      </c>
      <c r="Y30" s="19">
        <v>11.256929408489126</v>
      </c>
      <c r="Z30" s="19">
        <v>16.146323515032723</v>
      </c>
      <c r="AA30" s="19">
        <v>22.178547108574293</v>
      </c>
      <c r="AB30" s="19">
        <v>29.271745325048453</v>
      </c>
      <c r="AC30" s="19">
        <v>37.20376613835758</v>
      </c>
      <c r="AD30" s="19">
        <v>45.609367692637591</v>
      </c>
      <c r="AE30" s="19">
        <v>54.010472709485491</v>
      </c>
      <c r="AF30" s="19">
        <v>61.882817175556305</v>
      </c>
      <c r="AG30" s="19">
        <v>68.749081233350168</v>
      </c>
      <c r="AH30" s="19">
        <v>74.273940302763549</v>
      </c>
      <c r="AI30" s="19">
        <v>128.57182211445155</v>
      </c>
      <c r="AJ30" s="19">
        <v>102.65927399966172</v>
      </c>
      <c r="AK30" s="19">
        <v>108.6855248707778</v>
      </c>
      <c r="AL30" s="19">
        <v>110.20828162187104</v>
      </c>
      <c r="AM30" s="19">
        <v>109.29504817843213</v>
      </c>
      <c r="AN30" s="19">
        <v>107.41435909285848</v>
      </c>
      <c r="AO30" s="19">
        <v>105.01480001928638</v>
      </c>
      <c r="AP30" s="19">
        <v>102.46648355913764</v>
      </c>
      <c r="AQ30" s="19">
        <v>99.72132262773458</v>
      </c>
      <c r="AR30" s="19">
        <v>1412.0996749415513</v>
      </c>
    </row>
    <row r="31" spans="1:44" x14ac:dyDescent="0.25">
      <c r="A31" t="s">
        <v>131</v>
      </c>
      <c r="B31" t="s">
        <v>150</v>
      </c>
      <c r="C31" t="s">
        <v>44</v>
      </c>
      <c r="D31" t="s">
        <v>147</v>
      </c>
      <c r="E31" t="s">
        <v>148</v>
      </c>
      <c r="F31" t="s">
        <v>147</v>
      </c>
      <c r="G31" t="s">
        <v>28</v>
      </c>
      <c r="H31" t="s">
        <v>55</v>
      </c>
      <c r="I31" t="s">
        <v>135</v>
      </c>
      <c r="J31" t="s">
        <v>39</v>
      </c>
      <c r="K31" t="s">
        <v>28</v>
      </c>
      <c r="L31">
        <v>20.64</v>
      </c>
      <c r="M31">
        <v>1</v>
      </c>
      <c r="N31" s="2">
        <v>6.8617306567581888</v>
      </c>
      <c r="O31" s="2">
        <v>2.9515177831974366</v>
      </c>
      <c r="P31" s="1">
        <v>-1.2870808413903396</v>
      </c>
      <c r="Q31" s="1">
        <v>0.3131589462058586</v>
      </c>
      <c r="R31" s="1">
        <v>-0.872203401079503</v>
      </c>
      <c r="S31" s="19">
        <v>0.27343892081513405</v>
      </c>
      <c r="T31" s="19">
        <v>0.1730665697556214</v>
      </c>
      <c r="U31" s="19">
        <v>0.4531336626218449</v>
      </c>
      <c r="V31" s="19">
        <v>0.86534493307252813</v>
      </c>
      <c r="W31" s="19">
        <v>1.4527827052855469</v>
      </c>
      <c r="X31" s="19">
        <v>2.2460669873243786</v>
      </c>
      <c r="Y31" s="19">
        <v>3.2376884633961365</v>
      </c>
      <c r="Z31" s="19">
        <v>4.4530922171944951</v>
      </c>
      <c r="AA31" s="19">
        <v>5.8535114973387001</v>
      </c>
      <c r="AB31" s="19">
        <v>7.368640296629434</v>
      </c>
      <c r="AC31" s="19">
        <v>8.9085471584853266</v>
      </c>
      <c r="AD31" s="19">
        <v>10.357274903745967</v>
      </c>
      <c r="AE31" s="19">
        <v>11.592337555341762</v>
      </c>
      <c r="AF31" s="19">
        <v>12.505583528916212</v>
      </c>
      <c r="AG31" s="19">
        <v>13.024194924510873</v>
      </c>
      <c r="AH31" s="19">
        <v>13.124996461399595</v>
      </c>
      <c r="AI31" s="19">
        <v>12.836398483773028</v>
      </c>
      <c r="AJ31" s="19">
        <v>12.260226557153388</v>
      </c>
      <c r="AK31" s="19">
        <v>11.403518957425469</v>
      </c>
      <c r="AL31" s="19">
        <v>10.455883902818629</v>
      </c>
      <c r="AM31" s="19">
        <v>9.3562724933522237</v>
      </c>
      <c r="AN31" s="19">
        <v>8.2117665854555586</v>
      </c>
      <c r="AO31" s="19">
        <v>7.0647230167961821</v>
      </c>
      <c r="AP31" s="19">
        <v>5.915556072693855</v>
      </c>
      <c r="AQ31" s="19">
        <v>4.7647506202401271</v>
      </c>
      <c r="AR31" s="19">
        <v>178.15879747554203</v>
      </c>
    </row>
    <row r="32" spans="1:44" x14ac:dyDescent="0.25">
      <c r="A32" t="s">
        <v>131</v>
      </c>
      <c r="B32" t="s">
        <v>150</v>
      </c>
      <c r="C32" t="s">
        <v>44</v>
      </c>
      <c r="D32" t="s">
        <v>147</v>
      </c>
      <c r="E32" t="s">
        <v>145</v>
      </c>
      <c r="F32" t="s">
        <v>147</v>
      </c>
      <c r="G32" t="s">
        <v>28</v>
      </c>
      <c r="H32" t="s">
        <v>136</v>
      </c>
      <c r="I32" t="s">
        <v>135</v>
      </c>
      <c r="J32" t="s">
        <v>39</v>
      </c>
      <c r="K32" t="s">
        <v>28</v>
      </c>
      <c r="L32">
        <v>20.64</v>
      </c>
      <c r="M32">
        <v>1</v>
      </c>
      <c r="N32" s="2">
        <v>6.8617306567581888</v>
      </c>
      <c r="O32" s="2">
        <v>2.9515177831974366</v>
      </c>
      <c r="P32" s="1">
        <v>-1.2870808413903396</v>
      </c>
      <c r="Q32" s="1">
        <v>0.3131589462058586</v>
      </c>
      <c r="R32" s="1">
        <v>-0.872203401079503</v>
      </c>
      <c r="S32" s="19">
        <v>0.54671007649439318</v>
      </c>
      <c r="T32" s="19">
        <v>0.84033465979518063</v>
      </c>
      <c r="U32" s="19">
        <v>1.8334417287970199</v>
      </c>
      <c r="V32" s="19">
        <v>3.4467632037034828</v>
      </c>
      <c r="W32" s="19">
        <v>5.8918601560221662</v>
      </c>
      <c r="X32" s="19">
        <v>9.3877103088437899</v>
      </c>
      <c r="Y32" s="19">
        <v>14.133700257325238</v>
      </c>
      <c r="Z32" s="19">
        <v>20.272606191096635</v>
      </c>
      <c r="AA32" s="19">
        <v>27.846398036321062</v>
      </c>
      <c r="AB32" s="19">
        <v>36.752302463671946</v>
      </c>
      <c r="AC32" s="19">
        <v>46.711395262604505</v>
      </c>
      <c r="AD32" s="19">
        <v>57.265094991867194</v>
      </c>
      <c r="AE32" s="19">
        <v>67.813149068576223</v>
      </c>
      <c r="AF32" s="19">
        <v>77.697314898198442</v>
      </c>
      <c r="AG32" s="19">
        <v>86.318290881872983</v>
      </c>
      <c r="AH32" s="19">
        <v>93.255058380136461</v>
      </c>
      <c r="AI32" s="19">
        <v>161.42906554370023</v>
      </c>
      <c r="AJ32" s="19">
        <v>128.89442179957527</v>
      </c>
      <c r="AK32" s="19">
        <v>136.46071455997654</v>
      </c>
      <c r="AL32" s="19">
        <v>138.3726202585714</v>
      </c>
      <c r="AM32" s="19">
        <v>137.22600493514256</v>
      </c>
      <c r="AN32" s="19">
        <v>134.86469530547788</v>
      </c>
      <c r="AO32" s="19">
        <v>131.85191557977066</v>
      </c>
      <c r="AP32" s="19">
        <v>128.65236269091722</v>
      </c>
      <c r="AQ32" s="19">
        <v>125.20566063260004</v>
      </c>
      <c r="AR32" s="19">
        <v>1772.9695918710588</v>
      </c>
    </row>
    <row r="33" spans="1:44" x14ac:dyDescent="0.25">
      <c r="A33" t="s">
        <v>131</v>
      </c>
      <c r="B33" t="s">
        <v>150</v>
      </c>
      <c r="C33" t="s">
        <v>44</v>
      </c>
      <c r="D33" t="s">
        <v>147</v>
      </c>
      <c r="E33" t="s">
        <v>148</v>
      </c>
      <c r="F33" t="s">
        <v>147</v>
      </c>
      <c r="G33" t="s">
        <v>28</v>
      </c>
      <c r="H33" t="s">
        <v>136</v>
      </c>
      <c r="I33" t="s">
        <v>135</v>
      </c>
      <c r="J33" t="s">
        <v>39</v>
      </c>
      <c r="K33" t="s">
        <v>28</v>
      </c>
      <c r="L33">
        <v>20.64</v>
      </c>
      <c r="M33">
        <v>1</v>
      </c>
      <c r="N33" s="2">
        <v>6.8617306567581888</v>
      </c>
      <c r="O33" s="2">
        <v>2.9515177831974366</v>
      </c>
      <c r="P33" s="1">
        <v>-1.2870808413903396</v>
      </c>
      <c r="Q33" s="1">
        <v>0.3131589462058586</v>
      </c>
      <c r="R33" s="1">
        <v>-0.872203401079503</v>
      </c>
      <c r="S33" s="19">
        <v>0.34331775613455712</v>
      </c>
      <c r="T33" s="19">
        <v>0.21729469313761351</v>
      </c>
      <c r="U33" s="19">
        <v>0.56893448751409426</v>
      </c>
      <c r="V33" s="19">
        <v>1.086488638191063</v>
      </c>
      <c r="W33" s="19">
        <v>1.8240493966362996</v>
      </c>
      <c r="X33" s="19">
        <v>2.8200618840850522</v>
      </c>
      <c r="Y33" s="19">
        <v>4.0650977373751447</v>
      </c>
      <c r="Z33" s="19">
        <v>5.5911046726997524</v>
      </c>
      <c r="AA33" s="19">
        <v>7.3494088799919171</v>
      </c>
      <c r="AB33" s="19">
        <v>9.2517372613236351</v>
      </c>
      <c r="AC33" s="19">
        <v>11.1851758767649</v>
      </c>
      <c r="AD33" s="19">
        <v>13.004134045814377</v>
      </c>
      <c r="AE33" s="19">
        <v>14.554823819484705</v>
      </c>
      <c r="AF33" s="19">
        <v>15.70145487519488</v>
      </c>
      <c r="AG33" s="19">
        <v>16.352600294108047</v>
      </c>
      <c r="AH33" s="19">
        <v>16.479162223757164</v>
      </c>
      <c r="AI33" s="19">
        <v>16.116811429626079</v>
      </c>
      <c r="AJ33" s="19">
        <v>15.393395566203877</v>
      </c>
      <c r="AK33" s="19">
        <v>14.317751579878578</v>
      </c>
      <c r="AL33" s="19">
        <v>13.12794312242789</v>
      </c>
      <c r="AM33" s="19">
        <v>11.74731990831981</v>
      </c>
      <c r="AN33" s="19">
        <v>10.310329157294404</v>
      </c>
      <c r="AO33" s="19">
        <v>8.870152232199656</v>
      </c>
      <c r="AP33" s="19">
        <v>7.427309291271107</v>
      </c>
      <c r="AQ33" s="19">
        <v>5.9824091120791927</v>
      </c>
      <c r="AR33" s="19">
        <v>223.68826794151377</v>
      </c>
    </row>
    <row r="34" spans="1:44" x14ac:dyDescent="0.25">
      <c r="A34" t="s">
        <v>131</v>
      </c>
      <c r="B34" t="s">
        <v>151</v>
      </c>
      <c r="C34" t="s">
        <v>44</v>
      </c>
      <c r="D34" t="s">
        <v>152</v>
      </c>
      <c r="E34" t="s">
        <v>145</v>
      </c>
      <c r="F34" t="s">
        <v>153</v>
      </c>
      <c r="G34" t="s">
        <v>28</v>
      </c>
      <c r="H34" t="s">
        <v>52</v>
      </c>
      <c r="I34" t="s">
        <v>135</v>
      </c>
      <c r="J34" t="s">
        <v>39</v>
      </c>
      <c r="K34" t="s">
        <v>28</v>
      </c>
      <c r="L34">
        <v>36.343704539184806</v>
      </c>
      <c r="M34">
        <v>1</v>
      </c>
      <c r="N34" s="2">
        <v>3.3371984945689341</v>
      </c>
      <c r="O34" s="2">
        <v>3.7403155854968446</v>
      </c>
      <c r="P34" s="1">
        <v>-1.358533704083926</v>
      </c>
      <c r="Q34" s="1">
        <v>0.81597958519064395</v>
      </c>
      <c r="R34" s="1">
        <v>-1.4464769027578748</v>
      </c>
      <c r="S34" s="19">
        <v>34168.822305847149</v>
      </c>
      <c r="T34" s="19">
        <v>40048.707069902739</v>
      </c>
      <c r="U34" s="19">
        <v>45185.213630704849</v>
      </c>
      <c r="V34" s="19">
        <v>49611.309349844087</v>
      </c>
      <c r="W34" s="19">
        <v>53381.899508161267</v>
      </c>
      <c r="X34" s="19">
        <v>56562.08068144221</v>
      </c>
      <c r="Y34" s="19">
        <v>59219.876754971468</v>
      </c>
      <c r="Z34" s="19">
        <v>61421.899245380278</v>
      </c>
      <c r="AA34" s="19">
        <v>63230.558639474613</v>
      </c>
      <c r="AB34" s="19">
        <v>64603.824265212585</v>
      </c>
      <c r="AC34" s="19">
        <v>65636.552821109013</v>
      </c>
      <c r="AD34" s="19">
        <v>66402.651829496215</v>
      </c>
      <c r="AE34" s="19">
        <v>66959.70354725013</v>
      </c>
      <c r="AF34" s="19">
        <v>67352.570129247659</v>
      </c>
      <c r="AG34" s="19">
        <v>67616.203866414071</v>
      </c>
      <c r="AH34" s="19">
        <v>67901.070434690715</v>
      </c>
      <c r="AI34" s="19">
        <v>68072.053290129144</v>
      </c>
      <c r="AJ34" s="19">
        <v>68371.557991276553</v>
      </c>
      <c r="AK34" s="19">
        <v>68456.212401459779</v>
      </c>
      <c r="AL34" s="19">
        <v>68259.524630057786</v>
      </c>
      <c r="AM34" s="19">
        <v>68056.20574108974</v>
      </c>
      <c r="AN34" s="19">
        <v>67846.366555963177</v>
      </c>
      <c r="AO34" s="19">
        <v>67630.100409735736</v>
      </c>
      <c r="AP34" s="19">
        <v>67407.480564725673</v>
      </c>
      <c r="AQ34" s="19">
        <v>38115.075922278491</v>
      </c>
      <c r="AR34" s="19">
        <v>1511517.5215858647</v>
      </c>
    </row>
    <row r="35" spans="1:44" x14ac:dyDescent="0.25">
      <c r="A35" t="s">
        <v>131</v>
      </c>
      <c r="B35" t="s">
        <v>151</v>
      </c>
      <c r="C35" t="s">
        <v>44</v>
      </c>
      <c r="D35" t="s">
        <v>152</v>
      </c>
      <c r="E35" t="s">
        <v>145</v>
      </c>
      <c r="F35" t="s">
        <v>153</v>
      </c>
      <c r="G35" t="s">
        <v>28</v>
      </c>
      <c r="H35" t="s">
        <v>138</v>
      </c>
      <c r="I35" t="s">
        <v>135</v>
      </c>
      <c r="J35" t="s">
        <v>39</v>
      </c>
      <c r="K35" t="s">
        <v>28</v>
      </c>
      <c r="L35">
        <v>36.343704539184806</v>
      </c>
      <c r="M35">
        <v>1</v>
      </c>
      <c r="N35" s="2">
        <v>3.3371984945689341</v>
      </c>
      <c r="O35" s="2">
        <v>3.7403155854968446</v>
      </c>
      <c r="P35" s="1">
        <v>-1.358533704083926</v>
      </c>
      <c r="Q35" s="1">
        <v>0.81597958519064395</v>
      </c>
      <c r="R35" s="1">
        <v>-1.4464769027578748</v>
      </c>
      <c r="S35" s="19">
        <v>11852.585783544198</v>
      </c>
      <c r="T35" s="19">
        <v>13892.21822798456</v>
      </c>
      <c r="U35" s="19">
        <v>15673.98536337764</v>
      </c>
      <c r="V35" s="19">
        <v>17209.323009132506</v>
      </c>
      <c r="W35" s="19">
        <v>18517.276877311164</v>
      </c>
      <c r="X35" s="19">
        <v>19620.427867594903</v>
      </c>
      <c r="Y35" s="19">
        <v>20542.372313753993</v>
      </c>
      <c r="Z35" s="19">
        <v>21306.216622792341</v>
      </c>
      <c r="AA35" s="19">
        <v>21933.609935615063</v>
      </c>
      <c r="AB35" s="19">
        <v>22409.97252391142</v>
      </c>
      <c r="AC35" s="19">
        <v>22768.208569927665</v>
      </c>
      <c r="AD35" s="19">
        <v>23033.955341482146</v>
      </c>
      <c r="AE35" s="19">
        <v>23227.187148286885</v>
      </c>
      <c r="AF35" s="19">
        <v>23363.465912094802</v>
      </c>
      <c r="AG35" s="19">
        <v>23454.91599068492</v>
      </c>
      <c r="AH35" s="19">
        <v>23553.731378793414</v>
      </c>
      <c r="AI35" s="19">
        <v>23613.042435623509</v>
      </c>
      <c r="AJ35" s="19">
        <v>23716.935544117245</v>
      </c>
      <c r="AK35" s="19">
        <v>23746.30072532456</v>
      </c>
      <c r="AL35" s="19">
        <v>23678.073068478538</v>
      </c>
      <c r="AM35" s="19">
        <v>23607.545189251738</v>
      </c>
      <c r="AN35" s="19">
        <v>23534.755529713599</v>
      </c>
      <c r="AO35" s="19">
        <v>23459.736466214938</v>
      </c>
      <c r="AP35" s="19">
        <v>23382.513412213168</v>
      </c>
      <c r="AQ35" s="19">
        <v>13221.474330351788</v>
      </c>
      <c r="AR35" s="19">
        <v>524319.82956757664</v>
      </c>
    </row>
    <row r="36" spans="1:44" x14ac:dyDescent="0.25">
      <c r="A36" t="s">
        <v>131</v>
      </c>
      <c r="B36" t="s">
        <v>154</v>
      </c>
      <c r="C36" t="s">
        <v>44</v>
      </c>
      <c r="D36" t="s">
        <v>152</v>
      </c>
      <c r="E36" t="s">
        <v>145</v>
      </c>
      <c r="F36" t="s">
        <v>153</v>
      </c>
      <c r="G36" t="s">
        <v>28</v>
      </c>
      <c r="H36" t="s">
        <v>53</v>
      </c>
      <c r="I36" t="s">
        <v>135</v>
      </c>
      <c r="J36" t="s">
        <v>39</v>
      </c>
      <c r="K36" t="s">
        <v>28</v>
      </c>
      <c r="L36">
        <v>24.453678733641105</v>
      </c>
      <c r="M36">
        <v>1</v>
      </c>
      <c r="N36" s="2">
        <v>3.1718682800283089</v>
      </c>
      <c r="O36" s="2">
        <v>3.740315585496846</v>
      </c>
      <c r="P36" s="1">
        <v>-1.316001647904363</v>
      </c>
      <c r="Q36" s="1">
        <v>0.85851164137020752</v>
      </c>
      <c r="R36" s="1">
        <v>-1.4464769027578754</v>
      </c>
      <c r="S36" s="19">
        <v>687.20077475428263</v>
      </c>
      <c r="T36" s="19">
        <v>805.45657324674175</v>
      </c>
      <c r="U36" s="19">
        <v>908.7616054342169</v>
      </c>
      <c r="V36" s="19">
        <v>997.77890840425857</v>
      </c>
      <c r="W36" s="19">
        <v>1073.6127330202455</v>
      </c>
      <c r="X36" s="19">
        <v>1137.5722967001343</v>
      </c>
      <c r="Y36" s="19">
        <v>1191.0256906895331</v>
      </c>
      <c r="Z36" s="19">
        <v>1235.312600782315</v>
      </c>
      <c r="AA36" s="19">
        <v>1271.6882219776508</v>
      </c>
      <c r="AB36" s="19">
        <v>1299.307236572399</v>
      </c>
      <c r="AC36" s="19">
        <v>1320.0773953262014</v>
      </c>
      <c r="AD36" s="19">
        <v>1335.4851207488032</v>
      </c>
      <c r="AE36" s="19">
        <v>1346.6885028435147</v>
      </c>
      <c r="AF36" s="19">
        <v>1354.5898058825003</v>
      </c>
      <c r="AG36" s="19">
        <v>1359.8919877022447</v>
      </c>
      <c r="AH36" s="19">
        <v>1365.6212026183762</v>
      </c>
      <c r="AI36" s="19">
        <v>1369.0599968991753</v>
      </c>
      <c r="AJ36" s="19">
        <v>1375.0836128385467</v>
      </c>
      <c r="AK36" s="19">
        <v>1376.7861759454502</v>
      </c>
      <c r="AL36" s="19">
        <v>1372.8304063352989</v>
      </c>
      <c r="AM36" s="19">
        <v>1368.7412721892524</v>
      </c>
      <c r="AN36" s="19">
        <v>1364.5210023390939</v>
      </c>
      <c r="AO36" s="19">
        <v>1360.1714739324568</v>
      </c>
      <c r="AP36" s="19">
        <v>1355.694160415555</v>
      </c>
      <c r="AQ36" s="19">
        <v>766.56752957873402</v>
      </c>
      <c r="AR36" s="19">
        <v>30399.526287176977</v>
      </c>
    </row>
    <row r="37" spans="1:44" x14ac:dyDescent="0.25">
      <c r="A37" t="s">
        <v>131</v>
      </c>
      <c r="B37" t="s">
        <v>154</v>
      </c>
      <c r="C37" t="s">
        <v>44</v>
      </c>
      <c r="D37" t="s">
        <v>152</v>
      </c>
      <c r="E37" t="s">
        <v>145</v>
      </c>
      <c r="F37" t="s">
        <v>153</v>
      </c>
      <c r="G37" t="s">
        <v>28</v>
      </c>
      <c r="H37" t="s">
        <v>54</v>
      </c>
      <c r="I37" t="s">
        <v>135</v>
      </c>
      <c r="J37" t="s">
        <v>39</v>
      </c>
      <c r="K37" t="s">
        <v>28</v>
      </c>
      <c r="L37">
        <v>24.453678733641105</v>
      </c>
      <c r="M37">
        <v>1</v>
      </c>
      <c r="N37" s="2">
        <v>3.1718682800283089</v>
      </c>
      <c r="O37" s="2">
        <v>3.740315585496846</v>
      </c>
      <c r="P37" s="1">
        <v>-1.316001647904363</v>
      </c>
      <c r="Q37" s="1">
        <v>0.85851164137020752</v>
      </c>
      <c r="R37" s="1">
        <v>-1.4464769027578754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9">
        <v>0</v>
      </c>
      <c r="AL37" s="19">
        <v>0</v>
      </c>
      <c r="AM37" s="19">
        <v>0</v>
      </c>
      <c r="AN37" s="19">
        <v>0</v>
      </c>
      <c r="AO37" s="19">
        <v>0</v>
      </c>
      <c r="AP37" s="19">
        <v>0</v>
      </c>
      <c r="AQ37" s="19">
        <v>0</v>
      </c>
      <c r="AR37" s="19">
        <v>0</v>
      </c>
    </row>
    <row r="38" spans="1:44" x14ac:dyDescent="0.25">
      <c r="A38" t="s">
        <v>131</v>
      </c>
      <c r="B38" t="s">
        <v>154</v>
      </c>
      <c r="C38" t="s">
        <v>44</v>
      </c>
      <c r="D38" t="s">
        <v>152</v>
      </c>
      <c r="E38" t="s">
        <v>145</v>
      </c>
      <c r="F38" t="s">
        <v>153</v>
      </c>
      <c r="G38" t="s">
        <v>28</v>
      </c>
      <c r="H38" t="s">
        <v>141</v>
      </c>
      <c r="I38" t="s">
        <v>135</v>
      </c>
      <c r="J38" t="s">
        <v>39</v>
      </c>
      <c r="K38" t="s">
        <v>28</v>
      </c>
      <c r="L38">
        <v>24.453678733641105</v>
      </c>
      <c r="M38">
        <v>1</v>
      </c>
      <c r="N38" s="2">
        <v>3.1718682800283089</v>
      </c>
      <c r="O38" s="2">
        <v>3.740315585496846</v>
      </c>
      <c r="P38" s="1">
        <v>-1.316001647904363</v>
      </c>
      <c r="Q38" s="1">
        <v>0.85851164137020752</v>
      </c>
      <c r="R38" s="1">
        <v>-1.4464769027578754</v>
      </c>
      <c r="S38" s="19">
        <v>578.39398541818787</v>
      </c>
      <c r="T38" s="19">
        <v>677.92594914934091</v>
      </c>
      <c r="U38" s="19">
        <v>764.8743512404659</v>
      </c>
      <c r="V38" s="19">
        <v>839.79724790691728</v>
      </c>
      <c r="W38" s="19">
        <v>903.62405029204012</v>
      </c>
      <c r="X38" s="19">
        <v>957.45668305594643</v>
      </c>
      <c r="Y38" s="19">
        <v>1002.4466229970236</v>
      </c>
      <c r="Z38" s="19">
        <v>1039.7214389917815</v>
      </c>
      <c r="AA38" s="19">
        <v>1070.3375868311891</v>
      </c>
      <c r="AB38" s="19">
        <v>1093.5835907817691</v>
      </c>
      <c r="AC38" s="19">
        <v>1111.0651410662194</v>
      </c>
      <c r="AD38" s="19">
        <v>1124.0333099635759</v>
      </c>
      <c r="AE38" s="19">
        <v>1133.4628232266246</v>
      </c>
      <c r="AF38" s="19">
        <v>1140.1130866177712</v>
      </c>
      <c r="AG38" s="19">
        <v>1144.575756316056</v>
      </c>
      <c r="AH38" s="19">
        <v>1149.397845537133</v>
      </c>
      <c r="AI38" s="19">
        <v>1152.2921640568061</v>
      </c>
      <c r="AJ38" s="19">
        <v>1157.3620408057768</v>
      </c>
      <c r="AK38" s="19">
        <v>1158.7950314207535</v>
      </c>
      <c r="AL38" s="19">
        <v>1155.4655919988761</v>
      </c>
      <c r="AM38" s="19">
        <v>1152.0239040926203</v>
      </c>
      <c r="AN38" s="19">
        <v>1148.471843635404</v>
      </c>
      <c r="AO38" s="19">
        <v>1144.8109905598176</v>
      </c>
      <c r="AP38" s="19">
        <v>1141.0425850164254</v>
      </c>
      <c r="AQ38" s="19">
        <v>645.19433739544013</v>
      </c>
      <c r="AR38" s="19">
        <v>25586.267958373963</v>
      </c>
    </row>
    <row r="39" spans="1:44" x14ac:dyDescent="0.25">
      <c r="A39" t="s">
        <v>131</v>
      </c>
      <c r="B39" t="s">
        <v>154</v>
      </c>
      <c r="C39" t="s">
        <v>44</v>
      </c>
      <c r="D39" t="s">
        <v>152</v>
      </c>
      <c r="E39" t="s">
        <v>145</v>
      </c>
      <c r="F39" t="s">
        <v>153</v>
      </c>
      <c r="G39" t="s">
        <v>28</v>
      </c>
      <c r="H39" t="s">
        <v>142</v>
      </c>
      <c r="I39" t="s">
        <v>135</v>
      </c>
      <c r="J39" t="s">
        <v>39</v>
      </c>
      <c r="K39" t="s">
        <v>28</v>
      </c>
      <c r="L39">
        <v>24.453678733641105</v>
      </c>
      <c r="M39">
        <v>1</v>
      </c>
      <c r="N39" s="2">
        <v>3.1718682800283089</v>
      </c>
      <c r="O39" s="2">
        <v>3.740315585496846</v>
      </c>
      <c r="P39" s="1">
        <v>-1.316001647904363</v>
      </c>
      <c r="Q39" s="1">
        <v>0.85851164137020752</v>
      </c>
      <c r="R39" s="1">
        <v>-1.4464769027578754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9">
        <v>0</v>
      </c>
      <c r="AL39" s="19">
        <v>0</v>
      </c>
      <c r="AM39" s="19">
        <v>0</v>
      </c>
      <c r="AN39" s="19">
        <v>0</v>
      </c>
      <c r="AO39" s="19">
        <v>0</v>
      </c>
      <c r="AP39" s="19">
        <v>0</v>
      </c>
      <c r="AQ39" s="19">
        <v>0</v>
      </c>
      <c r="AR39" s="19">
        <v>0</v>
      </c>
    </row>
    <row r="40" spans="1:44" x14ac:dyDescent="0.25">
      <c r="A40" t="s">
        <v>131</v>
      </c>
      <c r="B40" t="s">
        <v>155</v>
      </c>
      <c r="C40" t="s">
        <v>44</v>
      </c>
      <c r="D40" t="s">
        <v>152</v>
      </c>
      <c r="E40" t="s">
        <v>145</v>
      </c>
      <c r="F40" t="s">
        <v>153</v>
      </c>
      <c r="G40" t="s">
        <v>28</v>
      </c>
      <c r="H40" t="s">
        <v>55</v>
      </c>
      <c r="I40" t="s">
        <v>135</v>
      </c>
      <c r="J40" t="s">
        <v>39</v>
      </c>
      <c r="K40" t="s">
        <v>28</v>
      </c>
      <c r="L40">
        <v>24.453678733641105</v>
      </c>
      <c r="M40">
        <v>1</v>
      </c>
      <c r="N40" s="2">
        <v>3.1718682800283089</v>
      </c>
      <c r="O40" s="2">
        <v>3.740315585496846</v>
      </c>
      <c r="P40" s="1">
        <v>-1.316001647904363</v>
      </c>
      <c r="Q40" s="1">
        <v>0.85851164137020752</v>
      </c>
      <c r="R40" s="1">
        <v>-1.4464769027578754</v>
      </c>
      <c r="S40" s="19">
        <v>44.128235085824663</v>
      </c>
      <c r="T40" s="19">
        <v>51.721968777412926</v>
      </c>
      <c r="U40" s="19">
        <v>58.3556469008807</v>
      </c>
      <c r="V40" s="19">
        <v>64.071846032892196</v>
      </c>
      <c r="W40" s="19">
        <v>68.941475059879323</v>
      </c>
      <c r="X40" s="19">
        <v>73.048604687406439</v>
      </c>
      <c r="Y40" s="19">
        <v>76.481086172810492</v>
      </c>
      <c r="Z40" s="19">
        <v>79.32494673233596</v>
      </c>
      <c r="AA40" s="19">
        <v>81.660788050434931</v>
      </c>
      <c r="AB40" s="19">
        <v>83.43432849691024</v>
      </c>
      <c r="AC40" s="19">
        <v>84.768073279991157</v>
      </c>
      <c r="AD40" s="19">
        <v>85.757472236692735</v>
      </c>
      <c r="AE40" s="19">
        <v>86.476891505404282</v>
      </c>
      <c r="AF40" s="19">
        <v>86.984269510199738</v>
      </c>
      <c r="AG40" s="19">
        <v>87.324746317568199</v>
      </c>
      <c r="AH40" s="19">
        <v>87.692644829857613</v>
      </c>
      <c r="AI40" s="19">
        <v>87.913465189801428</v>
      </c>
      <c r="AJ40" s="19">
        <v>88.300268508430321</v>
      </c>
      <c r="AK40" s="19">
        <v>88.409597699825298</v>
      </c>
      <c r="AL40" s="19">
        <v>88.155580041936958</v>
      </c>
      <c r="AM40" s="19">
        <v>87.892998450758284</v>
      </c>
      <c r="AN40" s="19">
        <v>87.621996049545913</v>
      </c>
      <c r="AO40" s="19">
        <v>87.342693378344507</v>
      </c>
      <c r="AP40" s="19">
        <v>87.05518505372504</v>
      </c>
      <c r="AQ40" s="19">
        <v>49.224729361671933</v>
      </c>
      <c r="AR40" s="19">
        <v>1952.0895374105412</v>
      </c>
    </row>
    <row r="41" spans="1:44" x14ac:dyDescent="0.25">
      <c r="A41" t="s">
        <v>131</v>
      </c>
      <c r="B41" t="s">
        <v>155</v>
      </c>
      <c r="C41" t="s">
        <v>44</v>
      </c>
      <c r="D41" t="s">
        <v>152</v>
      </c>
      <c r="E41" t="s">
        <v>145</v>
      </c>
      <c r="F41" t="s">
        <v>153</v>
      </c>
      <c r="G41" t="s">
        <v>28</v>
      </c>
      <c r="H41" t="s">
        <v>136</v>
      </c>
      <c r="I41" t="s">
        <v>135</v>
      </c>
      <c r="J41" t="s">
        <v>39</v>
      </c>
      <c r="K41" t="s">
        <v>28</v>
      </c>
      <c r="L41">
        <v>24.453678733641105</v>
      </c>
      <c r="M41">
        <v>1</v>
      </c>
      <c r="N41" s="2">
        <v>3.1718682800283089</v>
      </c>
      <c r="O41" s="2">
        <v>3.740315585496846</v>
      </c>
      <c r="P41" s="1">
        <v>-1.316001647904363</v>
      </c>
      <c r="Q41" s="1">
        <v>0.85851164137020752</v>
      </c>
      <c r="R41" s="1">
        <v>-1.4464769027578754</v>
      </c>
      <c r="S41" s="19">
        <v>55.405450718868757</v>
      </c>
      <c r="T41" s="19">
        <v>64.939805242751774</v>
      </c>
      <c r="U41" s="19">
        <v>73.268756664439081</v>
      </c>
      <c r="V41" s="19">
        <v>80.445762241297999</v>
      </c>
      <c r="W41" s="19">
        <v>86.559852019626234</v>
      </c>
      <c r="X41" s="19">
        <v>91.716581440854753</v>
      </c>
      <c r="Y41" s="19">
        <v>96.026252639195391</v>
      </c>
      <c r="Z41" s="19">
        <v>99.596877563932907</v>
      </c>
      <c r="AA41" s="19">
        <v>102.5296561077683</v>
      </c>
      <c r="AB41" s="19">
        <v>104.75643466834283</v>
      </c>
      <c r="AC41" s="19">
        <v>106.43102534043328</v>
      </c>
      <c r="AD41" s="19">
        <v>107.67327069718088</v>
      </c>
      <c r="AE41" s="19">
        <v>108.57654155678536</v>
      </c>
      <c r="AF41" s="19">
        <v>109.213582829473</v>
      </c>
      <c r="AG41" s="19">
        <v>109.6410703765023</v>
      </c>
      <c r="AH41" s="19">
        <v>110.10298739748792</v>
      </c>
      <c r="AI41" s="19">
        <v>110.38023962719514</v>
      </c>
      <c r="AJ41" s="19">
        <v>110.86589268280696</v>
      </c>
      <c r="AK41" s="19">
        <v>111.00316155644728</v>
      </c>
      <c r="AL41" s="19">
        <v>110.68422827487638</v>
      </c>
      <c r="AM41" s="19">
        <v>110.35454249928542</v>
      </c>
      <c r="AN41" s="19">
        <v>110.01428392887432</v>
      </c>
      <c r="AO41" s="19">
        <v>109.6636039083659</v>
      </c>
      <c r="AP41" s="19">
        <v>109.3026212341214</v>
      </c>
      <c r="AQ41" s="19">
        <v>61.804382420765435</v>
      </c>
      <c r="AR41" s="19">
        <v>2450.9568636376789</v>
      </c>
    </row>
    <row r="42" spans="1:44" x14ac:dyDescent="0.25">
      <c r="A42" t="s">
        <v>131</v>
      </c>
      <c r="B42" t="s">
        <v>156</v>
      </c>
      <c r="C42" t="s">
        <v>44</v>
      </c>
      <c r="D42" t="s">
        <v>152</v>
      </c>
      <c r="E42" t="s">
        <v>145</v>
      </c>
      <c r="F42" t="s">
        <v>157</v>
      </c>
      <c r="G42" t="s">
        <v>28</v>
      </c>
      <c r="H42" t="s">
        <v>52</v>
      </c>
      <c r="I42" t="s">
        <v>135</v>
      </c>
      <c r="J42" t="s">
        <v>39</v>
      </c>
      <c r="K42" t="s">
        <v>28</v>
      </c>
      <c r="L42">
        <v>178.07043676029926</v>
      </c>
      <c r="M42">
        <v>1</v>
      </c>
      <c r="N42" s="2">
        <v>4.7325334090046072</v>
      </c>
      <c r="O42" s="2">
        <v>3.7403155854968455</v>
      </c>
      <c r="P42" s="1">
        <v>-1.5991162222161577</v>
      </c>
      <c r="Q42" s="1">
        <v>0.57539706705841231</v>
      </c>
      <c r="R42" s="1">
        <v>-1.4464769027578743</v>
      </c>
      <c r="S42" s="19">
        <v>0</v>
      </c>
      <c r="T42" s="19">
        <v>0</v>
      </c>
      <c r="U42" s="19">
        <v>3762.9762173588201</v>
      </c>
      <c r="V42" s="19">
        <v>5997.3910900069668</v>
      </c>
      <c r="W42" s="19">
        <v>9031.9183052258304</v>
      </c>
      <c r="X42" s="19">
        <v>12958.426474880553</v>
      </c>
      <c r="Y42" s="19">
        <v>17804.382029728782</v>
      </c>
      <c r="Z42" s="19">
        <v>23504.701046928258</v>
      </c>
      <c r="AA42" s="19">
        <v>29881.517076517055</v>
      </c>
      <c r="AB42" s="19">
        <v>36641.806212334355</v>
      </c>
      <c r="AC42" s="19">
        <v>43401.579377669419</v>
      </c>
      <c r="AD42" s="19">
        <v>49739.36007441971</v>
      </c>
      <c r="AE42" s="19">
        <v>55271.032995888658</v>
      </c>
      <c r="AF42" s="19">
        <v>59726.338295838155</v>
      </c>
      <c r="AG42" s="19">
        <v>63000.918208276053</v>
      </c>
      <c r="AH42" s="19">
        <v>65342.120575695015</v>
      </c>
      <c r="AI42" s="19">
        <v>66533.306030364576</v>
      </c>
      <c r="AJ42" s="19">
        <v>67439.749057769455</v>
      </c>
      <c r="AK42" s="19">
        <v>67523.249746463975</v>
      </c>
      <c r="AL42" s="19">
        <v>67329.242554938901</v>
      </c>
      <c r="AM42" s="19">
        <v>67128.694618727473</v>
      </c>
      <c r="AN42" s="19">
        <v>66921.715248896115</v>
      </c>
      <c r="AO42" s="19">
        <v>66708.396508475882</v>
      </c>
      <c r="AP42" s="19">
        <v>66488.810661321782</v>
      </c>
      <c r="AQ42" s="19">
        <v>66263.006526894198</v>
      </c>
      <c r="AR42" s="19">
        <v>1078400.63893462</v>
      </c>
    </row>
    <row r="43" spans="1:44" x14ac:dyDescent="0.25">
      <c r="A43" t="s">
        <v>131</v>
      </c>
      <c r="B43" t="s">
        <v>156</v>
      </c>
      <c r="C43" t="s">
        <v>44</v>
      </c>
      <c r="D43" t="s">
        <v>152</v>
      </c>
      <c r="E43" t="s">
        <v>145</v>
      </c>
      <c r="F43" t="s">
        <v>157</v>
      </c>
      <c r="G43" t="s">
        <v>28</v>
      </c>
      <c r="H43" t="s">
        <v>138</v>
      </c>
      <c r="I43" t="s">
        <v>135</v>
      </c>
      <c r="J43" t="s">
        <v>39</v>
      </c>
      <c r="K43" t="s">
        <v>28</v>
      </c>
      <c r="L43">
        <v>178.07043676029926</v>
      </c>
      <c r="M43">
        <v>1</v>
      </c>
      <c r="N43" s="2">
        <v>4.7325334090046072</v>
      </c>
      <c r="O43" s="2">
        <v>3.7403155854968455</v>
      </c>
      <c r="P43" s="1">
        <v>-1.5991162222161577</v>
      </c>
      <c r="Q43" s="1">
        <v>0.57539706705841231</v>
      </c>
      <c r="R43" s="1">
        <v>-1.4464769027578743</v>
      </c>
      <c r="S43" s="19">
        <v>0</v>
      </c>
      <c r="T43" s="19">
        <v>0</v>
      </c>
      <c r="U43" s="19">
        <v>1305.3127210079381</v>
      </c>
      <c r="V43" s="19">
        <v>2080.3933988560925</v>
      </c>
      <c r="W43" s="19">
        <v>3133.0194978459376</v>
      </c>
      <c r="X43" s="19">
        <v>4495.0586835703944</v>
      </c>
      <c r="Y43" s="19">
        <v>6176.0385956949094</v>
      </c>
      <c r="Z43" s="19">
        <v>8153.3827236300258</v>
      </c>
      <c r="AA43" s="19">
        <v>10365.392208184225</v>
      </c>
      <c r="AB43" s="19">
        <v>12710.42201888755</v>
      </c>
      <c r="AC43" s="19">
        <v>15055.272848168936</v>
      </c>
      <c r="AD43" s="19">
        <v>17253.741636853771</v>
      </c>
      <c r="AE43" s="19">
        <v>19172.585290326715</v>
      </c>
      <c r="AF43" s="19">
        <v>20718.055244978725</v>
      </c>
      <c r="AG43" s="19">
        <v>21853.95155916335</v>
      </c>
      <c r="AH43" s="19">
        <v>22666.075010422053</v>
      </c>
      <c r="AI43" s="19">
        <v>23079.277071037552</v>
      </c>
      <c r="AJ43" s="19">
        <v>23393.706805959184</v>
      </c>
      <c r="AK43" s="19">
        <v>23422.671780721208</v>
      </c>
      <c r="AL43" s="19">
        <v>23355.373971636873</v>
      </c>
      <c r="AM43" s="19">
        <v>23285.807288993208</v>
      </c>
      <c r="AN43" s="19">
        <v>23214.009650947886</v>
      </c>
      <c r="AO43" s="19">
        <v>23140.012992607222</v>
      </c>
      <c r="AP43" s="19">
        <v>23063.842381078699</v>
      </c>
      <c r="AQ43" s="19">
        <v>22985.514751006296</v>
      </c>
      <c r="AR43" s="19">
        <v>374078.91813157871</v>
      </c>
    </row>
    <row r="44" spans="1:44" x14ac:dyDescent="0.25">
      <c r="A44" t="s">
        <v>131</v>
      </c>
      <c r="B44" t="s">
        <v>158</v>
      </c>
      <c r="C44" t="s">
        <v>44</v>
      </c>
      <c r="D44" t="s">
        <v>152</v>
      </c>
      <c r="E44" t="s">
        <v>145</v>
      </c>
      <c r="F44" t="s">
        <v>157</v>
      </c>
      <c r="G44" t="s">
        <v>28</v>
      </c>
      <c r="H44" t="s">
        <v>53</v>
      </c>
      <c r="I44" t="s">
        <v>135</v>
      </c>
      <c r="J44" t="s">
        <v>39</v>
      </c>
      <c r="K44" t="s">
        <v>28</v>
      </c>
      <c r="L44">
        <v>119.94727665486228</v>
      </c>
      <c r="M44">
        <v>1</v>
      </c>
      <c r="N44" s="2">
        <v>5.4884367997925141</v>
      </c>
      <c r="O44" s="2">
        <v>3.7403155854968446</v>
      </c>
      <c r="P44" s="1">
        <v>-1.6783636673275446</v>
      </c>
      <c r="Q44" s="1">
        <v>0.49614962194702583</v>
      </c>
      <c r="R44" s="1">
        <v>-1.446476902757875</v>
      </c>
      <c r="S44" s="19">
        <v>0</v>
      </c>
      <c r="T44" s="19">
        <v>0</v>
      </c>
      <c r="U44" s="19">
        <v>75.765006123966401</v>
      </c>
      <c r="V44" s="19">
        <v>120.7534532283414</v>
      </c>
      <c r="W44" s="19">
        <v>181.85162652633036</v>
      </c>
      <c r="X44" s="19">
        <v>260.90923899471295</v>
      </c>
      <c r="Y44" s="19">
        <v>358.47930882291001</v>
      </c>
      <c r="Z44" s="19">
        <v>473.25141481028578</v>
      </c>
      <c r="AA44" s="19">
        <v>601.64433510153117</v>
      </c>
      <c r="AB44" s="19">
        <v>737.75822958010997</v>
      </c>
      <c r="AC44" s="19">
        <v>873.86173533856754</v>
      </c>
      <c r="AD44" s="19">
        <v>1001.468705344526</v>
      </c>
      <c r="AE44" s="19">
        <v>1112.8452351342996</v>
      </c>
      <c r="AF44" s="19">
        <v>1202.5498236931232</v>
      </c>
      <c r="AG44" s="19">
        <v>1268.4812972896834</v>
      </c>
      <c r="AH44" s="19">
        <v>1315.6198390871764</v>
      </c>
      <c r="AI44" s="19">
        <v>1339.603560496706</v>
      </c>
      <c r="AJ44" s="19">
        <v>1357.8541838212832</v>
      </c>
      <c r="AK44" s="19">
        <v>1359.5354142689034</v>
      </c>
      <c r="AL44" s="19">
        <v>1355.6292093914501</v>
      </c>
      <c r="AM44" s="19">
        <v>1351.5913109999813</v>
      </c>
      <c r="AN44" s="19">
        <v>1347.4239199996164</v>
      </c>
      <c r="AO44" s="19">
        <v>1343.128890017832</v>
      </c>
      <c r="AP44" s="19">
        <v>1338.7076760389564</v>
      </c>
      <c r="AQ44" s="19">
        <v>1334.1612610101281</v>
      </c>
      <c r="AR44" s="19">
        <v>21712.87467512042</v>
      </c>
    </row>
    <row r="45" spans="1:44" x14ac:dyDescent="0.25">
      <c r="A45" t="s">
        <v>131</v>
      </c>
      <c r="B45" t="s">
        <v>158</v>
      </c>
      <c r="C45" t="s">
        <v>44</v>
      </c>
      <c r="D45" t="s">
        <v>152</v>
      </c>
      <c r="E45" t="s">
        <v>145</v>
      </c>
      <c r="F45" t="s">
        <v>157</v>
      </c>
      <c r="G45" t="s">
        <v>28</v>
      </c>
      <c r="H45" t="s">
        <v>54</v>
      </c>
      <c r="I45" t="s">
        <v>135</v>
      </c>
      <c r="J45" t="s">
        <v>39</v>
      </c>
      <c r="K45" t="s">
        <v>28</v>
      </c>
      <c r="L45">
        <v>119.94727665486228</v>
      </c>
      <c r="M45">
        <v>1</v>
      </c>
      <c r="N45" s="2">
        <v>5.4884367997925141</v>
      </c>
      <c r="O45" s="2">
        <v>3.7403155854968446</v>
      </c>
      <c r="P45" s="1">
        <v>-1.6783636673275446</v>
      </c>
      <c r="Q45" s="1">
        <v>0.49614962194702583</v>
      </c>
      <c r="R45" s="1">
        <v>-1.446476902757875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9">
        <v>0</v>
      </c>
      <c r="AL45" s="19">
        <v>0</v>
      </c>
      <c r="AM45" s="19">
        <v>0</v>
      </c>
      <c r="AN45" s="19">
        <v>0</v>
      </c>
      <c r="AO45" s="19">
        <v>0</v>
      </c>
      <c r="AP45" s="19">
        <v>0</v>
      </c>
      <c r="AQ45" s="19">
        <v>0</v>
      </c>
      <c r="AR45" s="19">
        <v>0</v>
      </c>
    </row>
    <row r="46" spans="1:44" x14ac:dyDescent="0.25">
      <c r="A46" t="s">
        <v>131</v>
      </c>
      <c r="B46" t="s">
        <v>158</v>
      </c>
      <c r="C46" t="s">
        <v>44</v>
      </c>
      <c r="D46" t="s">
        <v>152</v>
      </c>
      <c r="E46" t="s">
        <v>145</v>
      </c>
      <c r="F46" t="s">
        <v>157</v>
      </c>
      <c r="G46" t="s">
        <v>28</v>
      </c>
      <c r="H46" t="s">
        <v>141</v>
      </c>
      <c r="I46" t="s">
        <v>135</v>
      </c>
      <c r="J46" t="s">
        <v>39</v>
      </c>
      <c r="K46" t="s">
        <v>28</v>
      </c>
      <c r="L46">
        <v>119.94727665486228</v>
      </c>
      <c r="M46">
        <v>1</v>
      </c>
      <c r="N46" s="2">
        <v>5.4884367997925141</v>
      </c>
      <c r="O46" s="2">
        <v>3.7403155854968446</v>
      </c>
      <c r="P46" s="1">
        <v>-1.6783636673275446</v>
      </c>
      <c r="Q46" s="1">
        <v>0.49614962194702583</v>
      </c>
      <c r="R46" s="1">
        <v>-1.446476902757875</v>
      </c>
      <c r="S46" s="19">
        <v>0</v>
      </c>
      <c r="T46" s="19">
        <v>0</v>
      </c>
      <c r="U46" s="19">
        <v>63.768880154338383</v>
      </c>
      <c r="V46" s="19">
        <v>101.63415646718732</v>
      </c>
      <c r="W46" s="19">
        <v>153.05845232632802</v>
      </c>
      <c r="X46" s="19">
        <v>219.59860948721672</v>
      </c>
      <c r="Y46" s="19">
        <v>301.72008492594921</v>
      </c>
      <c r="Z46" s="19">
        <v>398.31994079865711</v>
      </c>
      <c r="AA46" s="19">
        <v>506.38398204378854</v>
      </c>
      <c r="AB46" s="19">
        <v>620.94650989659249</v>
      </c>
      <c r="AC46" s="19">
        <v>735.50029390996076</v>
      </c>
      <c r="AD46" s="19">
        <v>842.90282699830891</v>
      </c>
      <c r="AE46" s="19">
        <v>936.64473957136875</v>
      </c>
      <c r="AF46" s="19">
        <v>1012.1461016083786</v>
      </c>
      <c r="AG46" s="19">
        <v>1067.6384252188168</v>
      </c>
      <c r="AH46" s="19">
        <v>1107.31336456504</v>
      </c>
      <c r="AI46" s="19">
        <v>1127.4996634180609</v>
      </c>
      <c r="AJ46" s="19">
        <v>1142.8606047162464</v>
      </c>
      <c r="AK46" s="19">
        <v>1144.2756403429939</v>
      </c>
      <c r="AL46" s="19">
        <v>1140.9879179044699</v>
      </c>
      <c r="AM46" s="19">
        <v>1137.5893534249842</v>
      </c>
      <c r="AN46" s="19">
        <v>1134.0817993330102</v>
      </c>
      <c r="AO46" s="19">
        <v>1130.4668157650085</v>
      </c>
      <c r="AP46" s="19">
        <v>1126.7456273327882</v>
      </c>
      <c r="AQ46" s="19">
        <v>1122.9190613501908</v>
      </c>
      <c r="AR46" s="19">
        <v>18275.00285155969</v>
      </c>
    </row>
    <row r="47" spans="1:44" x14ac:dyDescent="0.25">
      <c r="A47" t="s">
        <v>131</v>
      </c>
      <c r="B47" t="s">
        <v>158</v>
      </c>
      <c r="C47" t="s">
        <v>44</v>
      </c>
      <c r="D47" t="s">
        <v>152</v>
      </c>
      <c r="E47" t="s">
        <v>145</v>
      </c>
      <c r="F47" t="s">
        <v>157</v>
      </c>
      <c r="G47" t="s">
        <v>28</v>
      </c>
      <c r="H47" t="s">
        <v>142</v>
      </c>
      <c r="I47" t="s">
        <v>135</v>
      </c>
      <c r="J47" t="s">
        <v>39</v>
      </c>
      <c r="K47" t="s">
        <v>28</v>
      </c>
      <c r="L47">
        <v>119.94727665486228</v>
      </c>
      <c r="M47">
        <v>1</v>
      </c>
      <c r="N47" s="2">
        <v>5.4884367997925141</v>
      </c>
      <c r="O47" s="2">
        <v>3.7403155854968446</v>
      </c>
      <c r="P47" s="1">
        <v>-1.6783636673275446</v>
      </c>
      <c r="Q47" s="1">
        <v>0.49614962194702583</v>
      </c>
      <c r="R47" s="1">
        <v>-1.446476902757875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19">
        <v>0</v>
      </c>
      <c r="AI47" s="19">
        <v>0</v>
      </c>
      <c r="AJ47" s="19">
        <v>0</v>
      </c>
      <c r="AK47" s="19">
        <v>0</v>
      </c>
      <c r="AL47" s="19">
        <v>0</v>
      </c>
      <c r="AM47" s="19">
        <v>0</v>
      </c>
      <c r="AN47" s="19">
        <v>0</v>
      </c>
      <c r="AO47" s="19">
        <v>0</v>
      </c>
      <c r="AP47" s="19">
        <v>0</v>
      </c>
      <c r="AQ47" s="19">
        <v>0</v>
      </c>
      <c r="AR47" s="19">
        <v>0</v>
      </c>
    </row>
    <row r="48" spans="1:44" x14ac:dyDescent="0.25">
      <c r="A48" t="s">
        <v>131</v>
      </c>
      <c r="B48" t="s">
        <v>159</v>
      </c>
      <c r="C48" t="s">
        <v>44</v>
      </c>
      <c r="D48" t="s">
        <v>152</v>
      </c>
      <c r="E48" t="s">
        <v>145</v>
      </c>
      <c r="F48" t="s">
        <v>157</v>
      </c>
      <c r="G48" t="s">
        <v>28</v>
      </c>
      <c r="H48" t="s">
        <v>55</v>
      </c>
      <c r="I48" t="s">
        <v>135</v>
      </c>
      <c r="J48" t="s">
        <v>39</v>
      </c>
      <c r="K48" t="s">
        <v>28</v>
      </c>
      <c r="L48">
        <v>119.94727665486228</v>
      </c>
      <c r="M48">
        <v>1</v>
      </c>
      <c r="N48" s="2">
        <v>5.4884367997925141</v>
      </c>
      <c r="O48" s="2">
        <v>3.7403155854968446</v>
      </c>
      <c r="P48" s="1">
        <v>-1.6783636673275446</v>
      </c>
      <c r="Q48" s="1">
        <v>0.49614962194702583</v>
      </c>
      <c r="R48" s="1">
        <v>-1.446476902757875</v>
      </c>
      <c r="S48" s="19">
        <v>0</v>
      </c>
      <c r="T48" s="19">
        <v>0</v>
      </c>
      <c r="U48" s="19">
        <v>4.8652098838404276</v>
      </c>
      <c r="V48" s="19">
        <v>7.7541192723344974</v>
      </c>
      <c r="W48" s="19">
        <v>11.677506226565098</v>
      </c>
      <c r="X48" s="19">
        <v>16.75414908916407</v>
      </c>
      <c r="Y48" s="19">
        <v>23.019559631313889</v>
      </c>
      <c r="Z48" s="19">
        <v>30.38958984718063</v>
      </c>
      <c r="AA48" s="19">
        <v>38.634273465288423</v>
      </c>
      <c r="AB48" s="19">
        <v>47.374755366150019</v>
      </c>
      <c r="AC48" s="19">
        <v>56.114570160831576</v>
      </c>
      <c r="AD48" s="19">
        <v>64.30878439614898</v>
      </c>
      <c r="AE48" s="19">
        <v>71.46076947847645</v>
      </c>
      <c r="AF48" s="19">
        <v>77.22110229186184</v>
      </c>
      <c r="AG48" s="19">
        <v>81.45485707402743</v>
      </c>
      <c r="AH48" s="19">
        <v>84.481833658543835</v>
      </c>
      <c r="AI48" s="19">
        <v>86.021935671628796</v>
      </c>
      <c r="AJ48" s="19">
        <v>87.193889816787845</v>
      </c>
      <c r="AK48" s="19">
        <v>87.301849142725118</v>
      </c>
      <c r="AL48" s="19">
        <v>87.05101425798955</v>
      </c>
      <c r="AM48" s="19">
        <v>86.791722743751791</v>
      </c>
      <c r="AN48" s="19">
        <v>86.524115929972496</v>
      </c>
      <c r="AO48" s="19">
        <v>86.248312846361898</v>
      </c>
      <c r="AP48" s="19">
        <v>85.964406923970685</v>
      </c>
      <c r="AQ48" s="19">
        <v>85.672461282230685</v>
      </c>
      <c r="AR48" s="19">
        <v>1394.2807884571459</v>
      </c>
    </row>
    <row r="49" spans="1:44" x14ac:dyDescent="0.25">
      <c r="A49" t="s">
        <v>131</v>
      </c>
      <c r="B49" t="s">
        <v>159</v>
      </c>
      <c r="C49" t="s">
        <v>44</v>
      </c>
      <c r="D49" t="s">
        <v>152</v>
      </c>
      <c r="E49" t="s">
        <v>145</v>
      </c>
      <c r="F49" t="s">
        <v>157</v>
      </c>
      <c r="G49" t="s">
        <v>28</v>
      </c>
      <c r="H49" t="s">
        <v>136</v>
      </c>
      <c r="I49" t="s">
        <v>135</v>
      </c>
      <c r="J49" t="s">
        <v>39</v>
      </c>
      <c r="K49" t="s">
        <v>28</v>
      </c>
      <c r="L49">
        <v>119.94727665486228</v>
      </c>
      <c r="M49">
        <v>1</v>
      </c>
      <c r="N49" s="2">
        <v>5.4884367997925141</v>
      </c>
      <c r="O49" s="2">
        <v>3.7403155854968446</v>
      </c>
      <c r="P49" s="1">
        <v>-1.6783636673275446</v>
      </c>
      <c r="Q49" s="1">
        <v>0.49614962194702583</v>
      </c>
      <c r="R49" s="1">
        <v>-1.446476902757875</v>
      </c>
      <c r="S49" s="19">
        <v>0</v>
      </c>
      <c r="T49" s="19">
        <v>0</v>
      </c>
      <c r="U49" s="19">
        <v>6.108541298599647</v>
      </c>
      <c r="V49" s="19">
        <v>9.7357275308199824</v>
      </c>
      <c r="W49" s="19">
        <v>14.661757817798396</v>
      </c>
      <c r="X49" s="19">
        <v>21.035764967506001</v>
      </c>
      <c r="Y49" s="19">
        <v>28.902335981538553</v>
      </c>
      <c r="Z49" s="19">
        <v>38.155818363682343</v>
      </c>
      <c r="AA49" s="19">
        <v>48.507476684195481</v>
      </c>
      <c r="AB49" s="19">
        <v>59.481637293055023</v>
      </c>
      <c r="AC49" s="19">
        <v>70.454960313044054</v>
      </c>
      <c r="AD49" s="19">
        <v>80.743251519609274</v>
      </c>
      <c r="AE49" s="19">
        <v>89.722966122975961</v>
      </c>
      <c r="AF49" s="19">
        <v>96.955383988670945</v>
      </c>
      <c r="AG49" s="19">
        <v>102.27109832627887</v>
      </c>
      <c r="AH49" s="19">
        <v>106.07163559350504</v>
      </c>
      <c r="AI49" s="19">
        <v>108.00531923215618</v>
      </c>
      <c r="AJ49" s="19">
        <v>109.47677276996694</v>
      </c>
      <c r="AK49" s="19">
        <v>109.61232170142152</v>
      </c>
      <c r="AL49" s="19">
        <v>109.29738456836463</v>
      </c>
      <c r="AM49" s="19">
        <v>108.97182966715503</v>
      </c>
      <c r="AN49" s="19">
        <v>108.63583444540994</v>
      </c>
      <c r="AO49" s="19">
        <v>108.28954835154327</v>
      </c>
      <c r="AP49" s="19">
        <v>107.9330886934298</v>
      </c>
      <c r="AQ49" s="19">
        <v>107.56653472102296</v>
      </c>
      <c r="AR49" s="19">
        <v>1750.5969899517502</v>
      </c>
    </row>
    <row r="50" spans="1:44" x14ac:dyDescent="0.25">
      <c r="A50" t="s">
        <v>131</v>
      </c>
      <c r="B50" t="s">
        <v>160</v>
      </c>
      <c r="C50" t="s">
        <v>44</v>
      </c>
      <c r="D50" t="s">
        <v>161</v>
      </c>
      <c r="E50" t="s">
        <v>134</v>
      </c>
      <c r="F50" t="s">
        <v>161</v>
      </c>
      <c r="G50" t="s">
        <v>28</v>
      </c>
      <c r="H50" t="s">
        <v>53</v>
      </c>
      <c r="I50" t="s">
        <v>135</v>
      </c>
      <c r="J50" t="s">
        <v>39</v>
      </c>
      <c r="K50" t="s">
        <v>28</v>
      </c>
      <c r="L50">
        <v>116.68</v>
      </c>
      <c r="M50">
        <v>1</v>
      </c>
      <c r="N50" s="2">
        <v>2.4250104789603242</v>
      </c>
      <c r="O50" s="2">
        <v>3.7403155854968455</v>
      </c>
      <c r="P50" s="1">
        <v>-1.0515961444114803</v>
      </c>
      <c r="Q50" s="1">
        <v>1.1229171448630897</v>
      </c>
      <c r="R50" s="1">
        <v>-1.4464769027578748</v>
      </c>
      <c r="S50" s="19">
        <v>4.996806850208344</v>
      </c>
      <c r="T50" s="19">
        <v>8.7386344594819718</v>
      </c>
      <c r="U50" s="19">
        <v>13.5829284060558</v>
      </c>
      <c r="V50" s="19">
        <v>18.998684815993645</v>
      </c>
      <c r="W50" s="19">
        <v>24.15452851005832</v>
      </c>
      <c r="X50" s="19">
        <v>28.146461062035588</v>
      </c>
      <c r="Y50" s="19">
        <v>30.270996905076661</v>
      </c>
      <c r="Z50" s="19">
        <v>30.226412578843316</v>
      </c>
      <c r="AA50" s="19">
        <v>28.166081565446081</v>
      </c>
      <c r="AB50" s="19">
        <v>24.602660058774205</v>
      </c>
      <c r="AC50" s="19">
        <v>20.223420265161607</v>
      </c>
      <c r="AD50" s="19">
        <v>15.698228011379893</v>
      </c>
      <c r="AE50" s="19">
        <v>11.542868845945854</v>
      </c>
      <c r="AF50" s="19">
        <v>8.0621288449176181</v>
      </c>
      <c r="AG50" s="19">
        <v>0.67791120541083949</v>
      </c>
      <c r="AH50" s="19">
        <v>0</v>
      </c>
      <c r="AI50" s="19">
        <v>0</v>
      </c>
      <c r="AJ50" s="19">
        <v>0</v>
      </c>
      <c r="AK50" s="19">
        <v>0</v>
      </c>
      <c r="AL50" s="19">
        <v>0</v>
      </c>
      <c r="AM50" s="19">
        <v>0</v>
      </c>
      <c r="AN50" s="19">
        <v>0</v>
      </c>
      <c r="AO50" s="19">
        <v>0</v>
      </c>
      <c r="AP50" s="19">
        <v>0</v>
      </c>
      <c r="AQ50" s="19">
        <v>0</v>
      </c>
      <c r="AR50" s="19">
        <v>268.0887523847897</v>
      </c>
    </row>
    <row r="51" spans="1:44" x14ac:dyDescent="0.25">
      <c r="A51" t="s">
        <v>131</v>
      </c>
      <c r="B51" t="s">
        <v>160</v>
      </c>
      <c r="C51" t="s">
        <v>44</v>
      </c>
      <c r="D51" t="s">
        <v>161</v>
      </c>
      <c r="E51" t="s">
        <v>134</v>
      </c>
      <c r="F51" t="s">
        <v>161</v>
      </c>
      <c r="G51" t="s">
        <v>28</v>
      </c>
      <c r="H51" t="s">
        <v>54</v>
      </c>
      <c r="I51" t="s">
        <v>135</v>
      </c>
      <c r="J51" t="s">
        <v>39</v>
      </c>
      <c r="K51" t="s">
        <v>28</v>
      </c>
      <c r="L51">
        <v>116.68</v>
      </c>
      <c r="M51">
        <v>1</v>
      </c>
      <c r="N51" s="2">
        <v>2.4250104789603242</v>
      </c>
      <c r="O51" s="2">
        <v>3.7403155854968455</v>
      </c>
      <c r="P51" s="1">
        <v>-1.0515961444114803</v>
      </c>
      <c r="Q51" s="1">
        <v>1.1229171448630897</v>
      </c>
      <c r="R51" s="1">
        <v>-1.4464769027578748</v>
      </c>
      <c r="S51" s="19">
        <v>6.6290970879430695</v>
      </c>
      <c r="T51" s="19">
        <v>11.593255049579415</v>
      </c>
      <c r="U51" s="19">
        <v>18.020018352034032</v>
      </c>
      <c r="V51" s="19">
        <v>25.204921855884905</v>
      </c>
      <c r="W51" s="19">
        <v>32.045007823344044</v>
      </c>
      <c r="X51" s="19">
        <v>37.340971675633888</v>
      </c>
      <c r="Y51" s="19">
        <v>40.159522560735049</v>
      </c>
      <c r="Z51" s="19">
        <v>40.100374021265473</v>
      </c>
      <c r="AA51" s="19">
        <v>37.36700154349181</v>
      </c>
      <c r="AB51" s="19">
        <v>32.639529011307118</v>
      </c>
      <c r="AC51" s="19">
        <v>26.829737551781065</v>
      </c>
      <c r="AD51" s="19">
        <v>20.826315828430655</v>
      </c>
      <c r="AE51" s="19">
        <v>15.313539335621501</v>
      </c>
      <c r="AF51" s="19">
        <v>10.695757600924038</v>
      </c>
      <c r="AG51" s="19">
        <v>0.89936219917836624</v>
      </c>
      <c r="AH51" s="19">
        <v>0</v>
      </c>
      <c r="AI51" s="19">
        <v>0</v>
      </c>
      <c r="AJ51" s="19">
        <v>0</v>
      </c>
      <c r="AK51" s="19">
        <v>0</v>
      </c>
      <c r="AL51" s="19">
        <v>0</v>
      </c>
      <c r="AM51" s="19">
        <v>0</v>
      </c>
      <c r="AN51" s="19">
        <v>0</v>
      </c>
      <c r="AO51" s="19">
        <v>0</v>
      </c>
      <c r="AP51" s="19">
        <v>0</v>
      </c>
      <c r="AQ51" s="19">
        <v>0</v>
      </c>
      <c r="AR51" s="19">
        <v>355.66441149715445</v>
      </c>
    </row>
    <row r="52" spans="1:44" x14ac:dyDescent="0.25">
      <c r="A52" t="s">
        <v>131</v>
      </c>
      <c r="B52" t="s">
        <v>160</v>
      </c>
      <c r="C52" t="s">
        <v>44</v>
      </c>
      <c r="D52" t="s">
        <v>161</v>
      </c>
      <c r="E52" t="s">
        <v>134</v>
      </c>
      <c r="F52" t="s">
        <v>161</v>
      </c>
      <c r="G52" t="s">
        <v>28</v>
      </c>
      <c r="H52" t="s">
        <v>141</v>
      </c>
      <c r="I52" t="s">
        <v>135</v>
      </c>
      <c r="J52" t="s">
        <v>39</v>
      </c>
      <c r="K52" t="s">
        <v>28</v>
      </c>
      <c r="L52">
        <v>116.68</v>
      </c>
      <c r="M52">
        <v>1</v>
      </c>
      <c r="N52" s="2">
        <v>2.4250104789603242</v>
      </c>
      <c r="O52" s="2">
        <v>3.7403155854968455</v>
      </c>
      <c r="P52" s="1">
        <v>-1.0515961444114803</v>
      </c>
      <c r="Q52" s="1">
        <v>1.1229171448630897</v>
      </c>
      <c r="R52" s="1">
        <v>-1.4464769027578748</v>
      </c>
      <c r="S52" s="19">
        <v>4.2056457655920232</v>
      </c>
      <c r="T52" s="19">
        <v>7.3550173367306595</v>
      </c>
      <c r="U52" s="19">
        <v>11.432298075096964</v>
      </c>
      <c r="V52" s="19">
        <v>15.990559720127983</v>
      </c>
      <c r="W52" s="19">
        <v>20.330061495965744</v>
      </c>
      <c r="X52" s="19">
        <v>23.689938060546616</v>
      </c>
      <c r="Y52" s="19">
        <v>25.478089061772856</v>
      </c>
      <c r="Z52" s="19">
        <v>25.440563920526458</v>
      </c>
      <c r="AA52" s="19">
        <v>23.706451984250439</v>
      </c>
      <c r="AB52" s="19">
        <v>20.707238882801619</v>
      </c>
      <c r="AC52" s="19">
        <v>17.021378723177683</v>
      </c>
      <c r="AD52" s="19">
        <v>13.212675242911407</v>
      </c>
      <c r="AE52" s="19">
        <v>9.715247945337758</v>
      </c>
      <c r="AF52" s="19">
        <v>6.7856251111389918</v>
      </c>
      <c r="AG52" s="19">
        <v>0.57057526455410201</v>
      </c>
      <c r="AH52" s="19">
        <v>0</v>
      </c>
      <c r="AI52" s="19">
        <v>0</v>
      </c>
      <c r="AJ52" s="19">
        <v>0</v>
      </c>
      <c r="AK52" s="19">
        <v>0</v>
      </c>
      <c r="AL52" s="19">
        <v>0</v>
      </c>
      <c r="AM52" s="19">
        <v>0</v>
      </c>
      <c r="AN52" s="19">
        <v>0</v>
      </c>
      <c r="AO52" s="19">
        <v>0</v>
      </c>
      <c r="AP52" s="19">
        <v>0</v>
      </c>
      <c r="AQ52" s="19">
        <v>0</v>
      </c>
      <c r="AR52" s="19">
        <v>225.64136659053128</v>
      </c>
    </row>
    <row r="53" spans="1:44" x14ac:dyDescent="0.25">
      <c r="A53" t="s">
        <v>131</v>
      </c>
      <c r="B53" t="s">
        <v>160</v>
      </c>
      <c r="C53" t="s">
        <v>44</v>
      </c>
      <c r="D53" t="s">
        <v>161</v>
      </c>
      <c r="E53" t="s">
        <v>134</v>
      </c>
      <c r="F53" t="s">
        <v>161</v>
      </c>
      <c r="G53" t="s">
        <v>28</v>
      </c>
      <c r="H53" t="s">
        <v>142</v>
      </c>
      <c r="I53" t="s">
        <v>135</v>
      </c>
      <c r="J53" t="s">
        <v>39</v>
      </c>
      <c r="K53" t="s">
        <v>28</v>
      </c>
      <c r="L53">
        <v>116.68</v>
      </c>
      <c r="M53">
        <v>1</v>
      </c>
      <c r="N53" s="2">
        <v>2.4250104789603242</v>
      </c>
      <c r="O53" s="2">
        <v>3.7403155854968455</v>
      </c>
      <c r="P53" s="1">
        <v>-1.0515961444114803</v>
      </c>
      <c r="Q53" s="1">
        <v>1.1229171448630897</v>
      </c>
      <c r="R53" s="1">
        <v>-1.4464769027578748</v>
      </c>
      <c r="S53" s="19">
        <v>5.313271284054875</v>
      </c>
      <c r="T53" s="19">
        <v>9.2920813085824978</v>
      </c>
      <c r="U53" s="19">
        <v>14.443180538439334</v>
      </c>
      <c r="V53" s="19">
        <v>20.20193485433991</v>
      </c>
      <c r="W53" s="19">
        <v>25.684315315695347</v>
      </c>
      <c r="X53" s="19">
        <v>29.929070262631175</v>
      </c>
      <c r="Y53" s="19">
        <v>32.188160042398195</v>
      </c>
      <c r="Z53" s="19">
        <v>32.140752042170071</v>
      </c>
      <c r="AA53" s="19">
        <v>29.949933397924333</v>
      </c>
      <c r="AB53" s="19">
        <v>26.160828529163247</v>
      </c>
      <c r="AC53" s="19">
        <v>21.50423688195518</v>
      </c>
      <c r="AD53" s="19">
        <v>16.692449118767289</v>
      </c>
      <c r="AE53" s="19">
        <v>12.27391720618909</v>
      </c>
      <c r="AF53" s="19">
        <v>8.5727303384290661</v>
      </c>
      <c r="AG53" s="19">
        <v>0.7208455817535655</v>
      </c>
      <c r="AH53" s="19">
        <v>0</v>
      </c>
      <c r="AI53" s="19">
        <v>0</v>
      </c>
      <c r="AJ53" s="19">
        <v>0</v>
      </c>
      <c r="AK53" s="19">
        <v>0</v>
      </c>
      <c r="AL53" s="19">
        <v>0</v>
      </c>
      <c r="AM53" s="19">
        <v>0</v>
      </c>
      <c r="AN53" s="19">
        <v>0</v>
      </c>
      <c r="AO53" s="19">
        <v>0</v>
      </c>
      <c r="AP53" s="19">
        <v>0</v>
      </c>
      <c r="AQ53" s="19">
        <v>0</v>
      </c>
      <c r="AR53" s="19">
        <v>285.06770670249313</v>
      </c>
    </row>
    <row r="54" spans="1:44" x14ac:dyDescent="0.25">
      <c r="A54" t="s">
        <v>131</v>
      </c>
      <c r="B54" t="s">
        <v>162</v>
      </c>
      <c r="C54" t="s">
        <v>44</v>
      </c>
      <c r="D54" t="s">
        <v>163</v>
      </c>
      <c r="E54" t="s">
        <v>134</v>
      </c>
      <c r="F54" t="s">
        <v>163</v>
      </c>
      <c r="G54" t="s">
        <v>28</v>
      </c>
      <c r="H54" t="s">
        <v>52</v>
      </c>
      <c r="I54" t="s">
        <v>135</v>
      </c>
      <c r="J54" t="s">
        <v>39</v>
      </c>
      <c r="K54" t="s">
        <v>28</v>
      </c>
      <c r="L54">
        <v>31.35</v>
      </c>
      <c r="M54">
        <v>1</v>
      </c>
      <c r="N54" s="2">
        <v>2.317075937792068</v>
      </c>
      <c r="O54" s="2">
        <v>3.8979006412011894</v>
      </c>
      <c r="P54" s="1">
        <v>-1.064501844170566</v>
      </c>
      <c r="Q54" s="1">
        <v>1.2247390996280272</v>
      </c>
      <c r="R54" s="1">
        <v>-1.561204557281898</v>
      </c>
      <c r="S54" s="19">
        <v>9482.1244723480104</v>
      </c>
      <c r="T54" s="19">
        <v>15631.31128417133</v>
      </c>
      <c r="U54" s="19">
        <v>23843.570466603793</v>
      </c>
      <c r="V54" s="19">
        <v>34348.997721361389</v>
      </c>
      <c r="W54" s="19">
        <v>46989.385808956169</v>
      </c>
      <c r="X54" s="19">
        <v>61233.990415956534</v>
      </c>
      <c r="Y54" s="19">
        <v>76089.445087401065</v>
      </c>
      <c r="Z54" s="19">
        <v>90085.427826162064</v>
      </c>
      <c r="AA54" s="19">
        <v>101402.1701104102</v>
      </c>
      <c r="AB54" s="19">
        <v>108147.73912629692</v>
      </c>
      <c r="AC54" s="19">
        <v>108793.10319795764</v>
      </c>
      <c r="AD54" s="19">
        <v>102660.65474230226</v>
      </c>
      <c r="AE54" s="19">
        <v>90287.47328611344</v>
      </c>
      <c r="AF54" s="19">
        <v>74637.244074805072</v>
      </c>
      <c r="AG54" s="19">
        <v>57018.712003071189</v>
      </c>
      <c r="AH54" s="19">
        <v>39125.902125618377</v>
      </c>
      <c r="AI54" s="19">
        <v>1792.960313855207</v>
      </c>
      <c r="AJ54" s="19">
        <v>1173.6381625294257</v>
      </c>
      <c r="AK54" s="19">
        <v>0</v>
      </c>
      <c r="AL54" s="19">
        <v>0</v>
      </c>
      <c r="AM54" s="19">
        <v>0</v>
      </c>
      <c r="AN54" s="19">
        <v>0</v>
      </c>
      <c r="AO54" s="19">
        <v>0</v>
      </c>
      <c r="AP54" s="19">
        <v>0</v>
      </c>
      <c r="AQ54" s="19">
        <v>0</v>
      </c>
      <c r="AR54" s="19">
        <v>1042743.8502259202</v>
      </c>
    </row>
    <row r="55" spans="1:44" x14ac:dyDescent="0.25">
      <c r="A55" t="s">
        <v>131</v>
      </c>
      <c r="B55" t="s">
        <v>162</v>
      </c>
      <c r="C55" t="s">
        <v>44</v>
      </c>
      <c r="D55" t="s">
        <v>163</v>
      </c>
      <c r="E55" t="s">
        <v>148</v>
      </c>
      <c r="F55" t="s">
        <v>163</v>
      </c>
      <c r="G55" t="s">
        <v>28</v>
      </c>
      <c r="H55" t="s">
        <v>52</v>
      </c>
      <c r="I55" t="s">
        <v>135</v>
      </c>
      <c r="J55" t="s">
        <v>39</v>
      </c>
      <c r="K55" t="s">
        <v>28</v>
      </c>
      <c r="L55">
        <v>31.35</v>
      </c>
      <c r="M55">
        <v>1</v>
      </c>
      <c r="N55" s="2">
        <v>2.317075937792068</v>
      </c>
      <c r="O55" s="2">
        <v>3.8979006412011894</v>
      </c>
      <c r="P55" s="1">
        <v>-1.064501844170566</v>
      </c>
      <c r="Q55" s="1">
        <v>1.2247390996280272</v>
      </c>
      <c r="R55" s="1">
        <v>-1.561204557281898</v>
      </c>
      <c r="S55" s="19">
        <v>73.293957269869466</v>
      </c>
      <c r="T55" s="19">
        <v>46.389642449939565</v>
      </c>
      <c r="U55" s="19">
        <v>121.46024862422132</v>
      </c>
      <c r="V55" s="19">
        <v>231.95145138535673</v>
      </c>
      <c r="W55" s="19">
        <v>389.41125574289839</v>
      </c>
      <c r="X55" s="19">
        <v>602.0472041926887</v>
      </c>
      <c r="Y55" s="19">
        <v>867.84646158598753</v>
      </c>
      <c r="Z55" s="19">
        <v>1193.6294574045062</v>
      </c>
      <c r="AA55" s="19">
        <v>1569.0049546921948</v>
      </c>
      <c r="AB55" s="19">
        <v>1975.1277741595895</v>
      </c>
      <c r="AC55" s="19">
        <v>2387.8922313772605</v>
      </c>
      <c r="AD55" s="19">
        <v>2776.2165750378977</v>
      </c>
      <c r="AE55" s="19">
        <v>3107.2690416795199</v>
      </c>
      <c r="AF55" s="19">
        <v>3352.0601312746167</v>
      </c>
      <c r="AG55" s="19">
        <v>3491.0713640394015</v>
      </c>
      <c r="AH55" s="19">
        <v>3518.0907200090351</v>
      </c>
      <c r="AI55" s="19">
        <v>3440.7334521509051</v>
      </c>
      <c r="AJ55" s="19">
        <v>3286.2934022711765</v>
      </c>
      <c r="AK55" s="19">
        <v>3056.6571455888597</v>
      </c>
      <c r="AL55" s="19">
        <v>2802.648232034333</v>
      </c>
      <c r="AM55" s="19">
        <v>2507.9028043583849</v>
      </c>
      <c r="AN55" s="19">
        <v>2201.1236272814276</v>
      </c>
      <c r="AO55" s="19">
        <v>1893.6642427234951</v>
      </c>
      <c r="AP55" s="19">
        <v>1585.635697826156</v>
      </c>
      <c r="AQ55" s="19">
        <v>1277.1679588275124</v>
      </c>
      <c r="AR55" s="19">
        <v>47754.589033987242</v>
      </c>
    </row>
    <row r="56" spans="1:44" x14ac:dyDescent="0.25">
      <c r="A56" t="s">
        <v>131</v>
      </c>
      <c r="B56" t="s">
        <v>162</v>
      </c>
      <c r="C56" t="s">
        <v>44</v>
      </c>
      <c r="D56" t="s">
        <v>163</v>
      </c>
      <c r="E56" t="s">
        <v>134</v>
      </c>
      <c r="F56" t="s">
        <v>163</v>
      </c>
      <c r="G56" t="s">
        <v>28</v>
      </c>
      <c r="H56" t="s">
        <v>55</v>
      </c>
      <c r="I56" t="s">
        <v>135</v>
      </c>
      <c r="J56" t="s">
        <v>39</v>
      </c>
      <c r="K56" t="s">
        <v>28</v>
      </c>
      <c r="L56">
        <v>31.35</v>
      </c>
      <c r="M56">
        <v>1</v>
      </c>
      <c r="N56" s="2">
        <v>2.317075937792068</v>
      </c>
      <c r="O56" s="2">
        <v>3.8979006412011894</v>
      </c>
      <c r="P56" s="1">
        <v>-1.064501844170566</v>
      </c>
      <c r="Q56" s="1">
        <v>1.2247390996280272</v>
      </c>
      <c r="R56" s="1">
        <v>-1.561204557281898</v>
      </c>
      <c r="S56" s="19">
        <v>17.978267624739576</v>
      </c>
      <c r="T56" s="19">
        <v>29.637229337367621</v>
      </c>
      <c r="U56" s="19">
        <v>45.207810995101966</v>
      </c>
      <c r="V56" s="19">
        <v>65.126277921902044</v>
      </c>
      <c r="W56" s="19">
        <v>89.092666528386545</v>
      </c>
      <c r="X56" s="19">
        <v>116.10067666156668</v>
      </c>
      <c r="Y56" s="19">
        <v>144.26686880018173</v>
      </c>
      <c r="Z56" s="19">
        <v>170.80348768579873</v>
      </c>
      <c r="AA56" s="19">
        <v>192.26022156645391</v>
      </c>
      <c r="AB56" s="19">
        <v>205.04993397767825</v>
      </c>
      <c r="AC56" s="19">
        <v>206.27355512181569</v>
      </c>
      <c r="AD56" s="19">
        <v>194.64632961426096</v>
      </c>
      <c r="AE56" s="19">
        <v>171.18656927916552</v>
      </c>
      <c r="AF56" s="19">
        <v>141.51347123347549</v>
      </c>
      <c r="AG56" s="19">
        <v>108.1084378293682</v>
      </c>
      <c r="AH56" s="19">
        <v>74.183369088335482</v>
      </c>
      <c r="AI56" s="19">
        <v>3.399482938346619</v>
      </c>
      <c r="AJ56" s="19">
        <v>2.225237713562386</v>
      </c>
      <c r="AK56" s="19">
        <v>0</v>
      </c>
      <c r="AL56" s="19">
        <v>0</v>
      </c>
      <c r="AM56" s="19">
        <v>0</v>
      </c>
      <c r="AN56" s="19">
        <v>0</v>
      </c>
      <c r="AO56" s="19">
        <v>0</v>
      </c>
      <c r="AP56" s="19">
        <v>0</v>
      </c>
      <c r="AQ56" s="19">
        <v>0</v>
      </c>
      <c r="AR56" s="19">
        <v>1977.0598939175072</v>
      </c>
    </row>
    <row r="57" spans="1:44" x14ac:dyDescent="0.25">
      <c r="A57" t="s">
        <v>131</v>
      </c>
      <c r="B57" t="s">
        <v>162</v>
      </c>
      <c r="C57" t="s">
        <v>44</v>
      </c>
      <c r="D57" t="s">
        <v>163</v>
      </c>
      <c r="E57" t="s">
        <v>148</v>
      </c>
      <c r="F57" t="s">
        <v>163</v>
      </c>
      <c r="G57" t="s">
        <v>28</v>
      </c>
      <c r="H57" t="s">
        <v>55</v>
      </c>
      <c r="I57" t="s">
        <v>135</v>
      </c>
      <c r="J57" t="s">
        <v>39</v>
      </c>
      <c r="K57" t="s">
        <v>28</v>
      </c>
      <c r="L57">
        <v>31.35</v>
      </c>
      <c r="M57">
        <v>1</v>
      </c>
      <c r="N57" s="2">
        <v>2.317075937792068</v>
      </c>
      <c r="O57" s="2">
        <v>3.8979006412011894</v>
      </c>
      <c r="P57" s="1">
        <v>-1.064501844170566</v>
      </c>
      <c r="Q57" s="1">
        <v>1.2247390996280272</v>
      </c>
      <c r="R57" s="1">
        <v>-1.561204557281898</v>
      </c>
      <c r="S57" s="19">
        <v>0.1389665768379906</v>
      </c>
      <c r="T57" s="19">
        <v>8.7955543023416211E-2</v>
      </c>
      <c r="U57" s="19">
        <v>0.23029067609285817</v>
      </c>
      <c r="V57" s="19">
        <v>0.43978385657281904</v>
      </c>
      <c r="W57" s="19">
        <v>0.7383302963642836</v>
      </c>
      <c r="X57" s="19">
        <v>1.1414916342078101</v>
      </c>
      <c r="Y57" s="19">
        <v>1.6454515007766684</v>
      </c>
      <c r="Z57" s="19">
        <v>2.263141545185495</v>
      </c>
      <c r="AA57" s="19">
        <v>2.9748598072361845</v>
      </c>
      <c r="AB57" s="19">
        <v>3.744875509750011</v>
      </c>
      <c r="AC57" s="19">
        <v>4.5274838692458559</v>
      </c>
      <c r="AD57" s="19">
        <v>5.2637533620047261</v>
      </c>
      <c r="AE57" s="19">
        <v>5.8914344118021535</v>
      </c>
      <c r="AF57" s="19">
        <v>6.3555624385673006</v>
      </c>
      <c r="AG57" s="19">
        <v>6.6191300760496317</v>
      </c>
      <c r="AH57" s="19">
        <v>6.6703592298207015</v>
      </c>
      <c r="AI57" s="19">
        <v>6.5236885477042907</v>
      </c>
      <c r="AJ57" s="19">
        <v>6.2308676132382201</v>
      </c>
      <c r="AK57" s="19">
        <v>5.7954734047971712</v>
      </c>
      <c r="AL57" s="19">
        <v>5.313868228629044</v>
      </c>
      <c r="AM57" s="19">
        <v>4.7550259359151443</v>
      </c>
      <c r="AN57" s="19">
        <v>4.1733674517566826</v>
      </c>
      <c r="AO57" s="19">
        <v>3.5904192827636039</v>
      </c>
      <c r="AP57" s="19">
        <v>3.0063919761855407</v>
      </c>
      <c r="AQ57" s="19">
        <v>2.421531950197835</v>
      </c>
      <c r="AR57" s="19">
        <v>90.543504724725423</v>
      </c>
    </row>
    <row r="58" spans="1:44" x14ac:dyDescent="0.25">
      <c r="A58" t="s">
        <v>131</v>
      </c>
      <c r="B58" t="s">
        <v>162</v>
      </c>
      <c r="C58" t="s">
        <v>44</v>
      </c>
      <c r="D58" t="s">
        <v>163</v>
      </c>
      <c r="E58" t="s">
        <v>134</v>
      </c>
      <c r="F58" t="s">
        <v>163</v>
      </c>
      <c r="G58" t="s">
        <v>28</v>
      </c>
      <c r="H58" t="s">
        <v>138</v>
      </c>
      <c r="I58" t="s">
        <v>135</v>
      </c>
      <c r="J58" t="s">
        <v>39</v>
      </c>
      <c r="K58" t="s">
        <v>28</v>
      </c>
      <c r="L58">
        <v>31.35</v>
      </c>
      <c r="M58">
        <v>1</v>
      </c>
      <c r="N58" s="2">
        <v>2.317075937792068</v>
      </c>
      <c r="O58" s="2">
        <v>3.8979006412011894</v>
      </c>
      <c r="P58" s="1">
        <v>-1.064501844170566</v>
      </c>
      <c r="Q58" s="1">
        <v>1.2247390996280272</v>
      </c>
      <c r="R58" s="1">
        <v>-1.561204557281898</v>
      </c>
      <c r="S58" s="19">
        <v>3289.188392645191</v>
      </c>
      <c r="T58" s="19">
        <v>5422.2371566262182</v>
      </c>
      <c r="U58" s="19">
        <v>8270.9307863104495</v>
      </c>
      <c r="V58" s="19">
        <v>11915.085583781758</v>
      </c>
      <c r="W58" s="19">
        <v>16299.822137018748</v>
      </c>
      <c r="X58" s="19">
        <v>21241.03423224068</v>
      </c>
      <c r="Y58" s="19">
        <v>26394.139869619281</v>
      </c>
      <c r="Z58" s="19">
        <v>31249.10924934475</v>
      </c>
      <c r="AA58" s="19">
        <v>35174.695490324433</v>
      </c>
      <c r="AB58" s="19">
        <v>37514.619140719988</v>
      </c>
      <c r="AC58" s="19">
        <v>37738.485007459778</v>
      </c>
      <c r="AD58" s="19">
        <v>35611.242495756916</v>
      </c>
      <c r="AE58" s="19">
        <v>31319.195397612137</v>
      </c>
      <c r="AF58" s="19">
        <v>25890.395932451203</v>
      </c>
      <c r="AG58" s="19">
        <v>19778.825539677819</v>
      </c>
      <c r="AH58" s="19">
        <v>13572.112821198592</v>
      </c>
      <c r="AI58" s="19">
        <v>621.94756776333361</v>
      </c>
      <c r="AJ58" s="19">
        <v>407.11520214850191</v>
      </c>
      <c r="AK58" s="19">
        <v>0</v>
      </c>
      <c r="AL58" s="19">
        <v>0</v>
      </c>
      <c r="AM58" s="19">
        <v>0</v>
      </c>
      <c r="AN58" s="19">
        <v>0</v>
      </c>
      <c r="AO58" s="19">
        <v>0</v>
      </c>
      <c r="AP58" s="19">
        <v>0</v>
      </c>
      <c r="AQ58" s="19">
        <v>0</v>
      </c>
      <c r="AR58" s="19">
        <v>361710.1820026997</v>
      </c>
    </row>
    <row r="59" spans="1:44" x14ac:dyDescent="0.25">
      <c r="A59" t="s">
        <v>131</v>
      </c>
      <c r="B59" t="s">
        <v>162</v>
      </c>
      <c r="C59" t="s">
        <v>44</v>
      </c>
      <c r="D59" t="s">
        <v>163</v>
      </c>
      <c r="E59" t="s">
        <v>148</v>
      </c>
      <c r="F59" t="s">
        <v>163</v>
      </c>
      <c r="G59" t="s">
        <v>28</v>
      </c>
      <c r="H59" t="s">
        <v>138</v>
      </c>
      <c r="I59" t="s">
        <v>135</v>
      </c>
      <c r="J59" t="s">
        <v>39</v>
      </c>
      <c r="K59" t="s">
        <v>28</v>
      </c>
      <c r="L59">
        <v>31.35</v>
      </c>
      <c r="M59">
        <v>1</v>
      </c>
      <c r="N59" s="2">
        <v>2.317075937792068</v>
      </c>
      <c r="O59" s="2">
        <v>3.8979006412011894</v>
      </c>
      <c r="P59" s="1">
        <v>-1.064501844170566</v>
      </c>
      <c r="Q59" s="1">
        <v>1.2247390996280272</v>
      </c>
      <c r="R59" s="1">
        <v>-1.561204557281898</v>
      </c>
      <c r="S59" s="19">
        <v>25.424432489377612</v>
      </c>
      <c r="T59" s="19">
        <v>16.091781322874599</v>
      </c>
      <c r="U59" s="19">
        <v>42.132503228325611</v>
      </c>
      <c r="V59" s="19">
        <v>80.460030215675914</v>
      </c>
      <c r="W59" s="19">
        <v>135.08016964870745</v>
      </c>
      <c r="X59" s="19">
        <v>208.83997901840689</v>
      </c>
      <c r="Y59" s="19">
        <v>301.0412399005333</v>
      </c>
      <c r="Z59" s="19">
        <v>414.04984377325752</v>
      </c>
      <c r="AA59" s="19">
        <v>544.2612465198348</v>
      </c>
      <c r="AB59" s="19">
        <v>685.1383746018422</v>
      </c>
      <c r="AC59" s="19">
        <v>828.31937433835253</v>
      </c>
      <c r="AD59" s="19">
        <v>963.02251259339232</v>
      </c>
      <c r="AE59" s="19">
        <v>1077.8590066522479</v>
      </c>
      <c r="AF59" s="19">
        <v>1162.7728899140909</v>
      </c>
      <c r="AG59" s="19">
        <v>1210.9935323018367</v>
      </c>
      <c r="AH59" s="19">
        <v>1220.3660892948644</v>
      </c>
      <c r="AI59" s="19">
        <v>1193.5321631776001</v>
      </c>
      <c r="AJ59" s="19">
        <v>1139.9595254311428</v>
      </c>
      <c r="AK59" s="19">
        <v>1060.3025970484057</v>
      </c>
      <c r="AL59" s="19">
        <v>972.19120676571845</v>
      </c>
      <c r="AM59" s="19">
        <v>869.94900963743396</v>
      </c>
      <c r="AN59" s="19">
        <v>763.53250864237475</v>
      </c>
      <c r="AO59" s="19">
        <v>656.88005519199646</v>
      </c>
      <c r="AP59" s="19">
        <v>550.03016965904635</v>
      </c>
      <c r="AQ59" s="19">
        <v>443.02793513039683</v>
      </c>
      <c r="AR59" s="19">
        <v>16565.258176497733</v>
      </c>
    </row>
    <row r="60" spans="1:44" x14ac:dyDescent="0.25">
      <c r="A60" t="s">
        <v>131</v>
      </c>
      <c r="B60" t="s">
        <v>162</v>
      </c>
      <c r="C60" t="s">
        <v>44</v>
      </c>
      <c r="D60" t="s">
        <v>163</v>
      </c>
      <c r="E60" t="s">
        <v>134</v>
      </c>
      <c r="F60" t="s">
        <v>163</v>
      </c>
      <c r="G60" t="s">
        <v>28</v>
      </c>
      <c r="H60" t="s">
        <v>136</v>
      </c>
      <c r="I60" t="s">
        <v>135</v>
      </c>
      <c r="J60" t="s">
        <v>39</v>
      </c>
      <c r="K60" t="s">
        <v>28</v>
      </c>
      <c r="L60">
        <v>31.35</v>
      </c>
      <c r="M60">
        <v>1</v>
      </c>
      <c r="N60" s="2">
        <v>2.317075937792068</v>
      </c>
      <c r="O60" s="2">
        <v>3.8979006412011894</v>
      </c>
      <c r="P60" s="1">
        <v>-1.064501844170566</v>
      </c>
      <c r="Q60" s="1">
        <v>1.2247390996280272</v>
      </c>
      <c r="R60" s="1">
        <v>-1.561204557281898</v>
      </c>
      <c r="S60" s="19">
        <v>22.572713795506363</v>
      </c>
      <c r="T60" s="19">
        <v>37.211187945806024</v>
      </c>
      <c r="U60" s="19">
        <v>56.760918249405805</v>
      </c>
      <c r="V60" s="19">
        <v>81.769660057499195</v>
      </c>
      <c r="W60" s="19">
        <v>111.8607924189742</v>
      </c>
      <c r="X60" s="19">
        <v>145.77084958618934</v>
      </c>
      <c r="Y60" s="19">
        <v>181.13506860467265</v>
      </c>
      <c r="Z60" s="19">
        <v>214.45326787216948</v>
      </c>
      <c r="AA60" s="19">
        <v>241.39338930010331</v>
      </c>
      <c r="AB60" s="19">
        <v>257.45158377197373</v>
      </c>
      <c r="AC60" s="19">
        <v>258.98790809739069</v>
      </c>
      <c r="AD60" s="19">
        <v>244.3892805156832</v>
      </c>
      <c r="AE60" s="19">
        <v>214.93424809495221</v>
      </c>
      <c r="AF60" s="19">
        <v>177.67802499314146</v>
      </c>
      <c r="AG60" s="19">
        <v>135.73614971909558</v>
      </c>
      <c r="AH60" s="19">
        <v>93.141341188687349</v>
      </c>
      <c r="AI60" s="19">
        <v>4.2682396892574213</v>
      </c>
      <c r="AJ60" s="19">
        <v>2.7939095736949948</v>
      </c>
      <c r="AK60" s="19">
        <v>0</v>
      </c>
      <c r="AL60" s="19">
        <v>0</v>
      </c>
      <c r="AM60" s="19">
        <v>0</v>
      </c>
      <c r="AN60" s="19">
        <v>0</v>
      </c>
      <c r="AO60" s="19">
        <v>0</v>
      </c>
      <c r="AP60" s="19">
        <v>0</v>
      </c>
      <c r="AQ60" s="19">
        <v>0</v>
      </c>
      <c r="AR60" s="19">
        <v>2482.3085334742032</v>
      </c>
    </row>
    <row r="61" spans="1:44" x14ac:dyDescent="0.25">
      <c r="A61" t="s">
        <v>131</v>
      </c>
      <c r="B61" t="s">
        <v>162</v>
      </c>
      <c r="C61" t="s">
        <v>44</v>
      </c>
      <c r="D61" t="s">
        <v>163</v>
      </c>
      <c r="E61" t="s">
        <v>148</v>
      </c>
      <c r="F61" t="s">
        <v>163</v>
      </c>
      <c r="G61" t="s">
        <v>28</v>
      </c>
      <c r="H61" t="s">
        <v>136</v>
      </c>
      <c r="I61" t="s">
        <v>135</v>
      </c>
      <c r="J61" t="s">
        <v>39</v>
      </c>
      <c r="K61" t="s">
        <v>28</v>
      </c>
      <c r="L61">
        <v>31.35</v>
      </c>
      <c r="M61">
        <v>1</v>
      </c>
      <c r="N61" s="2">
        <v>2.317075937792068</v>
      </c>
      <c r="O61" s="2">
        <v>3.8979006412011894</v>
      </c>
      <c r="P61" s="1">
        <v>-1.064501844170566</v>
      </c>
      <c r="Q61" s="1">
        <v>1.2247390996280272</v>
      </c>
      <c r="R61" s="1">
        <v>-1.561204557281898</v>
      </c>
      <c r="S61" s="19">
        <v>0.17448025758547706</v>
      </c>
      <c r="T61" s="19">
        <v>0.11043307068495588</v>
      </c>
      <c r="U61" s="19">
        <v>0.28914273776103305</v>
      </c>
      <c r="V61" s="19">
        <v>0.55217306436365043</v>
      </c>
      <c r="W61" s="19">
        <v>0.92701470543515696</v>
      </c>
      <c r="X61" s="19">
        <v>1.433206162949805</v>
      </c>
      <c r="Y61" s="19">
        <v>2.0659557731973708</v>
      </c>
      <c r="Z61" s="19">
        <v>2.8414999400662313</v>
      </c>
      <c r="AA61" s="19">
        <v>3.735101757974316</v>
      </c>
      <c r="AB61" s="19">
        <v>4.7018992511305751</v>
      </c>
      <c r="AC61" s="19">
        <v>5.6845075247197903</v>
      </c>
      <c r="AD61" s="19">
        <v>6.6089347767392645</v>
      </c>
      <c r="AE61" s="19">
        <v>7.3970232059293934</v>
      </c>
      <c r="AF61" s="19">
        <v>7.979761728423429</v>
      </c>
      <c r="AG61" s="19">
        <v>8.3106855399289561</v>
      </c>
      <c r="AH61" s="19">
        <v>8.3750065885526048</v>
      </c>
      <c r="AI61" s="19">
        <v>8.1908533987842471</v>
      </c>
      <c r="AJ61" s="19">
        <v>7.823200447732523</v>
      </c>
      <c r="AK61" s="19">
        <v>7.2765388304675245</v>
      </c>
      <c r="AL61" s="19">
        <v>6.6718567759453853</v>
      </c>
      <c r="AM61" s="19">
        <v>5.9701992306489107</v>
      </c>
      <c r="AN61" s="19">
        <v>5.2398946894279392</v>
      </c>
      <c r="AO61" s="19">
        <v>4.5079708772476375</v>
      </c>
      <c r="AP61" s="19">
        <v>3.7746921478773681</v>
      </c>
      <c r="AQ61" s="19">
        <v>3.0403678930261302</v>
      </c>
      <c r="AR61" s="19">
        <v>113.68240037659967</v>
      </c>
    </row>
    <row r="62" spans="1:44" x14ac:dyDescent="0.25">
      <c r="A62" t="s">
        <v>131</v>
      </c>
      <c r="B62" t="s">
        <v>164</v>
      </c>
      <c r="C62" t="s">
        <v>44</v>
      </c>
      <c r="D62" t="s">
        <v>163</v>
      </c>
      <c r="E62" t="s">
        <v>134</v>
      </c>
      <c r="F62" t="s">
        <v>163</v>
      </c>
      <c r="G62" t="s">
        <v>28</v>
      </c>
      <c r="H62" t="s">
        <v>53</v>
      </c>
      <c r="I62" t="s">
        <v>135</v>
      </c>
      <c r="J62" t="s">
        <v>39</v>
      </c>
      <c r="K62" t="s">
        <v>28</v>
      </c>
      <c r="L62">
        <v>14.12</v>
      </c>
      <c r="M62">
        <v>1</v>
      </c>
      <c r="N62" s="2">
        <v>1.2200849202442123</v>
      </c>
      <c r="O62" s="2">
        <v>3.9167290139736792</v>
      </c>
      <c r="P62" s="1">
        <v>3.4201124712622752E-2</v>
      </c>
      <c r="Q62" s="1">
        <v>2.3371498089884883</v>
      </c>
      <c r="R62" s="1">
        <v>-1.5749122977591703</v>
      </c>
      <c r="S62" s="19">
        <v>148.08880516762602</v>
      </c>
      <c r="T62" s="19">
        <v>251.19120082339333</v>
      </c>
      <c r="U62" s="19">
        <v>387.50874966393138</v>
      </c>
      <c r="V62" s="19">
        <v>565.60760985906722</v>
      </c>
      <c r="W62" s="19">
        <v>783.71000178485883</v>
      </c>
      <c r="X62" s="19">
        <v>1033.6025841474252</v>
      </c>
      <c r="Y62" s="19">
        <v>1298.5605710553027</v>
      </c>
      <c r="Z62" s="19">
        <v>1552.6287587952756</v>
      </c>
      <c r="AA62" s="19">
        <v>1762.9296033865571</v>
      </c>
      <c r="AB62" s="19">
        <v>1894.3854160471551</v>
      </c>
      <c r="AC62" s="19">
        <v>1917.782661306218</v>
      </c>
      <c r="AD62" s="19">
        <v>1819.0543497927799</v>
      </c>
      <c r="AE62" s="19">
        <v>1606.3451748997193</v>
      </c>
      <c r="AF62" s="19">
        <v>1332.018807540097</v>
      </c>
      <c r="AG62" s="19">
        <v>1019.8878748078608</v>
      </c>
      <c r="AH62" s="19">
        <v>701.61953319073586</v>
      </c>
      <c r="AI62" s="19">
        <v>86.246092577206326</v>
      </c>
      <c r="AJ62" s="19">
        <v>56.455073118717927</v>
      </c>
      <c r="AK62" s="19">
        <v>0</v>
      </c>
      <c r="AL62" s="19">
        <v>0</v>
      </c>
      <c r="AM62" s="19">
        <v>0</v>
      </c>
      <c r="AN62" s="19">
        <v>0</v>
      </c>
      <c r="AO62" s="19">
        <v>0</v>
      </c>
      <c r="AP62" s="19">
        <v>0</v>
      </c>
      <c r="AQ62" s="19">
        <v>0</v>
      </c>
      <c r="AR62" s="19">
        <v>18217.622867963928</v>
      </c>
    </row>
    <row r="63" spans="1:44" x14ac:dyDescent="0.25">
      <c r="A63" t="s">
        <v>131</v>
      </c>
      <c r="B63" t="s">
        <v>164</v>
      </c>
      <c r="C63" t="s">
        <v>44</v>
      </c>
      <c r="D63" t="s">
        <v>163</v>
      </c>
      <c r="E63" t="s">
        <v>148</v>
      </c>
      <c r="F63" t="s">
        <v>163</v>
      </c>
      <c r="G63" t="s">
        <v>28</v>
      </c>
      <c r="H63" t="s">
        <v>53</v>
      </c>
      <c r="I63" t="s">
        <v>135</v>
      </c>
      <c r="J63" t="s">
        <v>39</v>
      </c>
      <c r="K63" t="s">
        <v>28</v>
      </c>
      <c r="L63">
        <v>14.12</v>
      </c>
      <c r="M63">
        <v>1</v>
      </c>
      <c r="N63" s="2">
        <v>1.2200849202442123</v>
      </c>
      <c r="O63" s="2">
        <v>3.9167290139736792</v>
      </c>
      <c r="P63" s="1">
        <v>3.4201124712622752E-2</v>
      </c>
      <c r="Q63" s="1">
        <v>2.3371498089884883</v>
      </c>
      <c r="R63" s="1">
        <v>-1.5749122977591703</v>
      </c>
      <c r="S63" s="19">
        <v>3.5256315352875451</v>
      </c>
      <c r="T63" s="19">
        <v>2.2314634442511632</v>
      </c>
      <c r="U63" s="19">
        <v>5.8425564505501129</v>
      </c>
      <c r="V63" s="19">
        <v>11.157473032174618</v>
      </c>
      <c r="W63" s="19">
        <v>18.731702511135698</v>
      </c>
      <c r="X63" s="19">
        <v>28.960049203210712</v>
      </c>
      <c r="Y63" s="19">
        <v>41.745690459711177</v>
      </c>
      <c r="Z63" s="19">
        <v>57.416706823162187</v>
      </c>
      <c r="AA63" s="19">
        <v>75.473252548191212</v>
      </c>
      <c r="AB63" s="19">
        <v>95.008825095352947</v>
      </c>
      <c r="AC63" s="19">
        <v>114.86387783393238</v>
      </c>
      <c r="AD63" s="19">
        <v>133.5432970238235</v>
      </c>
      <c r="AE63" s="19">
        <v>149.4677887514153</v>
      </c>
      <c r="AF63" s="19">
        <v>161.24288204943772</v>
      </c>
      <c r="AG63" s="19">
        <v>167.92968685914295</v>
      </c>
      <c r="AH63" s="19">
        <v>169.22938873113867</v>
      </c>
      <c r="AI63" s="19">
        <v>165.50830130178846</v>
      </c>
      <c r="AJ63" s="19">
        <v>158.07932993157752</v>
      </c>
      <c r="AK63" s="19">
        <v>147.03322383549934</v>
      </c>
      <c r="AL63" s="19">
        <v>134.81472903414743</v>
      </c>
      <c r="AM63" s="19">
        <v>120.6367010847309</v>
      </c>
      <c r="AN63" s="19">
        <v>105.87981823434556</v>
      </c>
      <c r="AO63" s="19">
        <v>91.090215620499762</v>
      </c>
      <c r="AP63" s="19">
        <v>76.273234901888046</v>
      </c>
      <c r="AQ63" s="19">
        <v>61.435127795347789</v>
      </c>
      <c r="AR63" s="19">
        <v>2297.1209540917425</v>
      </c>
    </row>
    <row r="64" spans="1:44" x14ac:dyDescent="0.25">
      <c r="A64" t="s">
        <v>131</v>
      </c>
      <c r="B64" t="s">
        <v>164</v>
      </c>
      <c r="C64" t="s">
        <v>44</v>
      </c>
      <c r="D64" t="s">
        <v>163</v>
      </c>
      <c r="E64" t="s">
        <v>134</v>
      </c>
      <c r="F64" t="s">
        <v>163</v>
      </c>
      <c r="G64" t="s">
        <v>28</v>
      </c>
      <c r="H64" t="s">
        <v>54</v>
      </c>
      <c r="I64" t="s">
        <v>135</v>
      </c>
      <c r="J64" t="s">
        <v>39</v>
      </c>
      <c r="K64" t="s">
        <v>28</v>
      </c>
      <c r="L64">
        <v>14.12</v>
      </c>
      <c r="M64">
        <v>1</v>
      </c>
      <c r="N64" s="2">
        <v>1.2200849202442123</v>
      </c>
      <c r="O64" s="2">
        <v>3.9167290139736792</v>
      </c>
      <c r="P64" s="1">
        <v>3.4201124712622752E-2</v>
      </c>
      <c r="Q64" s="1">
        <v>2.3371498089884883</v>
      </c>
      <c r="R64" s="1">
        <v>-1.5749122977591703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19">
        <v>0</v>
      </c>
      <c r="AI64" s="19">
        <v>0</v>
      </c>
      <c r="AJ64" s="19">
        <v>0</v>
      </c>
      <c r="AK64" s="19">
        <v>0</v>
      </c>
      <c r="AL64" s="19">
        <v>0</v>
      </c>
      <c r="AM64" s="19">
        <v>0</v>
      </c>
      <c r="AN64" s="19">
        <v>0</v>
      </c>
      <c r="AO64" s="19">
        <v>0</v>
      </c>
      <c r="AP64" s="19">
        <v>0</v>
      </c>
      <c r="AQ64" s="19">
        <v>0</v>
      </c>
      <c r="AR64" s="19">
        <v>0</v>
      </c>
    </row>
    <row r="65" spans="1:44" x14ac:dyDescent="0.25">
      <c r="A65" t="s">
        <v>131</v>
      </c>
      <c r="B65" t="s">
        <v>164</v>
      </c>
      <c r="C65" t="s">
        <v>44</v>
      </c>
      <c r="D65" t="s">
        <v>163</v>
      </c>
      <c r="E65" t="s">
        <v>148</v>
      </c>
      <c r="F65" t="s">
        <v>163</v>
      </c>
      <c r="G65" t="s">
        <v>28</v>
      </c>
      <c r="H65" t="s">
        <v>54</v>
      </c>
      <c r="I65" t="s">
        <v>135</v>
      </c>
      <c r="J65" t="s">
        <v>39</v>
      </c>
      <c r="K65" t="s">
        <v>28</v>
      </c>
      <c r="L65">
        <v>14.12</v>
      </c>
      <c r="M65">
        <v>1</v>
      </c>
      <c r="N65" s="2">
        <v>1.2200849202442123</v>
      </c>
      <c r="O65" s="2">
        <v>3.9167290139736792</v>
      </c>
      <c r="P65" s="1">
        <v>3.4201124712622752E-2</v>
      </c>
      <c r="Q65" s="1">
        <v>2.3371498089884883</v>
      </c>
      <c r="R65" s="1">
        <v>-1.5749122977591703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19">
        <v>0</v>
      </c>
      <c r="AI65" s="19">
        <v>0</v>
      </c>
      <c r="AJ65" s="19">
        <v>0</v>
      </c>
      <c r="AK65" s="19">
        <v>0</v>
      </c>
      <c r="AL65" s="19">
        <v>0</v>
      </c>
      <c r="AM65" s="19">
        <v>0</v>
      </c>
      <c r="AN65" s="19">
        <v>0</v>
      </c>
      <c r="AO65" s="19">
        <v>0</v>
      </c>
      <c r="AP65" s="19">
        <v>0</v>
      </c>
      <c r="AQ65" s="19">
        <v>0</v>
      </c>
      <c r="AR65" s="19">
        <v>0</v>
      </c>
    </row>
    <row r="66" spans="1:44" x14ac:dyDescent="0.25">
      <c r="A66" t="s">
        <v>131</v>
      </c>
      <c r="B66" t="s">
        <v>164</v>
      </c>
      <c r="C66" t="s">
        <v>44</v>
      </c>
      <c r="D66" t="s">
        <v>163</v>
      </c>
      <c r="E66" t="s">
        <v>134</v>
      </c>
      <c r="F66" t="s">
        <v>163</v>
      </c>
      <c r="G66" t="s">
        <v>28</v>
      </c>
      <c r="H66" t="s">
        <v>141</v>
      </c>
      <c r="I66" t="s">
        <v>135</v>
      </c>
      <c r="J66" t="s">
        <v>39</v>
      </c>
      <c r="K66" t="s">
        <v>28</v>
      </c>
      <c r="L66">
        <v>14.12</v>
      </c>
      <c r="M66">
        <v>1</v>
      </c>
      <c r="N66" s="2">
        <v>1.2200849202442123</v>
      </c>
      <c r="O66" s="2">
        <v>3.9167290139736792</v>
      </c>
      <c r="P66" s="1">
        <v>3.4201124712622752E-2</v>
      </c>
      <c r="Q66" s="1">
        <v>2.3371498089884883</v>
      </c>
      <c r="R66" s="1">
        <v>-1.5749122977591703</v>
      </c>
      <c r="S66" s="19">
        <v>124.64141101608526</v>
      </c>
      <c r="T66" s="19">
        <v>211.41926069302264</v>
      </c>
      <c r="U66" s="19">
        <v>326.15319763380882</v>
      </c>
      <c r="V66" s="19">
        <v>476.0530716313815</v>
      </c>
      <c r="W66" s="19">
        <v>659.62258483558924</v>
      </c>
      <c r="X66" s="19">
        <v>869.94884165741598</v>
      </c>
      <c r="Y66" s="19">
        <v>1092.9551473048791</v>
      </c>
      <c r="Z66" s="19">
        <v>1306.7958719860237</v>
      </c>
      <c r="AA66" s="19">
        <v>1483.7990828503521</v>
      </c>
      <c r="AB66" s="19">
        <v>1594.4410585063551</v>
      </c>
      <c r="AC66" s="19">
        <v>1614.1337399327333</v>
      </c>
      <c r="AD66" s="19">
        <v>1531.0374110755893</v>
      </c>
      <c r="AE66" s="19">
        <v>1352.0071888739301</v>
      </c>
      <c r="AF66" s="19">
        <v>1121.1158296795811</v>
      </c>
      <c r="AG66" s="19">
        <v>858.40562796328254</v>
      </c>
      <c r="AH66" s="19">
        <v>590.52977376886781</v>
      </c>
      <c r="AI66" s="19">
        <v>72.590461252481973</v>
      </c>
      <c r="AJ66" s="19">
        <v>47.516353208254245</v>
      </c>
      <c r="AK66" s="19">
        <v>0</v>
      </c>
      <c r="AL66" s="19">
        <v>0</v>
      </c>
      <c r="AM66" s="19">
        <v>0</v>
      </c>
      <c r="AN66" s="19">
        <v>0</v>
      </c>
      <c r="AO66" s="19">
        <v>0</v>
      </c>
      <c r="AP66" s="19">
        <v>0</v>
      </c>
      <c r="AQ66" s="19">
        <v>0</v>
      </c>
      <c r="AR66" s="19">
        <v>15333.165913869632</v>
      </c>
    </row>
    <row r="67" spans="1:44" x14ac:dyDescent="0.25">
      <c r="A67" t="s">
        <v>131</v>
      </c>
      <c r="B67" t="s">
        <v>164</v>
      </c>
      <c r="C67" t="s">
        <v>44</v>
      </c>
      <c r="D67" t="s">
        <v>163</v>
      </c>
      <c r="E67" t="s">
        <v>148</v>
      </c>
      <c r="F67" t="s">
        <v>163</v>
      </c>
      <c r="G67" t="s">
        <v>28</v>
      </c>
      <c r="H67" t="s">
        <v>141</v>
      </c>
      <c r="I67" t="s">
        <v>135</v>
      </c>
      <c r="J67" t="s">
        <v>39</v>
      </c>
      <c r="K67" t="s">
        <v>28</v>
      </c>
      <c r="L67">
        <v>14.12</v>
      </c>
      <c r="M67">
        <v>1</v>
      </c>
      <c r="N67" s="2">
        <v>1.2200849202442123</v>
      </c>
      <c r="O67" s="2">
        <v>3.9167290139736792</v>
      </c>
      <c r="P67" s="1">
        <v>3.4201124712622752E-2</v>
      </c>
      <c r="Q67" s="1">
        <v>2.3371498089884883</v>
      </c>
      <c r="R67" s="1">
        <v>-1.5749122977591703</v>
      </c>
      <c r="S67" s="19">
        <v>2.9674065422003499</v>
      </c>
      <c r="T67" s="19">
        <v>1.878148398911395</v>
      </c>
      <c r="U67" s="19">
        <v>4.9174850125463418</v>
      </c>
      <c r="V67" s="19">
        <v>9.3908731354136421</v>
      </c>
      <c r="W67" s="19">
        <v>15.765849613539196</v>
      </c>
      <c r="X67" s="19">
        <v>24.374708079368993</v>
      </c>
      <c r="Y67" s="19">
        <v>35.135956136923561</v>
      </c>
      <c r="Z67" s="19">
        <v>48.325728242828163</v>
      </c>
      <c r="AA67" s="19">
        <v>63.523320894727647</v>
      </c>
      <c r="AB67" s="19">
        <v>79.965761121922085</v>
      </c>
      <c r="AC67" s="19">
        <v>96.677097176892943</v>
      </c>
      <c r="AD67" s="19">
        <v>112.39894166171848</v>
      </c>
      <c r="AE67" s="19">
        <v>125.80205553244052</v>
      </c>
      <c r="AF67" s="19">
        <v>135.71275905827648</v>
      </c>
      <c r="AG67" s="19">
        <v>141.34081977311328</v>
      </c>
      <c r="AH67" s="19">
        <v>142.43473551537454</v>
      </c>
      <c r="AI67" s="19">
        <v>139.3028202623384</v>
      </c>
      <c r="AJ67" s="19">
        <v>133.05010269241129</v>
      </c>
      <c r="AK67" s="19">
        <v>123.75296339487799</v>
      </c>
      <c r="AL67" s="19">
        <v>113.46906360374126</v>
      </c>
      <c r="AM67" s="19">
        <v>101.53589007964769</v>
      </c>
      <c r="AN67" s="19">
        <v>89.11551368057458</v>
      </c>
      <c r="AO67" s="19">
        <v>76.667598147254438</v>
      </c>
      <c r="AP67" s="19">
        <v>64.196639375755097</v>
      </c>
      <c r="AQ67" s="19">
        <v>51.707899227750978</v>
      </c>
      <c r="AR67" s="19">
        <v>1933.4101363605489</v>
      </c>
    </row>
    <row r="68" spans="1:44" x14ac:dyDescent="0.25">
      <c r="A68" t="s">
        <v>131</v>
      </c>
      <c r="B68" t="s">
        <v>164</v>
      </c>
      <c r="C68" t="s">
        <v>44</v>
      </c>
      <c r="D68" t="s">
        <v>163</v>
      </c>
      <c r="E68" t="s">
        <v>134</v>
      </c>
      <c r="F68" t="s">
        <v>163</v>
      </c>
      <c r="G68" t="s">
        <v>28</v>
      </c>
      <c r="H68" t="s">
        <v>142</v>
      </c>
      <c r="I68" t="s">
        <v>135</v>
      </c>
      <c r="J68" t="s">
        <v>39</v>
      </c>
      <c r="K68" t="s">
        <v>28</v>
      </c>
      <c r="L68">
        <v>14.12</v>
      </c>
      <c r="M68">
        <v>1</v>
      </c>
      <c r="N68" s="2">
        <v>1.2200849202442123</v>
      </c>
      <c r="O68" s="2">
        <v>3.9167290139736792</v>
      </c>
      <c r="P68" s="1">
        <v>3.4201124712622752E-2</v>
      </c>
      <c r="Q68" s="1">
        <v>2.3371498089884883</v>
      </c>
      <c r="R68" s="1">
        <v>-1.5749122977591703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19">
        <v>0</v>
      </c>
      <c r="AI68" s="19">
        <v>0</v>
      </c>
      <c r="AJ68" s="19">
        <v>0</v>
      </c>
      <c r="AK68" s="19">
        <v>0</v>
      </c>
      <c r="AL68" s="19">
        <v>0</v>
      </c>
      <c r="AM68" s="19">
        <v>0</v>
      </c>
      <c r="AN68" s="19">
        <v>0</v>
      </c>
      <c r="AO68" s="19">
        <v>0</v>
      </c>
      <c r="AP68" s="19">
        <v>0</v>
      </c>
      <c r="AQ68" s="19">
        <v>0</v>
      </c>
      <c r="AR68" s="19">
        <v>0</v>
      </c>
    </row>
    <row r="69" spans="1:44" x14ac:dyDescent="0.25">
      <c r="A69" t="s">
        <v>131</v>
      </c>
      <c r="B69" t="s">
        <v>164</v>
      </c>
      <c r="C69" t="s">
        <v>44</v>
      </c>
      <c r="D69" t="s">
        <v>163</v>
      </c>
      <c r="E69" t="s">
        <v>148</v>
      </c>
      <c r="F69" t="s">
        <v>163</v>
      </c>
      <c r="G69" t="s">
        <v>28</v>
      </c>
      <c r="H69" t="s">
        <v>142</v>
      </c>
      <c r="I69" t="s">
        <v>135</v>
      </c>
      <c r="J69" t="s">
        <v>39</v>
      </c>
      <c r="K69" t="s">
        <v>28</v>
      </c>
      <c r="L69">
        <v>14.12</v>
      </c>
      <c r="M69">
        <v>1</v>
      </c>
      <c r="N69" s="2">
        <v>1.2200849202442123</v>
      </c>
      <c r="O69" s="2">
        <v>3.9167290139736792</v>
      </c>
      <c r="P69" s="1">
        <v>3.4201124712622752E-2</v>
      </c>
      <c r="Q69" s="1">
        <v>2.3371498089884883</v>
      </c>
      <c r="R69" s="1">
        <v>-1.5749122977591703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19">
        <v>0</v>
      </c>
      <c r="AI69" s="19">
        <v>0</v>
      </c>
      <c r="AJ69" s="19">
        <v>0</v>
      </c>
      <c r="AK69" s="19">
        <v>0</v>
      </c>
      <c r="AL69" s="19">
        <v>0</v>
      </c>
      <c r="AM69" s="19">
        <v>0</v>
      </c>
      <c r="AN69" s="19">
        <v>0</v>
      </c>
      <c r="AO69" s="19">
        <v>0</v>
      </c>
      <c r="AP69" s="19">
        <v>0</v>
      </c>
      <c r="AQ69" s="19">
        <v>0</v>
      </c>
      <c r="AR69" s="19">
        <v>0</v>
      </c>
    </row>
    <row r="70" spans="1:44" x14ac:dyDescent="0.25">
      <c r="A70" t="s">
        <v>131</v>
      </c>
      <c r="B70" t="s">
        <v>165</v>
      </c>
      <c r="C70" t="s">
        <v>44</v>
      </c>
      <c r="D70" t="s">
        <v>166</v>
      </c>
      <c r="E70" t="s">
        <v>134</v>
      </c>
      <c r="F70" t="s">
        <v>166</v>
      </c>
      <c r="G70" t="s">
        <v>28</v>
      </c>
      <c r="H70" t="s">
        <v>52</v>
      </c>
      <c r="I70" t="s">
        <v>135</v>
      </c>
      <c r="J70" t="s">
        <v>39</v>
      </c>
      <c r="K70" t="s">
        <v>28</v>
      </c>
      <c r="L70">
        <v>14.72</v>
      </c>
      <c r="M70">
        <v>1</v>
      </c>
      <c r="N70" s="2">
        <v>2.2973134921399638</v>
      </c>
      <c r="O70" s="2">
        <v>3.9878353025931945</v>
      </c>
      <c r="P70" s="1">
        <v>-1.0909408465043908</v>
      </c>
      <c r="Q70" s="1">
        <v>1.2637758031966404</v>
      </c>
      <c r="R70" s="1">
        <v>-1.626680263184336</v>
      </c>
      <c r="S70" s="19">
        <v>1934.4039342164797</v>
      </c>
      <c r="T70" s="19">
        <v>3188.8708203780816</v>
      </c>
      <c r="U70" s="19">
        <v>4864.2154667839986</v>
      </c>
      <c r="V70" s="19">
        <v>7007.3786230461674</v>
      </c>
      <c r="W70" s="19">
        <v>9586.08516902886</v>
      </c>
      <c r="X70" s="19">
        <v>12492.060435805381</v>
      </c>
      <c r="Y70" s="19">
        <v>15522.652371696837</v>
      </c>
      <c r="Z70" s="19">
        <v>18377.907452142012</v>
      </c>
      <c r="AA70" s="19">
        <v>20686.583198911951</v>
      </c>
      <c r="AB70" s="19">
        <v>22062.715233553859</v>
      </c>
      <c r="AC70" s="19">
        <v>22194.372944108392</v>
      </c>
      <c r="AD70" s="19">
        <v>20943.320771824259</v>
      </c>
      <c r="AE70" s="19">
        <v>18419.125802919873</v>
      </c>
      <c r="AF70" s="19">
        <v>15226.395624569021</v>
      </c>
      <c r="AG70" s="19">
        <v>11632.121171194138</v>
      </c>
      <c r="AH70" s="19">
        <v>7981.8925834900974</v>
      </c>
      <c r="AI70" s="19">
        <v>365.77346090845896</v>
      </c>
      <c r="AJ70" s="19">
        <v>239.42844091154825</v>
      </c>
      <c r="AK70" s="19">
        <v>0</v>
      </c>
      <c r="AL70" s="19">
        <v>0</v>
      </c>
      <c r="AM70" s="19">
        <v>0</v>
      </c>
      <c r="AN70" s="19">
        <v>0</v>
      </c>
      <c r="AO70" s="19">
        <v>0</v>
      </c>
      <c r="AP70" s="19">
        <v>0</v>
      </c>
      <c r="AQ70" s="19">
        <v>0</v>
      </c>
      <c r="AR70" s="19">
        <v>212725.3035054894</v>
      </c>
    </row>
    <row r="71" spans="1:44" x14ac:dyDescent="0.25">
      <c r="A71" t="s">
        <v>131</v>
      </c>
      <c r="B71" t="s">
        <v>165</v>
      </c>
      <c r="C71" t="s">
        <v>44</v>
      </c>
      <c r="D71" t="s">
        <v>166</v>
      </c>
      <c r="E71" t="s">
        <v>148</v>
      </c>
      <c r="F71" t="s">
        <v>166</v>
      </c>
      <c r="G71" t="s">
        <v>28</v>
      </c>
      <c r="H71" t="s">
        <v>52</v>
      </c>
      <c r="I71" t="s">
        <v>135</v>
      </c>
      <c r="J71" t="s">
        <v>39</v>
      </c>
      <c r="K71" t="s">
        <v>28</v>
      </c>
      <c r="L71">
        <v>14.72</v>
      </c>
      <c r="M71">
        <v>1</v>
      </c>
      <c r="N71" s="2">
        <v>2.2973134921399638</v>
      </c>
      <c r="O71" s="2">
        <v>3.9878353025931945</v>
      </c>
      <c r="P71" s="1">
        <v>-1.0909408465043908</v>
      </c>
      <c r="Q71" s="1">
        <v>1.2637758031966404</v>
      </c>
      <c r="R71" s="1">
        <v>-1.626680263184336</v>
      </c>
      <c r="S71" s="19">
        <v>14.952357956341164</v>
      </c>
      <c r="T71" s="19">
        <v>9.4637343270223884</v>
      </c>
      <c r="U71" s="19">
        <v>24.778538129802172</v>
      </c>
      <c r="V71" s="19">
        <v>47.319332436051681</v>
      </c>
      <c r="W71" s="19">
        <v>79.441971821185348</v>
      </c>
      <c r="X71" s="19">
        <v>122.82083870240366</v>
      </c>
      <c r="Y71" s="19">
        <v>177.04530398049937</v>
      </c>
      <c r="Z71" s="19">
        <v>243.50677162416557</v>
      </c>
      <c r="AA71" s="19">
        <v>320.08537390673672</v>
      </c>
      <c r="AB71" s="19">
        <v>402.93659380411498</v>
      </c>
      <c r="AC71" s="19">
        <v>487.14274320397374</v>
      </c>
      <c r="AD71" s="19">
        <v>566.36297916689159</v>
      </c>
      <c r="AE71" s="19">
        <v>633.89944694593669</v>
      </c>
      <c r="AF71" s="19">
        <v>683.8381340149366</v>
      </c>
      <c r="AG71" s="19">
        <v>712.19716646010909</v>
      </c>
      <c r="AH71" s="19">
        <v>717.70925909716289</v>
      </c>
      <c r="AI71" s="19">
        <v>701.92796412245673</v>
      </c>
      <c r="AJ71" s="19">
        <v>670.42137074676782</v>
      </c>
      <c r="AK71" s="19">
        <v>623.57435037064488</v>
      </c>
      <c r="AL71" s="19">
        <v>571.75517808084521</v>
      </c>
      <c r="AM71" s="19">
        <v>511.62553977548663</v>
      </c>
      <c r="AN71" s="19">
        <v>449.04095244972984</v>
      </c>
      <c r="AO71" s="19">
        <v>386.31759917219506</v>
      </c>
      <c r="AP71" s="19">
        <v>323.4781341516686</v>
      </c>
      <c r="AQ71" s="19">
        <v>260.54907119347268</v>
      </c>
      <c r="AR71" s="19">
        <v>9742.1907056405998</v>
      </c>
    </row>
    <row r="72" spans="1:44" x14ac:dyDescent="0.25">
      <c r="A72" t="s">
        <v>131</v>
      </c>
      <c r="B72" t="s">
        <v>165</v>
      </c>
      <c r="C72" t="s">
        <v>44</v>
      </c>
      <c r="D72" t="s">
        <v>166</v>
      </c>
      <c r="E72" t="s">
        <v>134</v>
      </c>
      <c r="F72" t="s">
        <v>166</v>
      </c>
      <c r="G72" t="s">
        <v>28</v>
      </c>
      <c r="H72" t="s">
        <v>55</v>
      </c>
      <c r="I72" t="s">
        <v>135</v>
      </c>
      <c r="J72" t="s">
        <v>39</v>
      </c>
      <c r="K72" t="s">
        <v>28</v>
      </c>
      <c r="L72">
        <v>14.72</v>
      </c>
      <c r="M72">
        <v>1</v>
      </c>
      <c r="N72" s="2">
        <v>2.2973134921399638</v>
      </c>
      <c r="O72" s="2">
        <v>3.9878353025931945</v>
      </c>
      <c r="P72" s="1">
        <v>-1.0909408465043908</v>
      </c>
      <c r="Q72" s="1">
        <v>1.2637758031966404</v>
      </c>
      <c r="R72" s="1">
        <v>-1.626680263184336</v>
      </c>
      <c r="S72" s="19">
        <v>3.7129466203050425</v>
      </c>
      <c r="T72" s="19">
        <v>6.120803895029268</v>
      </c>
      <c r="U72" s="19">
        <v>9.3365051933408676</v>
      </c>
      <c r="V72" s="19">
        <v>13.450149844828324</v>
      </c>
      <c r="W72" s="19">
        <v>18.3997881211499</v>
      </c>
      <c r="X72" s="19">
        <v>23.9775947284541</v>
      </c>
      <c r="Y72" s="19">
        <v>29.79459390161264</v>
      </c>
      <c r="Z72" s="19">
        <v>35.275046827460216</v>
      </c>
      <c r="AA72" s="19">
        <v>39.706380769521125</v>
      </c>
      <c r="AB72" s="19">
        <v>42.347765382495851</v>
      </c>
      <c r="AC72" s="19">
        <v>42.600472711504963</v>
      </c>
      <c r="AD72" s="19">
        <v>40.199169729876594</v>
      </c>
      <c r="AE72" s="19">
        <v>35.354162431759875</v>
      </c>
      <c r="AF72" s="19">
        <v>29.225950781872331</v>
      </c>
      <c r="AG72" s="19">
        <v>22.327004316736826</v>
      </c>
      <c r="AH72" s="19">
        <v>15.320657990447934</v>
      </c>
      <c r="AI72" s="19">
        <v>0.70207535843718827</v>
      </c>
      <c r="AJ72" s="19">
        <v>0.45956534969906271</v>
      </c>
      <c r="AK72" s="19">
        <v>0</v>
      </c>
      <c r="AL72" s="19">
        <v>0</v>
      </c>
      <c r="AM72" s="19">
        <v>0</v>
      </c>
      <c r="AN72" s="19">
        <v>0</v>
      </c>
      <c r="AO72" s="19">
        <v>0</v>
      </c>
      <c r="AP72" s="19">
        <v>0</v>
      </c>
      <c r="AQ72" s="19">
        <v>0</v>
      </c>
      <c r="AR72" s="19">
        <v>408.31063395453208</v>
      </c>
    </row>
    <row r="73" spans="1:44" x14ac:dyDescent="0.25">
      <c r="A73" t="s">
        <v>131</v>
      </c>
      <c r="B73" t="s">
        <v>165</v>
      </c>
      <c r="C73" t="s">
        <v>44</v>
      </c>
      <c r="D73" t="s">
        <v>166</v>
      </c>
      <c r="E73" t="s">
        <v>148</v>
      </c>
      <c r="F73" t="s">
        <v>166</v>
      </c>
      <c r="G73" t="s">
        <v>28</v>
      </c>
      <c r="H73" t="s">
        <v>55</v>
      </c>
      <c r="I73" t="s">
        <v>135</v>
      </c>
      <c r="J73" t="s">
        <v>39</v>
      </c>
      <c r="K73" t="s">
        <v>28</v>
      </c>
      <c r="L73">
        <v>14.72</v>
      </c>
      <c r="M73">
        <v>1</v>
      </c>
      <c r="N73" s="2">
        <v>2.2973134921399638</v>
      </c>
      <c r="O73" s="2">
        <v>3.9878353025931945</v>
      </c>
      <c r="P73" s="1">
        <v>-1.0909408465043908</v>
      </c>
      <c r="Q73" s="1">
        <v>1.2637758031966404</v>
      </c>
      <c r="R73" s="1">
        <v>-1.626680263184336</v>
      </c>
      <c r="S73" s="19">
        <v>2.8699955556115625E-2</v>
      </c>
      <c r="T73" s="19">
        <v>1.8164944644415849E-2</v>
      </c>
      <c r="U73" s="19">
        <v>4.7560588446804081E-2</v>
      </c>
      <c r="V73" s="19">
        <v>9.0825991581066981E-2</v>
      </c>
      <c r="W73" s="19">
        <v>0.15248304429411327</v>
      </c>
      <c r="X73" s="19">
        <v>0.23574560095579636</v>
      </c>
      <c r="Y73" s="19">
        <v>0.33982548909648286</v>
      </c>
      <c r="Z73" s="19">
        <v>0.46739340668759999</v>
      </c>
      <c r="AA73" s="19">
        <v>0.61438042294794803</v>
      </c>
      <c r="AB73" s="19">
        <v>0.7734072691328534</v>
      </c>
      <c r="AC73" s="19">
        <v>0.93503480322373411</v>
      </c>
      <c r="AD73" s="19">
        <v>1.0870922417842168</v>
      </c>
      <c r="AE73" s="19">
        <v>1.2167235433712429</v>
      </c>
      <c r="AF73" s="19">
        <v>1.3125771942533293</v>
      </c>
      <c r="AG73" s="19">
        <v>1.3670102792000205</v>
      </c>
      <c r="AH73" s="19">
        <v>1.3775903371525251</v>
      </c>
      <c r="AI73" s="19">
        <v>1.3472992977248679</v>
      </c>
      <c r="AJ73" s="19">
        <v>1.2868247001899953</v>
      </c>
      <c r="AK73" s="19">
        <v>1.1969052770022448</v>
      </c>
      <c r="AL73" s="19">
        <v>1.097442172519687</v>
      </c>
      <c r="AM73" s="19">
        <v>0.98202773741803717</v>
      </c>
      <c r="AN73" s="19">
        <v>0.86190120754282107</v>
      </c>
      <c r="AO73" s="19">
        <v>0.74150832659040944</v>
      </c>
      <c r="AP73" s="19">
        <v>0.62089257765468353</v>
      </c>
      <c r="AQ73" s="19">
        <v>0.50010485204232635</v>
      </c>
      <c r="AR73" s="19">
        <v>18.699421261013335</v>
      </c>
    </row>
    <row r="74" spans="1:44" x14ac:dyDescent="0.25">
      <c r="A74" t="s">
        <v>131</v>
      </c>
      <c r="B74" t="s">
        <v>165</v>
      </c>
      <c r="C74" t="s">
        <v>44</v>
      </c>
      <c r="D74" t="s">
        <v>166</v>
      </c>
      <c r="E74" t="s">
        <v>134</v>
      </c>
      <c r="F74" t="s">
        <v>166</v>
      </c>
      <c r="G74" t="s">
        <v>28</v>
      </c>
      <c r="H74" t="s">
        <v>138</v>
      </c>
      <c r="I74" t="s">
        <v>135</v>
      </c>
      <c r="J74" t="s">
        <v>39</v>
      </c>
      <c r="K74" t="s">
        <v>28</v>
      </c>
      <c r="L74">
        <v>14.72</v>
      </c>
      <c r="M74">
        <v>1</v>
      </c>
      <c r="N74" s="2">
        <v>2.2973134921399638</v>
      </c>
      <c r="O74" s="2">
        <v>3.9878353025931945</v>
      </c>
      <c r="P74" s="1">
        <v>-1.0909408465043908</v>
      </c>
      <c r="Q74" s="1">
        <v>1.2637758031966404</v>
      </c>
      <c r="R74" s="1">
        <v>-1.626680263184336</v>
      </c>
      <c r="S74" s="19">
        <v>671.01196421401687</v>
      </c>
      <c r="T74" s="19">
        <v>1106.165281696123</v>
      </c>
      <c r="U74" s="19">
        <v>1687.3139663298796</v>
      </c>
      <c r="V74" s="19">
        <v>2430.7409691792518</v>
      </c>
      <c r="W74" s="19">
        <v>3325.250597672255</v>
      </c>
      <c r="X74" s="19">
        <v>4333.2842028700652</v>
      </c>
      <c r="Y74" s="19">
        <v>5384.5452201081071</v>
      </c>
      <c r="Z74" s="19">
        <v>6374.9848516515576</v>
      </c>
      <c r="AA74" s="19">
        <v>7175.8253690695683</v>
      </c>
      <c r="AB74" s="19">
        <v>7653.1822660699427</v>
      </c>
      <c r="AC74" s="19">
        <v>7698.8520961403137</v>
      </c>
      <c r="AD74" s="19">
        <v>7264.8832850715853</v>
      </c>
      <c r="AE74" s="19">
        <v>6389.2827994730469</v>
      </c>
      <c r="AF74" s="19">
        <v>5281.7787718572599</v>
      </c>
      <c r="AG74" s="19">
        <v>4034.9858356858272</v>
      </c>
      <c r="AH74" s="19">
        <v>2768.7833579403937</v>
      </c>
      <c r="AI74" s="19">
        <v>126.88061894423184</v>
      </c>
      <c r="AJ74" s="19">
        <v>83.053671253947257</v>
      </c>
      <c r="AK74" s="19">
        <v>0</v>
      </c>
      <c r="AL74" s="19">
        <v>0</v>
      </c>
      <c r="AM74" s="19">
        <v>0</v>
      </c>
      <c r="AN74" s="19">
        <v>0</v>
      </c>
      <c r="AO74" s="19">
        <v>0</v>
      </c>
      <c r="AP74" s="19">
        <v>0</v>
      </c>
      <c r="AQ74" s="19">
        <v>0</v>
      </c>
      <c r="AR74" s="19">
        <v>73790.805125227373</v>
      </c>
    </row>
    <row r="75" spans="1:44" x14ac:dyDescent="0.25">
      <c r="A75" t="s">
        <v>131</v>
      </c>
      <c r="B75" t="s">
        <v>165</v>
      </c>
      <c r="C75" t="s">
        <v>44</v>
      </c>
      <c r="D75" t="s">
        <v>166</v>
      </c>
      <c r="E75" t="s">
        <v>148</v>
      </c>
      <c r="F75" t="s">
        <v>166</v>
      </c>
      <c r="G75" t="s">
        <v>28</v>
      </c>
      <c r="H75" t="s">
        <v>138</v>
      </c>
      <c r="I75" t="s">
        <v>135</v>
      </c>
      <c r="J75" t="s">
        <v>39</v>
      </c>
      <c r="K75" t="s">
        <v>28</v>
      </c>
      <c r="L75">
        <v>14.72</v>
      </c>
      <c r="M75">
        <v>1</v>
      </c>
      <c r="N75" s="2">
        <v>2.2973134921399638</v>
      </c>
      <c r="O75" s="2">
        <v>3.9878353025931945</v>
      </c>
      <c r="P75" s="1">
        <v>-1.0909408465043908</v>
      </c>
      <c r="Q75" s="1">
        <v>1.2637758031966404</v>
      </c>
      <c r="R75" s="1">
        <v>-1.626680263184336</v>
      </c>
      <c r="S75" s="19">
        <v>5.186719745780227</v>
      </c>
      <c r="T75" s="19">
        <v>3.2828091626824873</v>
      </c>
      <c r="U75" s="19">
        <v>8.5952552343029804</v>
      </c>
      <c r="V75" s="19">
        <v>16.414275034067284</v>
      </c>
      <c r="W75" s="19">
        <v>27.55707461604171</v>
      </c>
      <c r="X75" s="19">
        <v>42.604468883844739</v>
      </c>
      <c r="Y75" s="19">
        <v>61.41401755726983</v>
      </c>
      <c r="Z75" s="19">
        <v>84.468375108597954</v>
      </c>
      <c r="AA75" s="19">
        <v>111.0321953249818</v>
      </c>
      <c r="AB75" s="19">
        <v>139.77188036050978</v>
      </c>
      <c r="AC75" s="19">
        <v>168.98156749371077</v>
      </c>
      <c r="AD75" s="19">
        <v>196.46172569578215</v>
      </c>
      <c r="AE75" s="19">
        <v>219.88898258814712</v>
      </c>
      <c r="AF75" s="19">
        <v>237.21186738367155</v>
      </c>
      <c r="AG75" s="19">
        <v>247.04913545764828</v>
      </c>
      <c r="AH75" s="19">
        <v>248.96118704206404</v>
      </c>
      <c r="AI75" s="19">
        <v>243.48692308327671</v>
      </c>
      <c r="AJ75" s="19">
        <v>232.5578194287832</v>
      </c>
      <c r="AK75" s="19">
        <v>216.30738144934881</v>
      </c>
      <c r="AL75" s="19">
        <v>198.33218817814009</v>
      </c>
      <c r="AM75" s="19">
        <v>177.47423499004873</v>
      </c>
      <c r="AN75" s="19">
        <v>155.76470156315625</v>
      </c>
      <c r="AO75" s="19">
        <v>134.00703257769896</v>
      </c>
      <c r="AP75" s="19">
        <v>112.20908639503961</v>
      </c>
      <c r="AQ75" s="19">
        <v>90.380060205203122</v>
      </c>
      <c r="AR75" s="19">
        <v>3379.4009645597989</v>
      </c>
    </row>
    <row r="76" spans="1:44" x14ac:dyDescent="0.25">
      <c r="A76" t="s">
        <v>131</v>
      </c>
      <c r="B76" t="s">
        <v>165</v>
      </c>
      <c r="C76" t="s">
        <v>44</v>
      </c>
      <c r="D76" t="s">
        <v>166</v>
      </c>
      <c r="E76" t="s">
        <v>134</v>
      </c>
      <c r="F76" t="s">
        <v>166</v>
      </c>
      <c r="G76" t="s">
        <v>28</v>
      </c>
      <c r="H76" t="s">
        <v>136</v>
      </c>
      <c r="I76" t="s">
        <v>135</v>
      </c>
      <c r="J76" t="s">
        <v>39</v>
      </c>
      <c r="K76" t="s">
        <v>28</v>
      </c>
      <c r="L76">
        <v>14.72</v>
      </c>
      <c r="M76">
        <v>1</v>
      </c>
      <c r="N76" s="2">
        <v>2.2973134921399638</v>
      </c>
      <c r="O76" s="2">
        <v>3.9878353025931945</v>
      </c>
      <c r="P76" s="1">
        <v>-1.0909408465043908</v>
      </c>
      <c r="Q76" s="1">
        <v>1.2637758031966404</v>
      </c>
      <c r="R76" s="1">
        <v>-1.626680263184336</v>
      </c>
      <c r="S76" s="19">
        <v>4.6618107566052203</v>
      </c>
      <c r="T76" s="19">
        <v>7.6850093348700819</v>
      </c>
      <c r="U76" s="19">
        <v>11.722500964972422</v>
      </c>
      <c r="V76" s="19">
        <v>16.887410360728893</v>
      </c>
      <c r="W76" s="19">
        <v>23.101956196554863</v>
      </c>
      <c r="X76" s="19">
        <v>30.105202270170142</v>
      </c>
      <c r="Y76" s="19">
        <v>37.408767898691437</v>
      </c>
      <c r="Z76" s="19">
        <v>44.289781016700026</v>
      </c>
      <c r="AA76" s="19">
        <v>49.853566966176537</v>
      </c>
      <c r="AB76" s="19">
        <v>53.169972091355895</v>
      </c>
      <c r="AC76" s="19">
        <v>53.487260182222869</v>
      </c>
      <c r="AD76" s="19">
        <v>50.472290883067274</v>
      </c>
      <c r="AE76" s="19">
        <v>44.389115053209608</v>
      </c>
      <c r="AF76" s="19">
        <v>36.694804870573037</v>
      </c>
      <c r="AG76" s="19">
        <v>28.032794308791782</v>
      </c>
      <c r="AH76" s="19">
        <v>19.235937254673445</v>
      </c>
      <c r="AI76" s="19">
        <v>0.88149461670446949</v>
      </c>
      <c r="AJ76" s="19">
        <v>0.57700982795548972</v>
      </c>
      <c r="AK76" s="19">
        <v>0</v>
      </c>
      <c r="AL76" s="19">
        <v>0</v>
      </c>
      <c r="AM76" s="19">
        <v>0</v>
      </c>
      <c r="AN76" s="19">
        <v>0</v>
      </c>
      <c r="AO76" s="19">
        <v>0</v>
      </c>
      <c r="AP76" s="19">
        <v>0</v>
      </c>
      <c r="AQ76" s="19">
        <v>0</v>
      </c>
      <c r="AR76" s="19">
        <v>512.65668485402352</v>
      </c>
    </row>
    <row r="77" spans="1:44" x14ac:dyDescent="0.25">
      <c r="A77" t="s">
        <v>131</v>
      </c>
      <c r="B77" t="s">
        <v>165</v>
      </c>
      <c r="C77" t="s">
        <v>44</v>
      </c>
      <c r="D77" t="s">
        <v>166</v>
      </c>
      <c r="E77" t="s">
        <v>148</v>
      </c>
      <c r="F77" t="s">
        <v>166</v>
      </c>
      <c r="G77" t="s">
        <v>28</v>
      </c>
      <c r="H77" t="s">
        <v>136</v>
      </c>
      <c r="I77" t="s">
        <v>135</v>
      </c>
      <c r="J77" t="s">
        <v>39</v>
      </c>
      <c r="K77" t="s">
        <v>28</v>
      </c>
      <c r="L77">
        <v>14.72</v>
      </c>
      <c r="M77">
        <v>1</v>
      </c>
      <c r="N77" s="2">
        <v>2.2973134921399638</v>
      </c>
      <c r="O77" s="2">
        <v>3.9878353025931945</v>
      </c>
      <c r="P77" s="1">
        <v>-1.0909408465043908</v>
      </c>
      <c r="Q77" s="1">
        <v>1.2637758031966404</v>
      </c>
      <c r="R77" s="1">
        <v>-1.626680263184336</v>
      </c>
      <c r="S77" s="19">
        <v>3.6034388642678501E-2</v>
      </c>
      <c r="T77" s="19">
        <v>2.2807097164655454E-2</v>
      </c>
      <c r="U77" s="19">
        <v>5.9714961049876239E-2</v>
      </c>
      <c r="V77" s="19">
        <v>0.11403707831845077</v>
      </c>
      <c r="W77" s="19">
        <v>0.19145093339149799</v>
      </c>
      <c r="X77" s="19">
        <v>0.29599169897783301</v>
      </c>
      <c r="Y77" s="19">
        <v>0.42666978075447265</v>
      </c>
      <c r="Z77" s="19">
        <v>0.58683838839665292</v>
      </c>
      <c r="AA77" s="19">
        <v>0.77138875325686718</v>
      </c>
      <c r="AB77" s="19">
        <v>0.97105579346680626</v>
      </c>
      <c r="AC77" s="19">
        <v>1.1739881418253535</v>
      </c>
      <c r="AD77" s="19">
        <v>1.3649047035735162</v>
      </c>
      <c r="AE77" s="19">
        <v>1.52766400445501</v>
      </c>
      <c r="AF77" s="19">
        <v>1.6480135883402989</v>
      </c>
      <c r="AG77" s="19">
        <v>1.7163573505511316</v>
      </c>
      <c r="AH77" s="19">
        <v>1.7296412010914928</v>
      </c>
      <c r="AI77" s="19">
        <v>1.6916091182545507</v>
      </c>
      <c r="AJ77" s="19">
        <v>1.6156799013496794</v>
      </c>
      <c r="AK77" s="19">
        <v>1.5027810700139228</v>
      </c>
      <c r="AL77" s="19">
        <v>1.3778996166080577</v>
      </c>
      <c r="AM77" s="19">
        <v>1.2329903814248473</v>
      </c>
      <c r="AN77" s="19">
        <v>1.0821648494704521</v>
      </c>
      <c r="AO77" s="19">
        <v>0.93100489894129235</v>
      </c>
      <c r="AP77" s="19">
        <v>0.77956512527754029</v>
      </c>
      <c r="AQ77" s="19">
        <v>0.62790942534202376</v>
      </c>
      <c r="AR77" s="19">
        <v>23.478162249938965</v>
      </c>
    </row>
    <row r="78" spans="1:44" x14ac:dyDescent="0.25">
      <c r="A78" t="s">
        <v>131</v>
      </c>
      <c r="B78" t="s">
        <v>167</v>
      </c>
      <c r="C78" t="s">
        <v>44</v>
      </c>
      <c r="D78" t="s">
        <v>168</v>
      </c>
      <c r="E78" t="s">
        <v>134</v>
      </c>
      <c r="F78" t="s">
        <v>168</v>
      </c>
      <c r="G78" t="s">
        <v>28</v>
      </c>
      <c r="H78" t="s">
        <v>53</v>
      </c>
      <c r="I78" t="s">
        <v>135</v>
      </c>
      <c r="J78" t="s">
        <v>39</v>
      </c>
      <c r="K78" t="s">
        <v>28</v>
      </c>
      <c r="L78">
        <v>41.48</v>
      </c>
      <c r="M78">
        <v>1</v>
      </c>
      <c r="N78" s="2">
        <v>3.5013611094518171</v>
      </c>
      <c r="O78" s="2">
        <v>3.7403155854968446</v>
      </c>
      <c r="P78" s="1">
        <v>-1.3967912097249016</v>
      </c>
      <c r="Q78" s="1">
        <v>0.77772207954966799</v>
      </c>
      <c r="R78" s="1">
        <v>-1.4464769027578743</v>
      </c>
      <c r="S78" s="19">
        <v>276.62428758267356</v>
      </c>
      <c r="T78" s="19">
        <v>552.58846395541195</v>
      </c>
      <c r="U78" s="19">
        <v>980.38775826637107</v>
      </c>
      <c r="V78" s="19">
        <v>1593.2746028518443</v>
      </c>
      <c r="W78" s="19">
        <v>2415.8063558222325</v>
      </c>
      <c r="X78" s="19">
        <v>3455.7982448507446</v>
      </c>
      <c r="Y78" s="19">
        <v>4694.5418844680726</v>
      </c>
      <c r="Z78" s="19">
        <v>6076.8583910873695</v>
      </c>
      <c r="AA78" s="19">
        <v>7503.97454875331</v>
      </c>
      <c r="AB78" s="19">
        <v>8833.6509151612736</v>
      </c>
      <c r="AC78" s="19">
        <v>9892.3929924507229</v>
      </c>
      <c r="AD78" s="19">
        <v>10502.837053208779</v>
      </c>
      <c r="AE78" s="19">
        <v>10524.577465174514</v>
      </c>
      <c r="AF78" s="19">
        <v>9899.2357037846232</v>
      </c>
      <c r="AG78" s="19">
        <v>8683.3870113269877</v>
      </c>
      <c r="AH78" s="19">
        <v>7163.5460235385626</v>
      </c>
      <c r="AI78" s="19">
        <v>5464.0356347436409</v>
      </c>
      <c r="AJ78" s="19">
        <v>3772.7346347145094</v>
      </c>
      <c r="AK78" s="19">
        <v>271.45169223584276</v>
      </c>
      <c r="AL78" s="19">
        <v>0</v>
      </c>
      <c r="AM78" s="19">
        <v>0</v>
      </c>
      <c r="AN78" s="19">
        <v>0</v>
      </c>
      <c r="AO78" s="19">
        <v>0</v>
      </c>
      <c r="AP78" s="19">
        <v>0</v>
      </c>
      <c r="AQ78" s="19">
        <v>0</v>
      </c>
      <c r="AR78" s="19">
        <v>102557.70366397747</v>
      </c>
    </row>
    <row r="79" spans="1:44" x14ac:dyDescent="0.25">
      <c r="A79" t="s">
        <v>131</v>
      </c>
      <c r="B79" t="s">
        <v>167</v>
      </c>
      <c r="C79" t="s">
        <v>44</v>
      </c>
      <c r="D79" t="s">
        <v>168</v>
      </c>
      <c r="E79" t="s">
        <v>134</v>
      </c>
      <c r="F79" t="s">
        <v>168</v>
      </c>
      <c r="G79" t="s">
        <v>28</v>
      </c>
      <c r="H79" t="s">
        <v>54</v>
      </c>
      <c r="I79" t="s">
        <v>135</v>
      </c>
      <c r="J79" t="s">
        <v>39</v>
      </c>
      <c r="K79" t="s">
        <v>28</v>
      </c>
      <c r="L79">
        <v>41.48</v>
      </c>
      <c r="M79">
        <v>1</v>
      </c>
      <c r="N79" s="2">
        <v>3.5013611094518171</v>
      </c>
      <c r="O79" s="2">
        <v>3.7403155854968446</v>
      </c>
      <c r="P79" s="1">
        <v>-1.3967912097249016</v>
      </c>
      <c r="Q79" s="1">
        <v>0.77772207954966799</v>
      </c>
      <c r="R79" s="1">
        <v>-1.4464769027578743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19">
        <v>0</v>
      </c>
      <c r="AI79" s="19">
        <v>0</v>
      </c>
      <c r="AJ79" s="19">
        <v>0</v>
      </c>
      <c r="AK79" s="19">
        <v>0</v>
      </c>
      <c r="AL79" s="19">
        <v>0</v>
      </c>
      <c r="AM79" s="19">
        <v>0</v>
      </c>
      <c r="AN79" s="19">
        <v>0</v>
      </c>
      <c r="AO79" s="19">
        <v>0</v>
      </c>
      <c r="AP79" s="19">
        <v>0</v>
      </c>
      <c r="AQ79" s="19">
        <v>0</v>
      </c>
      <c r="AR79" s="19">
        <v>0</v>
      </c>
    </row>
    <row r="80" spans="1:44" x14ac:dyDescent="0.25">
      <c r="A80" t="s">
        <v>131</v>
      </c>
      <c r="B80" t="s">
        <v>167</v>
      </c>
      <c r="C80" t="s">
        <v>44</v>
      </c>
      <c r="D80" t="s">
        <v>168</v>
      </c>
      <c r="E80" t="s">
        <v>134</v>
      </c>
      <c r="F80" t="s">
        <v>168</v>
      </c>
      <c r="G80" t="s">
        <v>28</v>
      </c>
      <c r="H80" t="s">
        <v>141</v>
      </c>
      <c r="I80" t="s">
        <v>135</v>
      </c>
      <c r="J80" t="s">
        <v>39</v>
      </c>
      <c r="K80" t="s">
        <v>28</v>
      </c>
      <c r="L80">
        <v>41.48</v>
      </c>
      <c r="M80">
        <v>1</v>
      </c>
      <c r="N80" s="2">
        <v>3.5013611094518171</v>
      </c>
      <c r="O80" s="2">
        <v>3.7403155854968446</v>
      </c>
      <c r="P80" s="1">
        <v>-1.3967912097249016</v>
      </c>
      <c r="Q80" s="1">
        <v>0.77772207954966799</v>
      </c>
      <c r="R80" s="1">
        <v>-1.4464769027578743</v>
      </c>
      <c r="S80" s="19">
        <v>232.82544204875023</v>
      </c>
      <c r="T80" s="19">
        <v>465.09529049580505</v>
      </c>
      <c r="U80" s="19">
        <v>825.15969654086211</v>
      </c>
      <c r="V80" s="19">
        <v>1341.0061240669688</v>
      </c>
      <c r="W80" s="19">
        <v>2033.3036828170443</v>
      </c>
      <c r="X80" s="19">
        <v>2908.6301894160438</v>
      </c>
      <c r="Y80" s="19">
        <v>3951.2394194272943</v>
      </c>
      <c r="Z80" s="19">
        <v>5114.6891458318687</v>
      </c>
      <c r="AA80" s="19">
        <v>6315.8452452006995</v>
      </c>
      <c r="AB80" s="19">
        <v>7434.9895202607395</v>
      </c>
      <c r="AC80" s="19">
        <v>8326.0974353126912</v>
      </c>
      <c r="AD80" s="19">
        <v>8839.8878531173868</v>
      </c>
      <c r="AE80" s="19">
        <v>8858.1860331885473</v>
      </c>
      <c r="AF80" s="19">
        <v>8331.8567173520587</v>
      </c>
      <c r="AG80" s="19">
        <v>7308.5174012002162</v>
      </c>
      <c r="AH80" s="19">
        <v>6029.3179031449563</v>
      </c>
      <c r="AI80" s="19">
        <v>4598.8966592425641</v>
      </c>
      <c r="AJ80" s="19">
        <v>3175.3849842180457</v>
      </c>
      <c r="AK80" s="19">
        <v>228.47184096515116</v>
      </c>
      <c r="AL80" s="19">
        <v>0</v>
      </c>
      <c r="AM80" s="19">
        <v>0</v>
      </c>
      <c r="AN80" s="19">
        <v>0</v>
      </c>
      <c r="AO80" s="19">
        <v>0</v>
      </c>
      <c r="AP80" s="19">
        <v>0</v>
      </c>
      <c r="AQ80" s="19">
        <v>0</v>
      </c>
      <c r="AR80" s="19">
        <v>86319.400583847673</v>
      </c>
    </row>
    <row r="81" spans="1:44" x14ac:dyDescent="0.25">
      <c r="A81" t="s">
        <v>131</v>
      </c>
      <c r="B81" t="s">
        <v>167</v>
      </c>
      <c r="C81" t="s">
        <v>44</v>
      </c>
      <c r="D81" t="s">
        <v>168</v>
      </c>
      <c r="E81" t="s">
        <v>134</v>
      </c>
      <c r="F81" t="s">
        <v>168</v>
      </c>
      <c r="G81" t="s">
        <v>28</v>
      </c>
      <c r="H81" t="s">
        <v>142</v>
      </c>
      <c r="I81" t="s">
        <v>135</v>
      </c>
      <c r="J81" t="s">
        <v>39</v>
      </c>
      <c r="K81" t="s">
        <v>28</v>
      </c>
      <c r="L81">
        <v>41.48</v>
      </c>
      <c r="M81">
        <v>1</v>
      </c>
      <c r="N81" s="2">
        <v>3.5013611094518171</v>
      </c>
      <c r="O81" s="2">
        <v>3.7403155854968446</v>
      </c>
      <c r="P81" s="1">
        <v>-1.3967912097249016</v>
      </c>
      <c r="Q81" s="1">
        <v>0.77772207954966799</v>
      </c>
      <c r="R81" s="1">
        <v>-1.4464769027578743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19">
        <v>0</v>
      </c>
      <c r="AI81" s="19">
        <v>0</v>
      </c>
      <c r="AJ81" s="19">
        <v>0</v>
      </c>
      <c r="AK81" s="19">
        <v>0</v>
      </c>
      <c r="AL81" s="19">
        <v>0</v>
      </c>
      <c r="AM81" s="19">
        <v>0</v>
      </c>
      <c r="AN81" s="19">
        <v>0</v>
      </c>
      <c r="AO81" s="19">
        <v>0</v>
      </c>
      <c r="AP81" s="19">
        <v>0</v>
      </c>
      <c r="AQ81" s="19">
        <v>0</v>
      </c>
      <c r="AR81" s="19">
        <v>0</v>
      </c>
    </row>
    <row r="82" spans="1:44" x14ac:dyDescent="0.25">
      <c r="A82" t="s">
        <v>131</v>
      </c>
      <c r="B82" t="s">
        <v>169</v>
      </c>
      <c r="C82" t="s">
        <v>44</v>
      </c>
      <c r="D82" t="s">
        <v>170</v>
      </c>
      <c r="E82" t="s">
        <v>134</v>
      </c>
      <c r="F82" t="s">
        <v>170</v>
      </c>
      <c r="G82" t="s">
        <v>28</v>
      </c>
      <c r="H82" t="s">
        <v>53</v>
      </c>
      <c r="I82" t="s">
        <v>135</v>
      </c>
      <c r="J82" t="s">
        <v>39</v>
      </c>
      <c r="K82" t="s">
        <v>28</v>
      </c>
      <c r="L82">
        <v>0.18512678951486083</v>
      </c>
      <c r="M82">
        <v>0</v>
      </c>
      <c r="N82" s="2">
        <v>6.2430348562854286E-3</v>
      </c>
      <c r="O82" s="2">
        <v>3.7403155854968446</v>
      </c>
      <c r="P82" s="1">
        <v>434.00531046353086</v>
      </c>
      <c r="Q82" s="1">
        <v>436.17982375280542</v>
      </c>
      <c r="R82" s="1">
        <v>-1.4464769027578743</v>
      </c>
      <c r="S82" s="19">
        <v>12.531418309288814</v>
      </c>
      <c r="T82" s="19">
        <v>12.523138664521726</v>
      </c>
      <c r="U82" s="19">
        <v>12.513462651663737</v>
      </c>
      <c r="V82" s="19">
        <v>11.25180253538524</v>
      </c>
      <c r="W82" s="19">
        <v>8.9919061402423814</v>
      </c>
      <c r="X82" s="19">
        <v>7.1848911864835872</v>
      </c>
      <c r="Y82" s="19">
        <v>5.740218513378359</v>
      </c>
      <c r="Z82" s="19">
        <v>4.5854112732968026</v>
      </c>
      <c r="AA82" s="19">
        <v>3.6624468540431345</v>
      </c>
      <c r="AB82" s="19">
        <v>2.9248856959566063</v>
      </c>
      <c r="AC82" s="19">
        <v>2.3355669038920159</v>
      </c>
      <c r="AD82" s="19">
        <v>0.5176035992906709</v>
      </c>
      <c r="AE82" s="19">
        <v>0</v>
      </c>
      <c r="AF82" s="19">
        <v>0</v>
      </c>
      <c r="AG82" s="19">
        <v>0</v>
      </c>
      <c r="AH82" s="19">
        <v>0</v>
      </c>
      <c r="AI82" s="19">
        <v>0</v>
      </c>
      <c r="AJ82" s="19">
        <v>0</v>
      </c>
      <c r="AK82" s="19">
        <v>0</v>
      </c>
      <c r="AL82" s="19">
        <v>0</v>
      </c>
      <c r="AM82" s="19">
        <v>0</v>
      </c>
      <c r="AN82" s="19">
        <v>0</v>
      </c>
      <c r="AO82" s="19">
        <v>0</v>
      </c>
      <c r="AP82" s="19">
        <v>0</v>
      </c>
      <c r="AQ82" s="19">
        <v>0</v>
      </c>
      <c r="AR82" s="19">
        <v>84.762752327443067</v>
      </c>
    </row>
    <row r="83" spans="1:44" x14ac:dyDescent="0.25">
      <c r="A83" t="s">
        <v>131</v>
      </c>
      <c r="B83" t="s">
        <v>169</v>
      </c>
      <c r="C83" t="s">
        <v>44</v>
      </c>
      <c r="D83" t="s">
        <v>170</v>
      </c>
      <c r="E83" t="s">
        <v>134</v>
      </c>
      <c r="F83" t="s">
        <v>170</v>
      </c>
      <c r="G83" t="s">
        <v>28</v>
      </c>
      <c r="H83" t="s">
        <v>54</v>
      </c>
      <c r="I83" t="s">
        <v>135</v>
      </c>
      <c r="J83" t="s">
        <v>39</v>
      </c>
      <c r="K83" t="s">
        <v>28</v>
      </c>
      <c r="L83">
        <v>0.18512678951486083</v>
      </c>
      <c r="M83">
        <v>0</v>
      </c>
      <c r="N83" s="2">
        <v>6.2430348562854286E-3</v>
      </c>
      <c r="O83" s="2">
        <v>3.7403155854968446</v>
      </c>
      <c r="P83" s="1">
        <v>434.00531046353086</v>
      </c>
      <c r="Q83" s="1">
        <v>436.17982375280542</v>
      </c>
      <c r="R83" s="1">
        <v>-1.4464769027578743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19">
        <v>0</v>
      </c>
      <c r="AI83" s="19">
        <v>0</v>
      </c>
      <c r="AJ83" s="19">
        <v>0</v>
      </c>
      <c r="AK83" s="19">
        <v>0</v>
      </c>
      <c r="AL83" s="19">
        <v>0</v>
      </c>
      <c r="AM83" s="19">
        <v>0</v>
      </c>
      <c r="AN83" s="19">
        <v>0</v>
      </c>
      <c r="AO83" s="19">
        <v>0</v>
      </c>
      <c r="AP83" s="19">
        <v>0</v>
      </c>
      <c r="AQ83" s="19">
        <v>0</v>
      </c>
      <c r="AR83" s="19">
        <v>0</v>
      </c>
    </row>
    <row r="84" spans="1:44" x14ac:dyDescent="0.25">
      <c r="A84" t="s">
        <v>131</v>
      </c>
      <c r="B84" t="s">
        <v>169</v>
      </c>
      <c r="C84" t="s">
        <v>44</v>
      </c>
      <c r="D84" t="s">
        <v>170</v>
      </c>
      <c r="E84" t="s">
        <v>134</v>
      </c>
      <c r="F84" t="s">
        <v>170</v>
      </c>
      <c r="G84" t="s">
        <v>28</v>
      </c>
      <c r="H84" t="s">
        <v>141</v>
      </c>
      <c r="I84" t="s">
        <v>135</v>
      </c>
      <c r="J84" t="s">
        <v>39</v>
      </c>
      <c r="K84" t="s">
        <v>28</v>
      </c>
      <c r="L84">
        <v>0.18512678951486083</v>
      </c>
      <c r="M84">
        <v>0</v>
      </c>
      <c r="N84" s="2">
        <v>6.2430348562854286E-3</v>
      </c>
      <c r="O84" s="2">
        <v>3.7403155854968446</v>
      </c>
      <c r="P84" s="1">
        <v>434.00531046353086</v>
      </c>
      <c r="Q84" s="1">
        <v>436.17982375280542</v>
      </c>
      <c r="R84" s="1">
        <v>-1.4464769027578743</v>
      </c>
      <c r="S84" s="19">
        <v>10.547277076984754</v>
      </c>
      <c r="T84" s="19">
        <v>10.540308375972453</v>
      </c>
      <c r="U84" s="19">
        <v>10.532164398483644</v>
      </c>
      <c r="V84" s="19">
        <v>9.4702671339492408</v>
      </c>
      <c r="W84" s="19">
        <v>7.5681876680373357</v>
      </c>
      <c r="X84" s="19">
        <v>6.0472834152903534</v>
      </c>
      <c r="Y84" s="19">
        <v>4.8313505820934521</v>
      </c>
      <c r="Z84" s="19">
        <v>3.8593878216914752</v>
      </c>
      <c r="AA84" s="19">
        <v>3.0825594354863033</v>
      </c>
      <c r="AB84" s="19">
        <v>2.4617787940968103</v>
      </c>
      <c r="AC84" s="19">
        <v>1.9657688107757796</v>
      </c>
      <c r="AD84" s="19">
        <v>0.43564969606962606</v>
      </c>
      <c r="AE84" s="19">
        <v>0</v>
      </c>
      <c r="AF84" s="19">
        <v>0</v>
      </c>
      <c r="AG84" s="19">
        <v>0</v>
      </c>
      <c r="AH84" s="19">
        <v>0</v>
      </c>
      <c r="AI84" s="19">
        <v>0</v>
      </c>
      <c r="AJ84" s="19">
        <v>0</v>
      </c>
      <c r="AK84" s="19">
        <v>0</v>
      </c>
      <c r="AL84" s="19">
        <v>0</v>
      </c>
      <c r="AM84" s="19">
        <v>0</v>
      </c>
      <c r="AN84" s="19">
        <v>0</v>
      </c>
      <c r="AO84" s="19">
        <v>0</v>
      </c>
      <c r="AP84" s="19">
        <v>0</v>
      </c>
      <c r="AQ84" s="19">
        <v>0</v>
      </c>
      <c r="AR84" s="19">
        <v>71.341983208931254</v>
      </c>
    </row>
    <row r="85" spans="1:44" x14ac:dyDescent="0.25">
      <c r="A85" t="s">
        <v>131</v>
      </c>
      <c r="B85" t="s">
        <v>169</v>
      </c>
      <c r="C85" t="s">
        <v>44</v>
      </c>
      <c r="D85" t="s">
        <v>170</v>
      </c>
      <c r="E85" t="s">
        <v>134</v>
      </c>
      <c r="F85" t="s">
        <v>170</v>
      </c>
      <c r="G85" t="s">
        <v>28</v>
      </c>
      <c r="H85" t="s">
        <v>142</v>
      </c>
      <c r="I85" t="s">
        <v>135</v>
      </c>
      <c r="J85" t="s">
        <v>39</v>
      </c>
      <c r="K85" t="s">
        <v>28</v>
      </c>
      <c r="L85">
        <v>0.18512678951486083</v>
      </c>
      <c r="M85">
        <v>0</v>
      </c>
      <c r="N85" s="2">
        <v>6.2430348562854286E-3</v>
      </c>
      <c r="O85" s="2">
        <v>3.7403155854968446</v>
      </c>
      <c r="P85" s="1">
        <v>434.00531046353086</v>
      </c>
      <c r="Q85" s="1">
        <v>436.17982375280542</v>
      </c>
      <c r="R85" s="1">
        <v>-1.4464769027578743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19">
        <v>0</v>
      </c>
      <c r="AI85" s="19">
        <v>0</v>
      </c>
      <c r="AJ85" s="19">
        <v>0</v>
      </c>
      <c r="AK85" s="19">
        <v>0</v>
      </c>
      <c r="AL85" s="19">
        <v>0</v>
      </c>
      <c r="AM85" s="19">
        <v>0</v>
      </c>
      <c r="AN85" s="19">
        <v>0</v>
      </c>
      <c r="AO85" s="19">
        <v>0</v>
      </c>
      <c r="AP85" s="19">
        <v>0</v>
      </c>
      <c r="AQ85" s="19">
        <v>0</v>
      </c>
      <c r="AR85" s="19">
        <v>0</v>
      </c>
    </row>
    <row r="86" spans="1:44" x14ac:dyDescent="0.25">
      <c r="A86" t="s">
        <v>131</v>
      </c>
      <c r="B86" t="s">
        <v>171</v>
      </c>
      <c r="C86" t="s">
        <v>43</v>
      </c>
      <c r="D86" t="s">
        <v>172</v>
      </c>
      <c r="E86" t="s">
        <v>145</v>
      </c>
      <c r="F86" t="s">
        <v>172</v>
      </c>
      <c r="G86" t="s">
        <v>28</v>
      </c>
      <c r="H86" t="s">
        <v>52</v>
      </c>
      <c r="I86" t="s">
        <v>135</v>
      </c>
      <c r="J86" t="s">
        <v>39</v>
      </c>
      <c r="K86" t="s">
        <v>28</v>
      </c>
      <c r="L86">
        <v>1.6000000000000014</v>
      </c>
      <c r="M86">
        <v>1</v>
      </c>
      <c r="N86" s="2">
        <v>1.0868938912758126</v>
      </c>
      <c r="O86" s="2">
        <v>2.2991652021706153</v>
      </c>
      <c r="P86" s="1">
        <v>0.35237906657670803</v>
      </c>
      <c r="Q86" s="1">
        <v>1.5400545897156579</v>
      </c>
      <c r="R86" s="1">
        <v>-0.4596391366222527</v>
      </c>
      <c r="S86" s="19">
        <v>0.99924426145704959</v>
      </c>
      <c r="T86" s="19">
        <v>1.5359138647820547</v>
      </c>
      <c r="U86" s="19">
        <v>3.3510560806996654</v>
      </c>
      <c r="V86" s="19">
        <v>6.2997894130406475</v>
      </c>
      <c r="W86" s="19">
        <v>10.76879264410808</v>
      </c>
      <c r="X86" s="19">
        <v>17.158300272209356</v>
      </c>
      <c r="Y86" s="19">
        <v>25.832739293641151</v>
      </c>
      <c r="Z86" s="19">
        <v>37.053067562107984</v>
      </c>
      <c r="AA86" s="19">
        <v>50.895995220106471</v>
      </c>
      <c r="AB86" s="19">
        <v>67.173679270084961</v>
      </c>
      <c r="AC86" s="19">
        <v>85.376318578405204</v>
      </c>
      <c r="AD86" s="19">
        <v>104.66574517765081</v>
      </c>
      <c r="AE86" s="19">
        <v>183.00617614213911</v>
      </c>
      <c r="AF86" s="19">
        <v>169.8430339667411</v>
      </c>
      <c r="AG86" s="19">
        <v>194.59065888243848</v>
      </c>
      <c r="AH86" s="19">
        <v>210.31029799352811</v>
      </c>
      <c r="AI86" s="19">
        <v>220.14230148782377</v>
      </c>
      <c r="AJ86" s="19">
        <v>225.7044102230364</v>
      </c>
      <c r="AK86" s="19">
        <v>226.28238576840883</v>
      </c>
      <c r="AL86" s="19">
        <v>225.52464045972849</v>
      </c>
      <c r="AM86" s="19">
        <v>221.61615446358209</v>
      </c>
      <c r="AN86" s="19">
        <v>216.53883468338492</v>
      </c>
      <c r="AO86" s="19">
        <v>162.33013365237022</v>
      </c>
      <c r="AP86" s="19">
        <v>15.717836918283233</v>
      </c>
      <c r="AQ86" s="19">
        <v>11.68586077244656</v>
      </c>
      <c r="AR86" s="19">
        <v>2694.4033670522044</v>
      </c>
    </row>
    <row r="87" spans="1:44" x14ac:dyDescent="0.25">
      <c r="A87" t="s">
        <v>131</v>
      </c>
      <c r="B87" t="s">
        <v>171</v>
      </c>
      <c r="C87" t="s">
        <v>43</v>
      </c>
      <c r="D87" t="s">
        <v>172</v>
      </c>
      <c r="E87" t="s">
        <v>148</v>
      </c>
      <c r="F87" t="s">
        <v>172</v>
      </c>
      <c r="G87" t="s">
        <v>28</v>
      </c>
      <c r="H87" t="s">
        <v>52</v>
      </c>
      <c r="I87" t="s">
        <v>135</v>
      </c>
      <c r="J87" t="s">
        <v>39</v>
      </c>
      <c r="K87" t="s">
        <v>28</v>
      </c>
      <c r="L87">
        <v>1.6000000000000014</v>
      </c>
      <c r="M87">
        <v>1</v>
      </c>
      <c r="N87" s="2">
        <v>1.0868938912758126</v>
      </c>
      <c r="O87" s="2">
        <v>2.2991652021706153</v>
      </c>
      <c r="P87" s="1">
        <v>0.35237906657670803</v>
      </c>
      <c r="Q87" s="1">
        <v>1.5400545897156579</v>
      </c>
      <c r="R87" s="1">
        <v>-0.4596391366222527</v>
      </c>
      <c r="S87" s="19">
        <v>0.47062187861094607</v>
      </c>
      <c r="T87" s="19">
        <v>0.29786876696389797</v>
      </c>
      <c r="U87" s="19">
        <v>0.77989854161664096</v>
      </c>
      <c r="V87" s="19">
        <v>1.489364633370498</v>
      </c>
      <c r="W87" s="19">
        <v>2.5004169996604793</v>
      </c>
      <c r="X87" s="19">
        <v>3.8657564252722953</v>
      </c>
      <c r="Y87" s="19">
        <v>5.5724584578456211</v>
      </c>
      <c r="Z87" s="19">
        <v>7.664317203404746</v>
      </c>
      <c r="AA87" s="19">
        <v>10.074610333950089</v>
      </c>
      <c r="AB87" s="19">
        <v>12.682332598703436</v>
      </c>
      <c r="AC87" s="19">
        <v>15.33270094440968</v>
      </c>
      <c r="AD87" s="19">
        <v>17.826138861140365</v>
      </c>
      <c r="AE87" s="19">
        <v>19.951832977996524</v>
      </c>
      <c r="AF87" s="19">
        <v>21.523641169881728</v>
      </c>
      <c r="AG87" s="19">
        <v>22.416234910875989</v>
      </c>
      <c r="AH87" s="19">
        <v>22.589726703909719</v>
      </c>
      <c r="AI87" s="19">
        <v>22.093014231562837</v>
      </c>
      <c r="AJ87" s="19">
        <v>21.101351765589733</v>
      </c>
      <c r="AK87" s="19">
        <v>19.626853040966427</v>
      </c>
      <c r="AL87" s="19">
        <v>17.99585702800999</v>
      </c>
      <c r="AM87" s="19">
        <v>16.103291091447225</v>
      </c>
      <c r="AN87" s="19">
        <v>14.133456223572932</v>
      </c>
      <c r="AO87" s="19">
        <v>12.159253730665604</v>
      </c>
      <c r="AP87" s="19">
        <v>10.181396648510541</v>
      </c>
      <c r="AQ87" s="19">
        <v>8.2007194927678349</v>
      </c>
      <c r="AR87" s="19">
        <v>306.63311466070581</v>
      </c>
    </row>
    <row r="88" spans="1:44" x14ac:dyDescent="0.25">
      <c r="A88" t="s">
        <v>131</v>
      </c>
      <c r="B88" t="s">
        <v>171</v>
      </c>
      <c r="C88" t="s">
        <v>43</v>
      </c>
      <c r="D88" t="s">
        <v>172</v>
      </c>
      <c r="E88" t="s">
        <v>145</v>
      </c>
      <c r="F88" t="s">
        <v>172</v>
      </c>
      <c r="G88" t="s">
        <v>28</v>
      </c>
      <c r="H88" t="s">
        <v>53</v>
      </c>
      <c r="I88" t="s">
        <v>135</v>
      </c>
      <c r="J88" t="s">
        <v>39</v>
      </c>
      <c r="K88" t="s">
        <v>28</v>
      </c>
      <c r="L88">
        <v>1.6000000000000014</v>
      </c>
      <c r="M88">
        <v>1</v>
      </c>
      <c r="N88" s="2">
        <v>1.0868938912758126</v>
      </c>
      <c r="O88" s="2">
        <v>2.2991652021706153</v>
      </c>
      <c r="P88" s="1">
        <v>0.35237906657670803</v>
      </c>
      <c r="Q88" s="1">
        <v>1.5400545897156579</v>
      </c>
      <c r="R88" s="1">
        <v>-0.4596391366222527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19">
        <v>0</v>
      </c>
      <c r="AI88" s="19">
        <v>0</v>
      </c>
      <c r="AJ88" s="19">
        <v>0</v>
      </c>
      <c r="AK88" s="19">
        <v>0</v>
      </c>
      <c r="AL88" s="19">
        <v>0</v>
      </c>
      <c r="AM88" s="19">
        <v>0</v>
      </c>
      <c r="AN88" s="19">
        <v>0</v>
      </c>
      <c r="AO88" s="19">
        <v>0</v>
      </c>
      <c r="AP88" s="19">
        <v>0</v>
      </c>
      <c r="AQ88" s="19">
        <v>0</v>
      </c>
      <c r="AR88" s="19">
        <v>0</v>
      </c>
    </row>
    <row r="89" spans="1:44" x14ac:dyDescent="0.25">
      <c r="A89" t="s">
        <v>131</v>
      </c>
      <c r="B89" t="s">
        <v>171</v>
      </c>
      <c r="C89" t="s">
        <v>43</v>
      </c>
      <c r="D89" t="s">
        <v>172</v>
      </c>
      <c r="E89" t="s">
        <v>148</v>
      </c>
      <c r="F89" t="s">
        <v>172</v>
      </c>
      <c r="G89" t="s">
        <v>28</v>
      </c>
      <c r="H89" t="s">
        <v>53</v>
      </c>
      <c r="I89" t="s">
        <v>135</v>
      </c>
      <c r="J89" t="s">
        <v>39</v>
      </c>
      <c r="K89" t="s">
        <v>28</v>
      </c>
      <c r="L89">
        <v>1.6000000000000014</v>
      </c>
      <c r="M89">
        <v>1</v>
      </c>
      <c r="N89" s="2">
        <v>1.0868938912758126</v>
      </c>
      <c r="O89" s="2">
        <v>2.2991652021706153</v>
      </c>
      <c r="P89" s="1">
        <v>0.35237906657670803</v>
      </c>
      <c r="Q89" s="1">
        <v>1.5400545897156579</v>
      </c>
      <c r="R89" s="1">
        <v>-0.4596391366222527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19">
        <v>0</v>
      </c>
      <c r="AI89" s="19">
        <v>0</v>
      </c>
      <c r="AJ89" s="19">
        <v>0</v>
      </c>
      <c r="AK89" s="19">
        <v>0</v>
      </c>
      <c r="AL89" s="19">
        <v>0</v>
      </c>
      <c r="AM89" s="19">
        <v>0</v>
      </c>
      <c r="AN89" s="19">
        <v>0</v>
      </c>
      <c r="AO89" s="19">
        <v>0</v>
      </c>
      <c r="AP89" s="19">
        <v>0</v>
      </c>
      <c r="AQ89" s="19">
        <v>0</v>
      </c>
      <c r="AR89" s="19">
        <v>0</v>
      </c>
    </row>
    <row r="90" spans="1:44" x14ac:dyDescent="0.25">
      <c r="A90" t="s">
        <v>131</v>
      </c>
      <c r="B90" t="s">
        <v>171</v>
      </c>
      <c r="C90" t="s">
        <v>43</v>
      </c>
      <c r="D90" t="s">
        <v>172</v>
      </c>
      <c r="E90" t="s">
        <v>145</v>
      </c>
      <c r="F90" t="s">
        <v>172</v>
      </c>
      <c r="G90" t="s">
        <v>28</v>
      </c>
      <c r="H90" t="s">
        <v>54</v>
      </c>
      <c r="I90" t="s">
        <v>135</v>
      </c>
      <c r="J90" t="s">
        <v>39</v>
      </c>
      <c r="K90" t="s">
        <v>28</v>
      </c>
      <c r="L90">
        <v>1.6000000000000014</v>
      </c>
      <c r="M90">
        <v>1</v>
      </c>
      <c r="N90" s="2">
        <v>1.0868938912758126</v>
      </c>
      <c r="O90" s="2">
        <v>2.2991652021706153</v>
      </c>
      <c r="P90" s="1">
        <v>0.35237906657670803</v>
      </c>
      <c r="Q90" s="1">
        <v>1.5400545897156579</v>
      </c>
      <c r="R90" s="1">
        <v>-0.4596391366222527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4.3352620428813191</v>
      </c>
      <c r="AF90" s="19">
        <v>2.0429805083857167</v>
      </c>
      <c r="AG90" s="19">
        <v>2.7029235728945289</v>
      </c>
      <c r="AH90" s="19">
        <v>2.9261432246037269</v>
      </c>
      <c r="AI90" s="19">
        <v>2.9648447787024157</v>
      </c>
      <c r="AJ90" s="19">
        <v>2.8858161382974816</v>
      </c>
      <c r="AK90" s="19">
        <v>2.6818524235674492</v>
      </c>
      <c r="AL90" s="19">
        <v>2.4395085487652848</v>
      </c>
      <c r="AM90" s="19">
        <v>2.1381406836211609</v>
      </c>
      <c r="AN90" s="19">
        <v>1.8090161059370296</v>
      </c>
      <c r="AO90" s="19">
        <v>1.4759835660151164</v>
      </c>
      <c r="AP90" s="19">
        <v>1.1537320559191049</v>
      </c>
      <c r="AQ90" s="19">
        <v>0.85777402095935573</v>
      </c>
      <c r="AR90" s="19">
        <v>30.413977670549688</v>
      </c>
    </row>
    <row r="91" spans="1:44" x14ac:dyDescent="0.25">
      <c r="A91" t="s">
        <v>131</v>
      </c>
      <c r="B91" t="s">
        <v>171</v>
      </c>
      <c r="C91" t="s">
        <v>43</v>
      </c>
      <c r="D91" t="s">
        <v>172</v>
      </c>
      <c r="E91" t="s">
        <v>148</v>
      </c>
      <c r="F91" t="s">
        <v>172</v>
      </c>
      <c r="G91" t="s">
        <v>28</v>
      </c>
      <c r="H91" t="s">
        <v>54</v>
      </c>
      <c r="I91" t="s">
        <v>135</v>
      </c>
      <c r="J91" t="s">
        <v>39</v>
      </c>
      <c r="K91" t="s">
        <v>28</v>
      </c>
      <c r="L91">
        <v>1.6000000000000014</v>
      </c>
      <c r="M91">
        <v>1</v>
      </c>
      <c r="N91" s="2">
        <v>1.0868938912758126</v>
      </c>
      <c r="O91" s="2">
        <v>2.2991652021706153</v>
      </c>
      <c r="P91" s="1">
        <v>0.35237906657670803</v>
      </c>
      <c r="Q91" s="1">
        <v>1.5400545897156579</v>
      </c>
      <c r="R91" s="1">
        <v>-0.4596391366222527</v>
      </c>
      <c r="S91" s="19">
        <v>3.4544928185297835E-2</v>
      </c>
      <c r="T91" s="19">
        <v>2.1864379093003192E-2</v>
      </c>
      <c r="U91" s="19">
        <v>5.7246677930665041E-2</v>
      </c>
      <c r="V91" s="19">
        <v>0.10932342213532932</v>
      </c>
      <c r="W91" s="19">
        <v>0.18353742061782716</v>
      </c>
      <c r="X91" s="19">
        <v>0.28375705457434047</v>
      </c>
      <c r="Y91" s="19">
        <v>0.4090336339865937</v>
      </c>
      <c r="Z91" s="19">
        <v>0.56258176556180306</v>
      </c>
      <c r="AA91" s="19">
        <v>0.73950384862763829</v>
      </c>
      <c r="AB91" s="19">
        <v>0.93091776807607041</v>
      </c>
      <c r="AC91" s="19">
        <v>1.1254620260634811</v>
      </c>
      <c r="AD91" s="19">
        <v>1.3084871629784849</v>
      </c>
      <c r="AE91" s="19">
        <v>1.4645189029975514</v>
      </c>
      <c r="AF91" s="19">
        <v>1.579893906960411</v>
      </c>
      <c r="AG91" s="19">
        <v>1.6454127195840258</v>
      </c>
      <c r="AH91" s="19">
        <v>1.6581474899027566</v>
      </c>
      <c r="AI91" s="19">
        <v>1.6216874410486537</v>
      </c>
      <c r="AJ91" s="19">
        <v>1.5488967140807606</v>
      </c>
      <c r="AK91" s="19">
        <v>1.4406644901523669</v>
      </c>
      <c r="AL91" s="19">
        <v>1.320944938854822</v>
      </c>
      <c r="AM91" s="19">
        <v>1.1820254424696504</v>
      </c>
      <c r="AN91" s="19">
        <v>1.037434195992782</v>
      </c>
      <c r="AO91" s="19">
        <v>0.89252235393817503</v>
      </c>
      <c r="AP91" s="19">
        <v>0.74734225507521534</v>
      </c>
      <c r="AQ91" s="19">
        <v>0.60195515512705888</v>
      </c>
      <c r="AR91" s="19">
        <v>22.507706094014761</v>
      </c>
    </row>
    <row r="92" spans="1:44" x14ac:dyDescent="0.25">
      <c r="A92" t="s">
        <v>131</v>
      </c>
      <c r="B92" t="s">
        <v>171</v>
      </c>
      <c r="C92" t="s">
        <v>43</v>
      </c>
      <c r="D92" t="s">
        <v>172</v>
      </c>
      <c r="E92" t="s">
        <v>145</v>
      </c>
      <c r="F92" t="s">
        <v>172</v>
      </c>
      <c r="G92" t="s">
        <v>28</v>
      </c>
      <c r="H92" t="s">
        <v>55</v>
      </c>
      <c r="I92" t="s">
        <v>135</v>
      </c>
      <c r="J92" t="s">
        <v>39</v>
      </c>
      <c r="K92" t="s">
        <v>28</v>
      </c>
      <c r="L92">
        <v>1.6000000000000014</v>
      </c>
      <c r="M92">
        <v>1</v>
      </c>
      <c r="N92" s="2">
        <v>1.0868938912758126</v>
      </c>
      <c r="O92" s="2">
        <v>2.2991652021706153</v>
      </c>
      <c r="P92" s="1">
        <v>0.35237906657670803</v>
      </c>
      <c r="Q92" s="1">
        <v>1.5400545897156579</v>
      </c>
      <c r="R92" s="1">
        <v>-0.4596391366222527</v>
      </c>
      <c r="S92" s="19">
        <v>1.9179761464551272E-3</v>
      </c>
      <c r="T92" s="19">
        <v>2.9480741289083789E-3</v>
      </c>
      <c r="U92" s="19">
        <v>6.432106619099787E-3</v>
      </c>
      <c r="V92" s="19">
        <v>1.209198420042352E-2</v>
      </c>
      <c r="W92" s="19">
        <v>2.0669908464026263E-2</v>
      </c>
      <c r="X92" s="19">
        <v>3.2934100204714163E-2</v>
      </c>
      <c r="Y92" s="19">
        <v>4.9584050340755914E-2</v>
      </c>
      <c r="Z92" s="19">
        <v>7.1120648352272803E-2</v>
      </c>
      <c r="AA92" s="19">
        <v>9.7691133737328198E-2</v>
      </c>
      <c r="AB92" s="19">
        <v>0.12893495562514976</v>
      </c>
      <c r="AC92" s="19">
        <v>0.16387358809222782</v>
      </c>
      <c r="AD92" s="19">
        <v>0.20089822913665403</v>
      </c>
      <c r="AE92" s="19">
        <v>0.237903064021665</v>
      </c>
      <c r="AF92" s="19">
        <v>0.27257883661832527</v>
      </c>
      <c r="AG92" s="19">
        <v>0.30282306844568546</v>
      </c>
      <c r="AH92" s="19">
        <v>0.32715873586283972</v>
      </c>
      <c r="AI92" s="19">
        <v>0.34501852929676435</v>
      </c>
      <c r="AJ92" s="19">
        <v>0.35776112973381763</v>
      </c>
      <c r="AK92" s="19">
        <v>0.36420401109351319</v>
      </c>
      <c r="AL92" s="19">
        <v>0.3690866868198529</v>
      </c>
      <c r="AM92" s="19">
        <v>0.36946518015542734</v>
      </c>
      <c r="AN92" s="19">
        <v>0.36832600009841088</v>
      </c>
      <c r="AO92" s="19">
        <v>0.27298492383691009</v>
      </c>
      <c r="AP92" s="19">
        <v>0</v>
      </c>
      <c r="AQ92" s="19">
        <v>0</v>
      </c>
      <c r="AR92" s="19">
        <v>4.3764069210312275</v>
      </c>
    </row>
    <row r="93" spans="1:44" x14ac:dyDescent="0.25">
      <c r="A93" t="s">
        <v>131</v>
      </c>
      <c r="B93" t="s">
        <v>171</v>
      </c>
      <c r="C93" t="s">
        <v>43</v>
      </c>
      <c r="D93" t="s">
        <v>172</v>
      </c>
      <c r="E93" t="s">
        <v>148</v>
      </c>
      <c r="F93" t="s">
        <v>172</v>
      </c>
      <c r="G93" t="s">
        <v>28</v>
      </c>
      <c r="H93" t="s">
        <v>55</v>
      </c>
      <c r="I93" t="s">
        <v>135</v>
      </c>
      <c r="J93" t="s">
        <v>39</v>
      </c>
      <c r="K93" t="s">
        <v>28</v>
      </c>
      <c r="L93">
        <v>1.6000000000000014</v>
      </c>
      <c r="M93">
        <v>1</v>
      </c>
      <c r="N93" s="2">
        <v>1.0868938912758126</v>
      </c>
      <c r="O93" s="2">
        <v>2.2991652021706153</v>
      </c>
      <c r="P93" s="1">
        <v>0.35237906657670803</v>
      </c>
      <c r="Q93" s="1">
        <v>1.5400545897156579</v>
      </c>
      <c r="R93" s="1">
        <v>-0.4596391366222527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19">
        <v>0</v>
      </c>
      <c r="AI93" s="19">
        <v>0</v>
      </c>
      <c r="AJ93" s="19">
        <v>0</v>
      </c>
      <c r="AK93" s="19">
        <v>0</v>
      </c>
      <c r="AL93" s="19">
        <v>0</v>
      </c>
      <c r="AM93" s="19">
        <v>0</v>
      </c>
      <c r="AN93" s="19">
        <v>0</v>
      </c>
      <c r="AO93" s="19">
        <v>0</v>
      </c>
      <c r="AP93" s="19">
        <v>0</v>
      </c>
      <c r="AQ93" s="19">
        <v>0</v>
      </c>
      <c r="AR93" s="19">
        <v>0</v>
      </c>
    </row>
    <row r="94" spans="1:44" x14ac:dyDescent="0.25">
      <c r="A94" t="s">
        <v>131</v>
      </c>
      <c r="B94" t="s">
        <v>171</v>
      </c>
      <c r="C94" t="s">
        <v>43</v>
      </c>
      <c r="D94" t="s">
        <v>172</v>
      </c>
      <c r="E94" t="s">
        <v>145</v>
      </c>
      <c r="F94" t="s">
        <v>172</v>
      </c>
      <c r="G94" t="s">
        <v>28</v>
      </c>
      <c r="H94" t="s">
        <v>138</v>
      </c>
      <c r="I94" t="s">
        <v>135</v>
      </c>
      <c r="J94" t="s">
        <v>39</v>
      </c>
      <c r="K94" t="s">
        <v>28</v>
      </c>
      <c r="L94">
        <v>1.6000000000000014</v>
      </c>
      <c r="M94">
        <v>1</v>
      </c>
      <c r="N94" s="2">
        <v>1.0868938912758126</v>
      </c>
      <c r="O94" s="2">
        <v>2.2991652021706153</v>
      </c>
      <c r="P94" s="1">
        <v>0.35237906657670803</v>
      </c>
      <c r="Q94" s="1">
        <v>1.5400545897156579</v>
      </c>
      <c r="R94" s="1">
        <v>-0.4596391366222527</v>
      </c>
      <c r="S94" s="19">
        <v>0.34662091135658496</v>
      </c>
      <c r="T94" s="19">
        <v>0.5327825078521643</v>
      </c>
      <c r="U94" s="19">
        <v>1.1624246017739777</v>
      </c>
      <c r="V94" s="19">
        <v>2.1852902557765397</v>
      </c>
      <c r="W94" s="19">
        <v>3.7355117907487454</v>
      </c>
      <c r="X94" s="19">
        <v>5.9519237758852865</v>
      </c>
      <c r="Y94" s="19">
        <v>8.9609397643599422</v>
      </c>
      <c r="Z94" s="19">
        <v>12.853081616107966</v>
      </c>
      <c r="AA94" s="19">
        <v>17.654958780418259</v>
      </c>
      <c r="AB94" s="19">
        <v>23.301411702700673</v>
      </c>
      <c r="AC94" s="19">
        <v>29.6155990035565</v>
      </c>
      <c r="AD94" s="19">
        <v>36.306774410085318</v>
      </c>
      <c r="AE94" s="19">
        <v>63.481743158350447</v>
      </c>
      <c r="AF94" s="19">
        <v>58.91567206528277</v>
      </c>
      <c r="AG94" s="19">
        <v>67.500204029151035</v>
      </c>
      <c r="AH94" s="19">
        <v>72.953080613037926</v>
      </c>
      <c r="AI94" s="19">
        <v>76.363636112935964</v>
      </c>
      <c r="AJ94" s="19">
        <v>78.293037434743482</v>
      </c>
      <c r="AK94" s="19">
        <v>78.493527362988559</v>
      </c>
      <c r="AL94" s="19">
        <v>78.230678348386249</v>
      </c>
      <c r="AM94" s="19">
        <v>76.874890749432964</v>
      </c>
      <c r="AN94" s="19">
        <v>75.113654505859714</v>
      </c>
      <c r="AO94" s="19">
        <v>56.309574182768031</v>
      </c>
      <c r="AP94" s="19">
        <v>5.4522514337238555</v>
      </c>
      <c r="AQ94" s="19">
        <v>4.0536271932402643</v>
      </c>
      <c r="AR94" s="19">
        <v>934.64289631052316</v>
      </c>
    </row>
    <row r="95" spans="1:44" x14ac:dyDescent="0.25">
      <c r="A95" t="s">
        <v>131</v>
      </c>
      <c r="B95" t="s">
        <v>171</v>
      </c>
      <c r="C95" t="s">
        <v>43</v>
      </c>
      <c r="D95" t="s">
        <v>172</v>
      </c>
      <c r="E95" t="s">
        <v>148</v>
      </c>
      <c r="F95" t="s">
        <v>172</v>
      </c>
      <c r="G95" t="s">
        <v>28</v>
      </c>
      <c r="H95" t="s">
        <v>138</v>
      </c>
      <c r="I95" t="s">
        <v>135</v>
      </c>
      <c r="J95" t="s">
        <v>39</v>
      </c>
      <c r="K95" t="s">
        <v>28</v>
      </c>
      <c r="L95">
        <v>1.6000000000000014</v>
      </c>
      <c r="M95">
        <v>1</v>
      </c>
      <c r="N95" s="2">
        <v>1.0868938912758126</v>
      </c>
      <c r="O95" s="2">
        <v>2.2991652021706153</v>
      </c>
      <c r="P95" s="1">
        <v>0.35237906657670803</v>
      </c>
      <c r="Q95" s="1">
        <v>1.5400545897156579</v>
      </c>
      <c r="R95" s="1">
        <v>-0.4596391366222527</v>
      </c>
      <c r="S95" s="19">
        <v>0.1632507593594881</v>
      </c>
      <c r="T95" s="19">
        <v>0.10332563063123124</v>
      </c>
      <c r="U95" s="19">
        <v>0.27053359592643622</v>
      </c>
      <c r="V95" s="19">
        <v>0.51663536782126218</v>
      </c>
      <c r="W95" s="19">
        <v>0.86735231076537589</v>
      </c>
      <c r="X95" s="19">
        <v>1.3409654344740531</v>
      </c>
      <c r="Y95" s="19">
        <v>1.932991465308689</v>
      </c>
      <c r="Z95" s="19">
        <v>2.6586218369634258</v>
      </c>
      <c r="AA95" s="19">
        <v>3.4947117038473432</v>
      </c>
      <c r="AB95" s="19">
        <v>4.3992863937791746</v>
      </c>
      <c r="AC95" s="19">
        <v>5.3186542869505127</v>
      </c>
      <c r="AD95" s="19">
        <v>6.1835856720435336</v>
      </c>
      <c r="AE95" s="19">
        <v>6.9209529609740565</v>
      </c>
      <c r="AF95" s="19">
        <v>7.4661866030012867</v>
      </c>
      <c r="AG95" s="19">
        <v>7.775812255014988</v>
      </c>
      <c r="AH95" s="19">
        <v>7.835993619806163</v>
      </c>
      <c r="AI95" s="19">
        <v>7.6636924753432494</v>
      </c>
      <c r="AJ95" s="19">
        <v>7.3197015604367346</v>
      </c>
      <c r="AK95" s="19">
        <v>6.8082229245946442</v>
      </c>
      <c r="AL95" s="19">
        <v>6.2424580298274286</v>
      </c>
      <c r="AM95" s="19">
        <v>5.5859589584421174</v>
      </c>
      <c r="AN95" s="19">
        <v>4.9026566033912662</v>
      </c>
      <c r="AO95" s="19">
        <v>4.2178391931855073</v>
      </c>
      <c r="AP95" s="19">
        <v>3.5317540678629906</v>
      </c>
      <c r="AQ95" s="19">
        <v>2.8446907067727358</v>
      </c>
      <c r="AR95" s="19">
        <v>106.36583441652373</v>
      </c>
    </row>
    <row r="96" spans="1:44" x14ac:dyDescent="0.25">
      <c r="A96" t="s">
        <v>131</v>
      </c>
      <c r="B96" t="s">
        <v>171</v>
      </c>
      <c r="C96" t="s">
        <v>43</v>
      </c>
      <c r="D96" t="s">
        <v>172</v>
      </c>
      <c r="E96" t="s">
        <v>145</v>
      </c>
      <c r="F96" t="s">
        <v>172</v>
      </c>
      <c r="G96" t="s">
        <v>28</v>
      </c>
      <c r="H96" t="s">
        <v>141</v>
      </c>
      <c r="I96" t="s">
        <v>135</v>
      </c>
      <c r="J96" t="s">
        <v>39</v>
      </c>
      <c r="K96" t="s">
        <v>28</v>
      </c>
      <c r="L96">
        <v>1.6000000000000014</v>
      </c>
      <c r="M96">
        <v>1</v>
      </c>
      <c r="N96" s="2">
        <v>1.0868938912758126</v>
      </c>
      <c r="O96" s="2">
        <v>2.2991652021706153</v>
      </c>
      <c r="P96" s="1">
        <v>0.35237906657670803</v>
      </c>
      <c r="Q96" s="1">
        <v>1.5400545897156579</v>
      </c>
      <c r="R96" s="1">
        <v>-0.4596391366222527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19">
        <v>0</v>
      </c>
      <c r="AI96" s="19">
        <v>0</v>
      </c>
      <c r="AJ96" s="19">
        <v>0</v>
      </c>
      <c r="AK96" s="19">
        <v>0</v>
      </c>
      <c r="AL96" s="19">
        <v>0</v>
      </c>
      <c r="AM96" s="19">
        <v>0</v>
      </c>
      <c r="AN96" s="19">
        <v>0</v>
      </c>
      <c r="AO96" s="19">
        <v>0</v>
      </c>
      <c r="AP96" s="19">
        <v>0</v>
      </c>
      <c r="AQ96" s="19">
        <v>0</v>
      </c>
      <c r="AR96" s="19">
        <v>0</v>
      </c>
    </row>
    <row r="97" spans="1:44" x14ac:dyDescent="0.25">
      <c r="A97" t="s">
        <v>131</v>
      </c>
      <c r="B97" t="s">
        <v>171</v>
      </c>
      <c r="C97" t="s">
        <v>43</v>
      </c>
      <c r="D97" t="s">
        <v>172</v>
      </c>
      <c r="E97" t="s">
        <v>148</v>
      </c>
      <c r="F97" t="s">
        <v>172</v>
      </c>
      <c r="G97" t="s">
        <v>28</v>
      </c>
      <c r="H97" t="s">
        <v>141</v>
      </c>
      <c r="I97" t="s">
        <v>135</v>
      </c>
      <c r="J97" t="s">
        <v>39</v>
      </c>
      <c r="K97" t="s">
        <v>28</v>
      </c>
      <c r="L97">
        <v>1.6000000000000014</v>
      </c>
      <c r="M97">
        <v>1</v>
      </c>
      <c r="N97" s="2">
        <v>1.0868938912758126</v>
      </c>
      <c r="O97" s="2">
        <v>2.2991652021706153</v>
      </c>
      <c r="P97" s="1">
        <v>0.35237906657670803</v>
      </c>
      <c r="Q97" s="1">
        <v>1.5400545897156579</v>
      </c>
      <c r="R97" s="1">
        <v>-0.4596391366222527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19">
        <v>0</v>
      </c>
      <c r="AI97" s="19">
        <v>0</v>
      </c>
      <c r="AJ97" s="19">
        <v>0</v>
      </c>
      <c r="AK97" s="19">
        <v>0</v>
      </c>
      <c r="AL97" s="19">
        <v>0</v>
      </c>
      <c r="AM97" s="19">
        <v>0</v>
      </c>
      <c r="AN97" s="19">
        <v>0</v>
      </c>
      <c r="AO97" s="19">
        <v>0</v>
      </c>
      <c r="AP97" s="19">
        <v>0</v>
      </c>
      <c r="AQ97" s="19">
        <v>0</v>
      </c>
      <c r="AR97" s="19">
        <v>0</v>
      </c>
    </row>
    <row r="98" spans="1:44" x14ac:dyDescent="0.25">
      <c r="A98" t="s">
        <v>131</v>
      </c>
      <c r="B98" t="s">
        <v>171</v>
      </c>
      <c r="C98" t="s">
        <v>43</v>
      </c>
      <c r="D98" t="s">
        <v>172</v>
      </c>
      <c r="E98" t="s">
        <v>145</v>
      </c>
      <c r="F98" t="s">
        <v>172</v>
      </c>
      <c r="G98" t="s">
        <v>28</v>
      </c>
      <c r="H98" t="s">
        <v>142</v>
      </c>
      <c r="I98" t="s">
        <v>135</v>
      </c>
      <c r="J98" t="s">
        <v>39</v>
      </c>
      <c r="K98" t="s">
        <v>28</v>
      </c>
      <c r="L98">
        <v>1.6000000000000014</v>
      </c>
      <c r="M98">
        <v>1</v>
      </c>
      <c r="N98" s="2">
        <v>1.0868938912758126</v>
      </c>
      <c r="O98" s="2">
        <v>2.2991652021706153</v>
      </c>
      <c r="P98" s="1">
        <v>0.35237906657670803</v>
      </c>
      <c r="Q98" s="1">
        <v>1.5400545897156579</v>
      </c>
      <c r="R98" s="1">
        <v>-0.4596391366222527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3.474745205223972</v>
      </c>
      <c r="AF98" s="19">
        <v>1.6374642768217176</v>
      </c>
      <c r="AG98" s="19">
        <v>2.1664136174707398</v>
      </c>
      <c r="AH98" s="19">
        <v>2.3453258508758545</v>
      </c>
      <c r="AI98" s="19">
        <v>2.3763454382062048</v>
      </c>
      <c r="AJ98" s="19">
        <v>2.3130033872283882</v>
      </c>
      <c r="AK98" s="19">
        <v>2.1495249324573198</v>
      </c>
      <c r="AL98" s="19">
        <v>1.9552844900907709</v>
      </c>
      <c r="AM98" s="19">
        <v>1.7137358745606823</v>
      </c>
      <c r="AN98" s="19">
        <v>1.4499400447083235</v>
      </c>
      <c r="AO98" s="19">
        <v>1.1830119536653776</v>
      </c>
      <c r="AP98" s="19">
        <v>0.92472493929194499</v>
      </c>
      <c r="AQ98" s="19">
        <v>0.68751234343225209</v>
      </c>
      <c r="AR98" s="19">
        <v>24.377032354033553</v>
      </c>
    </row>
    <row r="99" spans="1:44" x14ac:dyDescent="0.25">
      <c r="A99" t="s">
        <v>131</v>
      </c>
      <c r="B99" t="s">
        <v>171</v>
      </c>
      <c r="C99" t="s">
        <v>43</v>
      </c>
      <c r="D99" t="s">
        <v>172</v>
      </c>
      <c r="E99" t="s">
        <v>148</v>
      </c>
      <c r="F99" t="s">
        <v>172</v>
      </c>
      <c r="G99" t="s">
        <v>28</v>
      </c>
      <c r="H99" t="s">
        <v>142</v>
      </c>
      <c r="I99" t="s">
        <v>135</v>
      </c>
      <c r="J99" t="s">
        <v>39</v>
      </c>
      <c r="K99" t="s">
        <v>28</v>
      </c>
      <c r="L99">
        <v>1.6000000000000014</v>
      </c>
      <c r="M99">
        <v>1</v>
      </c>
      <c r="N99" s="2">
        <v>1.0868938912758126</v>
      </c>
      <c r="O99" s="2">
        <v>2.2991652021706153</v>
      </c>
      <c r="P99" s="1">
        <v>0.35237906657670803</v>
      </c>
      <c r="Q99" s="1">
        <v>1.5400545897156579</v>
      </c>
      <c r="R99" s="1">
        <v>-0.4596391366222527</v>
      </c>
      <c r="S99" s="19">
        <v>2.7688020329422133E-2</v>
      </c>
      <c r="T99" s="19">
        <v>1.7524464649919639E-2</v>
      </c>
      <c r="U99" s="19">
        <v>4.5883643869050611E-2</v>
      </c>
      <c r="V99" s="19">
        <v>8.7623546887362042E-2</v>
      </c>
      <c r="W99" s="19">
        <v>0.14710662607308242</v>
      </c>
      <c r="X99" s="19">
        <v>0.22743341811360496</v>
      </c>
      <c r="Y99" s="19">
        <v>0.3278435408083491</v>
      </c>
      <c r="Z99" s="19">
        <v>0.45091352566385778</v>
      </c>
      <c r="AA99" s="19">
        <v>0.59271790882466591</v>
      </c>
      <c r="AB99" s="19">
        <v>0.74613760808107199</v>
      </c>
      <c r="AC99" s="19">
        <v>0.90206629727198251</v>
      </c>
      <c r="AD99" s="19">
        <v>1.0487623240958202</v>
      </c>
      <c r="AE99" s="19">
        <v>1.1738229398397535</v>
      </c>
      <c r="AF99" s="19">
        <v>1.2662968751768089</v>
      </c>
      <c r="AG99" s="19">
        <v>1.3188106973550369</v>
      </c>
      <c r="AH99" s="19">
        <v>1.3290177117562234</v>
      </c>
      <c r="AI99" s="19">
        <v>1.2997947077751846</v>
      </c>
      <c r="AJ99" s="19">
        <v>1.2414523914365867</v>
      </c>
      <c r="AK99" s="19">
        <v>1.1547034481371936</v>
      </c>
      <c r="AL99" s="19">
        <v>1.05874732536353</v>
      </c>
      <c r="AM99" s="19">
        <v>0.94740230187895524</v>
      </c>
      <c r="AN99" s="19">
        <v>0.83151132794397109</v>
      </c>
      <c r="AO99" s="19">
        <v>0.71536339423686568</v>
      </c>
      <c r="AP99" s="19">
        <v>0.59900045067585861</v>
      </c>
      <c r="AQ99" s="19">
        <v>0.482471594184752</v>
      </c>
      <c r="AR99" s="19">
        <v>18.040096090428911</v>
      </c>
    </row>
    <row r="100" spans="1:44" x14ac:dyDescent="0.25">
      <c r="A100" t="s">
        <v>131</v>
      </c>
      <c r="B100" t="s">
        <v>171</v>
      </c>
      <c r="C100" t="s">
        <v>43</v>
      </c>
      <c r="D100" t="s">
        <v>172</v>
      </c>
      <c r="E100" t="s">
        <v>145</v>
      </c>
      <c r="F100" t="s">
        <v>172</v>
      </c>
      <c r="G100" t="s">
        <v>28</v>
      </c>
      <c r="H100" t="s">
        <v>136</v>
      </c>
      <c r="I100" t="s">
        <v>135</v>
      </c>
      <c r="J100" t="s">
        <v>39</v>
      </c>
      <c r="K100" t="s">
        <v>28</v>
      </c>
      <c r="L100">
        <v>1.6000000000000014</v>
      </c>
      <c r="M100">
        <v>1</v>
      </c>
      <c r="N100" s="2">
        <v>1.0868938912758126</v>
      </c>
      <c r="O100" s="2">
        <v>2.2991652021706153</v>
      </c>
      <c r="P100" s="1">
        <v>0.35237906657670803</v>
      </c>
      <c r="Q100" s="1">
        <v>1.5400545897156579</v>
      </c>
      <c r="R100" s="1">
        <v>-0.4596391366222527</v>
      </c>
      <c r="S100" s="19">
        <v>2.4081256061047711E-3</v>
      </c>
      <c r="T100" s="19">
        <v>3.7014708507405207E-3</v>
      </c>
      <c r="U100" s="19">
        <v>8.0758671995363983E-3</v>
      </c>
      <c r="V100" s="19">
        <v>1.5182157940531751E-2</v>
      </c>
      <c r="W100" s="19">
        <v>2.5952218404832972E-2</v>
      </c>
      <c r="X100" s="19">
        <v>4.1350592479252227E-2</v>
      </c>
      <c r="Y100" s="19">
        <v>6.2255529872282431E-2</v>
      </c>
      <c r="Z100" s="19">
        <v>8.9295925153409159E-2</v>
      </c>
      <c r="AA100" s="19">
        <v>0.1226566456924232</v>
      </c>
      <c r="AB100" s="19">
        <v>0.16188499984046578</v>
      </c>
      <c r="AC100" s="19">
        <v>0.20575239393801931</v>
      </c>
      <c r="AD100" s="19">
        <v>0.25223888769379899</v>
      </c>
      <c r="AE100" s="19">
        <v>0.29870051371609052</v>
      </c>
      <c r="AF100" s="19">
        <v>0.34223787264300831</v>
      </c>
      <c r="AG100" s="19">
        <v>0.38021118593736059</v>
      </c>
      <c r="AH100" s="19">
        <v>0.41076596836112106</v>
      </c>
      <c r="AI100" s="19">
        <v>0.43318993122815957</v>
      </c>
      <c r="AJ100" s="19">
        <v>0.44918897399912666</v>
      </c>
      <c r="AK100" s="19">
        <v>0.45727836948407757</v>
      </c>
      <c r="AL100" s="19">
        <v>0.46340884011825961</v>
      </c>
      <c r="AM100" s="19">
        <v>0.46388405952848094</v>
      </c>
      <c r="AN100" s="19">
        <v>0.4624537556791159</v>
      </c>
      <c r="AO100" s="19">
        <v>0.34274773770634287</v>
      </c>
      <c r="AP100" s="19">
        <v>0</v>
      </c>
      <c r="AQ100" s="19">
        <v>0</v>
      </c>
      <c r="AR100" s="19">
        <v>5.4948220230725413</v>
      </c>
    </row>
    <row r="101" spans="1:44" x14ac:dyDescent="0.25">
      <c r="A101" t="s">
        <v>131</v>
      </c>
      <c r="B101" t="s">
        <v>171</v>
      </c>
      <c r="C101" t="s">
        <v>43</v>
      </c>
      <c r="D101" t="s">
        <v>172</v>
      </c>
      <c r="E101" t="s">
        <v>148</v>
      </c>
      <c r="F101" t="s">
        <v>172</v>
      </c>
      <c r="G101" t="s">
        <v>28</v>
      </c>
      <c r="H101" t="s">
        <v>136</v>
      </c>
      <c r="I101" t="s">
        <v>135</v>
      </c>
      <c r="J101" t="s">
        <v>39</v>
      </c>
      <c r="K101" t="s">
        <v>28</v>
      </c>
      <c r="L101">
        <v>1.6000000000000014</v>
      </c>
      <c r="M101">
        <v>1</v>
      </c>
      <c r="N101" s="2">
        <v>1.0868938912758126</v>
      </c>
      <c r="O101" s="2">
        <v>2.2991652021706153</v>
      </c>
      <c r="P101" s="1">
        <v>0.35237906657670803</v>
      </c>
      <c r="Q101" s="1">
        <v>1.5400545897156579</v>
      </c>
      <c r="R101" s="1">
        <v>-0.4596391366222527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19">
        <v>0</v>
      </c>
      <c r="AI101" s="19">
        <v>0</v>
      </c>
      <c r="AJ101" s="19">
        <v>0</v>
      </c>
      <c r="AK101" s="19">
        <v>0</v>
      </c>
      <c r="AL101" s="19">
        <v>0</v>
      </c>
      <c r="AM101" s="19">
        <v>0</v>
      </c>
      <c r="AN101" s="19">
        <v>0</v>
      </c>
      <c r="AO101" s="19">
        <v>0</v>
      </c>
      <c r="AP101" s="19">
        <v>0</v>
      </c>
      <c r="AQ101" s="19">
        <v>0</v>
      </c>
      <c r="AR101" s="19">
        <v>0</v>
      </c>
    </row>
    <row r="102" spans="1:44" x14ac:dyDescent="0.25">
      <c r="A102" t="s">
        <v>131</v>
      </c>
      <c r="B102" t="s">
        <v>173</v>
      </c>
      <c r="C102" t="s">
        <v>43</v>
      </c>
      <c r="D102" t="s">
        <v>174</v>
      </c>
      <c r="E102" t="s">
        <v>145</v>
      </c>
      <c r="F102" t="s">
        <v>174</v>
      </c>
      <c r="G102" t="s">
        <v>28</v>
      </c>
      <c r="H102" t="s">
        <v>52</v>
      </c>
      <c r="I102" t="s">
        <v>135</v>
      </c>
      <c r="J102" t="s">
        <v>39</v>
      </c>
      <c r="K102" t="s">
        <v>28</v>
      </c>
      <c r="L102">
        <v>5.5</v>
      </c>
      <c r="M102">
        <v>0</v>
      </c>
      <c r="N102" s="2">
        <v>-0.36087965082923606</v>
      </c>
      <c r="O102" s="2">
        <v>2.2991652021706162</v>
      </c>
      <c r="P102" s="1">
        <v>-5.8259972515793415</v>
      </c>
      <c r="Q102" s="1">
        <v>-4.638321728440391</v>
      </c>
      <c r="R102" s="1">
        <v>-0.45963913662225314</v>
      </c>
      <c r="S102" s="19">
        <v>3315.6626272290073</v>
      </c>
      <c r="T102" s="19">
        <v>4417.9625770195044</v>
      </c>
      <c r="U102" s="19">
        <v>5518.1862934850978</v>
      </c>
      <c r="V102" s="19">
        <v>6505.4966285557575</v>
      </c>
      <c r="W102" s="19">
        <v>7291.6549654847277</v>
      </c>
      <c r="X102" s="19">
        <v>7916.5820728014396</v>
      </c>
      <c r="Y102" s="19">
        <v>8412.2488202301665</v>
      </c>
      <c r="Z102" s="19">
        <v>8804.2738245970359</v>
      </c>
      <c r="AA102" s="19">
        <v>9113.1693093119284</v>
      </c>
      <c r="AB102" s="19">
        <v>9355.3575142334284</v>
      </c>
      <c r="AC102" s="19">
        <v>9543.9864793305787</v>
      </c>
      <c r="AD102" s="19">
        <v>9689.5811174434439</v>
      </c>
      <c r="AE102" s="19">
        <v>9800.5658466869136</v>
      </c>
      <c r="AF102" s="19">
        <v>9883.6833635920557</v>
      </c>
      <c r="AG102" s="19">
        <v>10580.435041812128</v>
      </c>
      <c r="AH102" s="19">
        <v>10085.315856900295</v>
      </c>
      <c r="AI102" s="19">
        <v>5472.4002285921451</v>
      </c>
      <c r="AJ102" s="19">
        <v>190.10027376216289</v>
      </c>
      <c r="AK102" s="19">
        <v>145.54988596009645</v>
      </c>
      <c r="AL102" s="19">
        <v>108.85496896839317</v>
      </c>
      <c r="AM102" s="19">
        <v>79.448632292934633</v>
      </c>
      <c r="AN102" s="19">
        <v>57.200828362203517</v>
      </c>
      <c r="AO102" s="19">
        <v>40.228026361356086</v>
      </c>
      <c r="AP102" s="19">
        <v>27.316445457389356</v>
      </c>
      <c r="AQ102" s="19">
        <v>17.590831336296773</v>
      </c>
      <c r="AR102" s="19">
        <v>136372.85245980648</v>
      </c>
    </row>
    <row r="103" spans="1:44" x14ac:dyDescent="0.25">
      <c r="A103" t="s">
        <v>131</v>
      </c>
      <c r="B103" t="s">
        <v>173</v>
      </c>
      <c r="C103" t="s">
        <v>43</v>
      </c>
      <c r="D103" t="s">
        <v>174</v>
      </c>
      <c r="E103" t="s">
        <v>148</v>
      </c>
      <c r="F103" t="s">
        <v>174</v>
      </c>
      <c r="G103" t="s">
        <v>28</v>
      </c>
      <c r="H103" t="s">
        <v>52</v>
      </c>
      <c r="I103" t="s">
        <v>135</v>
      </c>
      <c r="J103" t="s">
        <v>39</v>
      </c>
      <c r="K103" t="s">
        <v>28</v>
      </c>
      <c r="L103">
        <v>5.5</v>
      </c>
      <c r="M103">
        <v>0</v>
      </c>
      <c r="N103" s="2">
        <v>-0.36087965082923606</v>
      </c>
      <c r="O103" s="2">
        <v>2.2991652021706162</v>
      </c>
      <c r="P103" s="1">
        <v>-5.8259972515793415</v>
      </c>
      <c r="Q103" s="1">
        <v>-4.638321728440391</v>
      </c>
      <c r="R103" s="1">
        <v>-0.45963913662225314</v>
      </c>
      <c r="S103" s="19">
        <v>352.26590700248005</v>
      </c>
      <c r="T103" s="19">
        <v>193.27690769307696</v>
      </c>
      <c r="U103" s="19">
        <v>289.70273773971485</v>
      </c>
      <c r="V103" s="19">
        <v>346.94073133314737</v>
      </c>
      <c r="W103" s="19">
        <v>381.91909036446953</v>
      </c>
      <c r="X103" s="19">
        <v>402.34422315110936</v>
      </c>
      <c r="Y103" s="19">
        <v>409.34389470725102</v>
      </c>
      <c r="Z103" s="19">
        <v>410.8115756525147</v>
      </c>
      <c r="AA103" s="19">
        <v>406.92457104063175</v>
      </c>
      <c r="AB103" s="19">
        <v>398.43751224815645</v>
      </c>
      <c r="AC103" s="19">
        <v>386.64365296564654</v>
      </c>
      <c r="AD103" s="19">
        <v>372.26957819915646</v>
      </c>
      <c r="AE103" s="19">
        <v>355.88139453169811</v>
      </c>
      <c r="AF103" s="19">
        <v>337.91992568143945</v>
      </c>
      <c r="AG103" s="19">
        <v>316.07012063232497</v>
      </c>
      <c r="AH103" s="19">
        <v>294.11189678817021</v>
      </c>
      <c r="AI103" s="19">
        <v>272.06178930751003</v>
      </c>
      <c r="AJ103" s="19">
        <v>249.92917014182319</v>
      </c>
      <c r="AK103" s="19">
        <v>228.43118260868565</v>
      </c>
      <c r="AL103" s="19">
        <v>206.0838641491024</v>
      </c>
      <c r="AM103" s="19">
        <v>183.67304956268589</v>
      </c>
      <c r="AN103" s="19">
        <v>161.20524622591682</v>
      </c>
      <c r="AO103" s="19">
        <v>138.68762605328428</v>
      </c>
      <c r="AP103" s="19">
        <v>116.12832188275226</v>
      </c>
      <c r="AQ103" s="19">
        <v>93.536852143524257</v>
      </c>
      <c r="AR103" s="19">
        <v>7304.6008218062734</v>
      </c>
    </row>
    <row r="104" spans="1:44" x14ac:dyDescent="0.25">
      <c r="A104" t="s">
        <v>131</v>
      </c>
      <c r="B104" t="s">
        <v>173</v>
      </c>
      <c r="C104" t="s">
        <v>43</v>
      </c>
      <c r="D104" t="s">
        <v>174</v>
      </c>
      <c r="E104" t="s">
        <v>145</v>
      </c>
      <c r="F104" t="s">
        <v>174</v>
      </c>
      <c r="G104" t="s">
        <v>28</v>
      </c>
      <c r="H104" t="s">
        <v>53</v>
      </c>
      <c r="I104" t="s">
        <v>135</v>
      </c>
      <c r="J104" t="s">
        <v>39</v>
      </c>
      <c r="K104" t="s">
        <v>28</v>
      </c>
      <c r="L104">
        <v>5.5</v>
      </c>
      <c r="M104">
        <v>0</v>
      </c>
      <c r="N104" s="2">
        <v>-0.36087965082923606</v>
      </c>
      <c r="O104" s="2">
        <v>2.2991652021706162</v>
      </c>
      <c r="P104" s="1">
        <v>-5.8259972515793415</v>
      </c>
      <c r="Q104" s="1">
        <v>-4.638321728440391</v>
      </c>
      <c r="R104" s="1">
        <v>-0.45963913662225314</v>
      </c>
      <c r="S104" s="19">
        <v>49.50751703257469</v>
      </c>
      <c r="T104" s="19">
        <v>65.966409168071252</v>
      </c>
      <c r="U104" s="19">
        <v>82.39430021321192</v>
      </c>
      <c r="V104" s="19">
        <v>97.136235302909952</v>
      </c>
      <c r="W104" s="19">
        <v>108.87468750132884</v>
      </c>
      <c r="X104" s="19">
        <v>118.20573015793828</v>
      </c>
      <c r="Y104" s="19">
        <v>125.6067334262704</v>
      </c>
      <c r="Z104" s="19">
        <v>131.46021936947329</v>
      </c>
      <c r="AA104" s="19">
        <v>136.07246439863312</v>
      </c>
      <c r="AB104" s="19">
        <v>139.68867570486611</v>
      </c>
      <c r="AC104" s="19">
        <v>142.50517205937874</v>
      </c>
      <c r="AD104" s="19">
        <v>144.67910524758378</v>
      </c>
      <c r="AE104" s="19">
        <v>146.33626370763156</v>
      </c>
      <c r="AF104" s="19">
        <v>147.57732540374425</v>
      </c>
      <c r="AG104" s="19">
        <v>209.00740282823728</v>
      </c>
      <c r="AH104" s="19">
        <v>168.16774171396719</v>
      </c>
      <c r="AI104" s="19">
        <v>98.692130008175425</v>
      </c>
      <c r="AJ104" s="19">
        <v>16.328911449782247</v>
      </c>
      <c r="AK104" s="19">
        <v>12.502197668278022</v>
      </c>
      <c r="AL104" s="19">
        <v>9.3502398180526853</v>
      </c>
      <c r="AM104" s="19">
        <v>6.8243440992658746</v>
      </c>
      <c r="AN104" s="19">
        <v>4.9133399058077512</v>
      </c>
      <c r="AO104" s="19">
        <v>3.4554388968209548</v>
      </c>
      <c r="AP104" s="19">
        <v>2.3463817814095971</v>
      </c>
      <c r="AQ104" s="19">
        <v>1.5109874464347808</v>
      </c>
      <c r="AR104" s="19">
        <v>2169.1099543098471</v>
      </c>
    </row>
    <row r="105" spans="1:44" x14ac:dyDescent="0.25">
      <c r="A105" t="s">
        <v>131</v>
      </c>
      <c r="B105" t="s">
        <v>173</v>
      </c>
      <c r="C105" t="s">
        <v>43</v>
      </c>
      <c r="D105" t="s">
        <v>174</v>
      </c>
      <c r="E105" t="s">
        <v>148</v>
      </c>
      <c r="F105" t="s">
        <v>174</v>
      </c>
      <c r="G105" t="s">
        <v>28</v>
      </c>
      <c r="H105" t="s">
        <v>53</v>
      </c>
      <c r="I105" t="s">
        <v>135</v>
      </c>
      <c r="J105" t="s">
        <v>39</v>
      </c>
      <c r="K105" t="s">
        <v>28</v>
      </c>
      <c r="L105">
        <v>5.5</v>
      </c>
      <c r="M105">
        <v>0</v>
      </c>
      <c r="N105" s="2">
        <v>-0.36087965082923606</v>
      </c>
      <c r="O105" s="2">
        <v>2.2991652021706162</v>
      </c>
      <c r="P105" s="1">
        <v>-5.8259972515793415</v>
      </c>
      <c r="Q105" s="1">
        <v>-4.638321728440391</v>
      </c>
      <c r="R105" s="1">
        <v>-0.45963913662225314</v>
      </c>
      <c r="S105" s="19">
        <v>30.258340445197348</v>
      </c>
      <c r="T105" s="19">
        <v>16.601772572702938</v>
      </c>
      <c r="U105" s="19">
        <v>24.884395259891829</v>
      </c>
      <c r="V105" s="19">
        <v>29.8009275218058</v>
      </c>
      <c r="W105" s="19">
        <v>32.805439382718497</v>
      </c>
      <c r="X105" s="19">
        <v>34.559882856273703</v>
      </c>
      <c r="Y105" s="19">
        <v>35.161128792199058</v>
      </c>
      <c r="Z105" s="19">
        <v>35.287197165050017</v>
      </c>
      <c r="AA105" s="19">
        <v>34.953317824130544</v>
      </c>
      <c r="AB105" s="19">
        <v>34.224310817729105</v>
      </c>
      <c r="AC105" s="19">
        <v>33.211261861701566</v>
      </c>
      <c r="AD105" s="19">
        <v>31.976581924690223</v>
      </c>
      <c r="AE105" s="19">
        <v>30.568897471466023</v>
      </c>
      <c r="AF105" s="19">
        <v>29.026073631397331</v>
      </c>
      <c r="AG105" s="19">
        <v>27.149256072005073</v>
      </c>
      <c r="AH105" s="19">
        <v>25.263125738524735</v>
      </c>
      <c r="AI105" s="19">
        <v>23.369102940007757</v>
      </c>
      <c r="AJ105" s="19">
        <v>21.467992692473882</v>
      </c>
      <c r="AK105" s="19">
        <v>19.621394958394557</v>
      </c>
      <c r="AL105" s="19">
        <v>17.70184283442806</v>
      </c>
      <c r="AM105" s="19">
        <v>15.776836627668343</v>
      </c>
      <c r="AN105" s="19">
        <v>13.846935297718613</v>
      </c>
      <c r="AO105" s="19">
        <v>11.912754885549541</v>
      </c>
      <c r="AP105" s="19">
        <v>9.9749939719063505</v>
      </c>
      <c r="AQ105" s="19">
        <v>8.0344701547032589</v>
      </c>
      <c r="AR105" s="19">
        <v>627.43823370033408</v>
      </c>
    </row>
    <row r="106" spans="1:44" x14ac:dyDescent="0.25">
      <c r="A106" t="s">
        <v>131</v>
      </c>
      <c r="B106" t="s">
        <v>173</v>
      </c>
      <c r="C106" t="s">
        <v>43</v>
      </c>
      <c r="D106" t="s">
        <v>174</v>
      </c>
      <c r="E106" t="s">
        <v>145</v>
      </c>
      <c r="F106" t="s">
        <v>174</v>
      </c>
      <c r="G106" t="s">
        <v>28</v>
      </c>
      <c r="H106" t="s">
        <v>54</v>
      </c>
      <c r="I106" t="s">
        <v>135</v>
      </c>
      <c r="J106" t="s">
        <v>39</v>
      </c>
      <c r="K106" t="s">
        <v>28</v>
      </c>
      <c r="L106">
        <v>5.5</v>
      </c>
      <c r="M106">
        <v>0</v>
      </c>
      <c r="N106" s="2">
        <v>-0.36087965082923606</v>
      </c>
      <c r="O106" s="2">
        <v>2.2991652021706162</v>
      </c>
      <c r="P106" s="1">
        <v>-5.8259972515793415</v>
      </c>
      <c r="Q106" s="1">
        <v>-4.638321728440391</v>
      </c>
      <c r="R106" s="1">
        <v>-0.45963913662225314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19">
        <v>0</v>
      </c>
      <c r="AI106" s="19">
        <v>0</v>
      </c>
      <c r="AJ106" s="19">
        <v>0</v>
      </c>
      <c r="AK106" s="19">
        <v>0</v>
      </c>
      <c r="AL106" s="19">
        <v>0</v>
      </c>
      <c r="AM106" s="19">
        <v>0</v>
      </c>
      <c r="AN106" s="19">
        <v>0</v>
      </c>
      <c r="AO106" s="19">
        <v>0</v>
      </c>
      <c r="AP106" s="19">
        <v>0</v>
      </c>
      <c r="AQ106" s="19">
        <v>0</v>
      </c>
      <c r="AR106" s="19">
        <v>0</v>
      </c>
    </row>
    <row r="107" spans="1:44" x14ac:dyDescent="0.25">
      <c r="A107" t="s">
        <v>131</v>
      </c>
      <c r="B107" t="s">
        <v>173</v>
      </c>
      <c r="C107" t="s">
        <v>43</v>
      </c>
      <c r="D107" t="s">
        <v>174</v>
      </c>
      <c r="E107" t="s">
        <v>148</v>
      </c>
      <c r="F107" t="s">
        <v>174</v>
      </c>
      <c r="G107" t="s">
        <v>28</v>
      </c>
      <c r="H107" t="s">
        <v>54</v>
      </c>
      <c r="I107" t="s">
        <v>135</v>
      </c>
      <c r="J107" t="s">
        <v>39</v>
      </c>
      <c r="K107" t="s">
        <v>28</v>
      </c>
      <c r="L107">
        <v>5.5</v>
      </c>
      <c r="M107">
        <v>0</v>
      </c>
      <c r="N107" s="2">
        <v>-0.36087965082923606</v>
      </c>
      <c r="O107" s="2">
        <v>2.2991652021706162</v>
      </c>
      <c r="P107" s="1">
        <v>-5.8259972515793415</v>
      </c>
      <c r="Q107" s="1">
        <v>-4.638321728440391</v>
      </c>
      <c r="R107" s="1">
        <v>-0.45963913662225314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19">
        <v>0</v>
      </c>
      <c r="AI107" s="19">
        <v>0</v>
      </c>
      <c r="AJ107" s="19">
        <v>0</v>
      </c>
      <c r="AK107" s="19">
        <v>0</v>
      </c>
      <c r="AL107" s="19">
        <v>0</v>
      </c>
      <c r="AM107" s="19">
        <v>0</v>
      </c>
      <c r="AN107" s="19">
        <v>0</v>
      </c>
      <c r="AO107" s="19">
        <v>0</v>
      </c>
      <c r="AP107" s="19">
        <v>0</v>
      </c>
      <c r="AQ107" s="19">
        <v>0</v>
      </c>
      <c r="AR107" s="19">
        <v>0</v>
      </c>
    </row>
    <row r="108" spans="1:44" x14ac:dyDescent="0.25">
      <c r="A108" t="s">
        <v>131</v>
      </c>
      <c r="B108" t="s">
        <v>173</v>
      </c>
      <c r="C108" t="s">
        <v>43</v>
      </c>
      <c r="D108" t="s">
        <v>174</v>
      </c>
      <c r="E108" t="s">
        <v>145</v>
      </c>
      <c r="F108" t="s">
        <v>174</v>
      </c>
      <c r="G108" t="s">
        <v>28</v>
      </c>
      <c r="H108" t="s">
        <v>55</v>
      </c>
      <c r="I108" t="s">
        <v>135</v>
      </c>
      <c r="J108" t="s">
        <v>39</v>
      </c>
      <c r="K108" t="s">
        <v>28</v>
      </c>
      <c r="L108">
        <v>5.5</v>
      </c>
      <c r="M108">
        <v>0</v>
      </c>
      <c r="N108" s="2">
        <v>-0.36087965082923606</v>
      </c>
      <c r="O108" s="2">
        <v>2.2991652021706162</v>
      </c>
      <c r="P108" s="1">
        <v>-5.8259972515793415</v>
      </c>
      <c r="Q108" s="1">
        <v>-4.638321728440391</v>
      </c>
      <c r="R108" s="1">
        <v>-0.45963913662225314</v>
      </c>
      <c r="S108" s="19">
        <v>7.3012794499949649</v>
      </c>
      <c r="T108" s="19">
        <v>9.7286072200286569</v>
      </c>
      <c r="U108" s="19">
        <v>12.151363005088964</v>
      </c>
      <c r="V108" s="19">
        <v>14.32547704221086</v>
      </c>
      <c r="W108" s="19">
        <v>16.056642831734738</v>
      </c>
      <c r="X108" s="19">
        <v>17.432768197725167</v>
      </c>
      <c r="Y108" s="19">
        <v>18.524254830691707</v>
      </c>
      <c r="Z108" s="19">
        <v>19.387516395593483</v>
      </c>
      <c r="AA108" s="19">
        <v>20.067721985940263</v>
      </c>
      <c r="AB108" s="19">
        <v>20.601034316665036</v>
      </c>
      <c r="AC108" s="19">
        <v>21.01640612657944</v>
      </c>
      <c r="AD108" s="19">
        <v>21.337013877969184</v>
      </c>
      <c r="AE108" s="19">
        <v>21.581408623150431</v>
      </c>
      <c r="AF108" s="19">
        <v>21.764438166967818</v>
      </c>
      <c r="AG108" s="19">
        <v>23.298725361376754</v>
      </c>
      <c r="AH108" s="19">
        <v>22.208444492506754</v>
      </c>
      <c r="AI108" s="19">
        <v>12.050539461718287</v>
      </c>
      <c r="AJ108" s="19">
        <v>0.41861171605932246</v>
      </c>
      <c r="AK108" s="19">
        <v>0.32050920458022936</v>
      </c>
      <c r="AL108" s="19">
        <v>0.23970489079071031</v>
      </c>
      <c r="AM108" s="19">
        <v>0.17495044927879116</v>
      </c>
      <c r="AN108" s="19">
        <v>0.12595950782624649</v>
      </c>
      <c r="AO108" s="19">
        <v>8.8584423449466557E-2</v>
      </c>
      <c r="AP108" s="19">
        <v>6.0152381073712319E-2</v>
      </c>
      <c r="AQ108" s="19">
        <v>3.8736020453132888E-2</v>
      </c>
      <c r="AR108" s="19">
        <v>300.30084997945409</v>
      </c>
    </row>
    <row r="109" spans="1:44" x14ac:dyDescent="0.25">
      <c r="A109" t="s">
        <v>131</v>
      </c>
      <c r="B109" t="s">
        <v>173</v>
      </c>
      <c r="C109" t="s">
        <v>43</v>
      </c>
      <c r="D109" t="s">
        <v>174</v>
      </c>
      <c r="E109" t="s">
        <v>148</v>
      </c>
      <c r="F109" t="s">
        <v>174</v>
      </c>
      <c r="G109" t="s">
        <v>28</v>
      </c>
      <c r="H109" t="s">
        <v>55</v>
      </c>
      <c r="I109" t="s">
        <v>135</v>
      </c>
      <c r="J109" t="s">
        <v>39</v>
      </c>
      <c r="K109" t="s">
        <v>28</v>
      </c>
      <c r="L109">
        <v>5.5</v>
      </c>
      <c r="M109">
        <v>0</v>
      </c>
      <c r="N109" s="2">
        <v>-0.36087965082923606</v>
      </c>
      <c r="O109" s="2">
        <v>2.2991652021706162</v>
      </c>
      <c r="P109" s="1">
        <v>-5.8259972515793415</v>
      </c>
      <c r="Q109" s="1">
        <v>-4.638321728440391</v>
      </c>
      <c r="R109" s="1">
        <v>-0.45963913662225314</v>
      </c>
      <c r="S109" s="19">
        <v>0.77570975002379283</v>
      </c>
      <c r="T109" s="19">
        <v>0.42560684633870294</v>
      </c>
      <c r="U109" s="19">
        <v>0.6379420596944132</v>
      </c>
      <c r="V109" s="19">
        <v>0.7639834074933991</v>
      </c>
      <c r="W109" s="19">
        <v>0.84100776211037387</v>
      </c>
      <c r="X109" s="19">
        <v>0.88598507706812213</v>
      </c>
      <c r="Y109" s="19">
        <v>0.90139875567036609</v>
      </c>
      <c r="Z109" s="19">
        <v>0.90463067336814018</v>
      </c>
      <c r="AA109" s="19">
        <v>0.89607126606846332</v>
      </c>
      <c r="AB109" s="19">
        <v>0.87738227538421332</v>
      </c>
      <c r="AC109" s="19">
        <v>0.85141152018482524</v>
      </c>
      <c r="AD109" s="19">
        <v>0.81975898236526412</v>
      </c>
      <c r="AE109" s="19">
        <v>0.78367126112024876</v>
      </c>
      <c r="AF109" s="19">
        <v>0.74411907558389634</v>
      </c>
      <c r="AG109" s="19">
        <v>0.6960045505169038</v>
      </c>
      <c r="AH109" s="19">
        <v>0.64765128103915326</v>
      </c>
      <c r="AI109" s="19">
        <v>0.59909567851898127</v>
      </c>
      <c r="AJ109" s="19">
        <v>0.55035838053156072</v>
      </c>
      <c r="AK109" s="19">
        <v>0.5030185778318198</v>
      </c>
      <c r="AL109" s="19">
        <v>0.45380849967382914</v>
      </c>
      <c r="AM109" s="19">
        <v>0.40445859939939466</v>
      </c>
      <c r="AN109" s="19">
        <v>0.35498320662506927</v>
      </c>
      <c r="AO109" s="19">
        <v>0.30539811431831093</v>
      </c>
      <c r="AP109" s="19">
        <v>0.25572123145518877</v>
      </c>
      <c r="AQ109" s="19">
        <v>0.20597351816324119</v>
      </c>
      <c r="AR109" s="19">
        <v>16.085150350547675</v>
      </c>
    </row>
    <row r="110" spans="1:44" x14ac:dyDescent="0.25">
      <c r="A110" t="s">
        <v>131</v>
      </c>
      <c r="B110" t="s">
        <v>173</v>
      </c>
      <c r="C110" t="s">
        <v>43</v>
      </c>
      <c r="D110" t="s">
        <v>174</v>
      </c>
      <c r="E110" t="s">
        <v>145</v>
      </c>
      <c r="F110" t="s">
        <v>174</v>
      </c>
      <c r="G110" t="s">
        <v>28</v>
      </c>
      <c r="H110" t="s">
        <v>138</v>
      </c>
      <c r="I110" t="s">
        <v>135</v>
      </c>
      <c r="J110" t="s">
        <v>39</v>
      </c>
      <c r="K110" t="s">
        <v>28</v>
      </c>
      <c r="L110">
        <v>5.5</v>
      </c>
      <c r="M110">
        <v>0</v>
      </c>
      <c r="N110" s="2">
        <v>-0.36087965082923606</v>
      </c>
      <c r="O110" s="2">
        <v>2.2991652021706162</v>
      </c>
      <c r="P110" s="1">
        <v>-5.8259972515793415</v>
      </c>
      <c r="Q110" s="1">
        <v>-4.638321728440391</v>
      </c>
      <c r="R110" s="1">
        <v>-0.45963913662225314</v>
      </c>
      <c r="S110" s="19">
        <v>1150.1472121793979</v>
      </c>
      <c r="T110" s="19">
        <v>1532.5163964943215</v>
      </c>
      <c r="U110" s="19">
        <v>1914.1653706313868</v>
      </c>
      <c r="V110" s="19">
        <v>2256.6466050344302</v>
      </c>
      <c r="W110" s="19">
        <v>2529.3516179404355</v>
      </c>
      <c r="X110" s="19">
        <v>2746.1282478644334</v>
      </c>
      <c r="Y110" s="19">
        <v>2918.0666480633759</v>
      </c>
      <c r="Z110" s="19">
        <v>3054.0534828439677</v>
      </c>
      <c r="AA110" s="19">
        <v>3161.2040951173735</v>
      </c>
      <c r="AB110" s="19">
        <v>3245.215081767722</v>
      </c>
      <c r="AC110" s="19">
        <v>3310.6472751884648</v>
      </c>
      <c r="AD110" s="19">
        <v>3361.1515893966093</v>
      </c>
      <c r="AE110" s="19">
        <v>3399.6503123624448</v>
      </c>
      <c r="AF110" s="19">
        <v>3428.4823713200276</v>
      </c>
      <c r="AG110" s="19">
        <v>3670.1737284880105</v>
      </c>
      <c r="AH110" s="19">
        <v>3498.4252684528001</v>
      </c>
      <c r="AI110" s="19">
        <v>1898.2829601409951</v>
      </c>
      <c r="AJ110" s="19">
        <v>65.942565478930661</v>
      </c>
      <c r="AK110" s="19">
        <v>50.488790444261326</v>
      </c>
      <c r="AL110" s="19">
        <v>37.75994519548113</v>
      </c>
      <c r="AM110" s="19">
        <v>27.559385020891547</v>
      </c>
      <c r="AN110" s="19">
        <v>19.841998620385148</v>
      </c>
      <c r="AO110" s="19">
        <v>13.954421053284488</v>
      </c>
      <c r="AP110" s="19">
        <v>9.4756123048996326</v>
      </c>
      <c r="AQ110" s="19">
        <v>6.1019614767827424</v>
      </c>
      <c r="AR110" s="19">
        <v>47305.432942881111</v>
      </c>
    </row>
    <row r="111" spans="1:44" x14ac:dyDescent="0.25">
      <c r="A111" t="s">
        <v>131</v>
      </c>
      <c r="B111" t="s">
        <v>173</v>
      </c>
      <c r="C111" t="s">
        <v>43</v>
      </c>
      <c r="D111" t="s">
        <v>174</v>
      </c>
      <c r="E111" t="s">
        <v>148</v>
      </c>
      <c r="F111" t="s">
        <v>174</v>
      </c>
      <c r="G111" t="s">
        <v>28</v>
      </c>
      <c r="H111" t="s">
        <v>138</v>
      </c>
      <c r="I111" t="s">
        <v>135</v>
      </c>
      <c r="J111" t="s">
        <v>39</v>
      </c>
      <c r="K111" t="s">
        <v>28</v>
      </c>
      <c r="L111">
        <v>5.5</v>
      </c>
      <c r="M111">
        <v>0</v>
      </c>
      <c r="N111" s="2">
        <v>-0.36087965082923606</v>
      </c>
      <c r="O111" s="2">
        <v>2.2991652021706162</v>
      </c>
      <c r="P111" s="1">
        <v>-5.8259972515793415</v>
      </c>
      <c r="Q111" s="1">
        <v>-4.638321728440391</v>
      </c>
      <c r="R111" s="1">
        <v>-0.45963913662225314</v>
      </c>
      <c r="S111" s="19">
        <v>122.1950772546938</v>
      </c>
      <c r="T111" s="19">
        <v>67.044485990912534</v>
      </c>
      <c r="U111" s="19">
        <v>100.49297339112506</v>
      </c>
      <c r="V111" s="19">
        <v>120.34786400080282</v>
      </c>
      <c r="W111" s="19">
        <v>132.48126436430931</v>
      </c>
      <c r="X111" s="19">
        <v>139.56639701321831</v>
      </c>
      <c r="Y111" s="19">
        <v>141.99446453141348</v>
      </c>
      <c r="Z111" s="19">
        <v>142.5035781950595</v>
      </c>
      <c r="AA111" s="19">
        <v>141.1552421245041</v>
      </c>
      <c r="AB111" s="19">
        <v>138.21122516403165</v>
      </c>
      <c r="AC111" s="19">
        <v>134.12013511668448</v>
      </c>
      <c r="AD111" s="19">
        <v>129.13401201580979</v>
      </c>
      <c r="AE111" s="19">
        <v>123.44922864761573</v>
      </c>
      <c r="AF111" s="19">
        <v>117.21869929426154</v>
      </c>
      <c r="AG111" s="19">
        <v>109.63937196538129</v>
      </c>
      <c r="AH111" s="19">
        <v>102.02243599265464</v>
      </c>
      <c r="AI111" s="19">
        <v>94.37362714254202</v>
      </c>
      <c r="AJ111" s="19">
        <v>86.696196386290325</v>
      </c>
      <c r="AK111" s="19">
        <v>79.2389085954118</v>
      </c>
      <c r="AL111" s="19">
        <v>71.487002290198191</v>
      </c>
      <c r="AM111" s="19">
        <v>63.713070253942803</v>
      </c>
      <c r="AN111" s="19">
        <v>55.919369785334055</v>
      </c>
      <c r="AO111" s="19">
        <v>48.10838870005032</v>
      </c>
      <c r="AP111" s="19">
        <v>40.282948141845843</v>
      </c>
      <c r="AQ111" s="19">
        <v>32.446349892605923</v>
      </c>
      <c r="AR111" s="19">
        <v>2533.8423162506997</v>
      </c>
    </row>
    <row r="112" spans="1:44" x14ac:dyDescent="0.25">
      <c r="A112" t="s">
        <v>131</v>
      </c>
      <c r="B112" t="s">
        <v>173</v>
      </c>
      <c r="C112" t="s">
        <v>43</v>
      </c>
      <c r="D112" t="s">
        <v>174</v>
      </c>
      <c r="E112" t="s">
        <v>145</v>
      </c>
      <c r="F112" t="s">
        <v>174</v>
      </c>
      <c r="G112" t="s">
        <v>28</v>
      </c>
      <c r="H112" t="s">
        <v>141</v>
      </c>
      <c r="I112" t="s">
        <v>135</v>
      </c>
      <c r="J112" t="s">
        <v>39</v>
      </c>
      <c r="K112" t="s">
        <v>28</v>
      </c>
      <c r="L112">
        <v>5.5</v>
      </c>
      <c r="M112">
        <v>0</v>
      </c>
      <c r="N112" s="2">
        <v>-0.36087965082923606</v>
      </c>
      <c r="O112" s="2">
        <v>2.2991652021706162</v>
      </c>
      <c r="P112" s="1">
        <v>-5.8259972515793415</v>
      </c>
      <c r="Q112" s="1">
        <v>-4.638321728440391</v>
      </c>
      <c r="R112" s="1">
        <v>-0.45963913662225314</v>
      </c>
      <c r="S112" s="19">
        <v>41.668826835750366</v>
      </c>
      <c r="T112" s="19">
        <v>55.521727716459949</v>
      </c>
      <c r="U112" s="19">
        <v>69.348536012786681</v>
      </c>
      <c r="V112" s="19">
        <v>81.756331379949216</v>
      </c>
      <c r="W112" s="19">
        <v>91.636195313618416</v>
      </c>
      <c r="X112" s="19">
        <v>99.489822882931392</v>
      </c>
      <c r="Y112" s="19">
        <v>105.7190006337776</v>
      </c>
      <c r="Z112" s="19">
        <v>110.64568463597332</v>
      </c>
      <c r="AA112" s="19">
        <v>114.52765753551616</v>
      </c>
      <c r="AB112" s="19">
        <v>117.57130205159562</v>
      </c>
      <c r="AC112" s="19">
        <v>119.94185314997708</v>
      </c>
      <c r="AD112" s="19">
        <v>121.77158025004964</v>
      </c>
      <c r="AE112" s="19">
        <v>123.16635528725652</v>
      </c>
      <c r="AF112" s="19">
        <v>124.21091554815141</v>
      </c>
      <c r="AG112" s="19">
        <v>175.91456404709967</v>
      </c>
      <c r="AH112" s="19">
        <v>141.54118260925569</v>
      </c>
      <c r="AI112" s="19">
        <v>83.065876090214445</v>
      </c>
      <c r="AJ112" s="19">
        <v>13.743500470233409</v>
      </c>
      <c r="AK112" s="19">
        <v>10.522683037467326</v>
      </c>
      <c r="AL112" s="19">
        <v>7.869785180194337</v>
      </c>
      <c r="AM112" s="19">
        <v>5.743822950215443</v>
      </c>
      <c r="AN112" s="19">
        <v>4.1353944207215241</v>
      </c>
      <c r="AO112" s="19">
        <v>2.9083277381576389</v>
      </c>
      <c r="AP112" s="19">
        <v>1.974871332686412</v>
      </c>
      <c r="AQ112" s="19">
        <v>1.2717477674159383</v>
      </c>
      <c r="AR112" s="19">
        <v>1825.6675448774552</v>
      </c>
    </row>
    <row r="113" spans="1:44" x14ac:dyDescent="0.25">
      <c r="A113" t="s">
        <v>131</v>
      </c>
      <c r="B113" t="s">
        <v>173</v>
      </c>
      <c r="C113" t="s">
        <v>43</v>
      </c>
      <c r="D113" t="s">
        <v>174</v>
      </c>
      <c r="E113" t="s">
        <v>148</v>
      </c>
      <c r="F113" t="s">
        <v>174</v>
      </c>
      <c r="G113" t="s">
        <v>28</v>
      </c>
      <c r="H113" t="s">
        <v>141</v>
      </c>
      <c r="I113" t="s">
        <v>135</v>
      </c>
      <c r="J113" t="s">
        <v>39</v>
      </c>
      <c r="K113" t="s">
        <v>28</v>
      </c>
      <c r="L113">
        <v>5.5</v>
      </c>
      <c r="M113">
        <v>0</v>
      </c>
      <c r="N113" s="2">
        <v>-0.36087965082923606</v>
      </c>
      <c r="O113" s="2">
        <v>2.2991652021706162</v>
      </c>
      <c r="P113" s="1">
        <v>-5.8259972515793415</v>
      </c>
      <c r="Q113" s="1">
        <v>-4.638321728440391</v>
      </c>
      <c r="R113" s="1">
        <v>-0.45963913662225314</v>
      </c>
      <c r="S113" s="19">
        <v>25.467436541374425</v>
      </c>
      <c r="T113" s="19">
        <v>13.973158582024974</v>
      </c>
      <c r="U113" s="19">
        <v>20.944366010408945</v>
      </c>
      <c r="V113" s="19">
        <v>25.082447330853238</v>
      </c>
      <c r="W113" s="19">
        <v>27.611244813788044</v>
      </c>
      <c r="X113" s="19">
        <v>29.087901404030347</v>
      </c>
      <c r="Y113" s="19">
        <v>29.593950066767533</v>
      </c>
      <c r="Z113" s="19">
        <v>29.7000576139171</v>
      </c>
      <c r="AA113" s="19">
        <v>29.419042501976556</v>
      </c>
      <c r="AB113" s="19">
        <v>28.805461604922009</v>
      </c>
      <c r="AC113" s="19">
        <v>27.952812066932104</v>
      </c>
      <c r="AD113" s="19">
        <v>26.913623119947697</v>
      </c>
      <c r="AE113" s="19">
        <v>25.728822038483763</v>
      </c>
      <c r="AF113" s="19">
        <v>24.430278639759372</v>
      </c>
      <c r="AG113" s="19">
        <v>22.850623860604479</v>
      </c>
      <c r="AH113" s="19">
        <v>21.263130829924918</v>
      </c>
      <c r="AI113" s="19">
        <v>19.668994974506507</v>
      </c>
      <c r="AJ113" s="19">
        <v>18.068893849498881</v>
      </c>
      <c r="AK113" s="19">
        <v>16.514674089982009</v>
      </c>
      <c r="AL113" s="19">
        <v>14.899051052310352</v>
      </c>
      <c r="AM113" s="19">
        <v>13.278837494954082</v>
      </c>
      <c r="AN113" s="19">
        <v>11.654503875579888</v>
      </c>
      <c r="AO113" s="19">
        <v>10.026568695337591</v>
      </c>
      <c r="AP113" s="19">
        <v>8.395619926354426</v>
      </c>
      <c r="AQ113" s="19">
        <v>6.7623457135419009</v>
      </c>
      <c r="AR113" s="19">
        <v>528.09384669778115</v>
      </c>
    </row>
    <row r="114" spans="1:44" x14ac:dyDescent="0.25">
      <c r="A114" t="s">
        <v>131</v>
      </c>
      <c r="B114" t="s">
        <v>173</v>
      </c>
      <c r="C114" t="s">
        <v>43</v>
      </c>
      <c r="D114" t="s">
        <v>174</v>
      </c>
      <c r="E114" t="s">
        <v>145</v>
      </c>
      <c r="F114" t="s">
        <v>174</v>
      </c>
      <c r="G114" t="s">
        <v>28</v>
      </c>
      <c r="H114" t="s">
        <v>142</v>
      </c>
      <c r="I114" t="s">
        <v>135</v>
      </c>
      <c r="J114" t="s">
        <v>39</v>
      </c>
      <c r="K114" t="s">
        <v>28</v>
      </c>
      <c r="L114">
        <v>5.5</v>
      </c>
      <c r="M114">
        <v>0</v>
      </c>
      <c r="N114" s="2">
        <v>-0.36087965082923606</v>
      </c>
      <c r="O114" s="2">
        <v>2.2991652021706162</v>
      </c>
      <c r="P114" s="1">
        <v>-5.8259972515793415</v>
      </c>
      <c r="Q114" s="1">
        <v>-4.638321728440391</v>
      </c>
      <c r="R114" s="1">
        <v>-0.45963913662225314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19">
        <v>0</v>
      </c>
      <c r="AI114" s="19">
        <v>0</v>
      </c>
      <c r="AJ114" s="19">
        <v>0</v>
      </c>
      <c r="AK114" s="19">
        <v>0</v>
      </c>
      <c r="AL114" s="19">
        <v>0</v>
      </c>
      <c r="AM114" s="19">
        <v>0</v>
      </c>
      <c r="AN114" s="19">
        <v>0</v>
      </c>
      <c r="AO114" s="19">
        <v>0</v>
      </c>
      <c r="AP114" s="19">
        <v>0</v>
      </c>
      <c r="AQ114" s="19">
        <v>0</v>
      </c>
      <c r="AR114" s="19">
        <v>0</v>
      </c>
    </row>
    <row r="115" spans="1:44" x14ac:dyDescent="0.25">
      <c r="A115" t="s">
        <v>131</v>
      </c>
      <c r="B115" t="s">
        <v>173</v>
      </c>
      <c r="C115" t="s">
        <v>43</v>
      </c>
      <c r="D115" t="s">
        <v>174</v>
      </c>
      <c r="E115" t="s">
        <v>148</v>
      </c>
      <c r="F115" t="s">
        <v>174</v>
      </c>
      <c r="G115" t="s">
        <v>28</v>
      </c>
      <c r="H115" t="s">
        <v>142</v>
      </c>
      <c r="I115" t="s">
        <v>135</v>
      </c>
      <c r="J115" t="s">
        <v>39</v>
      </c>
      <c r="K115" t="s">
        <v>28</v>
      </c>
      <c r="L115">
        <v>5.5</v>
      </c>
      <c r="M115">
        <v>0</v>
      </c>
      <c r="N115" s="2">
        <v>-0.36087965082923606</v>
      </c>
      <c r="O115" s="2">
        <v>2.2991652021706162</v>
      </c>
      <c r="P115" s="1">
        <v>-5.8259972515793415</v>
      </c>
      <c r="Q115" s="1">
        <v>-4.638321728440391</v>
      </c>
      <c r="R115" s="1">
        <v>-0.45963913662225314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19">
        <v>0</v>
      </c>
      <c r="AI115" s="19">
        <v>0</v>
      </c>
      <c r="AJ115" s="19">
        <v>0</v>
      </c>
      <c r="AK115" s="19">
        <v>0</v>
      </c>
      <c r="AL115" s="19">
        <v>0</v>
      </c>
      <c r="AM115" s="19">
        <v>0</v>
      </c>
      <c r="AN115" s="19">
        <v>0</v>
      </c>
      <c r="AO115" s="19">
        <v>0</v>
      </c>
      <c r="AP115" s="19">
        <v>0</v>
      </c>
      <c r="AQ115" s="19">
        <v>0</v>
      </c>
      <c r="AR115" s="19">
        <v>0</v>
      </c>
    </row>
    <row r="116" spans="1:44" x14ac:dyDescent="0.25">
      <c r="A116" t="s">
        <v>131</v>
      </c>
      <c r="B116" t="s">
        <v>173</v>
      </c>
      <c r="C116" t="s">
        <v>43</v>
      </c>
      <c r="D116" t="s">
        <v>174</v>
      </c>
      <c r="E116" t="s">
        <v>145</v>
      </c>
      <c r="F116" t="s">
        <v>174</v>
      </c>
      <c r="G116" t="s">
        <v>28</v>
      </c>
      <c r="H116" t="s">
        <v>136</v>
      </c>
      <c r="I116" t="s">
        <v>135</v>
      </c>
      <c r="J116" t="s">
        <v>39</v>
      </c>
      <c r="K116" t="s">
        <v>28</v>
      </c>
      <c r="L116">
        <v>5.5</v>
      </c>
      <c r="M116">
        <v>0</v>
      </c>
      <c r="N116" s="2">
        <v>-0.36087965082923606</v>
      </c>
      <c r="O116" s="2">
        <v>2.2991652021706162</v>
      </c>
      <c r="P116" s="1">
        <v>-5.8259972515793415</v>
      </c>
      <c r="Q116" s="1">
        <v>-4.638321728440391</v>
      </c>
      <c r="R116" s="1">
        <v>-0.45963913662225314</v>
      </c>
      <c r="S116" s="19">
        <v>9.1671619761047882</v>
      </c>
      <c r="T116" s="19">
        <v>12.214806842924872</v>
      </c>
      <c r="U116" s="19">
        <v>15.256711328611695</v>
      </c>
      <c r="V116" s="19">
        <v>17.986432286331414</v>
      </c>
      <c r="W116" s="19">
        <v>20.160007110955831</v>
      </c>
      <c r="X116" s="19">
        <v>21.887808959366037</v>
      </c>
      <c r="Y116" s="19">
        <v>23.258231065201812</v>
      </c>
      <c r="Z116" s="19">
        <v>24.34210391891181</v>
      </c>
      <c r="AA116" s="19">
        <v>25.196139826791669</v>
      </c>
      <c r="AB116" s="19">
        <v>25.865743086479434</v>
      </c>
      <c r="AC116" s="19">
        <v>26.387265470038624</v>
      </c>
      <c r="AD116" s="19">
        <v>26.789806313450196</v>
      </c>
      <c r="AE116" s="19">
        <v>27.096657493511088</v>
      </c>
      <c r="AF116" s="19">
        <v>27.326461254081813</v>
      </c>
      <c r="AG116" s="19">
        <v>29.252844064839692</v>
      </c>
      <c r="AH116" s="19">
        <v>27.883935862814042</v>
      </c>
      <c r="AI116" s="19">
        <v>15.130121768601846</v>
      </c>
      <c r="AJ116" s="19">
        <v>0.52559026571892709</v>
      </c>
      <c r="AK116" s="19">
        <v>0.40241711241739941</v>
      </c>
      <c r="AL116" s="19">
        <v>0.30096280732611397</v>
      </c>
      <c r="AM116" s="19">
        <v>0.21966000853892648</v>
      </c>
      <c r="AN116" s="19">
        <v>0.15814915982628716</v>
      </c>
      <c r="AO116" s="19">
        <v>0.11122266499766346</v>
      </c>
      <c r="AP116" s="19">
        <v>7.5524656236994447E-2</v>
      </c>
      <c r="AQ116" s="19">
        <v>4.863522568004458E-2</v>
      </c>
      <c r="AR116" s="19">
        <v>377.04440052975906</v>
      </c>
    </row>
    <row r="117" spans="1:44" x14ac:dyDescent="0.25">
      <c r="A117" t="s">
        <v>131</v>
      </c>
      <c r="B117" t="s">
        <v>173</v>
      </c>
      <c r="C117" t="s">
        <v>43</v>
      </c>
      <c r="D117" t="s">
        <v>174</v>
      </c>
      <c r="E117" t="s">
        <v>148</v>
      </c>
      <c r="F117" t="s">
        <v>174</v>
      </c>
      <c r="G117" t="s">
        <v>28</v>
      </c>
      <c r="H117" t="s">
        <v>136</v>
      </c>
      <c r="I117" t="s">
        <v>135</v>
      </c>
      <c r="J117" t="s">
        <v>39</v>
      </c>
      <c r="K117" t="s">
        <v>28</v>
      </c>
      <c r="L117">
        <v>5.5</v>
      </c>
      <c r="M117">
        <v>0</v>
      </c>
      <c r="N117" s="2">
        <v>-0.36087965082923606</v>
      </c>
      <c r="O117" s="2">
        <v>2.2991652021706162</v>
      </c>
      <c r="P117" s="1">
        <v>-5.8259972515793415</v>
      </c>
      <c r="Q117" s="1">
        <v>-4.638321728440391</v>
      </c>
      <c r="R117" s="1">
        <v>-0.45963913662225314</v>
      </c>
      <c r="S117" s="19">
        <v>0.97394668614098412</v>
      </c>
      <c r="T117" s="19">
        <v>0.53437304040303812</v>
      </c>
      <c r="U117" s="19">
        <v>0.80097169717187455</v>
      </c>
      <c r="V117" s="19">
        <v>0.95922361163060099</v>
      </c>
      <c r="W117" s="19">
        <v>1.0559319679830259</v>
      </c>
      <c r="X117" s="19">
        <v>1.1124034856521972</v>
      </c>
      <c r="Y117" s="19">
        <v>1.1317562154527918</v>
      </c>
      <c r="Z117" s="19">
        <v>1.135814067673331</v>
      </c>
      <c r="AA117" s="19">
        <v>1.1250672562859585</v>
      </c>
      <c r="AB117" s="19">
        <v>1.1016021902046249</v>
      </c>
      <c r="AC117" s="19">
        <v>1.0689944642320577</v>
      </c>
      <c r="AD117" s="19">
        <v>1.0292529445252758</v>
      </c>
      <c r="AE117" s="19">
        <v>0.98394280562876035</v>
      </c>
      <c r="AF117" s="19">
        <v>0.93428283934423029</v>
      </c>
      <c r="AG117" s="19">
        <v>0.87387238009344337</v>
      </c>
      <c r="AH117" s="19">
        <v>0.81316216397137597</v>
      </c>
      <c r="AI117" s="19">
        <v>0.75219790747382964</v>
      </c>
      <c r="AJ117" s="19">
        <v>0.69100552222296741</v>
      </c>
      <c r="AK117" s="19">
        <v>0.63156776994439312</v>
      </c>
      <c r="AL117" s="19">
        <v>0.56978178292381021</v>
      </c>
      <c r="AM117" s="19">
        <v>0.50782024146811999</v>
      </c>
      <c r="AN117" s="19">
        <v>0.44570113720704013</v>
      </c>
      <c r="AO117" s="19">
        <v>0.3834442990885461</v>
      </c>
      <c r="AP117" s="19">
        <v>0.32107221282706749</v>
      </c>
      <c r="AQ117" s="19">
        <v>0.25861119502717728</v>
      </c>
      <c r="AR117" s="19">
        <v>20.195799884576523</v>
      </c>
    </row>
    <row r="118" spans="1:44" x14ac:dyDescent="0.25">
      <c r="A118" t="s">
        <v>131</v>
      </c>
      <c r="B118" t="s">
        <v>175</v>
      </c>
      <c r="C118" t="s">
        <v>45</v>
      </c>
      <c r="D118" t="s">
        <v>176</v>
      </c>
      <c r="E118" t="s">
        <v>134</v>
      </c>
      <c r="F118" t="s">
        <v>176</v>
      </c>
      <c r="G118" t="s">
        <v>28</v>
      </c>
      <c r="H118" t="s">
        <v>53</v>
      </c>
      <c r="I118" t="s">
        <v>135</v>
      </c>
      <c r="J118" t="s">
        <v>39</v>
      </c>
      <c r="K118" t="s">
        <v>28</v>
      </c>
      <c r="L118">
        <v>69.128</v>
      </c>
      <c r="M118">
        <v>1</v>
      </c>
      <c r="N118" s="2">
        <v>2.5984710356372855</v>
      </c>
      <c r="O118" s="2">
        <v>2.7834253468235053</v>
      </c>
      <c r="P118" s="1">
        <v>-0.74748036655043748</v>
      </c>
      <c r="Q118" s="1">
        <v>0.77985665564418205</v>
      </c>
      <c r="R118" s="1">
        <v>-0.79930063567792309</v>
      </c>
      <c r="S118" s="19">
        <v>0.60361551785474743</v>
      </c>
      <c r="T118" s="19">
        <v>1.2057906221676882</v>
      </c>
      <c r="U118" s="19">
        <v>2.139281657354648</v>
      </c>
      <c r="V118" s="19">
        <v>3.4766479938888466</v>
      </c>
      <c r="W118" s="19">
        <v>5.2714756800615907</v>
      </c>
      <c r="X118" s="19">
        <v>7.5408181450577949</v>
      </c>
      <c r="Y118" s="19">
        <v>10.243852249730974</v>
      </c>
      <c r="Z118" s="19">
        <v>13.26017341687651</v>
      </c>
      <c r="AA118" s="19">
        <v>16.374250875787098</v>
      </c>
      <c r="AB118" s="19">
        <v>19.275707199461095</v>
      </c>
      <c r="AC118" s="19">
        <v>21.585964020517295</v>
      </c>
      <c r="AD118" s="19">
        <v>22.918000014448968</v>
      </c>
      <c r="AE118" s="19">
        <v>22.965439269120889</v>
      </c>
      <c r="AF118" s="19">
        <v>21.600895344087739</v>
      </c>
      <c r="AG118" s="19">
        <v>18.947819778871892</v>
      </c>
      <c r="AH118" s="19">
        <v>15.631409593354103</v>
      </c>
      <c r="AI118" s="19">
        <v>11.922946925825755</v>
      </c>
      <c r="AJ118" s="19">
        <v>8.2323977773684796</v>
      </c>
      <c r="AK118" s="19">
        <v>0.59232851610149095</v>
      </c>
      <c r="AL118" s="19">
        <v>0</v>
      </c>
      <c r="AM118" s="19">
        <v>0</v>
      </c>
      <c r="AN118" s="19">
        <v>0</v>
      </c>
      <c r="AO118" s="19">
        <v>0</v>
      </c>
      <c r="AP118" s="19">
        <v>0</v>
      </c>
      <c r="AQ118" s="19">
        <v>0</v>
      </c>
      <c r="AR118" s="19">
        <v>223.7888145979376</v>
      </c>
    </row>
    <row r="119" spans="1:44" x14ac:dyDescent="0.25">
      <c r="A119" t="s">
        <v>131</v>
      </c>
      <c r="B119" t="s">
        <v>175</v>
      </c>
      <c r="C119" t="s">
        <v>45</v>
      </c>
      <c r="D119" t="s">
        <v>176</v>
      </c>
      <c r="E119" t="s">
        <v>134</v>
      </c>
      <c r="F119" t="s">
        <v>176</v>
      </c>
      <c r="G119" t="s">
        <v>28</v>
      </c>
      <c r="H119" t="s">
        <v>54</v>
      </c>
      <c r="I119" t="s">
        <v>135</v>
      </c>
      <c r="J119" t="s">
        <v>39</v>
      </c>
      <c r="K119" t="s">
        <v>28</v>
      </c>
      <c r="L119">
        <v>69.128</v>
      </c>
      <c r="M119">
        <v>1</v>
      </c>
      <c r="N119" s="2">
        <v>2.5984710356372855</v>
      </c>
      <c r="O119" s="2">
        <v>2.7834253468235053</v>
      </c>
      <c r="P119" s="1">
        <v>-0.74748036655043748</v>
      </c>
      <c r="Q119" s="1">
        <v>0.77985665564418205</v>
      </c>
      <c r="R119" s="1">
        <v>-0.79930063567792309</v>
      </c>
      <c r="S119" s="19">
        <v>0.80079658702063183</v>
      </c>
      <c r="T119" s="19">
        <v>1.5996822254091334</v>
      </c>
      <c r="U119" s="19">
        <v>2.8381136654238337</v>
      </c>
      <c r="V119" s="19">
        <v>4.612353005225871</v>
      </c>
      <c r="W119" s="19">
        <v>6.9934910688817116</v>
      </c>
      <c r="X119" s="19">
        <v>10.00415207244334</v>
      </c>
      <c r="Y119" s="19">
        <v>13.590177317976428</v>
      </c>
      <c r="Z119" s="19">
        <v>17.591830066389505</v>
      </c>
      <c r="AA119" s="19">
        <v>21.723172828544225</v>
      </c>
      <c r="AB119" s="19">
        <v>25.572438217951731</v>
      </c>
      <c r="AC119" s="19">
        <v>28.637378933886279</v>
      </c>
      <c r="AD119" s="19">
        <v>30.404546685835633</v>
      </c>
      <c r="AE119" s="19">
        <v>30.467482763700389</v>
      </c>
      <c r="AF119" s="19">
        <v>28.657187823156413</v>
      </c>
      <c r="AG119" s="19">
        <v>25.137440906636716</v>
      </c>
      <c r="AH119" s="19">
        <v>20.737670060516443</v>
      </c>
      <c r="AI119" s="19">
        <v>15.817776254928839</v>
      </c>
      <c r="AJ119" s="19">
        <v>10.921647717975516</v>
      </c>
      <c r="AK119" s="19">
        <v>0.78582249802801252</v>
      </c>
      <c r="AL119" s="19">
        <v>0</v>
      </c>
      <c r="AM119" s="19">
        <v>0</v>
      </c>
      <c r="AN119" s="19">
        <v>0</v>
      </c>
      <c r="AO119" s="19">
        <v>0</v>
      </c>
      <c r="AP119" s="19">
        <v>0</v>
      </c>
      <c r="AQ119" s="19">
        <v>0</v>
      </c>
      <c r="AR119" s="19">
        <v>296.89316069993072</v>
      </c>
    </row>
    <row r="120" spans="1:44" x14ac:dyDescent="0.25">
      <c r="A120" t="s">
        <v>131</v>
      </c>
      <c r="B120" t="s">
        <v>175</v>
      </c>
      <c r="C120" t="s">
        <v>45</v>
      </c>
      <c r="D120" t="s">
        <v>176</v>
      </c>
      <c r="E120" t="s">
        <v>134</v>
      </c>
      <c r="F120" t="s">
        <v>176</v>
      </c>
      <c r="G120" t="s">
        <v>28</v>
      </c>
      <c r="H120" t="s">
        <v>141</v>
      </c>
      <c r="I120" t="s">
        <v>135</v>
      </c>
      <c r="J120" t="s">
        <v>39</v>
      </c>
      <c r="K120" t="s">
        <v>28</v>
      </c>
      <c r="L120">
        <v>69.128</v>
      </c>
      <c r="M120">
        <v>1</v>
      </c>
      <c r="N120" s="2">
        <v>2.5984710356372855</v>
      </c>
      <c r="O120" s="2">
        <v>2.7834253468235053</v>
      </c>
      <c r="P120" s="1">
        <v>-0.74748036655043748</v>
      </c>
      <c r="Q120" s="1">
        <v>0.77985665564418205</v>
      </c>
      <c r="R120" s="1">
        <v>-0.79930063567792309</v>
      </c>
      <c r="S120" s="19">
        <v>0.5080430608610792</v>
      </c>
      <c r="T120" s="19">
        <v>1.014873773657804</v>
      </c>
      <c r="U120" s="19">
        <v>1.8005620616068283</v>
      </c>
      <c r="V120" s="19">
        <v>2.9261787281897789</v>
      </c>
      <c r="W120" s="19">
        <v>4.4368253640518382</v>
      </c>
      <c r="X120" s="19">
        <v>6.3468552720903091</v>
      </c>
      <c r="Y120" s="19">
        <v>8.6219089768569042</v>
      </c>
      <c r="Z120" s="19">
        <v>11.160645959204397</v>
      </c>
      <c r="AA120" s="19">
        <v>13.781661153787471</v>
      </c>
      <c r="AB120" s="19">
        <v>16.223720226213089</v>
      </c>
      <c r="AC120" s="19">
        <v>18.168186383935389</v>
      </c>
      <c r="AD120" s="19">
        <v>19.289316678827873</v>
      </c>
      <c r="AE120" s="19">
        <v>19.329244718176746</v>
      </c>
      <c r="AF120" s="19">
        <v>18.180753581273848</v>
      </c>
      <c r="AG120" s="19">
        <v>15.947748313883841</v>
      </c>
      <c r="AH120" s="19">
        <v>13.156436407739699</v>
      </c>
      <c r="AI120" s="19">
        <v>10.035146995903345</v>
      </c>
      <c r="AJ120" s="19">
        <v>6.9289347959518022</v>
      </c>
      <c r="AK120" s="19">
        <v>0.49854316771881935</v>
      </c>
      <c r="AL120" s="19">
        <v>0</v>
      </c>
      <c r="AM120" s="19">
        <v>0</v>
      </c>
      <c r="AN120" s="19">
        <v>0</v>
      </c>
      <c r="AO120" s="19">
        <v>0</v>
      </c>
      <c r="AP120" s="19">
        <v>0</v>
      </c>
      <c r="AQ120" s="19">
        <v>0</v>
      </c>
      <c r="AR120" s="19">
        <v>188.35558561993085</v>
      </c>
    </row>
    <row r="121" spans="1:44" x14ac:dyDescent="0.25">
      <c r="A121" t="s">
        <v>131</v>
      </c>
      <c r="B121" t="s">
        <v>175</v>
      </c>
      <c r="C121" t="s">
        <v>45</v>
      </c>
      <c r="D121" t="s">
        <v>176</v>
      </c>
      <c r="E121" t="s">
        <v>134</v>
      </c>
      <c r="F121" t="s">
        <v>176</v>
      </c>
      <c r="G121" t="s">
        <v>28</v>
      </c>
      <c r="H121" t="s">
        <v>142</v>
      </c>
      <c r="I121" t="s">
        <v>135</v>
      </c>
      <c r="J121" t="s">
        <v>39</v>
      </c>
      <c r="K121" t="s">
        <v>28</v>
      </c>
      <c r="L121">
        <v>69.128</v>
      </c>
      <c r="M121">
        <v>1</v>
      </c>
      <c r="N121" s="2">
        <v>2.5984710356372855</v>
      </c>
      <c r="O121" s="2">
        <v>2.7834253468235053</v>
      </c>
      <c r="P121" s="1">
        <v>-0.74748036655043748</v>
      </c>
      <c r="Q121" s="1">
        <v>0.77985665564418205</v>
      </c>
      <c r="R121" s="1">
        <v>-0.79930063567792309</v>
      </c>
      <c r="S121" s="19">
        <v>0.64184450065221521</v>
      </c>
      <c r="T121" s="19">
        <v>1.2821573615716415</v>
      </c>
      <c r="U121" s="19">
        <v>2.2747694956537758</v>
      </c>
      <c r="V121" s="19">
        <v>3.6968357001684744</v>
      </c>
      <c r="W121" s="19">
        <v>5.6053358064654928</v>
      </c>
      <c r="X121" s="19">
        <v>8.0184032942447878</v>
      </c>
      <c r="Y121" s="19">
        <v>10.892629558880609</v>
      </c>
      <c r="Z121" s="19">
        <v>14.09998439994536</v>
      </c>
      <c r="AA121" s="19">
        <v>17.411286764586947</v>
      </c>
      <c r="AB121" s="19">
        <v>20.496501988760308</v>
      </c>
      <c r="AC121" s="19">
        <v>22.953075075150053</v>
      </c>
      <c r="AD121" s="19">
        <v>24.369473348697408</v>
      </c>
      <c r="AE121" s="19">
        <v>24.419917089498547</v>
      </c>
      <c r="AF121" s="19">
        <v>22.968952049213303</v>
      </c>
      <c r="AG121" s="19">
        <v>20.147848364867116</v>
      </c>
      <c r="AH121" s="19">
        <v>16.621398867599865</v>
      </c>
      <c r="AI121" s="19">
        <v>12.678066897794729</v>
      </c>
      <c r="AJ121" s="19">
        <v>8.7537829699351501</v>
      </c>
      <c r="AK121" s="19">
        <v>0.62984265545453499</v>
      </c>
      <c r="AL121" s="19">
        <v>0</v>
      </c>
      <c r="AM121" s="19">
        <v>0</v>
      </c>
      <c r="AN121" s="19">
        <v>0</v>
      </c>
      <c r="AO121" s="19">
        <v>0</v>
      </c>
      <c r="AP121" s="19">
        <v>0</v>
      </c>
      <c r="AQ121" s="19">
        <v>0</v>
      </c>
      <c r="AR121" s="19">
        <v>237.96210618914031</v>
      </c>
    </row>
    <row r="122" spans="1:44" x14ac:dyDescent="0.25">
      <c r="A122" t="s">
        <v>131</v>
      </c>
      <c r="B122" t="s">
        <v>177</v>
      </c>
      <c r="C122" t="s">
        <v>45</v>
      </c>
      <c r="D122" t="s">
        <v>178</v>
      </c>
      <c r="E122" t="s">
        <v>145</v>
      </c>
      <c r="F122" t="s">
        <v>179</v>
      </c>
      <c r="G122" t="s">
        <v>28</v>
      </c>
      <c r="H122" t="s">
        <v>52</v>
      </c>
      <c r="I122" t="s">
        <v>135</v>
      </c>
      <c r="J122" t="s">
        <v>39</v>
      </c>
      <c r="K122" t="s">
        <v>28</v>
      </c>
      <c r="L122">
        <v>15.099999999999994</v>
      </c>
      <c r="M122">
        <v>1</v>
      </c>
      <c r="N122" s="2">
        <v>1.4244861623684499</v>
      </c>
      <c r="O122" s="2">
        <v>2.3549237220148114</v>
      </c>
      <c r="P122" s="1">
        <v>-1.1801302289501605E-2</v>
      </c>
      <c r="Q122" s="1">
        <v>1.2035709453628638</v>
      </c>
      <c r="R122" s="1">
        <v>-0.48733586113566879</v>
      </c>
      <c r="S122" s="19">
        <v>290.4419410465984</v>
      </c>
      <c r="T122" s="19">
        <v>569.63059554034305</v>
      </c>
      <c r="U122" s="19">
        <v>1003.4466529835368</v>
      </c>
      <c r="V122" s="19">
        <v>1609.9295834507573</v>
      </c>
      <c r="W122" s="19">
        <v>2380.4620584925569</v>
      </c>
      <c r="X122" s="19">
        <v>3277.468012018277</v>
      </c>
      <c r="Y122" s="19">
        <v>4240.8666059867119</v>
      </c>
      <c r="Z122" s="19">
        <v>5200.9810676866146</v>
      </c>
      <c r="AA122" s="19">
        <v>6093.1315808151694</v>
      </c>
      <c r="AB122" s="19">
        <v>6869.1493917041116</v>
      </c>
      <c r="AC122" s="19">
        <v>7502.961402206809</v>
      </c>
      <c r="AD122" s="19">
        <v>7990.0109646769997</v>
      </c>
      <c r="AE122" s="19">
        <v>8342.2966015818402</v>
      </c>
      <c r="AF122" s="19">
        <v>8581.5890376252319</v>
      </c>
      <c r="AG122" s="19">
        <v>8733.0527660917378</v>
      </c>
      <c r="AH122" s="19">
        <v>8820.5761879564689</v>
      </c>
      <c r="AI122" s="19">
        <v>8864.1564001616189</v>
      </c>
      <c r="AJ122" s="19">
        <v>8888.1270939714814</v>
      </c>
      <c r="AK122" s="19">
        <v>8899.1319500677782</v>
      </c>
      <c r="AL122" s="19">
        <v>5372.1096294663212</v>
      </c>
      <c r="AM122" s="19">
        <v>0</v>
      </c>
      <c r="AN122" s="19">
        <v>0</v>
      </c>
      <c r="AO122" s="19">
        <v>0</v>
      </c>
      <c r="AP122" s="19">
        <v>0</v>
      </c>
      <c r="AQ122" s="19">
        <v>0</v>
      </c>
      <c r="AR122" s="19">
        <v>113529.51952353097</v>
      </c>
    </row>
    <row r="123" spans="1:44" x14ac:dyDescent="0.25">
      <c r="A123" t="s">
        <v>131</v>
      </c>
      <c r="B123" t="s">
        <v>177</v>
      </c>
      <c r="C123" t="s">
        <v>45</v>
      </c>
      <c r="D123" t="s">
        <v>178</v>
      </c>
      <c r="E123" t="s">
        <v>145</v>
      </c>
      <c r="F123" t="s">
        <v>179</v>
      </c>
      <c r="G123" t="s">
        <v>28</v>
      </c>
      <c r="H123" t="s">
        <v>53</v>
      </c>
      <c r="I123" t="s">
        <v>135</v>
      </c>
      <c r="J123" t="s">
        <v>39</v>
      </c>
      <c r="K123" t="s">
        <v>28</v>
      </c>
      <c r="L123">
        <v>15.099999999999994</v>
      </c>
      <c r="M123">
        <v>1</v>
      </c>
      <c r="N123" s="2">
        <v>1.4244861623684499</v>
      </c>
      <c r="O123" s="2">
        <v>2.3549237220148114</v>
      </c>
      <c r="P123" s="1">
        <v>-1.1801302289501605E-2</v>
      </c>
      <c r="Q123" s="1">
        <v>1.2035709453628638</v>
      </c>
      <c r="R123" s="1">
        <v>-0.48733586113566879</v>
      </c>
      <c r="S123" s="19">
        <v>5.4713595844747722</v>
      </c>
      <c r="T123" s="19">
        <v>10.730729202845032</v>
      </c>
      <c r="U123" s="19">
        <v>18.902977450594012</v>
      </c>
      <c r="V123" s="19">
        <v>30.327932753105873</v>
      </c>
      <c r="W123" s="19">
        <v>44.843261452801592</v>
      </c>
      <c r="X123" s="19">
        <v>61.741103766720236</v>
      </c>
      <c r="Y123" s="19">
        <v>79.889653909941529</v>
      </c>
      <c r="Z123" s="19">
        <v>97.976337407803811</v>
      </c>
      <c r="AA123" s="19">
        <v>114.78271269647765</v>
      </c>
      <c r="AB123" s="19">
        <v>129.40137442291586</v>
      </c>
      <c r="AC123" s="19">
        <v>141.34115628060144</v>
      </c>
      <c r="AD123" s="19">
        <v>150.51621991684121</v>
      </c>
      <c r="AE123" s="19">
        <v>157.15259408858262</v>
      </c>
      <c r="AF123" s="19">
        <v>161.66039677961427</v>
      </c>
      <c r="AG123" s="19">
        <v>164.51367795332931</v>
      </c>
      <c r="AH123" s="19">
        <v>166.16244848337061</v>
      </c>
      <c r="AI123" s="19">
        <v>166.98341466643248</v>
      </c>
      <c r="AJ123" s="19">
        <v>167.43497577654796</v>
      </c>
      <c r="AK123" s="19">
        <v>167.64228579748109</v>
      </c>
      <c r="AL123" s="19">
        <v>101.20006567961208</v>
      </c>
      <c r="AM123" s="19">
        <v>0</v>
      </c>
      <c r="AN123" s="19">
        <v>0</v>
      </c>
      <c r="AO123" s="19">
        <v>0</v>
      </c>
      <c r="AP123" s="19">
        <v>0</v>
      </c>
      <c r="AQ123" s="19">
        <v>0</v>
      </c>
      <c r="AR123" s="19">
        <v>2138.6746780700933</v>
      </c>
    </row>
    <row r="124" spans="1:44" x14ac:dyDescent="0.25">
      <c r="A124" t="s">
        <v>131</v>
      </c>
      <c r="B124" t="s">
        <v>177</v>
      </c>
      <c r="C124" t="s">
        <v>45</v>
      </c>
      <c r="D124" t="s">
        <v>178</v>
      </c>
      <c r="E124" t="s">
        <v>145</v>
      </c>
      <c r="F124" t="s">
        <v>179</v>
      </c>
      <c r="G124" t="s">
        <v>28</v>
      </c>
      <c r="H124" t="s">
        <v>54</v>
      </c>
      <c r="I124" t="s">
        <v>135</v>
      </c>
      <c r="J124" t="s">
        <v>39</v>
      </c>
      <c r="K124" t="s">
        <v>28</v>
      </c>
      <c r="L124">
        <v>15.099999999999994</v>
      </c>
      <c r="M124">
        <v>1</v>
      </c>
      <c r="N124" s="2">
        <v>1.4244861623684499</v>
      </c>
      <c r="O124" s="2">
        <v>2.3549237220148114</v>
      </c>
      <c r="P124" s="1">
        <v>-1.1801302289501605E-2</v>
      </c>
      <c r="Q124" s="1">
        <v>1.2035709453628638</v>
      </c>
      <c r="R124" s="1">
        <v>-0.48733586113566879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19">
        <v>0</v>
      </c>
      <c r="AI124" s="19">
        <v>0</v>
      </c>
      <c r="AJ124" s="19">
        <v>0</v>
      </c>
      <c r="AK124" s="19">
        <v>0</v>
      </c>
      <c r="AL124" s="19">
        <v>0</v>
      </c>
      <c r="AM124" s="19">
        <v>0</v>
      </c>
      <c r="AN124" s="19">
        <v>0</v>
      </c>
      <c r="AO124" s="19">
        <v>0</v>
      </c>
      <c r="AP124" s="19">
        <v>0</v>
      </c>
      <c r="AQ124" s="19">
        <v>0</v>
      </c>
      <c r="AR124" s="19">
        <v>0</v>
      </c>
    </row>
    <row r="125" spans="1:44" x14ac:dyDescent="0.25">
      <c r="A125" t="s">
        <v>131</v>
      </c>
      <c r="B125" t="s">
        <v>177</v>
      </c>
      <c r="C125" t="s">
        <v>45</v>
      </c>
      <c r="D125" t="s">
        <v>178</v>
      </c>
      <c r="E125" t="s">
        <v>145</v>
      </c>
      <c r="F125" t="s">
        <v>179</v>
      </c>
      <c r="G125" t="s">
        <v>28</v>
      </c>
      <c r="H125" t="s">
        <v>55</v>
      </c>
      <c r="I125" t="s">
        <v>135</v>
      </c>
      <c r="J125" t="s">
        <v>39</v>
      </c>
      <c r="K125" t="s">
        <v>28</v>
      </c>
      <c r="L125">
        <v>15.099999999999994</v>
      </c>
      <c r="M125">
        <v>1</v>
      </c>
      <c r="N125" s="2">
        <v>1.4244861623684499</v>
      </c>
      <c r="O125" s="2">
        <v>2.3549237220148114</v>
      </c>
      <c r="P125" s="1">
        <v>-1.1801302289501605E-2</v>
      </c>
      <c r="Q125" s="1">
        <v>1.2035709453628638</v>
      </c>
      <c r="R125" s="1">
        <v>-0.48733586113566879</v>
      </c>
      <c r="S125" s="19">
        <v>0.6299962581110542</v>
      </c>
      <c r="T125" s="19">
        <v>1.2355830649073214</v>
      </c>
      <c r="U125" s="19">
        <v>2.1765714494115191</v>
      </c>
      <c r="V125" s="19">
        <v>3.4920907419274521</v>
      </c>
      <c r="W125" s="19">
        <v>5.1634491355538774</v>
      </c>
      <c r="X125" s="19">
        <v>7.1091405607942688</v>
      </c>
      <c r="Y125" s="19">
        <v>9.1988439523997769</v>
      </c>
      <c r="Z125" s="19">
        <v>11.281423748036817</v>
      </c>
      <c r="AA125" s="19">
        <v>13.216583260184098</v>
      </c>
      <c r="AB125" s="19">
        <v>14.899839870182888</v>
      </c>
      <c r="AC125" s="19">
        <v>16.274638542591163</v>
      </c>
      <c r="AD125" s="19">
        <v>17.331095474276573</v>
      </c>
      <c r="AE125" s="19">
        <v>18.095236604295778</v>
      </c>
      <c r="AF125" s="19">
        <v>18.614284709946013</v>
      </c>
      <c r="AG125" s="19">
        <v>18.942823976105721</v>
      </c>
      <c r="AH125" s="19">
        <v>19.132670621783543</v>
      </c>
      <c r="AI125" s="19">
        <v>19.227200256580772</v>
      </c>
      <c r="AJ125" s="19">
        <v>19.279194976593043</v>
      </c>
      <c r="AK125" s="19">
        <v>19.303065558564558</v>
      </c>
      <c r="AL125" s="19">
        <v>11.652617912311696</v>
      </c>
      <c r="AM125" s="19">
        <v>0</v>
      </c>
      <c r="AN125" s="19">
        <v>0</v>
      </c>
      <c r="AO125" s="19">
        <v>0</v>
      </c>
      <c r="AP125" s="19">
        <v>0</v>
      </c>
      <c r="AQ125" s="19">
        <v>0</v>
      </c>
      <c r="AR125" s="19">
        <v>246.25635067455792</v>
      </c>
    </row>
    <row r="126" spans="1:44" x14ac:dyDescent="0.25">
      <c r="A126" t="s">
        <v>131</v>
      </c>
      <c r="B126" t="s">
        <v>177</v>
      </c>
      <c r="C126" t="s">
        <v>45</v>
      </c>
      <c r="D126" t="s">
        <v>178</v>
      </c>
      <c r="E126" t="s">
        <v>145</v>
      </c>
      <c r="F126" t="s">
        <v>179</v>
      </c>
      <c r="G126" t="s">
        <v>28</v>
      </c>
      <c r="H126" t="s">
        <v>138</v>
      </c>
      <c r="I126" t="s">
        <v>135</v>
      </c>
      <c r="J126" t="s">
        <v>39</v>
      </c>
      <c r="K126" t="s">
        <v>28</v>
      </c>
      <c r="L126">
        <v>15.099999999999994</v>
      </c>
      <c r="M126">
        <v>1</v>
      </c>
      <c r="N126" s="2">
        <v>1.4244861623684499</v>
      </c>
      <c r="O126" s="2">
        <v>2.3549237220148114</v>
      </c>
      <c r="P126" s="1">
        <v>-1.1801302289501605E-2</v>
      </c>
      <c r="Q126" s="1">
        <v>1.2035709453628638</v>
      </c>
      <c r="R126" s="1">
        <v>-0.48733586113566879</v>
      </c>
      <c r="S126" s="19">
        <v>100.74939049932657</v>
      </c>
      <c r="T126" s="19">
        <v>197.59520647622435</v>
      </c>
      <c r="U126" s="19">
        <v>348.07864980650521</v>
      </c>
      <c r="V126" s="19">
        <v>558.45730714723209</v>
      </c>
      <c r="W126" s="19">
        <v>825.74197320014173</v>
      </c>
      <c r="X126" s="19">
        <v>1136.8981470169399</v>
      </c>
      <c r="Y126" s="19">
        <v>1471.084803394695</v>
      </c>
      <c r="Z126" s="19">
        <v>1804.1322499077139</v>
      </c>
      <c r="AA126" s="19">
        <v>2113.6041536812209</v>
      </c>
      <c r="AB126" s="19">
        <v>2382.7915898412716</v>
      </c>
      <c r="AC126" s="19">
        <v>2602.6502422080616</v>
      </c>
      <c r="AD126" s="19">
        <v>2771.5994868833086</v>
      </c>
      <c r="AE126" s="19">
        <v>2893.8014081069905</v>
      </c>
      <c r="AF126" s="19">
        <v>2976.8079015755161</v>
      </c>
      <c r="AG126" s="19">
        <v>3029.3481038299419</v>
      </c>
      <c r="AH126" s="19">
        <v>3059.7084966007383</v>
      </c>
      <c r="AI126" s="19">
        <v>3074.8257341514818</v>
      </c>
      <c r="AJ126" s="19">
        <v>3083.1407618726394</v>
      </c>
      <c r="AK126" s="19">
        <v>3086.9581600770416</v>
      </c>
      <c r="AL126" s="19">
        <v>1863.4938497999592</v>
      </c>
      <c r="AM126" s="19">
        <v>0</v>
      </c>
      <c r="AN126" s="19">
        <v>0</v>
      </c>
      <c r="AO126" s="19">
        <v>0</v>
      </c>
      <c r="AP126" s="19">
        <v>0</v>
      </c>
      <c r="AQ126" s="19">
        <v>0</v>
      </c>
      <c r="AR126" s="19">
        <v>39381.467616076952</v>
      </c>
    </row>
    <row r="127" spans="1:44" x14ac:dyDescent="0.25">
      <c r="A127" t="s">
        <v>131</v>
      </c>
      <c r="B127" t="s">
        <v>177</v>
      </c>
      <c r="C127" t="s">
        <v>45</v>
      </c>
      <c r="D127" t="s">
        <v>178</v>
      </c>
      <c r="E127" t="s">
        <v>145</v>
      </c>
      <c r="F127" t="s">
        <v>179</v>
      </c>
      <c r="G127" t="s">
        <v>28</v>
      </c>
      <c r="H127" t="s">
        <v>141</v>
      </c>
      <c r="I127" t="s">
        <v>135</v>
      </c>
      <c r="J127" t="s">
        <v>39</v>
      </c>
      <c r="K127" t="s">
        <v>28</v>
      </c>
      <c r="L127">
        <v>15.099999999999994</v>
      </c>
      <c r="M127">
        <v>1</v>
      </c>
      <c r="N127" s="2">
        <v>1.4244861623684499</v>
      </c>
      <c r="O127" s="2">
        <v>2.3549237220148114</v>
      </c>
      <c r="P127" s="1">
        <v>-1.1801302289501605E-2</v>
      </c>
      <c r="Q127" s="1">
        <v>1.2035709453628638</v>
      </c>
      <c r="R127" s="1">
        <v>-0.48733586113566879</v>
      </c>
      <c r="S127" s="19">
        <v>4.605060983599599</v>
      </c>
      <c r="T127" s="19">
        <v>9.0316970790612334</v>
      </c>
      <c r="U127" s="19">
        <v>15.910006020916622</v>
      </c>
      <c r="V127" s="19">
        <v>25.52601006719744</v>
      </c>
      <c r="W127" s="19">
        <v>37.74307838944133</v>
      </c>
      <c r="X127" s="19">
        <v>51.965429003656205</v>
      </c>
      <c r="Y127" s="19">
        <v>67.240458707534117</v>
      </c>
      <c r="Z127" s="19">
        <v>82.46341731823486</v>
      </c>
      <c r="AA127" s="19">
        <v>96.608783186202004</v>
      </c>
      <c r="AB127" s="19">
        <v>108.91282347262084</v>
      </c>
      <c r="AC127" s="19">
        <v>118.9621398695062</v>
      </c>
      <c r="AD127" s="19">
        <v>126.68448509667461</v>
      </c>
      <c r="AE127" s="19">
        <v>132.270100024557</v>
      </c>
      <c r="AF127" s="19">
        <v>136.06416728950859</v>
      </c>
      <c r="AG127" s="19">
        <v>138.46567894405214</v>
      </c>
      <c r="AH127" s="19">
        <v>139.85339414017022</v>
      </c>
      <c r="AI127" s="19">
        <v>140.544374010914</v>
      </c>
      <c r="AJ127" s="19">
        <v>140.92443794526119</v>
      </c>
      <c r="AK127" s="19">
        <v>141.09892387954659</v>
      </c>
      <c r="AL127" s="19">
        <v>85.176721947006953</v>
      </c>
      <c r="AM127" s="19">
        <v>0</v>
      </c>
      <c r="AN127" s="19">
        <v>0</v>
      </c>
      <c r="AO127" s="19">
        <v>0</v>
      </c>
      <c r="AP127" s="19">
        <v>0</v>
      </c>
      <c r="AQ127" s="19">
        <v>0</v>
      </c>
      <c r="AR127" s="19">
        <v>1800.0511873756616</v>
      </c>
    </row>
    <row r="128" spans="1:44" x14ac:dyDescent="0.25">
      <c r="A128" t="s">
        <v>131</v>
      </c>
      <c r="B128" t="s">
        <v>177</v>
      </c>
      <c r="C128" t="s">
        <v>45</v>
      </c>
      <c r="D128" t="s">
        <v>178</v>
      </c>
      <c r="E128" t="s">
        <v>145</v>
      </c>
      <c r="F128" t="s">
        <v>179</v>
      </c>
      <c r="G128" t="s">
        <v>28</v>
      </c>
      <c r="H128" t="s">
        <v>142</v>
      </c>
      <c r="I128" t="s">
        <v>135</v>
      </c>
      <c r="J128" t="s">
        <v>39</v>
      </c>
      <c r="K128" t="s">
        <v>28</v>
      </c>
      <c r="L128">
        <v>15.099999999999994</v>
      </c>
      <c r="M128">
        <v>1</v>
      </c>
      <c r="N128" s="2">
        <v>1.4244861623684499</v>
      </c>
      <c r="O128" s="2">
        <v>2.3549237220148114</v>
      </c>
      <c r="P128" s="1">
        <v>-1.1801302289501605E-2</v>
      </c>
      <c r="Q128" s="1">
        <v>1.2035709453628638</v>
      </c>
      <c r="R128" s="1">
        <v>-0.48733586113566879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19">
        <v>0</v>
      </c>
      <c r="AI128" s="19">
        <v>0</v>
      </c>
      <c r="AJ128" s="19">
        <v>0</v>
      </c>
      <c r="AK128" s="19">
        <v>0</v>
      </c>
      <c r="AL128" s="19">
        <v>0</v>
      </c>
      <c r="AM128" s="19">
        <v>0</v>
      </c>
      <c r="AN128" s="19">
        <v>0</v>
      </c>
      <c r="AO128" s="19">
        <v>0</v>
      </c>
      <c r="AP128" s="19">
        <v>0</v>
      </c>
      <c r="AQ128" s="19">
        <v>0</v>
      </c>
      <c r="AR128" s="19">
        <v>0</v>
      </c>
    </row>
    <row r="129" spans="1:44" x14ac:dyDescent="0.25">
      <c r="A129" t="s">
        <v>131</v>
      </c>
      <c r="B129" t="s">
        <v>177</v>
      </c>
      <c r="C129" t="s">
        <v>45</v>
      </c>
      <c r="D129" t="s">
        <v>178</v>
      </c>
      <c r="E129" t="s">
        <v>145</v>
      </c>
      <c r="F129" t="s">
        <v>179</v>
      </c>
      <c r="G129" t="s">
        <v>28</v>
      </c>
      <c r="H129" t="s">
        <v>136</v>
      </c>
      <c r="I129" t="s">
        <v>135</v>
      </c>
      <c r="J129" t="s">
        <v>39</v>
      </c>
      <c r="K129" t="s">
        <v>28</v>
      </c>
      <c r="L129">
        <v>15.099999999999994</v>
      </c>
      <c r="M129">
        <v>1</v>
      </c>
      <c r="N129" s="2">
        <v>1.4244861623684499</v>
      </c>
      <c r="O129" s="2">
        <v>2.3549237220148114</v>
      </c>
      <c r="P129" s="1">
        <v>-1.1801302289501605E-2</v>
      </c>
      <c r="Q129" s="1">
        <v>1.2035709453628638</v>
      </c>
      <c r="R129" s="1">
        <v>-0.48733586113566879</v>
      </c>
      <c r="S129" s="19">
        <v>0.79099530185054612</v>
      </c>
      <c r="T129" s="19">
        <v>1.5513431814947485</v>
      </c>
      <c r="U129" s="19">
        <v>2.7328063753722409</v>
      </c>
      <c r="V129" s="19">
        <v>4.384513931531135</v>
      </c>
      <c r="W129" s="19">
        <v>6.4829972479732003</v>
      </c>
      <c r="X129" s="19">
        <v>8.9259209263305834</v>
      </c>
      <c r="Y129" s="19">
        <v>11.549659629124168</v>
      </c>
      <c r="Z129" s="19">
        <v>14.164454261423998</v>
      </c>
      <c r="AA129" s="19">
        <v>16.594154537786707</v>
      </c>
      <c r="AB129" s="19">
        <v>18.707576725896292</v>
      </c>
      <c r="AC129" s="19">
        <v>20.433712836808898</v>
      </c>
      <c r="AD129" s="19">
        <v>21.760153206591699</v>
      </c>
      <c r="AE129" s="19">
        <v>22.719574847615817</v>
      </c>
      <c r="AF129" s="19">
        <v>23.371268580265543</v>
      </c>
      <c r="AG129" s="19">
        <v>23.783767881110517</v>
      </c>
      <c r="AH129" s="19">
        <v>24.022130891794905</v>
      </c>
      <c r="AI129" s="19">
        <v>24.140818099929199</v>
      </c>
      <c r="AJ129" s="19">
        <v>24.206100359500155</v>
      </c>
      <c r="AK129" s="19">
        <v>24.236071201308825</v>
      </c>
      <c r="AL129" s="19">
        <v>14.630509156569111</v>
      </c>
      <c r="AM129" s="19">
        <v>0</v>
      </c>
      <c r="AN129" s="19">
        <v>0</v>
      </c>
      <c r="AO129" s="19">
        <v>0</v>
      </c>
      <c r="AP129" s="19">
        <v>0</v>
      </c>
      <c r="AQ129" s="19">
        <v>0</v>
      </c>
      <c r="AR129" s="19">
        <v>309.18852918027829</v>
      </c>
    </row>
    <row r="130" spans="1:44" x14ac:dyDescent="0.25">
      <c r="A130" t="s">
        <v>131</v>
      </c>
      <c r="B130" t="s">
        <v>180</v>
      </c>
      <c r="C130" t="s">
        <v>45</v>
      </c>
      <c r="D130" t="s">
        <v>178</v>
      </c>
      <c r="E130" t="s">
        <v>145</v>
      </c>
      <c r="F130" t="s">
        <v>181</v>
      </c>
      <c r="G130" t="s">
        <v>28</v>
      </c>
      <c r="H130" t="s">
        <v>52</v>
      </c>
      <c r="I130" t="s">
        <v>135</v>
      </c>
      <c r="J130" t="s">
        <v>39</v>
      </c>
      <c r="K130" t="s">
        <v>28</v>
      </c>
      <c r="L130">
        <v>55.245283018867937</v>
      </c>
      <c r="M130">
        <v>1</v>
      </c>
      <c r="N130" s="2">
        <v>1.5281220060315359</v>
      </c>
      <c r="O130" s="2">
        <v>2.3676355275024612</v>
      </c>
      <c r="P130" s="1">
        <v>-8.7370159319194146E-2</v>
      </c>
      <c r="Q130" s="1">
        <v>1.1280020883331712</v>
      </c>
      <c r="R130" s="1">
        <v>-0.48733586113566763</v>
      </c>
      <c r="S130" s="19">
        <v>0</v>
      </c>
      <c r="T130" s="19">
        <v>0</v>
      </c>
      <c r="U130" s="19">
        <v>151.25755039628771</v>
      </c>
      <c r="V130" s="19">
        <v>284.35534699557832</v>
      </c>
      <c r="W130" s="19">
        <v>486.07398887017769</v>
      </c>
      <c r="X130" s="19">
        <v>774.47897189368075</v>
      </c>
      <c r="Y130" s="19">
        <v>1166.0195387617223</v>
      </c>
      <c r="Z130" s="19">
        <v>1672.4746167012609</v>
      </c>
      <c r="AA130" s="19">
        <v>2297.3066927507607</v>
      </c>
      <c r="AB130" s="19">
        <v>3032.0370452820148</v>
      </c>
      <c r="AC130" s="19">
        <v>3853.6546387270168</v>
      </c>
      <c r="AD130" s="19">
        <v>4724.3268524076975</v>
      </c>
      <c r="AE130" s="19">
        <v>5594.5333040397472</v>
      </c>
      <c r="AF130" s="19">
        <v>6409.9694794126644</v>
      </c>
      <c r="AG130" s="19">
        <v>7121.1934517018854</v>
      </c>
      <c r="AH130" s="19">
        <v>8070.524564967006</v>
      </c>
      <c r="AI130" s="19">
        <v>8511.9613440548092</v>
      </c>
      <c r="AJ130" s="19">
        <v>8810.1700754335452</v>
      </c>
      <c r="AK130" s="19">
        <v>8944.0853064676194</v>
      </c>
      <c r="AL130" s="19">
        <v>9030.5303598267856</v>
      </c>
      <c r="AM130" s="19">
        <v>9003.8376141734698</v>
      </c>
      <c r="AN130" s="19">
        <v>8936.968495862362</v>
      </c>
      <c r="AO130" s="19">
        <v>8866.9655818752144</v>
      </c>
      <c r="AP130" s="19">
        <v>6666.4196368624634</v>
      </c>
      <c r="AQ130" s="19">
        <v>148.60837688598133</v>
      </c>
      <c r="AR130" s="19">
        <v>114557.75283434974</v>
      </c>
    </row>
    <row r="131" spans="1:44" x14ac:dyDescent="0.25">
      <c r="A131" t="s">
        <v>131</v>
      </c>
      <c r="B131" t="s">
        <v>180</v>
      </c>
      <c r="C131" t="s">
        <v>45</v>
      </c>
      <c r="D131" t="s">
        <v>178</v>
      </c>
      <c r="E131" t="s">
        <v>148</v>
      </c>
      <c r="F131" t="s">
        <v>181</v>
      </c>
      <c r="G131" t="s">
        <v>28</v>
      </c>
      <c r="H131" t="s">
        <v>52</v>
      </c>
      <c r="I131" t="s">
        <v>135</v>
      </c>
      <c r="J131" t="s">
        <v>39</v>
      </c>
      <c r="K131" t="s">
        <v>28</v>
      </c>
      <c r="L131">
        <v>55.245283018867937</v>
      </c>
      <c r="M131">
        <v>1</v>
      </c>
      <c r="N131" s="2">
        <v>1.5281220060315359</v>
      </c>
      <c r="O131" s="2">
        <v>2.3676355275024612</v>
      </c>
      <c r="P131" s="1">
        <v>-8.7370159319194146E-2</v>
      </c>
      <c r="Q131" s="1">
        <v>1.1280020883331712</v>
      </c>
      <c r="R131" s="1">
        <v>-0.48733586113566763</v>
      </c>
      <c r="S131" s="19">
        <v>0</v>
      </c>
      <c r="T131" s="19">
        <v>0</v>
      </c>
      <c r="U131" s="19">
        <v>7.3737535901378974</v>
      </c>
      <c r="V131" s="19">
        <v>14.081585265661936</v>
      </c>
      <c r="W131" s="19">
        <v>23.640842807411257</v>
      </c>
      <c r="X131" s="19">
        <v>36.549799491049619</v>
      </c>
      <c r="Y131" s="19">
        <v>52.686257720470515</v>
      </c>
      <c r="Z131" s="19">
        <v>72.464280260625543</v>
      </c>
      <c r="AA131" s="19">
        <v>95.253023508948857</v>
      </c>
      <c r="AB131" s="19">
        <v>119.90841185208978</v>
      </c>
      <c r="AC131" s="19">
        <v>144.96700865857761</v>
      </c>
      <c r="AD131" s="19">
        <v>168.5418659113771</v>
      </c>
      <c r="AE131" s="19">
        <v>188.63979376903407</v>
      </c>
      <c r="AF131" s="19">
        <v>203.50086309979173</v>
      </c>
      <c r="AG131" s="19">
        <v>211.94012276111613</v>
      </c>
      <c r="AH131" s="19">
        <v>213.58044603841083</v>
      </c>
      <c r="AI131" s="19">
        <v>208.884148788461</v>
      </c>
      <c r="AJ131" s="19">
        <v>199.5082181019942</v>
      </c>
      <c r="AK131" s="19">
        <v>185.56718643676345</v>
      </c>
      <c r="AL131" s="19">
        <v>170.14651045869527</v>
      </c>
      <c r="AM131" s="19">
        <v>152.25275361133075</v>
      </c>
      <c r="AN131" s="19">
        <v>133.62843755752962</v>
      </c>
      <c r="AO131" s="19">
        <v>114.96282665696428</v>
      </c>
      <c r="AP131" s="19">
        <v>96.262662491906198</v>
      </c>
      <c r="AQ131" s="19">
        <v>77.535835207696437</v>
      </c>
      <c r="AR131" s="19">
        <v>2891.8766340460443</v>
      </c>
    </row>
    <row r="132" spans="1:44" x14ac:dyDescent="0.25">
      <c r="A132" t="s">
        <v>131</v>
      </c>
      <c r="B132" t="s">
        <v>180</v>
      </c>
      <c r="C132" t="s">
        <v>45</v>
      </c>
      <c r="D132" t="s">
        <v>178</v>
      </c>
      <c r="E132" t="s">
        <v>145</v>
      </c>
      <c r="F132" t="s">
        <v>181</v>
      </c>
      <c r="G132" t="s">
        <v>28</v>
      </c>
      <c r="H132" t="s">
        <v>53</v>
      </c>
      <c r="I132" t="s">
        <v>135</v>
      </c>
      <c r="J132" t="s">
        <v>39</v>
      </c>
      <c r="K132" t="s">
        <v>28</v>
      </c>
      <c r="L132">
        <v>55.245283018867937</v>
      </c>
      <c r="M132">
        <v>1</v>
      </c>
      <c r="N132" s="2">
        <v>1.5281220060315359</v>
      </c>
      <c r="O132" s="2">
        <v>2.3676355275024612</v>
      </c>
      <c r="P132" s="1">
        <v>-8.7370159319194146E-2</v>
      </c>
      <c r="Q132" s="1">
        <v>1.1280020883331712</v>
      </c>
      <c r="R132" s="1">
        <v>-0.48733586113566763</v>
      </c>
      <c r="S132" s="19">
        <v>0</v>
      </c>
      <c r="T132" s="19">
        <v>0</v>
      </c>
      <c r="U132" s="19">
        <v>2.8493971810776717</v>
      </c>
      <c r="V132" s="19">
        <v>5.356700026086429</v>
      </c>
      <c r="W132" s="19">
        <v>9.1566857327332212</v>
      </c>
      <c r="X132" s="19">
        <v>14.589673001685396</v>
      </c>
      <c r="Y132" s="19">
        <v>21.965533476672519</v>
      </c>
      <c r="Z132" s="19">
        <v>31.506159168696229</v>
      </c>
      <c r="AA132" s="19">
        <v>43.276776579052282</v>
      </c>
      <c r="AB132" s="19">
        <v>57.117663132284086</v>
      </c>
      <c r="AC132" s="19">
        <v>72.595335807482087</v>
      </c>
      <c r="AD132" s="19">
        <v>88.997101833737077</v>
      </c>
      <c r="AE132" s="19">
        <v>105.39009381158959</v>
      </c>
      <c r="AF132" s="19">
        <v>120.75132062882209</v>
      </c>
      <c r="AG132" s="19">
        <v>134.14939283378826</v>
      </c>
      <c r="AH132" s="19">
        <v>185.79128555458831</v>
      </c>
      <c r="AI132" s="19">
        <v>196.02715476617544</v>
      </c>
      <c r="AJ132" s="19">
        <v>201.51531555190331</v>
      </c>
      <c r="AK132" s="19">
        <v>202.46263771952377</v>
      </c>
      <c r="AL132" s="19">
        <v>201.55052712304337</v>
      </c>
      <c r="AM132" s="19">
        <v>197.86093634644868</v>
      </c>
      <c r="AN132" s="19">
        <v>193.01279441869261</v>
      </c>
      <c r="AO132" s="19">
        <v>187.89850315185427</v>
      </c>
      <c r="AP132" s="19">
        <v>142.60386946922833</v>
      </c>
      <c r="AQ132" s="19">
        <v>16.104709619091107</v>
      </c>
      <c r="AR132" s="19">
        <v>2432.5295669342559</v>
      </c>
    </row>
    <row r="133" spans="1:44" x14ac:dyDescent="0.25">
      <c r="A133" t="s">
        <v>131</v>
      </c>
      <c r="B133" t="s">
        <v>180</v>
      </c>
      <c r="C133" t="s">
        <v>45</v>
      </c>
      <c r="D133" t="s">
        <v>178</v>
      </c>
      <c r="E133" t="s">
        <v>148</v>
      </c>
      <c r="F133" t="s">
        <v>181</v>
      </c>
      <c r="G133" t="s">
        <v>28</v>
      </c>
      <c r="H133" t="s">
        <v>53</v>
      </c>
      <c r="I133" t="s">
        <v>135</v>
      </c>
      <c r="J133" t="s">
        <v>39</v>
      </c>
      <c r="K133" t="s">
        <v>28</v>
      </c>
      <c r="L133">
        <v>55.245283018867937</v>
      </c>
      <c r="M133">
        <v>1</v>
      </c>
      <c r="N133" s="2">
        <v>1.5281220060315359</v>
      </c>
      <c r="O133" s="2">
        <v>2.3676355275024612</v>
      </c>
      <c r="P133" s="1">
        <v>-8.7370159319194146E-2</v>
      </c>
      <c r="Q133" s="1">
        <v>1.1280020883331712</v>
      </c>
      <c r="R133" s="1">
        <v>-0.48733586113566763</v>
      </c>
      <c r="S133" s="19">
        <v>0</v>
      </c>
      <c r="T133" s="19">
        <v>0</v>
      </c>
      <c r="U133" s="19">
        <v>0.79909465980516636</v>
      </c>
      <c r="V133" s="19">
        <v>1.5260232729272831</v>
      </c>
      <c r="W133" s="19">
        <v>2.5619612873912732</v>
      </c>
      <c r="X133" s="19">
        <v>3.9609066445222978</v>
      </c>
      <c r="Y133" s="19">
        <v>5.709616774536042</v>
      </c>
      <c r="Z133" s="19">
        <v>7.8529637144828532</v>
      </c>
      <c r="AA133" s="19">
        <v>10.322582859033854</v>
      </c>
      <c r="AB133" s="19">
        <v>12.994490581415125</v>
      </c>
      <c r="AC133" s="19">
        <v>15.710094058734525</v>
      </c>
      <c r="AD133" s="19">
        <v>18.264904482773932</v>
      </c>
      <c r="AE133" s="19">
        <v>20.442919604635872</v>
      </c>
      <c r="AF133" s="19">
        <v>22.053415669636905</v>
      </c>
      <c r="AG133" s="19">
        <v>22.967979364454404</v>
      </c>
      <c r="AH133" s="19">
        <v>23.145741416741082</v>
      </c>
      <c r="AI133" s="19">
        <v>22.636803057543556</v>
      </c>
      <c r="AJ133" s="19">
        <v>21.620732198832023</v>
      </c>
      <c r="AK133" s="19">
        <v>20.109940738325687</v>
      </c>
      <c r="AL133" s="19">
        <v>18.438800026335095</v>
      </c>
      <c r="AM133" s="19">
        <v>16.499651210771599</v>
      </c>
      <c r="AN133" s="19">
        <v>14.481331596589172</v>
      </c>
      <c r="AO133" s="19">
        <v>12.458536854357462</v>
      </c>
      <c r="AP133" s="19">
        <v>10.431997570245985</v>
      </c>
      <c r="AQ133" s="19">
        <v>8.4025688003558798</v>
      </c>
      <c r="AR133" s="19">
        <v>313.39305644444704</v>
      </c>
    </row>
    <row r="134" spans="1:44" x14ac:dyDescent="0.25">
      <c r="A134" t="s">
        <v>131</v>
      </c>
      <c r="B134" t="s">
        <v>180</v>
      </c>
      <c r="C134" t="s">
        <v>45</v>
      </c>
      <c r="D134" t="s">
        <v>178</v>
      </c>
      <c r="E134" t="s">
        <v>145</v>
      </c>
      <c r="F134" t="s">
        <v>181</v>
      </c>
      <c r="G134" t="s">
        <v>28</v>
      </c>
      <c r="H134" t="s">
        <v>54</v>
      </c>
      <c r="I134" t="s">
        <v>135</v>
      </c>
      <c r="J134" t="s">
        <v>39</v>
      </c>
      <c r="K134" t="s">
        <v>28</v>
      </c>
      <c r="L134">
        <v>55.245283018867937</v>
      </c>
      <c r="M134">
        <v>1</v>
      </c>
      <c r="N134" s="2">
        <v>1.5281220060315359</v>
      </c>
      <c r="O134" s="2">
        <v>2.3676355275024612</v>
      </c>
      <c r="P134" s="1">
        <v>-8.7370159319194146E-2</v>
      </c>
      <c r="Q134" s="1">
        <v>1.1280020883331712</v>
      </c>
      <c r="R134" s="1">
        <v>-0.48733586113566763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19">
        <v>0</v>
      </c>
      <c r="AI134" s="19">
        <v>0</v>
      </c>
      <c r="AJ134" s="19">
        <v>0</v>
      </c>
      <c r="AK134" s="19">
        <v>0</v>
      </c>
      <c r="AL134" s="19">
        <v>0</v>
      </c>
      <c r="AM134" s="19">
        <v>0</v>
      </c>
      <c r="AN134" s="19">
        <v>0</v>
      </c>
      <c r="AO134" s="19">
        <v>0</v>
      </c>
      <c r="AP134" s="19">
        <v>0</v>
      </c>
      <c r="AQ134" s="19">
        <v>0</v>
      </c>
      <c r="AR134" s="19">
        <v>0</v>
      </c>
    </row>
    <row r="135" spans="1:44" x14ac:dyDescent="0.25">
      <c r="A135" t="s">
        <v>131</v>
      </c>
      <c r="B135" t="s">
        <v>180</v>
      </c>
      <c r="C135" t="s">
        <v>45</v>
      </c>
      <c r="D135" t="s">
        <v>178</v>
      </c>
      <c r="E135" t="s">
        <v>148</v>
      </c>
      <c r="F135" t="s">
        <v>181</v>
      </c>
      <c r="G135" t="s">
        <v>28</v>
      </c>
      <c r="H135" t="s">
        <v>54</v>
      </c>
      <c r="I135" t="s">
        <v>135</v>
      </c>
      <c r="J135" t="s">
        <v>39</v>
      </c>
      <c r="K135" t="s">
        <v>28</v>
      </c>
      <c r="L135">
        <v>55.245283018867937</v>
      </c>
      <c r="M135">
        <v>1</v>
      </c>
      <c r="N135" s="2">
        <v>1.5281220060315359</v>
      </c>
      <c r="O135" s="2">
        <v>2.3676355275024612</v>
      </c>
      <c r="P135" s="1">
        <v>-8.7370159319194146E-2</v>
      </c>
      <c r="Q135" s="1">
        <v>1.1280020883331712</v>
      </c>
      <c r="R135" s="1">
        <v>-0.48733586113566763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19">
        <v>0</v>
      </c>
      <c r="AI135" s="19">
        <v>0</v>
      </c>
      <c r="AJ135" s="19">
        <v>0</v>
      </c>
      <c r="AK135" s="19">
        <v>0</v>
      </c>
      <c r="AL135" s="19">
        <v>0</v>
      </c>
      <c r="AM135" s="19">
        <v>0</v>
      </c>
      <c r="AN135" s="19">
        <v>0</v>
      </c>
      <c r="AO135" s="19">
        <v>0</v>
      </c>
      <c r="AP135" s="19">
        <v>0</v>
      </c>
      <c r="AQ135" s="19">
        <v>0</v>
      </c>
      <c r="AR135" s="19">
        <v>0</v>
      </c>
    </row>
    <row r="136" spans="1:44" x14ac:dyDescent="0.25">
      <c r="A136" t="s">
        <v>131</v>
      </c>
      <c r="B136" t="s">
        <v>180</v>
      </c>
      <c r="C136" t="s">
        <v>45</v>
      </c>
      <c r="D136" t="s">
        <v>178</v>
      </c>
      <c r="E136" t="s">
        <v>145</v>
      </c>
      <c r="F136" t="s">
        <v>181</v>
      </c>
      <c r="G136" t="s">
        <v>28</v>
      </c>
      <c r="H136" t="s">
        <v>55</v>
      </c>
      <c r="I136" t="s">
        <v>135</v>
      </c>
      <c r="J136" t="s">
        <v>39</v>
      </c>
      <c r="K136" t="s">
        <v>28</v>
      </c>
      <c r="L136">
        <v>55.245283018867937</v>
      </c>
      <c r="M136">
        <v>1</v>
      </c>
      <c r="N136" s="2">
        <v>1.5281220060315359</v>
      </c>
      <c r="O136" s="2">
        <v>2.3676355275024612</v>
      </c>
      <c r="P136" s="1">
        <v>-8.7370159319194146E-2</v>
      </c>
      <c r="Q136" s="1">
        <v>1.1280020883331712</v>
      </c>
      <c r="R136" s="1">
        <v>-0.48733586113566763</v>
      </c>
      <c r="S136" s="19">
        <v>0</v>
      </c>
      <c r="T136" s="19">
        <v>0</v>
      </c>
      <c r="U136" s="19">
        <v>0.32809204627033145</v>
      </c>
      <c r="V136" s="19">
        <v>0.61679385537622178</v>
      </c>
      <c r="W136" s="19">
        <v>1.0543408195450523</v>
      </c>
      <c r="X136" s="19">
        <v>1.6799187215197466</v>
      </c>
      <c r="Y136" s="19">
        <v>2.529207536821982</v>
      </c>
      <c r="Z136" s="19">
        <v>3.6277568814982777</v>
      </c>
      <c r="AA136" s="19">
        <v>4.9830772200157449</v>
      </c>
      <c r="AB136" s="19">
        <v>6.5767773968818783</v>
      </c>
      <c r="AC136" s="19">
        <v>8.3589442822956972</v>
      </c>
      <c r="AD136" s="19">
        <v>10.247515315403112</v>
      </c>
      <c r="AE136" s="19">
        <v>12.135076066225707</v>
      </c>
      <c r="AF136" s="19">
        <v>13.903834866563381</v>
      </c>
      <c r="AG136" s="19">
        <v>15.446547463809113</v>
      </c>
      <c r="AH136" s="19">
        <v>17.505737148708899</v>
      </c>
      <c r="AI136" s="19">
        <v>18.463255604947602</v>
      </c>
      <c r="AJ136" s="19">
        <v>19.110098771701221</v>
      </c>
      <c r="AK136" s="19">
        <v>19.400573674022606</v>
      </c>
      <c r="AL136" s="19">
        <v>19.588081235610449</v>
      </c>
      <c r="AM136" s="19">
        <v>19.530182125655102</v>
      </c>
      <c r="AN136" s="19">
        <v>19.385136633370553</v>
      </c>
      <c r="AO136" s="19">
        <v>19.233293639518301</v>
      </c>
      <c r="AP136" s="19">
        <v>14.460099705598658</v>
      </c>
      <c r="AQ136" s="19">
        <v>0.32234573637939057</v>
      </c>
      <c r="AR136" s="19">
        <v>248.48668674773904</v>
      </c>
    </row>
    <row r="137" spans="1:44" x14ac:dyDescent="0.25">
      <c r="A137" t="s">
        <v>131</v>
      </c>
      <c r="B137" t="s">
        <v>180</v>
      </c>
      <c r="C137" t="s">
        <v>45</v>
      </c>
      <c r="D137" t="s">
        <v>178</v>
      </c>
      <c r="E137" t="s">
        <v>148</v>
      </c>
      <c r="F137" t="s">
        <v>181</v>
      </c>
      <c r="G137" t="s">
        <v>28</v>
      </c>
      <c r="H137" t="s">
        <v>55</v>
      </c>
      <c r="I137" t="s">
        <v>135</v>
      </c>
      <c r="J137" t="s">
        <v>39</v>
      </c>
      <c r="K137" t="s">
        <v>28</v>
      </c>
      <c r="L137">
        <v>55.245283018867937</v>
      </c>
      <c r="M137">
        <v>1</v>
      </c>
      <c r="N137" s="2">
        <v>1.5281220060315359</v>
      </c>
      <c r="O137" s="2">
        <v>2.3676355275024612</v>
      </c>
      <c r="P137" s="1">
        <v>-8.7370159319194146E-2</v>
      </c>
      <c r="Q137" s="1">
        <v>1.1280020883331712</v>
      </c>
      <c r="R137" s="1">
        <v>-0.48733586113566763</v>
      </c>
      <c r="S137" s="19">
        <v>0</v>
      </c>
      <c r="T137" s="19">
        <v>0</v>
      </c>
      <c r="U137" s="19">
        <v>1.5994374480765908E-2</v>
      </c>
      <c r="V137" s="19">
        <v>3.0544300846052603E-2</v>
      </c>
      <c r="W137" s="19">
        <v>5.1279241743089655E-2</v>
      </c>
      <c r="X137" s="19">
        <v>7.927999940744182E-2</v>
      </c>
      <c r="Y137" s="19">
        <v>0.11428151560399406</v>
      </c>
      <c r="Z137" s="19">
        <v>0.15718193194274349</v>
      </c>
      <c r="AA137" s="19">
        <v>0.20661288851107865</v>
      </c>
      <c r="AB137" s="19">
        <v>0.2600927762383185</v>
      </c>
      <c r="AC137" s="19">
        <v>0.31444726156062963</v>
      </c>
      <c r="AD137" s="19">
        <v>0.3655833743453285</v>
      </c>
      <c r="AE137" s="19">
        <v>0.40917769581448016</v>
      </c>
      <c r="AF137" s="19">
        <v>0.44141277190634687</v>
      </c>
      <c r="AG137" s="19">
        <v>0.45971833063076223</v>
      </c>
      <c r="AH137" s="19">
        <v>0.46327634819208485</v>
      </c>
      <c r="AI137" s="19">
        <v>0.45308963175649047</v>
      </c>
      <c r="AJ137" s="19">
        <v>0.43275234428520082</v>
      </c>
      <c r="AK137" s="19">
        <v>0.40251291759753566</v>
      </c>
      <c r="AL137" s="19">
        <v>0.36906400134005662</v>
      </c>
      <c r="AM137" s="19">
        <v>0.33025073691700291</v>
      </c>
      <c r="AN137" s="19">
        <v>0.28985281993058615</v>
      </c>
      <c r="AO137" s="19">
        <v>0.24936533048488871</v>
      </c>
      <c r="AP137" s="19">
        <v>0.20880289171452329</v>
      </c>
      <c r="AQ137" s="19">
        <v>0.16818261809690652</v>
      </c>
      <c r="AR137" s="19">
        <v>6.2727561033463077</v>
      </c>
    </row>
    <row r="138" spans="1:44" x14ac:dyDescent="0.25">
      <c r="A138" t="s">
        <v>131</v>
      </c>
      <c r="B138" t="s">
        <v>180</v>
      </c>
      <c r="C138" t="s">
        <v>45</v>
      </c>
      <c r="D138" t="s">
        <v>178</v>
      </c>
      <c r="E138" t="s">
        <v>145</v>
      </c>
      <c r="F138" t="s">
        <v>181</v>
      </c>
      <c r="G138" t="s">
        <v>28</v>
      </c>
      <c r="H138" t="s">
        <v>138</v>
      </c>
      <c r="I138" t="s">
        <v>135</v>
      </c>
      <c r="J138" t="s">
        <v>39</v>
      </c>
      <c r="K138" t="s">
        <v>28</v>
      </c>
      <c r="L138">
        <v>55.245283018867937</v>
      </c>
      <c r="M138">
        <v>1</v>
      </c>
      <c r="N138" s="2">
        <v>1.5281220060315359</v>
      </c>
      <c r="O138" s="2">
        <v>2.3676355275024612</v>
      </c>
      <c r="P138" s="1">
        <v>-8.7370159319194146E-2</v>
      </c>
      <c r="Q138" s="1">
        <v>1.1280020883331712</v>
      </c>
      <c r="R138" s="1">
        <v>-0.48733586113566763</v>
      </c>
      <c r="S138" s="19">
        <v>0</v>
      </c>
      <c r="T138" s="19">
        <v>0</v>
      </c>
      <c r="U138" s="19">
        <v>52.468682573644557</v>
      </c>
      <c r="V138" s="19">
        <v>98.638054104013349</v>
      </c>
      <c r="W138" s="19">
        <v>168.6108347154651</v>
      </c>
      <c r="X138" s="19">
        <v>268.65363897397521</v>
      </c>
      <c r="Y138" s="19">
        <v>404.47243059053119</v>
      </c>
      <c r="Z138" s="19">
        <v>580.15311993529428</v>
      </c>
      <c r="AA138" s="19">
        <v>796.89678512212095</v>
      </c>
      <c r="AB138" s="19">
        <v>1051.7623012116271</v>
      </c>
      <c r="AC138" s="19">
        <v>1336.7675296742298</v>
      </c>
      <c r="AD138" s="19">
        <v>1638.7889751202028</v>
      </c>
      <c r="AE138" s="19">
        <v>1940.6488555995331</v>
      </c>
      <c r="AF138" s="19">
        <v>2223.5098548198298</v>
      </c>
      <c r="AG138" s="19">
        <v>2470.2214057013621</v>
      </c>
      <c r="AH138" s="19">
        <v>2799.5282912663597</v>
      </c>
      <c r="AI138" s="19">
        <v>2952.6552338725819</v>
      </c>
      <c r="AJ138" s="19">
        <v>3056.0987924017713</v>
      </c>
      <c r="AK138" s="19">
        <v>3102.5517180937063</v>
      </c>
      <c r="AL138" s="19">
        <v>3132.5380430928954</v>
      </c>
      <c r="AM138" s="19">
        <v>3123.2787816872083</v>
      </c>
      <c r="AN138" s="19">
        <v>3100.0830170232107</v>
      </c>
      <c r="AO138" s="19">
        <v>3075.8001917123493</v>
      </c>
      <c r="AP138" s="19">
        <v>2312.4680712654881</v>
      </c>
      <c r="AQ138" s="19">
        <v>51.549729148638193</v>
      </c>
      <c r="AR138" s="19">
        <v>39738.144337706035</v>
      </c>
    </row>
    <row r="139" spans="1:44" x14ac:dyDescent="0.25">
      <c r="A139" t="s">
        <v>131</v>
      </c>
      <c r="B139" t="s">
        <v>180</v>
      </c>
      <c r="C139" t="s">
        <v>45</v>
      </c>
      <c r="D139" t="s">
        <v>178</v>
      </c>
      <c r="E139" t="s">
        <v>148</v>
      </c>
      <c r="F139" t="s">
        <v>181</v>
      </c>
      <c r="G139" t="s">
        <v>28</v>
      </c>
      <c r="H139" t="s">
        <v>138</v>
      </c>
      <c r="I139" t="s">
        <v>135</v>
      </c>
      <c r="J139" t="s">
        <v>39</v>
      </c>
      <c r="K139" t="s">
        <v>28</v>
      </c>
      <c r="L139">
        <v>55.245283018867937</v>
      </c>
      <c r="M139">
        <v>1</v>
      </c>
      <c r="N139" s="2">
        <v>1.5281220060315359</v>
      </c>
      <c r="O139" s="2">
        <v>2.3676355275024612</v>
      </c>
      <c r="P139" s="1">
        <v>-8.7370159319194146E-2</v>
      </c>
      <c r="Q139" s="1">
        <v>1.1280020883331712</v>
      </c>
      <c r="R139" s="1">
        <v>-0.48733586113566763</v>
      </c>
      <c r="S139" s="19">
        <v>0</v>
      </c>
      <c r="T139" s="19">
        <v>0</v>
      </c>
      <c r="U139" s="19">
        <v>2.5578302404315072</v>
      </c>
      <c r="V139" s="19">
        <v>4.8846634465651109</v>
      </c>
      <c r="W139" s="19">
        <v>8.2006079946798653</v>
      </c>
      <c r="X139" s="19">
        <v>12.678506445475952</v>
      </c>
      <c r="Y139" s="19">
        <v>18.275970522371004</v>
      </c>
      <c r="Z139" s="19">
        <v>25.136631586066521</v>
      </c>
      <c r="AA139" s="19">
        <v>33.041660674636951</v>
      </c>
      <c r="AB139" s="19">
        <v>41.594197333580233</v>
      </c>
      <c r="AC139" s="19">
        <v>50.286600179823751</v>
      </c>
      <c r="AD139" s="19">
        <v>58.464318903123541</v>
      </c>
      <c r="AE139" s="19">
        <v>65.435949703626235</v>
      </c>
      <c r="AF139" s="19">
        <v>70.591002971232541</v>
      </c>
      <c r="AG139" s="19">
        <v>73.518439222622604</v>
      </c>
      <c r="AH139" s="19">
        <v>74.087439587424498</v>
      </c>
      <c r="AI139" s="19">
        <v>72.458373606694948</v>
      </c>
      <c r="AJ139" s="19">
        <v>69.206022039901569</v>
      </c>
      <c r="AK139" s="19">
        <v>64.370114256946195</v>
      </c>
      <c r="AL139" s="19">
        <v>59.020942920741291</v>
      </c>
      <c r="AM139" s="19">
        <v>52.81390171443892</v>
      </c>
      <c r="AN139" s="19">
        <v>46.353441891983472</v>
      </c>
      <c r="AO139" s="19">
        <v>39.878657586545167</v>
      </c>
      <c r="AP139" s="19">
        <v>33.391887338840462</v>
      </c>
      <c r="AQ139" s="19">
        <v>26.895868106659631</v>
      </c>
      <c r="AR139" s="19">
        <v>1003.1430282744118</v>
      </c>
    </row>
    <row r="140" spans="1:44" x14ac:dyDescent="0.25">
      <c r="A140" t="s">
        <v>131</v>
      </c>
      <c r="B140" t="s">
        <v>180</v>
      </c>
      <c r="C140" t="s">
        <v>45</v>
      </c>
      <c r="D140" t="s">
        <v>178</v>
      </c>
      <c r="E140" t="s">
        <v>145</v>
      </c>
      <c r="F140" t="s">
        <v>181</v>
      </c>
      <c r="G140" t="s">
        <v>28</v>
      </c>
      <c r="H140" t="s">
        <v>141</v>
      </c>
      <c r="I140" t="s">
        <v>135</v>
      </c>
      <c r="J140" t="s">
        <v>39</v>
      </c>
      <c r="K140" t="s">
        <v>28</v>
      </c>
      <c r="L140">
        <v>55.245283018867937</v>
      </c>
      <c r="M140">
        <v>1</v>
      </c>
      <c r="N140" s="2">
        <v>1.5281220060315359</v>
      </c>
      <c r="O140" s="2">
        <v>2.3676355275024612</v>
      </c>
      <c r="P140" s="1">
        <v>-8.7370159319194146E-2</v>
      </c>
      <c r="Q140" s="1">
        <v>1.1280020883331712</v>
      </c>
      <c r="R140" s="1">
        <v>-0.48733586113566763</v>
      </c>
      <c r="S140" s="19">
        <v>0</v>
      </c>
      <c r="T140" s="19">
        <v>0</v>
      </c>
      <c r="U140" s="19">
        <v>2.3982426274070394</v>
      </c>
      <c r="V140" s="19">
        <v>4.5085558552894103</v>
      </c>
      <c r="W140" s="19">
        <v>7.7068771583837936</v>
      </c>
      <c r="X140" s="19">
        <v>12.279641443085207</v>
      </c>
      <c r="Y140" s="19">
        <v>18.487657342866033</v>
      </c>
      <c r="Z140" s="19">
        <v>26.517683966985985</v>
      </c>
      <c r="AA140" s="19">
        <v>36.424620287369002</v>
      </c>
      <c r="AB140" s="19">
        <v>48.074033136339104</v>
      </c>
      <c r="AC140" s="19">
        <v>61.101074304630735</v>
      </c>
      <c r="AD140" s="19">
        <v>74.905894043395364</v>
      </c>
      <c r="AE140" s="19">
        <v>88.703328958087909</v>
      </c>
      <c r="AF140" s="19">
        <v>101.63236152925856</v>
      </c>
      <c r="AG140" s="19">
        <v>112.90907230177174</v>
      </c>
      <c r="AH140" s="19">
        <v>156.37433200844507</v>
      </c>
      <c r="AI140" s="19">
        <v>164.98952192819763</v>
      </c>
      <c r="AJ140" s="19">
        <v>169.60872392285194</v>
      </c>
      <c r="AK140" s="19">
        <v>170.40605341393243</v>
      </c>
      <c r="AL140" s="19">
        <v>169.63836032856145</v>
      </c>
      <c r="AM140" s="19">
        <v>166.53295475826096</v>
      </c>
      <c r="AN140" s="19">
        <v>162.45243530239958</v>
      </c>
      <c r="AO140" s="19">
        <v>158.1479068194773</v>
      </c>
      <c r="AP140" s="19">
        <v>120.02492346993384</v>
      </c>
      <c r="AQ140" s="19">
        <v>13.554797262735065</v>
      </c>
      <c r="AR140" s="19">
        <v>2047.3790521696651</v>
      </c>
    </row>
    <row r="141" spans="1:44" x14ac:dyDescent="0.25">
      <c r="A141" t="s">
        <v>131</v>
      </c>
      <c r="B141" t="s">
        <v>180</v>
      </c>
      <c r="C141" t="s">
        <v>45</v>
      </c>
      <c r="D141" t="s">
        <v>178</v>
      </c>
      <c r="E141" t="s">
        <v>148</v>
      </c>
      <c r="F141" t="s">
        <v>181</v>
      </c>
      <c r="G141" t="s">
        <v>28</v>
      </c>
      <c r="H141" t="s">
        <v>141</v>
      </c>
      <c r="I141" t="s">
        <v>135</v>
      </c>
      <c r="J141" t="s">
        <v>39</v>
      </c>
      <c r="K141" t="s">
        <v>28</v>
      </c>
      <c r="L141">
        <v>55.245283018867937</v>
      </c>
      <c r="M141">
        <v>1</v>
      </c>
      <c r="N141" s="2">
        <v>1.5281220060315359</v>
      </c>
      <c r="O141" s="2">
        <v>2.3676355275024612</v>
      </c>
      <c r="P141" s="1">
        <v>-8.7370159319194146E-2</v>
      </c>
      <c r="Q141" s="1">
        <v>1.1280020883331712</v>
      </c>
      <c r="R141" s="1">
        <v>-0.48733586113566763</v>
      </c>
      <c r="S141" s="19">
        <v>0</v>
      </c>
      <c r="T141" s="19">
        <v>0</v>
      </c>
      <c r="U141" s="19">
        <v>0.67257133866934782</v>
      </c>
      <c r="V141" s="19">
        <v>1.2844029213804644</v>
      </c>
      <c r="W141" s="19">
        <v>2.1563174168876542</v>
      </c>
      <c r="X141" s="19">
        <v>3.3337630924729296</v>
      </c>
      <c r="Y141" s="19">
        <v>4.8055941185678339</v>
      </c>
      <c r="Z141" s="19">
        <v>6.6095777930230666</v>
      </c>
      <c r="AA141" s="19">
        <v>8.6881739063535015</v>
      </c>
      <c r="AB141" s="19">
        <v>10.937029572691069</v>
      </c>
      <c r="AC141" s="19">
        <v>13.22266249943487</v>
      </c>
      <c r="AD141" s="19">
        <v>15.372961273001447</v>
      </c>
      <c r="AE141" s="19">
        <v>17.206124000568437</v>
      </c>
      <c r="AF141" s="19">
        <v>18.561624855277696</v>
      </c>
      <c r="AG141" s="19">
        <v>19.3313826317493</v>
      </c>
      <c r="AH141" s="19">
        <v>19.480999025757015</v>
      </c>
      <c r="AI141" s="19">
        <v>19.052642573432468</v>
      </c>
      <c r="AJ141" s="19">
        <v>18.197449600683655</v>
      </c>
      <c r="AK141" s="19">
        <v>16.925866788090705</v>
      </c>
      <c r="AL141" s="19">
        <v>15.519323355498781</v>
      </c>
      <c r="AM141" s="19">
        <v>13.887206435732647</v>
      </c>
      <c r="AN141" s="19">
        <v>12.188454093795944</v>
      </c>
      <c r="AO141" s="19">
        <v>10.485935185750932</v>
      </c>
      <c r="AP141" s="19">
        <v>8.780264621623612</v>
      </c>
      <c r="AQ141" s="19">
        <v>7.0721620736328541</v>
      </c>
      <c r="AR141" s="19">
        <v>263.77248917407621</v>
      </c>
    </row>
    <row r="142" spans="1:44" x14ac:dyDescent="0.25">
      <c r="A142" t="s">
        <v>131</v>
      </c>
      <c r="B142" t="s">
        <v>180</v>
      </c>
      <c r="C142" t="s">
        <v>45</v>
      </c>
      <c r="D142" t="s">
        <v>178</v>
      </c>
      <c r="E142" t="s">
        <v>145</v>
      </c>
      <c r="F142" t="s">
        <v>181</v>
      </c>
      <c r="G142" t="s">
        <v>28</v>
      </c>
      <c r="H142" t="s">
        <v>142</v>
      </c>
      <c r="I142" t="s">
        <v>135</v>
      </c>
      <c r="J142" t="s">
        <v>39</v>
      </c>
      <c r="K142" t="s">
        <v>28</v>
      </c>
      <c r="L142">
        <v>55.245283018867937</v>
      </c>
      <c r="M142">
        <v>1</v>
      </c>
      <c r="N142" s="2">
        <v>1.5281220060315359</v>
      </c>
      <c r="O142" s="2">
        <v>2.3676355275024612</v>
      </c>
      <c r="P142" s="1">
        <v>-8.7370159319194146E-2</v>
      </c>
      <c r="Q142" s="1">
        <v>1.1280020883331712</v>
      </c>
      <c r="R142" s="1">
        <v>-0.48733586113566763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19">
        <v>0</v>
      </c>
      <c r="AI142" s="19">
        <v>0</v>
      </c>
      <c r="AJ142" s="19">
        <v>0</v>
      </c>
      <c r="AK142" s="19">
        <v>0</v>
      </c>
      <c r="AL142" s="19">
        <v>0</v>
      </c>
      <c r="AM142" s="19">
        <v>0</v>
      </c>
      <c r="AN142" s="19">
        <v>0</v>
      </c>
      <c r="AO142" s="19">
        <v>0</v>
      </c>
      <c r="AP142" s="19">
        <v>0</v>
      </c>
      <c r="AQ142" s="19">
        <v>0</v>
      </c>
      <c r="AR142" s="19">
        <v>0</v>
      </c>
    </row>
    <row r="143" spans="1:44" x14ac:dyDescent="0.25">
      <c r="A143" t="s">
        <v>131</v>
      </c>
      <c r="B143" t="s">
        <v>180</v>
      </c>
      <c r="C143" t="s">
        <v>45</v>
      </c>
      <c r="D143" t="s">
        <v>178</v>
      </c>
      <c r="E143" t="s">
        <v>148</v>
      </c>
      <c r="F143" t="s">
        <v>181</v>
      </c>
      <c r="G143" t="s">
        <v>28</v>
      </c>
      <c r="H143" t="s">
        <v>142</v>
      </c>
      <c r="I143" t="s">
        <v>135</v>
      </c>
      <c r="J143" t="s">
        <v>39</v>
      </c>
      <c r="K143" t="s">
        <v>28</v>
      </c>
      <c r="L143">
        <v>55.245283018867937</v>
      </c>
      <c r="M143">
        <v>1</v>
      </c>
      <c r="N143" s="2">
        <v>1.5281220060315359</v>
      </c>
      <c r="O143" s="2">
        <v>2.3676355275024612</v>
      </c>
      <c r="P143" s="1">
        <v>-8.7370159319194146E-2</v>
      </c>
      <c r="Q143" s="1">
        <v>1.1280020883331712</v>
      </c>
      <c r="R143" s="1">
        <v>-0.48733586113566763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19">
        <v>0</v>
      </c>
      <c r="AI143" s="19">
        <v>0</v>
      </c>
      <c r="AJ143" s="19">
        <v>0</v>
      </c>
      <c r="AK143" s="19">
        <v>0</v>
      </c>
      <c r="AL143" s="19">
        <v>0</v>
      </c>
      <c r="AM143" s="19">
        <v>0</v>
      </c>
      <c r="AN143" s="19">
        <v>0</v>
      </c>
      <c r="AO143" s="19">
        <v>0</v>
      </c>
      <c r="AP143" s="19">
        <v>0</v>
      </c>
      <c r="AQ143" s="19">
        <v>0</v>
      </c>
      <c r="AR143" s="19">
        <v>0</v>
      </c>
    </row>
    <row r="144" spans="1:44" x14ac:dyDescent="0.25">
      <c r="A144" t="s">
        <v>131</v>
      </c>
      <c r="B144" t="s">
        <v>180</v>
      </c>
      <c r="C144" t="s">
        <v>45</v>
      </c>
      <c r="D144" t="s">
        <v>178</v>
      </c>
      <c r="E144" t="s">
        <v>145</v>
      </c>
      <c r="F144" t="s">
        <v>181</v>
      </c>
      <c r="G144" t="s">
        <v>28</v>
      </c>
      <c r="H144" t="s">
        <v>136</v>
      </c>
      <c r="I144" t="s">
        <v>135</v>
      </c>
      <c r="J144" t="s">
        <v>39</v>
      </c>
      <c r="K144" t="s">
        <v>28</v>
      </c>
      <c r="L144">
        <v>55.245283018867937</v>
      </c>
      <c r="M144">
        <v>1</v>
      </c>
      <c r="N144" s="2">
        <v>1.5281220060315359</v>
      </c>
      <c r="O144" s="2">
        <v>2.3676355275024612</v>
      </c>
      <c r="P144" s="1">
        <v>-8.7370159319194146E-2</v>
      </c>
      <c r="Q144" s="1">
        <v>1.1280020883331712</v>
      </c>
      <c r="R144" s="1">
        <v>-0.48733586113566763</v>
      </c>
      <c r="S144" s="19">
        <v>0</v>
      </c>
      <c r="T144" s="19">
        <v>0</v>
      </c>
      <c r="U144" s="19">
        <v>0.41193779142830522</v>
      </c>
      <c r="V144" s="19">
        <v>0.77441895175014508</v>
      </c>
      <c r="W144" s="19">
        <v>1.3237834734287872</v>
      </c>
      <c r="X144" s="19">
        <v>2.1092312836859044</v>
      </c>
      <c r="Y144" s="19">
        <v>3.1755605740098223</v>
      </c>
      <c r="Z144" s="19">
        <v>4.5548503067700583</v>
      </c>
      <c r="AA144" s="19">
        <v>6.2565302873531046</v>
      </c>
      <c r="AB144" s="19">
        <v>8.2575093983072456</v>
      </c>
      <c r="AC144" s="19">
        <v>10.495118932215709</v>
      </c>
      <c r="AD144" s="19">
        <v>12.866324784895015</v>
      </c>
      <c r="AE144" s="19">
        <v>15.23626217203894</v>
      </c>
      <c r="AF144" s="19">
        <v>17.457037110240687</v>
      </c>
      <c r="AG144" s="19">
        <v>19.393998482338105</v>
      </c>
      <c r="AH144" s="19">
        <v>21.979425531156739</v>
      </c>
      <c r="AI144" s="19">
        <v>23.181643148434212</v>
      </c>
      <c r="AJ144" s="19">
        <v>23.993790680024865</v>
      </c>
      <c r="AK144" s="19">
        <v>24.35849805738393</v>
      </c>
      <c r="AL144" s="19">
        <v>24.593924218044226</v>
      </c>
      <c r="AM144" s="19">
        <v>24.521228668878074</v>
      </c>
      <c r="AN144" s="19">
        <v>24.339115995231911</v>
      </c>
      <c r="AO144" s="19">
        <v>24.148468680728534</v>
      </c>
      <c r="AP144" s="19">
        <v>18.155458519251599</v>
      </c>
      <c r="AQ144" s="19">
        <v>0.40472298012079033</v>
      </c>
      <c r="AR144" s="19">
        <v>311.98884002771672</v>
      </c>
    </row>
    <row r="145" spans="1:44" x14ac:dyDescent="0.25">
      <c r="A145" t="s">
        <v>131</v>
      </c>
      <c r="B145" t="s">
        <v>180</v>
      </c>
      <c r="C145" t="s">
        <v>45</v>
      </c>
      <c r="D145" t="s">
        <v>178</v>
      </c>
      <c r="E145" t="s">
        <v>148</v>
      </c>
      <c r="F145" t="s">
        <v>181</v>
      </c>
      <c r="G145" t="s">
        <v>28</v>
      </c>
      <c r="H145" t="s">
        <v>136</v>
      </c>
      <c r="I145" t="s">
        <v>135</v>
      </c>
      <c r="J145" t="s">
        <v>39</v>
      </c>
      <c r="K145" t="s">
        <v>28</v>
      </c>
      <c r="L145">
        <v>55.245283018867937</v>
      </c>
      <c r="M145">
        <v>1</v>
      </c>
      <c r="N145" s="2">
        <v>1.5281220060315359</v>
      </c>
      <c r="O145" s="2">
        <v>2.3676355275024612</v>
      </c>
      <c r="P145" s="1">
        <v>-8.7370159319194146E-2</v>
      </c>
      <c r="Q145" s="1">
        <v>1.1280020883331712</v>
      </c>
      <c r="R145" s="1">
        <v>-0.48733586113566763</v>
      </c>
      <c r="S145" s="19">
        <v>0</v>
      </c>
      <c r="T145" s="19">
        <v>0</v>
      </c>
      <c r="U145" s="19">
        <v>2.0081825736961649E-2</v>
      </c>
      <c r="V145" s="19">
        <v>3.8350066617821581E-2</v>
      </c>
      <c r="W145" s="19">
        <v>6.438393685521264E-2</v>
      </c>
      <c r="X145" s="19">
        <v>9.9540443700454687E-2</v>
      </c>
      <c r="Y145" s="19">
        <v>0.14348679181390356</v>
      </c>
      <c r="Z145" s="19">
        <v>0.19735064788366671</v>
      </c>
      <c r="AA145" s="19">
        <v>0.2594139600194651</v>
      </c>
      <c r="AB145" s="19">
        <v>0.326560930165889</v>
      </c>
      <c r="AC145" s="19">
        <v>0.3948060061816791</v>
      </c>
      <c r="AD145" s="19">
        <v>0.45901023667802338</v>
      </c>
      <c r="AE145" s="19">
        <v>0.5137453291892935</v>
      </c>
      <c r="AF145" s="19">
        <v>0.55421825806019387</v>
      </c>
      <c r="AG145" s="19">
        <v>0.57720190401417759</v>
      </c>
      <c r="AH145" s="19">
        <v>0.58166919273005835</v>
      </c>
      <c r="AI145" s="19">
        <v>0.56887920431648054</v>
      </c>
      <c r="AJ145" s="19">
        <v>0.54334461004698065</v>
      </c>
      <c r="AK145" s="19">
        <v>0.5053773298724592</v>
      </c>
      <c r="AL145" s="19">
        <v>0.46338035723807303</v>
      </c>
      <c r="AM145" s="19">
        <v>0.41464814746245199</v>
      </c>
      <c r="AN145" s="19">
        <v>0.36392631835729866</v>
      </c>
      <c r="AO145" s="19">
        <v>0.31309202605324932</v>
      </c>
      <c r="AP145" s="19">
        <v>0.26216363070823245</v>
      </c>
      <c r="AQ145" s="19">
        <v>0.21116262049944656</v>
      </c>
      <c r="AR145" s="19">
        <v>7.8757937742014716</v>
      </c>
    </row>
    <row r="146" spans="1:44" x14ac:dyDescent="0.25">
      <c r="A146" t="s">
        <v>131</v>
      </c>
      <c r="B146" t="s">
        <v>182</v>
      </c>
      <c r="C146" t="s">
        <v>45</v>
      </c>
      <c r="D146" t="s">
        <v>183</v>
      </c>
      <c r="E146" t="s">
        <v>145</v>
      </c>
      <c r="F146" t="s">
        <v>183</v>
      </c>
      <c r="G146" t="s">
        <v>28</v>
      </c>
      <c r="H146" t="s">
        <v>52</v>
      </c>
      <c r="I146" t="s">
        <v>135</v>
      </c>
      <c r="J146" t="s">
        <v>39</v>
      </c>
      <c r="K146" t="s">
        <v>28</v>
      </c>
      <c r="L146">
        <v>60.69</v>
      </c>
      <c r="M146">
        <v>1</v>
      </c>
      <c r="N146" s="2">
        <v>1.1095777125005235</v>
      </c>
      <c r="O146" s="2">
        <v>2.3549237220148118</v>
      </c>
      <c r="P146" s="1">
        <v>0.32978329916770832</v>
      </c>
      <c r="Q146" s="1">
        <v>1.5451555468200735</v>
      </c>
      <c r="R146" s="1">
        <v>-0.48733586113566879</v>
      </c>
      <c r="S146" s="19">
        <v>1332.210534171144</v>
      </c>
      <c r="T146" s="19">
        <v>2505.117328817103</v>
      </c>
      <c r="U146" s="19">
        <v>4283.4498802972848</v>
      </c>
      <c r="V146" s="19">
        <v>6826.9164253760455</v>
      </c>
      <c r="W146" s="19">
        <v>10281.162342962893</v>
      </c>
      <c r="X146" s="19">
        <v>14750.76299356143</v>
      </c>
      <c r="Y146" s="19">
        <v>20266.983809835929</v>
      </c>
      <c r="Z146" s="19">
        <v>26755.738827537694</v>
      </c>
      <c r="AA146" s="19">
        <v>34014.560111768886</v>
      </c>
      <c r="AB146" s="19">
        <v>41709.894341097694</v>
      </c>
      <c r="AC146" s="19">
        <v>49404.641233815113</v>
      </c>
      <c r="AD146" s="19">
        <v>56619.02803796556</v>
      </c>
      <c r="AE146" s="19">
        <v>62915.810782433953</v>
      </c>
      <c r="AF146" s="19">
        <v>67987.348802185588</v>
      </c>
      <c r="AG146" s="19">
        <v>71714.850153177686</v>
      </c>
      <c r="AH146" s="19">
        <v>74379.87443746913</v>
      </c>
      <c r="AI146" s="19">
        <v>75735.817950924902</v>
      </c>
      <c r="AJ146" s="19">
        <v>76767.635069333119</v>
      </c>
      <c r="AK146" s="19">
        <v>76862.685102693242</v>
      </c>
      <c r="AL146" s="19">
        <v>76641.843929825511</v>
      </c>
      <c r="AM146" s="19">
        <v>76413.557333328878</v>
      </c>
      <c r="AN146" s="19">
        <v>76177.94974356037</v>
      </c>
      <c r="AO146" s="19">
        <v>75935.125957190641</v>
      </c>
      <c r="AP146" s="19">
        <v>75685.168233203935</v>
      </c>
      <c r="AQ146" s="19">
        <v>75428.13214349316</v>
      </c>
      <c r="AR146" s="19">
        <v>1231396.2655060268</v>
      </c>
    </row>
    <row r="147" spans="1:44" x14ac:dyDescent="0.25">
      <c r="A147" t="s">
        <v>131</v>
      </c>
      <c r="B147" t="s">
        <v>182</v>
      </c>
      <c r="C147" t="s">
        <v>45</v>
      </c>
      <c r="D147" t="s">
        <v>183</v>
      </c>
      <c r="E147" t="s">
        <v>145</v>
      </c>
      <c r="F147" t="s">
        <v>183</v>
      </c>
      <c r="G147" t="s">
        <v>28</v>
      </c>
      <c r="H147" t="s">
        <v>53</v>
      </c>
      <c r="I147" t="s">
        <v>135</v>
      </c>
      <c r="J147" t="s">
        <v>39</v>
      </c>
      <c r="K147" t="s">
        <v>28</v>
      </c>
      <c r="L147">
        <v>60.69</v>
      </c>
      <c r="M147">
        <v>1</v>
      </c>
      <c r="N147" s="2">
        <v>1.1095777125005235</v>
      </c>
      <c r="O147" s="2">
        <v>2.3549237220148118</v>
      </c>
      <c r="P147" s="1">
        <v>0.32978329916770832</v>
      </c>
      <c r="Q147" s="1">
        <v>1.5451555468200735</v>
      </c>
      <c r="R147" s="1">
        <v>-0.48733586113566879</v>
      </c>
      <c r="S147" s="19">
        <v>25.126681355275188</v>
      </c>
      <c r="T147" s="19">
        <v>47.248751803278545</v>
      </c>
      <c r="U147" s="19">
        <v>80.789693132463157</v>
      </c>
      <c r="V147" s="19">
        <v>128.76174542955641</v>
      </c>
      <c r="W147" s="19">
        <v>193.91191071327793</v>
      </c>
      <c r="X147" s="19">
        <v>278.21257374833891</v>
      </c>
      <c r="Y147" s="19">
        <v>382.25342853868193</v>
      </c>
      <c r="Z147" s="19">
        <v>504.63714758326512</v>
      </c>
      <c r="AA147" s="19">
        <v>641.54500467151672</v>
      </c>
      <c r="AB147" s="19">
        <v>786.68588604353533</v>
      </c>
      <c r="AC147" s="19">
        <v>931.81568972212267</v>
      </c>
      <c r="AD147" s="19">
        <v>1067.8854728021468</v>
      </c>
      <c r="AE147" s="19">
        <v>1186.6484231957872</v>
      </c>
      <c r="AF147" s="19">
        <v>1282.3021630025703</v>
      </c>
      <c r="AG147" s="19">
        <v>1352.6061699859777</v>
      </c>
      <c r="AH147" s="19">
        <v>1402.8709098884608</v>
      </c>
      <c r="AI147" s="19">
        <v>1428.4452164447096</v>
      </c>
      <c r="AJ147" s="19">
        <v>1447.9062094981025</v>
      </c>
      <c r="AK147" s="19">
        <v>1449.6989380794998</v>
      </c>
      <c r="AL147" s="19">
        <v>1445.5336761794922</v>
      </c>
      <c r="AM147" s="19">
        <v>1441.2279869353963</v>
      </c>
      <c r="AN147" s="19">
        <v>1436.7842172149583</v>
      </c>
      <c r="AO147" s="19">
        <v>1432.2043435770504</v>
      </c>
      <c r="AP147" s="19">
        <v>1427.4899174996351</v>
      </c>
      <c r="AQ147" s="19">
        <v>1422.6419871182811</v>
      </c>
      <c r="AR147" s="19">
        <v>23225.23414416338</v>
      </c>
    </row>
    <row r="148" spans="1:44" x14ac:dyDescent="0.25">
      <c r="A148" t="s">
        <v>131</v>
      </c>
      <c r="B148" t="s">
        <v>182</v>
      </c>
      <c r="C148" t="s">
        <v>45</v>
      </c>
      <c r="D148" t="s">
        <v>183</v>
      </c>
      <c r="E148" t="s">
        <v>145</v>
      </c>
      <c r="F148" t="s">
        <v>183</v>
      </c>
      <c r="G148" t="s">
        <v>28</v>
      </c>
      <c r="H148" t="s">
        <v>54</v>
      </c>
      <c r="I148" t="s">
        <v>135</v>
      </c>
      <c r="J148" t="s">
        <v>39</v>
      </c>
      <c r="K148" t="s">
        <v>28</v>
      </c>
      <c r="L148">
        <v>60.69</v>
      </c>
      <c r="M148">
        <v>1</v>
      </c>
      <c r="N148" s="2">
        <v>1.1095777125005235</v>
      </c>
      <c r="O148" s="2">
        <v>2.3549237220148118</v>
      </c>
      <c r="P148" s="1">
        <v>0.32978329916770832</v>
      </c>
      <c r="Q148" s="1">
        <v>1.5451555468200735</v>
      </c>
      <c r="R148" s="1">
        <v>-0.48733586113566879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19">
        <v>0</v>
      </c>
      <c r="AI148" s="19">
        <v>0</v>
      </c>
      <c r="AJ148" s="19">
        <v>0</v>
      </c>
      <c r="AK148" s="19">
        <v>0</v>
      </c>
      <c r="AL148" s="19">
        <v>0</v>
      </c>
      <c r="AM148" s="19">
        <v>0</v>
      </c>
      <c r="AN148" s="19">
        <v>0</v>
      </c>
      <c r="AO148" s="19">
        <v>0</v>
      </c>
      <c r="AP148" s="19">
        <v>0</v>
      </c>
      <c r="AQ148" s="19">
        <v>0</v>
      </c>
      <c r="AR148" s="19">
        <v>0</v>
      </c>
    </row>
    <row r="149" spans="1:44" x14ac:dyDescent="0.25">
      <c r="A149" t="s">
        <v>131</v>
      </c>
      <c r="B149" t="s">
        <v>182</v>
      </c>
      <c r="C149" t="s">
        <v>45</v>
      </c>
      <c r="D149" t="s">
        <v>183</v>
      </c>
      <c r="E149" t="s">
        <v>145</v>
      </c>
      <c r="F149" t="s">
        <v>183</v>
      </c>
      <c r="G149" t="s">
        <v>28</v>
      </c>
      <c r="H149" t="s">
        <v>55</v>
      </c>
      <c r="I149" t="s">
        <v>135</v>
      </c>
      <c r="J149" t="s">
        <v>39</v>
      </c>
      <c r="K149" t="s">
        <v>28</v>
      </c>
      <c r="L149">
        <v>60.69</v>
      </c>
      <c r="M149">
        <v>1</v>
      </c>
      <c r="N149" s="2">
        <v>1.1095777125005235</v>
      </c>
      <c r="O149" s="2">
        <v>2.3549237220148118</v>
      </c>
      <c r="P149" s="1">
        <v>0.32978329916770832</v>
      </c>
      <c r="Q149" s="1">
        <v>1.5451555468200735</v>
      </c>
      <c r="R149" s="1">
        <v>-0.48733586113566879</v>
      </c>
      <c r="S149" s="19">
        <v>2.8894457795904405</v>
      </c>
      <c r="T149" s="19">
        <v>5.4333759623308655</v>
      </c>
      <c r="U149" s="19">
        <v>9.2904205913764137</v>
      </c>
      <c r="V149" s="19">
        <v>14.806972581996821</v>
      </c>
      <c r="W149" s="19">
        <v>22.298923765560001</v>
      </c>
      <c r="X149" s="19">
        <v>31.993088768062176</v>
      </c>
      <c r="Y149" s="19">
        <v>43.957279523234277</v>
      </c>
      <c r="Z149" s="19">
        <v>58.030810185082387</v>
      </c>
      <c r="AA149" s="19">
        <v>73.774545868400935</v>
      </c>
      <c r="AB149" s="19">
        <v>90.465039180935847</v>
      </c>
      <c r="AC149" s="19">
        <v>107.1542586127668</v>
      </c>
      <c r="AD149" s="19">
        <v>122.80161987354144</v>
      </c>
      <c r="AE149" s="19">
        <v>136.45877980383878</v>
      </c>
      <c r="AF149" s="19">
        <v>147.45849325102378</v>
      </c>
      <c r="AG149" s="19">
        <v>155.54311108790546</v>
      </c>
      <c r="AH149" s="19">
        <v>161.32331096865698</v>
      </c>
      <c r="AI149" s="19">
        <v>164.26423146269553</v>
      </c>
      <c r="AJ149" s="19">
        <v>166.50215072667177</v>
      </c>
      <c r="AK149" s="19">
        <v>166.70830576800932</v>
      </c>
      <c r="AL149" s="19">
        <v>166.22932096903421</v>
      </c>
      <c r="AM149" s="19">
        <v>165.73418771054014</v>
      </c>
      <c r="AN149" s="19">
        <v>165.22317587086894</v>
      </c>
      <c r="AO149" s="19">
        <v>164.69651274464866</v>
      </c>
      <c r="AP149" s="19">
        <v>164.15437674427636</v>
      </c>
      <c r="AQ149" s="19">
        <v>163.59688840022923</v>
      </c>
      <c r="AR149" s="19">
        <v>2670.7886262012776</v>
      </c>
    </row>
    <row r="150" spans="1:44" x14ac:dyDescent="0.25">
      <c r="A150" t="s">
        <v>131</v>
      </c>
      <c r="B150" t="s">
        <v>182</v>
      </c>
      <c r="C150" t="s">
        <v>45</v>
      </c>
      <c r="D150" t="s">
        <v>183</v>
      </c>
      <c r="E150" t="s">
        <v>145</v>
      </c>
      <c r="F150" t="s">
        <v>183</v>
      </c>
      <c r="G150" t="s">
        <v>28</v>
      </c>
      <c r="H150" t="s">
        <v>138</v>
      </c>
      <c r="I150" t="s">
        <v>135</v>
      </c>
      <c r="J150" t="s">
        <v>39</v>
      </c>
      <c r="K150" t="s">
        <v>28</v>
      </c>
      <c r="L150">
        <v>60.69</v>
      </c>
      <c r="M150">
        <v>1</v>
      </c>
      <c r="N150" s="2">
        <v>1.1095777125005235</v>
      </c>
      <c r="O150" s="2">
        <v>2.3549237220148118</v>
      </c>
      <c r="P150" s="1">
        <v>0.32978329916770832</v>
      </c>
      <c r="Q150" s="1">
        <v>1.5451555468200735</v>
      </c>
      <c r="R150" s="1">
        <v>-0.48733586113566879</v>
      </c>
      <c r="S150" s="19">
        <v>462.12127233026206</v>
      </c>
      <c r="T150" s="19">
        <v>868.98277534624731</v>
      </c>
      <c r="U150" s="19">
        <v>1485.8562200736919</v>
      </c>
      <c r="V150" s="19">
        <v>2368.141689068681</v>
      </c>
      <c r="W150" s="19">
        <v>3566.3610976623818</v>
      </c>
      <c r="X150" s="19">
        <v>5116.7898673521868</v>
      </c>
      <c r="Y150" s="19">
        <v>7030.2734472260336</v>
      </c>
      <c r="Z150" s="19">
        <v>9281.1126709868113</v>
      </c>
      <c r="AA150" s="19">
        <v>11799.074840963143</v>
      </c>
      <c r="AB150" s="19">
        <v>14468.455958923292</v>
      </c>
      <c r="AC150" s="19">
        <v>17137.633339759919</v>
      </c>
      <c r="AD150" s="19">
        <v>19640.181941127128</v>
      </c>
      <c r="AE150" s="19">
        <v>21824.42923449611</v>
      </c>
      <c r="AF150" s="19">
        <v>23583.65988328923</v>
      </c>
      <c r="AG150" s="19">
        <v>24876.666973947733</v>
      </c>
      <c r="AH150" s="19">
        <v>25801.118764005103</v>
      </c>
      <c r="AI150" s="19">
        <v>26271.472604913601</v>
      </c>
      <c r="AJ150" s="19">
        <v>26629.392488701047</v>
      </c>
      <c r="AK150" s="19">
        <v>26662.363735530849</v>
      </c>
      <c r="AL150" s="19">
        <v>26585.757672772117</v>
      </c>
      <c r="AM150" s="19">
        <v>26506.568918650308</v>
      </c>
      <c r="AN150" s="19">
        <v>26424.840635948931</v>
      </c>
      <c r="AO150" s="19">
        <v>26340.609176858237</v>
      </c>
      <c r="AP150" s="19">
        <v>26253.903075626735</v>
      </c>
      <c r="AQ150" s="19">
        <v>26164.741609202934</v>
      </c>
      <c r="AR150" s="19">
        <v>427150.50989476271</v>
      </c>
    </row>
    <row r="151" spans="1:44" x14ac:dyDescent="0.25">
      <c r="A151" t="s">
        <v>131</v>
      </c>
      <c r="B151" t="s">
        <v>182</v>
      </c>
      <c r="C151" t="s">
        <v>45</v>
      </c>
      <c r="D151" t="s">
        <v>183</v>
      </c>
      <c r="E151" t="s">
        <v>145</v>
      </c>
      <c r="F151" t="s">
        <v>183</v>
      </c>
      <c r="G151" t="s">
        <v>28</v>
      </c>
      <c r="H151" t="s">
        <v>141</v>
      </c>
      <c r="I151" t="s">
        <v>135</v>
      </c>
      <c r="J151" t="s">
        <v>39</v>
      </c>
      <c r="K151" t="s">
        <v>28</v>
      </c>
      <c r="L151">
        <v>60.69</v>
      </c>
      <c r="M151">
        <v>1</v>
      </c>
      <c r="N151" s="2">
        <v>1.1095777125005235</v>
      </c>
      <c r="O151" s="2">
        <v>2.3549237220148118</v>
      </c>
      <c r="P151" s="1">
        <v>0.32978329916770832</v>
      </c>
      <c r="Q151" s="1">
        <v>1.5451555468200735</v>
      </c>
      <c r="R151" s="1">
        <v>-0.48733586113566879</v>
      </c>
      <c r="S151" s="19">
        <v>21.148290140689955</v>
      </c>
      <c r="T151" s="19">
        <v>39.767699434426106</v>
      </c>
      <c r="U151" s="19">
        <v>67.997991719823133</v>
      </c>
      <c r="V151" s="19">
        <v>108.37446906987664</v>
      </c>
      <c r="W151" s="19">
        <v>163.20919151700886</v>
      </c>
      <c r="X151" s="19">
        <v>234.1622495715186</v>
      </c>
      <c r="Y151" s="19">
        <v>321.72996902005724</v>
      </c>
      <c r="Z151" s="19">
        <v>424.73626588258145</v>
      </c>
      <c r="AA151" s="19">
        <v>539.9670455985264</v>
      </c>
      <c r="AB151" s="19">
        <v>662.12728741997546</v>
      </c>
      <c r="AC151" s="19">
        <v>784.27820551611978</v>
      </c>
      <c r="AD151" s="19">
        <v>898.80360627514006</v>
      </c>
      <c r="AE151" s="19">
        <v>998.76242285645412</v>
      </c>
      <c r="AF151" s="19">
        <v>1079.2709871938305</v>
      </c>
      <c r="AG151" s="19">
        <v>1138.4435264048641</v>
      </c>
      <c r="AH151" s="19">
        <v>1180.7496824894547</v>
      </c>
      <c r="AI151" s="19">
        <v>1202.2747238409636</v>
      </c>
      <c r="AJ151" s="19">
        <v>1218.6543929942356</v>
      </c>
      <c r="AK151" s="19">
        <v>1220.1632728835791</v>
      </c>
      <c r="AL151" s="19">
        <v>1216.6575107844055</v>
      </c>
      <c r="AM151" s="19">
        <v>1213.0335556706248</v>
      </c>
      <c r="AN151" s="19">
        <v>1209.2933828225898</v>
      </c>
      <c r="AO151" s="19">
        <v>1205.4386558440176</v>
      </c>
      <c r="AP151" s="19">
        <v>1201.4706805621934</v>
      </c>
      <c r="AQ151" s="19">
        <v>1197.3903391578867</v>
      </c>
      <c r="AR151" s="19">
        <v>19547.905404670844</v>
      </c>
    </row>
    <row r="152" spans="1:44" x14ac:dyDescent="0.25">
      <c r="A152" t="s">
        <v>131</v>
      </c>
      <c r="B152" t="s">
        <v>182</v>
      </c>
      <c r="C152" t="s">
        <v>45</v>
      </c>
      <c r="D152" t="s">
        <v>183</v>
      </c>
      <c r="E152" t="s">
        <v>145</v>
      </c>
      <c r="F152" t="s">
        <v>183</v>
      </c>
      <c r="G152" t="s">
        <v>28</v>
      </c>
      <c r="H152" t="s">
        <v>142</v>
      </c>
      <c r="I152" t="s">
        <v>135</v>
      </c>
      <c r="J152" t="s">
        <v>39</v>
      </c>
      <c r="K152" t="s">
        <v>28</v>
      </c>
      <c r="L152">
        <v>60.69</v>
      </c>
      <c r="M152">
        <v>1</v>
      </c>
      <c r="N152" s="2">
        <v>1.1095777125005235</v>
      </c>
      <c r="O152" s="2">
        <v>2.3549237220148118</v>
      </c>
      <c r="P152" s="1">
        <v>0.32978329916770832</v>
      </c>
      <c r="Q152" s="1">
        <v>1.5451555468200735</v>
      </c>
      <c r="R152" s="1">
        <v>-0.48733586113566879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19">
        <v>0</v>
      </c>
      <c r="AI152" s="19">
        <v>0</v>
      </c>
      <c r="AJ152" s="19">
        <v>0</v>
      </c>
      <c r="AK152" s="19">
        <v>0</v>
      </c>
      <c r="AL152" s="19">
        <v>0</v>
      </c>
      <c r="AM152" s="19">
        <v>0</v>
      </c>
      <c r="AN152" s="19">
        <v>0</v>
      </c>
      <c r="AO152" s="19">
        <v>0</v>
      </c>
      <c r="AP152" s="19">
        <v>0</v>
      </c>
      <c r="AQ152" s="19">
        <v>0</v>
      </c>
      <c r="AR152" s="19">
        <v>0</v>
      </c>
    </row>
    <row r="153" spans="1:44" x14ac:dyDescent="0.25">
      <c r="A153" t="s">
        <v>131</v>
      </c>
      <c r="B153" t="s">
        <v>182</v>
      </c>
      <c r="C153" t="s">
        <v>45</v>
      </c>
      <c r="D153" t="s">
        <v>183</v>
      </c>
      <c r="E153" t="s">
        <v>145</v>
      </c>
      <c r="F153" t="s">
        <v>183</v>
      </c>
      <c r="G153" t="s">
        <v>28</v>
      </c>
      <c r="H153" t="s">
        <v>136</v>
      </c>
      <c r="I153" t="s">
        <v>135</v>
      </c>
      <c r="J153" t="s">
        <v>39</v>
      </c>
      <c r="K153" t="s">
        <v>28</v>
      </c>
      <c r="L153">
        <v>60.69</v>
      </c>
      <c r="M153">
        <v>1</v>
      </c>
      <c r="N153" s="2">
        <v>1.1095777125005235</v>
      </c>
      <c r="O153" s="2">
        <v>2.3549237220148118</v>
      </c>
      <c r="P153" s="1">
        <v>0.32978329916770832</v>
      </c>
      <c r="Q153" s="1">
        <v>1.5451555468200735</v>
      </c>
      <c r="R153" s="1">
        <v>-0.48733586113566879</v>
      </c>
      <c r="S153" s="19">
        <v>3.6278597010413312</v>
      </c>
      <c r="T153" s="19">
        <v>6.8219053749265353</v>
      </c>
      <c r="U153" s="19">
        <v>11.664639186950383</v>
      </c>
      <c r="V153" s="19">
        <v>18.590976686284897</v>
      </c>
      <c r="W153" s="19">
        <v>27.997537616758652</v>
      </c>
      <c r="X153" s="19">
        <v>40.169100342122512</v>
      </c>
      <c r="Y153" s="19">
        <v>55.190806512505262</v>
      </c>
      <c r="Z153" s="19">
        <v>72.860906121270105</v>
      </c>
      <c r="AA153" s="19">
        <v>92.628040923658929</v>
      </c>
      <c r="AB153" s="19">
        <v>113.58388252717496</v>
      </c>
      <c r="AC153" s="19">
        <v>134.53812470269605</v>
      </c>
      <c r="AD153" s="19">
        <v>154.1842560634465</v>
      </c>
      <c r="AE153" s="19">
        <v>171.331579087042</v>
      </c>
      <c r="AF153" s="19">
        <v>185.14233041517423</v>
      </c>
      <c r="AG153" s="19">
        <v>195.29301725481463</v>
      </c>
      <c r="AH153" s="19">
        <v>202.55037932731375</v>
      </c>
      <c r="AI153" s="19">
        <v>206.24286839205095</v>
      </c>
      <c r="AJ153" s="19">
        <v>209.05270035682119</v>
      </c>
      <c r="AK153" s="19">
        <v>209.3115394642783</v>
      </c>
      <c r="AL153" s="19">
        <v>208.71014743889847</v>
      </c>
      <c r="AM153" s="19">
        <v>208.0884801254559</v>
      </c>
      <c r="AN153" s="19">
        <v>207.44687637120211</v>
      </c>
      <c r="AO153" s="19">
        <v>206.78562155717</v>
      </c>
      <c r="AP153" s="19">
        <v>206.10493969003579</v>
      </c>
      <c r="AQ153" s="19">
        <v>205.40498210251005</v>
      </c>
      <c r="AR153" s="19">
        <v>3353.3234973416033</v>
      </c>
    </row>
    <row r="154" spans="1:44" x14ac:dyDescent="0.25">
      <c r="A154" t="s">
        <v>131</v>
      </c>
      <c r="B154" t="s">
        <v>184</v>
      </c>
      <c r="C154" t="s">
        <v>45</v>
      </c>
      <c r="D154" t="s">
        <v>178</v>
      </c>
      <c r="E154" t="s">
        <v>145</v>
      </c>
      <c r="F154" t="s">
        <v>185</v>
      </c>
      <c r="G154" t="s">
        <v>28</v>
      </c>
      <c r="H154" t="s">
        <v>53</v>
      </c>
      <c r="I154" t="s">
        <v>135</v>
      </c>
      <c r="J154" t="s">
        <v>39</v>
      </c>
      <c r="K154" t="s">
        <v>28</v>
      </c>
      <c r="L154">
        <v>1.1100000000000001</v>
      </c>
      <c r="M154">
        <v>1</v>
      </c>
      <c r="N154" s="2">
        <v>2.7689683863787629</v>
      </c>
      <c r="O154" s="2">
        <v>2.3549237220148114</v>
      </c>
      <c r="P154" s="1">
        <v>-0.59619935801880586</v>
      </c>
      <c r="Q154" s="1">
        <v>0.61917288963355954</v>
      </c>
      <c r="R154" s="1">
        <v>-0.48733586113566862</v>
      </c>
      <c r="S154" s="19">
        <v>11.030284543936656</v>
      </c>
      <c r="T154" s="19">
        <v>21.633196400977116</v>
      </c>
      <c r="U154" s="19">
        <v>38.108484150687737</v>
      </c>
      <c r="V154" s="19">
        <v>61.141243365792619</v>
      </c>
      <c r="W154" s="19">
        <v>90.404208691765348</v>
      </c>
      <c r="X154" s="19">
        <v>124.47033175009626</v>
      </c>
      <c r="Y154" s="19">
        <v>161.057887192013</v>
      </c>
      <c r="Z154" s="19">
        <v>197.52071920978759</v>
      </c>
      <c r="AA154" s="19">
        <v>231.40244435033205</v>
      </c>
      <c r="AB154" s="19">
        <v>260.87372950433991</v>
      </c>
      <c r="AC154" s="19">
        <v>284.94438127734838</v>
      </c>
      <c r="AD154" s="19">
        <v>303.44134917973605</v>
      </c>
      <c r="AE154" s="19">
        <v>316.82030816134841</v>
      </c>
      <c r="AF154" s="19">
        <v>325.90805784811579</v>
      </c>
      <c r="AG154" s="19">
        <v>331.6602850128665</v>
      </c>
      <c r="AH154" s="19">
        <v>334.98421351970734</v>
      </c>
      <c r="AI154" s="19">
        <v>336.63928488913751</v>
      </c>
      <c r="AJ154" s="19">
        <v>337.54963403666619</v>
      </c>
      <c r="AK154" s="19">
        <v>337.9675719338922</v>
      </c>
      <c r="AL154" s="19">
        <v>336.99652655761599</v>
      </c>
      <c r="AM154" s="19">
        <v>335.99274342643935</v>
      </c>
      <c r="AN154" s="19">
        <v>194.35009693068409</v>
      </c>
      <c r="AO154" s="19">
        <v>0</v>
      </c>
      <c r="AP154" s="19">
        <v>0</v>
      </c>
      <c r="AQ154" s="19">
        <v>0</v>
      </c>
      <c r="AR154" s="19">
        <v>4974.8969819332851</v>
      </c>
    </row>
    <row r="155" spans="1:44" x14ac:dyDescent="0.25">
      <c r="A155" t="s">
        <v>131</v>
      </c>
      <c r="B155" t="s">
        <v>184</v>
      </c>
      <c r="C155" t="s">
        <v>45</v>
      </c>
      <c r="D155" t="s">
        <v>178</v>
      </c>
      <c r="E155" t="s">
        <v>145</v>
      </c>
      <c r="F155" t="s">
        <v>185</v>
      </c>
      <c r="G155" t="s">
        <v>28</v>
      </c>
      <c r="H155" t="s">
        <v>54</v>
      </c>
      <c r="I155" t="s">
        <v>135</v>
      </c>
      <c r="J155" t="s">
        <v>39</v>
      </c>
      <c r="K155" t="s">
        <v>28</v>
      </c>
      <c r="L155">
        <v>1.1100000000000001</v>
      </c>
      <c r="M155">
        <v>1</v>
      </c>
      <c r="N155" s="2">
        <v>2.7689683863787629</v>
      </c>
      <c r="O155" s="2">
        <v>2.3549237220148114</v>
      </c>
      <c r="P155" s="1">
        <v>-0.59619935801880586</v>
      </c>
      <c r="Q155" s="1">
        <v>0.61917288963355954</v>
      </c>
      <c r="R155" s="1">
        <v>-0.48733586113566862</v>
      </c>
      <c r="S155" s="19">
        <v>5.5783112165241944</v>
      </c>
      <c r="T155" s="19">
        <v>10.940488584147854</v>
      </c>
      <c r="U155" s="19">
        <v>19.272484198911407</v>
      </c>
      <c r="V155" s="19">
        <v>30.920769296665135</v>
      </c>
      <c r="W155" s="19">
        <v>45.719836995817481</v>
      </c>
      <c r="X155" s="19">
        <v>62.947990594469744</v>
      </c>
      <c r="Y155" s="19">
        <v>81.451300286424754</v>
      </c>
      <c r="Z155" s="19">
        <v>99.891533992163488</v>
      </c>
      <c r="AA155" s="19">
        <v>117.0264326100404</v>
      </c>
      <c r="AB155" s="19">
        <v>131.93085324263009</v>
      </c>
      <c r="AC155" s="19">
        <v>144.10402848934044</v>
      </c>
      <c r="AD155" s="19">
        <v>153.45844206866153</v>
      </c>
      <c r="AE155" s="19">
        <v>160.22454104419251</v>
      </c>
      <c r="AF155" s="19">
        <v>164.82046019829323</v>
      </c>
      <c r="AG155" s="19">
        <v>167.72951600599333</v>
      </c>
      <c r="AH155" s="19">
        <v>169.41051594745247</v>
      </c>
      <c r="AI155" s="19">
        <v>170.24753000157452</v>
      </c>
      <c r="AJ155" s="19">
        <v>170.70791802151948</v>
      </c>
      <c r="AK155" s="19">
        <v>170.9192804438232</v>
      </c>
      <c r="AL155" s="19">
        <v>170.42819671042921</v>
      </c>
      <c r="AM155" s="19">
        <v>169.92055661489977</v>
      </c>
      <c r="AN155" s="19">
        <v>98.288065128560476</v>
      </c>
      <c r="AO155" s="19">
        <v>0</v>
      </c>
      <c r="AP155" s="19">
        <v>0</v>
      </c>
      <c r="AQ155" s="19">
        <v>0</v>
      </c>
      <c r="AR155" s="19">
        <v>2515.9390516925346</v>
      </c>
    </row>
    <row r="156" spans="1:44" x14ac:dyDescent="0.25">
      <c r="A156" t="s">
        <v>131</v>
      </c>
      <c r="B156" t="s">
        <v>184</v>
      </c>
      <c r="C156" t="s">
        <v>45</v>
      </c>
      <c r="D156" t="s">
        <v>178</v>
      </c>
      <c r="E156" t="s">
        <v>145</v>
      </c>
      <c r="F156" t="s">
        <v>185</v>
      </c>
      <c r="G156" t="s">
        <v>28</v>
      </c>
      <c r="H156" t="s">
        <v>141</v>
      </c>
      <c r="I156" t="s">
        <v>135</v>
      </c>
      <c r="J156" t="s">
        <v>39</v>
      </c>
      <c r="K156" t="s">
        <v>28</v>
      </c>
      <c r="L156">
        <v>1.1100000000000001</v>
      </c>
      <c r="M156">
        <v>1</v>
      </c>
      <c r="N156" s="2">
        <v>2.7689683863787629</v>
      </c>
      <c r="O156" s="2">
        <v>2.3549237220148114</v>
      </c>
      <c r="P156" s="1">
        <v>-0.59619935801880586</v>
      </c>
      <c r="Q156" s="1">
        <v>0.61917288963355954</v>
      </c>
      <c r="R156" s="1">
        <v>-0.48733586113566862</v>
      </c>
      <c r="S156" s="19">
        <v>9.2838228244800192</v>
      </c>
      <c r="T156" s="19">
        <v>18.207940304155738</v>
      </c>
      <c r="U156" s="19">
        <v>32.074640826828833</v>
      </c>
      <c r="V156" s="19">
        <v>51.460546499542126</v>
      </c>
      <c r="W156" s="19">
        <v>76.090208982235822</v>
      </c>
      <c r="X156" s="19">
        <v>104.7625292229977</v>
      </c>
      <c r="Y156" s="19">
        <v>135.55705505327757</v>
      </c>
      <c r="Z156" s="19">
        <v>166.24660533490453</v>
      </c>
      <c r="AA156" s="19">
        <v>194.76372399486272</v>
      </c>
      <c r="AB156" s="19">
        <v>219.56872233281945</v>
      </c>
      <c r="AC156" s="19">
        <v>239.82818757510151</v>
      </c>
      <c r="AD156" s="19">
        <v>255.39646889294431</v>
      </c>
      <c r="AE156" s="19">
        <v>266.65709270246816</v>
      </c>
      <c r="AF156" s="19">
        <v>274.30594868883077</v>
      </c>
      <c r="AG156" s="19">
        <v>279.14740655249591</v>
      </c>
      <c r="AH156" s="19">
        <v>281.94504637908705</v>
      </c>
      <c r="AI156" s="19">
        <v>283.33806478169066</v>
      </c>
      <c r="AJ156" s="19">
        <v>284.10427531419407</v>
      </c>
      <c r="AK156" s="19">
        <v>284.45603971102577</v>
      </c>
      <c r="AL156" s="19">
        <v>283.63874318599341</v>
      </c>
      <c r="AM156" s="19">
        <v>282.7938923839198</v>
      </c>
      <c r="AN156" s="19">
        <v>163.57799824999285</v>
      </c>
      <c r="AO156" s="19">
        <v>0</v>
      </c>
      <c r="AP156" s="19">
        <v>0</v>
      </c>
      <c r="AQ156" s="19">
        <v>0</v>
      </c>
      <c r="AR156" s="19">
        <v>4187.2049597938494</v>
      </c>
    </row>
    <row r="157" spans="1:44" x14ac:dyDescent="0.25">
      <c r="A157" t="s">
        <v>131</v>
      </c>
      <c r="B157" t="s">
        <v>184</v>
      </c>
      <c r="C157" t="s">
        <v>45</v>
      </c>
      <c r="D157" t="s">
        <v>178</v>
      </c>
      <c r="E157" t="s">
        <v>145</v>
      </c>
      <c r="F157" t="s">
        <v>185</v>
      </c>
      <c r="G157" t="s">
        <v>28</v>
      </c>
      <c r="H157" t="s">
        <v>142</v>
      </c>
      <c r="I157" t="s">
        <v>135</v>
      </c>
      <c r="J157" t="s">
        <v>39</v>
      </c>
      <c r="K157" t="s">
        <v>28</v>
      </c>
      <c r="L157">
        <v>1.1100000000000001</v>
      </c>
      <c r="M157">
        <v>1</v>
      </c>
      <c r="N157" s="2">
        <v>2.7689683863787629</v>
      </c>
      <c r="O157" s="2">
        <v>2.3549237220148114</v>
      </c>
      <c r="P157" s="1">
        <v>-0.59619935801880586</v>
      </c>
      <c r="Q157" s="1">
        <v>0.61917288963355954</v>
      </c>
      <c r="R157" s="1">
        <v>-0.48733586113566862</v>
      </c>
      <c r="S157" s="19">
        <v>11.728869231719315</v>
      </c>
      <c r="T157" s="19">
        <v>23.003298839705668</v>
      </c>
      <c r="U157" s="19">
        <v>40.522021480231295</v>
      </c>
      <c r="V157" s="19">
        <v>65.013522112292833</v>
      </c>
      <c r="W157" s="19">
        <v>96.129808575577172</v>
      </c>
      <c r="X157" s="19">
        <v>132.35345276093568</v>
      </c>
      <c r="Y157" s="19">
        <v>171.25822004750717</v>
      </c>
      <c r="Z157" s="19">
        <v>210.03036475974079</v>
      </c>
      <c r="AA157" s="19">
        <v>246.05793249251977</v>
      </c>
      <c r="AB157" s="19">
        <v>277.3957323729482</v>
      </c>
      <c r="AC157" s="19">
        <v>302.99085875824716</v>
      </c>
      <c r="AD157" s="19">
        <v>322.65930129445269</v>
      </c>
      <c r="AE157" s="19">
        <v>336.88559434490043</v>
      </c>
      <c r="AF157" s="19">
        <v>346.5489015118298</v>
      </c>
      <c r="AG157" s="19">
        <v>352.66543639701473</v>
      </c>
      <c r="AH157" s="19">
        <v>356.19988037595544</v>
      </c>
      <c r="AI157" s="19">
        <v>357.95977293211638</v>
      </c>
      <c r="AJ157" s="19">
        <v>358.92777752565519</v>
      </c>
      <c r="AK157" s="19">
        <v>359.37218482303865</v>
      </c>
      <c r="AL157" s="19">
        <v>358.33963990626501</v>
      </c>
      <c r="AM157" s="19">
        <v>357.27228384344727</v>
      </c>
      <c r="AN157" s="19">
        <v>206.65893640296176</v>
      </c>
      <c r="AO157" s="19">
        <v>0</v>
      </c>
      <c r="AP157" s="19">
        <v>0</v>
      </c>
      <c r="AQ157" s="19">
        <v>0</v>
      </c>
      <c r="AR157" s="19">
        <v>5289.9737907890612</v>
      </c>
    </row>
    <row r="158" spans="1:44" x14ac:dyDescent="0.25">
      <c r="A158" t="s">
        <v>131</v>
      </c>
      <c r="B158" t="s">
        <v>186</v>
      </c>
      <c r="C158" t="s">
        <v>45</v>
      </c>
      <c r="D158" t="s">
        <v>187</v>
      </c>
      <c r="E158" t="s">
        <v>134</v>
      </c>
      <c r="F158" t="s">
        <v>187</v>
      </c>
      <c r="G158" t="s">
        <v>28</v>
      </c>
      <c r="H158" t="s">
        <v>53</v>
      </c>
      <c r="I158" t="s">
        <v>135</v>
      </c>
      <c r="J158" t="s">
        <v>39</v>
      </c>
      <c r="K158" t="s">
        <v>28</v>
      </c>
      <c r="L158">
        <v>4.87</v>
      </c>
      <c r="M158">
        <v>1</v>
      </c>
      <c r="N158" s="2">
        <v>2.1916282489924761</v>
      </c>
      <c r="O158" s="2">
        <v>2.3549237220148114</v>
      </c>
      <c r="P158" s="1">
        <v>-0.43309078277059071</v>
      </c>
      <c r="Q158" s="1">
        <v>0.78228146488177475</v>
      </c>
      <c r="R158" s="1">
        <v>-0.48733586113566879</v>
      </c>
      <c r="S158" s="19">
        <v>37.949503847727399</v>
      </c>
      <c r="T158" s="19">
        <v>75.808448427791518</v>
      </c>
      <c r="U158" s="19">
        <v>134.49733329534601</v>
      </c>
      <c r="V158" s="19">
        <v>218.57798966166987</v>
      </c>
      <c r="W158" s="19">
        <v>331.41938980408753</v>
      </c>
      <c r="X158" s="19">
        <v>474.09368835965984</v>
      </c>
      <c r="Y158" s="19">
        <v>644.03432129832049</v>
      </c>
      <c r="Z158" s="19">
        <v>833.6714137067305</v>
      </c>
      <c r="AA158" s="19">
        <v>1029.4544759597566</v>
      </c>
      <c r="AB158" s="19">
        <v>1211.8699783156378</v>
      </c>
      <c r="AC158" s="19">
        <v>1357.1165757382844</v>
      </c>
      <c r="AD158" s="19">
        <v>1440.8621117322507</v>
      </c>
      <c r="AE158" s="19">
        <v>1443.8446330963527</v>
      </c>
      <c r="AF158" s="19">
        <v>1358.0553129054506</v>
      </c>
      <c r="AG158" s="19">
        <v>1191.2555895843902</v>
      </c>
      <c r="AH158" s="19">
        <v>982.75180302959268</v>
      </c>
      <c r="AI158" s="19">
        <v>749.59954947141568</v>
      </c>
      <c r="AJ158" s="19">
        <v>517.57352468106421</v>
      </c>
      <c r="AK158" s="19">
        <v>37.239886378007789</v>
      </c>
      <c r="AL158" s="19">
        <v>0</v>
      </c>
      <c r="AM158" s="19">
        <v>0</v>
      </c>
      <c r="AN158" s="19">
        <v>0</v>
      </c>
      <c r="AO158" s="19">
        <v>0</v>
      </c>
      <c r="AP158" s="19">
        <v>0</v>
      </c>
      <c r="AQ158" s="19">
        <v>0</v>
      </c>
      <c r="AR158" s="19">
        <v>14069.675529293534</v>
      </c>
    </row>
    <row r="159" spans="1:44" x14ac:dyDescent="0.25">
      <c r="A159" t="s">
        <v>131</v>
      </c>
      <c r="B159" t="s">
        <v>186</v>
      </c>
      <c r="C159" t="s">
        <v>45</v>
      </c>
      <c r="D159" t="s">
        <v>187</v>
      </c>
      <c r="E159" t="s">
        <v>134</v>
      </c>
      <c r="F159" t="s">
        <v>187</v>
      </c>
      <c r="G159" t="s">
        <v>28</v>
      </c>
      <c r="H159" t="s">
        <v>54</v>
      </c>
      <c r="I159" t="s">
        <v>135</v>
      </c>
      <c r="J159" t="s">
        <v>39</v>
      </c>
      <c r="K159" t="s">
        <v>28</v>
      </c>
      <c r="L159">
        <v>4.87</v>
      </c>
      <c r="M159">
        <v>1</v>
      </c>
      <c r="N159" s="2">
        <v>2.1916282489924761</v>
      </c>
      <c r="O159" s="2">
        <v>2.3549237220148114</v>
      </c>
      <c r="P159" s="1">
        <v>-0.43309078277059071</v>
      </c>
      <c r="Q159" s="1">
        <v>0.78228146488177475</v>
      </c>
      <c r="R159" s="1">
        <v>-0.48733586113566879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19">
        <v>0</v>
      </c>
      <c r="AI159" s="19">
        <v>0</v>
      </c>
      <c r="AJ159" s="19">
        <v>0</v>
      </c>
      <c r="AK159" s="19">
        <v>0</v>
      </c>
      <c r="AL159" s="19">
        <v>0</v>
      </c>
      <c r="AM159" s="19">
        <v>0</v>
      </c>
      <c r="AN159" s="19">
        <v>0</v>
      </c>
      <c r="AO159" s="19">
        <v>0</v>
      </c>
      <c r="AP159" s="19">
        <v>0</v>
      </c>
      <c r="AQ159" s="19">
        <v>0</v>
      </c>
      <c r="AR159" s="19">
        <v>0</v>
      </c>
    </row>
    <row r="160" spans="1:44" x14ac:dyDescent="0.25">
      <c r="A160" t="s">
        <v>131</v>
      </c>
      <c r="B160" t="s">
        <v>186</v>
      </c>
      <c r="C160" t="s">
        <v>45</v>
      </c>
      <c r="D160" t="s">
        <v>187</v>
      </c>
      <c r="E160" t="s">
        <v>134</v>
      </c>
      <c r="F160" t="s">
        <v>187</v>
      </c>
      <c r="G160" t="s">
        <v>28</v>
      </c>
      <c r="H160" t="s">
        <v>141</v>
      </c>
      <c r="I160" t="s">
        <v>135</v>
      </c>
      <c r="J160" t="s">
        <v>39</v>
      </c>
      <c r="K160" t="s">
        <v>28</v>
      </c>
      <c r="L160">
        <v>4.87</v>
      </c>
      <c r="M160">
        <v>1</v>
      </c>
      <c r="N160" s="2">
        <v>2.1916282489924761</v>
      </c>
      <c r="O160" s="2">
        <v>2.3549237220148114</v>
      </c>
      <c r="P160" s="1">
        <v>-0.43309078277059071</v>
      </c>
      <c r="Q160" s="1">
        <v>0.78228146488177475</v>
      </c>
      <c r="R160" s="1">
        <v>-0.48733586113566879</v>
      </c>
      <c r="S160" s="19">
        <v>31.940832405170564</v>
      </c>
      <c r="T160" s="19">
        <v>63.805444093391174</v>
      </c>
      <c r="U160" s="19">
        <v>113.20192219024952</v>
      </c>
      <c r="V160" s="19">
        <v>183.96980796523877</v>
      </c>
      <c r="W160" s="19">
        <v>278.94465308510689</v>
      </c>
      <c r="X160" s="19">
        <v>399.02885436938033</v>
      </c>
      <c r="Y160" s="19">
        <v>542.06222042608613</v>
      </c>
      <c r="Z160" s="19">
        <v>701.67343986983144</v>
      </c>
      <c r="AA160" s="19">
        <v>866.45751726612821</v>
      </c>
      <c r="AB160" s="19">
        <v>1019.9905650823288</v>
      </c>
      <c r="AC160" s="19">
        <v>1142.2397845797225</v>
      </c>
      <c r="AD160" s="19">
        <v>1212.7256107079777</v>
      </c>
      <c r="AE160" s="19">
        <v>1215.2358995227637</v>
      </c>
      <c r="AF160" s="19">
        <v>1143.0298883620876</v>
      </c>
      <c r="AG160" s="19">
        <v>1002.6401212335282</v>
      </c>
      <c r="AH160" s="19">
        <v>827.14943421657381</v>
      </c>
      <c r="AI160" s="19">
        <v>630.91295413844148</v>
      </c>
      <c r="AJ160" s="19">
        <v>435.624383273229</v>
      </c>
      <c r="AK160" s="19">
        <v>31.343571034819199</v>
      </c>
      <c r="AL160" s="19">
        <v>0</v>
      </c>
      <c r="AM160" s="19">
        <v>0</v>
      </c>
      <c r="AN160" s="19">
        <v>0</v>
      </c>
      <c r="AO160" s="19">
        <v>0</v>
      </c>
      <c r="AP160" s="19">
        <v>0</v>
      </c>
      <c r="AQ160" s="19">
        <v>0</v>
      </c>
      <c r="AR160" s="19">
        <v>11841.976903822051</v>
      </c>
    </row>
    <row r="161" spans="1:44" x14ac:dyDescent="0.25">
      <c r="A161" t="s">
        <v>131</v>
      </c>
      <c r="B161" t="s">
        <v>186</v>
      </c>
      <c r="C161" t="s">
        <v>45</v>
      </c>
      <c r="D161" t="s">
        <v>187</v>
      </c>
      <c r="E161" t="s">
        <v>134</v>
      </c>
      <c r="F161" t="s">
        <v>187</v>
      </c>
      <c r="G161" t="s">
        <v>28</v>
      </c>
      <c r="H161" t="s">
        <v>142</v>
      </c>
      <c r="I161" t="s">
        <v>135</v>
      </c>
      <c r="J161" t="s">
        <v>39</v>
      </c>
      <c r="K161" t="s">
        <v>28</v>
      </c>
      <c r="L161">
        <v>4.87</v>
      </c>
      <c r="M161">
        <v>1</v>
      </c>
      <c r="N161" s="2">
        <v>2.1916282489924761</v>
      </c>
      <c r="O161" s="2">
        <v>2.3549237220148114</v>
      </c>
      <c r="P161" s="1">
        <v>-0.43309078277059071</v>
      </c>
      <c r="Q161" s="1">
        <v>0.78228146488177475</v>
      </c>
      <c r="R161" s="1">
        <v>-0.48733586113566879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19">
        <v>0</v>
      </c>
      <c r="AI161" s="19">
        <v>0</v>
      </c>
      <c r="AJ161" s="19">
        <v>0</v>
      </c>
      <c r="AK161" s="19">
        <v>0</v>
      </c>
      <c r="AL161" s="19">
        <v>0</v>
      </c>
      <c r="AM161" s="19">
        <v>0</v>
      </c>
      <c r="AN161" s="19">
        <v>0</v>
      </c>
      <c r="AO161" s="19">
        <v>0</v>
      </c>
      <c r="AP161" s="19">
        <v>0</v>
      </c>
      <c r="AQ161" s="19">
        <v>0</v>
      </c>
      <c r="AR161" s="19">
        <v>0</v>
      </c>
    </row>
    <row r="162" spans="1:44" x14ac:dyDescent="0.25">
      <c r="A162" t="s">
        <v>131</v>
      </c>
      <c r="B162" t="s">
        <v>188</v>
      </c>
      <c r="C162" t="s">
        <v>45</v>
      </c>
      <c r="D162" t="s">
        <v>189</v>
      </c>
      <c r="E162" t="s">
        <v>134</v>
      </c>
      <c r="F162" t="s">
        <v>189</v>
      </c>
      <c r="G162" t="s">
        <v>28</v>
      </c>
      <c r="H162" t="s">
        <v>52</v>
      </c>
      <c r="I162" t="s">
        <v>135</v>
      </c>
      <c r="J162" t="s">
        <v>39</v>
      </c>
      <c r="K162" t="s">
        <v>28</v>
      </c>
      <c r="L162">
        <v>1.942803643909091</v>
      </c>
      <c r="M162">
        <v>1</v>
      </c>
      <c r="N162" s="2">
        <v>1.4572741901862805</v>
      </c>
      <c r="O162" s="2">
        <v>2.3542079250166035</v>
      </c>
      <c r="P162" s="1">
        <v>-0.77752011669449606</v>
      </c>
      <c r="Q162" s="1">
        <v>0.65174377694598584</v>
      </c>
      <c r="R162" s="1">
        <v>-0.48733586113566857</v>
      </c>
      <c r="S162" s="19">
        <v>349.11078120101723</v>
      </c>
      <c r="T162" s="19">
        <v>702.65782697440875</v>
      </c>
      <c r="U162" s="19">
        <v>1250.4836391932463</v>
      </c>
      <c r="V162" s="19">
        <v>2039.6604078172695</v>
      </c>
      <c r="W162" s="19">
        <v>3103.945288434953</v>
      </c>
      <c r="X162" s="19">
        <v>4455.7253199225752</v>
      </c>
      <c r="Y162" s="19">
        <v>6072.7474816726017</v>
      </c>
      <c r="Z162" s="19">
        <v>7884.3861733426656</v>
      </c>
      <c r="AA162" s="19">
        <v>9762.1258894629464</v>
      </c>
      <c r="AB162" s="19">
        <v>11518.999506768105</v>
      </c>
      <c r="AC162" s="19">
        <v>12925.482933572574</v>
      </c>
      <c r="AD162" s="19">
        <v>13745.826683451847</v>
      </c>
      <c r="AE162" s="19">
        <v>13792.428680604053</v>
      </c>
      <c r="AF162" s="19">
        <v>12985.979412849028</v>
      </c>
      <c r="AG162" s="19">
        <v>11399.416973954116</v>
      </c>
      <c r="AH162" s="19">
        <v>9409.0993086521521</v>
      </c>
      <c r="AI162" s="19">
        <v>7179.4330235889502</v>
      </c>
      <c r="AJ162" s="19">
        <v>4958.4062552296782</v>
      </c>
      <c r="AK162" s="19">
        <v>468.70804664450344</v>
      </c>
      <c r="AL162" s="19">
        <v>82.321567591364342</v>
      </c>
      <c r="AM162" s="19">
        <v>0</v>
      </c>
      <c r="AN162" s="19">
        <v>0</v>
      </c>
      <c r="AO162" s="19">
        <v>0</v>
      </c>
      <c r="AP162" s="19">
        <v>0</v>
      </c>
      <c r="AQ162" s="19">
        <v>0</v>
      </c>
      <c r="AR162" s="19">
        <v>134086.94520092802</v>
      </c>
    </row>
    <row r="163" spans="1:44" x14ac:dyDescent="0.25">
      <c r="A163" t="s">
        <v>131</v>
      </c>
      <c r="B163" t="s">
        <v>188</v>
      </c>
      <c r="C163" t="s">
        <v>45</v>
      </c>
      <c r="D163" t="s">
        <v>189</v>
      </c>
      <c r="E163" t="s">
        <v>148</v>
      </c>
      <c r="F163" t="s">
        <v>189</v>
      </c>
      <c r="G163" t="s">
        <v>28</v>
      </c>
      <c r="H163" t="s">
        <v>52</v>
      </c>
      <c r="I163" t="s">
        <v>135</v>
      </c>
      <c r="J163" t="s">
        <v>39</v>
      </c>
      <c r="K163" t="s">
        <v>28</v>
      </c>
      <c r="L163">
        <v>1.942803643909091</v>
      </c>
      <c r="M163">
        <v>1</v>
      </c>
      <c r="N163" s="2">
        <v>1.4572741901862805</v>
      </c>
      <c r="O163" s="2">
        <v>2.3542079250166035</v>
      </c>
      <c r="P163" s="1">
        <v>-0.77752011669449606</v>
      </c>
      <c r="Q163" s="1">
        <v>0.65174377694598584</v>
      </c>
      <c r="R163" s="1">
        <v>-0.48733586113566857</v>
      </c>
      <c r="S163" s="19">
        <v>5.1655936028071796</v>
      </c>
      <c r="T163" s="19">
        <v>3.269437880036941</v>
      </c>
      <c r="U163" s="19">
        <v>8.5602457100044163</v>
      </c>
      <c r="V163" s="19">
        <v>16.347417687195822</v>
      </c>
      <c r="W163" s="19">
        <v>27.444831285614772</v>
      </c>
      <c r="X163" s="19">
        <v>42.430935678843014</v>
      </c>
      <c r="Y163" s="19">
        <v>61.163870763331303</v>
      </c>
      <c r="Z163" s="19">
        <v>84.124325100749218</v>
      </c>
      <c r="AA163" s="19">
        <v>110.57994763318096</v>
      </c>
      <c r="AB163" s="19">
        <v>139.20257242161222</v>
      </c>
      <c r="AC163" s="19">
        <v>168.29328493177303</v>
      </c>
      <c r="AD163" s="19">
        <v>195.66151309336388</v>
      </c>
      <c r="AE163" s="19">
        <v>218.99334790726209</v>
      </c>
      <c r="AF163" s="19">
        <v>236.24567447738781</v>
      </c>
      <c r="AG163" s="19">
        <v>246.04287415708507</v>
      </c>
      <c r="AH163" s="19">
        <v>247.94713772188089</v>
      </c>
      <c r="AI163" s="19">
        <v>242.49517110876323</v>
      </c>
      <c r="AJ163" s="19">
        <v>231.6105830282134</v>
      </c>
      <c r="AK163" s="19">
        <v>215.426335067319</v>
      </c>
      <c r="AL163" s="19">
        <v>197.52435695359725</v>
      </c>
      <c r="AM163" s="19">
        <v>176.75136075619525</v>
      </c>
      <c r="AN163" s="19">
        <v>155.13025291031505</v>
      </c>
      <c r="AO163" s="19">
        <v>133.46120556787625</v>
      </c>
      <c r="AP163" s="19">
        <v>111.75204508217536</v>
      </c>
      <c r="AQ163" s="19">
        <v>90.011931181969459</v>
      </c>
      <c r="AR163" s="19">
        <v>3365.6362517085531</v>
      </c>
    </row>
    <row r="164" spans="1:44" x14ac:dyDescent="0.25">
      <c r="A164" t="s">
        <v>131</v>
      </c>
      <c r="B164" t="s">
        <v>188</v>
      </c>
      <c r="C164" t="s">
        <v>45</v>
      </c>
      <c r="D164" t="s">
        <v>189</v>
      </c>
      <c r="E164" t="s">
        <v>134</v>
      </c>
      <c r="F164" t="s">
        <v>189</v>
      </c>
      <c r="G164" t="s">
        <v>28</v>
      </c>
      <c r="H164" t="s">
        <v>53</v>
      </c>
      <c r="I164" t="s">
        <v>135</v>
      </c>
      <c r="J164" t="s">
        <v>39</v>
      </c>
      <c r="K164" t="s">
        <v>28</v>
      </c>
      <c r="L164">
        <v>1.942803643909091</v>
      </c>
      <c r="M164">
        <v>1</v>
      </c>
      <c r="N164" s="2">
        <v>1.4572741901862805</v>
      </c>
      <c r="O164" s="2">
        <v>2.3542079250166035</v>
      </c>
      <c r="P164" s="1">
        <v>-0.77752011669449606</v>
      </c>
      <c r="Q164" s="1">
        <v>0.65174377694598584</v>
      </c>
      <c r="R164" s="1">
        <v>-0.48733586113566857</v>
      </c>
      <c r="S164" s="19">
        <v>5.3463218815165128</v>
      </c>
      <c r="T164" s="19">
        <v>11.144104504297651</v>
      </c>
      <c r="U164" s="19">
        <v>20.110469521134583</v>
      </c>
      <c r="V164" s="19">
        <v>33.33794204467408</v>
      </c>
      <c r="W164" s="19">
        <v>51.544715509065995</v>
      </c>
      <c r="X164" s="19">
        <v>75.104186335673006</v>
      </c>
      <c r="Y164" s="19">
        <v>103.77438787388547</v>
      </c>
      <c r="Z164" s="19">
        <v>136.40186543261044</v>
      </c>
      <c r="AA164" s="19">
        <v>170.73758693163873</v>
      </c>
      <c r="AB164" s="19">
        <v>203.37568989177751</v>
      </c>
      <c r="AC164" s="19">
        <v>230.03209717068617</v>
      </c>
      <c r="AD164" s="19">
        <v>246.2296994414352</v>
      </c>
      <c r="AE164" s="19">
        <v>248.33824977684259</v>
      </c>
      <c r="AF164" s="19">
        <v>234.73316539229219</v>
      </c>
      <c r="AG164" s="19">
        <v>206.64336284324239</v>
      </c>
      <c r="AH164" s="19">
        <v>170.90709382407812</v>
      </c>
      <c r="AI164" s="19">
        <v>130.58842938305335</v>
      </c>
      <c r="AJ164" s="19">
        <v>90.276806492112527</v>
      </c>
      <c r="AK164" s="19">
        <v>16.357722928532496</v>
      </c>
      <c r="AL164" s="19">
        <v>7.2523566538680884</v>
      </c>
      <c r="AM164" s="19">
        <v>0</v>
      </c>
      <c r="AN164" s="19">
        <v>0</v>
      </c>
      <c r="AO164" s="19">
        <v>0</v>
      </c>
      <c r="AP164" s="19">
        <v>0</v>
      </c>
      <c r="AQ164" s="19">
        <v>0</v>
      </c>
      <c r="AR164" s="19">
        <v>2392.2362538324164</v>
      </c>
    </row>
    <row r="165" spans="1:44" x14ac:dyDescent="0.25">
      <c r="A165" t="s">
        <v>131</v>
      </c>
      <c r="B165" t="s">
        <v>188</v>
      </c>
      <c r="C165" t="s">
        <v>45</v>
      </c>
      <c r="D165" t="s">
        <v>189</v>
      </c>
      <c r="E165" t="s">
        <v>148</v>
      </c>
      <c r="F165" t="s">
        <v>189</v>
      </c>
      <c r="G165" t="s">
        <v>28</v>
      </c>
      <c r="H165" t="s">
        <v>53</v>
      </c>
      <c r="I165" t="s">
        <v>135</v>
      </c>
      <c r="J165" t="s">
        <v>39</v>
      </c>
      <c r="K165" t="s">
        <v>28</v>
      </c>
      <c r="L165">
        <v>1.942803643909091</v>
      </c>
      <c r="M165">
        <v>1</v>
      </c>
      <c r="N165" s="2">
        <v>1.4572741901862805</v>
      </c>
      <c r="O165" s="2">
        <v>2.3542079250166035</v>
      </c>
      <c r="P165" s="1">
        <v>-0.77752011669449606</v>
      </c>
      <c r="Q165" s="1">
        <v>0.65174377694598584</v>
      </c>
      <c r="R165" s="1">
        <v>-0.48733586113566857</v>
      </c>
      <c r="S165" s="19">
        <v>0.45507791253998187</v>
      </c>
      <c r="T165" s="19">
        <v>0.28803058854993918</v>
      </c>
      <c r="U165" s="19">
        <v>0.75413961067729707</v>
      </c>
      <c r="V165" s="19">
        <v>1.4401730543543745</v>
      </c>
      <c r="W165" s="19">
        <v>2.417831810207113</v>
      </c>
      <c r="X165" s="19">
        <v>3.73807603163994</v>
      </c>
      <c r="Y165" s="19">
        <v>5.3884081424283563</v>
      </c>
      <c r="Z165" s="19">
        <v>7.4111757920482004</v>
      </c>
      <c r="AA165" s="19">
        <v>9.7418603953553813</v>
      </c>
      <c r="AB165" s="19">
        <v>12.263453331558416</v>
      </c>
      <c r="AC165" s="19">
        <v>14.826283809788482</v>
      </c>
      <c r="AD165" s="19">
        <v>17.237367046171443</v>
      </c>
      <c r="AE165" s="19">
        <v>19.29285253327344</v>
      </c>
      <c r="AF165" s="19">
        <v>20.812746153577855</v>
      </c>
      <c r="AG165" s="19">
        <v>21.675858802731863</v>
      </c>
      <c r="AH165" s="19">
        <v>21.843620410521051</v>
      </c>
      <c r="AI165" s="19">
        <v>21.36331363915864</v>
      </c>
      <c r="AJ165" s="19">
        <v>20.40440436300845</v>
      </c>
      <c r="AK165" s="19">
        <v>18.978606217744115</v>
      </c>
      <c r="AL165" s="19">
        <v>17.401479665259288</v>
      </c>
      <c r="AM165" s="19">
        <v>15.571422468817806</v>
      </c>
      <c r="AN165" s="19">
        <v>13.666648423108374</v>
      </c>
      <c r="AO165" s="19">
        <v>11.757651008761192</v>
      </c>
      <c r="AP165" s="19">
        <v>9.8451197110114297</v>
      </c>
      <c r="AQ165" s="19">
        <v>7.9298614826616269</v>
      </c>
      <c r="AR165" s="19">
        <v>296.50546240495402</v>
      </c>
    </row>
    <row r="166" spans="1:44" x14ac:dyDescent="0.25">
      <c r="A166" t="s">
        <v>131</v>
      </c>
      <c r="B166" t="s">
        <v>188</v>
      </c>
      <c r="C166" t="s">
        <v>45</v>
      </c>
      <c r="D166" t="s">
        <v>189</v>
      </c>
      <c r="E166" t="s">
        <v>134</v>
      </c>
      <c r="F166" t="s">
        <v>189</v>
      </c>
      <c r="G166" t="s">
        <v>28</v>
      </c>
      <c r="H166" t="s">
        <v>54</v>
      </c>
      <c r="I166" t="s">
        <v>135</v>
      </c>
      <c r="J166" t="s">
        <v>39</v>
      </c>
      <c r="K166" t="s">
        <v>28</v>
      </c>
      <c r="L166">
        <v>1.942803643909091</v>
      </c>
      <c r="M166">
        <v>1</v>
      </c>
      <c r="N166" s="2">
        <v>1.4572741901862805</v>
      </c>
      <c r="O166" s="2">
        <v>2.3542079250166035</v>
      </c>
      <c r="P166" s="1">
        <v>-0.77752011669449606</v>
      </c>
      <c r="Q166" s="1">
        <v>0.65174377694598584</v>
      </c>
      <c r="R166" s="1">
        <v>-0.48733586113566857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19">
        <v>0</v>
      </c>
      <c r="AD166" s="19">
        <v>0</v>
      </c>
      <c r="AE166" s="19">
        <v>0</v>
      </c>
      <c r="AF166" s="19">
        <v>0</v>
      </c>
      <c r="AG166" s="19">
        <v>0</v>
      </c>
      <c r="AH166" s="19">
        <v>0</v>
      </c>
      <c r="AI166" s="19">
        <v>0</v>
      </c>
      <c r="AJ166" s="19">
        <v>0</v>
      </c>
      <c r="AK166" s="19">
        <v>0</v>
      </c>
      <c r="AL166" s="19">
        <v>0</v>
      </c>
      <c r="AM166" s="19">
        <v>0</v>
      </c>
      <c r="AN166" s="19">
        <v>0</v>
      </c>
      <c r="AO166" s="19">
        <v>0</v>
      </c>
      <c r="AP166" s="19">
        <v>0</v>
      </c>
      <c r="AQ166" s="19">
        <v>0</v>
      </c>
      <c r="AR166" s="19">
        <v>0</v>
      </c>
    </row>
    <row r="167" spans="1:44" x14ac:dyDescent="0.25">
      <c r="A167" t="s">
        <v>131</v>
      </c>
      <c r="B167" t="s">
        <v>188</v>
      </c>
      <c r="C167" t="s">
        <v>45</v>
      </c>
      <c r="D167" t="s">
        <v>189</v>
      </c>
      <c r="E167" t="s">
        <v>148</v>
      </c>
      <c r="F167" t="s">
        <v>189</v>
      </c>
      <c r="G167" t="s">
        <v>28</v>
      </c>
      <c r="H167" t="s">
        <v>54</v>
      </c>
      <c r="I167" t="s">
        <v>135</v>
      </c>
      <c r="J167" t="s">
        <v>39</v>
      </c>
      <c r="K167" t="s">
        <v>28</v>
      </c>
      <c r="L167">
        <v>1.942803643909091</v>
      </c>
      <c r="M167">
        <v>1</v>
      </c>
      <c r="N167" s="2">
        <v>1.4572741901862805</v>
      </c>
      <c r="O167" s="2">
        <v>2.3542079250166035</v>
      </c>
      <c r="P167" s="1">
        <v>-0.77752011669449606</v>
      </c>
      <c r="Q167" s="1">
        <v>0.65174377694598584</v>
      </c>
      <c r="R167" s="1">
        <v>-0.48733586113566857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19">
        <v>0</v>
      </c>
      <c r="AI167" s="19">
        <v>0</v>
      </c>
      <c r="AJ167" s="19">
        <v>0</v>
      </c>
      <c r="AK167" s="19">
        <v>0</v>
      </c>
      <c r="AL167" s="19">
        <v>0</v>
      </c>
      <c r="AM167" s="19">
        <v>0</v>
      </c>
      <c r="AN167" s="19">
        <v>0</v>
      </c>
      <c r="AO167" s="19">
        <v>0</v>
      </c>
      <c r="AP167" s="19">
        <v>0</v>
      </c>
      <c r="AQ167" s="19">
        <v>0</v>
      </c>
      <c r="AR167" s="19">
        <v>0</v>
      </c>
    </row>
    <row r="168" spans="1:44" x14ac:dyDescent="0.25">
      <c r="A168" t="s">
        <v>131</v>
      </c>
      <c r="B168" t="s">
        <v>188</v>
      </c>
      <c r="C168" t="s">
        <v>45</v>
      </c>
      <c r="D168" t="s">
        <v>189</v>
      </c>
      <c r="E168" t="s">
        <v>134</v>
      </c>
      <c r="F168" t="s">
        <v>189</v>
      </c>
      <c r="G168" t="s">
        <v>28</v>
      </c>
      <c r="H168" t="s">
        <v>55</v>
      </c>
      <c r="I168" t="s">
        <v>135</v>
      </c>
      <c r="J168" t="s">
        <v>39</v>
      </c>
      <c r="K168" t="s">
        <v>28</v>
      </c>
      <c r="L168">
        <v>1.942803643909091</v>
      </c>
      <c r="M168">
        <v>1</v>
      </c>
      <c r="N168" s="2">
        <v>1.4572741901862805</v>
      </c>
      <c r="O168" s="2">
        <v>2.3542079250166035</v>
      </c>
      <c r="P168" s="1">
        <v>-0.77752011669449606</v>
      </c>
      <c r="Q168" s="1">
        <v>0.65174377694598584</v>
      </c>
      <c r="R168" s="1">
        <v>-0.48733586113566857</v>
      </c>
      <c r="S168" s="19">
        <v>0.3890259616915086</v>
      </c>
      <c r="T168" s="19">
        <v>0.78299540317372651</v>
      </c>
      <c r="U168" s="19">
        <v>1.3934562508871404</v>
      </c>
      <c r="V168" s="19">
        <v>2.2728626396052878</v>
      </c>
      <c r="W168" s="19">
        <v>3.45883131055741</v>
      </c>
      <c r="X168" s="19">
        <v>4.9651655604929639</v>
      </c>
      <c r="Y168" s="19">
        <v>6.7670680952332853</v>
      </c>
      <c r="Z168" s="19">
        <v>8.7858384174786082</v>
      </c>
      <c r="AA168" s="19">
        <v>10.878267348939817</v>
      </c>
      <c r="AB168" s="19">
        <v>12.836011094897172</v>
      </c>
      <c r="AC168" s="19">
        <v>14.403303190069462</v>
      </c>
      <c r="AD168" s="19">
        <v>15.317440001074006</v>
      </c>
      <c r="AE168" s="19">
        <v>15.369370184085009</v>
      </c>
      <c r="AF168" s="19">
        <v>14.470716464871542</v>
      </c>
      <c r="AG168" s="19">
        <v>12.702756230440034</v>
      </c>
      <c r="AH168" s="19">
        <v>10.484877879184353</v>
      </c>
      <c r="AI168" s="19">
        <v>8.0002852584299688</v>
      </c>
      <c r="AJ168" s="19">
        <v>5.5253199436061919</v>
      </c>
      <c r="AK168" s="19">
        <v>0.52229724321645332</v>
      </c>
      <c r="AL168" s="19">
        <v>9.1733709540591332E-2</v>
      </c>
      <c r="AM168" s="19">
        <v>0</v>
      </c>
      <c r="AN168" s="19">
        <v>0</v>
      </c>
      <c r="AO168" s="19">
        <v>0</v>
      </c>
      <c r="AP168" s="19">
        <v>0</v>
      </c>
      <c r="AQ168" s="19">
        <v>0</v>
      </c>
      <c r="AR168" s="19">
        <v>149.41762218747454</v>
      </c>
    </row>
    <row r="169" spans="1:44" x14ac:dyDescent="0.25">
      <c r="A169" t="s">
        <v>131</v>
      </c>
      <c r="B169" t="s">
        <v>188</v>
      </c>
      <c r="C169" t="s">
        <v>45</v>
      </c>
      <c r="D169" t="s">
        <v>189</v>
      </c>
      <c r="E169" t="s">
        <v>148</v>
      </c>
      <c r="F169" t="s">
        <v>189</v>
      </c>
      <c r="G169" t="s">
        <v>28</v>
      </c>
      <c r="H169" t="s">
        <v>55</v>
      </c>
      <c r="I169" t="s">
        <v>135</v>
      </c>
      <c r="J169" t="s">
        <v>39</v>
      </c>
      <c r="K169" t="s">
        <v>28</v>
      </c>
      <c r="L169">
        <v>1.942803643909091</v>
      </c>
      <c r="M169">
        <v>1</v>
      </c>
      <c r="N169" s="2">
        <v>1.4572741901862805</v>
      </c>
      <c r="O169" s="2">
        <v>2.3542079250166035</v>
      </c>
      <c r="P169" s="1">
        <v>-0.77752011669449606</v>
      </c>
      <c r="Q169" s="1">
        <v>0.65174377694598584</v>
      </c>
      <c r="R169" s="1">
        <v>-0.48733586113566857</v>
      </c>
      <c r="S169" s="19">
        <v>5.7561958187778619E-3</v>
      </c>
      <c r="T169" s="19">
        <v>3.6432453076826144E-3</v>
      </c>
      <c r="U169" s="19">
        <v>9.5389715785734585E-3</v>
      </c>
      <c r="V169" s="19">
        <v>1.8216480926357598E-2</v>
      </c>
      <c r="W169" s="19">
        <v>3.0582704571933111E-2</v>
      </c>
      <c r="X169" s="19">
        <v>4.728222801125101E-2</v>
      </c>
      <c r="Y169" s="19">
        <v>6.8156971728637203E-2</v>
      </c>
      <c r="Z169" s="19">
        <v>9.3742583260767787E-2</v>
      </c>
      <c r="AA169" s="19">
        <v>0.12322297903204828</v>
      </c>
      <c r="AB169" s="19">
        <v>0.15511813877517633</v>
      </c>
      <c r="AC169" s="19">
        <v>0.18753490451246868</v>
      </c>
      <c r="AD169" s="19">
        <v>0.21803224763011023</v>
      </c>
      <c r="AE169" s="19">
        <v>0.24403170099926261</v>
      </c>
      <c r="AF169" s="19">
        <v>0.26325655252710706</v>
      </c>
      <c r="AG169" s="19">
        <v>0.27417390378783263</v>
      </c>
      <c r="AH169" s="19">
        <v>0.27629588914176667</v>
      </c>
      <c r="AI169" s="19">
        <v>0.27022057818321837</v>
      </c>
      <c r="AJ169" s="19">
        <v>0.25809151321683271</v>
      </c>
      <c r="AK169" s="19">
        <v>0.24005685784016428</v>
      </c>
      <c r="AL169" s="19">
        <v>0.22010807760509643</v>
      </c>
      <c r="AM169" s="19">
        <v>0.1969600247288556</v>
      </c>
      <c r="AN169" s="19">
        <v>0.17286689233218652</v>
      </c>
      <c r="AO169" s="19">
        <v>0.14872033933164633</v>
      </c>
      <c r="AP169" s="19">
        <v>0.12452908689764595</v>
      </c>
      <c r="AQ169" s="19">
        <v>0.10030334202601726</v>
      </c>
      <c r="AR169" s="19">
        <v>3.750442409771416</v>
      </c>
    </row>
    <row r="170" spans="1:44" x14ac:dyDescent="0.25">
      <c r="A170" t="s">
        <v>131</v>
      </c>
      <c r="B170" t="s">
        <v>188</v>
      </c>
      <c r="C170" t="s">
        <v>45</v>
      </c>
      <c r="D170" t="s">
        <v>189</v>
      </c>
      <c r="E170" t="s">
        <v>134</v>
      </c>
      <c r="F170" t="s">
        <v>189</v>
      </c>
      <c r="G170" t="s">
        <v>28</v>
      </c>
      <c r="H170" t="s">
        <v>138</v>
      </c>
      <c r="I170" t="s">
        <v>135</v>
      </c>
      <c r="J170" t="s">
        <v>39</v>
      </c>
      <c r="K170" t="s">
        <v>28</v>
      </c>
      <c r="L170">
        <v>1.942803643909091</v>
      </c>
      <c r="M170">
        <v>1</v>
      </c>
      <c r="N170" s="2">
        <v>1.4572741901862805</v>
      </c>
      <c r="O170" s="2">
        <v>2.3542079250166035</v>
      </c>
      <c r="P170" s="1">
        <v>-0.77752011669449606</v>
      </c>
      <c r="Q170" s="1">
        <v>0.65174377694598584</v>
      </c>
      <c r="R170" s="1">
        <v>-0.48733586113566857</v>
      </c>
      <c r="S170" s="19">
        <v>115.04558667113432</v>
      </c>
      <c r="T170" s="19">
        <v>231.55309513855747</v>
      </c>
      <c r="U170" s="19">
        <v>412.08301673962421</v>
      </c>
      <c r="V170" s="19">
        <v>672.14746969418184</v>
      </c>
      <c r="W170" s="19">
        <v>1022.8707502948408</v>
      </c>
      <c r="X170" s="19">
        <v>1468.3348698439645</v>
      </c>
      <c r="Y170" s="19">
        <v>2001.2065921630792</v>
      </c>
      <c r="Z170" s="19">
        <v>2598.2120338234454</v>
      </c>
      <c r="AA170" s="19">
        <v>3217.000335100111</v>
      </c>
      <c r="AB170" s="19">
        <v>3795.9585537909529</v>
      </c>
      <c r="AC170" s="19">
        <v>4259.4495706632679</v>
      </c>
      <c r="AD170" s="19">
        <v>4529.7847566812497</v>
      </c>
      <c r="AE170" s="19">
        <v>4545.1419280753207</v>
      </c>
      <c r="AF170" s="19">
        <v>4279.3855145661009</v>
      </c>
      <c r="AG170" s="19">
        <v>3756.5514561474024</v>
      </c>
      <c r="AH170" s="19">
        <v>3100.6643400896992</v>
      </c>
      <c r="AI170" s="19">
        <v>2365.902540515699</v>
      </c>
      <c r="AJ170" s="19">
        <v>1633.9877978682675</v>
      </c>
      <c r="AK170" s="19">
        <v>154.45753928937313</v>
      </c>
      <c r="AL170" s="19">
        <v>27.128159739594871</v>
      </c>
      <c r="AM170" s="19">
        <v>0</v>
      </c>
      <c r="AN170" s="19">
        <v>0</v>
      </c>
      <c r="AO170" s="19">
        <v>0</v>
      </c>
      <c r="AP170" s="19">
        <v>0</v>
      </c>
      <c r="AQ170" s="19">
        <v>0</v>
      </c>
      <c r="AR170" s="19">
        <v>44186.86590689588</v>
      </c>
    </row>
    <row r="171" spans="1:44" x14ac:dyDescent="0.25">
      <c r="A171" t="s">
        <v>131</v>
      </c>
      <c r="B171" t="s">
        <v>188</v>
      </c>
      <c r="C171" t="s">
        <v>45</v>
      </c>
      <c r="D171" t="s">
        <v>189</v>
      </c>
      <c r="E171" t="s">
        <v>148</v>
      </c>
      <c r="F171" t="s">
        <v>189</v>
      </c>
      <c r="G171" t="s">
        <v>28</v>
      </c>
      <c r="H171" t="s">
        <v>138</v>
      </c>
      <c r="I171" t="s">
        <v>135</v>
      </c>
      <c r="J171" t="s">
        <v>39</v>
      </c>
      <c r="K171" t="s">
        <v>28</v>
      </c>
      <c r="L171">
        <v>1.942803643909091</v>
      </c>
      <c r="M171">
        <v>1</v>
      </c>
      <c r="N171" s="2">
        <v>1.4572741901862805</v>
      </c>
      <c r="O171" s="2">
        <v>2.3542079250166035</v>
      </c>
      <c r="P171" s="1">
        <v>-0.77752011669449606</v>
      </c>
      <c r="Q171" s="1">
        <v>0.65174377694598584</v>
      </c>
      <c r="R171" s="1">
        <v>-0.48733586113566857</v>
      </c>
      <c r="S171" s="19">
        <v>1.7022640907713071</v>
      </c>
      <c r="T171" s="19">
        <v>1.0774069987174135</v>
      </c>
      <c r="U171" s="19">
        <v>2.820934049554495</v>
      </c>
      <c r="V171" s="19">
        <v>5.3871102230401187</v>
      </c>
      <c r="W171" s="19">
        <v>9.0441398156816781</v>
      </c>
      <c r="X171" s="19">
        <v>13.982644338236316</v>
      </c>
      <c r="Y171" s="19">
        <v>20.155875366659679</v>
      </c>
      <c r="Z171" s="19">
        <v>27.722238486116147</v>
      </c>
      <c r="AA171" s="19">
        <v>36.440395526477495</v>
      </c>
      <c r="AB171" s="19">
        <v>45.87266413051357</v>
      </c>
      <c r="AC171" s="19">
        <v>55.459185852641653</v>
      </c>
      <c r="AD171" s="19">
        <v>64.478081958250286</v>
      </c>
      <c r="AE171" s="19">
        <v>72.166829395509126</v>
      </c>
      <c r="AF171" s="19">
        <v>77.852142306425549</v>
      </c>
      <c r="AG171" s="19">
        <v>81.080700820165447</v>
      </c>
      <c r="AH171" s="19">
        <v>81.70822976165131</v>
      </c>
      <c r="AI171" s="19">
        <v>79.911594620909682</v>
      </c>
      <c r="AJ171" s="19">
        <v>76.324699317669541</v>
      </c>
      <c r="AK171" s="19">
        <v>70.991359868549949</v>
      </c>
      <c r="AL171" s="19">
        <v>65.091961495397683</v>
      </c>
      <c r="AM171" s="19">
        <v>58.2464509493607</v>
      </c>
      <c r="AN171" s="19">
        <v>51.121454614236882</v>
      </c>
      <c r="AO171" s="19">
        <v>43.980660349621942</v>
      </c>
      <c r="AP171" s="19">
        <v>36.826647243458872</v>
      </c>
      <c r="AQ171" s="19">
        <v>29.662433782784348</v>
      </c>
      <c r="AR171" s="19">
        <v>1109.1081053624011</v>
      </c>
    </row>
    <row r="172" spans="1:44" x14ac:dyDescent="0.25">
      <c r="A172" t="s">
        <v>131</v>
      </c>
      <c r="B172" t="s">
        <v>188</v>
      </c>
      <c r="C172" t="s">
        <v>45</v>
      </c>
      <c r="D172" t="s">
        <v>189</v>
      </c>
      <c r="E172" t="s">
        <v>134</v>
      </c>
      <c r="F172" t="s">
        <v>189</v>
      </c>
      <c r="G172" t="s">
        <v>28</v>
      </c>
      <c r="H172" t="s">
        <v>141</v>
      </c>
      <c r="I172" t="s">
        <v>135</v>
      </c>
      <c r="J172" t="s">
        <v>39</v>
      </c>
      <c r="K172" t="s">
        <v>28</v>
      </c>
      <c r="L172">
        <v>1.942803643909091</v>
      </c>
      <c r="M172">
        <v>1</v>
      </c>
      <c r="N172" s="2">
        <v>1.4572741901862805</v>
      </c>
      <c r="O172" s="2">
        <v>2.3542079250166035</v>
      </c>
      <c r="P172" s="1">
        <v>-0.77752011669449606</v>
      </c>
      <c r="Q172" s="1">
        <v>0.65174377694598584</v>
      </c>
      <c r="R172" s="1">
        <v>-0.48733586113566857</v>
      </c>
      <c r="S172" s="19">
        <v>4.4998209169430652</v>
      </c>
      <c r="T172" s="19">
        <v>9.3796212911171875</v>
      </c>
      <c r="U172" s="19">
        <v>16.926311846954935</v>
      </c>
      <c r="V172" s="19">
        <v>28.059434554267341</v>
      </c>
      <c r="W172" s="19">
        <v>43.383468886797203</v>
      </c>
      <c r="X172" s="19">
        <v>63.212690165858113</v>
      </c>
      <c r="Y172" s="19">
        <v>87.343443127186944</v>
      </c>
      <c r="Z172" s="19">
        <v>114.80490340578044</v>
      </c>
      <c r="AA172" s="19">
        <v>143.70413566746257</v>
      </c>
      <c r="AB172" s="19">
        <v>171.17453899224603</v>
      </c>
      <c r="AC172" s="19">
        <v>193.61034845199413</v>
      </c>
      <c r="AD172" s="19">
        <v>207.24333036320789</v>
      </c>
      <c r="AE172" s="19">
        <v>209.01802689550911</v>
      </c>
      <c r="AF172" s="19">
        <v>197.56708087184597</v>
      </c>
      <c r="AG172" s="19">
        <v>173.92483039306231</v>
      </c>
      <c r="AH172" s="19">
        <v>143.84680396859906</v>
      </c>
      <c r="AI172" s="19">
        <v>109.91192806406988</v>
      </c>
      <c r="AJ172" s="19">
        <v>75.98297879752802</v>
      </c>
      <c r="AK172" s="19">
        <v>13.76775013151468</v>
      </c>
      <c r="AL172" s="19">
        <v>6.1040668503389712</v>
      </c>
      <c r="AM172" s="19">
        <v>0</v>
      </c>
      <c r="AN172" s="19">
        <v>0</v>
      </c>
      <c r="AO172" s="19">
        <v>0</v>
      </c>
      <c r="AP172" s="19">
        <v>0</v>
      </c>
      <c r="AQ172" s="19">
        <v>0</v>
      </c>
      <c r="AR172" s="19">
        <v>2013.4655136422839</v>
      </c>
    </row>
    <row r="173" spans="1:44" x14ac:dyDescent="0.25">
      <c r="A173" t="s">
        <v>131</v>
      </c>
      <c r="B173" t="s">
        <v>188</v>
      </c>
      <c r="C173" t="s">
        <v>45</v>
      </c>
      <c r="D173" t="s">
        <v>189</v>
      </c>
      <c r="E173" t="s">
        <v>148</v>
      </c>
      <c r="F173" t="s">
        <v>189</v>
      </c>
      <c r="G173" t="s">
        <v>28</v>
      </c>
      <c r="H173" t="s">
        <v>141</v>
      </c>
      <c r="I173" t="s">
        <v>135</v>
      </c>
      <c r="J173" t="s">
        <v>39</v>
      </c>
      <c r="K173" t="s">
        <v>28</v>
      </c>
      <c r="L173">
        <v>1.942803643909091</v>
      </c>
      <c r="M173">
        <v>1</v>
      </c>
      <c r="N173" s="2">
        <v>1.4572741901862805</v>
      </c>
      <c r="O173" s="2">
        <v>2.3542079250166035</v>
      </c>
      <c r="P173" s="1">
        <v>-0.77752011669449606</v>
      </c>
      <c r="Q173" s="1">
        <v>0.65174377694598584</v>
      </c>
      <c r="R173" s="1">
        <v>-0.48733586113566857</v>
      </c>
      <c r="S173" s="19">
        <v>0.3830239097211513</v>
      </c>
      <c r="T173" s="19">
        <v>0.24242574536286543</v>
      </c>
      <c r="U173" s="19">
        <v>0.63473417232005791</v>
      </c>
      <c r="V173" s="19">
        <v>1.2121456540815994</v>
      </c>
      <c r="W173" s="19">
        <v>2.0350084402576512</v>
      </c>
      <c r="X173" s="19">
        <v>3.1462139932969468</v>
      </c>
      <c r="Y173" s="19">
        <v>4.5352435198771994</v>
      </c>
      <c r="Z173" s="19">
        <v>6.2377396249738988</v>
      </c>
      <c r="AA173" s="19">
        <v>8.1993991660907835</v>
      </c>
      <c r="AB173" s="19">
        <v>10.321739887395005</v>
      </c>
      <c r="AC173" s="19">
        <v>12.478788873238615</v>
      </c>
      <c r="AD173" s="19">
        <v>14.508117263861015</v>
      </c>
      <c r="AE173" s="19">
        <v>16.238150882171727</v>
      </c>
      <c r="AF173" s="19">
        <v>17.517394679261326</v>
      </c>
      <c r="AG173" s="19">
        <v>18.243847825632823</v>
      </c>
      <c r="AH173" s="19">
        <v>18.38504717885516</v>
      </c>
      <c r="AI173" s="19">
        <v>17.980788979625167</v>
      </c>
      <c r="AJ173" s="19">
        <v>17.17370700553214</v>
      </c>
      <c r="AK173" s="19">
        <v>15.973660233267886</v>
      </c>
      <c r="AL173" s="19">
        <v>14.646245384926631</v>
      </c>
      <c r="AM173" s="19">
        <v>13.105947244588211</v>
      </c>
      <c r="AN173" s="19">
        <v>11.502762422782933</v>
      </c>
      <c r="AO173" s="19">
        <v>9.8960229323740645</v>
      </c>
      <c r="AP173" s="19">
        <v>8.2863090901012004</v>
      </c>
      <c r="AQ173" s="19">
        <v>6.6743000812401947</v>
      </c>
      <c r="AR173" s="19">
        <v>249.55876419083623</v>
      </c>
    </row>
    <row r="174" spans="1:44" x14ac:dyDescent="0.25">
      <c r="A174" t="s">
        <v>131</v>
      </c>
      <c r="B174" t="s">
        <v>188</v>
      </c>
      <c r="C174" t="s">
        <v>45</v>
      </c>
      <c r="D174" t="s">
        <v>189</v>
      </c>
      <c r="E174" t="s">
        <v>134</v>
      </c>
      <c r="F174" t="s">
        <v>189</v>
      </c>
      <c r="G174" t="s">
        <v>28</v>
      </c>
      <c r="H174" t="s">
        <v>142</v>
      </c>
      <c r="I174" t="s">
        <v>135</v>
      </c>
      <c r="J174" t="s">
        <v>39</v>
      </c>
      <c r="K174" t="s">
        <v>28</v>
      </c>
      <c r="L174">
        <v>1.942803643909091</v>
      </c>
      <c r="M174">
        <v>1</v>
      </c>
      <c r="N174" s="2">
        <v>1.4572741901862805</v>
      </c>
      <c r="O174" s="2">
        <v>2.3542079250166035</v>
      </c>
      <c r="P174" s="1">
        <v>-0.77752011669449606</v>
      </c>
      <c r="Q174" s="1">
        <v>0.65174377694598584</v>
      </c>
      <c r="R174" s="1">
        <v>-0.48733586113566857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19">
        <v>0</v>
      </c>
      <c r="AI174" s="19">
        <v>0</v>
      </c>
      <c r="AJ174" s="19">
        <v>0</v>
      </c>
      <c r="AK174" s="19">
        <v>0</v>
      </c>
      <c r="AL174" s="19">
        <v>0</v>
      </c>
      <c r="AM174" s="19">
        <v>0</v>
      </c>
      <c r="AN174" s="19">
        <v>0</v>
      </c>
      <c r="AO174" s="19">
        <v>0</v>
      </c>
      <c r="AP174" s="19">
        <v>0</v>
      </c>
      <c r="AQ174" s="19">
        <v>0</v>
      </c>
      <c r="AR174" s="19">
        <v>0</v>
      </c>
    </row>
    <row r="175" spans="1:44" x14ac:dyDescent="0.25">
      <c r="A175" t="s">
        <v>131</v>
      </c>
      <c r="B175" t="s">
        <v>188</v>
      </c>
      <c r="C175" t="s">
        <v>45</v>
      </c>
      <c r="D175" t="s">
        <v>189</v>
      </c>
      <c r="E175" t="s">
        <v>148</v>
      </c>
      <c r="F175" t="s">
        <v>189</v>
      </c>
      <c r="G175" t="s">
        <v>28</v>
      </c>
      <c r="H175" t="s">
        <v>142</v>
      </c>
      <c r="I175" t="s">
        <v>135</v>
      </c>
      <c r="J175" t="s">
        <v>39</v>
      </c>
      <c r="K175" t="s">
        <v>28</v>
      </c>
      <c r="L175">
        <v>1.942803643909091</v>
      </c>
      <c r="M175">
        <v>1</v>
      </c>
      <c r="N175" s="2">
        <v>1.4572741901862805</v>
      </c>
      <c r="O175" s="2">
        <v>2.3542079250166035</v>
      </c>
      <c r="P175" s="1">
        <v>-0.77752011669449606</v>
      </c>
      <c r="Q175" s="1">
        <v>0.65174377694598584</v>
      </c>
      <c r="R175" s="1">
        <v>-0.48733586113566857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19">
        <v>0</v>
      </c>
      <c r="AI175" s="19">
        <v>0</v>
      </c>
      <c r="AJ175" s="19">
        <v>0</v>
      </c>
      <c r="AK175" s="19">
        <v>0</v>
      </c>
      <c r="AL175" s="19">
        <v>0</v>
      </c>
      <c r="AM175" s="19">
        <v>0</v>
      </c>
      <c r="AN175" s="19">
        <v>0</v>
      </c>
      <c r="AO175" s="19">
        <v>0</v>
      </c>
      <c r="AP175" s="19">
        <v>0</v>
      </c>
      <c r="AQ175" s="19">
        <v>0</v>
      </c>
      <c r="AR175" s="19">
        <v>0</v>
      </c>
    </row>
    <row r="176" spans="1:44" x14ac:dyDescent="0.25">
      <c r="A176" t="s">
        <v>131</v>
      </c>
      <c r="B176" t="s">
        <v>188</v>
      </c>
      <c r="C176" t="s">
        <v>45</v>
      </c>
      <c r="D176" t="s">
        <v>189</v>
      </c>
      <c r="E176" t="s">
        <v>134</v>
      </c>
      <c r="F176" t="s">
        <v>189</v>
      </c>
      <c r="G176" t="s">
        <v>28</v>
      </c>
      <c r="H176" t="s">
        <v>136</v>
      </c>
      <c r="I176" t="s">
        <v>135</v>
      </c>
      <c r="J176" t="s">
        <v>39</v>
      </c>
      <c r="K176" t="s">
        <v>28</v>
      </c>
      <c r="L176">
        <v>1.942803643909091</v>
      </c>
      <c r="M176">
        <v>1</v>
      </c>
      <c r="N176" s="2">
        <v>1.4572741901862805</v>
      </c>
      <c r="O176" s="2">
        <v>2.3542079250166035</v>
      </c>
      <c r="P176" s="1">
        <v>-0.77752011669449606</v>
      </c>
      <c r="Q176" s="1">
        <v>0.65174377694598584</v>
      </c>
      <c r="R176" s="1">
        <v>-0.48733586113566857</v>
      </c>
      <c r="S176" s="19">
        <v>0.48844370745711646</v>
      </c>
      <c r="T176" s="19">
        <v>0.98309422842923444</v>
      </c>
      <c r="U176" s="19">
        <v>1.7495617372249648</v>
      </c>
      <c r="V176" s="19">
        <v>2.853705314171084</v>
      </c>
      <c r="W176" s="19">
        <v>4.342754867699858</v>
      </c>
      <c r="X176" s="19">
        <v>6.2340412037300545</v>
      </c>
      <c r="Y176" s="19">
        <v>8.4964299417929041</v>
      </c>
      <c r="Z176" s="19">
        <v>11.031108235278694</v>
      </c>
      <c r="AA176" s="19">
        <v>13.658269004779994</v>
      </c>
      <c r="AB176" s="19">
        <v>16.116325041370889</v>
      </c>
      <c r="AC176" s="19">
        <v>18.084147338642765</v>
      </c>
      <c r="AD176" s="19">
        <v>19.231896890237358</v>
      </c>
      <c r="AE176" s="19">
        <v>19.297098120017843</v>
      </c>
      <c r="AF176" s="19">
        <v>18.168788450338713</v>
      </c>
      <c r="AG176" s="19">
        <v>15.949016155996928</v>
      </c>
      <c r="AH176" s="19">
        <v>13.164346670531463</v>
      </c>
      <c r="AI176" s="19">
        <v>10.044802602250961</v>
      </c>
      <c r="AJ176" s="19">
        <v>6.9373461514166648</v>
      </c>
      <c r="AK176" s="19">
        <v>0.65577320537178418</v>
      </c>
      <c r="AL176" s="19">
        <v>0.1151767686454091</v>
      </c>
      <c r="AM176" s="19">
        <v>0</v>
      </c>
      <c r="AN176" s="19">
        <v>0</v>
      </c>
      <c r="AO176" s="19">
        <v>0</v>
      </c>
      <c r="AP176" s="19">
        <v>0</v>
      </c>
      <c r="AQ176" s="19">
        <v>0</v>
      </c>
      <c r="AR176" s="19">
        <v>187.60212563538471</v>
      </c>
    </row>
    <row r="177" spans="1:44" x14ac:dyDescent="0.25">
      <c r="A177" t="s">
        <v>131</v>
      </c>
      <c r="B177" t="s">
        <v>188</v>
      </c>
      <c r="C177" t="s">
        <v>45</v>
      </c>
      <c r="D177" t="s">
        <v>189</v>
      </c>
      <c r="E177" t="s">
        <v>148</v>
      </c>
      <c r="F177" t="s">
        <v>189</v>
      </c>
      <c r="G177" t="s">
        <v>28</v>
      </c>
      <c r="H177" t="s">
        <v>136</v>
      </c>
      <c r="I177" t="s">
        <v>135</v>
      </c>
      <c r="J177" t="s">
        <v>39</v>
      </c>
      <c r="K177" t="s">
        <v>28</v>
      </c>
      <c r="L177">
        <v>1.942803643909091</v>
      </c>
      <c r="M177">
        <v>1</v>
      </c>
      <c r="N177" s="2">
        <v>1.4572741901862805</v>
      </c>
      <c r="O177" s="2">
        <v>2.3542079250166035</v>
      </c>
      <c r="P177" s="1">
        <v>-0.77752011669449606</v>
      </c>
      <c r="Q177" s="1">
        <v>0.65174377694598584</v>
      </c>
      <c r="R177" s="1">
        <v>-0.48733586113566857</v>
      </c>
      <c r="S177" s="19">
        <v>7.2272236391322034E-3</v>
      </c>
      <c r="T177" s="19">
        <v>4.5742968863126156E-3</v>
      </c>
      <c r="U177" s="19">
        <v>1.1976708759764455E-2</v>
      </c>
      <c r="V177" s="19">
        <v>2.2871803829760097E-2</v>
      </c>
      <c r="W177" s="19">
        <v>3.839828462920495E-2</v>
      </c>
      <c r="X177" s="19">
        <v>5.9365464058570683E-2</v>
      </c>
      <c r="Y177" s="19">
        <v>8.5574864503733306E-2</v>
      </c>
      <c r="Z177" s="19">
        <v>0.11769902120518612</v>
      </c>
      <c r="AA177" s="19">
        <v>0.15471329589579377</v>
      </c>
      <c r="AB177" s="19">
        <v>0.19475944090661049</v>
      </c>
      <c r="AC177" s="19">
        <v>0.23546049122121043</v>
      </c>
      <c r="AD177" s="19">
        <v>0.2737515998022495</v>
      </c>
      <c r="AE177" s="19">
        <v>0.3063953579212973</v>
      </c>
      <c r="AF177" s="19">
        <v>0.33053322706181382</v>
      </c>
      <c r="AG177" s="19">
        <v>0.34424056808916659</v>
      </c>
      <c r="AH177" s="19">
        <v>0.3469048385891047</v>
      </c>
      <c r="AI177" s="19">
        <v>0.339276948163373</v>
      </c>
      <c r="AJ177" s="19">
        <v>0.32404823326113819</v>
      </c>
      <c r="AK177" s="19">
        <v>0.30140472151042713</v>
      </c>
      <c r="AL177" s="19">
        <v>0.27635791965973339</v>
      </c>
      <c r="AM177" s="19">
        <v>0.24729425327066995</v>
      </c>
      <c r="AN177" s="19">
        <v>0.21704398703930508</v>
      </c>
      <c r="AO177" s="19">
        <v>0.18672664827195609</v>
      </c>
      <c r="AP177" s="19">
        <v>0.15635318688259853</v>
      </c>
      <c r="AQ177" s="19">
        <v>0.12593641832155336</v>
      </c>
      <c r="AR177" s="19">
        <v>4.7088888033796659</v>
      </c>
    </row>
    <row r="178" spans="1:44" x14ac:dyDescent="0.25">
      <c r="A178" t="s">
        <v>131</v>
      </c>
      <c r="B178" t="s">
        <v>190</v>
      </c>
      <c r="C178" t="s">
        <v>44</v>
      </c>
      <c r="D178" t="s">
        <v>191</v>
      </c>
      <c r="E178" t="s">
        <v>134</v>
      </c>
      <c r="F178" t="s">
        <v>192</v>
      </c>
      <c r="G178" t="s">
        <v>28</v>
      </c>
      <c r="H178" t="s">
        <v>52</v>
      </c>
      <c r="I178" t="s">
        <v>135</v>
      </c>
      <c r="J178" t="s">
        <v>39</v>
      </c>
      <c r="K178" t="s">
        <v>28</v>
      </c>
      <c r="L178">
        <v>0.11</v>
      </c>
      <c r="M178">
        <v>1</v>
      </c>
      <c r="N178" s="2">
        <v>2.8725566782435208</v>
      </c>
      <c r="O178" s="2">
        <v>3.8323065028823287</v>
      </c>
      <c r="P178" s="1">
        <v>-1.2779614084288315</v>
      </c>
      <c r="Q178" s="1">
        <v>0.97128060153331008</v>
      </c>
      <c r="R178" s="1">
        <v>-1.5212056234454441</v>
      </c>
      <c r="S178" s="19">
        <v>1576.6168613819543</v>
      </c>
      <c r="T178" s="19">
        <v>2562.8889697600939</v>
      </c>
      <c r="U178" s="19">
        <v>3887.1017969636814</v>
      </c>
      <c r="V178" s="19">
        <v>5562.0619521917652</v>
      </c>
      <c r="W178" s="19">
        <v>7557.916571487257</v>
      </c>
      <c r="X178" s="19">
        <v>9786.0302185913897</v>
      </c>
      <c r="Y178" s="19">
        <v>12087.430265924721</v>
      </c>
      <c r="Z178" s="19">
        <v>14232.957884087768</v>
      </c>
      <c r="AA178" s="19">
        <v>15942.848367031916</v>
      </c>
      <c r="AB178" s="19">
        <v>16930.830707311728</v>
      </c>
      <c r="AC178" s="19">
        <v>16969.968722728034</v>
      </c>
      <c r="AD178" s="19">
        <v>15965.429249438215</v>
      </c>
      <c r="AE178" s="19">
        <v>14007.758892825705</v>
      </c>
      <c r="AF178" s="19">
        <v>11558.628311446904</v>
      </c>
      <c r="AG178" s="19">
        <v>8818.3809689983864</v>
      </c>
      <c r="AH178" s="19">
        <v>6042.0174725966344</v>
      </c>
      <c r="AI178" s="19">
        <v>0</v>
      </c>
      <c r="AJ178" s="19">
        <v>0</v>
      </c>
      <c r="AK178" s="19">
        <v>0</v>
      </c>
      <c r="AL178" s="19">
        <v>0</v>
      </c>
      <c r="AM178" s="19">
        <v>0</v>
      </c>
      <c r="AN178" s="19">
        <v>0</v>
      </c>
      <c r="AO178" s="19">
        <v>0</v>
      </c>
      <c r="AP178" s="19">
        <v>0</v>
      </c>
      <c r="AQ178" s="19">
        <v>0</v>
      </c>
      <c r="AR178" s="19">
        <v>163488.86721276617</v>
      </c>
    </row>
    <row r="179" spans="1:44" x14ac:dyDescent="0.25">
      <c r="A179" t="s">
        <v>131</v>
      </c>
      <c r="B179" t="s">
        <v>190</v>
      </c>
      <c r="C179" t="s">
        <v>44</v>
      </c>
      <c r="D179" t="s">
        <v>191</v>
      </c>
      <c r="E179" t="s">
        <v>134</v>
      </c>
      <c r="F179" t="s">
        <v>192</v>
      </c>
      <c r="G179" t="s">
        <v>28</v>
      </c>
      <c r="H179" t="s">
        <v>138</v>
      </c>
      <c r="I179" t="s">
        <v>135</v>
      </c>
      <c r="J179" t="s">
        <v>39</v>
      </c>
      <c r="K179" t="s">
        <v>28</v>
      </c>
      <c r="L179">
        <v>0.11</v>
      </c>
      <c r="M179">
        <v>1</v>
      </c>
      <c r="N179" s="2">
        <v>2.8725566782435208</v>
      </c>
      <c r="O179" s="2">
        <v>3.8323065028823287</v>
      </c>
      <c r="P179" s="1">
        <v>-1.2779614084288315</v>
      </c>
      <c r="Q179" s="1">
        <v>0.97128060153331008</v>
      </c>
      <c r="R179" s="1">
        <v>-1.5212056234454441</v>
      </c>
      <c r="S179" s="19">
        <v>546.90168803722599</v>
      </c>
      <c r="T179" s="19">
        <v>889.02277918377297</v>
      </c>
      <c r="U179" s="19">
        <v>1348.3697824140902</v>
      </c>
      <c r="V179" s="19">
        <v>1929.3850935699008</v>
      </c>
      <c r="W179" s="19">
        <v>2621.7132597248874</v>
      </c>
      <c r="X179" s="19">
        <v>3394.6081491477521</v>
      </c>
      <c r="Y179" s="19">
        <v>4192.9248496505697</v>
      </c>
      <c r="Z179" s="19">
        <v>4937.1720442894402</v>
      </c>
      <c r="AA179" s="19">
        <v>5530.3040945589401</v>
      </c>
      <c r="AB179" s="19">
        <v>5873.0184361881302</v>
      </c>
      <c r="AC179" s="19">
        <v>5886.5947509047219</v>
      </c>
      <c r="AD179" s="19">
        <v>5538.1370202416902</v>
      </c>
      <c r="AE179" s="19">
        <v>4859.0543281326136</v>
      </c>
      <c r="AF179" s="19">
        <v>4009.4924072956105</v>
      </c>
      <c r="AG179" s="19">
        <v>3058.9470123218398</v>
      </c>
      <c r="AH179" s="19">
        <v>2095.8735351955738</v>
      </c>
      <c r="AI179" s="19">
        <v>0</v>
      </c>
      <c r="AJ179" s="19">
        <v>0</v>
      </c>
      <c r="AK179" s="19">
        <v>0</v>
      </c>
      <c r="AL179" s="19">
        <v>0</v>
      </c>
      <c r="AM179" s="19">
        <v>0</v>
      </c>
      <c r="AN179" s="19">
        <v>0</v>
      </c>
      <c r="AO179" s="19">
        <v>0</v>
      </c>
      <c r="AP179" s="19">
        <v>0</v>
      </c>
      <c r="AQ179" s="19">
        <v>0</v>
      </c>
      <c r="AR179" s="19">
        <v>56711.519230856757</v>
      </c>
    </row>
    <row r="180" spans="1:44" x14ac:dyDescent="0.25">
      <c r="A180" t="s">
        <v>131</v>
      </c>
      <c r="B180" t="s">
        <v>193</v>
      </c>
      <c r="C180" t="s">
        <v>44</v>
      </c>
      <c r="D180" t="s">
        <v>191</v>
      </c>
      <c r="E180" t="s">
        <v>134</v>
      </c>
      <c r="F180" t="s">
        <v>192</v>
      </c>
      <c r="G180" t="s">
        <v>28</v>
      </c>
      <c r="H180" t="s">
        <v>53</v>
      </c>
      <c r="I180" t="s">
        <v>135</v>
      </c>
      <c r="J180" t="s">
        <v>39</v>
      </c>
      <c r="K180" t="s">
        <v>28</v>
      </c>
      <c r="L180">
        <v>0.11</v>
      </c>
      <c r="M180">
        <v>1</v>
      </c>
      <c r="N180" s="2">
        <v>2.8725566782435208</v>
      </c>
      <c r="O180" s="2">
        <v>3.8323065028823287</v>
      </c>
      <c r="P180" s="1">
        <v>-1.2779614084288315</v>
      </c>
      <c r="Q180" s="1">
        <v>0.97128060153331008</v>
      </c>
      <c r="R180" s="1">
        <v>-1.5212056234454441</v>
      </c>
      <c r="S180" s="19">
        <v>85.190155401089797</v>
      </c>
      <c r="T180" s="19">
        <v>138.48190702351471</v>
      </c>
      <c r="U180" s="19">
        <v>210.03378452576891</v>
      </c>
      <c r="V180" s="19">
        <v>300.5377740552488</v>
      </c>
      <c r="W180" s="19">
        <v>408.38082035295997</v>
      </c>
      <c r="X180" s="19">
        <v>528.77363898723002</v>
      </c>
      <c r="Y180" s="19">
        <v>653.12637964011901</v>
      </c>
      <c r="Z180" s="19">
        <v>769.05678460130252</v>
      </c>
      <c r="AA180" s="19">
        <v>861.44818261868511</v>
      </c>
      <c r="AB180" s="19">
        <v>914.83234408718204</v>
      </c>
      <c r="AC180" s="19">
        <v>916.94710874375392</v>
      </c>
      <c r="AD180" s="19">
        <v>862.66830713238608</v>
      </c>
      <c r="AE180" s="19">
        <v>756.88849087585811</v>
      </c>
      <c r="AF180" s="19">
        <v>624.55334976723123</v>
      </c>
      <c r="AG180" s="19">
        <v>476.48814593832321</v>
      </c>
      <c r="AH180" s="19">
        <v>326.47145925830392</v>
      </c>
      <c r="AI180" s="19">
        <v>0</v>
      </c>
      <c r="AJ180" s="19">
        <v>0</v>
      </c>
      <c r="AK180" s="19">
        <v>0</v>
      </c>
      <c r="AL180" s="19">
        <v>0</v>
      </c>
      <c r="AM180" s="19">
        <v>0</v>
      </c>
      <c r="AN180" s="19">
        <v>0</v>
      </c>
      <c r="AO180" s="19">
        <v>0</v>
      </c>
      <c r="AP180" s="19">
        <v>0</v>
      </c>
      <c r="AQ180" s="19">
        <v>0</v>
      </c>
      <c r="AR180" s="19">
        <v>8833.8786330089588</v>
      </c>
    </row>
    <row r="181" spans="1:44" x14ac:dyDescent="0.25">
      <c r="A181" t="s">
        <v>131</v>
      </c>
      <c r="B181" t="s">
        <v>193</v>
      </c>
      <c r="C181" t="s">
        <v>44</v>
      </c>
      <c r="D181" t="s">
        <v>191</v>
      </c>
      <c r="E181" t="s">
        <v>134</v>
      </c>
      <c r="F181" t="s">
        <v>192</v>
      </c>
      <c r="G181" t="s">
        <v>28</v>
      </c>
      <c r="H181" t="s">
        <v>141</v>
      </c>
      <c r="I181" t="s">
        <v>135</v>
      </c>
      <c r="J181" t="s">
        <v>39</v>
      </c>
      <c r="K181" t="s">
        <v>28</v>
      </c>
      <c r="L181">
        <v>0.11</v>
      </c>
      <c r="M181">
        <v>1</v>
      </c>
      <c r="N181" s="2">
        <v>2.8725566782435208</v>
      </c>
      <c r="O181" s="2">
        <v>3.8323065028823287</v>
      </c>
      <c r="P181" s="1">
        <v>-1.2779614084288315</v>
      </c>
      <c r="Q181" s="1">
        <v>0.97128060153331008</v>
      </c>
      <c r="R181" s="1">
        <v>-1.5212056234454441</v>
      </c>
      <c r="S181" s="19">
        <v>71.70171412925059</v>
      </c>
      <c r="T181" s="19">
        <v>116.55560507812486</v>
      </c>
      <c r="U181" s="19">
        <v>176.77843530918884</v>
      </c>
      <c r="V181" s="19">
        <v>252.95262649650113</v>
      </c>
      <c r="W181" s="19">
        <v>343.72052379707446</v>
      </c>
      <c r="X181" s="19">
        <v>445.05114614758537</v>
      </c>
      <c r="Y181" s="19">
        <v>549.71470286376677</v>
      </c>
      <c r="Z181" s="19">
        <v>647.28946037276285</v>
      </c>
      <c r="AA181" s="19">
        <v>725.05222037072645</v>
      </c>
      <c r="AB181" s="19">
        <v>769.98388960671173</v>
      </c>
      <c r="AC181" s="19">
        <v>771.76381652599264</v>
      </c>
      <c r="AD181" s="19">
        <v>726.07915850309132</v>
      </c>
      <c r="AE181" s="19">
        <v>637.04781315384719</v>
      </c>
      <c r="AF181" s="19">
        <v>525.6657360540861</v>
      </c>
      <c r="AG181" s="19">
        <v>401.0441894980886</v>
      </c>
      <c r="AH181" s="19">
        <v>274.78014487573716</v>
      </c>
      <c r="AI181" s="19">
        <v>0</v>
      </c>
      <c r="AJ181" s="19">
        <v>0</v>
      </c>
      <c r="AK181" s="19">
        <v>0</v>
      </c>
      <c r="AL181" s="19">
        <v>0</v>
      </c>
      <c r="AM181" s="19">
        <v>0</v>
      </c>
      <c r="AN181" s="19">
        <v>0</v>
      </c>
      <c r="AO181" s="19">
        <v>0</v>
      </c>
      <c r="AP181" s="19">
        <v>0</v>
      </c>
      <c r="AQ181" s="19">
        <v>0</v>
      </c>
      <c r="AR181" s="19">
        <v>7435.181182782535</v>
      </c>
    </row>
    <row r="182" spans="1:44" x14ac:dyDescent="0.25">
      <c r="A182" t="s">
        <v>131</v>
      </c>
      <c r="B182" t="s">
        <v>194</v>
      </c>
      <c r="C182" t="s">
        <v>44</v>
      </c>
      <c r="D182" t="s">
        <v>191</v>
      </c>
      <c r="E182" t="s">
        <v>134</v>
      </c>
      <c r="F182" t="s">
        <v>192</v>
      </c>
      <c r="G182" t="s">
        <v>28</v>
      </c>
      <c r="H182" t="s">
        <v>55</v>
      </c>
      <c r="I182" t="s">
        <v>135</v>
      </c>
      <c r="J182" t="s">
        <v>39</v>
      </c>
      <c r="K182" t="s">
        <v>28</v>
      </c>
      <c r="L182">
        <v>0.04</v>
      </c>
      <c r="M182">
        <v>1</v>
      </c>
      <c r="N182" s="2">
        <v>1.3188966528496373</v>
      </c>
      <c r="O182" s="2">
        <v>3.8461052289768833</v>
      </c>
      <c r="P182" s="1">
        <v>-0.13956329883334065</v>
      </c>
      <c r="Q182" s="1">
        <v>2.1230659331929727</v>
      </c>
      <c r="R182" s="1">
        <v>-1.5345928455096165</v>
      </c>
      <c r="S182" s="19">
        <v>4.7712506503308205</v>
      </c>
      <c r="T182" s="19">
        <v>7.755965297095166</v>
      </c>
      <c r="U182" s="19">
        <v>11.763376017943015</v>
      </c>
      <c r="V182" s="19">
        <v>16.83223892665583</v>
      </c>
      <c r="W182" s="19">
        <v>22.872211530990679</v>
      </c>
      <c r="X182" s="19">
        <v>29.615060062014408</v>
      </c>
      <c r="Y182" s="19">
        <v>36.579692206621658</v>
      </c>
      <c r="Z182" s="19">
        <v>43.072614040839682</v>
      </c>
      <c r="AA182" s="19">
        <v>48.247185161175601</v>
      </c>
      <c r="AB182" s="19">
        <v>51.237075412281733</v>
      </c>
      <c r="AC182" s="19">
        <v>51.355517175833619</v>
      </c>
      <c r="AD182" s="19">
        <v>48.31552075526006</v>
      </c>
      <c r="AE182" s="19">
        <v>42.391103611875245</v>
      </c>
      <c r="AF182" s="19">
        <v>34.979400638645558</v>
      </c>
      <c r="AG182" s="19">
        <v>26.686703005522023</v>
      </c>
      <c r="AH182" s="19">
        <v>18.284708543690577</v>
      </c>
      <c r="AI182" s="19">
        <v>0</v>
      </c>
      <c r="AJ182" s="19">
        <v>0</v>
      </c>
      <c r="AK182" s="19">
        <v>0</v>
      </c>
      <c r="AL182" s="19">
        <v>0</v>
      </c>
      <c r="AM182" s="19">
        <v>0</v>
      </c>
      <c r="AN182" s="19">
        <v>0</v>
      </c>
      <c r="AO182" s="19">
        <v>0</v>
      </c>
      <c r="AP182" s="19">
        <v>0</v>
      </c>
      <c r="AQ182" s="19">
        <v>0</v>
      </c>
      <c r="AR182" s="19">
        <v>494.75962303677562</v>
      </c>
    </row>
    <row r="183" spans="1:44" x14ac:dyDescent="0.25">
      <c r="A183" t="s">
        <v>131</v>
      </c>
      <c r="B183" t="s">
        <v>194</v>
      </c>
      <c r="C183" t="s">
        <v>44</v>
      </c>
      <c r="D183" t="s">
        <v>191</v>
      </c>
      <c r="E183" t="s">
        <v>134</v>
      </c>
      <c r="F183" t="s">
        <v>192</v>
      </c>
      <c r="G183" t="s">
        <v>28</v>
      </c>
      <c r="H183" t="s">
        <v>136</v>
      </c>
      <c r="I183" t="s">
        <v>135</v>
      </c>
      <c r="J183" t="s">
        <v>39</v>
      </c>
      <c r="K183" t="s">
        <v>28</v>
      </c>
      <c r="L183">
        <v>0.04</v>
      </c>
      <c r="M183">
        <v>1</v>
      </c>
      <c r="N183" s="2">
        <v>1.3188966528496373</v>
      </c>
      <c r="O183" s="2">
        <v>3.8461052289768833</v>
      </c>
      <c r="P183" s="1">
        <v>-0.13956329883334065</v>
      </c>
      <c r="Q183" s="1">
        <v>2.1230659331929727</v>
      </c>
      <c r="R183" s="1">
        <v>-1.5345928455096165</v>
      </c>
      <c r="S183" s="19">
        <v>5.9905702609709204</v>
      </c>
      <c r="T183" s="19">
        <v>9.7380453174639303</v>
      </c>
      <c r="U183" s="19">
        <v>14.769572111417345</v>
      </c>
      <c r="V183" s="19">
        <v>21.133811096801217</v>
      </c>
      <c r="W183" s="19">
        <v>28.717332255577187</v>
      </c>
      <c r="X183" s="19">
        <v>37.183353188973655</v>
      </c>
      <c r="Y183" s="19">
        <v>45.927835770536078</v>
      </c>
      <c r="Z183" s="19">
        <v>54.080059851276481</v>
      </c>
      <c r="AA183" s="19">
        <v>60.57702136903162</v>
      </c>
      <c r="AB183" s="19">
        <v>64.33099468430926</v>
      </c>
      <c r="AC183" s="19">
        <v>64.479704898546629</v>
      </c>
      <c r="AD183" s="19">
        <v>60.662820503826531</v>
      </c>
      <c r="AE183" s="19">
        <v>53.224385646021155</v>
      </c>
      <c r="AF183" s="19">
        <v>43.918580801854958</v>
      </c>
      <c r="AG183" s="19">
        <v>33.506638218044316</v>
      </c>
      <c r="AH183" s="19">
        <v>22.95746739374481</v>
      </c>
      <c r="AI183" s="19">
        <v>0</v>
      </c>
      <c r="AJ183" s="19">
        <v>0</v>
      </c>
      <c r="AK183" s="19">
        <v>0</v>
      </c>
      <c r="AL183" s="19">
        <v>0</v>
      </c>
      <c r="AM183" s="19">
        <v>0</v>
      </c>
      <c r="AN183" s="19">
        <v>0</v>
      </c>
      <c r="AO183" s="19">
        <v>0</v>
      </c>
      <c r="AP183" s="19">
        <v>0</v>
      </c>
      <c r="AQ183" s="19">
        <v>0</v>
      </c>
      <c r="AR183" s="19">
        <v>621.19819336839601</v>
      </c>
    </row>
    <row r="184" spans="1:44" x14ac:dyDescent="0.25">
      <c r="A184" t="s">
        <v>131</v>
      </c>
      <c r="B184" t="s">
        <v>195</v>
      </c>
      <c r="C184" t="s">
        <v>44</v>
      </c>
      <c r="D184" t="s">
        <v>191</v>
      </c>
      <c r="E184" t="s">
        <v>134</v>
      </c>
      <c r="F184" t="s">
        <v>196</v>
      </c>
      <c r="G184" t="s">
        <v>28</v>
      </c>
      <c r="H184" t="s">
        <v>52</v>
      </c>
      <c r="I184" t="s">
        <v>135</v>
      </c>
      <c r="J184" t="s">
        <v>39</v>
      </c>
      <c r="K184" t="s">
        <v>28</v>
      </c>
      <c r="L184">
        <v>0.06</v>
      </c>
      <c r="M184">
        <v>1</v>
      </c>
      <c r="N184" s="2">
        <v>1.8510868588862583</v>
      </c>
      <c r="O184" s="2">
        <v>3.8640773301877118</v>
      </c>
      <c r="P184" s="1">
        <v>-0.75262252118466844</v>
      </c>
      <c r="Q184" s="1">
        <v>1.5197498070855304</v>
      </c>
      <c r="R184" s="1">
        <v>-1.544335941753501</v>
      </c>
      <c r="S184" s="19">
        <v>4943.1612562858891</v>
      </c>
      <c r="T184" s="19">
        <v>8035.4167012878306</v>
      </c>
      <c r="U184" s="19">
        <v>12187.216484002303</v>
      </c>
      <c r="V184" s="19">
        <v>17438.713120850862</v>
      </c>
      <c r="W184" s="19">
        <v>23696.309033299112</v>
      </c>
      <c r="X184" s="19">
        <v>30682.105852263077</v>
      </c>
      <c r="Y184" s="19">
        <v>37897.677262060781</v>
      </c>
      <c r="Z184" s="19">
        <v>44624.542397258374</v>
      </c>
      <c r="AA184" s="19">
        <v>49985.555966764914</v>
      </c>
      <c r="AB184" s="19">
        <v>53083.173495785297</v>
      </c>
      <c r="AC184" s="19">
        <v>53205.882776773338</v>
      </c>
      <c r="AD184" s="19">
        <v>50056.353727322748</v>
      </c>
      <c r="AE184" s="19">
        <v>43918.476798298871</v>
      </c>
      <c r="AF184" s="19">
        <v>36239.726368822347</v>
      </c>
      <c r="AG184" s="19">
        <v>27648.238590390967</v>
      </c>
      <c r="AH184" s="19">
        <v>18943.515962504167</v>
      </c>
      <c r="AI184" s="19">
        <v>0</v>
      </c>
      <c r="AJ184" s="19">
        <v>0</v>
      </c>
      <c r="AK184" s="19">
        <v>0</v>
      </c>
      <c r="AL184" s="19">
        <v>0</v>
      </c>
      <c r="AM184" s="19">
        <v>0</v>
      </c>
      <c r="AN184" s="19">
        <v>0</v>
      </c>
      <c r="AO184" s="19">
        <v>0</v>
      </c>
      <c r="AP184" s="19">
        <v>0</v>
      </c>
      <c r="AQ184" s="19">
        <v>0</v>
      </c>
      <c r="AR184" s="19">
        <v>512586.06579397089</v>
      </c>
    </row>
    <row r="185" spans="1:44" x14ac:dyDescent="0.25">
      <c r="A185" t="s">
        <v>131</v>
      </c>
      <c r="B185" t="s">
        <v>195</v>
      </c>
      <c r="C185" t="s">
        <v>44</v>
      </c>
      <c r="D185" t="s">
        <v>191</v>
      </c>
      <c r="E185" t="s">
        <v>134</v>
      </c>
      <c r="F185" t="s">
        <v>196</v>
      </c>
      <c r="G185" t="s">
        <v>28</v>
      </c>
      <c r="H185" t="s">
        <v>138</v>
      </c>
      <c r="I185" t="s">
        <v>135</v>
      </c>
      <c r="J185" t="s">
        <v>39</v>
      </c>
      <c r="K185" t="s">
        <v>28</v>
      </c>
      <c r="L185">
        <v>0.06</v>
      </c>
      <c r="M185">
        <v>1</v>
      </c>
      <c r="N185" s="2">
        <v>1.8510868588862583</v>
      </c>
      <c r="O185" s="2">
        <v>3.8640773301877118</v>
      </c>
      <c r="P185" s="1">
        <v>-0.75262252118466844</v>
      </c>
      <c r="Q185" s="1">
        <v>1.5197498070855304</v>
      </c>
      <c r="R185" s="1">
        <v>-1.544335941753501</v>
      </c>
      <c r="S185" s="19">
        <v>1714.6989237025739</v>
      </c>
      <c r="T185" s="19">
        <v>2787.3499679337706</v>
      </c>
      <c r="U185" s="19">
        <v>4227.538998748053</v>
      </c>
      <c r="V185" s="19">
        <v>6049.1942440794064</v>
      </c>
      <c r="W185" s="19">
        <v>8219.8482890786745</v>
      </c>
      <c r="X185" s="19">
        <v>10643.102895925673</v>
      </c>
      <c r="Y185" s="19">
        <v>13146.062416929741</v>
      </c>
      <c r="Z185" s="19">
        <v>15479.498007878339</v>
      </c>
      <c r="AA185" s="19">
        <v>17339.142822398251</v>
      </c>
      <c r="AB185" s="19">
        <v>18413.653882764567</v>
      </c>
      <c r="AC185" s="19">
        <v>18456.219654166616</v>
      </c>
      <c r="AD185" s="19">
        <v>17363.701366523164</v>
      </c>
      <c r="AE185" s="19">
        <v>15234.575809344007</v>
      </c>
      <c r="AF185" s="19">
        <v>12570.947330693669</v>
      </c>
      <c r="AG185" s="19">
        <v>9590.7057235750235</v>
      </c>
      <c r="AH185" s="19">
        <v>6571.1848648964615</v>
      </c>
      <c r="AI185" s="19">
        <v>0</v>
      </c>
      <c r="AJ185" s="19">
        <v>0</v>
      </c>
      <c r="AK185" s="19">
        <v>0</v>
      </c>
      <c r="AL185" s="19">
        <v>0</v>
      </c>
      <c r="AM185" s="19">
        <v>0</v>
      </c>
      <c r="AN185" s="19">
        <v>0</v>
      </c>
      <c r="AO185" s="19">
        <v>0</v>
      </c>
      <c r="AP185" s="19">
        <v>0</v>
      </c>
      <c r="AQ185" s="19">
        <v>0</v>
      </c>
      <c r="AR185" s="19">
        <v>177807.425198638</v>
      </c>
    </row>
    <row r="186" spans="1:44" x14ac:dyDescent="0.25">
      <c r="A186" t="s">
        <v>131</v>
      </c>
      <c r="B186" t="s">
        <v>197</v>
      </c>
      <c r="C186" t="s">
        <v>44</v>
      </c>
      <c r="D186" t="s">
        <v>191</v>
      </c>
      <c r="E186" t="s">
        <v>134</v>
      </c>
      <c r="F186" t="s">
        <v>196</v>
      </c>
      <c r="G186" t="s">
        <v>28</v>
      </c>
      <c r="H186" t="s">
        <v>53</v>
      </c>
      <c r="I186" t="s">
        <v>135</v>
      </c>
      <c r="J186" t="s">
        <v>39</v>
      </c>
      <c r="K186" t="s">
        <v>28</v>
      </c>
      <c r="L186">
        <v>0.06</v>
      </c>
      <c r="M186">
        <v>0</v>
      </c>
      <c r="N186" s="2">
        <v>-19.148169275544213</v>
      </c>
      <c r="O186" s="2">
        <v>3.8640773301877118</v>
      </c>
      <c r="P186" s="1">
        <v>-2.419289187851335</v>
      </c>
      <c r="Q186" s="1">
        <v>-0.14691685958113598</v>
      </c>
      <c r="R186" s="1">
        <v>-1.544335941753501</v>
      </c>
      <c r="S186" s="19">
        <v>14.568369711008174</v>
      </c>
      <c r="T186" s="19">
        <v>23.681792929071399</v>
      </c>
      <c r="U186" s="19">
        <v>35.917880538746914</v>
      </c>
      <c r="V186" s="19">
        <v>51.394969101139758</v>
      </c>
      <c r="W186" s="19">
        <v>69.837210013008416</v>
      </c>
      <c r="X186" s="19">
        <v>90.425587674213673</v>
      </c>
      <c r="Y186" s="19">
        <v>111.69115165727018</v>
      </c>
      <c r="Z186" s="19">
        <v>131.51641189150394</v>
      </c>
      <c r="AA186" s="19">
        <v>147.31626620679393</v>
      </c>
      <c r="AB186" s="19">
        <v>156.44549243397452</v>
      </c>
      <c r="AC186" s="19">
        <v>156.8071383685741</v>
      </c>
      <c r="AD186" s="19">
        <v>147.52491971758246</v>
      </c>
      <c r="AE186" s="19">
        <v>129.43551180498821</v>
      </c>
      <c r="AF186" s="19">
        <v>106.8048774041939</v>
      </c>
      <c r="AG186" s="19">
        <v>81.48424474940569</v>
      </c>
      <c r="AH186" s="19">
        <v>55.829888983938361</v>
      </c>
      <c r="AI186" s="19">
        <v>0</v>
      </c>
      <c r="AJ186" s="19">
        <v>0</v>
      </c>
      <c r="AK186" s="19">
        <v>0</v>
      </c>
      <c r="AL186" s="19">
        <v>0</v>
      </c>
      <c r="AM186" s="19">
        <v>0</v>
      </c>
      <c r="AN186" s="19">
        <v>0</v>
      </c>
      <c r="AO186" s="19">
        <v>0</v>
      </c>
      <c r="AP186" s="19">
        <v>0</v>
      </c>
      <c r="AQ186" s="19">
        <v>0</v>
      </c>
      <c r="AR186" s="19">
        <v>1510.6817131854136</v>
      </c>
    </row>
    <row r="187" spans="1:44" x14ac:dyDescent="0.25">
      <c r="A187" t="s">
        <v>131</v>
      </c>
      <c r="B187" t="s">
        <v>197</v>
      </c>
      <c r="C187" t="s">
        <v>44</v>
      </c>
      <c r="D187" t="s">
        <v>191</v>
      </c>
      <c r="E187" t="s">
        <v>134</v>
      </c>
      <c r="F187" t="s">
        <v>196</v>
      </c>
      <c r="G187" t="s">
        <v>28</v>
      </c>
      <c r="H187" t="s">
        <v>141</v>
      </c>
      <c r="I187" t="s">
        <v>135</v>
      </c>
      <c r="J187" t="s">
        <v>39</v>
      </c>
      <c r="K187" t="s">
        <v>28</v>
      </c>
      <c r="L187">
        <v>0.06</v>
      </c>
      <c r="M187">
        <v>0</v>
      </c>
      <c r="N187" s="2">
        <v>-19.148169275544213</v>
      </c>
      <c r="O187" s="2">
        <v>3.8640773301877118</v>
      </c>
      <c r="P187" s="1">
        <v>-2.419289187851335</v>
      </c>
      <c r="Q187" s="1">
        <v>-0.14691685958113598</v>
      </c>
      <c r="R187" s="1">
        <v>-1.544335941753501</v>
      </c>
      <c r="S187" s="19">
        <v>12.261711173431882</v>
      </c>
      <c r="T187" s="19">
        <v>19.932175715301753</v>
      </c>
      <c r="U187" s="19">
        <v>30.230882786778658</v>
      </c>
      <c r="V187" s="19">
        <v>43.257432326792639</v>
      </c>
      <c r="W187" s="19">
        <v>58.779651760948731</v>
      </c>
      <c r="X187" s="19">
        <v>76.108202959129855</v>
      </c>
      <c r="Y187" s="19">
        <v>94.006719311535718</v>
      </c>
      <c r="Z187" s="19">
        <v>110.69298000868244</v>
      </c>
      <c r="AA187" s="19">
        <v>123.99119072405152</v>
      </c>
      <c r="AB187" s="19">
        <v>131.67495613192858</v>
      </c>
      <c r="AC187" s="19">
        <v>131.97934146021652</v>
      </c>
      <c r="AD187" s="19">
        <v>124.16680742896524</v>
      </c>
      <c r="AE187" s="19">
        <v>108.94155576919836</v>
      </c>
      <c r="AF187" s="19">
        <v>89.89410514852986</v>
      </c>
      <c r="AG187" s="19">
        <v>68.582572664083131</v>
      </c>
      <c r="AH187" s="19">
        <v>46.990156561481271</v>
      </c>
      <c r="AI187" s="19">
        <v>0</v>
      </c>
      <c r="AJ187" s="19">
        <v>0</v>
      </c>
      <c r="AK187" s="19">
        <v>0</v>
      </c>
      <c r="AL187" s="19">
        <v>0</v>
      </c>
      <c r="AM187" s="19">
        <v>0</v>
      </c>
      <c r="AN187" s="19">
        <v>0</v>
      </c>
      <c r="AO187" s="19">
        <v>0</v>
      </c>
      <c r="AP187" s="19">
        <v>0</v>
      </c>
      <c r="AQ187" s="19">
        <v>0</v>
      </c>
      <c r="AR187" s="19">
        <v>1271.4904419310562</v>
      </c>
    </row>
    <row r="188" spans="1:44" x14ac:dyDescent="0.25">
      <c r="A188" t="s">
        <v>131</v>
      </c>
      <c r="B188" t="s">
        <v>198</v>
      </c>
      <c r="C188" t="s">
        <v>44</v>
      </c>
      <c r="D188" t="s">
        <v>191</v>
      </c>
      <c r="E188" t="s">
        <v>134</v>
      </c>
      <c r="F188" t="s">
        <v>196</v>
      </c>
      <c r="G188" t="s">
        <v>28</v>
      </c>
      <c r="H188" t="s">
        <v>55</v>
      </c>
      <c r="I188" t="s">
        <v>135</v>
      </c>
      <c r="J188" t="s">
        <v>39</v>
      </c>
      <c r="K188" t="s">
        <v>28</v>
      </c>
      <c r="L188">
        <v>0.02</v>
      </c>
      <c r="M188">
        <v>0</v>
      </c>
      <c r="N188" s="2">
        <v>-3.8181723353430251E-2</v>
      </c>
      <c r="O188" s="2">
        <v>3.8057611178016471</v>
      </c>
      <c r="P188" s="1">
        <v>-74.800242939593787</v>
      </c>
      <c r="Q188" s="1">
        <v>-72.566985688484721</v>
      </c>
      <c r="R188" s="1">
        <v>-1.5052208645923697</v>
      </c>
      <c r="S188" s="19">
        <v>0.77197245476928589</v>
      </c>
      <c r="T188" s="19">
        <v>1.2548893378906441</v>
      </c>
      <c r="U188" s="19">
        <v>1.9032750376080061</v>
      </c>
      <c r="V188" s="19">
        <v>2.7234001639743393</v>
      </c>
      <c r="W188" s="19">
        <v>3.7006476028160433</v>
      </c>
      <c r="X188" s="19">
        <v>4.7916180242234683</v>
      </c>
      <c r="Y188" s="19">
        <v>5.91847229520266</v>
      </c>
      <c r="Z188" s="19">
        <v>6.9690054099613326</v>
      </c>
      <c r="AA188" s="19">
        <v>7.8062337726898754</v>
      </c>
      <c r="AB188" s="19">
        <v>8.28998805134575</v>
      </c>
      <c r="AC188" s="19">
        <v>8.3091515339747772</v>
      </c>
      <c r="AD188" s="19">
        <v>7.8172902440806302</v>
      </c>
      <c r="AE188" s="19">
        <v>6.858739293725737</v>
      </c>
      <c r="AF188" s="19">
        <v>5.6595504525634661</v>
      </c>
      <c r="AG188" s="19">
        <v>4.3178196113933538</v>
      </c>
      <c r="AH188" s="19">
        <v>2.9584049075759866</v>
      </c>
      <c r="AI188" s="19">
        <v>0</v>
      </c>
      <c r="AJ188" s="19">
        <v>0</v>
      </c>
      <c r="AK188" s="19">
        <v>0</v>
      </c>
      <c r="AL188" s="19">
        <v>0</v>
      </c>
      <c r="AM188" s="19">
        <v>0</v>
      </c>
      <c r="AN188" s="19">
        <v>0</v>
      </c>
      <c r="AO188" s="19">
        <v>0</v>
      </c>
      <c r="AP188" s="19">
        <v>0</v>
      </c>
      <c r="AQ188" s="19">
        <v>0</v>
      </c>
      <c r="AR188" s="19">
        <v>80.05045819379535</v>
      </c>
    </row>
    <row r="189" spans="1:44" x14ac:dyDescent="0.25">
      <c r="A189" t="s">
        <v>131</v>
      </c>
      <c r="B189" t="s">
        <v>198</v>
      </c>
      <c r="C189" t="s">
        <v>44</v>
      </c>
      <c r="D189" t="s">
        <v>191</v>
      </c>
      <c r="E189" t="s">
        <v>134</v>
      </c>
      <c r="F189" t="s">
        <v>196</v>
      </c>
      <c r="G189" t="s">
        <v>28</v>
      </c>
      <c r="H189" t="s">
        <v>136</v>
      </c>
      <c r="I189" t="s">
        <v>135</v>
      </c>
      <c r="J189" t="s">
        <v>39</v>
      </c>
      <c r="K189" t="s">
        <v>28</v>
      </c>
      <c r="L189">
        <v>0.02</v>
      </c>
      <c r="M189">
        <v>0</v>
      </c>
      <c r="N189" s="2">
        <v>-3.8181723353430251E-2</v>
      </c>
      <c r="O189" s="2">
        <v>3.8057611178016471</v>
      </c>
      <c r="P189" s="1">
        <v>-74.800242939593787</v>
      </c>
      <c r="Q189" s="1">
        <v>-72.566985688484721</v>
      </c>
      <c r="R189" s="1">
        <v>-1.5052208645923697</v>
      </c>
      <c r="S189" s="19">
        <v>0.96925430432143678</v>
      </c>
      <c r="T189" s="19">
        <v>1.575583279796031</v>
      </c>
      <c r="U189" s="19">
        <v>2.3896675472189406</v>
      </c>
      <c r="V189" s="19">
        <v>3.4193802058788929</v>
      </c>
      <c r="W189" s="19">
        <v>4.6463686568690319</v>
      </c>
      <c r="X189" s="19">
        <v>6.0161426304139107</v>
      </c>
      <c r="Y189" s="19">
        <v>7.4309707706433388</v>
      </c>
      <c r="Z189" s="19">
        <v>8.7499734591736704</v>
      </c>
      <c r="AA189" s="19">
        <v>9.8011601812661802</v>
      </c>
      <c r="AB189" s="19">
        <v>10.408540553356326</v>
      </c>
      <c r="AC189" s="19">
        <v>10.432601370434991</v>
      </c>
      <c r="AD189" s="19">
        <v>9.8150421953456792</v>
      </c>
      <c r="AE189" s="19">
        <v>8.6115282243445357</v>
      </c>
      <c r="AF189" s="19">
        <v>7.1058800126630182</v>
      </c>
      <c r="AG189" s="19">
        <v>5.4212624009716555</v>
      </c>
      <c r="AH189" s="19">
        <v>3.7144417172898279</v>
      </c>
      <c r="AI189" s="19">
        <v>0</v>
      </c>
      <c r="AJ189" s="19">
        <v>0</v>
      </c>
      <c r="AK189" s="19">
        <v>0</v>
      </c>
      <c r="AL189" s="19">
        <v>0</v>
      </c>
      <c r="AM189" s="19">
        <v>0</v>
      </c>
      <c r="AN189" s="19">
        <v>0</v>
      </c>
      <c r="AO189" s="19">
        <v>0</v>
      </c>
      <c r="AP189" s="19">
        <v>0</v>
      </c>
      <c r="AQ189" s="19">
        <v>0</v>
      </c>
      <c r="AR189" s="19">
        <v>100.50779750998748</v>
      </c>
    </row>
    <row r="190" spans="1:44" x14ac:dyDescent="0.25">
      <c r="A190" t="s">
        <v>131</v>
      </c>
      <c r="B190" t="s">
        <v>199</v>
      </c>
      <c r="C190" t="s">
        <v>44</v>
      </c>
      <c r="D190" t="s">
        <v>191</v>
      </c>
      <c r="E190" t="s">
        <v>134</v>
      </c>
      <c r="F190" t="s">
        <v>200</v>
      </c>
      <c r="G190" t="s">
        <v>28</v>
      </c>
      <c r="H190" t="s">
        <v>52</v>
      </c>
      <c r="I190" t="s">
        <v>135</v>
      </c>
      <c r="J190" t="s">
        <v>39</v>
      </c>
      <c r="K190" t="s">
        <v>28</v>
      </c>
      <c r="L190">
        <v>9.8838117015195223E-3</v>
      </c>
      <c r="M190">
        <v>0</v>
      </c>
      <c r="N190" s="2">
        <v>0.27106254108678052</v>
      </c>
      <c r="O190" s="2">
        <v>3.8137772217585497</v>
      </c>
      <c r="P190" s="1">
        <v>8.0075245929314374</v>
      </c>
      <c r="Q190" s="1">
        <v>10.243276612019471</v>
      </c>
      <c r="R190" s="1">
        <v>-1.5077156325713348</v>
      </c>
      <c r="S190" s="19">
        <v>0</v>
      </c>
      <c r="T190" s="19">
        <v>0</v>
      </c>
      <c r="U190" s="19">
        <v>796.36545273326908</v>
      </c>
      <c r="V190" s="19">
        <v>1294.2112340041976</v>
      </c>
      <c r="W190" s="19">
        <v>1962.350820936676</v>
      </c>
      <c r="X190" s="19">
        <v>2807.132494883379</v>
      </c>
      <c r="Y190" s="19">
        <v>3813.3595015615679</v>
      </c>
      <c r="Z190" s="19">
        <v>4936.2102321349003</v>
      </c>
      <c r="AA190" s="19">
        <v>6095.4515582529402</v>
      </c>
      <c r="AB190" s="19">
        <v>7175.5428921101538</v>
      </c>
      <c r="AC190" s="19">
        <v>8035.5552765969996</v>
      </c>
      <c r="AD190" s="19">
        <v>8531.4167933437639</v>
      </c>
      <c r="AE190" s="19">
        <v>8549.0764518530796</v>
      </c>
      <c r="AF190" s="19">
        <v>8041.1135864222688</v>
      </c>
      <c r="AG190" s="19">
        <v>7053.4840630422905</v>
      </c>
      <c r="AH190" s="19">
        <v>5818.9226906492077</v>
      </c>
      <c r="AI190" s="19">
        <v>4438.4165095124235</v>
      </c>
      <c r="AJ190" s="19">
        <v>3064.5787853672791</v>
      </c>
      <c r="AK190" s="19">
        <v>894.06577212205423</v>
      </c>
      <c r="AL190" s="19">
        <v>0</v>
      </c>
      <c r="AM190" s="19">
        <v>0</v>
      </c>
      <c r="AN190" s="19">
        <v>0</v>
      </c>
      <c r="AO190" s="19">
        <v>0</v>
      </c>
      <c r="AP190" s="19">
        <v>0</v>
      </c>
      <c r="AQ190" s="19">
        <v>0</v>
      </c>
      <c r="AR190" s="19">
        <v>83307.254115526448</v>
      </c>
    </row>
    <row r="191" spans="1:44" x14ac:dyDescent="0.25">
      <c r="A191" t="s">
        <v>131</v>
      </c>
      <c r="B191" t="s">
        <v>199</v>
      </c>
      <c r="C191" t="s">
        <v>44</v>
      </c>
      <c r="D191" t="s">
        <v>191</v>
      </c>
      <c r="E191" t="s">
        <v>134</v>
      </c>
      <c r="F191" t="s">
        <v>200</v>
      </c>
      <c r="G191" t="s">
        <v>28</v>
      </c>
      <c r="H191" t="s">
        <v>55</v>
      </c>
      <c r="I191" t="s">
        <v>135</v>
      </c>
      <c r="J191" t="s">
        <v>39</v>
      </c>
      <c r="K191" t="s">
        <v>28</v>
      </c>
      <c r="L191">
        <v>9.8838117015195223E-3</v>
      </c>
      <c r="M191">
        <v>0</v>
      </c>
      <c r="N191" s="2">
        <v>0.27106254108678052</v>
      </c>
      <c r="O191" s="2">
        <v>3.8137772217585497</v>
      </c>
      <c r="P191" s="1">
        <v>8.0075245929314374</v>
      </c>
      <c r="Q191" s="1">
        <v>10.243276612019471</v>
      </c>
      <c r="R191" s="1">
        <v>-1.5077156325713348</v>
      </c>
      <c r="S191" s="19">
        <v>0</v>
      </c>
      <c r="T191" s="19">
        <v>0</v>
      </c>
      <c r="U191" s="19">
        <v>0.20879219664256049</v>
      </c>
      <c r="V191" s="19">
        <v>0.33931809264172308</v>
      </c>
      <c r="W191" s="19">
        <v>0.51449185431193145</v>
      </c>
      <c r="X191" s="19">
        <v>0.73597788284484977</v>
      </c>
      <c r="Y191" s="19">
        <v>0.99979187216888832</v>
      </c>
      <c r="Z191" s="19">
        <v>1.2941824308419967</v>
      </c>
      <c r="AA191" s="19">
        <v>1.5981139262230346</v>
      </c>
      <c r="AB191" s="19">
        <v>1.8812937670820704</v>
      </c>
      <c r="AC191" s="19">
        <v>2.1067730043851438</v>
      </c>
      <c r="AD191" s="19">
        <v>2.236778663164952</v>
      </c>
      <c r="AE191" s="19">
        <v>2.2414086968755602</v>
      </c>
      <c r="AF191" s="19">
        <v>2.1082302897483585</v>
      </c>
      <c r="AG191" s="19">
        <v>1.8492922143361179</v>
      </c>
      <c r="AH191" s="19">
        <v>1.5256132049726361</v>
      </c>
      <c r="AI191" s="19">
        <v>1.1636701836513388</v>
      </c>
      <c r="AJ191" s="19">
        <v>0.80347550761388398</v>
      </c>
      <c r="AK191" s="19">
        <v>0.234407401606372</v>
      </c>
      <c r="AL191" s="19">
        <v>0</v>
      </c>
      <c r="AM191" s="19">
        <v>0</v>
      </c>
      <c r="AN191" s="19">
        <v>0</v>
      </c>
      <c r="AO191" s="19">
        <v>0</v>
      </c>
      <c r="AP191" s="19">
        <v>0</v>
      </c>
      <c r="AQ191" s="19">
        <v>0</v>
      </c>
      <c r="AR191" s="19">
        <v>21.841611189111415</v>
      </c>
    </row>
    <row r="192" spans="1:44" x14ac:dyDescent="0.25">
      <c r="A192" t="s">
        <v>131</v>
      </c>
      <c r="B192" t="s">
        <v>199</v>
      </c>
      <c r="C192" t="s">
        <v>44</v>
      </c>
      <c r="D192" t="s">
        <v>191</v>
      </c>
      <c r="E192" t="s">
        <v>134</v>
      </c>
      <c r="F192" t="s">
        <v>200</v>
      </c>
      <c r="G192" t="s">
        <v>28</v>
      </c>
      <c r="H192" t="s">
        <v>138</v>
      </c>
      <c r="I192" t="s">
        <v>135</v>
      </c>
      <c r="J192" t="s">
        <v>39</v>
      </c>
      <c r="K192" t="s">
        <v>28</v>
      </c>
      <c r="L192">
        <v>9.8838117015195223E-3</v>
      </c>
      <c r="M192">
        <v>0</v>
      </c>
      <c r="N192" s="2">
        <v>0.27106254108678052</v>
      </c>
      <c r="O192" s="2">
        <v>3.8137772217585497</v>
      </c>
      <c r="P192" s="1">
        <v>8.0075245929314374</v>
      </c>
      <c r="Q192" s="1">
        <v>10.243276612019471</v>
      </c>
      <c r="R192" s="1">
        <v>-1.5077156325713348</v>
      </c>
      <c r="S192" s="19">
        <v>0</v>
      </c>
      <c r="T192" s="19">
        <v>0</v>
      </c>
      <c r="U192" s="19">
        <v>276.24568851343861</v>
      </c>
      <c r="V192" s="19">
        <v>448.9399586486868</v>
      </c>
      <c r="W192" s="19">
        <v>680.70626591599387</v>
      </c>
      <c r="X192" s="19">
        <v>973.74672160374837</v>
      </c>
      <c r="Y192" s="19">
        <v>1322.7898290195762</v>
      </c>
      <c r="Z192" s="19">
        <v>1712.2877311453472</v>
      </c>
      <c r="AA192" s="19">
        <v>2114.4089145638441</v>
      </c>
      <c r="AB192" s="19">
        <v>2489.0743061308972</v>
      </c>
      <c r="AC192" s="19">
        <v>2787.3980373616464</v>
      </c>
      <c r="AD192" s="19">
        <v>2959.403999738453</v>
      </c>
      <c r="AE192" s="19">
        <v>2965.5298361959185</v>
      </c>
      <c r="AF192" s="19">
        <v>2789.3261209059301</v>
      </c>
      <c r="AG192" s="19">
        <v>2446.7341654840766</v>
      </c>
      <c r="AH192" s="19">
        <v>2018.4857336136272</v>
      </c>
      <c r="AI192" s="19">
        <v>1539.6115192735947</v>
      </c>
      <c r="AJ192" s="19">
        <v>1063.0504797286956</v>
      </c>
      <c r="AK192" s="19">
        <v>310.13627468201508</v>
      </c>
      <c r="AL192" s="19">
        <v>0</v>
      </c>
      <c r="AM192" s="19">
        <v>0</v>
      </c>
      <c r="AN192" s="19">
        <v>0</v>
      </c>
      <c r="AO192" s="19">
        <v>0</v>
      </c>
      <c r="AP192" s="19">
        <v>0</v>
      </c>
      <c r="AQ192" s="19">
        <v>0</v>
      </c>
      <c r="AR192" s="19">
        <v>28897.875582525496</v>
      </c>
    </row>
    <row r="193" spans="1:44" x14ac:dyDescent="0.25">
      <c r="A193" t="s">
        <v>131</v>
      </c>
      <c r="B193" t="s">
        <v>199</v>
      </c>
      <c r="C193" t="s">
        <v>44</v>
      </c>
      <c r="D193" t="s">
        <v>191</v>
      </c>
      <c r="E193" t="s">
        <v>134</v>
      </c>
      <c r="F193" t="s">
        <v>200</v>
      </c>
      <c r="G193" t="s">
        <v>28</v>
      </c>
      <c r="H193" t="s">
        <v>136</v>
      </c>
      <c r="I193" t="s">
        <v>135</v>
      </c>
      <c r="J193" t="s">
        <v>39</v>
      </c>
      <c r="K193" t="s">
        <v>28</v>
      </c>
      <c r="L193">
        <v>9.8838117015195223E-3</v>
      </c>
      <c r="M193">
        <v>0</v>
      </c>
      <c r="N193" s="2">
        <v>0.27106254108678052</v>
      </c>
      <c r="O193" s="2">
        <v>3.8137772217585497</v>
      </c>
      <c r="P193" s="1">
        <v>8.0075245929314374</v>
      </c>
      <c r="Q193" s="1">
        <v>10.243276612019471</v>
      </c>
      <c r="R193" s="1">
        <v>-1.5077156325713348</v>
      </c>
      <c r="S193" s="19">
        <v>0</v>
      </c>
      <c r="T193" s="19">
        <v>0</v>
      </c>
      <c r="U193" s="19">
        <v>0.26215020245121479</v>
      </c>
      <c r="V193" s="19">
        <v>0.42603271631683015</v>
      </c>
      <c r="W193" s="19">
        <v>0.64597310596942492</v>
      </c>
      <c r="X193" s="19">
        <v>0.92406111957186687</v>
      </c>
      <c r="Y193" s="19">
        <v>1.2552942395009372</v>
      </c>
      <c r="Z193" s="19">
        <v>1.6249179409460619</v>
      </c>
      <c r="AA193" s="19">
        <v>2.0065208184800332</v>
      </c>
      <c r="AB193" s="19">
        <v>2.3620688408919319</v>
      </c>
      <c r="AC193" s="19">
        <v>2.6451705499502358</v>
      </c>
      <c r="AD193" s="19">
        <v>2.8083998770848839</v>
      </c>
      <c r="AE193" s="19">
        <v>2.8142131416326466</v>
      </c>
      <c r="AF193" s="19">
        <v>2.647000252684049</v>
      </c>
      <c r="AG193" s="19">
        <v>2.3218891135553483</v>
      </c>
      <c r="AH193" s="19">
        <v>1.9154921351323091</v>
      </c>
      <c r="AI193" s="19">
        <v>1.4610525639177918</v>
      </c>
      <c r="AJ193" s="19">
        <v>1.0088081373374322</v>
      </c>
      <c r="AK193" s="19">
        <v>0.29431151535022793</v>
      </c>
      <c r="AL193" s="19">
        <v>0</v>
      </c>
      <c r="AM193" s="19">
        <v>0</v>
      </c>
      <c r="AN193" s="19">
        <v>0</v>
      </c>
      <c r="AO193" s="19">
        <v>0</v>
      </c>
      <c r="AP193" s="19">
        <v>0</v>
      </c>
      <c r="AQ193" s="19">
        <v>0</v>
      </c>
      <c r="AR193" s="19">
        <v>27.423356270773223</v>
      </c>
    </row>
    <row r="194" spans="1:44" x14ac:dyDescent="0.25">
      <c r="A194" t="s">
        <v>131</v>
      </c>
      <c r="B194" t="s">
        <v>201</v>
      </c>
      <c r="C194" t="s">
        <v>44</v>
      </c>
      <c r="D194" t="s">
        <v>202</v>
      </c>
      <c r="E194" t="s">
        <v>134</v>
      </c>
      <c r="F194" t="s">
        <v>202</v>
      </c>
      <c r="G194" t="s">
        <v>28</v>
      </c>
      <c r="H194" t="s">
        <v>53</v>
      </c>
      <c r="I194" t="s">
        <v>135</v>
      </c>
      <c r="J194" t="s">
        <v>39</v>
      </c>
      <c r="K194" t="s">
        <v>28</v>
      </c>
      <c r="L194">
        <v>0.25633127765571201</v>
      </c>
      <c r="M194">
        <v>0</v>
      </c>
      <c r="N194" s="2">
        <v>0.29256818482477859</v>
      </c>
      <c r="O194" s="2">
        <v>3.7296622915880167</v>
      </c>
      <c r="P194" s="1">
        <v>7.1065022091179086</v>
      </c>
      <c r="Q194" s="1">
        <v>9.2810154983924846</v>
      </c>
      <c r="R194" s="1">
        <v>-1.446476902757877</v>
      </c>
      <c r="S194" s="19">
        <v>17.650683774118296</v>
      </c>
      <c r="T194" s="19">
        <v>35.259247551022554</v>
      </c>
      <c r="U194" s="19">
        <v>62.556019387866371</v>
      </c>
      <c r="V194" s="19">
        <v>101.66275140199686</v>
      </c>
      <c r="W194" s="19">
        <v>154.14638540507582</v>
      </c>
      <c r="X194" s="19">
        <v>220.50559095894127</v>
      </c>
      <c r="Y194" s="19">
        <v>299.54663414120773</v>
      </c>
      <c r="Z194" s="19">
        <v>387.74869241777583</v>
      </c>
      <c r="AA194" s="19">
        <v>478.809301115658</v>
      </c>
      <c r="AB194" s="19">
        <v>563.65252753832476</v>
      </c>
      <c r="AC194" s="19">
        <v>631.20813434311083</v>
      </c>
      <c r="AD194" s="19">
        <v>670.15899860881234</v>
      </c>
      <c r="AE194" s="19">
        <v>671.54619833765605</v>
      </c>
      <c r="AF194" s="19">
        <v>631.64475014054392</v>
      </c>
      <c r="AG194" s="19">
        <v>554.06457460613387</v>
      </c>
      <c r="AH194" s="19">
        <v>457.08743316702703</v>
      </c>
      <c r="AI194" s="19">
        <v>348.64604970939143</v>
      </c>
      <c r="AJ194" s="19">
        <v>240.72848621836084</v>
      </c>
      <c r="AK194" s="19">
        <v>17.320633779028086</v>
      </c>
      <c r="AL194" s="19">
        <v>0</v>
      </c>
      <c r="AM194" s="19">
        <v>0</v>
      </c>
      <c r="AN194" s="19">
        <v>0</v>
      </c>
      <c r="AO194" s="19">
        <v>0</v>
      </c>
      <c r="AP194" s="19">
        <v>0</v>
      </c>
      <c r="AQ194" s="19">
        <v>0</v>
      </c>
      <c r="AR194" s="19">
        <v>6543.9430926020505</v>
      </c>
    </row>
    <row r="195" spans="1:44" x14ac:dyDescent="0.25">
      <c r="A195" t="s">
        <v>131</v>
      </c>
      <c r="B195" t="s">
        <v>201</v>
      </c>
      <c r="C195" t="s">
        <v>44</v>
      </c>
      <c r="D195" t="s">
        <v>202</v>
      </c>
      <c r="E195" t="s">
        <v>134</v>
      </c>
      <c r="F195" t="s">
        <v>202</v>
      </c>
      <c r="G195" t="s">
        <v>28</v>
      </c>
      <c r="H195" t="s">
        <v>54</v>
      </c>
      <c r="I195" t="s">
        <v>135</v>
      </c>
      <c r="J195" t="s">
        <v>39</v>
      </c>
      <c r="K195" t="s">
        <v>28</v>
      </c>
      <c r="L195">
        <v>0.25633127765571201</v>
      </c>
      <c r="M195">
        <v>0</v>
      </c>
      <c r="N195" s="2">
        <v>0.29256818482477859</v>
      </c>
      <c r="O195" s="2">
        <v>3.7296622915880167</v>
      </c>
      <c r="P195" s="1">
        <v>7.1065022091179086</v>
      </c>
      <c r="Q195" s="1">
        <v>9.2810154983924846</v>
      </c>
      <c r="R195" s="1">
        <v>-1.446476902757877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19">
        <v>0</v>
      </c>
      <c r="Y195" s="19">
        <v>0</v>
      </c>
      <c r="Z195" s="19">
        <v>0</v>
      </c>
      <c r="AA195" s="19">
        <v>0</v>
      </c>
      <c r="AB195" s="19">
        <v>0</v>
      </c>
      <c r="AC195" s="19">
        <v>0</v>
      </c>
      <c r="AD195" s="19">
        <v>0</v>
      </c>
      <c r="AE195" s="19">
        <v>0</v>
      </c>
      <c r="AF195" s="19">
        <v>0</v>
      </c>
      <c r="AG195" s="19">
        <v>0</v>
      </c>
      <c r="AH195" s="19">
        <v>0</v>
      </c>
      <c r="AI195" s="19">
        <v>0</v>
      </c>
      <c r="AJ195" s="19">
        <v>0</v>
      </c>
      <c r="AK195" s="19">
        <v>0</v>
      </c>
      <c r="AL195" s="19">
        <v>0</v>
      </c>
      <c r="AM195" s="19">
        <v>0</v>
      </c>
      <c r="AN195" s="19">
        <v>0</v>
      </c>
      <c r="AO195" s="19">
        <v>0</v>
      </c>
      <c r="AP195" s="19">
        <v>0</v>
      </c>
      <c r="AQ195" s="19">
        <v>0</v>
      </c>
      <c r="AR195" s="19">
        <v>0</v>
      </c>
    </row>
    <row r="196" spans="1:44" x14ac:dyDescent="0.25">
      <c r="A196" t="s">
        <v>131</v>
      </c>
      <c r="B196" t="s">
        <v>201</v>
      </c>
      <c r="C196" t="s">
        <v>44</v>
      </c>
      <c r="D196" t="s">
        <v>202</v>
      </c>
      <c r="E196" t="s">
        <v>134</v>
      </c>
      <c r="F196" t="s">
        <v>202</v>
      </c>
      <c r="G196" t="s">
        <v>28</v>
      </c>
      <c r="H196" t="s">
        <v>141</v>
      </c>
      <c r="I196" t="s">
        <v>135</v>
      </c>
      <c r="J196" t="s">
        <v>39</v>
      </c>
      <c r="K196" t="s">
        <v>28</v>
      </c>
      <c r="L196">
        <v>0.25633127765571201</v>
      </c>
      <c r="M196">
        <v>0</v>
      </c>
      <c r="N196" s="2">
        <v>0.29256818482477859</v>
      </c>
      <c r="O196" s="2">
        <v>3.7296622915880167</v>
      </c>
      <c r="P196" s="1">
        <v>7.1065022091179086</v>
      </c>
      <c r="Q196" s="1">
        <v>9.2810154983924846</v>
      </c>
      <c r="R196" s="1">
        <v>-1.446476902757877</v>
      </c>
      <c r="S196" s="19">
        <v>14.855992176549572</v>
      </c>
      <c r="T196" s="19">
        <v>29.676533355443979</v>
      </c>
      <c r="U196" s="19">
        <v>52.651316318120848</v>
      </c>
      <c r="V196" s="19">
        <v>85.566149096680675</v>
      </c>
      <c r="W196" s="19">
        <v>129.73987438260545</v>
      </c>
      <c r="X196" s="19">
        <v>185.59220572377552</v>
      </c>
      <c r="Y196" s="19">
        <v>252.11841706884985</v>
      </c>
      <c r="Z196" s="19">
        <v>326.35514945162794</v>
      </c>
      <c r="AA196" s="19">
        <v>402.9978284390121</v>
      </c>
      <c r="AB196" s="19">
        <v>474.40754401142334</v>
      </c>
      <c r="AC196" s="19">
        <v>531.26684640545159</v>
      </c>
      <c r="AD196" s="19">
        <v>564.05049049575018</v>
      </c>
      <c r="AE196" s="19">
        <v>565.21805026752702</v>
      </c>
      <c r="AF196" s="19">
        <v>531.63433136829099</v>
      </c>
      <c r="AG196" s="19">
        <v>466.33768362682918</v>
      </c>
      <c r="AH196" s="19">
        <v>384.71525624891439</v>
      </c>
      <c r="AI196" s="19">
        <v>293.44375850540433</v>
      </c>
      <c r="AJ196" s="19">
        <v>202.61314256712035</v>
      </c>
      <c r="AK196" s="19">
        <v>14.578200097348816</v>
      </c>
      <c r="AL196" s="19">
        <v>0</v>
      </c>
      <c r="AM196" s="19">
        <v>0</v>
      </c>
      <c r="AN196" s="19">
        <v>0</v>
      </c>
      <c r="AO196" s="19">
        <v>0</v>
      </c>
      <c r="AP196" s="19">
        <v>0</v>
      </c>
      <c r="AQ196" s="19">
        <v>0</v>
      </c>
      <c r="AR196" s="19">
        <v>5507.8187696067262</v>
      </c>
    </row>
    <row r="197" spans="1:44" x14ac:dyDescent="0.25">
      <c r="A197" t="s">
        <v>131</v>
      </c>
      <c r="B197" t="s">
        <v>201</v>
      </c>
      <c r="C197" t="s">
        <v>44</v>
      </c>
      <c r="D197" t="s">
        <v>202</v>
      </c>
      <c r="E197" t="s">
        <v>134</v>
      </c>
      <c r="F197" t="s">
        <v>202</v>
      </c>
      <c r="G197" t="s">
        <v>28</v>
      </c>
      <c r="H197" t="s">
        <v>142</v>
      </c>
      <c r="I197" t="s">
        <v>135</v>
      </c>
      <c r="J197" t="s">
        <v>39</v>
      </c>
      <c r="K197" t="s">
        <v>28</v>
      </c>
      <c r="L197">
        <v>0.25633127765571201</v>
      </c>
      <c r="M197">
        <v>0</v>
      </c>
      <c r="N197" s="2">
        <v>0.29256818482477859</v>
      </c>
      <c r="O197" s="2">
        <v>3.7296622915880167</v>
      </c>
      <c r="P197" s="1">
        <v>7.1065022091179086</v>
      </c>
      <c r="Q197" s="1">
        <v>9.2810154983924846</v>
      </c>
      <c r="R197" s="1">
        <v>-1.446476902757877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19">
        <v>0</v>
      </c>
      <c r="AD197" s="19">
        <v>0</v>
      </c>
      <c r="AE197" s="19">
        <v>0</v>
      </c>
      <c r="AF197" s="19">
        <v>0</v>
      </c>
      <c r="AG197" s="19">
        <v>0</v>
      </c>
      <c r="AH197" s="19">
        <v>0</v>
      </c>
      <c r="AI197" s="19">
        <v>0</v>
      </c>
      <c r="AJ197" s="19">
        <v>0</v>
      </c>
      <c r="AK197" s="19">
        <v>0</v>
      </c>
      <c r="AL197" s="19">
        <v>0</v>
      </c>
      <c r="AM197" s="19">
        <v>0</v>
      </c>
      <c r="AN197" s="19">
        <v>0</v>
      </c>
      <c r="AO197" s="19">
        <v>0</v>
      </c>
      <c r="AP197" s="19">
        <v>0</v>
      </c>
      <c r="AQ197" s="19">
        <v>0</v>
      </c>
      <c r="AR197" s="19">
        <v>0</v>
      </c>
    </row>
    <row r="198" spans="1:44" x14ac:dyDescent="0.25">
      <c r="A198" t="s">
        <v>131</v>
      </c>
      <c r="B198" t="s">
        <v>203</v>
      </c>
      <c r="C198" t="s">
        <v>44</v>
      </c>
      <c r="D198" t="s">
        <v>204</v>
      </c>
      <c r="E198" t="s">
        <v>134</v>
      </c>
      <c r="F198" t="s">
        <v>205</v>
      </c>
      <c r="G198" t="s">
        <v>28</v>
      </c>
      <c r="H198" t="s">
        <v>52</v>
      </c>
      <c r="I198" t="s">
        <v>135</v>
      </c>
      <c r="J198" t="s">
        <v>39</v>
      </c>
      <c r="K198" t="s">
        <v>28</v>
      </c>
      <c r="L198">
        <v>0.09</v>
      </c>
      <c r="M198">
        <v>1</v>
      </c>
      <c r="N198" s="2">
        <v>1.8271701747264129</v>
      </c>
      <c r="O198" s="2">
        <v>3.8999213404809634</v>
      </c>
      <c r="P198" s="1">
        <v>-0.74454349524626096</v>
      </c>
      <c r="Q198" s="1">
        <v>1.5539245767561041</v>
      </c>
      <c r="R198" s="1">
        <v>-1.570431685485667</v>
      </c>
      <c r="S198" s="19">
        <v>1667.0025161222286</v>
      </c>
      <c r="T198" s="19">
        <v>3330.0270480352651</v>
      </c>
      <c r="U198" s="19">
        <v>5908.0454362382479</v>
      </c>
      <c r="V198" s="19">
        <v>9601.4445985111979</v>
      </c>
      <c r="W198" s="19">
        <v>14558.212906074459</v>
      </c>
      <c r="X198" s="19">
        <v>20825.446744820842</v>
      </c>
      <c r="Y198" s="19">
        <v>28290.40501771052</v>
      </c>
      <c r="Z198" s="19">
        <v>36620.566894487049</v>
      </c>
      <c r="AA198" s="19">
        <v>45220.701923905981</v>
      </c>
      <c r="AB198" s="19">
        <v>53233.642030504103</v>
      </c>
      <c r="AC198" s="19">
        <v>59613.86887966864</v>
      </c>
      <c r="AD198" s="19">
        <v>63292.547256495629</v>
      </c>
      <c r="AE198" s="19">
        <v>63423.560052823501</v>
      </c>
      <c r="AF198" s="19">
        <v>59655.104655132884</v>
      </c>
      <c r="AG198" s="19">
        <v>52328.116677097671</v>
      </c>
      <c r="AH198" s="19">
        <v>43169.200181047789</v>
      </c>
      <c r="AI198" s="19">
        <v>32927.553942915903</v>
      </c>
      <c r="AJ198" s="19">
        <v>22735.379397410823</v>
      </c>
      <c r="AK198" s="19">
        <v>1635.8312493711244</v>
      </c>
      <c r="AL198" s="19">
        <v>0</v>
      </c>
      <c r="AM198" s="19">
        <v>0</v>
      </c>
      <c r="AN198" s="19">
        <v>0</v>
      </c>
      <c r="AO198" s="19">
        <v>0</v>
      </c>
      <c r="AP198" s="19">
        <v>0</v>
      </c>
      <c r="AQ198" s="19">
        <v>0</v>
      </c>
      <c r="AR198" s="19">
        <v>618036.6574083739</v>
      </c>
    </row>
    <row r="199" spans="1:44" x14ac:dyDescent="0.25">
      <c r="A199" t="s">
        <v>131</v>
      </c>
      <c r="B199" t="s">
        <v>203</v>
      </c>
      <c r="C199" t="s">
        <v>44</v>
      </c>
      <c r="D199" t="s">
        <v>204</v>
      </c>
      <c r="E199" t="s">
        <v>134</v>
      </c>
      <c r="F199" t="s">
        <v>205</v>
      </c>
      <c r="G199" t="s">
        <v>28</v>
      </c>
      <c r="H199" t="s">
        <v>138</v>
      </c>
      <c r="I199" t="s">
        <v>135</v>
      </c>
      <c r="J199" t="s">
        <v>39</v>
      </c>
      <c r="K199" t="s">
        <v>28</v>
      </c>
      <c r="L199">
        <v>0.09</v>
      </c>
      <c r="M199">
        <v>1</v>
      </c>
      <c r="N199" s="2">
        <v>1.8271701747264129</v>
      </c>
      <c r="O199" s="2">
        <v>3.8999213404809634</v>
      </c>
      <c r="P199" s="1">
        <v>-0.74454349524626096</v>
      </c>
      <c r="Q199" s="1">
        <v>1.5539245767561041</v>
      </c>
      <c r="R199" s="1">
        <v>-1.570431685485667</v>
      </c>
      <c r="S199" s="19">
        <v>578.25494091851067</v>
      </c>
      <c r="T199" s="19">
        <v>1155.1299864849666</v>
      </c>
      <c r="U199" s="19">
        <v>2049.4009046986521</v>
      </c>
      <c r="V199" s="19">
        <v>3330.5785236363449</v>
      </c>
      <c r="W199" s="19">
        <v>5049.9975029815332</v>
      </c>
      <c r="X199" s="19">
        <v>7223.9947813881918</v>
      </c>
      <c r="Y199" s="19">
        <v>9813.4623816473304</v>
      </c>
      <c r="Z199" s="19">
        <v>12703.054459229919</v>
      </c>
      <c r="AA199" s="19">
        <v>15686.295651268552</v>
      </c>
      <c r="AB199" s="19">
        <v>18465.848869162262</v>
      </c>
      <c r="AC199" s="19">
        <v>20679.04150926253</v>
      </c>
      <c r="AD199" s="19">
        <v>21955.112737036437</v>
      </c>
      <c r="AE199" s="19">
        <v>22000.558857283675</v>
      </c>
      <c r="AF199" s="19">
        <v>20693.345501412623</v>
      </c>
      <c r="AG199" s="19">
        <v>18151.737459809203</v>
      </c>
      <c r="AH199" s="19">
        <v>14974.664440374974</v>
      </c>
      <c r="AI199" s="19">
        <v>11422.010810243924</v>
      </c>
      <c r="AJ199" s="19">
        <v>7886.5180724452885</v>
      </c>
      <c r="AK199" s="19">
        <v>567.44215639103197</v>
      </c>
      <c r="AL199" s="19">
        <v>0</v>
      </c>
      <c r="AM199" s="19">
        <v>0</v>
      </c>
      <c r="AN199" s="19">
        <v>0</v>
      </c>
      <c r="AO199" s="19">
        <v>0</v>
      </c>
      <c r="AP199" s="19">
        <v>0</v>
      </c>
      <c r="AQ199" s="19">
        <v>0</v>
      </c>
      <c r="AR199" s="19">
        <v>214386.44954567601</v>
      </c>
    </row>
    <row r="200" spans="1:44" x14ac:dyDescent="0.25">
      <c r="A200" t="s">
        <v>131</v>
      </c>
      <c r="B200" t="s">
        <v>206</v>
      </c>
      <c r="C200" t="s">
        <v>44</v>
      </c>
      <c r="D200" t="s">
        <v>204</v>
      </c>
      <c r="E200" t="s">
        <v>134</v>
      </c>
      <c r="F200" t="s">
        <v>205</v>
      </c>
      <c r="G200" t="s">
        <v>28</v>
      </c>
      <c r="H200" t="s">
        <v>55</v>
      </c>
      <c r="I200" t="s">
        <v>135</v>
      </c>
      <c r="J200" t="s">
        <v>39</v>
      </c>
      <c r="K200" t="s">
        <v>28</v>
      </c>
      <c r="L200">
        <v>0.04</v>
      </c>
      <c r="M200">
        <v>0</v>
      </c>
      <c r="N200" s="2">
        <v>0.90182436584610259</v>
      </c>
      <c r="O200" s="2">
        <v>3.8461052289768833</v>
      </c>
      <c r="P200" s="1">
        <v>0.84230412208661365</v>
      </c>
      <c r="Q200" s="1">
        <v>3.1049333541129269</v>
      </c>
      <c r="R200" s="1">
        <v>-1.5345928455096165</v>
      </c>
      <c r="S200" s="19">
        <v>5.1344676750225187</v>
      </c>
      <c r="T200" s="19">
        <v>10.256682920227863</v>
      </c>
      <c r="U200" s="19">
        <v>18.197134090411534</v>
      </c>
      <c r="V200" s="19">
        <v>29.573024904157155</v>
      </c>
      <c r="W200" s="19">
        <v>44.840168415711162</v>
      </c>
      <c r="X200" s="19">
        <v>64.143624316728605</v>
      </c>
      <c r="Y200" s="19">
        <v>87.136143270271461</v>
      </c>
      <c r="Z200" s="19">
        <v>112.79354118680703</v>
      </c>
      <c r="AA200" s="19">
        <v>139.28247259651985</v>
      </c>
      <c r="AB200" s="19">
        <v>163.96280844563685</v>
      </c>
      <c r="AC200" s="19">
        <v>183.61428959189811</v>
      </c>
      <c r="AD200" s="19">
        <v>194.94483950406001</v>
      </c>
      <c r="AE200" s="19">
        <v>195.34836677006837</v>
      </c>
      <c r="AF200" s="19">
        <v>183.74129825212981</v>
      </c>
      <c r="AG200" s="19">
        <v>161.17373607711147</v>
      </c>
      <c r="AH200" s="19">
        <v>132.96372425505936</v>
      </c>
      <c r="AI200" s="19">
        <v>101.41883992517369</v>
      </c>
      <c r="AJ200" s="19">
        <v>70.026331374067112</v>
      </c>
      <c r="AK200" s="19">
        <v>5.0384583049258804</v>
      </c>
      <c r="AL200" s="19">
        <v>0</v>
      </c>
      <c r="AM200" s="19">
        <v>0</v>
      </c>
      <c r="AN200" s="19">
        <v>0</v>
      </c>
      <c r="AO200" s="19">
        <v>0</v>
      </c>
      <c r="AP200" s="19">
        <v>0</v>
      </c>
      <c r="AQ200" s="19">
        <v>0</v>
      </c>
      <c r="AR200" s="19">
        <v>1903.5899518759877</v>
      </c>
    </row>
    <row r="201" spans="1:44" x14ac:dyDescent="0.25">
      <c r="A201" t="s">
        <v>131</v>
      </c>
      <c r="B201" t="s">
        <v>206</v>
      </c>
      <c r="C201" t="s">
        <v>44</v>
      </c>
      <c r="D201" t="s">
        <v>204</v>
      </c>
      <c r="E201" t="s">
        <v>134</v>
      </c>
      <c r="F201" t="s">
        <v>205</v>
      </c>
      <c r="G201" t="s">
        <v>28</v>
      </c>
      <c r="H201" t="s">
        <v>136</v>
      </c>
      <c r="I201" t="s">
        <v>135</v>
      </c>
      <c r="J201" t="s">
        <v>39</v>
      </c>
      <c r="K201" t="s">
        <v>28</v>
      </c>
      <c r="L201">
        <v>0.04</v>
      </c>
      <c r="M201">
        <v>0</v>
      </c>
      <c r="N201" s="2">
        <v>0.90182436584610259</v>
      </c>
      <c r="O201" s="2">
        <v>3.8461052289768833</v>
      </c>
      <c r="P201" s="1">
        <v>0.84230412208661365</v>
      </c>
      <c r="Q201" s="1">
        <v>3.1049333541129269</v>
      </c>
      <c r="R201" s="1">
        <v>-1.5345928455096165</v>
      </c>
      <c r="S201" s="19">
        <v>6.446609414194941</v>
      </c>
      <c r="T201" s="19">
        <v>12.877835222063872</v>
      </c>
      <c r="U201" s="19">
        <v>22.847512802405586</v>
      </c>
      <c r="V201" s="19">
        <v>37.130575712997327</v>
      </c>
      <c r="W201" s="19">
        <v>56.299322566392888</v>
      </c>
      <c r="X201" s="19">
        <v>80.535883864337009</v>
      </c>
      <c r="Y201" s="19">
        <v>109.4042687726742</v>
      </c>
      <c r="Z201" s="19">
        <v>141.61855726787996</v>
      </c>
      <c r="AA201" s="19">
        <v>174.87688226007492</v>
      </c>
      <c r="AB201" s="19">
        <v>205.86441504841068</v>
      </c>
      <c r="AC201" s="19">
        <v>230.53794137649425</v>
      </c>
      <c r="AD201" s="19">
        <v>244.76407626620872</v>
      </c>
      <c r="AE201" s="19">
        <v>245.27072716686351</v>
      </c>
      <c r="AF201" s="19">
        <v>230.69740780545183</v>
      </c>
      <c r="AG201" s="19">
        <v>202.36257974126221</v>
      </c>
      <c r="AH201" s="19">
        <v>166.94334267579677</v>
      </c>
      <c r="AI201" s="19">
        <v>127.33698790605141</v>
      </c>
      <c r="AJ201" s="19">
        <v>87.921949391884283</v>
      </c>
      <c r="AK201" s="19">
        <v>6.3260643161839107</v>
      </c>
      <c r="AL201" s="19">
        <v>0</v>
      </c>
      <c r="AM201" s="19">
        <v>0</v>
      </c>
      <c r="AN201" s="19">
        <v>0</v>
      </c>
      <c r="AO201" s="19">
        <v>0</v>
      </c>
      <c r="AP201" s="19">
        <v>0</v>
      </c>
      <c r="AQ201" s="19">
        <v>0</v>
      </c>
      <c r="AR201" s="19">
        <v>2390.0629395776282</v>
      </c>
    </row>
    <row r="202" spans="1:44" x14ac:dyDescent="0.25">
      <c r="A202" t="s">
        <v>131</v>
      </c>
      <c r="B202" t="s">
        <v>207</v>
      </c>
      <c r="C202" t="s">
        <v>44</v>
      </c>
      <c r="D202" t="s">
        <v>204</v>
      </c>
      <c r="E202" t="s">
        <v>134</v>
      </c>
      <c r="F202" t="s">
        <v>208</v>
      </c>
      <c r="G202" t="s">
        <v>28</v>
      </c>
      <c r="H202" t="s">
        <v>53</v>
      </c>
      <c r="I202" t="s">
        <v>135</v>
      </c>
      <c r="J202" t="s">
        <v>39</v>
      </c>
      <c r="K202" t="s">
        <v>28</v>
      </c>
      <c r="L202">
        <v>0.06</v>
      </c>
      <c r="M202">
        <v>1</v>
      </c>
      <c r="N202" s="2">
        <v>1.5151047046512438</v>
      </c>
      <c r="O202" s="2">
        <v>3.7699868031679262</v>
      </c>
      <c r="P202" s="1">
        <v>-0.39232123746975334</v>
      </c>
      <c r="Q202" s="1">
        <v>1.8115497635035092</v>
      </c>
      <c r="R202" s="1">
        <v>-1.4758346144565648</v>
      </c>
      <c r="S202" s="19">
        <v>16.3112962117984</v>
      </c>
      <c r="T202" s="19">
        <v>32.583668619862578</v>
      </c>
      <c r="U202" s="19">
        <v>57.809078397443677</v>
      </c>
      <c r="V202" s="19">
        <v>93.948272658758682</v>
      </c>
      <c r="W202" s="19">
        <v>142.44928890556969</v>
      </c>
      <c r="X202" s="19">
        <v>203.7729561368572</v>
      </c>
      <c r="Y202" s="19">
        <v>276.81612459053366</v>
      </c>
      <c r="Z202" s="19">
        <v>358.32514245356964</v>
      </c>
      <c r="AA202" s="19">
        <v>442.47579523880518</v>
      </c>
      <c r="AB202" s="19">
        <v>520.88085962356593</v>
      </c>
      <c r="AC202" s="19">
        <v>583.31014154047546</v>
      </c>
      <c r="AD202" s="19">
        <v>619.30529577212201</v>
      </c>
      <c r="AE202" s="19">
        <v>620.5872305669244</v>
      </c>
      <c r="AF202" s="19">
        <v>583.71362560340583</v>
      </c>
      <c r="AG202" s="19">
        <v>512.02046971781817</v>
      </c>
      <c r="AH202" s="19">
        <v>422.40224868854489</v>
      </c>
      <c r="AI202" s="19">
        <v>322.18972718904462</v>
      </c>
      <c r="AJ202" s="19">
        <v>222.46127660409329</v>
      </c>
      <c r="AK202" s="19">
        <v>16.006291414049045</v>
      </c>
      <c r="AL202" s="19">
        <v>0</v>
      </c>
      <c r="AM202" s="19">
        <v>0</v>
      </c>
      <c r="AN202" s="19">
        <v>0</v>
      </c>
      <c r="AO202" s="19">
        <v>0</v>
      </c>
      <c r="AP202" s="19">
        <v>0</v>
      </c>
      <c r="AQ202" s="19">
        <v>0</v>
      </c>
      <c r="AR202" s="19">
        <v>6047.3687899332426</v>
      </c>
    </row>
    <row r="203" spans="1:44" x14ac:dyDescent="0.25">
      <c r="A203" t="s">
        <v>131</v>
      </c>
      <c r="B203" t="s">
        <v>207</v>
      </c>
      <c r="C203" t="s">
        <v>44</v>
      </c>
      <c r="D203" t="s">
        <v>204</v>
      </c>
      <c r="E203" t="s">
        <v>134</v>
      </c>
      <c r="F203" t="s">
        <v>208</v>
      </c>
      <c r="G203" t="s">
        <v>28</v>
      </c>
      <c r="H203" t="s">
        <v>141</v>
      </c>
      <c r="I203" t="s">
        <v>135</v>
      </c>
      <c r="J203" t="s">
        <v>39</v>
      </c>
      <c r="K203" t="s">
        <v>28</v>
      </c>
      <c r="L203">
        <v>0.06</v>
      </c>
      <c r="M203">
        <v>1</v>
      </c>
      <c r="N203" s="2">
        <v>1.5151047046512438</v>
      </c>
      <c r="O203" s="2">
        <v>3.7699868031679262</v>
      </c>
      <c r="P203" s="1">
        <v>-0.39232123746975334</v>
      </c>
      <c r="Q203" s="1">
        <v>1.8115497635035092</v>
      </c>
      <c r="R203" s="1">
        <v>-1.4758346144565648</v>
      </c>
      <c r="S203" s="19">
        <v>13.728674311596986</v>
      </c>
      <c r="T203" s="19">
        <v>27.424587755051007</v>
      </c>
      <c r="U203" s="19">
        <v>48.655974317848411</v>
      </c>
      <c r="V203" s="19">
        <v>79.073129487788549</v>
      </c>
      <c r="W203" s="19">
        <v>119.89481816218782</v>
      </c>
      <c r="X203" s="19">
        <v>171.50890474852145</v>
      </c>
      <c r="Y203" s="19">
        <v>232.98690486369915</v>
      </c>
      <c r="Z203" s="19">
        <v>301.59032823175437</v>
      </c>
      <c r="AA203" s="19">
        <v>372.4171276593276</v>
      </c>
      <c r="AB203" s="19">
        <v>438.40805684983479</v>
      </c>
      <c r="AC203" s="19">
        <v>490.95270246323338</v>
      </c>
      <c r="AD203" s="19">
        <v>521.24862394153593</v>
      </c>
      <c r="AE203" s="19">
        <v>522.32758572716114</v>
      </c>
      <c r="AF203" s="19">
        <v>491.29230154953314</v>
      </c>
      <c r="AG203" s="19">
        <v>430.95056201249673</v>
      </c>
      <c r="AH203" s="19">
        <v>355.52189264619199</v>
      </c>
      <c r="AI203" s="19">
        <v>271.17635371744586</v>
      </c>
      <c r="AJ203" s="19">
        <v>187.2382411417785</v>
      </c>
      <c r="AK203" s="19">
        <v>13.471961940161709</v>
      </c>
      <c r="AL203" s="19">
        <v>0</v>
      </c>
      <c r="AM203" s="19">
        <v>0</v>
      </c>
      <c r="AN203" s="19">
        <v>0</v>
      </c>
      <c r="AO203" s="19">
        <v>0</v>
      </c>
      <c r="AP203" s="19">
        <v>0</v>
      </c>
      <c r="AQ203" s="19">
        <v>0</v>
      </c>
      <c r="AR203" s="19">
        <v>5089.8687315271491</v>
      </c>
    </row>
    <row r="204" spans="1:44" x14ac:dyDescent="0.25">
      <c r="A204" t="s">
        <v>131</v>
      </c>
      <c r="B204" t="s">
        <v>209</v>
      </c>
      <c r="C204" t="s">
        <v>44</v>
      </c>
      <c r="D204" t="s">
        <v>210</v>
      </c>
      <c r="E204" t="s">
        <v>134</v>
      </c>
      <c r="F204" t="s">
        <v>210</v>
      </c>
      <c r="G204" t="s">
        <v>28</v>
      </c>
      <c r="H204" t="s">
        <v>52</v>
      </c>
      <c r="I204" t="s">
        <v>135</v>
      </c>
      <c r="J204" t="s">
        <v>39</v>
      </c>
      <c r="K204" t="s">
        <v>28</v>
      </c>
      <c r="L204">
        <v>1.2426830176632301E-2</v>
      </c>
      <c r="M204">
        <v>0</v>
      </c>
      <c r="N204" s="2">
        <v>0.92533014665824875</v>
      </c>
      <c r="O204" s="2">
        <v>3.8670716226463648</v>
      </c>
      <c r="P204" s="1">
        <v>0.76800378363567889</v>
      </c>
      <c r="Q204" s="1">
        <v>3.0425560657676498</v>
      </c>
      <c r="R204" s="1">
        <v>-1.5465158956152727</v>
      </c>
      <c r="S204" s="19">
        <v>2366.2653290762905</v>
      </c>
      <c r="T204" s="19">
        <v>4726.8840163372352</v>
      </c>
      <c r="U204" s="19">
        <v>8386.3119240504693</v>
      </c>
      <c r="V204" s="19">
        <v>13628.992903594408</v>
      </c>
      <c r="W204" s="19">
        <v>20664.992475889663</v>
      </c>
      <c r="X204" s="19">
        <v>29561.16269663809</v>
      </c>
      <c r="Y204" s="19">
        <v>40157.470604577022</v>
      </c>
      <c r="Z204" s="19">
        <v>51981.911806058772</v>
      </c>
      <c r="AA204" s="19">
        <v>64189.572651602699</v>
      </c>
      <c r="AB204" s="19">
        <v>75563.726064588773</v>
      </c>
      <c r="AC204" s="19">
        <v>84620.286830879035</v>
      </c>
      <c r="AD204" s="19">
        <v>89842.072050590141</v>
      </c>
      <c r="AE204" s="19">
        <v>90028.041198577484</v>
      </c>
      <c r="AF204" s="19">
        <v>84678.819907377052</v>
      </c>
      <c r="AG204" s="19">
        <v>74278.357129843804</v>
      </c>
      <c r="AH204" s="19">
        <v>61277.520990182747</v>
      </c>
      <c r="AI204" s="19">
        <v>46739.779042240087</v>
      </c>
      <c r="AJ204" s="19">
        <v>32272.260834154651</v>
      </c>
      <c r="AK204" s="19">
        <v>2322.0185525638658</v>
      </c>
      <c r="AL204" s="19">
        <v>0</v>
      </c>
      <c r="AM204" s="19">
        <v>0</v>
      </c>
      <c r="AN204" s="19">
        <v>0</v>
      </c>
      <c r="AO204" s="19">
        <v>0</v>
      </c>
      <c r="AP204" s="19">
        <v>0</v>
      </c>
      <c r="AQ204" s="19">
        <v>0</v>
      </c>
      <c r="AR204" s="19">
        <v>877286.44700882223</v>
      </c>
    </row>
    <row r="205" spans="1:44" x14ac:dyDescent="0.25">
      <c r="A205" t="s">
        <v>131</v>
      </c>
      <c r="B205" t="s">
        <v>209</v>
      </c>
      <c r="C205" t="s">
        <v>44</v>
      </c>
      <c r="D205" t="s">
        <v>210</v>
      </c>
      <c r="E205" t="s">
        <v>134</v>
      </c>
      <c r="F205" t="s">
        <v>210</v>
      </c>
      <c r="G205" t="s">
        <v>28</v>
      </c>
      <c r="H205" t="s">
        <v>138</v>
      </c>
      <c r="I205" t="s">
        <v>135</v>
      </c>
      <c r="J205" t="s">
        <v>39</v>
      </c>
      <c r="K205" t="s">
        <v>28</v>
      </c>
      <c r="L205">
        <v>1.2426830176632301E-2</v>
      </c>
      <c r="M205">
        <v>0</v>
      </c>
      <c r="N205" s="2">
        <v>0.92533014665824875</v>
      </c>
      <c r="O205" s="2">
        <v>3.8670716226463648</v>
      </c>
      <c r="P205" s="1">
        <v>0.76800378363567889</v>
      </c>
      <c r="Q205" s="1">
        <v>3.0425560657676498</v>
      </c>
      <c r="R205" s="1">
        <v>-1.5465158956152727</v>
      </c>
      <c r="S205" s="19">
        <v>820.81736819778348</v>
      </c>
      <c r="T205" s="19">
        <v>1639.6760119798914</v>
      </c>
      <c r="U205" s="19">
        <v>2909.0695780392166</v>
      </c>
      <c r="V205" s="19">
        <v>4727.6668211512952</v>
      </c>
      <c r="W205" s="19">
        <v>7168.3359129080472</v>
      </c>
      <c r="X205" s="19">
        <v>10254.266699243288</v>
      </c>
      <c r="Y205" s="19">
        <v>13929.94645617192</v>
      </c>
      <c r="Z205" s="19">
        <v>18031.644853282127</v>
      </c>
      <c r="AA205" s="19">
        <v>22266.275654808545</v>
      </c>
      <c r="AB205" s="19">
        <v>26211.776844047356</v>
      </c>
      <c r="AC205" s="19">
        <v>29353.344394298183</v>
      </c>
      <c r="AD205" s="19">
        <v>31164.693252209458</v>
      </c>
      <c r="AE205" s="19">
        <v>31229.202800120773</v>
      </c>
      <c r="AF205" s="19">
        <v>29373.648527234265</v>
      </c>
      <c r="AG205" s="19">
        <v>25765.904129260791</v>
      </c>
      <c r="AH205" s="19">
        <v>21256.134251217183</v>
      </c>
      <c r="AI205" s="19">
        <v>16213.237776920714</v>
      </c>
      <c r="AJ205" s="19">
        <v>11194.700728689571</v>
      </c>
      <c r="AK205" s="19">
        <v>805.46891077759756</v>
      </c>
      <c r="AL205" s="19">
        <v>0</v>
      </c>
      <c r="AM205" s="19">
        <v>0</v>
      </c>
      <c r="AN205" s="19">
        <v>0</v>
      </c>
      <c r="AO205" s="19">
        <v>0</v>
      </c>
      <c r="AP205" s="19">
        <v>0</v>
      </c>
      <c r="AQ205" s="19">
        <v>0</v>
      </c>
      <c r="AR205" s="19">
        <v>304315.81097055803</v>
      </c>
    </row>
    <row r="206" spans="1:44" x14ac:dyDescent="0.25">
      <c r="A206" t="s">
        <v>131</v>
      </c>
      <c r="B206" t="s">
        <v>211</v>
      </c>
      <c r="C206" t="s">
        <v>44</v>
      </c>
      <c r="D206" t="s">
        <v>212</v>
      </c>
      <c r="E206" t="s">
        <v>134</v>
      </c>
      <c r="F206" t="s">
        <v>213</v>
      </c>
      <c r="G206" t="s">
        <v>28</v>
      </c>
      <c r="H206" t="s">
        <v>52</v>
      </c>
      <c r="I206" t="s">
        <v>135</v>
      </c>
      <c r="J206" t="s">
        <v>39</v>
      </c>
      <c r="K206" t="s">
        <v>28</v>
      </c>
      <c r="L206">
        <v>0.08</v>
      </c>
      <c r="M206">
        <v>1</v>
      </c>
      <c r="N206" s="2">
        <v>1.4359206067058703</v>
      </c>
      <c r="O206" s="2">
        <v>3.8607169542227191</v>
      </c>
      <c r="P206" s="1">
        <v>-0.312476110582809</v>
      </c>
      <c r="Q206" s="1">
        <v>1.9574497417124983</v>
      </c>
      <c r="R206" s="1">
        <v>-1.5418894657786095</v>
      </c>
      <c r="S206" s="19">
        <v>1232.9956650438558</v>
      </c>
      <c r="T206" s="19">
        <v>2463.0490206202035</v>
      </c>
      <c r="U206" s="19">
        <v>4369.8760747579909</v>
      </c>
      <c r="V206" s="19">
        <v>7101.692681101521</v>
      </c>
      <c r="W206" s="19">
        <v>10767.958194646884</v>
      </c>
      <c r="X206" s="19">
        <v>15403.50737963915</v>
      </c>
      <c r="Y206" s="19">
        <v>20924.951469368028</v>
      </c>
      <c r="Z206" s="19">
        <v>27086.34197948646</v>
      </c>
      <c r="AA206" s="19">
        <v>33447.417687237743</v>
      </c>
      <c r="AB206" s="19">
        <v>39374.175637594155</v>
      </c>
      <c r="AC206" s="19">
        <v>44093.299916612021</v>
      </c>
      <c r="AD206" s="19">
        <v>46814.228318249574</v>
      </c>
      <c r="AE206" s="19">
        <v>46911.131717239805</v>
      </c>
      <c r="AF206" s="19">
        <v>44123.79989000762</v>
      </c>
      <c r="AG206" s="19">
        <v>38704.405301593295</v>
      </c>
      <c r="AH206" s="19">
        <v>31930.02780251329</v>
      </c>
      <c r="AI206" s="19">
        <v>24354.811033252328</v>
      </c>
      <c r="AJ206" s="19">
        <v>16816.185919949457</v>
      </c>
      <c r="AK206" s="19">
        <v>1209.9398889388144</v>
      </c>
      <c r="AL206" s="19">
        <v>0</v>
      </c>
      <c r="AM206" s="19">
        <v>0</v>
      </c>
      <c r="AN206" s="19">
        <v>0</v>
      </c>
      <c r="AO206" s="19">
        <v>0</v>
      </c>
      <c r="AP206" s="19">
        <v>0</v>
      </c>
      <c r="AQ206" s="19">
        <v>0</v>
      </c>
      <c r="AR206" s="19">
        <v>457129.79557785206</v>
      </c>
    </row>
    <row r="207" spans="1:44" x14ac:dyDescent="0.25">
      <c r="A207" t="s">
        <v>131</v>
      </c>
      <c r="B207" t="s">
        <v>211</v>
      </c>
      <c r="C207" t="s">
        <v>44</v>
      </c>
      <c r="D207" t="s">
        <v>212</v>
      </c>
      <c r="E207" t="s">
        <v>134</v>
      </c>
      <c r="F207" t="s">
        <v>213</v>
      </c>
      <c r="G207" t="s">
        <v>28</v>
      </c>
      <c r="H207" t="s">
        <v>55</v>
      </c>
      <c r="I207" t="s">
        <v>135</v>
      </c>
      <c r="J207" t="s">
        <v>39</v>
      </c>
      <c r="K207" t="s">
        <v>28</v>
      </c>
      <c r="L207">
        <v>0.08</v>
      </c>
      <c r="M207">
        <v>1</v>
      </c>
      <c r="N207" s="2">
        <v>1.4359206067058703</v>
      </c>
      <c r="O207" s="2">
        <v>3.8607169542227191</v>
      </c>
      <c r="P207" s="1">
        <v>-0.312476110582809</v>
      </c>
      <c r="Q207" s="1">
        <v>1.9574497417124983</v>
      </c>
      <c r="R207" s="1">
        <v>-1.5418894657786095</v>
      </c>
      <c r="S207" s="19">
        <v>0</v>
      </c>
      <c r="T207" s="19">
        <v>0</v>
      </c>
      <c r="U207" s="19">
        <v>0</v>
      </c>
      <c r="V207" s="19">
        <v>0</v>
      </c>
      <c r="W207" s="19">
        <v>0</v>
      </c>
      <c r="X207" s="19">
        <v>0</v>
      </c>
      <c r="Y207" s="19">
        <v>0</v>
      </c>
      <c r="Z207" s="19">
        <v>0</v>
      </c>
      <c r="AA207" s="19">
        <v>0</v>
      </c>
      <c r="AB207" s="19">
        <v>0</v>
      </c>
      <c r="AC207" s="19">
        <v>0</v>
      </c>
      <c r="AD207" s="19">
        <v>0</v>
      </c>
      <c r="AE207" s="19">
        <v>0</v>
      </c>
      <c r="AF207" s="19">
        <v>0</v>
      </c>
      <c r="AG207" s="19">
        <v>0</v>
      </c>
      <c r="AH207" s="19">
        <v>0</v>
      </c>
      <c r="AI207" s="19">
        <v>0</v>
      </c>
      <c r="AJ207" s="19">
        <v>0</v>
      </c>
      <c r="AK207" s="19">
        <v>0</v>
      </c>
      <c r="AL207" s="19">
        <v>0</v>
      </c>
      <c r="AM207" s="19">
        <v>0</v>
      </c>
      <c r="AN207" s="19">
        <v>0</v>
      </c>
      <c r="AO207" s="19">
        <v>0</v>
      </c>
      <c r="AP207" s="19">
        <v>0</v>
      </c>
      <c r="AQ207" s="19">
        <v>0</v>
      </c>
      <c r="AR207" s="19">
        <v>0</v>
      </c>
    </row>
    <row r="208" spans="1:44" x14ac:dyDescent="0.25">
      <c r="A208" t="s">
        <v>131</v>
      </c>
      <c r="B208" t="s">
        <v>211</v>
      </c>
      <c r="C208" t="s">
        <v>44</v>
      </c>
      <c r="D208" t="s">
        <v>212</v>
      </c>
      <c r="E208" t="s">
        <v>134</v>
      </c>
      <c r="F208" t="s">
        <v>213</v>
      </c>
      <c r="G208" t="s">
        <v>28</v>
      </c>
      <c r="H208" t="s">
        <v>138</v>
      </c>
      <c r="I208" t="s">
        <v>135</v>
      </c>
      <c r="J208" t="s">
        <v>39</v>
      </c>
      <c r="K208" t="s">
        <v>28</v>
      </c>
      <c r="L208">
        <v>0.08</v>
      </c>
      <c r="M208">
        <v>1</v>
      </c>
      <c r="N208" s="2">
        <v>1.4359206067058703</v>
      </c>
      <c r="O208" s="2">
        <v>3.8607169542227191</v>
      </c>
      <c r="P208" s="1">
        <v>-0.312476110582809</v>
      </c>
      <c r="Q208" s="1">
        <v>1.9574497417124983</v>
      </c>
      <c r="R208" s="1">
        <v>-1.5418894657786095</v>
      </c>
      <c r="S208" s="19">
        <v>427.70531450741794</v>
      </c>
      <c r="T208" s="19">
        <v>854.389991690751</v>
      </c>
      <c r="U208" s="19">
        <v>1515.8360032403914</v>
      </c>
      <c r="V208" s="19">
        <v>2463.4569186401131</v>
      </c>
      <c r="W208" s="19">
        <v>3735.2223343626774</v>
      </c>
      <c r="X208" s="19">
        <v>5343.2158401721254</v>
      </c>
      <c r="Y208" s="19">
        <v>7258.5112851472813</v>
      </c>
      <c r="Z208" s="19">
        <v>9395.7933053882007</v>
      </c>
      <c r="AA208" s="19">
        <v>11602.342738870992</v>
      </c>
      <c r="AB208" s="19">
        <v>13658.234697806924</v>
      </c>
      <c r="AC208" s="19">
        <v>15295.218988327641</v>
      </c>
      <c r="AD208" s="19">
        <v>16239.062969914678</v>
      </c>
      <c r="AE208" s="19">
        <v>16272.677117893443</v>
      </c>
      <c r="AF208" s="19">
        <v>15305.798912558888</v>
      </c>
      <c r="AG208" s="19">
        <v>13425.902711305742</v>
      </c>
      <c r="AH208" s="19">
        <v>11075.985885983466</v>
      </c>
      <c r="AI208" s="19">
        <v>8448.2714806425629</v>
      </c>
      <c r="AJ208" s="19">
        <v>5833.2501010466849</v>
      </c>
      <c r="AK208" s="19">
        <v>419.70765624329448</v>
      </c>
      <c r="AL208" s="19">
        <v>0</v>
      </c>
      <c r="AM208" s="19">
        <v>0</v>
      </c>
      <c r="AN208" s="19">
        <v>0</v>
      </c>
      <c r="AO208" s="19">
        <v>0</v>
      </c>
      <c r="AP208" s="19">
        <v>0</v>
      </c>
      <c r="AQ208" s="19">
        <v>0</v>
      </c>
      <c r="AR208" s="19">
        <v>158570.58425374329</v>
      </c>
    </row>
    <row r="209" spans="1:44" x14ac:dyDescent="0.25">
      <c r="A209" t="s">
        <v>131</v>
      </c>
      <c r="B209" t="s">
        <v>211</v>
      </c>
      <c r="C209" t="s">
        <v>44</v>
      </c>
      <c r="D209" t="s">
        <v>212</v>
      </c>
      <c r="E209" t="s">
        <v>134</v>
      </c>
      <c r="F209" t="s">
        <v>213</v>
      </c>
      <c r="G209" t="s">
        <v>28</v>
      </c>
      <c r="H209" t="s">
        <v>136</v>
      </c>
      <c r="I209" t="s">
        <v>135</v>
      </c>
      <c r="J209" t="s">
        <v>39</v>
      </c>
      <c r="K209" t="s">
        <v>28</v>
      </c>
      <c r="L209">
        <v>0.08</v>
      </c>
      <c r="M209">
        <v>1</v>
      </c>
      <c r="N209" s="2">
        <v>1.4359206067058703</v>
      </c>
      <c r="O209" s="2">
        <v>3.8607169542227191</v>
      </c>
      <c r="P209" s="1">
        <v>-0.312476110582809</v>
      </c>
      <c r="Q209" s="1">
        <v>1.9574497417124983</v>
      </c>
      <c r="R209" s="1">
        <v>-1.5418894657786095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19">
        <v>0</v>
      </c>
      <c r="AI209" s="19">
        <v>0</v>
      </c>
      <c r="AJ209" s="19">
        <v>0</v>
      </c>
      <c r="AK209" s="19">
        <v>0</v>
      </c>
      <c r="AL209" s="19">
        <v>0</v>
      </c>
      <c r="AM209" s="19">
        <v>0</v>
      </c>
      <c r="AN209" s="19">
        <v>0</v>
      </c>
      <c r="AO209" s="19">
        <v>0</v>
      </c>
      <c r="AP209" s="19">
        <v>0</v>
      </c>
      <c r="AQ209" s="19">
        <v>0</v>
      </c>
      <c r="AR209" s="19">
        <v>0</v>
      </c>
    </row>
    <row r="210" spans="1:44" x14ac:dyDescent="0.25">
      <c r="A210" t="s">
        <v>131</v>
      </c>
      <c r="B210" t="s">
        <v>214</v>
      </c>
      <c r="C210" t="s">
        <v>44</v>
      </c>
      <c r="D210" t="s">
        <v>212</v>
      </c>
      <c r="E210" t="s">
        <v>134</v>
      </c>
      <c r="F210" t="s">
        <v>215</v>
      </c>
      <c r="G210" t="s">
        <v>28</v>
      </c>
      <c r="H210" t="s">
        <v>52</v>
      </c>
      <c r="I210" t="s">
        <v>135</v>
      </c>
      <c r="J210" t="s">
        <v>39</v>
      </c>
      <c r="K210" t="s">
        <v>28</v>
      </c>
      <c r="L210">
        <v>4.6443704447863325E-2</v>
      </c>
      <c r="M210">
        <v>0</v>
      </c>
      <c r="N210" s="2">
        <v>0.67136779164566907</v>
      </c>
      <c r="O210" s="2">
        <v>3.8402067578633954</v>
      </c>
      <c r="P210" s="1">
        <v>1.90935600167047</v>
      </c>
      <c r="Q210" s="1">
        <v>4.1643496847215875</v>
      </c>
      <c r="R210" s="1">
        <v>-1.5269572965344196</v>
      </c>
      <c r="S210" s="19">
        <v>0</v>
      </c>
      <c r="T210" s="19">
        <v>0</v>
      </c>
      <c r="U210" s="19">
        <v>1468.9511207717526</v>
      </c>
      <c r="V210" s="19">
        <v>2387.262074441865</v>
      </c>
      <c r="W210" s="19">
        <v>3619.6917230257882</v>
      </c>
      <c r="X210" s="19">
        <v>5177.9499102591835</v>
      </c>
      <c r="Y210" s="19">
        <v>7034.0051724979385</v>
      </c>
      <c r="Z210" s="19">
        <v>9105.1809542624487</v>
      </c>
      <c r="AA210" s="19">
        <v>11243.481704755171</v>
      </c>
      <c r="AB210" s="19">
        <v>13235.784823831858</v>
      </c>
      <c r="AC210" s="19">
        <v>14822.13710937314</v>
      </c>
      <c r="AD210" s="19">
        <v>15736.787949979993</v>
      </c>
      <c r="AE210" s="19">
        <v>15769.362410701102</v>
      </c>
      <c r="AF210" s="19">
        <v>14832.389796025232</v>
      </c>
      <c r="AG210" s="19">
        <v>13010.638877151305</v>
      </c>
      <c r="AH210" s="19">
        <v>10733.405095331613</v>
      </c>
      <c r="AI210" s="19">
        <v>8186.966026367596</v>
      </c>
      <c r="AJ210" s="19">
        <v>5652.8273872352211</v>
      </c>
      <c r="AK210" s="19">
        <v>1649.1661127372115</v>
      </c>
      <c r="AL210" s="19">
        <v>0</v>
      </c>
      <c r="AM210" s="19">
        <v>0</v>
      </c>
      <c r="AN210" s="19">
        <v>0</v>
      </c>
      <c r="AO210" s="19">
        <v>0</v>
      </c>
      <c r="AP210" s="19">
        <v>0</v>
      </c>
      <c r="AQ210" s="19">
        <v>0</v>
      </c>
      <c r="AR210" s="19">
        <v>153665.98824874838</v>
      </c>
    </row>
    <row r="211" spans="1:44" x14ac:dyDescent="0.25">
      <c r="A211" t="s">
        <v>131</v>
      </c>
      <c r="B211" t="s">
        <v>214</v>
      </c>
      <c r="C211" t="s">
        <v>44</v>
      </c>
      <c r="D211" t="s">
        <v>212</v>
      </c>
      <c r="E211" t="s">
        <v>134</v>
      </c>
      <c r="F211" t="s">
        <v>215</v>
      </c>
      <c r="G211" t="s">
        <v>28</v>
      </c>
      <c r="H211" t="s">
        <v>55</v>
      </c>
      <c r="I211" t="s">
        <v>135</v>
      </c>
      <c r="J211" t="s">
        <v>39</v>
      </c>
      <c r="K211" t="s">
        <v>28</v>
      </c>
      <c r="L211">
        <v>4.6443704447863325E-2</v>
      </c>
      <c r="M211">
        <v>0</v>
      </c>
      <c r="N211" s="2">
        <v>0.67136779164566907</v>
      </c>
      <c r="O211" s="2">
        <v>3.8402067578633954</v>
      </c>
      <c r="P211" s="1">
        <v>1.90935600167047</v>
      </c>
      <c r="Q211" s="1">
        <v>4.1643496847215875</v>
      </c>
      <c r="R211" s="1">
        <v>-1.5269572965344196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19">
        <v>0</v>
      </c>
      <c r="Y211" s="19">
        <v>0</v>
      </c>
      <c r="Z211" s="19">
        <v>0</v>
      </c>
      <c r="AA211" s="19">
        <v>0</v>
      </c>
      <c r="AB211" s="19">
        <v>0</v>
      </c>
      <c r="AC211" s="19">
        <v>0</v>
      </c>
      <c r="AD211" s="19">
        <v>0</v>
      </c>
      <c r="AE211" s="19">
        <v>0</v>
      </c>
      <c r="AF211" s="19">
        <v>0</v>
      </c>
      <c r="AG211" s="19">
        <v>0</v>
      </c>
      <c r="AH211" s="19">
        <v>0</v>
      </c>
      <c r="AI211" s="19">
        <v>0</v>
      </c>
      <c r="AJ211" s="19">
        <v>0</v>
      </c>
      <c r="AK211" s="19">
        <v>0</v>
      </c>
      <c r="AL211" s="19">
        <v>0</v>
      </c>
      <c r="AM211" s="19">
        <v>0</v>
      </c>
      <c r="AN211" s="19">
        <v>0</v>
      </c>
      <c r="AO211" s="19">
        <v>0</v>
      </c>
      <c r="AP211" s="19">
        <v>0</v>
      </c>
      <c r="AQ211" s="19">
        <v>0</v>
      </c>
      <c r="AR211" s="19">
        <v>0</v>
      </c>
    </row>
    <row r="212" spans="1:44" x14ac:dyDescent="0.25">
      <c r="A212" t="s">
        <v>131</v>
      </c>
      <c r="B212" t="s">
        <v>214</v>
      </c>
      <c r="C212" t="s">
        <v>44</v>
      </c>
      <c r="D212" t="s">
        <v>212</v>
      </c>
      <c r="E212" t="s">
        <v>134</v>
      </c>
      <c r="F212" t="s">
        <v>215</v>
      </c>
      <c r="G212" t="s">
        <v>28</v>
      </c>
      <c r="H212" t="s">
        <v>138</v>
      </c>
      <c r="I212" t="s">
        <v>135</v>
      </c>
      <c r="J212" t="s">
        <v>39</v>
      </c>
      <c r="K212" t="s">
        <v>28</v>
      </c>
      <c r="L212">
        <v>4.6443704447863325E-2</v>
      </c>
      <c r="M212">
        <v>0</v>
      </c>
      <c r="N212" s="2">
        <v>0.67136779164566907</v>
      </c>
      <c r="O212" s="2">
        <v>3.8402067578633954</v>
      </c>
      <c r="P212" s="1">
        <v>1.90935600167047</v>
      </c>
      <c r="Q212" s="1">
        <v>4.1643496847215875</v>
      </c>
      <c r="R212" s="1">
        <v>-1.5269572965344196</v>
      </c>
      <c r="S212" s="19">
        <v>0</v>
      </c>
      <c r="T212" s="19">
        <v>0</v>
      </c>
      <c r="U212" s="19">
        <v>509.55426601873688</v>
      </c>
      <c r="V212" s="19">
        <v>828.10078356964198</v>
      </c>
      <c r="W212" s="19">
        <v>1255.6097565530181</v>
      </c>
      <c r="X212" s="19">
        <v>1796.1431314458746</v>
      </c>
      <c r="Y212" s="19">
        <v>2439.9772682437019</v>
      </c>
      <c r="Z212" s="19">
        <v>3158.4330700394285</v>
      </c>
      <c r="AA212" s="19">
        <v>3900.1733866758282</v>
      </c>
      <c r="AB212" s="19">
        <v>4591.2695975522029</v>
      </c>
      <c r="AC212" s="19">
        <v>5141.5483393536697</v>
      </c>
      <c r="AD212" s="19">
        <v>5458.8252256696578</v>
      </c>
      <c r="AE212" s="19">
        <v>5470.1247544211546</v>
      </c>
      <c r="AF212" s="19">
        <v>5145.1048227164238</v>
      </c>
      <c r="AG212" s="19">
        <v>4513.1702816623501</v>
      </c>
      <c r="AH212" s="19">
        <v>3723.2364493925793</v>
      </c>
      <c r="AI212" s="19">
        <v>2839.9198622036929</v>
      </c>
      <c r="AJ212" s="19">
        <v>1960.8700858064983</v>
      </c>
      <c r="AK212" s="19">
        <v>572.06779465697775</v>
      </c>
      <c r="AL212" s="19">
        <v>0</v>
      </c>
      <c r="AM212" s="19">
        <v>0</v>
      </c>
      <c r="AN212" s="19">
        <v>0</v>
      </c>
      <c r="AO212" s="19">
        <v>0</v>
      </c>
      <c r="AP212" s="19">
        <v>0</v>
      </c>
      <c r="AQ212" s="19">
        <v>0</v>
      </c>
      <c r="AR212" s="19">
        <v>53304.128875981434</v>
      </c>
    </row>
    <row r="213" spans="1:44" x14ac:dyDescent="0.25">
      <c r="A213" t="s">
        <v>131</v>
      </c>
      <c r="B213" t="s">
        <v>214</v>
      </c>
      <c r="C213" t="s">
        <v>44</v>
      </c>
      <c r="D213" t="s">
        <v>212</v>
      </c>
      <c r="E213" t="s">
        <v>134</v>
      </c>
      <c r="F213" t="s">
        <v>215</v>
      </c>
      <c r="G213" t="s">
        <v>28</v>
      </c>
      <c r="H213" t="s">
        <v>136</v>
      </c>
      <c r="I213" t="s">
        <v>135</v>
      </c>
      <c r="J213" t="s">
        <v>39</v>
      </c>
      <c r="K213" t="s">
        <v>28</v>
      </c>
      <c r="L213">
        <v>4.6443704447863325E-2</v>
      </c>
      <c r="M213">
        <v>0</v>
      </c>
      <c r="N213" s="2">
        <v>0.67136779164566907</v>
      </c>
      <c r="O213" s="2">
        <v>3.8402067578633954</v>
      </c>
      <c r="P213" s="1">
        <v>1.90935600167047</v>
      </c>
      <c r="Q213" s="1">
        <v>4.1643496847215875</v>
      </c>
      <c r="R213" s="1">
        <v>-1.5269572965344196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19">
        <v>0</v>
      </c>
      <c r="AI213" s="19">
        <v>0</v>
      </c>
      <c r="AJ213" s="19">
        <v>0</v>
      </c>
      <c r="AK213" s="19">
        <v>0</v>
      </c>
      <c r="AL213" s="19">
        <v>0</v>
      </c>
      <c r="AM213" s="19">
        <v>0</v>
      </c>
      <c r="AN213" s="19">
        <v>0</v>
      </c>
      <c r="AO213" s="19">
        <v>0</v>
      </c>
      <c r="AP213" s="19">
        <v>0</v>
      </c>
      <c r="AQ213" s="19">
        <v>0</v>
      </c>
      <c r="AR213" s="19">
        <v>0</v>
      </c>
    </row>
    <row r="214" spans="1:44" x14ac:dyDescent="0.25">
      <c r="A214" t="s">
        <v>131</v>
      </c>
      <c r="B214" t="s">
        <v>216</v>
      </c>
      <c r="C214" t="s">
        <v>44</v>
      </c>
      <c r="D214" t="s">
        <v>212</v>
      </c>
      <c r="E214" t="s">
        <v>134</v>
      </c>
      <c r="F214" t="s">
        <v>217</v>
      </c>
      <c r="G214" t="s">
        <v>28</v>
      </c>
      <c r="H214" t="s">
        <v>53</v>
      </c>
      <c r="I214" t="s">
        <v>135</v>
      </c>
      <c r="J214" t="s">
        <v>39</v>
      </c>
      <c r="K214" t="s">
        <v>28</v>
      </c>
      <c r="L214">
        <v>0.1</v>
      </c>
      <c r="M214">
        <v>1</v>
      </c>
      <c r="N214" s="2">
        <v>1.9989550419763611</v>
      </c>
      <c r="O214" s="2">
        <v>3.7699868031679249</v>
      </c>
      <c r="P214" s="1">
        <v>-0.83080982062758046</v>
      </c>
      <c r="Q214" s="1">
        <v>1.3730611803456818</v>
      </c>
      <c r="R214" s="1">
        <v>-1.4758346144565639</v>
      </c>
      <c r="S214" s="19">
        <v>30.256598468358359</v>
      </c>
      <c r="T214" s="19">
        <v>60.440995323481651</v>
      </c>
      <c r="U214" s="19">
        <v>107.23280665040755</v>
      </c>
      <c r="V214" s="19">
        <v>174.26911544747838</v>
      </c>
      <c r="W214" s="19">
        <v>264.23595528854645</v>
      </c>
      <c r="X214" s="19">
        <v>377.988139782762</v>
      </c>
      <c r="Y214" s="19">
        <v>513.47938401392071</v>
      </c>
      <c r="Z214" s="19">
        <v>664.67433461804671</v>
      </c>
      <c r="AA214" s="19">
        <v>820.76937937184437</v>
      </c>
      <c r="AB214" s="19">
        <v>966.20665916690814</v>
      </c>
      <c r="AC214" s="19">
        <v>1082.0097008811274</v>
      </c>
      <c r="AD214" s="19">
        <v>1148.7788229822756</v>
      </c>
      <c r="AE214" s="19">
        <v>1151.156744751662</v>
      </c>
      <c r="AF214" s="19">
        <v>1082.7581426433237</v>
      </c>
      <c r="AG214" s="19">
        <v>949.77110087832796</v>
      </c>
      <c r="AH214" s="19">
        <v>783.53400396570021</v>
      </c>
      <c r="AI214" s="19">
        <v>597.64503566170265</v>
      </c>
      <c r="AJ214" s="19">
        <v>412.65399350051649</v>
      </c>
      <c r="AK214" s="19">
        <v>29.69083057495882</v>
      </c>
      <c r="AL214" s="19">
        <v>0</v>
      </c>
      <c r="AM214" s="19">
        <v>0</v>
      </c>
      <c r="AN214" s="19">
        <v>0</v>
      </c>
      <c r="AO214" s="19">
        <v>0</v>
      </c>
      <c r="AP214" s="19">
        <v>0</v>
      </c>
      <c r="AQ214" s="19">
        <v>0</v>
      </c>
      <c r="AR214" s="19">
        <v>11217.551743971348</v>
      </c>
    </row>
    <row r="215" spans="1:44" x14ac:dyDescent="0.25">
      <c r="A215" t="s">
        <v>131</v>
      </c>
      <c r="B215" t="s">
        <v>216</v>
      </c>
      <c r="C215" t="s">
        <v>44</v>
      </c>
      <c r="D215" t="s">
        <v>212</v>
      </c>
      <c r="E215" t="s">
        <v>134</v>
      </c>
      <c r="F215" t="s">
        <v>217</v>
      </c>
      <c r="G215" t="s">
        <v>28</v>
      </c>
      <c r="H215" t="s">
        <v>54</v>
      </c>
      <c r="I215" t="s">
        <v>135</v>
      </c>
      <c r="J215" t="s">
        <v>39</v>
      </c>
      <c r="K215" t="s">
        <v>28</v>
      </c>
      <c r="L215">
        <v>0.1</v>
      </c>
      <c r="M215">
        <v>1</v>
      </c>
      <c r="N215" s="2">
        <v>1.9989550419763611</v>
      </c>
      <c r="O215" s="2">
        <v>3.7699868031679249</v>
      </c>
      <c r="P215" s="1">
        <v>-0.83080982062758046</v>
      </c>
      <c r="Q215" s="1">
        <v>1.3730611803456818</v>
      </c>
      <c r="R215" s="1">
        <v>-1.4758346144565639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19">
        <v>0</v>
      </c>
      <c r="AI215" s="19">
        <v>0</v>
      </c>
      <c r="AJ215" s="19">
        <v>0</v>
      </c>
      <c r="AK215" s="19">
        <v>0</v>
      </c>
      <c r="AL215" s="19">
        <v>0</v>
      </c>
      <c r="AM215" s="19">
        <v>0</v>
      </c>
      <c r="AN215" s="19">
        <v>0</v>
      </c>
      <c r="AO215" s="19">
        <v>0</v>
      </c>
      <c r="AP215" s="19">
        <v>0</v>
      </c>
      <c r="AQ215" s="19">
        <v>0</v>
      </c>
      <c r="AR215" s="19">
        <v>0</v>
      </c>
    </row>
    <row r="216" spans="1:44" x14ac:dyDescent="0.25">
      <c r="A216" t="s">
        <v>131</v>
      </c>
      <c r="B216" t="s">
        <v>216</v>
      </c>
      <c r="C216" t="s">
        <v>44</v>
      </c>
      <c r="D216" t="s">
        <v>212</v>
      </c>
      <c r="E216" t="s">
        <v>134</v>
      </c>
      <c r="F216" t="s">
        <v>217</v>
      </c>
      <c r="G216" t="s">
        <v>28</v>
      </c>
      <c r="H216" t="s">
        <v>141</v>
      </c>
      <c r="I216" t="s">
        <v>135</v>
      </c>
      <c r="J216" t="s">
        <v>39</v>
      </c>
      <c r="K216" t="s">
        <v>28</v>
      </c>
      <c r="L216">
        <v>0.1</v>
      </c>
      <c r="M216">
        <v>1</v>
      </c>
      <c r="N216" s="2">
        <v>1.9989550419763611</v>
      </c>
      <c r="O216" s="2">
        <v>3.7699868031679249</v>
      </c>
      <c r="P216" s="1">
        <v>-0.83080982062758046</v>
      </c>
      <c r="Q216" s="1">
        <v>1.3730611803456818</v>
      </c>
      <c r="R216" s="1">
        <v>-1.4758346144565639</v>
      </c>
      <c r="S216" s="19">
        <v>25.465970377534958</v>
      </c>
      <c r="T216" s="19">
        <v>50.871171063930383</v>
      </c>
      <c r="U216" s="19">
        <v>90.254278930759682</v>
      </c>
      <c r="V216" s="19">
        <v>146.67650550162762</v>
      </c>
      <c r="W216" s="19">
        <v>222.39859570119316</v>
      </c>
      <c r="X216" s="19">
        <v>318.14001765049136</v>
      </c>
      <c r="Y216" s="19">
        <v>432.17848154504992</v>
      </c>
      <c r="Z216" s="19">
        <v>559.434231636856</v>
      </c>
      <c r="AA216" s="19">
        <v>690.81422763796877</v>
      </c>
      <c r="AB216" s="19">
        <v>813.22393813214774</v>
      </c>
      <c r="AC216" s="19">
        <v>910.69149824161548</v>
      </c>
      <c r="AD216" s="19">
        <v>966.88884267674803</v>
      </c>
      <c r="AE216" s="19">
        <v>968.890260165982</v>
      </c>
      <c r="AF216" s="19">
        <v>911.32143672479742</v>
      </c>
      <c r="AG216" s="19">
        <v>799.39067657259284</v>
      </c>
      <c r="AH216" s="19">
        <v>659.47445333779751</v>
      </c>
      <c r="AI216" s="19">
        <v>503.01790501526625</v>
      </c>
      <c r="AJ216" s="19">
        <v>347.317111196268</v>
      </c>
      <c r="AK216" s="19">
        <v>24.98978240058932</v>
      </c>
      <c r="AL216" s="19">
        <v>0</v>
      </c>
      <c r="AM216" s="19">
        <v>0</v>
      </c>
      <c r="AN216" s="19">
        <v>0</v>
      </c>
      <c r="AO216" s="19">
        <v>0</v>
      </c>
      <c r="AP216" s="19">
        <v>0</v>
      </c>
      <c r="AQ216" s="19">
        <v>0</v>
      </c>
      <c r="AR216" s="19">
        <v>9441.4393845092163</v>
      </c>
    </row>
    <row r="217" spans="1:44" x14ac:dyDescent="0.25">
      <c r="A217" t="s">
        <v>131</v>
      </c>
      <c r="B217" t="s">
        <v>216</v>
      </c>
      <c r="C217" t="s">
        <v>44</v>
      </c>
      <c r="D217" t="s">
        <v>212</v>
      </c>
      <c r="E217" t="s">
        <v>134</v>
      </c>
      <c r="F217" t="s">
        <v>217</v>
      </c>
      <c r="G217" t="s">
        <v>28</v>
      </c>
      <c r="H217" t="s">
        <v>142</v>
      </c>
      <c r="I217" t="s">
        <v>135</v>
      </c>
      <c r="J217" t="s">
        <v>39</v>
      </c>
      <c r="K217" t="s">
        <v>28</v>
      </c>
      <c r="L217">
        <v>0.1</v>
      </c>
      <c r="M217">
        <v>1</v>
      </c>
      <c r="N217" s="2">
        <v>1.9989550419763611</v>
      </c>
      <c r="O217" s="2">
        <v>3.7699868031679249</v>
      </c>
      <c r="P217" s="1">
        <v>-0.83080982062758046</v>
      </c>
      <c r="Q217" s="1">
        <v>1.3730611803456818</v>
      </c>
      <c r="R217" s="1">
        <v>-1.4758346144565639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19">
        <v>0</v>
      </c>
      <c r="AF217" s="19">
        <v>0</v>
      </c>
      <c r="AG217" s="19">
        <v>0</v>
      </c>
      <c r="AH217" s="19">
        <v>0</v>
      </c>
      <c r="AI217" s="19">
        <v>0</v>
      </c>
      <c r="AJ217" s="19">
        <v>0</v>
      </c>
      <c r="AK217" s="19">
        <v>0</v>
      </c>
      <c r="AL217" s="19">
        <v>0</v>
      </c>
      <c r="AM217" s="19">
        <v>0</v>
      </c>
      <c r="AN217" s="19">
        <v>0</v>
      </c>
      <c r="AO217" s="19">
        <v>0</v>
      </c>
      <c r="AP217" s="19">
        <v>0</v>
      </c>
      <c r="AQ217" s="19">
        <v>0</v>
      </c>
      <c r="AR217" s="19">
        <v>0</v>
      </c>
    </row>
    <row r="218" spans="1:44" x14ac:dyDescent="0.25">
      <c r="A218" t="s">
        <v>131</v>
      </c>
      <c r="B218" t="s">
        <v>218</v>
      </c>
      <c r="C218" t="s">
        <v>44</v>
      </c>
      <c r="D218" t="s">
        <v>219</v>
      </c>
      <c r="E218" t="s">
        <v>134</v>
      </c>
      <c r="F218" t="s">
        <v>220</v>
      </c>
      <c r="G218" t="s">
        <v>28</v>
      </c>
      <c r="H218" t="s">
        <v>54</v>
      </c>
      <c r="I218" t="s">
        <v>135</v>
      </c>
      <c r="J218" t="s">
        <v>39</v>
      </c>
      <c r="K218" t="s">
        <v>28</v>
      </c>
      <c r="L218">
        <v>0.83199999999999996</v>
      </c>
      <c r="M218">
        <v>1</v>
      </c>
      <c r="N218" s="2">
        <v>6.8929062695560539</v>
      </c>
      <c r="O218" s="2">
        <v>3.766303314129376</v>
      </c>
      <c r="P218" s="1">
        <v>-1.8033881638395048</v>
      </c>
      <c r="Q218" s="1">
        <v>0.39780112308435872</v>
      </c>
      <c r="R218" s="1">
        <v>-1.4731529004071653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19">
        <v>0</v>
      </c>
      <c r="AD218" s="19">
        <v>0</v>
      </c>
      <c r="AE218" s="19">
        <v>0</v>
      </c>
      <c r="AF218" s="19">
        <v>0</v>
      </c>
      <c r="AG218" s="19">
        <v>0</v>
      </c>
      <c r="AH218" s="19">
        <v>0</v>
      </c>
      <c r="AI218" s="19">
        <v>0</v>
      </c>
      <c r="AJ218" s="19">
        <v>0</v>
      </c>
      <c r="AK218" s="19">
        <v>0</v>
      </c>
      <c r="AL218" s="19">
        <v>0</v>
      </c>
      <c r="AM218" s="19">
        <v>0</v>
      </c>
      <c r="AN218" s="19">
        <v>0</v>
      </c>
      <c r="AO218" s="19">
        <v>0</v>
      </c>
      <c r="AP218" s="19">
        <v>0</v>
      </c>
      <c r="AQ218" s="19">
        <v>0</v>
      </c>
      <c r="AR218" s="19">
        <v>0</v>
      </c>
    </row>
    <row r="219" spans="1:44" x14ac:dyDescent="0.25">
      <c r="A219" t="s">
        <v>131</v>
      </c>
      <c r="B219" t="s">
        <v>218</v>
      </c>
      <c r="C219" t="s">
        <v>44</v>
      </c>
      <c r="D219" t="s">
        <v>219</v>
      </c>
      <c r="E219" t="s">
        <v>134</v>
      </c>
      <c r="F219" t="s">
        <v>220</v>
      </c>
      <c r="G219" t="s">
        <v>28</v>
      </c>
      <c r="H219" t="s">
        <v>142</v>
      </c>
      <c r="I219" t="s">
        <v>135</v>
      </c>
      <c r="J219" t="s">
        <v>39</v>
      </c>
      <c r="K219" t="s">
        <v>28</v>
      </c>
      <c r="L219">
        <v>0.83199999999999996</v>
      </c>
      <c r="M219">
        <v>1</v>
      </c>
      <c r="N219" s="2">
        <v>6.8929062695560539</v>
      </c>
      <c r="O219" s="2">
        <v>3.766303314129376</v>
      </c>
      <c r="P219" s="1">
        <v>-1.8033881638395048</v>
      </c>
      <c r="Q219" s="1">
        <v>0.39780112308435872</v>
      </c>
      <c r="R219" s="1">
        <v>-1.4731529004071653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19">
        <v>0</v>
      </c>
      <c r="AD219" s="19">
        <v>0</v>
      </c>
      <c r="AE219" s="19">
        <v>0</v>
      </c>
      <c r="AF219" s="19">
        <v>0</v>
      </c>
      <c r="AG219" s="19">
        <v>0</v>
      </c>
      <c r="AH219" s="19">
        <v>0</v>
      </c>
      <c r="AI219" s="19">
        <v>0</v>
      </c>
      <c r="AJ219" s="19">
        <v>0</v>
      </c>
      <c r="AK219" s="19">
        <v>0</v>
      </c>
      <c r="AL219" s="19">
        <v>0</v>
      </c>
      <c r="AM219" s="19">
        <v>0</v>
      </c>
      <c r="AN219" s="19">
        <v>0</v>
      </c>
      <c r="AO219" s="19">
        <v>0</v>
      </c>
      <c r="AP219" s="19">
        <v>0</v>
      </c>
      <c r="AQ219" s="19">
        <v>0</v>
      </c>
      <c r="AR219" s="19">
        <v>0</v>
      </c>
    </row>
    <row r="220" spans="1:44" x14ac:dyDescent="0.25">
      <c r="A220" t="s">
        <v>131</v>
      </c>
      <c r="B220" t="s">
        <v>221</v>
      </c>
      <c r="C220" t="s">
        <v>44</v>
      </c>
      <c r="D220" t="s">
        <v>219</v>
      </c>
      <c r="E220" t="s">
        <v>134</v>
      </c>
      <c r="F220" t="s">
        <v>222</v>
      </c>
      <c r="G220" t="s">
        <v>28</v>
      </c>
      <c r="H220" t="s">
        <v>54</v>
      </c>
      <c r="I220" t="s">
        <v>135</v>
      </c>
      <c r="J220" t="s">
        <v>39</v>
      </c>
      <c r="K220" t="s">
        <v>28</v>
      </c>
      <c r="L220">
        <v>0.92</v>
      </c>
      <c r="M220">
        <v>1</v>
      </c>
      <c r="N220" s="2">
        <v>2.4003812396329649</v>
      </c>
      <c r="O220" s="2">
        <v>3.7664803239001072</v>
      </c>
      <c r="P220" s="1">
        <v>-1.0589434871448775</v>
      </c>
      <c r="Q220" s="1">
        <v>1.1423746693328465</v>
      </c>
      <c r="R220" s="1">
        <v>-1.4732817699610261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19">
        <v>0</v>
      </c>
      <c r="AD220" s="19">
        <v>0</v>
      </c>
      <c r="AE220" s="19">
        <v>0</v>
      </c>
      <c r="AF220" s="19">
        <v>0</v>
      </c>
      <c r="AG220" s="19">
        <v>0</v>
      </c>
      <c r="AH220" s="19">
        <v>0</v>
      </c>
      <c r="AI220" s="19">
        <v>0</v>
      </c>
      <c r="AJ220" s="19">
        <v>0</v>
      </c>
      <c r="AK220" s="19">
        <v>0</v>
      </c>
      <c r="AL220" s="19">
        <v>0</v>
      </c>
      <c r="AM220" s="19">
        <v>0</v>
      </c>
      <c r="AN220" s="19">
        <v>0</v>
      </c>
      <c r="AO220" s="19">
        <v>0</v>
      </c>
      <c r="AP220" s="19">
        <v>0</v>
      </c>
      <c r="AQ220" s="19">
        <v>0</v>
      </c>
      <c r="AR220" s="19">
        <v>0</v>
      </c>
    </row>
    <row r="221" spans="1:44" x14ac:dyDescent="0.25">
      <c r="A221" t="s">
        <v>131</v>
      </c>
      <c r="B221" t="s">
        <v>221</v>
      </c>
      <c r="C221" t="s">
        <v>44</v>
      </c>
      <c r="D221" t="s">
        <v>219</v>
      </c>
      <c r="E221" t="s">
        <v>134</v>
      </c>
      <c r="F221" t="s">
        <v>222</v>
      </c>
      <c r="G221" t="s">
        <v>28</v>
      </c>
      <c r="H221" t="s">
        <v>142</v>
      </c>
      <c r="I221" t="s">
        <v>135</v>
      </c>
      <c r="J221" t="s">
        <v>39</v>
      </c>
      <c r="K221" t="s">
        <v>28</v>
      </c>
      <c r="L221">
        <v>0.92</v>
      </c>
      <c r="M221">
        <v>1</v>
      </c>
      <c r="N221" s="2">
        <v>2.4003812396329649</v>
      </c>
      <c r="O221" s="2">
        <v>3.7664803239001072</v>
      </c>
      <c r="P221" s="1">
        <v>-1.0589434871448775</v>
      </c>
      <c r="Q221" s="1">
        <v>1.1423746693328465</v>
      </c>
      <c r="R221" s="1">
        <v>-1.4732817699610261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0</v>
      </c>
      <c r="AH221" s="19">
        <v>0</v>
      </c>
      <c r="AI221" s="19">
        <v>0</v>
      </c>
      <c r="AJ221" s="19">
        <v>0</v>
      </c>
      <c r="AK221" s="19">
        <v>0</v>
      </c>
      <c r="AL221" s="19">
        <v>0</v>
      </c>
      <c r="AM221" s="19">
        <v>0</v>
      </c>
      <c r="AN221" s="19">
        <v>0</v>
      </c>
      <c r="AO221" s="19">
        <v>0</v>
      </c>
      <c r="AP221" s="19">
        <v>0</v>
      </c>
      <c r="AQ221" s="19">
        <v>0</v>
      </c>
      <c r="AR221" s="19">
        <v>0</v>
      </c>
    </row>
    <row r="222" spans="1:44" x14ac:dyDescent="0.25">
      <c r="A222" t="s">
        <v>131</v>
      </c>
      <c r="B222" t="s">
        <v>223</v>
      </c>
      <c r="C222" t="s">
        <v>44</v>
      </c>
      <c r="D222" t="s">
        <v>219</v>
      </c>
      <c r="E222" t="s">
        <v>145</v>
      </c>
      <c r="F222" t="s">
        <v>224</v>
      </c>
      <c r="G222" t="s">
        <v>28</v>
      </c>
      <c r="H222" t="s">
        <v>52</v>
      </c>
      <c r="I222" t="s">
        <v>135</v>
      </c>
      <c r="J222" t="s">
        <v>39</v>
      </c>
      <c r="K222" t="s">
        <v>28</v>
      </c>
      <c r="L222">
        <v>0.05</v>
      </c>
      <c r="M222">
        <v>0</v>
      </c>
      <c r="N222" s="2">
        <v>0.8187234303314348</v>
      </c>
      <c r="O222" s="2">
        <v>3.8748305332756865</v>
      </c>
      <c r="P222" s="1">
        <v>1.1654284680543423</v>
      </c>
      <c r="Q222" s="1">
        <v>3.4456295194441906</v>
      </c>
      <c r="R222" s="1">
        <v>-1.5521646648731502</v>
      </c>
      <c r="S222" s="19">
        <v>859.52719161774735</v>
      </c>
      <c r="T222" s="19">
        <v>1260.5788731272671</v>
      </c>
      <c r="U222" s="19">
        <v>1717.3489259366745</v>
      </c>
      <c r="V222" s="19">
        <v>2250.4438842678965</v>
      </c>
      <c r="W222" s="19">
        <v>2833.9772383124591</v>
      </c>
      <c r="X222" s="19">
        <v>3428.4135108527503</v>
      </c>
      <c r="Y222" s="19">
        <v>3986.4601117457846</v>
      </c>
      <c r="Z222" s="19">
        <v>4463.5097156017218</v>
      </c>
      <c r="AA222" s="19">
        <v>4829.4579184219901</v>
      </c>
      <c r="AB222" s="19">
        <v>5076.708953423471</v>
      </c>
      <c r="AC222" s="19">
        <v>5219.9649082692258</v>
      </c>
      <c r="AD222" s="19">
        <v>5280.8133127153205</v>
      </c>
      <c r="AE222" s="19">
        <v>5269.7438802091319</v>
      </c>
      <c r="AF222" s="19">
        <v>5258.0830528333681</v>
      </c>
      <c r="AG222" s="19">
        <v>5245.8463909210313</v>
      </c>
      <c r="AH222" s="19">
        <v>5233.0485042676482</v>
      </c>
      <c r="AI222" s="19">
        <v>5219.7030525104774</v>
      </c>
      <c r="AJ222" s="19">
        <v>5205.8227343679837</v>
      </c>
      <c r="AK222" s="19">
        <v>5191.4192630540456</v>
      </c>
      <c r="AL222" s="19">
        <v>5176.5033240991506</v>
      </c>
      <c r="AM222" s="19">
        <v>5161.0845102369194</v>
      </c>
      <c r="AN222" s="19">
        <v>5145.1712256774254</v>
      </c>
      <c r="AO222" s="19">
        <v>5128.7705485425686</v>
      </c>
      <c r="AP222" s="19">
        <v>5111.8880347256227</v>
      </c>
      <c r="AQ222" s="19">
        <v>5094.5274376343059</v>
      </c>
      <c r="AR222" s="19">
        <v>108648.816503372</v>
      </c>
    </row>
    <row r="223" spans="1:44" x14ac:dyDescent="0.25">
      <c r="A223" t="s">
        <v>131</v>
      </c>
      <c r="B223" t="s">
        <v>223</v>
      </c>
      <c r="C223" t="s">
        <v>44</v>
      </c>
      <c r="D223" t="s">
        <v>219</v>
      </c>
      <c r="E223" t="s">
        <v>145</v>
      </c>
      <c r="F223" t="s">
        <v>224</v>
      </c>
      <c r="G223" t="s">
        <v>28</v>
      </c>
      <c r="H223" t="s">
        <v>138</v>
      </c>
      <c r="I223" t="s">
        <v>135</v>
      </c>
      <c r="J223" t="s">
        <v>39</v>
      </c>
      <c r="K223" t="s">
        <v>28</v>
      </c>
      <c r="L223">
        <v>0.05</v>
      </c>
      <c r="M223">
        <v>0</v>
      </c>
      <c r="N223" s="2">
        <v>0.8187234303314348</v>
      </c>
      <c r="O223" s="2">
        <v>3.8748305332756865</v>
      </c>
      <c r="P223" s="1">
        <v>1.1654284680543423</v>
      </c>
      <c r="Q223" s="1">
        <v>3.4456295194441906</v>
      </c>
      <c r="R223" s="1">
        <v>-1.5521646648731502</v>
      </c>
      <c r="S223" s="19">
        <v>298.155426041559</v>
      </c>
      <c r="T223" s="19">
        <v>437.2734622494616</v>
      </c>
      <c r="U223" s="19">
        <v>595.71925782934193</v>
      </c>
      <c r="V223" s="19">
        <v>780.64087051584238</v>
      </c>
      <c r="W223" s="19">
        <v>983.05870846365167</v>
      </c>
      <c r="X223" s="19">
        <v>1189.2585841886155</v>
      </c>
      <c r="Y223" s="19">
        <v>1382.8354991052313</v>
      </c>
      <c r="Z223" s="19">
        <v>1548.3159274939117</v>
      </c>
      <c r="AA223" s="19">
        <v>1675.2571614479657</v>
      </c>
      <c r="AB223" s="19">
        <v>1761.0243581102759</v>
      </c>
      <c r="AC223" s="19">
        <v>1810.7174227003979</v>
      </c>
      <c r="AD223" s="19">
        <v>1831.8247036898781</v>
      </c>
      <c r="AE223" s="19">
        <v>1827.984905022533</v>
      </c>
      <c r="AF223" s="19">
        <v>1823.9399614906424</v>
      </c>
      <c r="AG223" s="19">
        <v>1819.6952707102007</v>
      </c>
      <c r="AH223" s="19">
        <v>1815.255900571846</v>
      </c>
      <c r="AI223" s="19">
        <v>1810.6265893724101</v>
      </c>
      <c r="AJ223" s="19">
        <v>1805.8117420822639</v>
      </c>
      <c r="AK223" s="19">
        <v>1800.8154218169302</v>
      </c>
      <c r="AL223" s="19">
        <v>1795.6413352059697</v>
      </c>
      <c r="AM223" s="19">
        <v>1790.2928098062127</v>
      </c>
      <c r="AN223" s="19">
        <v>1784.7727608958037</v>
      </c>
      <c r="AO223" s="19">
        <v>1779.0836437553558</v>
      </c>
      <c r="AP223" s="19">
        <v>1773.2273856301535</v>
      </c>
      <c r="AQ223" s="19">
        <v>1767.2052885137666</v>
      </c>
      <c r="AR223" s="19">
        <v>37688.434396710218</v>
      </c>
    </row>
    <row r="224" spans="1:44" x14ac:dyDescent="0.25">
      <c r="A224" t="s">
        <v>131</v>
      </c>
      <c r="B224" t="s">
        <v>225</v>
      </c>
      <c r="C224" t="s">
        <v>44</v>
      </c>
      <c r="D224" t="s">
        <v>219</v>
      </c>
      <c r="E224" t="s">
        <v>145</v>
      </c>
      <c r="F224" t="s">
        <v>224</v>
      </c>
      <c r="G224" t="s">
        <v>28</v>
      </c>
      <c r="H224" t="s">
        <v>53</v>
      </c>
      <c r="I224" t="s">
        <v>135</v>
      </c>
      <c r="J224" t="s">
        <v>39</v>
      </c>
      <c r="K224" t="s">
        <v>28</v>
      </c>
      <c r="L224">
        <v>0.05</v>
      </c>
      <c r="M224">
        <v>0</v>
      </c>
      <c r="N224" s="2">
        <v>0.8187234303314348</v>
      </c>
      <c r="O224" s="2">
        <v>3.8748305332756865</v>
      </c>
      <c r="P224" s="1">
        <v>1.1654284680543423</v>
      </c>
      <c r="Q224" s="1">
        <v>3.4456295194441906</v>
      </c>
      <c r="R224" s="1">
        <v>-1.5521646648731502</v>
      </c>
      <c r="S224" s="19">
        <v>31.87523143987951</v>
      </c>
      <c r="T224" s="19">
        <v>46.748076990476115</v>
      </c>
      <c r="U224" s="19">
        <v>63.687216659463893</v>
      </c>
      <c r="V224" s="19">
        <v>83.456835749999442</v>
      </c>
      <c r="W224" s="19">
        <v>105.0969431188558</v>
      </c>
      <c r="X224" s="19">
        <v>127.14138097755657</v>
      </c>
      <c r="Y224" s="19">
        <v>147.83632202325447</v>
      </c>
      <c r="Z224" s="19">
        <v>165.52752095157572</v>
      </c>
      <c r="AA224" s="19">
        <v>179.09856765453048</v>
      </c>
      <c r="AB224" s="19">
        <v>188.26777607664968</v>
      </c>
      <c r="AC224" s="19">
        <v>193.58036741800672</v>
      </c>
      <c r="AD224" s="19">
        <v>195.83690681941431</v>
      </c>
      <c r="AE224" s="19">
        <v>195.42640122228624</v>
      </c>
      <c r="AF224" s="19">
        <v>194.99396397654485</v>
      </c>
      <c r="AG224" s="19">
        <v>194.54017213108492</v>
      </c>
      <c r="AH224" s="19">
        <v>194.06556748448824</v>
      </c>
      <c r="AI224" s="19">
        <v>193.5706565990875</v>
      </c>
      <c r="AJ224" s="19">
        <v>193.05591040191553</v>
      </c>
      <c r="AK224" s="19">
        <v>192.52176327295115</v>
      </c>
      <c r="AL224" s="19">
        <v>191.96861148093456</v>
      </c>
      <c r="AM224" s="19">
        <v>191.39681076865921</v>
      </c>
      <c r="AN224" s="19">
        <v>190.80667280298545</v>
      </c>
      <c r="AO224" s="19">
        <v>190.19846007330969</v>
      </c>
      <c r="AP224" s="19">
        <v>189.57237861777227</v>
      </c>
      <c r="AQ224" s="19">
        <v>188.92856763003761</v>
      </c>
      <c r="AR224" s="19">
        <v>4029.19908234172</v>
      </c>
    </row>
    <row r="225" spans="1:44" x14ac:dyDescent="0.25">
      <c r="A225" t="s">
        <v>131</v>
      </c>
      <c r="B225" t="s">
        <v>225</v>
      </c>
      <c r="C225" t="s">
        <v>44</v>
      </c>
      <c r="D225" t="s">
        <v>219</v>
      </c>
      <c r="E225" t="s">
        <v>145</v>
      </c>
      <c r="F225" t="s">
        <v>224</v>
      </c>
      <c r="G225" t="s">
        <v>28</v>
      </c>
      <c r="H225" t="s">
        <v>54</v>
      </c>
      <c r="I225" t="s">
        <v>135</v>
      </c>
      <c r="J225" t="s">
        <v>39</v>
      </c>
      <c r="K225" t="s">
        <v>28</v>
      </c>
      <c r="L225">
        <v>0.05</v>
      </c>
      <c r="M225">
        <v>0</v>
      </c>
      <c r="N225" s="2">
        <v>0.8187234303314348</v>
      </c>
      <c r="O225" s="2">
        <v>3.8748305332756865</v>
      </c>
      <c r="P225" s="1">
        <v>1.1654284680543423</v>
      </c>
      <c r="Q225" s="1">
        <v>3.4456295194441906</v>
      </c>
      <c r="R225" s="1">
        <v>-1.5521646648731502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19">
        <v>0</v>
      </c>
      <c r="AI225" s="19">
        <v>0</v>
      </c>
      <c r="AJ225" s="19">
        <v>0</v>
      </c>
      <c r="AK225" s="19">
        <v>0</v>
      </c>
      <c r="AL225" s="19">
        <v>0</v>
      </c>
      <c r="AM225" s="19">
        <v>0</v>
      </c>
      <c r="AN225" s="19">
        <v>0</v>
      </c>
      <c r="AO225" s="19">
        <v>0</v>
      </c>
      <c r="AP225" s="19">
        <v>0</v>
      </c>
      <c r="AQ225" s="19">
        <v>0</v>
      </c>
      <c r="AR225" s="19">
        <v>0</v>
      </c>
    </row>
    <row r="226" spans="1:44" x14ac:dyDescent="0.25">
      <c r="A226" t="s">
        <v>131</v>
      </c>
      <c r="B226" t="s">
        <v>225</v>
      </c>
      <c r="C226" t="s">
        <v>44</v>
      </c>
      <c r="D226" t="s">
        <v>219</v>
      </c>
      <c r="E226" t="s">
        <v>145</v>
      </c>
      <c r="F226" t="s">
        <v>224</v>
      </c>
      <c r="G226" t="s">
        <v>28</v>
      </c>
      <c r="H226" t="s">
        <v>141</v>
      </c>
      <c r="I226" t="s">
        <v>135</v>
      </c>
      <c r="J226" t="s">
        <v>39</v>
      </c>
      <c r="K226" t="s">
        <v>28</v>
      </c>
      <c r="L226">
        <v>0.05</v>
      </c>
      <c r="M226">
        <v>0</v>
      </c>
      <c r="N226" s="2">
        <v>0.8187234303314348</v>
      </c>
      <c r="O226" s="2">
        <v>3.8748305332756865</v>
      </c>
      <c r="P226" s="1">
        <v>1.1654284680543423</v>
      </c>
      <c r="Q226" s="1">
        <v>3.4456295194441906</v>
      </c>
      <c r="R226" s="1">
        <v>-1.5521646648731502</v>
      </c>
      <c r="S226" s="19">
        <v>26.82831979523192</v>
      </c>
      <c r="T226" s="19">
        <v>39.34629813365072</v>
      </c>
      <c r="U226" s="19">
        <v>53.603407355048752</v>
      </c>
      <c r="V226" s="19">
        <v>70.242836756249503</v>
      </c>
      <c r="W226" s="19">
        <v>88.456593791703582</v>
      </c>
      <c r="X226" s="19">
        <v>107.01066232277677</v>
      </c>
      <c r="Y226" s="19">
        <v>124.42890436957252</v>
      </c>
      <c r="Z226" s="19">
        <v>139.31899680090953</v>
      </c>
      <c r="AA226" s="19">
        <v>150.74129444256309</v>
      </c>
      <c r="AB226" s="19">
        <v>158.45871153118014</v>
      </c>
      <c r="AC226" s="19">
        <v>162.93014257682228</v>
      </c>
      <c r="AD226" s="19">
        <v>164.82939657300705</v>
      </c>
      <c r="AE226" s="19">
        <v>164.48388769542424</v>
      </c>
      <c r="AF226" s="19">
        <v>164.11991968025859</v>
      </c>
      <c r="AG226" s="19">
        <v>163.73797821032977</v>
      </c>
      <c r="AH226" s="19">
        <v>163.33851929944427</v>
      </c>
      <c r="AI226" s="19">
        <v>162.92196930423196</v>
      </c>
      <c r="AJ226" s="19">
        <v>162.4887245882789</v>
      </c>
      <c r="AK226" s="19">
        <v>162.03915075473381</v>
      </c>
      <c r="AL226" s="19">
        <v>161.57358132978649</v>
      </c>
      <c r="AM226" s="19">
        <v>161.09231573028808</v>
      </c>
      <c r="AN226" s="19">
        <v>160.59561627584606</v>
      </c>
      <c r="AO226" s="19">
        <v>160.08370389503563</v>
      </c>
      <c r="AP226" s="19">
        <v>159.55675200329165</v>
      </c>
      <c r="AQ226" s="19">
        <v>159.01487775528165</v>
      </c>
      <c r="AR226" s="19">
        <v>3391.2425609709476</v>
      </c>
    </row>
    <row r="227" spans="1:44" x14ac:dyDescent="0.25">
      <c r="A227" t="s">
        <v>131</v>
      </c>
      <c r="B227" t="s">
        <v>225</v>
      </c>
      <c r="C227" t="s">
        <v>44</v>
      </c>
      <c r="D227" t="s">
        <v>219</v>
      </c>
      <c r="E227" t="s">
        <v>145</v>
      </c>
      <c r="F227" t="s">
        <v>224</v>
      </c>
      <c r="G227" t="s">
        <v>28</v>
      </c>
      <c r="H227" t="s">
        <v>142</v>
      </c>
      <c r="I227" t="s">
        <v>135</v>
      </c>
      <c r="J227" t="s">
        <v>39</v>
      </c>
      <c r="K227" t="s">
        <v>28</v>
      </c>
      <c r="L227">
        <v>0.05</v>
      </c>
      <c r="M227">
        <v>0</v>
      </c>
      <c r="N227" s="2">
        <v>0.8187234303314348</v>
      </c>
      <c r="O227" s="2">
        <v>3.8748305332756865</v>
      </c>
      <c r="P227" s="1">
        <v>1.1654284680543423</v>
      </c>
      <c r="Q227" s="1">
        <v>3.4456295194441906</v>
      </c>
      <c r="R227" s="1">
        <v>-1.5521646648731502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19">
        <v>0</v>
      </c>
      <c r="AI227" s="19">
        <v>0</v>
      </c>
      <c r="AJ227" s="19">
        <v>0</v>
      </c>
      <c r="AK227" s="19">
        <v>0</v>
      </c>
      <c r="AL227" s="19">
        <v>0</v>
      </c>
      <c r="AM227" s="19">
        <v>0</v>
      </c>
      <c r="AN227" s="19">
        <v>0</v>
      </c>
      <c r="AO227" s="19">
        <v>0</v>
      </c>
      <c r="AP227" s="19">
        <v>0</v>
      </c>
      <c r="AQ227" s="19">
        <v>0</v>
      </c>
      <c r="AR227" s="19">
        <v>0</v>
      </c>
    </row>
    <row r="228" spans="1:44" x14ac:dyDescent="0.25">
      <c r="A228" t="s">
        <v>131</v>
      </c>
      <c r="B228" t="s">
        <v>226</v>
      </c>
      <c r="C228" t="s">
        <v>44</v>
      </c>
      <c r="D228" t="s">
        <v>219</v>
      </c>
      <c r="E228" t="s">
        <v>145</v>
      </c>
      <c r="F228" t="s">
        <v>224</v>
      </c>
      <c r="G228" t="s">
        <v>28</v>
      </c>
      <c r="H228" t="s">
        <v>55</v>
      </c>
      <c r="I228" t="s">
        <v>135</v>
      </c>
      <c r="J228" t="s">
        <v>39</v>
      </c>
      <c r="K228" t="s">
        <v>28</v>
      </c>
      <c r="L228">
        <v>0.05</v>
      </c>
      <c r="M228">
        <v>0</v>
      </c>
      <c r="N228" s="2">
        <v>0.81776863290635349</v>
      </c>
      <c r="O228" s="2">
        <v>3.8703116956820249</v>
      </c>
      <c r="P228" s="1">
        <v>1.1653770988675287</v>
      </c>
      <c r="Q228" s="1">
        <v>3.4456295194441906</v>
      </c>
      <c r="R228" s="1">
        <v>-1.5522160340599644</v>
      </c>
      <c r="S228" s="19">
        <v>1.2136896464804054</v>
      </c>
      <c r="T228" s="19">
        <v>1.7799920023552993</v>
      </c>
      <c r="U228" s="19">
        <v>2.4249711133403422</v>
      </c>
      <c r="V228" s="19">
        <v>3.1777242988442729</v>
      </c>
      <c r="W228" s="19">
        <v>4.0016986850959633</v>
      </c>
      <c r="X228" s="19">
        <v>4.8410684647962032</v>
      </c>
      <c r="Y228" s="19">
        <v>5.6290544510018243</v>
      </c>
      <c r="Z228" s="19">
        <v>6.3026691669804915</v>
      </c>
      <c r="AA228" s="19">
        <v>6.819403889561082</v>
      </c>
      <c r="AB228" s="19">
        <v>7.1685330668452343</v>
      </c>
      <c r="AC228" s="19">
        <v>7.3708166838017988</v>
      </c>
      <c r="AD228" s="19">
        <v>7.456737268050075</v>
      </c>
      <c r="AE228" s="19">
        <v>7.4411067496020333</v>
      </c>
      <c r="AF228" s="19">
        <v>7.4246411559670946</v>
      </c>
      <c r="AG228" s="19">
        <v>7.4073624590098399</v>
      </c>
      <c r="AH228" s="19">
        <v>7.3892912883947375</v>
      </c>
      <c r="AI228" s="19">
        <v>7.3704469321216193</v>
      </c>
      <c r="AJ228" s="19">
        <v>7.3508473213313037</v>
      </c>
      <c r="AK228" s="19">
        <v>7.3305089955894482</v>
      </c>
      <c r="AL228" s="19">
        <v>7.309447043328209</v>
      </c>
      <c r="AM228" s="19">
        <v>7.2876750099032082</v>
      </c>
      <c r="AN228" s="19">
        <v>7.2652047624233074</v>
      </c>
      <c r="AO228" s="19">
        <v>7.2420462955033953</v>
      </c>
      <c r="AP228" s="19">
        <v>7.2182074543055696</v>
      </c>
      <c r="AQ228" s="19">
        <v>7.1936935388041992</v>
      </c>
      <c r="AR228" s="19">
        <v>153.41683774343696</v>
      </c>
    </row>
    <row r="229" spans="1:44" x14ac:dyDescent="0.25">
      <c r="A229" t="s">
        <v>131</v>
      </c>
      <c r="B229" t="s">
        <v>226</v>
      </c>
      <c r="C229" t="s">
        <v>44</v>
      </c>
      <c r="D229" t="s">
        <v>219</v>
      </c>
      <c r="E229" t="s">
        <v>145</v>
      </c>
      <c r="F229" t="s">
        <v>224</v>
      </c>
      <c r="G229" t="s">
        <v>28</v>
      </c>
      <c r="H229" t="s">
        <v>136</v>
      </c>
      <c r="I229" t="s">
        <v>135</v>
      </c>
      <c r="J229" t="s">
        <v>39</v>
      </c>
      <c r="K229" t="s">
        <v>28</v>
      </c>
      <c r="L229">
        <v>0.05</v>
      </c>
      <c r="M229">
        <v>0</v>
      </c>
      <c r="N229" s="2">
        <v>0.81776863290635349</v>
      </c>
      <c r="O229" s="2">
        <v>3.8703116956820249</v>
      </c>
      <c r="P229" s="1">
        <v>1.1653770988675287</v>
      </c>
      <c r="Q229" s="1">
        <v>3.4456295194441906</v>
      </c>
      <c r="R229" s="1">
        <v>-1.5522160340599644</v>
      </c>
      <c r="S229" s="19">
        <v>1.5238547783587313</v>
      </c>
      <c r="T229" s="19">
        <v>2.2348788474016539</v>
      </c>
      <c r="U229" s="19">
        <v>3.0446859534162067</v>
      </c>
      <c r="V229" s="19">
        <v>3.9898093974378095</v>
      </c>
      <c r="W229" s="19">
        <v>5.0243550157315973</v>
      </c>
      <c r="X229" s="19">
        <v>6.0782304057996761</v>
      </c>
      <c r="Y229" s="19">
        <v>7.06759058848007</v>
      </c>
      <c r="Z229" s="19">
        <v>7.9133512874310625</v>
      </c>
      <c r="AA229" s="19">
        <v>8.5621404391155806</v>
      </c>
      <c r="AB229" s="19">
        <v>9.000491517261235</v>
      </c>
      <c r="AC229" s="19">
        <v>9.2544698363289246</v>
      </c>
      <c r="AD229" s="19">
        <v>9.3623479032184278</v>
      </c>
      <c r="AE229" s="19">
        <v>9.3427229189447782</v>
      </c>
      <c r="AF229" s="19">
        <v>9.322049451380904</v>
      </c>
      <c r="AG229" s="19">
        <v>9.3003550874234637</v>
      </c>
      <c r="AH229" s="19">
        <v>9.2776657287622832</v>
      </c>
      <c r="AI229" s="19">
        <v>9.2540055925526961</v>
      </c>
      <c r="AJ229" s="19">
        <v>9.2293971923381939</v>
      </c>
      <c r="AK229" s="19">
        <v>9.2038612944623051</v>
      </c>
      <c r="AL229" s="19">
        <v>9.177416843289862</v>
      </c>
      <c r="AM229" s="19">
        <v>9.1500808457673592</v>
      </c>
      <c r="AN229" s="19">
        <v>9.1218682017092618</v>
      </c>
      <c r="AO229" s="19">
        <v>9.0927914599098187</v>
      </c>
      <c r="AP229" s="19">
        <v>9.0628604704058802</v>
      </c>
      <c r="AQ229" s="19">
        <v>9.0320818876097153</v>
      </c>
      <c r="AR229" s="19">
        <v>192.62336294453743</v>
      </c>
    </row>
    <row r="230" spans="1:44" x14ac:dyDescent="0.25">
      <c r="A230" t="s">
        <v>131</v>
      </c>
      <c r="B230" t="s">
        <v>227</v>
      </c>
      <c r="C230" t="s">
        <v>44</v>
      </c>
      <c r="D230" t="s">
        <v>219</v>
      </c>
      <c r="E230" t="s">
        <v>145</v>
      </c>
      <c r="F230" t="s">
        <v>228</v>
      </c>
      <c r="G230" t="s">
        <v>28</v>
      </c>
      <c r="H230" t="s">
        <v>52</v>
      </c>
      <c r="I230" t="s">
        <v>135</v>
      </c>
      <c r="J230" t="s">
        <v>39</v>
      </c>
      <c r="K230" t="s">
        <v>28</v>
      </c>
      <c r="L230">
        <v>0.03</v>
      </c>
      <c r="M230">
        <v>0</v>
      </c>
      <c r="N230" s="2">
        <v>0.86223702684315151</v>
      </c>
      <c r="O230" s="2">
        <v>3.8640773301877118</v>
      </c>
      <c r="P230" s="1">
        <v>0.9902907320146096</v>
      </c>
      <c r="Q230" s="1">
        <v>3.262663060284809</v>
      </c>
      <c r="R230" s="1">
        <v>-1.544335941753501</v>
      </c>
      <c r="S230" s="19">
        <v>638.46084942737434</v>
      </c>
      <c r="T230" s="19">
        <v>936.36392886214253</v>
      </c>
      <c r="U230" s="19">
        <v>1275.6548771342891</v>
      </c>
      <c r="V230" s="19">
        <v>1671.6403249954535</v>
      </c>
      <c r="W230" s="19">
        <v>2105.091650940456</v>
      </c>
      <c r="X230" s="19">
        <v>2546.6417161364157</v>
      </c>
      <c r="Y230" s="19">
        <v>2961.1613617053217</v>
      </c>
      <c r="Z230" s="19">
        <v>3315.516056085145</v>
      </c>
      <c r="AA230" s="19">
        <v>3587.3441060847031</v>
      </c>
      <c r="AB230" s="19">
        <v>3771.0033403338593</v>
      </c>
      <c r="AC230" s="19">
        <v>3877.4145388489442</v>
      </c>
      <c r="AD230" s="19">
        <v>3922.613020488408</v>
      </c>
      <c r="AE230" s="19">
        <v>3914.3905938455946</v>
      </c>
      <c r="AF230" s="19">
        <v>3905.7288763060433</v>
      </c>
      <c r="AG230" s="19">
        <v>3896.6394261584551</v>
      </c>
      <c r="AH230" s="19">
        <v>3887.1330956278111</v>
      </c>
      <c r="AI230" s="19">
        <v>3877.220031157055</v>
      </c>
      <c r="AJ230" s="19">
        <v>3866.9096654141185</v>
      </c>
      <c r="AK230" s="19">
        <v>3856.2106990294801</v>
      </c>
      <c r="AL230" s="19">
        <v>3845.1310692655575</v>
      </c>
      <c r="AM230" s="19">
        <v>3833.6779016500991</v>
      </c>
      <c r="AN230" s="19">
        <v>3821.8574388699608</v>
      </c>
      <c r="AO230" s="19">
        <v>3809.6749385874546</v>
      </c>
      <c r="AP230" s="19">
        <v>3797.1345277462929</v>
      </c>
      <c r="AQ230" s="19">
        <v>3784.2389943954208</v>
      </c>
      <c r="AR230" s="19">
        <v>80704.853029095859</v>
      </c>
    </row>
    <row r="231" spans="1:44" x14ac:dyDescent="0.25">
      <c r="A231" t="s">
        <v>131</v>
      </c>
      <c r="B231" t="s">
        <v>227</v>
      </c>
      <c r="C231" t="s">
        <v>44</v>
      </c>
      <c r="D231" t="s">
        <v>219</v>
      </c>
      <c r="E231" t="s">
        <v>145</v>
      </c>
      <c r="F231" t="s">
        <v>228</v>
      </c>
      <c r="G231" t="s">
        <v>28</v>
      </c>
      <c r="H231" t="s">
        <v>138</v>
      </c>
      <c r="I231" t="s">
        <v>135</v>
      </c>
      <c r="J231" t="s">
        <v>39</v>
      </c>
      <c r="K231" t="s">
        <v>28</v>
      </c>
      <c r="L231">
        <v>0.03</v>
      </c>
      <c r="M231">
        <v>0</v>
      </c>
      <c r="N231" s="2">
        <v>0.86223702684315151</v>
      </c>
      <c r="O231" s="2">
        <v>3.8640773301877118</v>
      </c>
      <c r="P231" s="1">
        <v>0.9902907320146096</v>
      </c>
      <c r="Q231" s="1">
        <v>3.262663060284809</v>
      </c>
      <c r="R231" s="1">
        <v>-1.544335941753501</v>
      </c>
      <c r="S231" s="19">
        <v>221.47125585822357</v>
      </c>
      <c r="T231" s="19">
        <v>324.80878890449247</v>
      </c>
      <c r="U231" s="19">
        <v>442.50307271618544</v>
      </c>
      <c r="V231" s="19">
        <v>579.86371827189873</v>
      </c>
      <c r="W231" s="19">
        <v>730.22064242245563</v>
      </c>
      <c r="X231" s="19">
        <v>883.38688206101222</v>
      </c>
      <c r="Y231" s="19">
        <v>1027.1767269111533</v>
      </c>
      <c r="Z231" s="19">
        <v>1150.0963691318834</v>
      </c>
      <c r="AA231" s="19">
        <v>1244.3889160670458</v>
      </c>
      <c r="AB231" s="19">
        <v>1308.0971940226964</v>
      </c>
      <c r="AC231" s="19">
        <v>1345.0094366349913</v>
      </c>
      <c r="AD231" s="19">
        <v>1360.6880244459037</v>
      </c>
      <c r="AE231" s="19">
        <v>1357.8358038964068</v>
      </c>
      <c r="AF231" s="19">
        <v>1354.8312007745485</v>
      </c>
      <c r="AG231" s="19">
        <v>1351.6782244549318</v>
      </c>
      <c r="AH231" s="19">
        <v>1348.3806393906111</v>
      </c>
      <c r="AI231" s="19">
        <v>1344.9419652108068</v>
      </c>
      <c r="AJ231" s="19">
        <v>1341.3654739482745</v>
      </c>
      <c r="AK231" s="19">
        <v>1337.6541837043765</v>
      </c>
      <c r="AL231" s="19">
        <v>1333.8108477810215</v>
      </c>
      <c r="AM231" s="19">
        <v>1329.8379379031087</v>
      </c>
      <c r="AN231" s="19">
        <v>1325.7376195529853</v>
      </c>
      <c r="AO231" s="19">
        <v>1321.5117165246636</v>
      </c>
      <c r="AP231" s="19">
        <v>1317.1616603850257</v>
      </c>
      <c r="AQ231" s="19">
        <v>1312.688418261032</v>
      </c>
      <c r="AR231" s="19">
        <v>27995.14671923573</v>
      </c>
    </row>
    <row r="232" spans="1:44" x14ac:dyDescent="0.25">
      <c r="A232" t="s">
        <v>131</v>
      </c>
      <c r="B232" t="s">
        <v>229</v>
      </c>
      <c r="C232" t="s">
        <v>44</v>
      </c>
      <c r="D232" t="s">
        <v>219</v>
      </c>
      <c r="E232" t="s">
        <v>145</v>
      </c>
      <c r="F232" t="s">
        <v>228</v>
      </c>
      <c r="G232" t="s">
        <v>28</v>
      </c>
      <c r="H232" t="s">
        <v>53</v>
      </c>
      <c r="I232" t="s">
        <v>135</v>
      </c>
      <c r="J232" t="s">
        <v>39</v>
      </c>
      <c r="K232" t="s">
        <v>28</v>
      </c>
      <c r="L232">
        <v>0.03</v>
      </c>
      <c r="M232">
        <v>0</v>
      </c>
      <c r="N232" s="2">
        <v>0.86223702684315151</v>
      </c>
      <c r="O232" s="2">
        <v>3.8640773301877118</v>
      </c>
      <c r="P232" s="1">
        <v>0.9902907320146096</v>
      </c>
      <c r="Q232" s="1">
        <v>3.262663060284809</v>
      </c>
      <c r="R232" s="1">
        <v>-1.544335941753501</v>
      </c>
      <c r="S232" s="19">
        <v>23.684681769804435</v>
      </c>
      <c r="T232" s="19">
        <v>34.735852160260549</v>
      </c>
      <c r="U232" s="19">
        <v>47.322368850216293</v>
      </c>
      <c r="V232" s="19">
        <v>62.012054719720851</v>
      </c>
      <c r="W232" s="19">
        <v>78.091594642826109</v>
      </c>
      <c r="X232" s="19">
        <v>94.471569685903972</v>
      </c>
      <c r="Y232" s="19">
        <v>109.84880996843199</v>
      </c>
      <c r="Z232" s="19">
        <v>122.99413936106392</v>
      </c>
      <c r="AA232" s="19">
        <v>133.0780166514574</v>
      </c>
      <c r="AB232" s="19">
        <v>139.89113686263178</v>
      </c>
      <c r="AC232" s="19">
        <v>143.83862303321484</v>
      </c>
      <c r="AD232" s="19">
        <v>145.51532984314562</v>
      </c>
      <c r="AE232" s="19">
        <v>145.21030635018559</v>
      </c>
      <c r="AF232" s="19">
        <v>144.88898668949184</v>
      </c>
      <c r="AG232" s="19">
        <v>144.55179963346299</v>
      </c>
      <c r="AH232" s="19">
        <v>144.1991477619836</v>
      </c>
      <c r="AI232" s="19">
        <v>143.83140747287425</v>
      </c>
      <c r="AJ232" s="19">
        <v>143.44892868537966</v>
      </c>
      <c r="AK232" s="19">
        <v>143.05203416269549</v>
      </c>
      <c r="AL232" s="19">
        <v>142.64101834971169</v>
      </c>
      <c r="AM232" s="19">
        <v>142.21614557877876</v>
      </c>
      <c r="AN232" s="19">
        <v>141.77764743191435</v>
      </c>
      <c r="AO232" s="19">
        <v>141.32571895014368</v>
      </c>
      <c r="AP232" s="19">
        <v>140.86051322875622</v>
      </c>
      <c r="AQ232" s="19">
        <v>140.38213369469202</v>
      </c>
      <c r="AR232" s="19">
        <v>2993.8699655387481</v>
      </c>
    </row>
    <row r="233" spans="1:44" x14ac:dyDescent="0.25">
      <c r="A233" t="s">
        <v>131</v>
      </c>
      <c r="B233" t="s">
        <v>229</v>
      </c>
      <c r="C233" t="s">
        <v>44</v>
      </c>
      <c r="D233" t="s">
        <v>219</v>
      </c>
      <c r="E233" t="s">
        <v>145</v>
      </c>
      <c r="F233" t="s">
        <v>228</v>
      </c>
      <c r="G233" t="s">
        <v>28</v>
      </c>
      <c r="H233" t="s">
        <v>54</v>
      </c>
      <c r="I233" t="s">
        <v>135</v>
      </c>
      <c r="J233" t="s">
        <v>39</v>
      </c>
      <c r="K233" t="s">
        <v>28</v>
      </c>
      <c r="L233">
        <v>0.03</v>
      </c>
      <c r="M233">
        <v>0</v>
      </c>
      <c r="N233" s="2">
        <v>0.86223702684315151</v>
      </c>
      <c r="O233" s="2">
        <v>3.8640773301877118</v>
      </c>
      <c r="P233" s="1">
        <v>0.9902907320146096</v>
      </c>
      <c r="Q233" s="1">
        <v>3.262663060284809</v>
      </c>
      <c r="R233" s="1">
        <v>-1.544335941753501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>
        <v>0</v>
      </c>
      <c r="AE233" s="19">
        <v>0</v>
      </c>
      <c r="AF233" s="19">
        <v>0</v>
      </c>
      <c r="AG233" s="19">
        <v>0</v>
      </c>
      <c r="AH233" s="19">
        <v>0</v>
      </c>
      <c r="AI233" s="19">
        <v>0</v>
      </c>
      <c r="AJ233" s="19">
        <v>0</v>
      </c>
      <c r="AK233" s="19">
        <v>0</v>
      </c>
      <c r="AL233" s="19">
        <v>0</v>
      </c>
      <c r="AM233" s="19">
        <v>0</v>
      </c>
      <c r="AN233" s="19">
        <v>0</v>
      </c>
      <c r="AO233" s="19">
        <v>0</v>
      </c>
      <c r="AP233" s="19">
        <v>0</v>
      </c>
      <c r="AQ233" s="19">
        <v>0</v>
      </c>
      <c r="AR233" s="19">
        <v>0</v>
      </c>
    </row>
    <row r="234" spans="1:44" x14ac:dyDescent="0.25">
      <c r="A234" t="s">
        <v>131</v>
      </c>
      <c r="B234" t="s">
        <v>229</v>
      </c>
      <c r="C234" t="s">
        <v>44</v>
      </c>
      <c r="D234" t="s">
        <v>219</v>
      </c>
      <c r="E234" t="s">
        <v>145</v>
      </c>
      <c r="F234" t="s">
        <v>228</v>
      </c>
      <c r="G234" t="s">
        <v>28</v>
      </c>
      <c r="H234" t="s">
        <v>141</v>
      </c>
      <c r="I234" t="s">
        <v>135</v>
      </c>
      <c r="J234" t="s">
        <v>39</v>
      </c>
      <c r="K234" t="s">
        <v>28</v>
      </c>
      <c r="L234">
        <v>0.03</v>
      </c>
      <c r="M234">
        <v>0</v>
      </c>
      <c r="N234" s="2">
        <v>0.86223702684315151</v>
      </c>
      <c r="O234" s="2">
        <v>3.8640773301877118</v>
      </c>
      <c r="P234" s="1">
        <v>0.9902907320146096</v>
      </c>
      <c r="Q234" s="1">
        <v>3.262663060284809</v>
      </c>
      <c r="R234" s="1">
        <v>-1.544335941753501</v>
      </c>
      <c r="S234" s="19">
        <v>19.934607156252067</v>
      </c>
      <c r="T234" s="19">
        <v>29.236008901552619</v>
      </c>
      <c r="U234" s="19">
        <v>39.829660448932053</v>
      </c>
      <c r="V234" s="19">
        <v>52.193479389098371</v>
      </c>
      <c r="W234" s="19">
        <v>65.727092157711965</v>
      </c>
      <c r="X234" s="19">
        <v>79.51357115230249</v>
      </c>
      <c r="Y234" s="19">
        <v>92.456081723430245</v>
      </c>
      <c r="Z234" s="19">
        <v>103.52006729556211</v>
      </c>
      <c r="AA234" s="19">
        <v>112.00733068164328</v>
      </c>
      <c r="AB234" s="19">
        <v>117.74170685938172</v>
      </c>
      <c r="AC234" s="19">
        <v>121.06417438628915</v>
      </c>
      <c r="AD234" s="19">
        <v>122.47540261798086</v>
      </c>
      <c r="AE234" s="19">
        <v>122.21867451140618</v>
      </c>
      <c r="AF234" s="19">
        <v>121.94823046365562</v>
      </c>
      <c r="AG234" s="19">
        <v>121.66443135816468</v>
      </c>
      <c r="AH234" s="19">
        <v>121.36761603300285</v>
      </c>
      <c r="AI234" s="19">
        <v>121.05810128966915</v>
      </c>
      <c r="AJ234" s="19">
        <v>120.73618164352786</v>
      </c>
      <c r="AK234" s="19">
        <v>120.40212875360204</v>
      </c>
      <c r="AL234" s="19">
        <v>120.05619044434064</v>
      </c>
      <c r="AM234" s="19">
        <v>119.69858919547212</v>
      </c>
      <c r="AN234" s="19">
        <v>119.32951992186121</v>
      </c>
      <c r="AO234" s="19">
        <v>118.94914678303756</v>
      </c>
      <c r="AP234" s="19">
        <v>118.55759863420316</v>
      </c>
      <c r="AQ234" s="19">
        <v>118.15496252636576</v>
      </c>
      <c r="AR234" s="19">
        <v>2519.8405543284457</v>
      </c>
    </row>
    <row r="235" spans="1:44" x14ac:dyDescent="0.25">
      <c r="A235" t="s">
        <v>131</v>
      </c>
      <c r="B235" t="s">
        <v>229</v>
      </c>
      <c r="C235" t="s">
        <v>44</v>
      </c>
      <c r="D235" t="s">
        <v>219</v>
      </c>
      <c r="E235" t="s">
        <v>145</v>
      </c>
      <c r="F235" t="s">
        <v>228</v>
      </c>
      <c r="G235" t="s">
        <v>28</v>
      </c>
      <c r="H235" t="s">
        <v>142</v>
      </c>
      <c r="I235" t="s">
        <v>135</v>
      </c>
      <c r="J235" t="s">
        <v>39</v>
      </c>
      <c r="K235" t="s">
        <v>28</v>
      </c>
      <c r="L235">
        <v>0.03</v>
      </c>
      <c r="M235">
        <v>0</v>
      </c>
      <c r="N235" s="2">
        <v>0.86223702684315151</v>
      </c>
      <c r="O235" s="2">
        <v>3.8640773301877118</v>
      </c>
      <c r="P235" s="1">
        <v>0.9902907320146096</v>
      </c>
      <c r="Q235" s="1">
        <v>3.262663060284809</v>
      </c>
      <c r="R235" s="1">
        <v>-1.544335941753501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19">
        <v>0</v>
      </c>
      <c r="AI235" s="19">
        <v>0</v>
      </c>
      <c r="AJ235" s="19">
        <v>0</v>
      </c>
      <c r="AK235" s="19">
        <v>0</v>
      </c>
      <c r="AL235" s="19">
        <v>0</v>
      </c>
      <c r="AM235" s="19">
        <v>0</v>
      </c>
      <c r="AN235" s="19">
        <v>0</v>
      </c>
      <c r="AO235" s="19">
        <v>0</v>
      </c>
      <c r="AP235" s="19">
        <v>0</v>
      </c>
      <c r="AQ235" s="19">
        <v>0</v>
      </c>
      <c r="AR235" s="19">
        <v>0</v>
      </c>
    </row>
    <row r="236" spans="1:44" x14ac:dyDescent="0.25">
      <c r="A236" t="s">
        <v>131</v>
      </c>
      <c r="B236" t="s">
        <v>230</v>
      </c>
      <c r="C236" t="s">
        <v>44</v>
      </c>
      <c r="D236" t="s">
        <v>219</v>
      </c>
      <c r="E236" t="s">
        <v>145</v>
      </c>
      <c r="F236" t="s">
        <v>228</v>
      </c>
      <c r="G236" t="s">
        <v>28</v>
      </c>
      <c r="H236" t="s">
        <v>55</v>
      </c>
      <c r="I236" t="s">
        <v>135</v>
      </c>
      <c r="J236" t="s">
        <v>39</v>
      </c>
      <c r="K236" t="s">
        <v>28</v>
      </c>
      <c r="L236">
        <v>0.03</v>
      </c>
      <c r="M236">
        <v>0</v>
      </c>
      <c r="N236" s="2">
        <v>0.86122751919340645</v>
      </c>
      <c r="O236" s="2">
        <v>3.8595532660352969</v>
      </c>
      <c r="P236" s="1">
        <v>0.99024316795274525</v>
      </c>
      <c r="Q236" s="1">
        <v>3.2626630602848077</v>
      </c>
      <c r="R236" s="1">
        <v>-1.5443835058153661</v>
      </c>
      <c r="S236" s="19">
        <v>0.9018394275110504</v>
      </c>
      <c r="T236" s="19">
        <v>1.3226338158469799</v>
      </c>
      <c r="U236" s="19">
        <v>1.8018894425997689</v>
      </c>
      <c r="V236" s="19">
        <v>2.3612272468239599</v>
      </c>
      <c r="W236" s="19">
        <v>2.973486394733722</v>
      </c>
      <c r="X236" s="19">
        <v>3.5971851827971344</v>
      </c>
      <c r="Y236" s="19">
        <v>4.1827029325342222</v>
      </c>
      <c r="Z236" s="19">
        <v>4.6832364186547428</v>
      </c>
      <c r="AA236" s="19">
        <v>5.0671992774782932</v>
      </c>
      <c r="AB236" s="19">
        <v>5.3266218228402034</v>
      </c>
      <c r="AC236" s="19">
        <v>5.4769298870475547</v>
      </c>
      <c r="AD236" s="19">
        <v>5.5407736964881185</v>
      </c>
      <c r="AE236" s="19">
        <v>5.529159345282471</v>
      </c>
      <c r="AF236" s="19">
        <v>5.5169244864118951</v>
      </c>
      <c r="AG236" s="19">
        <v>5.5040854462031774</v>
      </c>
      <c r="AH236" s="19">
        <v>5.4906575536531852</v>
      </c>
      <c r="AI236" s="19">
        <v>5.4766551408267699</v>
      </c>
      <c r="AJ236" s="19">
        <v>5.4620915315665002</v>
      </c>
      <c r="AK236" s="19">
        <v>5.4469790156965985</v>
      </c>
      <c r="AL236" s="19">
        <v>5.431328804767781</v>
      </c>
      <c r="AM236" s="19">
        <v>5.4151509637384105</v>
      </c>
      <c r="AN236" s="19">
        <v>5.398454310535449</v>
      </c>
      <c r="AO236" s="19">
        <v>5.381246271717905</v>
      </c>
      <c r="AP236" s="19">
        <v>5.3635326766808884</v>
      </c>
      <c r="AQ236" s="19">
        <v>5.3453174636023899</v>
      </c>
      <c r="AR236" s="19">
        <v>113.99730855603916</v>
      </c>
    </row>
    <row r="237" spans="1:44" x14ac:dyDescent="0.25">
      <c r="A237" t="s">
        <v>131</v>
      </c>
      <c r="B237" t="s">
        <v>230</v>
      </c>
      <c r="C237" t="s">
        <v>44</v>
      </c>
      <c r="D237" t="s">
        <v>219</v>
      </c>
      <c r="E237" t="s">
        <v>145</v>
      </c>
      <c r="F237" t="s">
        <v>228</v>
      </c>
      <c r="G237" t="s">
        <v>28</v>
      </c>
      <c r="H237" t="s">
        <v>136</v>
      </c>
      <c r="I237" t="s">
        <v>135</v>
      </c>
      <c r="J237" t="s">
        <v>39</v>
      </c>
      <c r="K237" t="s">
        <v>28</v>
      </c>
      <c r="L237">
        <v>0.03</v>
      </c>
      <c r="M237">
        <v>0</v>
      </c>
      <c r="N237" s="2">
        <v>0.86122751919340645</v>
      </c>
      <c r="O237" s="2">
        <v>3.8595532660352969</v>
      </c>
      <c r="P237" s="1">
        <v>0.99024316795274525</v>
      </c>
      <c r="Q237" s="1">
        <v>3.2626630602848077</v>
      </c>
      <c r="R237" s="1">
        <v>-1.5443835058153661</v>
      </c>
      <c r="S237" s="19">
        <v>1.1323095034305408</v>
      </c>
      <c r="T237" s="19">
        <v>1.6606402354523198</v>
      </c>
      <c r="U237" s="19">
        <v>2.2623723001530429</v>
      </c>
      <c r="V237" s="19">
        <v>2.9646519876789723</v>
      </c>
      <c r="W237" s="19">
        <v>3.7333773622767832</v>
      </c>
      <c r="X237" s="19">
        <v>4.5164658406230691</v>
      </c>
      <c r="Y237" s="19">
        <v>5.2516159041818575</v>
      </c>
      <c r="Z237" s="19">
        <v>5.8800635034220674</v>
      </c>
      <c r="AA237" s="19">
        <v>6.3621502039449682</v>
      </c>
      <c r="AB237" s="19">
        <v>6.6878696220104752</v>
      </c>
      <c r="AC237" s="19">
        <v>6.8765897470708168</v>
      </c>
      <c r="AD237" s="19">
        <v>6.9567491967017494</v>
      </c>
      <c r="AE237" s="19">
        <v>6.9421667335213249</v>
      </c>
      <c r="AF237" s="19">
        <v>6.9268051884949351</v>
      </c>
      <c r="AG237" s="19">
        <v>6.9106850602328791</v>
      </c>
      <c r="AH237" s="19">
        <v>6.8938255951423342</v>
      </c>
      <c r="AI237" s="19">
        <v>6.876244787926943</v>
      </c>
      <c r="AJ237" s="19">
        <v>6.8579593674112722</v>
      </c>
      <c r="AK237" s="19">
        <v>6.8389847641523946</v>
      </c>
      <c r="AL237" s="19">
        <v>6.8193350548751015</v>
      </c>
      <c r="AM237" s="19">
        <v>6.7990228766937815</v>
      </c>
      <c r="AN237" s="19">
        <v>6.7780593010056203</v>
      </c>
      <c r="AO237" s="19">
        <v>6.7564536522680374</v>
      </c>
      <c r="AP237" s="19">
        <v>6.7342132496104474</v>
      </c>
      <c r="AQ237" s="19">
        <v>6.7113430376341086</v>
      </c>
      <c r="AR237" s="19">
        <v>143.12995407591586</v>
      </c>
    </row>
    <row r="238" spans="1:44" x14ac:dyDescent="0.25">
      <c r="A238" t="s">
        <v>131</v>
      </c>
      <c r="B238" t="s">
        <v>231</v>
      </c>
      <c r="C238" t="s">
        <v>44</v>
      </c>
      <c r="D238" t="s">
        <v>219</v>
      </c>
      <c r="E238" t="s">
        <v>145</v>
      </c>
      <c r="F238" t="s">
        <v>232</v>
      </c>
      <c r="G238" t="s">
        <v>28</v>
      </c>
      <c r="H238" t="s">
        <v>52</v>
      </c>
      <c r="I238" t="s">
        <v>135</v>
      </c>
      <c r="J238" t="s">
        <v>39</v>
      </c>
      <c r="K238" t="s">
        <v>28</v>
      </c>
      <c r="L238">
        <v>2.9999999999999985E-2</v>
      </c>
      <c r="M238">
        <v>1</v>
      </c>
      <c r="N238" s="2">
        <v>1.3425392982815614</v>
      </c>
      <c r="O238" s="2">
        <v>3.8641499143085554</v>
      </c>
      <c r="P238" s="1">
        <v>-0.17696193753835973</v>
      </c>
      <c r="Q238" s="1">
        <v>2.0954632346128963</v>
      </c>
      <c r="R238" s="1">
        <v>-1.5443887856345579</v>
      </c>
      <c r="S238" s="19">
        <v>0</v>
      </c>
      <c r="T238" s="19">
        <v>0</v>
      </c>
      <c r="U238" s="19">
        <v>31.070563685442337</v>
      </c>
      <c r="V238" s="19">
        <v>58.410842268532505</v>
      </c>
      <c r="W238" s="19">
        <v>99.846869048584693</v>
      </c>
      <c r="X238" s="19">
        <v>159.08956714037262</v>
      </c>
      <c r="Y238" s="19">
        <v>239.517857076544</v>
      </c>
      <c r="Z238" s="19">
        <v>343.55130672390982</v>
      </c>
      <c r="AA238" s="19">
        <v>471.90116271945953</v>
      </c>
      <c r="AB238" s="19">
        <v>622.82576879790179</v>
      </c>
      <c r="AC238" s="19">
        <v>791.59831400526684</v>
      </c>
      <c r="AD238" s="19">
        <v>970.44741207299933</v>
      </c>
      <c r="AE238" s="19">
        <v>1149.2008356480776</v>
      </c>
      <c r="AF238" s="19">
        <v>1316.7036251085603</v>
      </c>
      <c r="AG238" s="19">
        <v>1462.7996690265627</v>
      </c>
      <c r="AH238" s="19">
        <v>1580.3541420925362</v>
      </c>
      <c r="AI238" s="19">
        <v>1666.6266313653066</v>
      </c>
      <c r="AJ238" s="19">
        <v>1728.1803029449943</v>
      </c>
      <c r="AK238" s="19">
        <v>1759.3029144716345</v>
      </c>
      <c r="AL238" s="19">
        <v>1782.8888865480476</v>
      </c>
      <c r="AM238" s="19">
        <v>1784.71721465016</v>
      </c>
      <c r="AN238" s="19">
        <v>1779.2143570940352</v>
      </c>
      <c r="AO238" s="19">
        <v>1773.542957845206</v>
      </c>
      <c r="AP238" s="19">
        <v>1767.7049381468448</v>
      </c>
      <c r="AQ238" s="19">
        <v>1761.7015959376597</v>
      </c>
      <c r="AR238" s="19">
        <v>25101.197734418642</v>
      </c>
    </row>
    <row r="239" spans="1:44" x14ac:dyDescent="0.25">
      <c r="A239" t="s">
        <v>131</v>
      </c>
      <c r="B239" t="s">
        <v>231</v>
      </c>
      <c r="C239" t="s">
        <v>44</v>
      </c>
      <c r="D239" t="s">
        <v>219</v>
      </c>
      <c r="E239" t="s">
        <v>145</v>
      </c>
      <c r="F239" t="s">
        <v>232</v>
      </c>
      <c r="G239" t="s">
        <v>28</v>
      </c>
      <c r="H239" t="s">
        <v>138</v>
      </c>
      <c r="I239" t="s">
        <v>135</v>
      </c>
      <c r="J239" t="s">
        <v>39</v>
      </c>
      <c r="K239" t="s">
        <v>28</v>
      </c>
      <c r="L239">
        <v>2.9999999999999985E-2</v>
      </c>
      <c r="M239">
        <v>1</v>
      </c>
      <c r="N239" s="2">
        <v>1.3425392982815614</v>
      </c>
      <c r="O239" s="2">
        <v>3.8641499143085554</v>
      </c>
      <c r="P239" s="1">
        <v>-0.17696193753835973</v>
      </c>
      <c r="Q239" s="1">
        <v>2.0954632346128963</v>
      </c>
      <c r="R239" s="1">
        <v>-1.5443887856345579</v>
      </c>
      <c r="S239" s="19">
        <v>0</v>
      </c>
      <c r="T239" s="19">
        <v>0</v>
      </c>
      <c r="U239" s="19">
        <v>10.777852339433972</v>
      </c>
      <c r="V239" s="19">
        <v>20.261731952007533</v>
      </c>
      <c r="W239" s="19">
        <v>34.63518789215447</v>
      </c>
      <c r="X239" s="19">
        <v>55.185476541153811</v>
      </c>
      <c r="Y239" s="19">
        <v>83.084688207255169</v>
      </c>
      <c r="Z239" s="19">
        <v>119.17213000627852</v>
      </c>
      <c r="AA239" s="19">
        <v>163.69452135110598</v>
      </c>
      <c r="AB239" s="19">
        <v>216.047711179549</v>
      </c>
      <c r="AC239" s="19">
        <v>274.59204882372552</v>
      </c>
      <c r="AD239" s="19">
        <v>336.63177200126535</v>
      </c>
      <c r="AE239" s="19">
        <v>398.63830731762226</v>
      </c>
      <c r="AF239" s="19">
        <v>456.74218819746062</v>
      </c>
      <c r="AG239" s="19">
        <v>507.42043158772947</v>
      </c>
      <c r="AH239" s="19">
        <v>548.19808742210546</v>
      </c>
      <c r="AI239" s="19">
        <v>578.12455286222166</v>
      </c>
      <c r="AJ239" s="19">
        <v>599.47647907612327</v>
      </c>
      <c r="AK239" s="19">
        <v>610.27238593019968</v>
      </c>
      <c r="AL239" s="19">
        <v>618.453960197573</v>
      </c>
      <c r="AM239" s="19">
        <v>619.08817625210304</v>
      </c>
      <c r="AN239" s="19">
        <v>617.17932816085818</v>
      </c>
      <c r="AO239" s="19">
        <v>615.21201581079322</v>
      </c>
      <c r="AP239" s="19">
        <v>613.18690564862629</v>
      </c>
      <c r="AQ239" s="19">
        <v>611.1044479073139</v>
      </c>
      <c r="AR239" s="19">
        <v>8707.1803866646587</v>
      </c>
    </row>
    <row r="240" spans="1:44" x14ac:dyDescent="0.25">
      <c r="A240" t="s">
        <v>131</v>
      </c>
      <c r="B240" t="s">
        <v>233</v>
      </c>
      <c r="C240" t="s">
        <v>44</v>
      </c>
      <c r="D240" t="s">
        <v>219</v>
      </c>
      <c r="E240" t="s">
        <v>145</v>
      </c>
      <c r="F240" t="s">
        <v>232</v>
      </c>
      <c r="G240" t="s">
        <v>28</v>
      </c>
      <c r="H240" t="s">
        <v>53</v>
      </c>
      <c r="I240" t="s">
        <v>135</v>
      </c>
      <c r="J240" t="s">
        <v>39</v>
      </c>
      <c r="K240" t="s">
        <v>28</v>
      </c>
      <c r="L240">
        <v>2.9999999999999985E-2</v>
      </c>
      <c r="M240">
        <v>1</v>
      </c>
      <c r="N240" s="2">
        <v>1.3425392982815614</v>
      </c>
      <c r="O240" s="2">
        <v>3.8641499143085554</v>
      </c>
      <c r="P240" s="1">
        <v>-0.17696193753835973</v>
      </c>
      <c r="Q240" s="1">
        <v>2.0954632346128963</v>
      </c>
      <c r="R240" s="1">
        <v>-1.5443887856345579</v>
      </c>
      <c r="S240" s="19">
        <v>0</v>
      </c>
      <c r="T240" s="19">
        <v>0</v>
      </c>
      <c r="U240" s="19">
        <v>1.1527037877200961</v>
      </c>
      <c r="V240" s="19">
        <v>2.1670156939703413</v>
      </c>
      <c r="W240" s="19">
        <v>3.7042734502503296</v>
      </c>
      <c r="X240" s="19">
        <v>5.9021506170929117</v>
      </c>
      <c r="Y240" s="19">
        <v>8.8860036101659894</v>
      </c>
      <c r="Z240" s="19">
        <v>12.74559729736688</v>
      </c>
      <c r="AA240" s="19">
        <v>17.507318605587578</v>
      </c>
      <c r="AB240" s="19">
        <v>23.106552879161299</v>
      </c>
      <c r="AC240" s="19">
        <v>29.367937580554472</v>
      </c>
      <c r="AD240" s="19">
        <v>36.003157812158818</v>
      </c>
      <c r="AE240" s="19">
        <v>42.634828563580342</v>
      </c>
      <c r="AF240" s="19">
        <v>48.849105904008674</v>
      </c>
      <c r="AG240" s="19">
        <v>54.269202716545969</v>
      </c>
      <c r="AH240" s="19">
        <v>58.630420225775673</v>
      </c>
      <c r="AI240" s="19">
        <v>61.831090357401187</v>
      </c>
      <c r="AJ240" s="19">
        <v>64.114703590051676</v>
      </c>
      <c r="AK240" s="19">
        <v>65.26933832901868</v>
      </c>
      <c r="AL240" s="19">
        <v>66.144367170619049</v>
      </c>
      <c r="AM240" s="19">
        <v>66.212197312029929</v>
      </c>
      <c r="AN240" s="19">
        <v>66.008043798355445</v>
      </c>
      <c r="AO240" s="19">
        <v>65.797637464502515</v>
      </c>
      <c r="AP240" s="19">
        <v>65.581049587719377</v>
      </c>
      <c r="AQ240" s="19">
        <v>65.358328320942022</v>
      </c>
      <c r="AR240" s="19">
        <v>931.24302467457915</v>
      </c>
    </row>
    <row r="241" spans="1:44" x14ac:dyDescent="0.25">
      <c r="A241" t="s">
        <v>131</v>
      </c>
      <c r="B241" t="s">
        <v>233</v>
      </c>
      <c r="C241" t="s">
        <v>44</v>
      </c>
      <c r="D241" t="s">
        <v>219</v>
      </c>
      <c r="E241" t="s">
        <v>145</v>
      </c>
      <c r="F241" t="s">
        <v>232</v>
      </c>
      <c r="G241" t="s">
        <v>28</v>
      </c>
      <c r="H241" t="s">
        <v>54</v>
      </c>
      <c r="I241" t="s">
        <v>135</v>
      </c>
      <c r="J241" t="s">
        <v>39</v>
      </c>
      <c r="K241" t="s">
        <v>28</v>
      </c>
      <c r="L241">
        <v>2.9999999999999985E-2</v>
      </c>
      <c r="M241">
        <v>1</v>
      </c>
      <c r="N241" s="2">
        <v>1.3425392982815614</v>
      </c>
      <c r="O241" s="2">
        <v>3.8641499143085554</v>
      </c>
      <c r="P241" s="1">
        <v>-0.17696193753835973</v>
      </c>
      <c r="Q241" s="1">
        <v>2.0954632346128963</v>
      </c>
      <c r="R241" s="1">
        <v>-1.5443887856345579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19">
        <v>0</v>
      </c>
      <c r="AI241" s="19">
        <v>0</v>
      </c>
      <c r="AJ241" s="19">
        <v>0</v>
      </c>
      <c r="AK241" s="19">
        <v>0</v>
      </c>
      <c r="AL241" s="19">
        <v>0</v>
      </c>
      <c r="AM241" s="19">
        <v>0</v>
      </c>
      <c r="AN241" s="19">
        <v>0</v>
      </c>
      <c r="AO241" s="19">
        <v>0</v>
      </c>
      <c r="AP241" s="19">
        <v>0</v>
      </c>
      <c r="AQ241" s="19">
        <v>0</v>
      </c>
      <c r="AR241" s="19">
        <v>0</v>
      </c>
    </row>
    <row r="242" spans="1:44" x14ac:dyDescent="0.25">
      <c r="A242" t="s">
        <v>131</v>
      </c>
      <c r="B242" t="s">
        <v>233</v>
      </c>
      <c r="C242" t="s">
        <v>44</v>
      </c>
      <c r="D242" t="s">
        <v>219</v>
      </c>
      <c r="E242" t="s">
        <v>145</v>
      </c>
      <c r="F242" t="s">
        <v>232</v>
      </c>
      <c r="G242" t="s">
        <v>28</v>
      </c>
      <c r="H242" t="s">
        <v>141</v>
      </c>
      <c r="I242" t="s">
        <v>135</v>
      </c>
      <c r="J242" t="s">
        <v>39</v>
      </c>
      <c r="K242" t="s">
        <v>28</v>
      </c>
      <c r="L242">
        <v>2.9999999999999985E-2</v>
      </c>
      <c r="M242">
        <v>1</v>
      </c>
      <c r="N242" s="2">
        <v>1.3425392982815614</v>
      </c>
      <c r="O242" s="2">
        <v>3.8641499143085554</v>
      </c>
      <c r="P242" s="1">
        <v>-0.17696193753835973</v>
      </c>
      <c r="Q242" s="1">
        <v>2.0954632346128963</v>
      </c>
      <c r="R242" s="1">
        <v>-1.5443887856345579</v>
      </c>
      <c r="S242" s="19">
        <v>0</v>
      </c>
      <c r="T242" s="19">
        <v>0</v>
      </c>
      <c r="U242" s="19">
        <v>0.97019235466441389</v>
      </c>
      <c r="V242" s="19">
        <v>1.8239048757583705</v>
      </c>
      <c r="W242" s="19">
        <v>3.1177634872940261</v>
      </c>
      <c r="X242" s="19">
        <v>4.9676434360531987</v>
      </c>
      <c r="Y242" s="19">
        <v>7.4790530385563727</v>
      </c>
      <c r="Z242" s="19">
        <v>10.727544391950454</v>
      </c>
      <c r="AA242" s="19">
        <v>14.735326493036204</v>
      </c>
      <c r="AB242" s="19">
        <v>19.448015339960762</v>
      </c>
      <c r="AC242" s="19">
        <v>24.718014130300009</v>
      </c>
      <c r="AD242" s="19">
        <v>30.302657825233656</v>
      </c>
      <c r="AE242" s="19">
        <v>35.88431404101344</v>
      </c>
      <c r="AF242" s="19">
        <v>41.114664135873966</v>
      </c>
      <c r="AG242" s="19">
        <v>45.676578953092857</v>
      </c>
      <c r="AH242" s="19">
        <v>49.347270356694523</v>
      </c>
      <c r="AI242" s="19">
        <v>52.041167717479325</v>
      </c>
      <c r="AJ242" s="19">
        <v>53.963208854960143</v>
      </c>
      <c r="AK242" s="19">
        <v>54.935026426924047</v>
      </c>
      <c r="AL242" s="19">
        <v>55.671509035270986</v>
      </c>
      <c r="AM242" s="19">
        <v>55.72859940429182</v>
      </c>
      <c r="AN242" s="19">
        <v>55.556770196949152</v>
      </c>
      <c r="AO242" s="19">
        <v>55.3796781992896</v>
      </c>
      <c r="AP242" s="19">
        <v>55.197383402997133</v>
      </c>
      <c r="AQ242" s="19">
        <v>55.009926336792859</v>
      </c>
      <c r="AR242" s="19">
        <v>783.79621243443739</v>
      </c>
    </row>
    <row r="243" spans="1:44" x14ac:dyDescent="0.25">
      <c r="A243" t="s">
        <v>131</v>
      </c>
      <c r="B243" t="s">
        <v>233</v>
      </c>
      <c r="C243" t="s">
        <v>44</v>
      </c>
      <c r="D243" t="s">
        <v>219</v>
      </c>
      <c r="E243" t="s">
        <v>145</v>
      </c>
      <c r="F243" t="s">
        <v>232</v>
      </c>
      <c r="G243" t="s">
        <v>28</v>
      </c>
      <c r="H243" t="s">
        <v>142</v>
      </c>
      <c r="I243" t="s">
        <v>135</v>
      </c>
      <c r="J243" t="s">
        <v>39</v>
      </c>
      <c r="K243" t="s">
        <v>28</v>
      </c>
      <c r="L243">
        <v>2.9999999999999985E-2</v>
      </c>
      <c r="M243">
        <v>1</v>
      </c>
      <c r="N243" s="2">
        <v>1.3425392982815614</v>
      </c>
      <c r="O243" s="2">
        <v>3.8641499143085554</v>
      </c>
      <c r="P243" s="1">
        <v>-0.17696193753835973</v>
      </c>
      <c r="Q243" s="1">
        <v>2.0954632346128963</v>
      </c>
      <c r="R243" s="1">
        <v>-1.5443887856345579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19">
        <v>0</v>
      </c>
      <c r="AI243" s="19">
        <v>0</v>
      </c>
      <c r="AJ243" s="19">
        <v>0</v>
      </c>
      <c r="AK243" s="19">
        <v>0</v>
      </c>
      <c r="AL243" s="19">
        <v>0</v>
      </c>
      <c r="AM243" s="19">
        <v>0</v>
      </c>
      <c r="AN243" s="19">
        <v>0</v>
      </c>
      <c r="AO243" s="19">
        <v>0</v>
      </c>
      <c r="AP243" s="19">
        <v>0</v>
      </c>
      <c r="AQ243" s="19">
        <v>0</v>
      </c>
      <c r="AR243" s="19">
        <v>0</v>
      </c>
    </row>
    <row r="244" spans="1:44" x14ac:dyDescent="0.25">
      <c r="A244" t="s">
        <v>131</v>
      </c>
      <c r="B244" t="s">
        <v>234</v>
      </c>
      <c r="C244" t="s">
        <v>44</v>
      </c>
      <c r="D244" t="s">
        <v>219</v>
      </c>
      <c r="E244" t="s">
        <v>145</v>
      </c>
      <c r="F244" t="s">
        <v>232</v>
      </c>
      <c r="G244" t="s">
        <v>28</v>
      </c>
      <c r="H244" t="s">
        <v>55</v>
      </c>
      <c r="I244" t="s">
        <v>135</v>
      </c>
      <c r="J244" t="s">
        <v>39</v>
      </c>
      <c r="K244" t="s">
        <v>28</v>
      </c>
      <c r="L244">
        <v>2.9999999999999985E-2</v>
      </c>
      <c r="M244">
        <v>1</v>
      </c>
      <c r="N244" s="2">
        <v>1.3409674942150906</v>
      </c>
      <c r="O244" s="2">
        <v>3.8596258854354111</v>
      </c>
      <c r="P244" s="1">
        <v>-0.177009527284818</v>
      </c>
      <c r="Q244" s="1">
        <v>2.0954632346128959</v>
      </c>
      <c r="R244" s="1">
        <v>-1.5444363753810169</v>
      </c>
      <c r="S244" s="19">
        <v>0</v>
      </c>
      <c r="T244" s="19">
        <v>0</v>
      </c>
      <c r="U244" s="19">
        <v>4.3891583282769819E-2</v>
      </c>
      <c r="V244" s="19">
        <v>8.2513609151134662E-2</v>
      </c>
      <c r="W244" s="19">
        <v>0.14104788096982929</v>
      </c>
      <c r="X244" s="19">
        <v>0.22473660459636621</v>
      </c>
      <c r="Y244" s="19">
        <v>0.33835298509602907</v>
      </c>
      <c r="Z244" s="19">
        <v>0.48531500566376717</v>
      </c>
      <c r="AA244" s="19">
        <v>0.66662740317265656</v>
      </c>
      <c r="AB244" s="19">
        <v>0.87982984082958626</v>
      </c>
      <c r="AC244" s="19">
        <v>1.1182450269462407</v>
      </c>
      <c r="AD244" s="19">
        <v>1.3708947748671687</v>
      </c>
      <c r="AE244" s="19">
        <v>1.6234093689812696</v>
      </c>
      <c r="AF244" s="19">
        <v>1.8600308447978056</v>
      </c>
      <c r="AG244" s="19">
        <v>2.0664122527384232</v>
      </c>
      <c r="AH244" s="19">
        <v>2.2324746388950913</v>
      </c>
      <c r="AI244" s="19">
        <v>2.3543467808447347</v>
      </c>
      <c r="AJ244" s="19">
        <v>2.4413000826854092</v>
      </c>
      <c r="AK244" s="19">
        <v>2.4852651909347601</v>
      </c>
      <c r="AL244" s="19">
        <v>2.5185837257440271</v>
      </c>
      <c r="AM244" s="19">
        <v>2.5211664988142077</v>
      </c>
      <c r="AN244" s="19">
        <v>2.5133929311003058</v>
      </c>
      <c r="AO244" s="19">
        <v>2.5053812743122301</v>
      </c>
      <c r="AP244" s="19">
        <v>2.4971342424787801</v>
      </c>
      <c r="AQ244" s="19">
        <v>2.4886536691226921</v>
      </c>
      <c r="AR244" s="19">
        <v>35.459006216025287</v>
      </c>
    </row>
    <row r="245" spans="1:44" x14ac:dyDescent="0.25">
      <c r="A245" t="s">
        <v>131</v>
      </c>
      <c r="B245" t="s">
        <v>234</v>
      </c>
      <c r="C245" t="s">
        <v>44</v>
      </c>
      <c r="D245" t="s">
        <v>219</v>
      </c>
      <c r="E245" t="s">
        <v>145</v>
      </c>
      <c r="F245" t="s">
        <v>232</v>
      </c>
      <c r="G245" t="s">
        <v>28</v>
      </c>
      <c r="H245" t="s">
        <v>136</v>
      </c>
      <c r="I245" t="s">
        <v>135</v>
      </c>
      <c r="J245" t="s">
        <v>39</v>
      </c>
      <c r="K245" t="s">
        <v>28</v>
      </c>
      <c r="L245">
        <v>2.9999999999999985E-2</v>
      </c>
      <c r="M245">
        <v>1</v>
      </c>
      <c r="N245" s="2">
        <v>1.3409674942150906</v>
      </c>
      <c r="O245" s="2">
        <v>3.8596258854354111</v>
      </c>
      <c r="P245" s="1">
        <v>-0.177009527284818</v>
      </c>
      <c r="Q245" s="1">
        <v>2.0954632346128959</v>
      </c>
      <c r="R245" s="1">
        <v>-1.5444363753810169</v>
      </c>
      <c r="S245" s="19">
        <v>0</v>
      </c>
      <c r="T245" s="19">
        <v>0</v>
      </c>
      <c r="U245" s="19">
        <v>5.5108321232810994E-2</v>
      </c>
      <c r="V245" s="19">
        <v>0.10360042037864682</v>
      </c>
      <c r="W245" s="19">
        <v>0.17709345055100784</v>
      </c>
      <c r="X245" s="19">
        <v>0.28216929243765981</v>
      </c>
      <c r="Y245" s="19">
        <v>0.4248209701761253</v>
      </c>
      <c r="Z245" s="19">
        <v>0.60933995155561871</v>
      </c>
      <c r="AA245" s="19">
        <v>0.83698773953900207</v>
      </c>
      <c r="AB245" s="19">
        <v>1.1046752445971473</v>
      </c>
      <c r="AC245" s="19">
        <v>1.4040187560547239</v>
      </c>
      <c r="AD245" s="19">
        <v>1.7212345506665565</v>
      </c>
      <c r="AE245" s="19">
        <v>2.0382806521653714</v>
      </c>
      <c r="AF245" s="19">
        <v>2.3353720606905779</v>
      </c>
      <c r="AG245" s="19">
        <v>2.5944953839937974</v>
      </c>
      <c r="AH245" s="19">
        <v>2.8029959355016159</v>
      </c>
      <c r="AI245" s="19">
        <v>2.9560131803939451</v>
      </c>
      <c r="AJ245" s="19">
        <v>3.0651878815939027</v>
      </c>
      <c r="AK245" s="19">
        <v>3.1203885175069748</v>
      </c>
      <c r="AL245" s="19">
        <v>3.1622217889897217</v>
      </c>
      <c r="AM245" s="19">
        <v>3.1654646040667269</v>
      </c>
      <c r="AN245" s="19">
        <v>3.1557044579370501</v>
      </c>
      <c r="AO245" s="19">
        <v>3.1456453777475786</v>
      </c>
      <c r="AP245" s="19">
        <v>3.1352907711122455</v>
      </c>
      <c r="AQ245" s="19">
        <v>3.1246429401207125</v>
      </c>
      <c r="AR245" s="19">
        <v>44.520752249009519</v>
      </c>
    </row>
    <row r="246" spans="1:44" x14ac:dyDescent="0.25">
      <c r="A246" t="s">
        <v>131</v>
      </c>
      <c r="B246" t="s">
        <v>235</v>
      </c>
      <c r="C246" t="s">
        <v>44</v>
      </c>
      <c r="D246" t="s">
        <v>236</v>
      </c>
      <c r="E246" t="s">
        <v>134</v>
      </c>
      <c r="F246" t="s">
        <v>236</v>
      </c>
      <c r="G246" t="s">
        <v>28</v>
      </c>
      <c r="H246" t="s">
        <v>52</v>
      </c>
      <c r="I246" t="s">
        <v>135</v>
      </c>
      <c r="J246" t="s">
        <v>39</v>
      </c>
      <c r="K246" t="s">
        <v>28</v>
      </c>
      <c r="L246">
        <v>0.17361189969618615</v>
      </c>
      <c r="M246">
        <v>1</v>
      </c>
      <c r="N246" s="2">
        <v>2.4453716403130521</v>
      </c>
      <c r="O246" s="2">
        <v>3.8671118209563602</v>
      </c>
      <c r="P246" s="1">
        <v>-1.1155084905636294</v>
      </c>
      <c r="Q246" s="1">
        <v>1.1513170717988055</v>
      </c>
      <c r="R246" s="1">
        <v>-1.5387891758457397</v>
      </c>
      <c r="S246" s="19">
        <v>1292.9040419258442</v>
      </c>
      <c r="T246" s="19">
        <v>2582.7228144456494</v>
      </c>
      <c r="U246" s="19">
        <v>4582.1981373865501</v>
      </c>
      <c r="V246" s="19">
        <v>7446.747326224182</v>
      </c>
      <c r="W246" s="19">
        <v>11291.148110121125</v>
      </c>
      <c r="X246" s="19">
        <v>16151.927793080818</v>
      </c>
      <c r="Y246" s="19">
        <v>21941.645943163781</v>
      </c>
      <c r="Z246" s="19">
        <v>28402.404014143958</v>
      </c>
      <c r="AA246" s="19">
        <v>35072.549519688291</v>
      </c>
      <c r="AB246" s="19">
        <v>41287.274783348803</v>
      </c>
      <c r="AC246" s="19">
        <v>46235.690278771952</v>
      </c>
      <c r="AD246" s="19">
        <v>49088.822230491249</v>
      </c>
      <c r="AE246" s="19">
        <v>49190.433939098839</v>
      </c>
      <c r="AF246" s="19">
        <v>46267.672174572377</v>
      </c>
      <c r="AG246" s="19">
        <v>40584.961872502725</v>
      </c>
      <c r="AH246" s="19">
        <v>33481.433207800976</v>
      </c>
      <c r="AI246" s="19">
        <v>25538.154364972623</v>
      </c>
      <c r="AJ246" s="19">
        <v>17633.24508112184</v>
      </c>
      <c r="AK246" s="19">
        <v>1268.728039559501</v>
      </c>
      <c r="AL246" s="19">
        <v>0</v>
      </c>
      <c r="AM246" s="19">
        <v>0</v>
      </c>
      <c r="AN246" s="19">
        <v>0</v>
      </c>
      <c r="AO246" s="19">
        <v>0</v>
      </c>
      <c r="AP246" s="19">
        <v>0</v>
      </c>
      <c r="AQ246" s="19">
        <v>0</v>
      </c>
      <c r="AR246" s="19">
        <v>479340.66367242101</v>
      </c>
    </row>
    <row r="247" spans="1:44" x14ac:dyDescent="0.25">
      <c r="A247" t="s">
        <v>131</v>
      </c>
      <c r="B247" t="s">
        <v>235</v>
      </c>
      <c r="C247" t="s">
        <v>44</v>
      </c>
      <c r="D247" t="s">
        <v>236</v>
      </c>
      <c r="E247" t="s">
        <v>134</v>
      </c>
      <c r="F247" t="s">
        <v>236</v>
      </c>
      <c r="G247" t="s">
        <v>28</v>
      </c>
      <c r="H247" t="s">
        <v>138</v>
      </c>
      <c r="I247" t="s">
        <v>135</v>
      </c>
      <c r="J247" t="s">
        <v>39</v>
      </c>
      <c r="K247" t="s">
        <v>28</v>
      </c>
      <c r="L247">
        <v>0.17361189969618615</v>
      </c>
      <c r="M247">
        <v>1</v>
      </c>
      <c r="N247" s="2">
        <v>2.4453716403130521</v>
      </c>
      <c r="O247" s="2">
        <v>3.8671118209563602</v>
      </c>
      <c r="P247" s="1">
        <v>-1.1155084905636294</v>
      </c>
      <c r="Q247" s="1">
        <v>1.1513170717988055</v>
      </c>
      <c r="R247" s="1">
        <v>-1.5387891758457397</v>
      </c>
      <c r="S247" s="19">
        <v>448.48651585497362</v>
      </c>
      <c r="T247" s="19">
        <v>895.90280400431868</v>
      </c>
      <c r="U247" s="19">
        <v>1589.4869309345952</v>
      </c>
      <c r="V247" s="19">
        <v>2583.1505312767681</v>
      </c>
      <c r="W247" s="19">
        <v>3916.7080554313402</v>
      </c>
      <c r="X247" s="19">
        <v>5602.8302065401176</v>
      </c>
      <c r="Y247" s="19">
        <v>7611.1853796318719</v>
      </c>
      <c r="Z247" s="19">
        <v>9852.3129367239962</v>
      </c>
      <c r="AA247" s="19">
        <v>12166.073448734893</v>
      </c>
      <c r="AB247" s="19">
        <v>14321.856391715928</v>
      </c>
      <c r="AC247" s="19">
        <v>16038.377921990785</v>
      </c>
      <c r="AD247" s="19">
        <v>17028.081076135983</v>
      </c>
      <c r="AE247" s="19">
        <v>17063.328456982294</v>
      </c>
      <c r="AF247" s="19">
        <v>16049.471900006814</v>
      </c>
      <c r="AG247" s="19">
        <v>14078.235937133592</v>
      </c>
      <c r="AH247" s="19">
        <v>11614.142146876306</v>
      </c>
      <c r="AI247" s="19">
        <v>8858.7532416191425</v>
      </c>
      <c r="AJ247" s="19">
        <v>6116.6740865543461</v>
      </c>
      <c r="AK247" s="19">
        <v>440.10027007261215</v>
      </c>
      <c r="AL247" s="19">
        <v>0</v>
      </c>
      <c r="AM247" s="19">
        <v>0</v>
      </c>
      <c r="AN247" s="19">
        <v>0</v>
      </c>
      <c r="AO247" s="19">
        <v>0</v>
      </c>
      <c r="AP247" s="19">
        <v>0</v>
      </c>
      <c r="AQ247" s="19">
        <v>0</v>
      </c>
      <c r="AR247" s="19">
        <v>166275.15823822073</v>
      </c>
    </row>
    <row r="248" spans="1:44" x14ac:dyDescent="0.25">
      <c r="A248" t="s">
        <v>131</v>
      </c>
      <c r="B248" t="s">
        <v>237</v>
      </c>
      <c r="C248" t="s">
        <v>46</v>
      </c>
      <c r="D248" t="s">
        <v>238</v>
      </c>
      <c r="E248" t="s">
        <v>134</v>
      </c>
      <c r="F248" t="s">
        <v>238</v>
      </c>
      <c r="G248" t="s">
        <v>28</v>
      </c>
      <c r="H248" t="s">
        <v>52</v>
      </c>
      <c r="I248" t="s">
        <v>135</v>
      </c>
      <c r="J248" t="s">
        <v>39</v>
      </c>
      <c r="K248" t="s">
        <v>28</v>
      </c>
      <c r="L248">
        <v>3.72</v>
      </c>
      <c r="M248">
        <v>1</v>
      </c>
      <c r="N248" s="2">
        <v>1.0975767883104532</v>
      </c>
      <c r="O248" s="2">
        <v>3.688844026831072</v>
      </c>
      <c r="P248" s="1">
        <v>0.27234300754259277</v>
      </c>
      <c r="Q248" s="1">
        <v>2.4468562968171641</v>
      </c>
      <c r="R248" s="1">
        <v>-1.4464769027578752</v>
      </c>
      <c r="S248" s="19">
        <v>973.12572237377231</v>
      </c>
      <c r="T248" s="19">
        <v>1768.3490758137998</v>
      </c>
      <c r="U248" s="19">
        <v>2791.1748453644027</v>
      </c>
      <c r="V248" s="19">
        <v>3974.8717157496017</v>
      </c>
      <c r="W248" s="19">
        <v>5143.7821688735321</v>
      </c>
      <c r="X248" s="19">
        <v>6094.9413128720789</v>
      </c>
      <c r="Y248" s="19">
        <v>6657.1527684855719</v>
      </c>
      <c r="Z248" s="19">
        <v>6740.6636619433921</v>
      </c>
      <c r="AA248" s="19">
        <v>6359.4906575165251</v>
      </c>
      <c r="AB248" s="19">
        <v>5615.0726094683214</v>
      </c>
      <c r="AC248" s="19">
        <v>4657.8442331408896</v>
      </c>
      <c r="AD248" s="19">
        <v>3642.7220239119624</v>
      </c>
      <c r="AE248" s="19">
        <v>2694.3703223679822</v>
      </c>
      <c r="AF248" s="19">
        <v>1890.374044783091</v>
      </c>
      <c r="AG248" s="19">
        <v>349.18857841309665</v>
      </c>
      <c r="AH248" s="19">
        <v>139.71983790490293</v>
      </c>
      <c r="AI248" s="19">
        <v>85.611448444011955</v>
      </c>
      <c r="AJ248" s="19">
        <v>58.180081679082633</v>
      </c>
      <c r="AK248" s="19">
        <v>0</v>
      </c>
      <c r="AL248" s="19">
        <v>0</v>
      </c>
      <c r="AM248" s="19">
        <v>0</v>
      </c>
      <c r="AN248" s="19">
        <v>0</v>
      </c>
      <c r="AO248" s="19">
        <v>0</v>
      </c>
      <c r="AP248" s="19">
        <v>0</v>
      </c>
      <c r="AQ248" s="19">
        <v>0</v>
      </c>
      <c r="AR248" s="19">
        <v>59636.635109106013</v>
      </c>
    </row>
    <row r="249" spans="1:44" x14ac:dyDescent="0.25">
      <c r="A249" t="s">
        <v>131</v>
      </c>
      <c r="B249" t="s">
        <v>237</v>
      </c>
      <c r="C249" t="s">
        <v>46</v>
      </c>
      <c r="D249" t="s">
        <v>238</v>
      </c>
      <c r="E249" t="s">
        <v>148</v>
      </c>
      <c r="F249" t="s">
        <v>238</v>
      </c>
      <c r="G249" t="s">
        <v>28</v>
      </c>
      <c r="H249" t="s">
        <v>52</v>
      </c>
      <c r="I249" t="s">
        <v>135</v>
      </c>
      <c r="J249" t="s">
        <v>39</v>
      </c>
      <c r="K249" t="s">
        <v>28</v>
      </c>
      <c r="L249">
        <v>3.72</v>
      </c>
      <c r="M249">
        <v>1</v>
      </c>
      <c r="N249" s="2">
        <v>1.0975767883104532</v>
      </c>
      <c r="O249" s="2">
        <v>3.688844026831072</v>
      </c>
      <c r="P249" s="1">
        <v>0.27234300754259277</v>
      </c>
      <c r="Q249" s="1">
        <v>2.4468562968171641</v>
      </c>
      <c r="R249" s="1">
        <v>-1.4464769027578752</v>
      </c>
      <c r="S249" s="19">
        <v>10.776579556165377</v>
      </c>
      <c r="T249" s="19">
        <v>6.820776105772552</v>
      </c>
      <c r="U249" s="19">
        <v>17.8585804473766</v>
      </c>
      <c r="V249" s="19">
        <v>34.104356786448271</v>
      </c>
      <c r="W249" s="19">
        <v>57.25603492970027</v>
      </c>
      <c r="X249" s="19">
        <v>88.520388777215302</v>
      </c>
      <c r="Y249" s="19">
        <v>127.60146653539624</v>
      </c>
      <c r="Z249" s="19">
        <v>175.50209167912047</v>
      </c>
      <c r="AA249" s="19">
        <v>230.69441667613484</v>
      </c>
      <c r="AB249" s="19">
        <v>290.40759135777745</v>
      </c>
      <c r="AC249" s="19">
        <v>351.09730135372376</v>
      </c>
      <c r="AD249" s="19">
        <v>408.19352509350654</v>
      </c>
      <c r="AE249" s="19">
        <v>456.86893268396079</v>
      </c>
      <c r="AF249" s="19">
        <v>492.8611310851029</v>
      </c>
      <c r="AG249" s="19">
        <v>513.30027320393299</v>
      </c>
      <c r="AH249" s="19">
        <v>517.27299141985623</v>
      </c>
      <c r="AI249" s="19">
        <v>505.89897393774328</v>
      </c>
      <c r="AJ249" s="19">
        <v>483.19129725903792</v>
      </c>
      <c r="AK249" s="19">
        <v>449.42734888870842</v>
      </c>
      <c r="AL249" s="19">
        <v>412.07983257414338</v>
      </c>
      <c r="AM249" s="19">
        <v>368.74273264828611</v>
      </c>
      <c r="AN249" s="19">
        <v>323.63628279769443</v>
      </c>
      <c r="AO249" s="19">
        <v>278.42982047258948</v>
      </c>
      <c r="AP249" s="19">
        <v>233.13967319027529</v>
      </c>
      <c r="AQ249" s="19">
        <v>187.78495018644728</v>
      </c>
      <c r="AR249" s="19">
        <v>7021.4673496461155</v>
      </c>
    </row>
    <row r="250" spans="1:44" x14ac:dyDescent="0.25">
      <c r="A250" t="s">
        <v>131</v>
      </c>
      <c r="B250" t="s">
        <v>237</v>
      </c>
      <c r="C250" t="s">
        <v>46</v>
      </c>
      <c r="D250" t="s">
        <v>238</v>
      </c>
      <c r="E250" t="s">
        <v>134</v>
      </c>
      <c r="F250" t="s">
        <v>238</v>
      </c>
      <c r="G250" t="s">
        <v>28</v>
      </c>
      <c r="H250" t="s">
        <v>53</v>
      </c>
      <c r="I250" t="s">
        <v>135</v>
      </c>
      <c r="J250" t="s">
        <v>39</v>
      </c>
      <c r="K250" t="s">
        <v>28</v>
      </c>
      <c r="L250">
        <v>3.72</v>
      </c>
      <c r="M250">
        <v>1</v>
      </c>
      <c r="N250" s="2">
        <v>1.0975767883104532</v>
      </c>
      <c r="O250" s="2">
        <v>3.688844026831072</v>
      </c>
      <c r="P250" s="1">
        <v>0.27234300754259277</v>
      </c>
      <c r="Q250" s="1">
        <v>2.4468562968171641</v>
      </c>
      <c r="R250" s="1">
        <v>-1.4464769027578752</v>
      </c>
      <c r="S250" s="19">
        <v>91.940538913264533</v>
      </c>
      <c r="T250" s="19">
        <v>167.77862222970754</v>
      </c>
      <c r="U250" s="19">
        <v>265.25735264395246</v>
      </c>
      <c r="V250" s="19">
        <v>378.46121616148776</v>
      </c>
      <c r="W250" s="19">
        <v>490.64828013937358</v>
      </c>
      <c r="X250" s="19">
        <v>582.35693550558028</v>
      </c>
      <c r="Y250" s="19">
        <v>637.04978673624703</v>
      </c>
      <c r="Z250" s="19">
        <v>645.91815046919203</v>
      </c>
      <c r="AA250" s="19">
        <v>610.11809873189839</v>
      </c>
      <c r="AB250" s="19">
        <v>539.25050553728465</v>
      </c>
      <c r="AC250" s="19">
        <v>447.70441135272341</v>
      </c>
      <c r="AD250" s="19">
        <v>350.37582141513127</v>
      </c>
      <c r="AE250" s="19">
        <v>259.29992841341675</v>
      </c>
      <c r="AF250" s="19">
        <v>182.0003460003656</v>
      </c>
      <c r="AG250" s="19">
        <v>35.295593214397776</v>
      </c>
      <c r="AH250" s="19">
        <v>14.683273400297928</v>
      </c>
      <c r="AI250" s="19">
        <v>8.9969779706910629</v>
      </c>
      <c r="AJ250" s="19">
        <v>6.1141929346287709</v>
      </c>
      <c r="AK250" s="19">
        <v>0</v>
      </c>
      <c r="AL250" s="19">
        <v>0</v>
      </c>
      <c r="AM250" s="19">
        <v>0</v>
      </c>
      <c r="AN250" s="19">
        <v>0</v>
      </c>
      <c r="AO250" s="19">
        <v>0</v>
      </c>
      <c r="AP250" s="19">
        <v>0</v>
      </c>
      <c r="AQ250" s="19">
        <v>0</v>
      </c>
      <c r="AR250" s="19">
        <v>5713.2500317696404</v>
      </c>
    </row>
    <row r="251" spans="1:44" x14ac:dyDescent="0.25">
      <c r="A251" t="s">
        <v>131</v>
      </c>
      <c r="B251" t="s">
        <v>237</v>
      </c>
      <c r="C251" t="s">
        <v>46</v>
      </c>
      <c r="D251" t="s">
        <v>238</v>
      </c>
      <c r="E251" t="s">
        <v>148</v>
      </c>
      <c r="F251" t="s">
        <v>238</v>
      </c>
      <c r="G251" t="s">
        <v>28</v>
      </c>
      <c r="H251" t="s">
        <v>53</v>
      </c>
      <c r="I251" t="s">
        <v>135</v>
      </c>
      <c r="J251" t="s">
        <v>39</v>
      </c>
      <c r="K251" t="s">
        <v>28</v>
      </c>
      <c r="L251">
        <v>3.72</v>
      </c>
      <c r="M251">
        <v>1</v>
      </c>
      <c r="N251" s="2">
        <v>1.0975767883104532</v>
      </c>
      <c r="O251" s="2">
        <v>3.688844026831072</v>
      </c>
      <c r="P251" s="1">
        <v>0.27234300754259277</v>
      </c>
      <c r="Q251" s="1">
        <v>2.4468562968171641</v>
      </c>
      <c r="R251" s="1">
        <v>-1.4464769027578752</v>
      </c>
      <c r="S251" s="19">
        <v>1.1325196644655209</v>
      </c>
      <c r="T251" s="19">
        <v>0.71680100596340091</v>
      </c>
      <c r="U251" s="19">
        <v>1.8767729993254161</v>
      </c>
      <c r="V251" s="19">
        <v>3.5840550801208204</v>
      </c>
      <c r="W251" s="19">
        <v>6.0170840969770136</v>
      </c>
      <c r="X251" s="19">
        <v>9.3026809178033467</v>
      </c>
      <c r="Y251" s="19">
        <v>13.409743723675218</v>
      </c>
      <c r="Z251" s="19">
        <v>18.443660063523744</v>
      </c>
      <c r="AA251" s="19">
        <v>24.243867175708079</v>
      </c>
      <c r="AB251" s="19">
        <v>30.519174122793519</v>
      </c>
      <c r="AC251" s="19">
        <v>36.897105974258899</v>
      </c>
      <c r="AD251" s="19">
        <v>42.897395381024971</v>
      </c>
      <c r="AE251" s="19">
        <v>48.012734249425847</v>
      </c>
      <c r="AF251" s="19">
        <v>51.795184167249992</v>
      </c>
      <c r="AG251" s="19">
        <v>53.943150528350785</v>
      </c>
      <c r="AH251" s="19">
        <v>54.360646773561136</v>
      </c>
      <c r="AI251" s="19">
        <v>53.165341863006766</v>
      </c>
      <c r="AJ251" s="19">
        <v>50.778973327524206</v>
      </c>
      <c r="AK251" s="19">
        <v>47.230692049582693</v>
      </c>
      <c r="AL251" s="19">
        <v>43.305810650547841</v>
      </c>
      <c r="AM251" s="19">
        <v>38.751478952710222</v>
      </c>
      <c r="AN251" s="19">
        <v>34.011204806928745</v>
      </c>
      <c r="AO251" s="19">
        <v>29.260420267430643</v>
      </c>
      <c r="AP251" s="19">
        <v>24.50084120652188</v>
      </c>
      <c r="AQ251" s="19">
        <v>19.734475829593208</v>
      </c>
      <c r="AR251" s="19">
        <v>737.89181487807389</v>
      </c>
    </row>
    <row r="252" spans="1:44" x14ac:dyDescent="0.25">
      <c r="A252" t="s">
        <v>131</v>
      </c>
      <c r="B252" t="s">
        <v>237</v>
      </c>
      <c r="C252" t="s">
        <v>46</v>
      </c>
      <c r="D252" t="s">
        <v>238</v>
      </c>
      <c r="E252" t="s">
        <v>134</v>
      </c>
      <c r="F252" t="s">
        <v>238</v>
      </c>
      <c r="G252" t="s">
        <v>28</v>
      </c>
      <c r="H252" t="s">
        <v>54</v>
      </c>
      <c r="I252" t="s">
        <v>135</v>
      </c>
      <c r="J252" t="s">
        <v>39</v>
      </c>
      <c r="K252" t="s">
        <v>28</v>
      </c>
      <c r="L252">
        <v>3.72</v>
      </c>
      <c r="M252">
        <v>1</v>
      </c>
      <c r="N252" s="2">
        <v>1.0975767883104532</v>
      </c>
      <c r="O252" s="2">
        <v>3.688844026831072</v>
      </c>
      <c r="P252" s="1">
        <v>0.27234300754259277</v>
      </c>
      <c r="Q252" s="1">
        <v>2.4468562968171641</v>
      </c>
      <c r="R252" s="1">
        <v>-1.4464769027578752</v>
      </c>
      <c r="S252" s="19">
        <v>211.34934150795524</v>
      </c>
      <c r="T252" s="19">
        <v>385.68298322476727</v>
      </c>
      <c r="U252" s="19">
        <v>609.76330434968327</v>
      </c>
      <c r="V252" s="19">
        <v>869.99195096615131</v>
      </c>
      <c r="W252" s="19">
        <v>1127.8832182753993</v>
      </c>
      <c r="X252" s="19">
        <v>1338.6995148876372</v>
      </c>
      <c r="Y252" s="19">
        <v>1464.4253179928253</v>
      </c>
      <c r="Z252" s="19">
        <v>1484.8115682515838</v>
      </c>
      <c r="AA252" s="19">
        <v>1402.5157991592828</v>
      </c>
      <c r="AB252" s="19">
        <v>1239.6081271685289</v>
      </c>
      <c r="AC252" s="19">
        <v>1029.1655198896535</v>
      </c>
      <c r="AD252" s="19">
        <v>805.43033586366369</v>
      </c>
      <c r="AE252" s="19">
        <v>596.06860880961165</v>
      </c>
      <c r="AF252" s="19">
        <v>418.3753297083158</v>
      </c>
      <c r="AG252" s="19">
        <v>81.136139424123414</v>
      </c>
      <c r="AH252" s="19">
        <v>33.753338853732991</v>
      </c>
      <c r="AI252" s="19">
        <v>20.681903675385133</v>
      </c>
      <c r="AJ252" s="19">
        <v>14.055069350914463</v>
      </c>
      <c r="AK252" s="19">
        <v>0</v>
      </c>
      <c r="AL252" s="19">
        <v>0</v>
      </c>
      <c r="AM252" s="19">
        <v>0</v>
      </c>
      <c r="AN252" s="19">
        <v>0</v>
      </c>
      <c r="AO252" s="19">
        <v>0</v>
      </c>
      <c r="AP252" s="19">
        <v>0</v>
      </c>
      <c r="AQ252" s="19">
        <v>0</v>
      </c>
      <c r="AR252" s="19">
        <v>13133.397371359217</v>
      </c>
    </row>
    <row r="253" spans="1:44" x14ac:dyDescent="0.25">
      <c r="A253" t="s">
        <v>131</v>
      </c>
      <c r="B253" t="s">
        <v>237</v>
      </c>
      <c r="C253" t="s">
        <v>46</v>
      </c>
      <c r="D253" t="s">
        <v>238</v>
      </c>
      <c r="E253" t="s">
        <v>148</v>
      </c>
      <c r="F253" t="s">
        <v>238</v>
      </c>
      <c r="G253" t="s">
        <v>28</v>
      </c>
      <c r="H253" t="s">
        <v>54</v>
      </c>
      <c r="I253" t="s">
        <v>135</v>
      </c>
      <c r="J253" t="s">
        <v>39</v>
      </c>
      <c r="K253" t="s">
        <v>28</v>
      </c>
      <c r="L253">
        <v>3.72</v>
      </c>
      <c r="M253">
        <v>1</v>
      </c>
      <c r="N253" s="2">
        <v>1.0975767883104532</v>
      </c>
      <c r="O253" s="2">
        <v>3.688844026831072</v>
      </c>
      <c r="P253" s="1">
        <v>0.27234300754259277</v>
      </c>
      <c r="Q253" s="1">
        <v>2.4468562968171641</v>
      </c>
      <c r="R253" s="1">
        <v>-1.4464769027578752</v>
      </c>
      <c r="S253" s="19">
        <v>2.6033922376222383</v>
      </c>
      <c r="T253" s="19">
        <v>1.6477543246241286</v>
      </c>
      <c r="U253" s="19">
        <v>4.3142529101502811</v>
      </c>
      <c r="V253" s="19">
        <v>8.238886676815989</v>
      </c>
      <c r="W253" s="19">
        <v>13.831839324911869</v>
      </c>
      <c r="X253" s="19">
        <v>21.3846417421064</v>
      </c>
      <c r="Y253" s="19">
        <v>30.825798274500965</v>
      </c>
      <c r="Z253" s="19">
        <v>42.397569728188003</v>
      </c>
      <c r="AA253" s="19">
        <v>55.730860660128045</v>
      </c>
      <c r="AB253" s="19">
        <v>70.156292648056805</v>
      </c>
      <c r="AC253" s="19">
        <v>84.817634782036308</v>
      </c>
      <c r="AD253" s="19">
        <v>98.610867125100157</v>
      </c>
      <c r="AE253" s="19">
        <v>110.36980952641076</v>
      </c>
      <c r="AF253" s="19">
        <v>119.0647585539898</v>
      </c>
      <c r="AG253" s="19">
        <v>124.00242023583226</v>
      </c>
      <c r="AH253" s="19">
        <v>124.96214439614459</v>
      </c>
      <c r="AI253" s="19">
        <v>122.21442387228215</v>
      </c>
      <c r="AJ253" s="19">
        <v>116.72873252730074</v>
      </c>
      <c r="AK253" s="19">
        <v>108.5720812781112</v>
      </c>
      <c r="AL253" s="19">
        <v>99.549716291047957</v>
      </c>
      <c r="AM253" s="19">
        <v>89.080395393820893</v>
      </c>
      <c r="AN253" s="19">
        <v>78.183637215981989</v>
      </c>
      <c r="AO253" s="19">
        <v>67.262718153105908</v>
      </c>
      <c r="AP253" s="19">
        <v>56.321582585832779</v>
      </c>
      <c r="AQ253" s="19">
        <v>45.364846898753633</v>
      </c>
      <c r="AR253" s="19">
        <v>1696.2370573628559</v>
      </c>
    </row>
    <row r="254" spans="1:44" x14ac:dyDescent="0.25">
      <c r="A254" t="s">
        <v>131</v>
      </c>
      <c r="B254" t="s">
        <v>237</v>
      </c>
      <c r="C254" t="s">
        <v>46</v>
      </c>
      <c r="D254" t="s">
        <v>238</v>
      </c>
      <c r="E254" t="s">
        <v>134</v>
      </c>
      <c r="F254" t="s">
        <v>238</v>
      </c>
      <c r="G254" t="s">
        <v>28</v>
      </c>
      <c r="H254" t="s">
        <v>55</v>
      </c>
      <c r="I254" t="s">
        <v>135</v>
      </c>
      <c r="J254" t="s">
        <v>39</v>
      </c>
      <c r="K254" t="s">
        <v>28</v>
      </c>
      <c r="L254">
        <v>3.72</v>
      </c>
      <c r="M254">
        <v>1</v>
      </c>
      <c r="N254" s="2">
        <v>1.0975767883104532</v>
      </c>
      <c r="O254" s="2">
        <v>3.688844026831072</v>
      </c>
      <c r="P254" s="1">
        <v>0.27234300754259277</v>
      </c>
      <c r="Q254" s="1">
        <v>2.4468562968171641</v>
      </c>
      <c r="R254" s="1">
        <v>-1.4464769027578752</v>
      </c>
      <c r="S254" s="19">
        <v>1.867843524358368</v>
      </c>
      <c r="T254" s="19">
        <v>3.3942164862386055</v>
      </c>
      <c r="U254" s="19">
        <v>5.3574556096908914</v>
      </c>
      <c r="V254" s="19">
        <v>7.6294750243652913</v>
      </c>
      <c r="W254" s="19">
        <v>9.8731129944894995</v>
      </c>
      <c r="X254" s="19">
        <v>11.698793281121096</v>
      </c>
      <c r="Y254" s="19">
        <v>12.777916977621652</v>
      </c>
      <c r="Z254" s="19">
        <v>12.938210018872343</v>
      </c>
      <c r="AA254" s="19">
        <v>12.206576364957394</v>
      </c>
      <c r="AB254" s="19">
        <v>10.777720464333832</v>
      </c>
      <c r="AC254" s="19">
        <v>8.9403907309322044</v>
      </c>
      <c r="AD254" s="19">
        <v>6.9919380270868778</v>
      </c>
      <c r="AE254" s="19">
        <v>5.1716464205489237</v>
      </c>
      <c r="AF254" s="19">
        <v>3.6284344735541008</v>
      </c>
      <c r="AG254" s="19">
        <v>0.67024189164152159</v>
      </c>
      <c r="AH254" s="19">
        <v>0.26818199175587604</v>
      </c>
      <c r="AI254" s="19">
        <v>0.16432490264158073</v>
      </c>
      <c r="AJ254" s="19">
        <v>0.11167240399917761</v>
      </c>
      <c r="AK254" s="19">
        <v>0</v>
      </c>
      <c r="AL254" s="19">
        <v>0</v>
      </c>
      <c r="AM254" s="19">
        <v>0</v>
      </c>
      <c r="AN254" s="19">
        <v>0</v>
      </c>
      <c r="AO254" s="19">
        <v>0</v>
      </c>
      <c r="AP254" s="19">
        <v>0</v>
      </c>
      <c r="AQ254" s="19">
        <v>0</v>
      </c>
      <c r="AR254" s="19">
        <v>114.46815158820924</v>
      </c>
    </row>
    <row r="255" spans="1:44" x14ac:dyDescent="0.25">
      <c r="A255" t="s">
        <v>131</v>
      </c>
      <c r="B255" t="s">
        <v>237</v>
      </c>
      <c r="C255" t="s">
        <v>46</v>
      </c>
      <c r="D255" t="s">
        <v>238</v>
      </c>
      <c r="E255" t="s">
        <v>148</v>
      </c>
      <c r="F255" t="s">
        <v>238</v>
      </c>
      <c r="G255" t="s">
        <v>28</v>
      </c>
      <c r="H255" t="s">
        <v>55</v>
      </c>
      <c r="I255" t="s">
        <v>135</v>
      </c>
      <c r="J255" t="s">
        <v>39</v>
      </c>
      <c r="K255" t="s">
        <v>28</v>
      </c>
      <c r="L255">
        <v>3.72</v>
      </c>
      <c r="M255">
        <v>1</v>
      </c>
      <c r="N255" s="2">
        <v>1.0975767883104532</v>
      </c>
      <c r="O255" s="2">
        <v>3.688844026831072</v>
      </c>
      <c r="P255" s="1">
        <v>0.27234300754259277</v>
      </c>
      <c r="Q255" s="1">
        <v>2.4468562968171641</v>
      </c>
      <c r="R255" s="1">
        <v>-1.4464769027578752</v>
      </c>
      <c r="S255" s="19">
        <v>2.0684854871182667E-2</v>
      </c>
      <c r="T255" s="19">
        <v>1.3091979985061092E-2</v>
      </c>
      <c r="U255" s="19">
        <v>3.4278236692271001E-2</v>
      </c>
      <c r="V255" s="19">
        <v>6.5460814066846035E-2</v>
      </c>
      <c r="W255" s="19">
        <v>0.10989876396751948</v>
      </c>
      <c r="X255" s="19">
        <v>0.16990840047664438</v>
      </c>
      <c r="Y255" s="19">
        <v>0.24492166581043948</v>
      </c>
      <c r="Z255" s="19">
        <v>0.33686340615327309</v>
      </c>
      <c r="AA255" s="19">
        <v>0.44280103011051958</v>
      </c>
      <c r="AB255" s="19">
        <v>0.55741609380025137</v>
      </c>
      <c r="AC255" s="19">
        <v>0.67390554547623416</v>
      </c>
      <c r="AD255" s="19">
        <v>0.78349756357387679</v>
      </c>
      <c r="AE255" s="19">
        <v>0.87692644205584269</v>
      </c>
      <c r="AF255" s="19">
        <v>0.94601082978223638</v>
      </c>
      <c r="AG255" s="19">
        <v>0.98524226552824579</v>
      </c>
      <c r="AH255" s="19">
        <v>0.99286760706748123</v>
      </c>
      <c r="AI255" s="19">
        <v>0.97103601387099459</v>
      </c>
      <c r="AJ255" s="19">
        <v>0.92745029225006081</v>
      </c>
      <c r="AK255" s="19">
        <v>0.86264286719665406</v>
      </c>
      <c r="AL255" s="19">
        <v>0.7909570460379316</v>
      </c>
      <c r="AM255" s="19">
        <v>0.70777465798686556</v>
      </c>
      <c r="AN255" s="19">
        <v>0.62119613239335991</v>
      </c>
      <c r="AO255" s="19">
        <v>0.53442564018283967</v>
      </c>
      <c r="AP255" s="19">
        <v>0.44749452082844571</v>
      </c>
      <c r="AQ255" s="19">
        <v>0.36043945310798525</v>
      </c>
      <c r="AR255" s="19">
        <v>13.47719212327306</v>
      </c>
    </row>
    <row r="256" spans="1:44" x14ac:dyDescent="0.25">
      <c r="A256" t="s">
        <v>131</v>
      </c>
      <c r="B256" t="s">
        <v>237</v>
      </c>
      <c r="C256" t="s">
        <v>46</v>
      </c>
      <c r="D256" t="s">
        <v>238</v>
      </c>
      <c r="E256" t="s">
        <v>134</v>
      </c>
      <c r="F256" t="s">
        <v>238</v>
      </c>
      <c r="G256" t="s">
        <v>28</v>
      </c>
      <c r="H256" t="s">
        <v>138</v>
      </c>
      <c r="I256" t="s">
        <v>135</v>
      </c>
      <c r="J256" t="s">
        <v>39</v>
      </c>
      <c r="K256" t="s">
        <v>28</v>
      </c>
      <c r="L256">
        <v>3.72</v>
      </c>
      <c r="M256">
        <v>1</v>
      </c>
      <c r="N256" s="2">
        <v>1.0975767883104532</v>
      </c>
      <c r="O256" s="2">
        <v>3.688844026831072</v>
      </c>
      <c r="P256" s="1">
        <v>0.27234300754259277</v>
      </c>
      <c r="Q256" s="1">
        <v>2.4468562968171641</v>
      </c>
      <c r="R256" s="1">
        <v>-1.4464769027578752</v>
      </c>
      <c r="S256" s="19">
        <v>337.5608324854316</v>
      </c>
      <c r="T256" s="19">
        <v>613.41034609634346</v>
      </c>
      <c r="U256" s="19">
        <v>968.21128324024835</v>
      </c>
      <c r="V256" s="19">
        <v>1378.8156807922387</v>
      </c>
      <c r="W256" s="19">
        <v>1784.2909206152403</v>
      </c>
      <c r="X256" s="19">
        <v>2114.2319190826074</v>
      </c>
      <c r="Y256" s="19">
        <v>2309.2535515668455</v>
      </c>
      <c r="Z256" s="19">
        <v>2338.2220661884294</v>
      </c>
      <c r="AA256" s="19">
        <v>2205.9996064003558</v>
      </c>
      <c r="AB256" s="19">
        <v>1947.7735928043303</v>
      </c>
      <c r="AC256" s="19">
        <v>1615.7272804290255</v>
      </c>
      <c r="AD256" s="19">
        <v>1263.5985778952008</v>
      </c>
      <c r="AE256" s="19">
        <v>934.63143366920269</v>
      </c>
      <c r="AF256" s="19">
        <v>655.73874124841598</v>
      </c>
      <c r="AG256" s="19">
        <v>121.12760408387804</v>
      </c>
      <c r="AH256" s="19">
        <v>48.466445510103576</v>
      </c>
      <c r="AI256" s="19">
        <v>29.697161571836777</v>
      </c>
      <c r="AJ256" s="19">
        <v>20.181685011629149</v>
      </c>
      <c r="AK256" s="19">
        <v>0</v>
      </c>
      <c r="AL256" s="19">
        <v>0</v>
      </c>
      <c r="AM256" s="19">
        <v>0</v>
      </c>
      <c r="AN256" s="19">
        <v>0</v>
      </c>
      <c r="AO256" s="19">
        <v>0</v>
      </c>
      <c r="AP256" s="19">
        <v>0</v>
      </c>
      <c r="AQ256" s="19">
        <v>0</v>
      </c>
      <c r="AR256" s="19">
        <v>20686.93872869137</v>
      </c>
    </row>
    <row r="257" spans="1:44" x14ac:dyDescent="0.25">
      <c r="A257" t="s">
        <v>131</v>
      </c>
      <c r="B257" t="s">
        <v>237</v>
      </c>
      <c r="C257" t="s">
        <v>46</v>
      </c>
      <c r="D257" t="s">
        <v>238</v>
      </c>
      <c r="E257" t="s">
        <v>148</v>
      </c>
      <c r="F257" t="s">
        <v>238</v>
      </c>
      <c r="G257" t="s">
        <v>28</v>
      </c>
      <c r="H257" t="s">
        <v>138</v>
      </c>
      <c r="I257" t="s">
        <v>135</v>
      </c>
      <c r="J257" t="s">
        <v>39</v>
      </c>
      <c r="K257" t="s">
        <v>28</v>
      </c>
      <c r="L257">
        <v>3.72</v>
      </c>
      <c r="M257">
        <v>1</v>
      </c>
      <c r="N257" s="2">
        <v>1.0975767883104532</v>
      </c>
      <c r="O257" s="2">
        <v>3.688844026831072</v>
      </c>
      <c r="P257" s="1">
        <v>0.27234300754259277</v>
      </c>
      <c r="Q257" s="1">
        <v>2.4468562968171641</v>
      </c>
      <c r="R257" s="1">
        <v>-1.4464769027578752</v>
      </c>
      <c r="S257" s="19">
        <v>3.7382129386642879</v>
      </c>
      <c r="T257" s="19">
        <v>2.3660117161890977</v>
      </c>
      <c r="U257" s="19">
        <v>6.1948391088865291</v>
      </c>
      <c r="V257" s="19">
        <v>11.830223786636124</v>
      </c>
      <c r="W257" s="19">
        <v>19.861148843685623</v>
      </c>
      <c r="X257" s="19">
        <v>30.706223708362447</v>
      </c>
      <c r="Y257" s="19">
        <v>44.262787715631021</v>
      </c>
      <c r="Z257" s="19">
        <v>60.878703345366546</v>
      </c>
      <c r="AA257" s="19">
        <v>80.023986163862105</v>
      </c>
      <c r="AB257" s="19">
        <v>100.7374751740122</v>
      </c>
      <c r="AC257" s="19">
        <v>121.7897077463434</v>
      </c>
      <c r="AD257" s="19">
        <v>141.59542079476873</v>
      </c>
      <c r="AE257" s="19">
        <v>158.4800953337585</v>
      </c>
      <c r="AF257" s="19">
        <v>170.96517940453455</v>
      </c>
      <c r="AG257" s="19">
        <v>178.0551716535214</v>
      </c>
      <c r="AH257" s="19">
        <v>179.43324032169488</v>
      </c>
      <c r="AI257" s="19">
        <v>175.48778628457416</v>
      </c>
      <c r="AJ257" s="19">
        <v>167.61087781608217</v>
      </c>
      <c r="AK257" s="19">
        <v>155.8987359439277</v>
      </c>
      <c r="AL257" s="19">
        <v>142.94351504229874</v>
      </c>
      <c r="AM257" s="19">
        <v>127.91060902395976</v>
      </c>
      <c r="AN257" s="19">
        <v>112.2639454819784</v>
      </c>
      <c r="AO257" s="19">
        <v>96.582589306375695</v>
      </c>
      <c r="AP257" s="19">
        <v>80.872204236386281</v>
      </c>
      <c r="AQ257" s="19">
        <v>65.139418942236318</v>
      </c>
      <c r="AR257" s="19">
        <v>2435.6281098337363</v>
      </c>
    </row>
    <row r="258" spans="1:44" x14ac:dyDescent="0.25">
      <c r="A258" t="s">
        <v>131</v>
      </c>
      <c r="B258" t="s">
        <v>237</v>
      </c>
      <c r="C258" t="s">
        <v>46</v>
      </c>
      <c r="D258" t="s">
        <v>238</v>
      </c>
      <c r="E258" t="s">
        <v>134</v>
      </c>
      <c r="F258" t="s">
        <v>238</v>
      </c>
      <c r="G258" t="s">
        <v>28</v>
      </c>
      <c r="H258" t="s">
        <v>141</v>
      </c>
      <c r="I258" t="s">
        <v>135</v>
      </c>
      <c r="J258" t="s">
        <v>39</v>
      </c>
      <c r="K258" t="s">
        <v>28</v>
      </c>
      <c r="L258">
        <v>3.72</v>
      </c>
      <c r="M258">
        <v>1</v>
      </c>
      <c r="N258" s="2">
        <v>1.0975767883104532</v>
      </c>
      <c r="O258" s="2">
        <v>3.688844026831072</v>
      </c>
      <c r="P258" s="1">
        <v>0.27234300754259277</v>
      </c>
      <c r="Q258" s="1">
        <v>2.4468562968171641</v>
      </c>
      <c r="R258" s="1">
        <v>-1.4464769027578752</v>
      </c>
      <c r="S258" s="19">
        <v>77.383286918664339</v>
      </c>
      <c r="T258" s="19">
        <v>141.21367371000375</v>
      </c>
      <c r="U258" s="19">
        <v>223.25827180865997</v>
      </c>
      <c r="V258" s="19">
        <v>318.5381902692522</v>
      </c>
      <c r="W258" s="19">
        <v>412.9623024506393</v>
      </c>
      <c r="X258" s="19">
        <v>490.15042071719682</v>
      </c>
      <c r="Y258" s="19">
        <v>536.18357050300779</v>
      </c>
      <c r="Z258" s="19">
        <v>543.64777664490316</v>
      </c>
      <c r="AA258" s="19">
        <v>513.51606643268087</v>
      </c>
      <c r="AB258" s="19">
        <v>453.86917549388119</v>
      </c>
      <c r="AC258" s="19">
        <v>376.81787955520878</v>
      </c>
      <c r="AD258" s="19">
        <v>294.89964969106876</v>
      </c>
      <c r="AE258" s="19">
        <v>218.24410641462572</v>
      </c>
      <c r="AF258" s="19">
        <v>153.18362455030771</v>
      </c>
      <c r="AG258" s="19">
        <v>29.707124288784527</v>
      </c>
      <c r="AH258" s="19">
        <v>12.358421778584088</v>
      </c>
      <c r="AI258" s="19">
        <v>7.5724564586649779</v>
      </c>
      <c r="AJ258" s="19">
        <v>5.1461123866458811</v>
      </c>
      <c r="AK258" s="19">
        <v>0</v>
      </c>
      <c r="AL258" s="19">
        <v>0</v>
      </c>
      <c r="AM258" s="19">
        <v>0</v>
      </c>
      <c r="AN258" s="19">
        <v>0</v>
      </c>
      <c r="AO258" s="19">
        <v>0</v>
      </c>
      <c r="AP258" s="19">
        <v>0</v>
      </c>
      <c r="AQ258" s="19">
        <v>0</v>
      </c>
      <c r="AR258" s="19">
        <v>4808.6521100727796</v>
      </c>
    </row>
    <row r="259" spans="1:44" x14ac:dyDescent="0.25">
      <c r="A259" t="s">
        <v>131</v>
      </c>
      <c r="B259" t="s">
        <v>237</v>
      </c>
      <c r="C259" t="s">
        <v>46</v>
      </c>
      <c r="D259" t="s">
        <v>238</v>
      </c>
      <c r="E259" t="s">
        <v>148</v>
      </c>
      <c r="F259" t="s">
        <v>238</v>
      </c>
      <c r="G259" t="s">
        <v>28</v>
      </c>
      <c r="H259" t="s">
        <v>141</v>
      </c>
      <c r="I259" t="s">
        <v>135</v>
      </c>
      <c r="J259" t="s">
        <v>39</v>
      </c>
      <c r="K259" t="s">
        <v>28</v>
      </c>
      <c r="L259">
        <v>3.72</v>
      </c>
      <c r="M259">
        <v>1</v>
      </c>
      <c r="N259" s="2">
        <v>1.0975767883104532</v>
      </c>
      <c r="O259" s="2">
        <v>3.688844026831072</v>
      </c>
      <c r="P259" s="1">
        <v>0.27234300754259277</v>
      </c>
      <c r="Q259" s="1">
        <v>2.4468562968171641</v>
      </c>
      <c r="R259" s="1">
        <v>-1.4464769027578752</v>
      </c>
      <c r="S259" s="19">
        <v>0.95320405092514626</v>
      </c>
      <c r="T259" s="19">
        <v>0.60330751335252897</v>
      </c>
      <c r="U259" s="19">
        <v>1.5796172744322237</v>
      </c>
      <c r="V259" s="19">
        <v>3.0165796924350259</v>
      </c>
      <c r="W259" s="19">
        <v>5.0643791149556501</v>
      </c>
      <c r="X259" s="19">
        <v>7.8297564391511436</v>
      </c>
      <c r="Y259" s="19">
        <v>11.286534300759971</v>
      </c>
      <c r="Z259" s="19">
        <v>15.523413886799151</v>
      </c>
      <c r="AA259" s="19">
        <v>20.405254872887657</v>
      </c>
      <c r="AB259" s="19">
        <v>25.686971553351228</v>
      </c>
      <c r="AC259" s="19">
        <v>31.055064195001187</v>
      </c>
      <c r="AD259" s="19">
        <v>36.105307779029474</v>
      </c>
      <c r="AE259" s="19">
        <v>40.410717993266537</v>
      </c>
      <c r="AF259" s="19">
        <v>43.594280007435323</v>
      </c>
      <c r="AG259" s="19">
        <v>45.402151694695661</v>
      </c>
      <c r="AH259" s="19">
        <v>45.753544367747146</v>
      </c>
      <c r="AI259" s="19">
        <v>44.747496068030635</v>
      </c>
      <c r="AJ259" s="19">
        <v>42.738969217332958</v>
      </c>
      <c r="AK259" s="19">
        <v>39.752499141731903</v>
      </c>
      <c r="AL259" s="19">
        <v>36.449057297544606</v>
      </c>
      <c r="AM259" s="19">
        <v>32.615828118530835</v>
      </c>
      <c r="AN259" s="19">
        <v>28.626097379165167</v>
      </c>
      <c r="AO259" s="19">
        <v>24.627520391754281</v>
      </c>
      <c r="AP259" s="19">
        <v>20.621541348822372</v>
      </c>
      <c r="AQ259" s="19">
        <v>16.609850489907593</v>
      </c>
      <c r="AR259" s="19">
        <v>621.05894418904529</v>
      </c>
    </row>
    <row r="260" spans="1:44" x14ac:dyDescent="0.25">
      <c r="A260" t="s">
        <v>131</v>
      </c>
      <c r="B260" t="s">
        <v>237</v>
      </c>
      <c r="C260" t="s">
        <v>46</v>
      </c>
      <c r="D260" t="s">
        <v>238</v>
      </c>
      <c r="E260" t="s">
        <v>134</v>
      </c>
      <c r="F260" t="s">
        <v>238</v>
      </c>
      <c r="G260" t="s">
        <v>28</v>
      </c>
      <c r="H260" t="s">
        <v>142</v>
      </c>
      <c r="I260" t="s">
        <v>135</v>
      </c>
      <c r="J260" t="s">
        <v>39</v>
      </c>
      <c r="K260" t="s">
        <v>28</v>
      </c>
      <c r="L260">
        <v>3.72</v>
      </c>
      <c r="M260">
        <v>1</v>
      </c>
      <c r="N260" s="2">
        <v>1.0975767883104532</v>
      </c>
      <c r="O260" s="2">
        <v>3.688844026831072</v>
      </c>
      <c r="P260" s="1">
        <v>0.27234300754259277</v>
      </c>
      <c r="Q260" s="1">
        <v>2.4468562968171641</v>
      </c>
      <c r="R260" s="1">
        <v>-1.4464769027578752</v>
      </c>
      <c r="S260" s="19">
        <v>169.39809030411493</v>
      </c>
      <c r="T260" s="19">
        <v>309.12781821281595</v>
      </c>
      <c r="U260" s="19">
        <v>488.72988464208282</v>
      </c>
      <c r="V260" s="19">
        <v>697.30510642764386</v>
      </c>
      <c r="W260" s="19">
        <v>904.00690108003107</v>
      </c>
      <c r="X260" s="19">
        <v>1072.9777518823021</v>
      </c>
      <c r="Y260" s="19">
        <v>1173.7479307530434</v>
      </c>
      <c r="Z260" s="19">
        <v>1190.0876640006411</v>
      </c>
      <c r="AA260" s="19">
        <v>1124.1269847532942</v>
      </c>
      <c r="AB260" s="19">
        <v>993.55525770542874</v>
      </c>
      <c r="AC260" s="19">
        <v>824.88392172060173</v>
      </c>
      <c r="AD260" s="19">
        <v>645.55848527766022</v>
      </c>
      <c r="AE260" s="19">
        <v>477.75348294036718</v>
      </c>
      <c r="AF260" s="19">
        <v>335.33098034410244</v>
      </c>
      <c r="AG260" s="19">
        <v>65.031227327372321</v>
      </c>
      <c r="AH260" s="19">
        <v>27.053555513419152</v>
      </c>
      <c r="AI260" s="19">
        <v>16.576701689567479</v>
      </c>
      <c r="AJ260" s="19">
        <v>11.265244027491743</v>
      </c>
      <c r="AK260" s="19">
        <v>0</v>
      </c>
      <c r="AL260" s="19">
        <v>0</v>
      </c>
      <c r="AM260" s="19">
        <v>0</v>
      </c>
      <c r="AN260" s="19">
        <v>0</v>
      </c>
      <c r="AO260" s="19">
        <v>0</v>
      </c>
      <c r="AP260" s="19">
        <v>0</v>
      </c>
      <c r="AQ260" s="19">
        <v>0</v>
      </c>
      <c r="AR260" s="19">
        <v>10526.516988601979</v>
      </c>
    </row>
    <row r="261" spans="1:44" x14ac:dyDescent="0.25">
      <c r="A261" t="s">
        <v>131</v>
      </c>
      <c r="B261" t="s">
        <v>237</v>
      </c>
      <c r="C261" t="s">
        <v>46</v>
      </c>
      <c r="D261" t="s">
        <v>238</v>
      </c>
      <c r="E261" t="s">
        <v>148</v>
      </c>
      <c r="F261" t="s">
        <v>238</v>
      </c>
      <c r="G261" t="s">
        <v>28</v>
      </c>
      <c r="H261" t="s">
        <v>142</v>
      </c>
      <c r="I261" t="s">
        <v>135</v>
      </c>
      <c r="J261" t="s">
        <v>39</v>
      </c>
      <c r="K261" t="s">
        <v>28</v>
      </c>
      <c r="L261">
        <v>3.72</v>
      </c>
      <c r="M261">
        <v>1</v>
      </c>
      <c r="N261" s="2">
        <v>1.0975767883104532</v>
      </c>
      <c r="O261" s="2">
        <v>3.688844026831072</v>
      </c>
      <c r="P261" s="1">
        <v>0.27234300754259277</v>
      </c>
      <c r="Q261" s="1">
        <v>2.4468562968171641</v>
      </c>
      <c r="R261" s="1">
        <v>-1.4464769027578752</v>
      </c>
      <c r="S261" s="19">
        <v>2.0866385020138041</v>
      </c>
      <c r="T261" s="19">
        <v>1.3206875114449672</v>
      </c>
      <c r="U261" s="19">
        <v>3.4579062269797469</v>
      </c>
      <c r="V261" s="19">
        <v>6.6035297736289049</v>
      </c>
      <c r="W261" s="19">
        <v>11.086323479012265</v>
      </c>
      <c r="X261" s="19">
        <v>17.139951547065206</v>
      </c>
      <c r="Y261" s="19">
        <v>24.707109672275816</v>
      </c>
      <c r="Z261" s="19">
        <v>33.981971716814044</v>
      </c>
      <c r="AA261" s="19">
        <v>44.668704900956989</v>
      </c>
      <c r="AB261" s="19">
        <v>56.230797373693811</v>
      </c>
      <c r="AC261" s="19">
        <v>67.981973606707228</v>
      </c>
      <c r="AD261" s="19">
        <v>79.037353298761118</v>
      </c>
      <c r="AE261" s="19">
        <v>88.462234268656445</v>
      </c>
      <c r="AF261" s="19">
        <v>95.431301454077044</v>
      </c>
      <c r="AG261" s="19">
        <v>99.388874510629478</v>
      </c>
      <c r="AH261" s="19">
        <v>100.15810065922101</v>
      </c>
      <c r="AI261" s="19">
        <v>97.955781947884972</v>
      </c>
      <c r="AJ261" s="19">
        <v>93.558958985449408</v>
      </c>
      <c r="AK261" s="19">
        <v>87.021341526927955</v>
      </c>
      <c r="AL261" s="19">
        <v>79.78984798202022</v>
      </c>
      <c r="AM261" s="19">
        <v>71.39860836841531</v>
      </c>
      <c r="AN261" s="19">
        <v>62.664774552508746</v>
      </c>
      <c r="AO261" s="19">
        <v>53.9115756051266</v>
      </c>
      <c r="AP261" s="19">
        <v>45.142172977086702</v>
      </c>
      <c r="AQ261" s="19">
        <v>36.360266735433086</v>
      </c>
      <c r="AR261" s="19">
        <v>1359.5467871827907</v>
      </c>
    </row>
    <row r="262" spans="1:44" x14ac:dyDescent="0.25">
      <c r="A262" t="s">
        <v>131</v>
      </c>
      <c r="B262" t="s">
        <v>237</v>
      </c>
      <c r="C262" t="s">
        <v>46</v>
      </c>
      <c r="D262" t="s">
        <v>238</v>
      </c>
      <c r="E262" t="s">
        <v>134</v>
      </c>
      <c r="F262" t="s">
        <v>238</v>
      </c>
      <c r="G262" t="s">
        <v>28</v>
      </c>
      <c r="H262" t="s">
        <v>136</v>
      </c>
      <c r="I262" t="s">
        <v>135</v>
      </c>
      <c r="J262" t="s">
        <v>39</v>
      </c>
      <c r="K262" t="s">
        <v>28</v>
      </c>
      <c r="L262">
        <v>3.72</v>
      </c>
      <c r="M262">
        <v>1</v>
      </c>
      <c r="N262" s="2">
        <v>1.0975767883104532</v>
      </c>
      <c r="O262" s="2">
        <v>3.688844026831072</v>
      </c>
      <c r="P262" s="1">
        <v>0.27234300754259277</v>
      </c>
      <c r="Q262" s="1">
        <v>2.4468562968171641</v>
      </c>
      <c r="R262" s="1">
        <v>-1.4464769027578752</v>
      </c>
      <c r="S262" s="19">
        <v>2.3451813139166173</v>
      </c>
      <c r="T262" s="19">
        <v>4.2616273660551389</v>
      </c>
      <c r="U262" s="19">
        <v>6.7265831543896741</v>
      </c>
      <c r="V262" s="19">
        <v>9.5792297528142019</v>
      </c>
      <c r="W262" s="19">
        <v>12.396241870859036</v>
      </c>
      <c r="X262" s="19">
        <v>14.6884848974076</v>
      </c>
      <c r="Y262" s="19">
        <v>16.043384649680515</v>
      </c>
      <c r="Z262" s="19">
        <v>16.244641468139722</v>
      </c>
      <c r="AA262" s="19">
        <v>15.326034769335395</v>
      </c>
      <c r="AB262" s="19">
        <v>13.532026805219145</v>
      </c>
      <c r="AC262" s="19">
        <v>11.22515725105932</v>
      </c>
      <c r="AD262" s="19">
        <v>8.7787666340090809</v>
      </c>
      <c r="AE262" s="19">
        <v>6.493289394689203</v>
      </c>
      <c r="AF262" s="19">
        <v>4.5557010612401481</v>
      </c>
      <c r="AG262" s="19">
        <v>0.84152593061655567</v>
      </c>
      <c r="AH262" s="19">
        <v>0.3367173896490443</v>
      </c>
      <c r="AI262" s="19">
        <v>0.20631904442776247</v>
      </c>
      <c r="AJ262" s="19">
        <v>0.1402109072434119</v>
      </c>
      <c r="AK262" s="19">
        <v>0</v>
      </c>
      <c r="AL262" s="19">
        <v>0</v>
      </c>
      <c r="AM262" s="19">
        <v>0</v>
      </c>
      <c r="AN262" s="19">
        <v>0</v>
      </c>
      <c r="AO262" s="19">
        <v>0</v>
      </c>
      <c r="AP262" s="19">
        <v>0</v>
      </c>
      <c r="AQ262" s="19">
        <v>0</v>
      </c>
      <c r="AR262" s="19">
        <v>143.72112366075157</v>
      </c>
    </row>
    <row r="263" spans="1:44" x14ac:dyDescent="0.25">
      <c r="A263" t="s">
        <v>131</v>
      </c>
      <c r="B263" t="s">
        <v>237</v>
      </c>
      <c r="C263" t="s">
        <v>46</v>
      </c>
      <c r="D263" t="s">
        <v>238</v>
      </c>
      <c r="E263" t="s">
        <v>148</v>
      </c>
      <c r="F263" t="s">
        <v>238</v>
      </c>
      <c r="G263" t="s">
        <v>28</v>
      </c>
      <c r="H263" t="s">
        <v>136</v>
      </c>
      <c r="I263" t="s">
        <v>135</v>
      </c>
      <c r="J263" t="s">
        <v>39</v>
      </c>
      <c r="K263" t="s">
        <v>28</v>
      </c>
      <c r="L263">
        <v>3.72</v>
      </c>
      <c r="M263">
        <v>1</v>
      </c>
      <c r="N263" s="2">
        <v>1.0975767883104532</v>
      </c>
      <c r="O263" s="2">
        <v>3.688844026831072</v>
      </c>
      <c r="P263" s="1">
        <v>0.27234300754259277</v>
      </c>
      <c r="Q263" s="1">
        <v>2.4468562968171641</v>
      </c>
      <c r="R263" s="1">
        <v>-1.4464769027578752</v>
      </c>
      <c r="S263" s="19">
        <v>2.5970984449373787E-2</v>
      </c>
      <c r="T263" s="19">
        <v>1.6437708203465594E-2</v>
      </c>
      <c r="U263" s="19">
        <v>4.3038230513629157E-2</v>
      </c>
      <c r="V263" s="19">
        <v>8.2189688772817779E-2</v>
      </c>
      <c r="W263" s="19">
        <v>0.13798400364810801</v>
      </c>
      <c r="X263" s="19">
        <v>0.21332943615400896</v>
      </c>
      <c r="Y263" s="19">
        <v>0.30751275818421819</v>
      </c>
      <c r="Z263" s="19">
        <v>0.4229507210591093</v>
      </c>
      <c r="AA263" s="19">
        <v>0.55596129336098521</v>
      </c>
      <c r="AB263" s="19">
        <v>0.69986687332698294</v>
      </c>
      <c r="AC263" s="19">
        <v>0.84612585154238229</v>
      </c>
      <c r="AD263" s="19">
        <v>0.9837247187094228</v>
      </c>
      <c r="AE263" s="19">
        <v>1.1010298661367841</v>
      </c>
      <c r="AF263" s="19">
        <v>1.1877691529488139</v>
      </c>
      <c r="AG263" s="19">
        <v>1.2370264000521272</v>
      </c>
      <c r="AH263" s="19">
        <v>1.2466004399847186</v>
      </c>
      <c r="AI263" s="19">
        <v>1.2191896618602445</v>
      </c>
      <c r="AJ263" s="19">
        <v>1.1644653669362013</v>
      </c>
      <c r="AK263" s="19">
        <v>1.0830960443691275</v>
      </c>
      <c r="AL263" s="19">
        <v>0.99309051335874077</v>
      </c>
      <c r="AM263" s="19">
        <v>0.88865040391682693</v>
      </c>
      <c r="AN263" s="19">
        <v>0.7799462551161227</v>
      </c>
      <c r="AO263" s="19">
        <v>0.67100108156289895</v>
      </c>
      <c r="AP263" s="19">
        <v>0.56185423170682114</v>
      </c>
      <c r="AQ263" s="19">
        <v>0.45255175779113122</v>
      </c>
      <c r="AR263" s="19">
        <v>16.921363443665065</v>
      </c>
    </row>
    <row r="264" spans="1:44" x14ac:dyDescent="0.25">
      <c r="A264" t="s">
        <v>131</v>
      </c>
      <c r="B264" t="s">
        <v>239</v>
      </c>
      <c r="C264" t="s">
        <v>46</v>
      </c>
      <c r="D264" t="s">
        <v>240</v>
      </c>
      <c r="E264" t="s">
        <v>148</v>
      </c>
      <c r="F264" t="s">
        <v>241</v>
      </c>
      <c r="G264" t="s">
        <v>28</v>
      </c>
      <c r="H264" t="s">
        <v>52</v>
      </c>
      <c r="I264" t="s">
        <v>135</v>
      </c>
      <c r="J264" t="s">
        <v>39</v>
      </c>
      <c r="K264" t="s">
        <v>28</v>
      </c>
      <c r="L264">
        <v>70.999999999999986</v>
      </c>
      <c r="M264">
        <v>1</v>
      </c>
      <c r="N264" s="2">
        <v>3.0518900926655417</v>
      </c>
      <c r="O264" s="2">
        <v>3.688844026831072</v>
      </c>
      <c r="P264" s="1">
        <v>-1.294529871073506</v>
      </c>
      <c r="Q264" s="1">
        <v>0.87998341820106674</v>
      </c>
      <c r="R264" s="1">
        <v>-1.4464769027578763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19">
        <v>0</v>
      </c>
      <c r="AI264" s="19">
        <v>0</v>
      </c>
      <c r="AJ264" s="19">
        <v>0</v>
      </c>
      <c r="AK264" s="19">
        <v>0</v>
      </c>
      <c r="AL264" s="19">
        <v>0</v>
      </c>
      <c r="AM264" s="19">
        <v>0</v>
      </c>
      <c r="AN264" s="19">
        <v>0</v>
      </c>
      <c r="AO264" s="19">
        <v>0</v>
      </c>
      <c r="AP264" s="19">
        <v>0</v>
      </c>
      <c r="AQ264" s="19">
        <v>0</v>
      </c>
      <c r="AR264" s="19">
        <v>0</v>
      </c>
    </row>
    <row r="265" spans="1:44" x14ac:dyDescent="0.25">
      <c r="A265" t="s">
        <v>131</v>
      </c>
      <c r="B265" t="s">
        <v>239</v>
      </c>
      <c r="C265" t="s">
        <v>46</v>
      </c>
      <c r="D265" t="s">
        <v>240</v>
      </c>
      <c r="E265" t="s">
        <v>148</v>
      </c>
      <c r="F265" t="s">
        <v>241</v>
      </c>
      <c r="G265" t="s">
        <v>28</v>
      </c>
      <c r="H265" t="s">
        <v>138</v>
      </c>
      <c r="I265" t="s">
        <v>135</v>
      </c>
      <c r="J265" t="s">
        <v>39</v>
      </c>
      <c r="K265" t="s">
        <v>28</v>
      </c>
      <c r="L265">
        <v>70.999999999999986</v>
      </c>
      <c r="M265">
        <v>1</v>
      </c>
      <c r="N265" s="2">
        <v>3.0518900926655417</v>
      </c>
      <c r="O265" s="2">
        <v>3.688844026831072</v>
      </c>
      <c r="P265" s="1">
        <v>-1.294529871073506</v>
      </c>
      <c r="Q265" s="1">
        <v>0.87998341820106674</v>
      </c>
      <c r="R265" s="1">
        <v>-1.4464769027578763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19">
        <v>0</v>
      </c>
      <c r="Y265" s="19">
        <v>0</v>
      </c>
      <c r="Z265" s="19">
        <v>0</v>
      </c>
      <c r="AA265" s="19">
        <v>0</v>
      </c>
      <c r="AB265" s="19">
        <v>0</v>
      </c>
      <c r="AC265" s="19">
        <v>0</v>
      </c>
      <c r="AD265" s="19">
        <v>0</v>
      </c>
      <c r="AE265" s="19">
        <v>0</v>
      </c>
      <c r="AF265" s="19">
        <v>0</v>
      </c>
      <c r="AG265" s="19">
        <v>0</v>
      </c>
      <c r="AH265" s="19">
        <v>0</v>
      </c>
      <c r="AI265" s="19">
        <v>0</v>
      </c>
      <c r="AJ265" s="19">
        <v>0</v>
      </c>
      <c r="AK265" s="19">
        <v>0</v>
      </c>
      <c r="AL265" s="19">
        <v>0</v>
      </c>
      <c r="AM265" s="19">
        <v>0</v>
      </c>
      <c r="AN265" s="19">
        <v>0</v>
      </c>
      <c r="AO265" s="19">
        <v>0</v>
      </c>
      <c r="AP265" s="19">
        <v>0</v>
      </c>
      <c r="AQ265" s="19">
        <v>0</v>
      </c>
      <c r="AR265" s="19">
        <v>0</v>
      </c>
    </row>
    <row r="266" spans="1:44" x14ac:dyDescent="0.25">
      <c r="A266" t="s">
        <v>131</v>
      </c>
      <c r="B266" t="s">
        <v>242</v>
      </c>
      <c r="C266" t="s">
        <v>46</v>
      </c>
      <c r="D266" t="s">
        <v>240</v>
      </c>
      <c r="E266" t="s">
        <v>148</v>
      </c>
      <c r="F266" t="s">
        <v>243</v>
      </c>
      <c r="G266" t="s">
        <v>28</v>
      </c>
      <c r="H266" t="s">
        <v>52</v>
      </c>
      <c r="I266" t="s">
        <v>135</v>
      </c>
      <c r="J266" t="s">
        <v>39</v>
      </c>
      <c r="K266" t="s">
        <v>28</v>
      </c>
      <c r="L266">
        <v>91.420000000000016</v>
      </c>
      <c r="M266">
        <v>1</v>
      </c>
      <c r="N266" s="2">
        <v>1.2286361503824936</v>
      </c>
      <c r="O266" s="2">
        <v>3.6763765132632762</v>
      </c>
      <c r="P266" s="1">
        <v>1.3024461667565736E-2</v>
      </c>
      <c r="Q266" s="1">
        <v>2.1784609474153913</v>
      </c>
      <c r="R266" s="1">
        <v>-1.4374000992311295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19">
        <v>0</v>
      </c>
      <c r="AI266" s="19">
        <v>0</v>
      </c>
      <c r="AJ266" s="19">
        <v>0</v>
      </c>
      <c r="AK266" s="19">
        <v>0</v>
      </c>
      <c r="AL266" s="19">
        <v>0</v>
      </c>
      <c r="AM266" s="19">
        <v>0</v>
      </c>
      <c r="AN266" s="19">
        <v>0</v>
      </c>
      <c r="AO266" s="19">
        <v>0</v>
      </c>
      <c r="AP266" s="19">
        <v>0</v>
      </c>
      <c r="AQ266" s="19">
        <v>0</v>
      </c>
      <c r="AR266" s="19">
        <v>0</v>
      </c>
    </row>
    <row r="267" spans="1:44" x14ac:dyDescent="0.25">
      <c r="A267" t="s">
        <v>131</v>
      </c>
      <c r="B267" t="s">
        <v>242</v>
      </c>
      <c r="C267" t="s">
        <v>46</v>
      </c>
      <c r="D267" t="s">
        <v>240</v>
      </c>
      <c r="E267" t="s">
        <v>148</v>
      </c>
      <c r="F267" t="s">
        <v>243</v>
      </c>
      <c r="G267" t="s">
        <v>28</v>
      </c>
      <c r="H267" t="s">
        <v>138</v>
      </c>
      <c r="I267" t="s">
        <v>135</v>
      </c>
      <c r="J267" t="s">
        <v>39</v>
      </c>
      <c r="K267" t="s">
        <v>28</v>
      </c>
      <c r="L267">
        <v>91.420000000000016</v>
      </c>
      <c r="M267">
        <v>1</v>
      </c>
      <c r="N267" s="2">
        <v>1.2286361503824936</v>
      </c>
      <c r="O267" s="2">
        <v>3.6763765132632762</v>
      </c>
      <c r="P267" s="1">
        <v>1.3024461667565736E-2</v>
      </c>
      <c r="Q267" s="1">
        <v>2.1784609474153913</v>
      </c>
      <c r="R267" s="1">
        <v>-1.4374000992311295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19">
        <v>0</v>
      </c>
      <c r="AI267" s="19">
        <v>0</v>
      </c>
      <c r="AJ267" s="19">
        <v>0</v>
      </c>
      <c r="AK267" s="19">
        <v>0</v>
      </c>
      <c r="AL267" s="19">
        <v>0</v>
      </c>
      <c r="AM267" s="19">
        <v>0</v>
      </c>
      <c r="AN267" s="19">
        <v>0</v>
      </c>
      <c r="AO267" s="19">
        <v>0</v>
      </c>
      <c r="AP267" s="19">
        <v>0</v>
      </c>
      <c r="AQ267" s="19">
        <v>0</v>
      </c>
      <c r="AR267" s="19">
        <v>0</v>
      </c>
    </row>
    <row r="268" spans="1:44" x14ac:dyDescent="0.25">
      <c r="A268" t="s">
        <v>131</v>
      </c>
      <c r="B268" t="s">
        <v>244</v>
      </c>
      <c r="C268" t="s">
        <v>46</v>
      </c>
      <c r="D268" t="s">
        <v>240</v>
      </c>
      <c r="E268" t="s">
        <v>148</v>
      </c>
      <c r="F268" t="s">
        <v>245</v>
      </c>
      <c r="G268" t="s">
        <v>28</v>
      </c>
      <c r="H268" t="s">
        <v>52</v>
      </c>
      <c r="I268" t="s">
        <v>135</v>
      </c>
      <c r="J268" t="s">
        <v>39</v>
      </c>
      <c r="K268" t="s">
        <v>28</v>
      </c>
      <c r="L268">
        <v>21.919999999999987</v>
      </c>
      <c r="M268">
        <v>1</v>
      </c>
      <c r="N268" s="2">
        <v>1.1400727737010417</v>
      </c>
      <c r="O268" s="2">
        <v>3.9384309079335504</v>
      </c>
      <c r="P268" s="1">
        <v>0.15881169413742999</v>
      </c>
      <c r="Q268" s="1">
        <v>2.5150333144518231</v>
      </c>
      <c r="R268" s="1">
        <v>-1.6281852337976968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19">
        <v>0</v>
      </c>
      <c r="AD268" s="19">
        <v>0</v>
      </c>
      <c r="AE268" s="19">
        <v>0</v>
      </c>
      <c r="AF268" s="19">
        <v>0</v>
      </c>
      <c r="AG268" s="19">
        <v>0</v>
      </c>
      <c r="AH268" s="19">
        <v>0</v>
      </c>
      <c r="AI268" s="19">
        <v>0</v>
      </c>
      <c r="AJ268" s="19">
        <v>0</v>
      </c>
      <c r="AK268" s="19">
        <v>0</v>
      </c>
      <c r="AL268" s="19">
        <v>0</v>
      </c>
      <c r="AM268" s="19">
        <v>0</v>
      </c>
      <c r="AN268" s="19">
        <v>0</v>
      </c>
      <c r="AO268" s="19">
        <v>0</v>
      </c>
      <c r="AP268" s="19">
        <v>0</v>
      </c>
      <c r="AQ268" s="19">
        <v>0</v>
      </c>
      <c r="AR268" s="19">
        <v>0</v>
      </c>
    </row>
    <row r="269" spans="1:44" x14ac:dyDescent="0.25">
      <c r="A269" t="s">
        <v>131</v>
      </c>
      <c r="B269" t="s">
        <v>244</v>
      </c>
      <c r="C269" t="s">
        <v>46</v>
      </c>
      <c r="D269" t="s">
        <v>240</v>
      </c>
      <c r="E269" t="s">
        <v>148</v>
      </c>
      <c r="F269" t="s">
        <v>245</v>
      </c>
      <c r="G269" t="s">
        <v>28</v>
      </c>
      <c r="H269" t="s">
        <v>138</v>
      </c>
      <c r="I269" t="s">
        <v>135</v>
      </c>
      <c r="J269" t="s">
        <v>39</v>
      </c>
      <c r="K269" t="s">
        <v>28</v>
      </c>
      <c r="L269">
        <v>21.919999999999987</v>
      </c>
      <c r="M269">
        <v>1</v>
      </c>
      <c r="N269" s="2">
        <v>1.1400727737010417</v>
      </c>
      <c r="O269" s="2">
        <v>3.9384309079335504</v>
      </c>
      <c r="P269" s="1">
        <v>0.15881169413742999</v>
      </c>
      <c r="Q269" s="1">
        <v>2.5150333144518231</v>
      </c>
      <c r="R269" s="1">
        <v>-1.6281852337976968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19">
        <v>0</v>
      </c>
      <c r="AD269" s="19">
        <v>0</v>
      </c>
      <c r="AE269" s="19">
        <v>0</v>
      </c>
      <c r="AF269" s="19">
        <v>0</v>
      </c>
      <c r="AG269" s="19">
        <v>0</v>
      </c>
      <c r="AH269" s="19">
        <v>0</v>
      </c>
      <c r="AI269" s="19">
        <v>0</v>
      </c>
      <c r="AJ269" s="19">
        <v>0</v>
      </c>
      <c r="AK269" s="19">
        <v>0</v>
      </c>
      <c r="AL269" s="19">
        <v>0</v>
      </c>
      <c r="AM269" s="19">
        <v>0</v>
      </c>
      <c r="AN269" s="19">
        <v>0</v>
      </c>
      <c r="AO269" s="19">
        <v>0</v>
      </c>
      <c r="AP269" s="19">
        <v>0</v>
      </c>
      <c r="AQ269" s="19">
        <v>0</v>
      </c>
      <c r="AR269" s="19">
        <v>0</v>
      </c>
    </row>
    <row r="270" spans="1:44" x14ac:dyDescent="0.25">
      <c r="A270" t="s">
        <v>131</v>
      </c>
      <c r="B270" t="s">
        <v>246</v>
      </c>
      <c r="C270" t="s">
        <v>46</v>
      </c>
      <c r="D270" t="s">
        <v>240</v>
      </c>
      <c r="E270" t="s">
        <v>148</v>
      </c>
      <c r="F270" t="s">
        <v>247</v>
      </c>
      <c r="G270" t="s">
        <v>28</v>
      </c>
      <c r="H270" t="s">
        <v>52</v>
      </c>
      <c r="I270" t="s">
        <v>135</v>
      </c>
      <c r="J270" t="s">
        <v>39</v>
      </c>
      <c r="K270" t="s">
        <v>28</v>
      </c>
      <c r="L270">
        <v>53.289965753424667</v>
      </c>
      <c r="M270">
        <v>0</v>
      </c>
      <c r="N270" s="2">
        <v>0.77259062316126836</v>
      </c>
      <c r="O270" s="2">
        <v>3.757089514470124</v>
      </c>
      <c r="P270" s="1">
        <v>1.3162248517699382</v>
      </c>
      <c r="Q270" s="1">
        <v>3.5404233392613156</v>
      </c>
      <c r="R270" s="1">
        <v>-1.4961621009746808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19">
        <v>0</v>
      </c>
      <c r="AI270" s="19">
        <v>0</v>
      </c>
      <c r="AJ270" s="19">
        <v>0</v>
      </c>
      <c r="AK270" s="19">
        <v>0</v>
      </c>
      <c r="AL270" s="19">
        <v>0</v>
      </c>
      <c r="AM270" s="19">
        <v>0</v>
      </c>
      <c r="AN270" s="19">
        <v>0</v>
      </c>
      <c r="AO270" s="19">
        <v>0</v>
      </c>
      <c r="AP270" s="19">
        <v>0</v>
      </c>
      <c r="AQ270" s="19">
        <v>0</v>
      </c>
      <c r="AR270" s="19">
        <v>0</v>
      </c>
    </row>
    <row r="271" spans="1:44" x14ac:dyDescent="0.25">
      <c r="A271" t="s">
        <v>131</v>
      </c>
      <c r="B271" t="s">
        <v>246</v>
      </c>
      <c r="C271" t="s">
        <v>46</v>
      </c>
      <c r="D271" t="s">
        <v>240</v>
      </c>
      <c r="E271" t="s">
        <v>148</v>
      </c>
      <c r="F271" t="s">
        <v>247</v>
      </c>
      <c r="G271" t="s">
        <v>28</v>
      </c>
      <c r="H271" t="s">
        <v>138</v>
      </c>
      <c r="I271" t="s">
        <v>135</v>
      </c>
      <c r="J271" t="s">
        <v>39</v>
      </c>
      <c r="K271" t="s">
        <v>28</v>
      </c>
      <c r="L271">
        <v>53.289965753424667</v>
      </c>
      <c r="M271">
        <v>0</v>
      </c>
      <c r="N271" s="2">
        <v>0.77259062316126836</v>
      </c>
      <c r="O271" s="2">
        <v>3.757089514470124</v>
      </c>
      <c r="P271" s="1">
        <v>1.3162248517699382</v>
      </c>
      <c r="Q271" s="1">
        <v>3.5404233392613156</v>
      </c>
      <c r="R271" s="1">
        <v>-1.4961621009746808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0</v>
      </c>
      <c r="AE271" s="19">
        <v>0</v>
      </c>
      <c r="AF271" s="19">
        <v>0</v>
      </c>
      <c r="AG271" s="19">
        <v>0</v>
      </c>
      <c r="AH271" s="19">
        <v>0</v>
      </c>
      <c r="AI271" s="19">
        <v>0</v>
      </c>
      <c r="AJ271" s="19">
        <v>0</v>
      </c>
      <c r="AK271" s="19">
        <v>0</v>
      </c>
      <c r="AL271" s="19">
        <v>0</v>
      </c>
      <c r="AM271" s="19">
        <v>0</v>
      </c>
      <c r="AN271" s="19">
        <v>0</v>
      </c>
      <c r="AO271" s="19">
        <v>0</v>
      </c>
      <c r="AP271" s="19">
        <v>0</v>
      </c>
      <c r="AQ271" s="19">
        <v>0</v>
      </c>
      <c r="AR271" s="19">
        <v>0</v>
      </c>
    </row>
    <row r="272" spans="1:44" x14ac:dyDescent="0.25">
      <c r="A272" t="s">
        <v>131</v>
      </c>
      <c r="B272" t="s">
        <v>248</v>
      </c>
      <c r="C272" t="s">
        <v>46</v>
      </c>
      <c r="D272" t="s">
        <v>249</v>
      </c>
      <c r="E272" t="s">
        <v>148</v>
      </c>
      <c r="F272" t="s">
        <v>249</v>
      </c>
      <c r="G272" t="s">
        <v>28</v>
      </c>
      <c r="H272" t="s">
        <v>55</v>
      </c>
      <c r="I272" t="s">
        <v>135</v>
      </c>
      <c r="J272" t="s">
        <v>39</v>
      </c>
      <c r="K272" t="s">
        <v>28</v>
      </c>
      <c r="L272">
        <v>118.23000000000002</v>
      </c>
      <c r="M272">
        <v>1</v>
      </c>
      <c r="N272" s="2">
        <v>1.4008648559322652</v>
      </c>
      <c r="O272" s="2">
        <v>3.7072906216928287</v>
      </c>
      <c r="P272" s="1">
        <v>-0.26124582980080768</v>
      </c>
      <c r="Q272" s="1">
        <v>1.9266972517404557</v>
      </c>
      <c r="R272" s="1">
        <v>-1.4599066950245667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0</v>
      </c>
      <c r="AE272" s="19">
        <v>0</v>
      </c>
      <c r="AF272" s="19">
        <v>0</v>
      </c>
      <c r="AG272" s="19">
        <v>0</v>
      </c>
      <c r="AH272" s="19">
        <v>0</v>
      </c>
      <c r="AI272" s="19">
        <v>0</v>
      </c>
      <c r="AJ272" s="19">
        <v>0</v>
      </c>
      <c r="AK272" s="19">
        <v>0</v>
      </c>
      <c r="AL272" s="19">
        <v>0</v>
      </c>
      <c r="AM272" s="19">
        <v>0</v>
      </c>
      <c r="AN272" s="19">
        <v>0</v>
      </c>
      <c r="AO272" s="19">
        <v>0</v>
      </c>
      <c r="AP272" s="19">
        <v>0</v>
      </c>
      <c r="AQ272" s="19">
        <v>0</v>
      </c>
      <c r="AR272" s="19">
        <v>0</v>
      </c>
    </row>
    <row r="273" spans="1:44" x14ac:dyDescent="0.25">
      <c r="A273" t="s">
        <v>131</v>
      </c>
      <c r="B273" t="s">
        <v>248</v>
      </c>
      <c r="C273" t="s">
        <v>46</v>
      </c>
      <c r="D273" t="s">
        <v>249</v>
      </c>
      <c r="E273" t="s">
        <v>148</v>
      </c>
      <c r="F273" t="s">
        <v>249</v>
      </c>
      <c r="G273" t="s">
        <v>28</v>
      </c>
      <c r="H273" t="s">
        <v>136</v>
      </c>
      <c r="I273" t="s">
        <v>135</v>
      </c>
      <c r="J273" t="s">
        <v>39</v>
      </c>
      <c r="K273" t="s">
        <v>28</v>
      </c>
      <c r="L273">
        <v>118.23000000000002</v>
      </c>
      <c r="M273">
        <v>1</v>
      </c>
      <c r="N273" s="2">
        <v>1.4008648559322652</v>
      </c>
      <c r="O273" s="2">
        <v>3.7072906216928287</v>
      </c>
      <c r="P273" s="1">
        <v>-0.26124582980080768</v>
      </c>
      <c r="Q273" s="1">
        <v>1.9266972517404557</v>
      </c>
      <c r="R273" s="1">
        <v>-1.4599066950245667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19">
        <v>0</v>
      </c>
      <c r="AI273" s="19">
        <v>0</v>
      </c>
      <c r="AJ273" s="19">
        <v>0</v>
      </c>
      <c r="AK273" s="19">
        <v>0</v>
      </c>
      <c r="AL273" s="19">
        <v>0</v>
      </c>
      <c r="AM273" s="19">
        <v>0</v>
      </c>
      <c r="AN273" s="19">
        <v>0</v>
      </c>
      <c r="AO273" s="19">
        <v>0</v>
      </c>
      <c r="AP273" s="19">
        <v>0</v>
      </c>
      <c r="AQ273" s="19">
        <v>0</v>
      </c>
      <c r="AR273" s="19">
        <v>0</v>
      </c>
    </row>
    <row r="274" spans="1:44" x14ac:dyDescent="0.25">
      <c r="A274" t="s">
        <v>250</v>
      </c>
      <c r="B274" t="s">
        <v>251</v>
      </c>
      <c r="C274" t="s">
        <v>43</v>
      </c>
      <c r="D274" t="s">
        <v>172</v>
      </c>
      <c r="E274" t="s">
        <v>145</v>
      </c>
      <c r="F274" t="s">
        <v>172</v>
      </c>
      <c r="G274" t="s">
        <v>31</v>
      </c>
      <c r="H274" t="s">
        <v>252</v>
      </c>
      <c r="I274" t="s">
        <v>135</v>
      </c>
      <c r="J274" t="s">
        <v>39</v>
      </c>
      <c r="K274" t="s">
        <v>31</v>
      </c>
      <c r="L274">
        <v>29.83162275145601</v>
      </c>
      <c r="M274">
        <v>1</v>
      </c>
      <c r="N274" s="2">
        <v>3.606567684747835</v>
      </c>
      <c r="O274" s="2">
        <v>3.1114376964877604</v>
      </c>
      <c r="P274" s="1">
        <v>-0.72038239017334771</v>
      </c>
      <c r="Q274" s="1">
        <v>0.4672931329656026</v>
      </c>
      <c r="R274" s="1">
        <v>-0.6460209964997905</v>
      </c>
      <c r="S274" s="19">
        <v>0.93574539743872576</v>
      </c>
      <c r="T274" s="19">
        <v>1.4339369830636666</v>
      </c>
      <c r="U274" s="19">
        <v>3.1193974944929561</v>
      </c>
      <c r="V274" s="19">
        <v>5.847942516221087</v>
      </c>
      <c r="W274" s="19">
        <v>9.9699856102577833</v>
      </c>
      <c r="X274" s="19">
        <v>15.845774372067908</v>
      </c>
      <c r="Y274" s="19">
        <v>23.800251838313947</v>
      </c>
      <c r="Z274" s="19">
        <v>34.061636331808586</v>
      </c>
      <c r="AA274" s="19">
        <v>46.688726784911395</v>
      </c>
      <c r="AB274" s="19">
        <v>61.499290599869873</v>
      </c>
      <c r="AC274" s="19">
        <v>78.01984755495323</v>
      </c>
      <c r="AD274" s="19">
        <v>95.482081555078338</v>
      </c>
      <c r="AE274" s="19">
        <v>128.8702056808491</v>
      </c>
      <c r="AF274" s="19">
        <v>153.42303708279022</v>
      </c>
      <c r="AG274" s="19">
        <v>170.26587289901823</v>
      </c>
      <c r="AH274" s="19">
        <v>183.60293014275081</v>
      </c>
      <c r="AI274" s="19">
        <v>193.03308195691855</v>
      </c>
      <c r="AJ274" s="19">
        <v>199.23438452714728</v>
      </c>
      <c r="AK274" s="19">
        <v>201.48284381373239</v>
      </c>
      <c r="AL274" s="19">
        <v>202.3639405001156</v>
      </c>
      <c r="AM274" s="19">
        <v>200.25377156129565</v>
      </c>
      <c r="AN274" s="19">
        <v>196.84515186486729</v>
      </c>
      <c r="AO274" s="19">
        <v>134.7915424608093</v>
      </c>
      <c r="AP274" s="19">
        <v>17.09477676946333</v>
      </c>
      <c r="AQ274" s="19">
        <v>13.582389627236012</v>
      </c>
      <c r="AR274" s="19">
        <v>2371.548545925471</v>
      </c>
    </row>
    <row r="275" spans="1:44" x14ac:dyDescent="0.25">
      <c r="A275" t="s">
        <v>250</v>
      </c>
      <c r="B275" t="s">
        <v>251</v>
      </c>
      <c r="C275" t="s">
        <v>43</v>
      </c>
      <c r="D275" t="s">
        <v>172</v>
      </c>
      <c r="E275" t="s">
        <v>148</v>
      </c>
      <c r="F275" t="s">
        <v>172</v>
      </c>
      <c r="G275" t="s">
        <v>31</v>
      </c>
      <c r="H275" t="s">
        <v>252</v>
      </c>
      <c r="I275" t="s">
        <v>135</v>
      </c>
      <c r="J275" t="s">
        <v>39</v>
      </c>
      <c r="K275" t="s">
        <v>31</v>
      </c>
      <c r="L275">
        <v>29.83162275145601</v>
      </c>
      <c r="M275">
        <v>1</v>
      </c>
      <c r="N275" s="2">
        <v>3.606567684747835</v>
      </c>
      <c r="O275" s="2">
        <v>3.1114376964877604</v>
      </c>
      <c r="P275" s="1">
        <v>-0.72038239017334771</v>
      </c>
      <c r="Q275" s="1">
        <v>0.4672931329656026</v>
      </c>
      <c r="R275" s="1">
        <v>-0.6460209964997905</v>
      </c>
      <c r="S275" s="19">
        <v>0.12735307891005712</v>
      </c>
      <c r="T275" s="19">
        <v>0.25978396099750845</v>
      </c>
      <c r="U275" s="19">
        <v>0.57151491338111837</v>
      </c>
      <c r="V275" s="19">
        <v>1.0835580266658056</v>
      </c>
      <c r="W275" s="19">
        <v>1.868329001316853</v>
      </c>
      <c r="X275" s="19">
        <v>3.0033048426098765</v>
      </c>
      <c r="Y275" s="19">
        <v>4.5625944753296643</v>
      </c>
      <c r="Z275" s="19">
        <v>6.6047639836374117</v>
      </c>
      <c r="AA275" s="19">
        <v>9.1576127760872712</v>
      </c>
      <c r="AB275" s="19">
        <v>12.202129692399222</v>
      </c>
      <c r="AC275" s="19">
        <v>15.65967024619572</v>
      </c>
      <c r="AD275" s="19">
        <v>19.387773653394927</v>
      </c>
      <c r="AE275" s="19">
        <v>23.189868043237865</v>
      </c>
      <c r="AF275" s="19">
        <v>26.841317792275401</v>
      </c>
      <c r="AG275" s="19">
        <v>30.128677721620729</v>
      </c>
      <c r="AH275" s="19">
        <v>32.892281992569629</v>
      </c>
      <c r="AI275" s="19">
        <v>35.057932617566486</v>
      </c>
      <c r="AJ275" s="19">
        <v>36.745878331969315</v>
      </c>
      <c r="AK275" s="19">
        <v>37.817625314800921</v>
      </c>
      <c r="AL275" s="19">
        <v>38.7501834742555</v>
      </c>
      <c r="AM275" s="19">
        <v>39.226178481414259</v>
      </c>
      <c r="AN275" s="19">
        <v>39.550571952624153</v>
      </c>
      <c r="AO275" s="19">
        <v>39.879030628104189</v>
      </c>
      <c r="AP275" s="19">
        <v>40.211598515118688</v>
      </c>
      <c r="AQ275" s="19">
        <v>40.548320120289446</v>
      </c>
      <c r="AR275" s="19">
        <v>535.32785363677203</v>
      </c>
    </row>
    <row r="276" spans="1:44" x14ac:dyDescent="0.25">
      <c r="A276" t="s">
        <v>250</v>
      </c>
      <c r="B276" t="s">
        <v>251</v>
      </c>
      <c r="C276" t="s">
        <v>43</v>
      </c>
      <c r="D276" t="s">
        <v>172</v>
      </c>
      <c r="E276" t="s">
        <v>145</v>
      </c>
      <c r="F276" t="s">
        <v>172</v>
      </c>
      <c r="G276" t="s">
        <v>31</v>
      </c>
      <c r="H276" t="s">
        <v>253</v>
      </c>
      <c r="I276" t="s">
        <v>135</v>
      </c>
      <c r="J276" t="s">
        <v>39</v>
      </c>
      <c r="K276" t="s">
        <v>31</v>
      </c>
      <c r="L276">
        <v>29.83162275145601</v>
      </c>
      <c r="M276">
        <v>1</v>
      </c>
      <c r="N276" s="2">
        <v>3.606567684747835</v>
      </c>
      <c r="O276" s="2">
        <v>3.1114376964877604</v>
      </c>
      <c r="P276" s="1">
        <v>-0.72038239017334771</v>
      </c>
      <c r="Q276" s="1">
        <v>0.4672931329656026</v>
      </c>
      <c r="R276" s="1">
        <v>-0.6460209964997905</v>
      </c>
      <c r="S276" s="19">
        <v>5.8783212989498325E-2</v>
      </c>
      <c r="T276" s="19">
        <v>9.0043276232765798E-2</v>
      </c>
      <c r="U276" s="19">
        <v>0.19580218938288932</v>
      </c>
      <c r="V276" s="19">
        <v>0.36692349504997773</v>
      </c>
      <c r="W276" s="19">
        <v>0.62530594863219258</v>
      </c>
      <c r="X276" s="19">
        <v>0.99342960571382077</v>
      </c>
      <c r="Y276" s="19">
        <v>1.491525852373492</v>
      </c>
      <c r="Z276" s="19">
        <v>2.1337343199009489</v>
      </c>
      <c r="AA276" s="19">
        <v>2.9235630725655626</v>
      </c>
      <c r="AB276" s="19">
        <v>3.8494275053775793</v>
      </c>
      <c r="AC276" s="19">
        <v>4.8815387197892388</v>
      </c>
      <c r="AD276" s="19">
        <v>5.97171566694864</v>
      </c>
      <c r="AE276" s="19">
        <v>8.0614925881701982</v>
      </c>
      <c r="AF276" s="19">
        <v>9.6362921326525939</v>
      </c>
      <c r="AG276" s="19">
        <v>10.689977327210718</v>
      </c>
      <c r="AH276" s="19">
        <v>11.522533975596019</v>
      </c>
      <c r="AI276" s="19">
        <v>12.108896117202256</v>
      </c>
      <c r="AJ276" s="19">
        <v>12.491712349686791</v>
      </c>
      <c r="AK276" s="19">
        <v>12.625718978203803</v>
      </c>
      <c r="AL276" s="19">
        <v>12.673085840603347</v>
      </c>
      <c r="AM276" s="19">
        <v>12.532232048385438</v>
      </c>
      <c r="AN276" s="19">
        <v>12.309395563227865</v>
      </c>
      <c r="AO276" s="19">
        <v>8.0040530872990558</v>
      </c>
      <c r="AP276" s="19">
        <v>1.0983217565692835</v>
      </c>
      <c r="AQ276" s="19">
        <v>0.8723482791601278</v>
      </c>
      <c r="AR276" s="19">
        <v>148.20785290892408</v>
      </c>
    </row>
    <row r="277" spans="1:44" x14ac:dyDescent="0.25">
      <c r="A277" t="s">
        <v>250</v>
      </c>
      <c r="B277" t="s">
        <v>251</v>
      </c>
      <c r="C277" t="s">
        <v>43</v>
      </c>
      <c r="D277" t="s">
        <v>172</v>
      </c>
      <c r="E277" t="s">
        <v>148</v>
      </c>
      <c r="F277" t="s">
        <v>172</v>
      </c>
      <c r="G277" t="s">
        <v>31</v>
      </c>
      <c r="H277" t="s">
        <v>253</v>
      </c>
      <c r="I277" t="s">
        <v>135</v>
      </c>
      <c r="J277" t="s">
        <v>39</v>
      </c>
      <c r="K277" t="s">
        <v>31</v>
      </c>
      <c r="L277">
        <v>29.83162275145601</v>
      </c>
      <c r="M277">
        <v>1</v>
      </c>
      <c r="N277" s="2">
        <v>3.606567684747835</v>
      </c>
      <c r="O277" s="2">
        <v>3.1114376964877604</v>
      </c>
      <c r="P277" s="1">
        <v>-0.72038239017334771</v>
      </c>
      <c r="Q277" s="1">
        <v>0.4672931329656026</v>
      </c>
      <c r="R277" s="1">
        <v>-0.6460209964997905</v>
      </c>
      <c r="S277" s="19">
        <v>8.000277835113246E-3</v>
      </c>
      <c r="T277" s="19">
        <v>1.6753528640922534E-2</v>
      </c>
      <c r="U277" s="19">
        <v>3.6842589387568819E-2</v>
      </c>
      <c r="V277" s="19">
        <v>6.9824093199491649E-2</v>
      </c>
      <c r="W277" s="19">
        <v>0.12034802372402779</v>
      </c>
      <c r="X277" s="19">
        <v>0.19338350091310416</v>
      </c>
      <c r="Y277" s="19">
        <v>0.29367580995002956</v>
      </c>
      <c r="Z277" s="19">
        <v>0.42496367756098902</v>
      </c>
      <c r="AA277" s="19">
        <v>0.58900214997938161</v>
      </c>
      <c r="AB277" s="19">
        <v>0.78453481298194461</v>
      </c>
      <c r="AC277" s="19">
        <v>1.0064751309291486</v>
      </c>
      <c r="AD277" s="19">
        <v>1.2456444387739667</v>
      </c>
      <c r="AE277" s="19">
        <v>1.489402236032429</v>
      </c>
      <c r="AF277" s="19">
        <v>1.7233241503758916</v>
      </c>
      <c r="AG277" s="19">
        <v>1.933723888858869</v>
      </c>
      <c r="AH277" s="19">
        <v>2.1103839222560827</v>
      </c>
      <c r="AI277" s="19">
        <v>2.2485816066321584</v>
      </c>
      <c r="AJ277" s="19">
        <v>2.3560672028075884</v>
      </c>
      <c r="AK277" s="19">
        <v>2.423995313544403</v>
      </c>
      <c r="AL277" s="19">
        <v>2.4829704091395066</v>
      </c>
      <c r="AM277" s="19">
        <v>2.5126720462358723</v>
      </c>
      <c r="AN277" s="19">
        <v>2.5326569012796889</v>
      </c>
      <c r="AO277" s="19">
        <v>2.5528994641906935</v>
      </c>
      <c r="AP277" s="19">
        <v>2.5734024872605157</v>
      </c>
      <c r="AQ277" s="19">
        <v>2.5941687542108323</v>
      </c>
      <c r="AR277" s="19">
        <v>34.323696416700216</v>
      </c>
    </row>
    <row r="278" spans="1:44" x14ac:dyDescent="0.25">
      <c r="A278" t="s">
        <v>250</v>
      </c>
      <c r="B278" t="s">
        <v>251</v>
      </c>
      <c r="C278" t="s">
        <v>43</v>
      </c>
      <c r="D278" t="s">
        <v>172</v>
      </c>
      <c r="E278" t="s">
        <v>145</v>
      </c>
      <c r="F278" t="s">
        <v>172</v>
      </c>
      <c r="G278" t="s">
        <v>31</v>
      </c>
      <c r="H278" t="s">
        <v>254</v>
      </c>
      <c r="I278" t="s">
        <v>135</v>
      </c>
      <c r="J278" t="s">
        <v>39</v>
      </c>
      <c r="K278" t="s">
        <v>31</v>
      </c>
      <c r="L278">
        <v>29.83162275145601</v>
      </c>
      <c r="M278">
        <v>1</v>
      </c>
      <c r="N278" s="2">
        <v>3.606567684747835</v>
      </c>
      <c r="O278" s="2">
        <v>3.1114376964877604</v>
      </c>
      <c r="P278" s="1">
        <v>-0.72038239017334771</v>
      </c>
      <c r="Q278" s="1">
        <v>0.4672931329656026</v>
      </c>
      <c r="R278" s="1">
        <v>-0.6460209964997905</v>
      </c>
      <c r="S278" s="19">
        <v>0.2537550962354313</v>
      </c>
      <c r="T278" s="19">
        <v>0.38854747415750091</v>
      </c>
      <c r="U278" s="19">
        <v>0.84458175219260467</v>
      </c>
      <c r="V278" s="19">
        <v>1.5820893996996901</v>
      </c>
      <c r="W278" s="19">
        <v>2.6951280743727399</v>
      </c>
      <c r="X278" s="19">
        <v>4.2801135907542571</v>
      </c>
      <c r="Y278" s="19">
        <v>6.4236272317290402</v>
      </c>
      <c r="Z278" s="19">
        <v>9.1858899177338564</v>
      </c>
      <c r="AA278" s="19">
        <v>12.581276597471511</v>
      </c>
      <c r="AB278" s="19">
        <v>16.559214680334971</v>
      </c>
      <c r="AC278" s="19">
        <v>20.990929912289353</v>
      </c>
      <c r="AD278" s="19">
        <v>25.668790781613684</v>
      </c>
      <c r="AE278" s="19">
        <v>34.658172913852958</v>
      </c>
      <c r="AF278" s="19">
        <v>41.591674308758741</v>
      </c>
      <c r="AG278" s="19">
        <v>46.122054479870435</v>
      </c>
      <c r="AH278" s="19">
        <v>49.694127217402659</v>
      </c>
      <c r="AI278" s="19">
        <v>52.200246292230609</v>
      </c>
      <c r="AJ278" s="19">
        <v>53.824750415492829</v>
      </c>
      <c r="AK278" s="19">
        <v>54.373154360793251</v>
      </c>
      <c r="AL278" s="19">
        <v>54.544495731044051</v>
      </c>
      <c r="AM278" s="19">
        <v>53.90206664353822</v>
      </c>
      <c r="AN278" s="19">
        <v>52.904054783603968</v>
      </c>
      <c r="AO278" s="19">
        <v>32.644655987055799</v>
      </c>
      <c r="AP278" s="19">
        <v>4.8423681067182756</v>
      </c>
      <c r="AQ278" s="19">
        <v>3.844773457832245</v>
      </c>
      <c r="AR278" s="19">
        <v>636.60053920677865</v>
      </c>
    </row>
    <row r="279" spans="1:44" x14ac:dyDescent="0.25">
      <c r="A279" t="s">
        <v>250</v>
      </c>
      <c r="B279" t="s">
        <v>251</v>
      </c>
      <c r="C279" t="s">
        <v>43</v>
      </c>
      <c r="D279" t="s">
        <v>172</v>
      </c>
      <c r="E279" t="s">
        <v>148</v>
      </c>
      <c r="F279" t="s">
        <v>172</v>
      </c>
      <c r="G279" t="s">
        <v>31</v>
      </c>
      <c r="H279" t="s">
        <v>254</v>
      </c>
      <c r="I279" t="s">
        <v>135</v>
      </c>
      <c r="J279" t="s">
        <v>39</v>
      </c>
      <c r="K279" t="s">
        <v>31</v>
      </c>
      <c r="L279">
        <v>29.83162275145601</v>
      </c>
      <c r="M279">
        <v>1</v>
      </c>
      <c r="N279" s="2">
        <v>3.606567684747835</v>
      </c>
      <c r="O279" s="2">
        <v>3.1114376964877604</v>
      </c>
      <c r="P279" s="1">
        <v>-0.72038239017334771</v>
      </c>
      <c r="Q279" s="1">
        <v>0.4672931329656026</v>
      </c>
      <c r="R279" s="1">
        <v>-0.6460209964997905</v>
      </c>
      <c r="S279" s="19">
        <v>3.4535561578133388E-2</v>
      </c>
      <c r="T279" s="19">
        <v>7.413253888900681E-2</v>
      </c>
      <c r="U279" s="19">
        <v>0.16296222459466309</v>
      </c>
      <c r="V279" s="19">
        <v>0.30872954424547611</v>
      </c>
      <c r="W279" s="19">
        <v>0.53192426892084499</v>
      </c>
      <c r="X279" s="19">
        <v>0.85441738268358525</v>
      </c>
      <c r="Y279" s="19">
        <v>1.2970612960077208</v>
      </c>
      <c r="Z279" s="19">
        <v>1.8762368061642136</v>
      </c>
      <c r="AA279" s="19">
        <v>2.5995493915472965</v>
      </c>
      <c r="AB279" s="19">
        <v>3.461310810340934</v>
      </c>
      <c r="AC279" s="19">
        <v>4.4389518777532642</v>
      </c>
      <c r="AD279" s="19">
        <v>5.4918960373426273</v>
      </c>
      <c r="AE279" s="19">
        <v>6.5643669185049678</v>
      </c>
      <c r="AF279" s="19">
        <v>7.5928051011696498</v>
      </c>
      <c r="AG279" s="19">
        <v>8.5169865486215919</v>
      </c>
      <c r="AH279" s="19">
        <v>9.2920378384274755</v>
      </c>
      <c r="AI279" s="19">
        <v>9.8973271470879371</v>
      </c>
      <c r="AJ279" s="19">
        <v>10.367128421962358</v>
      </c>
      <c r="AK279" s="19">
        <v>10.66266743175038</v>
      </c>
      <c r="AL279" s="19">
        <v>10.918693010810989</v>
      </c>
      <c r="AM279" s="19">
        <v>11.045914402666083</v>
      </c>
      <c r="AN279" s="19">
        <v>11.130398092959709</v>
      </c>
      <c r="AO279" s="19">
        <v>11.216005933551957</v>
      </c>
      <c r="AP279" s="19">
        <v>11.302749738115146</v>
      </c>
      <c r="AQ279" s="19">
        <v>11.390641456362138</v>
      </c>
      <c r="AR279" s="19">
        <v>151.02942978205814</v>
      </c>
    </row>
    <row r="280" spans="1:44" x14ac:dyDescent="0.25">
      <c r="A280" t="s">
        <v>250</v>
      </c>
      <c r="B280" t="s">
        <v>251</v>
      </c>
      <c r="C280" t="s">
        <v>43</v>
      </c>
      <c r="D280" t="s">
        <v>172</v>
      </c>
      <c r="E280" t="s">
        <v>145</v>
      </c>
      <c r="F280" t="s">
        <v>172</v>
      </c>
      <c r="G280" t="s">
        <v>31</v>
      </c>
      <c r="H280" t="s">
        <v>255</v>
      </c>
      <c r="I280" t="s">
        <v>135</v>
      </c>
      <c r="J280" t="s">
        <v>39</v>
      </c>
      <c r="K280" t="s">
        <v>31</v>
      </c>
      <c r="L280">
        <v>29.83162275145601</v>
      </c>
      <c r="M280">
        <v>1</v>
      </c>
      <c r="N280" s="2">
        <v>3.606567684747835</v>
      </c>
      <c r="O280" s="2">
        <v>3.1114376964877604</v>
      </c>
      <c r="P280" s="1">
        <v>-0.72038239017334771</v>
      </c>
      <c r="Q280" s="1">
        <v>0.4672931329656026</v>
      </c>
      <c r="R280" s="1">
        <v>-0.6460209964997905</v>
      </c>
      <c r="S280" s="19">
        <v>6.5331513205936845E-2</v>
      </c>
      <c r="T280" s="19">
        <v>9.9581487167034716E-2</v>
      </c>
      <c r="U280" s="19">
        <v>0.21547792516405131</v>
      </c>
      <c r="V280" s="19">
        <v>0.4018080979907776</v>
      </c>
      <c r="W280" s="19">
        <v>0.6813866899551837</v>
      </c>
      <c r="X280" s="19">
        <v>1.0771994085928465</v>
      </c>
      <c r="Y280" s="19">
        <v>1.6093396645600508</v>
      </c>
      <c r="Z280" s="19">
        <v>2.2909478049193162</v>
      </c>
      <c r="AA280" s="19">
        <v>3.123526837965668</v>
      </c>
      <c r="AB280" s="19">
        <v>4.092482598412098</v>
      </c>
      <c r="AC280" s="19">
        <v>5.1642273906459719</v>
      </c>
      <c r="AD280" s="19">
        <v>6.2864528394566275</v>
      </c>
      <c r="AE280" s="19">
        <v>8.5087444479270715</v>
      </c>
      <c r="AF280" s="19">
        <v>10.704738054575651</v>
      </c>
      <c r="AG280" s="19">
        <v>11.81825325795494</v>
      </c>
      <c r="AH280" s="19">
        <v>12.673814577003322</v>
      </c>
      <c r="AI280" s="19">
        <v>13.245476788449279</v>
      </c>
      <c r="AJ280" s="19">
        <v>13.581603546571618</v>
      </c>
      <c r="AK280" s="19">
        <v>13.634890696826121</v>
      </c>
      <c r="AL280" s="19">
        <v>13.582681692531247</v>
      </c>
      <c r="AM280" s="19">
        <v>13.31780594468573</v>
      </c>
      <c r="AN280" s="19">
        <v>12.95722413204998</v>
      </c>
      <c r="AO280" s="19">
        <v>3.1544190269785148</v>
      </c>
      <c r="AP280" s="19">
        <v>1.5356440284990671</v>
      </c>
      <c r="AQ280" s="19">
        <v>1.2144589321705788</v>
      </c>
      <c r="AR280" s="19">
        <v>155.03751738425868</v>
      </c>
    </row>
    <row r="281" spans="1:44" x14ac:dyDescent="0.25">
      <c r="A281" t="s">
        <v>250</v>
      </c>
      <c r="B281" t="s">
        <v>251</v>
      </c>
      <c r="C281" t="s">
        <v>43</v>
      </c>
      <c r="D281" t="s">
        <v>172</v>
      </c>
      <c r="E281" t="s">
        <v>148</v>
      </c>
      <c r="F281" t="s">
        <v>172</v>
      </c>
      <c r="G281" t="s">
        <v>31</v>
      </c>
      <c r="H281" t="s">
        <v>255</v>
      </c>
      <c r="I281" t="s">
        <v>135</v>
      </c>
      <c r="J281" t="s">
        <v>39</v>
      </c>
      <c r="K281" t="s">
        <v>31</v>
      </c>
      <c r="L281">
        <v>29.83162275145601</v>
      </c>
      <c r="M281">
        <v>1</v>
      </c>
      <c r="N281" s="2">
        <v>3.606567684747835</v>
      </c>
      <c r="O281" s="2">
        <v>3.1114376964877604</v>
      </c>
      <c r="P281" s="1">
        <v>-0.72038239017334771</v>
      </c>
      <c r="Q281" s="1">
        <v>0.4672931329656026</v>
      </c>
      <c r="R281" s="1">
        <v>-0.6460209964997905</v>
      </c>
      <c r="S281" s="19">
        <v>8.8914884106324771E-3</v>
      </c>
      <c r="T281" s="19">
        <v>2.452839762568973E-2</v>
      </c>
      <c r="U281" s="19">
        <v>5.3679033281836819E-2</v>
      </c>
      <c r="V281" s="19">
        <v>0.10124544508260354</v>
      </c>
      <c r="W281" s="19">
        <v>0.17367960599491031</v>
      </c>
      <c r="X281" s="19">
        <v>0.27777489772294556</v>
      </c>
      <c r="Y281" s="19">
        <v>0.41988419282474582</v>
      </c>
      <c r="Z281" s="19">
        <v>0.60481839981784702</v>
      </c>
      <c r="AA281" s="19">
        <v>0.83449925838753714</v>
      </c>
      <c r="AB281" s="19">
        <v>1.106575971558251</v>
      </c>
      <c r="AC281" s="19">
        <v>1.4133705470689235</v>
      </c>
      <c r="AD281" s="19">
        <v>1.7416266522948078</v>
      </c>
      <c r="AE281" s="19">
        <v>2.0735042326052326</v>
      </c>
      <c r="AF281" s="19">
        <v>2.3889980325742832</v>
      </c>
      <c r="AG281" s="19">
        <v>2.6694578331727752</v>
      </c>
      <c r="AH281" s="19">
        <v>2.9013070683173252</v>
      </c>
      <c r="AI281" s="19">
        <v>3.0787064664460755</v>
      </c>
      <c r="AJ281" s="19">
        <v>3.2129089718663528</v>
      </c>
      <c r="AK281" s="19">
        <v>3.2924355489178652</v>
      </c>
      <c r="AL281" s="19">
        <v>3.3593509100459449</v>
      </c>
      <c r="AM281" s="19">
        <v>3.3864247907805498</v>
      </c>
      <c r="AN281" s="19">
        <v>3.4003777953129162</v>
      </c>
      <c r="AO281" s="19">
        <v>3.4147034840138466</v>
      </c>
      <c r="AP281" s="19">
        <v>3.4294040903829877</v>
      </c>
      <c r="AQ281" s="19">
        <v>3.4444818904803145</v>
      </c>
      <c r="AR281" s="19">
        <v>46.812635004987193</v>
      </c>
    </row>
    <row r="282" spans="1:44" x14ac:dyDescent="0.25">
      <c r="A282" t="s">
        <v>250</v>
      </c>
      <c r="B282" t="s">
        <v>251</v>
      </c>
      <c r="C282" t="s">
        <v>43</v>
      </c>
      <c r="D282" t="s">
        <v>172</v>
      </c>
      <c r="E282" t="s">
        <v>145</v>
      </c>
      <c r="F282" t="s">
        <v>172</v>
      </c>
      <c r="G282" t="s">
        <v>31</v>
      </c>
      <c r="H282" t="s">
        <v>253</v>
      </c>
      <c r="I282" t="s">
        <v>256</v>
      </c>
      <c r="J282" t="s">
        <v>39</v>
      </c>
      <c r="K282" t="s">
        <v>31</v>
      </c>
      <c r="L282">
        <v>29.83162275145601</v>
      </c>
      <c r="M282">
        <v>1</v>
      </c>
      <c r="N282" s="2">
        <v>3.079263650420323</v>
      </c>
      <c r="O282" s="2">
        <v>2.6565249391714065</v>
      </c>
      <c r="P282" s="1">
        <v>-0.47397683594704287</v>
      </c>
      <c r="Q282" s="1">
        <v>0.4672931329656026</v>
      </c>
      <c r="R282" s="1">
        <v>-0.39961544227348567</v>
      </c>
      <c r="S282" s="19">
        <v>3.0835375821829384E-2</v>
      </c>
      <c r="T282" s="19">
        <v>4.723318310896274E-2</v>
      </c>
      <c r="U282" s="19">
        <v>0.10271017505349755</v>
      </c>
      <c r="V282" s="19">
        <v>0.19247372323364695</v>
      </c>
      <c r="W282" s="19">
        <v>0.32801105875488412</v>
      </c>
      <c r="X282" s="19">
        <v>0.52111434007851909</v>
      </c>
      <c r="Y282" s="19">
        <v>0.78239616153896707</v>
      </c>
      <c r="Z282" s="19">
        <v>1.1192736210223071</v>
      </c>
      <c r="AA282" s="19">
        <v>1.5335869119213781</v>
      </c>
      <c r="AB282" s="19">
        <v>2.0192592032764596</v>
      </c>
      <c r="AC282" s="19">
        <v>2.5606644032949393</v>
      </c>
      <c r="AD282" s="19">
        <v>3.1325286170452209</v>
      </c>
      <c r="AE282" s="19">
        <v>4.2287439049228066</v>
      </c>
      <c r="AF282" s="19">
        <v>5.0548221903482009</v>
      </c>
      <c r="AG282" s="19">
        <v>5.6075442570698861</v>
      </c>
      <c r="AH282" s="19">
        <v>6.0442709319202352</v>
      </c>
      <c r="AI282" s="19">
        <v>6.3518535917410226</v>
      </c>
      <c r="AJ282" s="19">
        <v>6.5526640238190836</v>
      </c>
      <c r="AK282" s="19">
        <v>6.622958663101155</v>
      </c>
      <c r="AL282" s="19">
        <v>6.647805467644667</v>
      </c>
      <c r="AM282" s="19">
        <v>6.5739190739263842</v>
      </c>
      <c r="AN282" s="19">
        <v>6.4570277640233842</v>
      </c>
      <c r="AO282" s="19">
        <v>4.1986133879553726</v>
      </c>
      <c r="AP282" s="19">
        <v>0.57613666240318928</v>
      </c>
      <c r="AQ282" s="19">
        <v>0.45759980898346669</v>
      </c>
      <c r="AR282" s="19">
        <v>77.744046502009454</v>
      </c>
    </row>
    <row r="283" spans="1:44" x14ac:dyDescent="0.25">
      <c r="A283" t="s">
        <v>250</v>
      </c>
      <c r="B283" t="s">
        <v>251</v>
      </c>
      <c r="C283" t="s">
        <v>43</v>
      </c>
      <c r="D283" t="s">
        <v>172</v>
      </c>
      <c r="E283" t="s">
        <v>148</v>
      </c>
      <c r="F283" t="s">
        <v>172</v>
      </c>
      <c r="G283" t="s">
        <v>31</v>
      </c>
      <c r="H283" t="s">
        <v>253</v>
      </c>
      <c r="I283" t="s">
        <v>256</v>
      </c>
      <c r="J283" t="s">
        <v>39</v>
      </c>
      <c r="K283" t="s">
        <v>31</v>
      </c>
      <c r="L283">
        <v>29.83162275145601</v>
      </c>
      <c r="M283">
        <v>1</v>
      </c>
      <c r="N283" s="2">
        <v>3.079263650420323</v>
      </c>
      <c r="O283" s="2">
        <v>2.6565249391714065</v>
      </c>
      <c r="P283" s="1">
        <v>-0.47397683594704287</v>
      </c>
      <c r="Q283" s="1">
        <v>0.4672931329656026</v>
      </c>
      <c r="R283" s="1">
        <v>-0.39961544227348567</v>
      </c>
      <c r="S283" s="19">
        <v>4.1966330382253907E-3</v>
      </c>
      <c r="T283" s="19">
        <v>8.7882462647443579E-3</v>
      </c>
      <c r="U283" s="19">
        <v>1.9326182293199535E-2</v>
      </c>
      <c r="V283" s="19">
        <v>3.662699001514938E-2</v>
      </c>
      <c r="W283" s="19">
        <v>6.3129869093882782E-2</v>
      </c>
      <c r="X283" s="19">
        <v>0.10144142562370688</v>
      </c>
      <c r="Y283" s="19">
        <v>0.15405085072854297</v>
      </c>
      <c r="Z283" s="19">
        <v>0.22291933430996164</v>
      </c>
      <c r="AA283" s="19">
        <v>0.30896750502094183</v>
      </c>
      <c r="AB283" s="19">
        <v>0.41153629707054062</v>
      </c>
      <c r="AC283" s="19">
        <v>0.52795751268427205</v>
      </c>
      <c r="AD283" s="19">
        <v>0.65341638295321891</v>
      </c>
      <c r="AE283" s="19">
        <v>0.78128219541415844</v>
      </c>
      <c r="AF283" s="19">
        <v>0.90398848816190081</v>
      </c>
      <c r="AG283" s="19">
        <v>1.0143559668857336</v>
      </c>
      <c r="AH283" s="19">
        <v>1.1070249151358726</v>
      </c>
      <c r="AI283" s="19">
        <v>1.1795180185020191</v>
      </c>
      <c r="AJ283" s="19">
        <v>1.2359007608692083</v>
      </c>
      <c r="AK283" s="19">
        <v>1.27153319259443</v>
      </c>
      <c r="AL283" s="19">
        <v>1.3024692225308665</v>
      </c>
      <c r="AM283" s="19">
        <v>1.318049540376941</v>
      </c>
      <c r="AN283" s="19">
        <v>1.3285328141668815</v>
      </c>
      <c r="AO283" s="19">
        <v>1.3391512714306562</v>
      </c>
      <c r="AP283" s="19">
        <v>1.3499063559129598</v>
      </c>
      <c r="AQ283" s="19">
        <v>1.3607995278452909</v>
      </c>
      <c r="AR283" s="19">
        <v>18.004869498923306</v>
      </c>
    </row>
    <row r="284" spans="1:44" x14ac:dyDescent="0.25">
      <c r="A284" t="s">
        <v>250</v>
      </c>
      <c r="B284" t="s">
        <v>251</v>
      </c>
      <c r="C284" t="s">
        <v>43</v>
      </c>
      <c r="D284" t="s">
        <v>172</v>
      </c>
      <c r="E284" t="s">
        <v>145</v>
      </c>
      <c r="F284" t="s">
        <v>172</v>
      </c>
      <c r="G284" t="s">
        <v>31</v>
      </c>
      <c r="H284" t="s">
        <v>253</v>
      </c>
      <c r="I284" t="s">
        <v>135</v>
      </c>
      <c r="J284" t="s">
        <v>40</v>
      </c>
      <c r="K284" t="s">
        <v>31</v>
      </c>
      <c r="L284">
        <v>29.83162275145601</v>
      </c>
      <c r="M284">
        <v>1</v>
      </c>
      <c r="N284" s="2">
        <v>3.606567684747835</v>
      </c>
      <c r="O284" s="2">
        <v>1.9286749611803649</v>
      </c>
      <c r="P284" s="1">
        <v>-0.72038239017334771</v>
      </c>
      <c r="Q284" s="1">
        <v>0.4672931329656026</v>
      </c>
      <c r="R284" s="1">
        <v>-0.50302099649979048</v>
      </c>
      <c r="S284" s="19">
        <v>3.0921191779439444E-2</v>
      </c>
      <c r="T284" s="19">
        <v>4.7364634752778835E-2</v>
      </c>
      <c r="U284" s="19">
        <v>0.1029960211569938</v>
      </c>
      <c r="V284" s="19">
        <v>0.19300938451338959</v>
      </c>
      <c r="W284" s="19">
        <v>0.32892392530388881</v>
      </c>
      <c r="X284" s="19">
        <v>0.52256461999002612</v>
      </c>
      <c r="Y284" s="19">
        <v>0.784573598137141</v>
      </c>
      <c r="Z284" s="19">
        <v>1.1223885996809326</v>
      </c>
      <c r="AA284" s="19">
        <v>1.5378549393384984</v>
      </c>
      <c r="AB284" s="19">
        <v>2.0248788741114554</v>
      </c>
      <c r="AC284" s="19">
        <v>2.5677908242329059</v>
      </c>
      <c r="AD284" s="19">
        <v>3.1412465566145613</v>
      </c>
      <c r="AE284" s="19">
        <v>4.2405126509820548</v>
      </c>
      <c r="AF284" s="19">
        <v>5.0688899419241729</v>
      </c>
      <c r="AG284" s="19">
        <v>5.6231502539950302</v>
      </c>
      <c r="AH284" s="19">
        <v>6.0610923548558571</v>
      </c>
      <c r="AI284" s="19">
        <v>6.3695310282582174</v>
      </c>
      <c r="AJ284" s="19">
        <v>6.5709003229759304</v>
      </c>
      <c r="AK284" s="19">
        <v>6.6413905947620471</v>
      </c>
      <c r="AL284" s="19">
        <v>6.6663065488543687</v>
      </c>
      <c r="AM284" s="19">
        <v>6.5922145266505359</v>
      </c>
      <c r="AN284" s="19">
        <v>6.4749979040368055</v>
      </c>
      <c r="AO284" s="19">
        <v>4.2102982797045199</v>
      </c>
      <c r="AP284" s="19">
        <v>0.57774007141250827</v>
      </c>
      <c r="AQ284" s="19">
        <v>0.45887332567535982</v>
      </c>
      <c r="AR284" s="19">
        <v>77.96041097369941</v>
      </c>
    </row>
    <row r="285" spans="1:44" x14ac:dyDescent="0.25">
      <c r="A285" t="s">
        <v>250</v>
      </c>
      <c r="B285" t="s">
        <v>251</v>
      </c>
      <c r="C285" t="s">
        <v>43</v>
      </c>
      <c r="D285" t="s">
        <v>172</v>
      </c>
      <c r="E285" t="s">
        <v>148</v>
      </c>
      <c r="F285" t="s">
        <v>172</v>
      </c>
      <c r="G285" t="s">
        <v>31</v>
      </c>
      <c r="H285" t="s">
        <v>253</v>
      </c>
      <c r="I285" t="s">
        <v>135</v>
      </c>
      <c r="J285" t="s">
        <v>40</v>
      </c>
      <c r="K285" t="s">
        <v>31</v>
      </c>
      <c r="L285">
        <v>29.83162275145601</v>
      </c>
      <c r="M285">
        <v>1</v>
      </c>
      <c r="N285" s="2">
        <v>3.606567684747835</v>
      </c>
      <c r="O285" s="2">
        <v>1.9286749611803649</v>
      </c>
      <c r="P285" s="1">
        <v>-0.72038239017334771</v>
      </c>
      <c r="Q285" s="1">
        <v>0.4672931329656026</v>
      </c>
      <c r="R285" s="1">
        <v>-0.50302099649979048</v>
      </c>
      <c r="S285" s="19">
        <v>4.208312418590144E-3</v>
      </c>
      <c r="T285" s="19">
        <v>8.812704269513914E-3</v>
      </c>
      <c r="U285" s="19">
        <v>1.9379967752148276E-2</v>
      </c>
      <c r="V285" s="19">
        <v>3.6728924242924031E-2</v>
      </c>
      <c r="W285" s="19">
        <v>6.3305561785335515E-2</v>
      </c>
      <c r="X285" s="19">
        <v>0.10172374075200302</v>
      </c>
      <c r="Y285" s="19">
        <v>0.15447957977508681</v>
      </c>
      <c r="Z285" s="19">
        <v>0.22353972681803885</v>
      </c>
      <c r="AA285" s="19">
        <v>0.3098273726764183</v>
      </c>
      <c r="AB285" s="19">
        <v>0.41268161735554654</v>
      </c>
      <c r="AC285" s="19">
        <v>0.5294268373907397</v>
      </c>
      <c r="AD285" s="19">
        <v>0.6552348641984389</v>
      </c>
      <c r="AE285" s="19">
        <v>0.78345653180461516</v>
      </c>
      <c r="AF285" s="19">
        <v>0.90650432056908092</v>
      </c>
      <c r="AG285" s="19">
        <v>1.0171789559473416</v>
      </c>
      <c r="AH285" s="19">
        <v>1.1101058052063979</v>
      </c>
      <c r="AI285" s="19">
        <v>1.1828006594810427</v>
      </c>
      <c r="AJ285" s="19">
        <v>1.2393403170438344</v>
      </c>
      <c r="AK285" s="19">
        <v>1.2750719151054162</v>
      </c>
      <c r="AL285" s="19">
        <v>1.3060940411234712</v>
      </c>
      <c r="AM285" s="19">
        <v>1.3217177195533034</v>
      </c>
      <c r="AN285" s="19">
        <v>1.3322301686704401</v>
      </c>
      <c r="AO285" s="19">
        <v>1.3428781774819094</v>
      </c>
      <c r="AP285" s="19">
        <v>1.353663193750309</v>
      </c>
      <c r="AQ285" s="19">
        <v>1.3645866817710868</v>
      </c>
      <c r="AR285" s="19">
        <v>18.05497769694303</v>
      </c>
    </row>
    <row r="286" spans="1:44" x14ac:dyDescent="0.25">
      <c r="A286" t="s">
        <v>250</v>
      </c>
      <c r="B286" t="s">
        <v>257</v>
      </c>
      <c r="C286" t="s">
        <v>43</v>
      </c>
      <c r="D286" t="s">
        <v>258</v>
      </c>
      <c r="E286" t="s">
        <v>145</v>
      </c>
      <c r="F286" t="s">
        <v>258</v>
      </c>
      <c r="G286" t="s">
        <v>31</v>
      </c>
      <c r="H286" t="s">
        <v>252</v>
      </c>
      <c r="I286" t="s">
        <v>135</v>
      </c>
      <c r="J286" t="s">
        <v>39</v>
      </c>
      <c r="K286" t="s">
        <v>31</v>
      </c>
      <c r="L286">
        <v>38.700000000000003</v>
      </c>
      <c r="M286">
        <v>1</v>
      </c>
      <c r="N286" s="2">
        <v>1.5279315446562396</v>
      </c>
      <c r="O286" s="2">
        <v>3.2630763305462525</v>
      </c>
      <c r="P286" s="1">
        <v>-0.11304474947304376</v>
      </c>
      <c r="Q286" s="1">
        <v>1.1567665262170677</v>
      </c>
      <c r="R286" s="1">
        <v>-0.72815674905095173</v>
      </c>
      <c r="S286" s="19">
        <v>7.6164394237147501</v>
      </c>
      <c r="T286" s="19">
        <v>11.67143776375759</v>
      </c>
      <c r="U286" s="19">
        <v>25.390135094785677</v>
      </c>
      <c r="V286" s="19">
        <v>47.598951648683375</v>
      </c>
      <c r="W286" s="19">
        <v>81.150056055507932</v>
      </c>
      <c r="X286" s="19">
        <v>128.97566042755739</v>
      </c>
      <c r="Y286" s="19">
        <v>193.72061769349375</v>
      </c>
      <c r="Z286" s="19">
        <v>299.71857325200909</v>
      </c>
      <c r="AA286" s="19">
        <v>420.91972906605321</v>
      </c>
      <c r="AB286" s="19">
        <v>554.55195883289298</v>
      </c>
      <c r="AC286" s="19">
        <v>703.25419484098552</v>
      </c>
      <c r="AD286" s="19">
        <v>859.64490029650926</v>
      </c>
      <c r="AE286" s="19">
        <v>1014.1097606648742</v>
      </c>
      <c r="AF286" s="19">
        <v>1156.1565785542186</v>
      </c>
      <c r="AG286" s="19">
        <v>1276.325939601857</v>
      </c>
      <c r="AH286" s="19">
        <v>1368.1501395596729</v>
      </c>
      <c r="AI286" s="19">
        <v>1429.4798664131977</v>
      </c>
      <c r="AJ286" s="19">
        <v>1062.6400727862388</v>
      </c>
      <c r="AK286" s="19">
        <v>79.542749029174857</v>
      </c>
      <c r="AL286" s="19">
        <v>64.231284867568831</v>
      </c>
      <c r="AM286" s="19">
        <v>48.545198159448702</v>
      </c>
      <c r="AN286" s="19">
        <v>34.347566751463667</v>
      </c>
      <c r="AO286" s="19">
        <v>22.654632567827313</v>
      </c>
      <c r="AP286" s="19">
        <v>13.818881025924496</v>
      </c>
      <c r="AQ286" s="19">
        <v>7.2695658963017378</v>
      </c>
      <c r="AR286" s="19">
        <v>10911.484890273718</v>
      </c>
    </row>
    <row r="287" spans="1:44" x14ac:dyDescent="0.25">
      <c r="A287" t="s">
        <v>250</v>
      </c>
      <c r="B287" t="s">
        <v>257</v>
      </c>
      <c r="C287" t="s">
        <v>43</v>
      </c>
      <c r="D287" t="s">
        <v>258</v>
      </c>
      <c r="E287" t="s">
        <v>148</v>
      </c>
      <c r="F287" t="s">
        <v>258</v>
      </c>
      <c r="G287" t="s">
        <v>31</v>
      </c>
      <c r="H287" t="s">
        <v>252</v>
      </c>
      <c r="I287" t="s">
        <v>135</v>
      </c>
      <c r="J287" t="s">
        <v>39</v>
      </c>
      <c r="K287" t="s">
        <v>31</v>
      </c>
      <c r="L287">
        <v>38.700000000000003</v>
      </c>
      <c r="M287">
        <v>1</v>
      </c>
      <c r="N287" s="2">
        <v>1.5279315446562396</v>
      </c>
      <c r="O287" s="2">
        <v>3.2630763305462525</v>
      </c>
      <c r="P287" s="1">
        <v>-0.11304474947304376</v>
      </c>
      <c r="Q287" s="1">
        <v>1.1567665262170677</v>
      </c>
      <c r="R287" s="1">
        <v>-0.72815674905095173</v>
      </c>
      <c r="S287" s="19">
        <v>0.60467294265966098</v>
      </c>
      <c r="T287" s="19">
        <v>1.2334553156982293</v>
      </c>
      <c r="U287" s="19">
        <v>2.7135551602337542</v>
      </c>
      <c r="V287" s="19">
        <v>5.1447379689127155</v>
      </c>
      <c r="W287" s="19">
        <v>8.8708337854989381</v>
      </c>
      <c r="X287" s="19">
        <v>14.259703749820472</v>
      </c>
      <c r="Y287" s="19">
        <v>21.663217341676926</v>
      </c>
      <c r="Z287" s="19">
        <v>31.359446569636042</v>
      </c>
      <c r="AA287" s="19">
        <v>43.480383139893682</v>
      </c>
      <c r="AB287" s="19">
        <v>57.935761985218818</v>
      </c>
      <c r="AC287" s="19">
        <v>74.352178760707872</v>
      </c>
      <c r="AD287" s="19">
        <v>92.053229077384884</v>
      </c>
      <c r="AE287" s="19">
        <v>110.10558888409038</v>
      </c>
      <c r="AF287" s="19">
        <v>127.442687316424</v>
      </c>
      <c r="AG287" s="19">
        <v>143.05108578681006</v>
      </c>
      <c r="AH287" s="19">
        <v>156.17269023613534</v>
      </c>
      <c r="AI287" s="19">
        <v>166.45520831419785</v>
      </c>
      <c r="AJ287" s="19">
        <v>174.46958151124139</v>
      </c>
      <c r="AK287" s="19">
        <v>179.55824059543266</v>
      </c>
      <c r="AL287" s="19">
        <v>183.98603057353705</v>
      </c>
      <c r="AM287" s="19">
        <v>186.24605682600995</v>
      </c>
      <c r="AN287" s="19">
        <v>187.78627836203268</v>
      </c>
      <c r="AO287" s="19">
        <v>189.34580150465641</v>
      </c>
      <c r="AP287" s="19">
        <v>190.92483520055293</v>
      </c>
      <c r="AQ287" s="19">
        <v>192.52359076734595</v>
      </c>
      <c r="AR287" s="19">
        <v>2541.7388516758083</v>
      </c>
    </row>
    <row r="288" spans="1:44" x14ac:dyDescent="0.25">
      <c r="A288" t="s">
        <v>250</v>
      </c>
      <c r="B288" t="s">
        <v>257</v>
      </c>
      <c r="C288" t="s">
        <v>43</v>
      </c>
      <c r="D288" t="s">
        <v>258</v>
      </c>
      <c r="E288" t="s">
        <v>145</v>
      </c>
      <c r="F288" t="s">
        <v>258</v>
      </c>
      <c r="G288" t="s">
        <v>31</v>
      </c>
      <c r="H288" t="s">
        <v>253</v>
      </c>
      <c r="I288" t="s">
        <v>135</v>
      </c>
      <c r="J288" t="s">
        <v>39</v>
      </c>
      <c r="K288" t="s">
        <v>31</v>
      </c>
      <c r="L288">
        <v>38.700000000000003</v>
      </c>
      <c r="M288">
        <v>1</v>
      </c>
      <c r="N288" s="2">
        <v>1.5279315446562396</v>
      </c>
      <c r="O288" s="2">
        <v>3.2630763305462525</v>
      </c>
      <c r="P288" s="1">
        <v>-0.11304474947304376</v>
      </c>
      <c r="Q288" s="1">
        <v>1.1567665262170677</v>
      </c>
      <c r="R288" s="1">
        <v>-0.72815674905095173</v>
      </c>
      <c r="S288" s="19">
        <v>0.26985196199326422</v>
      </c>
      <c r="T288" s="19">
        <v>0.41335533598774582</v>
      </c>
      <c r="U288" s="19">
        <v>0.89885534118369603</v>
      </c>
      <c r="V288" s="19">
        <v>1.6844098851546512</v>
      </c>
      <c r="W288" s="19">
        <v>2.8705480442962865</v>
      </c>
      <c r="X288" s="19">
        <v>4.5604674288892975</v>
      </c>
      <c r="Y288" s="19">
        <v>6.8470428402504631</v>
      </c>
      <c r="Z288" s="19">
        <v>10.59151596480651</v>
      </c>
      <c r="AA288" s="19">
        <v>14.90862073564411</v>
      </c>
      <c r="AB288" s="19">
        <v>19.633992299890021</v>
      </c>
      <c r="AC288" s="19">
        <v>24.88859381801451</v>
      </c>
      <c r="AD288" s="19">
        <v>30.410226401622538</v>
      </c>
      <c r="AE288" s="19">
        <v>35.857999479084448</v>
      </c>
      <c r="AF288" s="19">
        <v>40.860468345017047</v>
      </c>
      <c r="AG288" s="19">
        <v>45.083362799471331</v>
      </c>
      <c r="AH288" s="19">
        <v>48.298884734616699</v>
      </c>
      <c r="AI288" s="19">
        <v>50.432472357478325</v>
      </c>
      <c r="AJ288" s="19">
        <v>35.941205444968666</v>
      </c>
      <c r="AK288" s="19">
        <v>2.8823367302251506</v>
      </c>
      <c r="AL288" s="19">
        <v>2.3266888087477575</v>
      </c>
      <c r="AM288" s="19">
        <v>1.7578725543413964</v>
      </c>
      <c r="AN288" s="19">
        <v>1.2433355000848274</v>
      </c>
      <c r="AO288" s="19">
        <v>0.8197896947338843</v>
      </c>
      <c r="AP288" s="19">
        <v>0.49988855861732451</v>
      </c>
      <c r="AQ288" s="19">
        <v>0.26288480603145992</v>
      </c>
      <c r="AR288" s="19">
        <v>384.24466987115142</v>
      </c>
    </row>
    <row r="289" spans="1:44" x14ac:dyDescent="0.25">
      <c r="A289" t="s">
        <v>250</v>
      </c>
      <c r="B289" t="s">
        <v>257</v>
      </c>
      <c r="C289" t="s">
        <v>43</v>
      </c>
      <c r="D289" t="s">
        <v>258</v>
      </c>
      <c r="E289" t="s">
        <v>148</v>
      </c>
      <c r="F289" t="s">
        <v>258</v>
      </c>
      <c r="G289" t="s">
        <v>31</v>
      </c>
      <c r="H289" t="s">
        <v>253</v>
      </c>
      <c r="I289" t="s">
        <v>135</v>
      </c>
      <c r="J289" t="s">
        <v>39</v>
      </c>
      <c r="K289" t="s">
        <v>31</v>
      </c>
      <c r="L289">
        <v>38.700000000000003</v>
      </c>
      <c r="M289">
        <v>1</v>
      </c>
      <c r="N289" s="2">
        <v>1.5279315446562396</v>
      </c>
      <c r="O289" s="2">
        <v>3.2630763305462525</v>
      </c>
      <c r="P289" s="1">
        <v>-0.11304474947304376</v>
      </c>
      <c r="Q289" s="1">
        <v>1.1567665262170677</v>
      </c>
      <c r="R289" s="1">
        <v>-0.72815674905095173</v>
      </c>
      <c r="S289" s="19">
        <v>2.1423682493015409E-2</v>
      </c>
      <c r="T289" s="19">
        <v>4.4863726690272339E-2</v>
      </c>
      <c r="U289" s="19">
        <v>9.8659565771023069E-2</v>
      </c>
      <c r="V289" s="19">
        <v>0.18697965669431665</v>
      </c>
      <c r="W289" s="19">
        <v>0.32227603866571986</v>
      </c>
      <c r="X289" s="19">
        <v>0.51785535556859241</v>
      </c>
      <c r="Y289" s="19">
        <v>0.78642485147636243</v>
      </c>
      <c r="Z289" s="19">
        <v>1.1379963404735844</v>
      </c>
      <c r="AA289" s="19">
        <v>1.5772696034978506</v>
      </c>
      <c r="AB289" s="19">
        <v>2.1008801299716979</v>
      </c>
      <c r="AC289" s="19">
        <v>2.6952068523801427</v>
      </c>
      <c r="AD289" s="19">
        <v>3.3356705236357684</v>
      </c>
      <c r="AE289" s="19">
        <v>3.988421560698745</v>
      </c>
      <c r="AF289" s="19">
        <v>4.6148334084295</v>
      </c>
      <c r="AG289" s="19">
        <v>5.1782559903414924</v>
      </c>
      <c r="AH289" s="19">
        <v>5.6513281189238649</v>
      </c>
      <c r="AI289" s="19">
        <v>6.021403180360914</v>
      </c>
      <c r="AJ289" s="19">
        <v>6.3092353447550265</v>
      </c>
      <c r="AK289" s="19">
        <v>6.4911378119904422</v>
      </c>
      <c r="AL289" s="19">
        <v>6.6490652926435985</v>
      </c>
      <c r="AM289" s="19">
        <v>6.7286023357050908</v>
      </c>
      <c r="AN289" s="19">
        <v>6.782119125740623</v>
      </c>
      <c r="AO289" s="19">
        <v>6.836326023249466</v>
      </c>
      <c r="AP289" s="19">
        <v>6.8912303985034038</v>
      </c>
      <c r="AQ289" s="19">
        <v>6.9468397059397251</v>
      </c>
      <c r="AR289" s="19">
        <v>91.914304624600263</v>
      </c>
    </row>
    <row r="290" spans="1:44" x14ac:dyDescent="0.25">
      <c r="A290" t="s">
        <v>250</v>
      </c>
      <c r="B290" t="s">
        <v>257</v>
      </c>
      <c r="C290" t="s">
        <v>43</v>
      </c>
      <c r="D290" t="s">
        <v>258</v>
      </c>
      <c r="E290" t="s">
        <v>145</v>
      </c>
      <c r="F290" t="s">
        <v>258</v>
      </c>
      <c r="G290" t="s">
        <v>31</v>
      </c>
      <c r="H290" t="s">
        <v>254</v>
      </c>
      <c r="I290" t="s">
        <v>135</v>
      </c>
      <c r="J290" t="s">
        <v>39</v>
      </c>
      <c r="K290" t="s">
        <v>31</v>
      </c>
      <c r="L290">
        <v>38.700000000000003</v>
      </c>
      <c r="M290">
        <v>1</v>
      </c>
      <c r="N290" s="2">
        <v>1.5279315446562396</v>
      </c>
      <c r="O290" s="2">
        <v>3.2630763305462525</v>
      </c>
      <c r="P290" s="1">
        <v>-0.11304474947304376</v>
      </c>
      <c r="Q290" s="1">
        <v>1.1567665262170677</v>
      </c>
      <c r="R290" s="1">
        <v>-0.72815674905095173</v>
      </c>
      <c r="S290" s="19">
        <v>1.7498630927210337</v>
      </c>
      <c r="T290" s="19">
        <v>2.6793743057179111</v>
      </c>
      <c r="U290" s="19">
        <v>5.8241290869536639</v>
      </c>
      <c r="V290" s="19">
        <v>10.90988867215157</v>
      </c>
      <c r="W290" s="19">
        <v>18.585262788675639</v>
      </c>
      <c r="X290" s="19">
        <v>29.515122715666735</v>
      </c>
      <c r="Y290" s="19">
        <v>44.296522044119449</v>
      </c>
      <c r="Z290" s="19">
        <v>68.508574422521804</v>
      </c>
      <c r="AA290" s="19">
        <v>96.647001976497364</v>
      </c>
      <c r="AB290" s="19">
        <v>127.23113322793829</v>
      </c>
      <c r="AC290" s="19">
        <v>161.21768924002689</v>
      </c>
      <c r="AD290" s="19">
        <v>196.9022715187148</v>
      </c>
      <c r="AE290" s="19">
        <v>232.07281525816029</v>
      </c>
      <c r="AF290" s="19">
        <v>264.32257002554996</v>
      </c>
      <c r="AG290" s="19">
        <v>291.48949089546721</v>
      </c>
      <c r="AH290" s="19">
        <v>312.10491968886498</v>
      </c>
      <c r="AI290" s="19">
        <v>325.69531772288292</v>
      </c>
      <c r="AJ290" s="19">
        <v>222.49211733275399</v>
      </c>
      <c r="AK290" s="19">
        <v>19.089298470973802</v>
      </c>
      <c r="AL290" s="19">
        <v>15.404094916434271</v>
      </c>
      <c r="AM290" s="19">
        <v>11.634285097399893</v>
      </c>
      <c r="AN290" s="19">
        <v>8.226154675322535</v>
      </c>
      <c r="AO290" s="19">
        <v>5.4221183540182993</v>
      </c>
      <c r="AP290" s="19">
        <v>3.3052134174438841</v>
      </c>
      <c r="AQ290" s="19">
        <v>1.7376140872739598</v>
      </c>
      <c r="AR290" s="19">
        <v>2477.0628430342513</v>
      </c>
    </row>
    <row r="291" spans="1:44" x14ac:dyDescent="0.25">
      <c r="A291" t="s">
        <v>250</v>
      </c>
      <c r="B291" t="s">
        <v>257</v>
      </c>
      <c r="C291" t="s">
        <v>43</v>
      </c>
      <c r="D291" t="s">
        <v>258</v>
      </c>
      <c r="E291" t="s">
        <v>148</v>
      </c>
      <c r="F291" t="s">
        <v>258</v>
      </c>
      <c r="G291" t="s">
        <v>31</v>
      </c>
      <c r="H291" t="s">
        <v>254</v>
      </c>
      <c r="I291" t="s">
        <v>135</v>
      </c>
      <c r="J291" t="s">
        <v>39</v>
      </c>
      <c r="K291" t="s">
        <v>31</v>
      </c>
      <c r="L291">
        <v>38.700000000000003</v>
      </c>
      <c r="M291">
        <v>1</v>
      </c>
      <c r="N291" s="2">
        <v>1.5279315446562396</v>
      </c>
      <c r="O291" s="2">
        <v>3.2630763305462525</v>
      </c>
      <c r="P291" s="1">
        <v>-0.11304474947304376</v>
      </c>
      <c r="Q291" s="1">
        <v>1.1567665262170677</v>
      </c>
      <c r="R291" s="1">
        <v>-0.72815674905095173</v>
      </c>
      <c r="S291" s="19">
        <v>0.13892250783648985</v>
      </c>
      <c r="T291" s="19">
        <v>0.29820503110821489</v>
      </c>
      <c r="U291" s="19">
        <v>0.65553070194283869</v>
      </c>
      <c r="V291" s="19">
        <v>1.2418932998313861</v>
      </c>
      <c r="W291" s="19">
        <v>2.1397148342409915</v>
      </c>
      <c r="X291" s="19">
        <v>3.436973372300641</v>
      </c>
      <c r="Y291" s="19">
        <v>5.2175496741634113</v>
      </c>
      <c r="Z291" s="19">
        <v>7.5473370200672623</v>
      </c>
      <c r="AA291" s="19">
        <v>10.456929154070265</v>
      </c>
      <c r="AB291" s="19">
        <v>13.923444594529892</v>
      </c>
      <c r="AC291" s="19">
        <v>17.856096696960375</v>
      </c>
      <c r="AD291" s="19">
        <v>22.091662489947421</v>
      </c>
      <c r="AE291" s="19">
        <v>26.405776336210092</v>
      </c>
      <c r="AF291" s="19">
        <v>30.542764558258924</v>
      </c>
      <c r="AG291" s="19">
        <v>34.260370368302347</v>
      </c>
      <c r="AH291" s="19">
        <v>37.378086251918177</v>
      </c>
      <c r="AI291" s="19">
        <v>39.812918780570847</v>
      </c>
      <c r="AJ291" s="19">
        <v>41.702738094574961</v>
      </c>
      <c r="AK291" s="19">
        <v>42.891571242991482</v>
      </c>
      <c r="AL291" s="19">
        <v>43.921457942037058</v>
      </c>
      <c r="AM291" s="19">
        <v>44.433217820820936</v>
      </c>
      <c r="AN291" s="19">
        <v>44.773061320985789</v>
      </c>
      <c r="AO291" s="19">
        <v>45.11742682025919</v>
      </c>
      <c r="AP291" s="19">
        <v>45.466361840236601</v>
      </c>
      <c r="AQ291" s="19">
        <v>45.819914449749149</v>
      </c>
      <c r="AR291" s="19">
        <v>607.52992520391467</v>
      </c>
    </row>
    <row r="292" spans="1:44" x14ac:dyDescent="0.25">
      <c r="A292" t="s">
        <v>250</v>
      </c>
      <c r="B292" t="s">
        <v>257</v>
      </c>
      <c r="C292" t="s">
        <v>43</v>
      </c>
      <c r="D292" t="s">
        <v>258</v>
      </c>
      <c r="E292" t="s">
        <v>145</v>
      </c>
      <c r="F292" t="s">
        <v>258</v>
      </c>
      <c r="G292" t="s">
        <v>31</v>
      </c>
      <c r="H292" t="s">
        <v>255</v>
      </c>
      <c r="I292" t="s">
        <v>135</v>
      </c>
      <c r="J292" t="s">
        <v>39</v>
      </c>
      <c r="K292" t="s">
        <v>31</v>
      </c>
      <c r="L292">
        <v>38.700000000000003</v>
      </c>
      <c r="M292">
        <v>1</v>
      </c>
      <c r="N292" s="2">
        <v>1.5279315446562396</v>
      </c>
      <c r="O292" s="2">
        <v>3.2630763305462525</v>
      </c>
      <c r="P292" s="1">
        <v>-0.11304474947304376</v>
      </c>
      <c r="Q292" s="1">
        <v>1.1567665262170677</v>
      </c>
      <c r="R292" s="1">
        <v>-0.72815674905095173</v>
      </c>
      <c r="S292" s="19">
        <v>0.4505178632732551</v>
      </c>
      <c r="T292" s="19">
        <v>0.68670135771459073</v>
      </c>
      <c r="U292" s="19">
        <v>1.4859085556683711</v>
      </c>
      <c r="V292" s="19">
        <v>2.77081789276918</v>
      </c>
      <c r="W292" s="19">
        <v>4.6987565503618169</v>
      </c>
      <c r="X292" s="19">
        <v>7.42823106436731</v>
      </c>
      <c r="Y292" s="19">
        <v>11.097803056742992</v>
      </c>
      <c r="Z292" s="19">
        <v>17.127562804690669</v>
      </c>
      <c r="AA292" s="19">
        <v>24.811146672950755</v>
      </c>
      <c r="AB292" s="19">
        <v>32.516851174507856</v>
      </c>
      <c r="AC292" s="19">
        <v>41.012047194994061</v>
      </c>
      <c r="AD292" s="19">
        <v>49.846059916230509</v>
      </c>
      <c r="AE292" s="19">
        <v>58.44543741988894</v>
      </c>
      <c r="AF292" s="19">
        <v>66.196941327356967</v>
      </c>
      <c r="AG292" s="19">
        <v>72.561160570715586</v>
      </c>
      <c r="AH292" s="19">
        <v>77.185858038763087</v>
      </c>
      <c r="AI292" s="19">
        <v>79.979032042966537</v>
      </c>
      <c r="AJ292" s="19">
        <v>28.002785509134153</v>
      </c>
      <c r="AK292" s="19">
        <v>6.0537254828927018</v>
      </c>
      <c r="AL292" s="19">
        <v>4.865732888671868</v>
      </c>
      <c r="AM292" s="19">
        <v>3.6606081464958207</v>
      </c>
      <c r="AN292" s="19">
        <v>2.5783031251217059</v>
      </c>
      <c r="AO292" s="19">
        <v>1.6929795787862012</v>
      </c>
      <c r="AP292" s="19">
        <v>1.0281343407207479</v>
      </c>
      <c r="AQ292" s="19">
        <v>0.53850937920446074</v>
      </c>
      <c r="AR292" s="19">
        <v>596.72161195499018</v>
      </c>
    </row>
    <row r="293" spans="1:44" x14ac:dyDescent="0.25">
      <c r="A293" t="s">
        <v>250</v>
      </c>
      <c r="B293" t="s">
        <v>257</v>
      </c>
      <c r="C293" t="s">
        <v>43</v>
      </c>
      <c r="D293" t="s">
        <v>258</v>
      </c>
      <c r="E293" t="s">
        <v>148</v>
      </c>
      <c r="F293" t="s">
        <v>258</v>
      </c>
      <c r="G293" t="s">
        <v>31</v>
      </c>
      <c r="H293" t="s">
        <v>255</v>
      </c>
      <c r="I293" t="s">
        <v>135</v>
      </c>
      <c r="J293" t="s">
        <v>39</v>
      </c>
      <c r="K293" t="s">
        <v>31</v>
      </c>
      <c r="L293">
        <v>38.700000000000003</v>
      </c>
      <c r="M293">
        <v>1</v>
      </c>
      <c r="N293" s="2">
        <v>1.5279315446562396</v>
      </c>
      <c r="O293" s="2">
        <v>3.2630763305462525</v>
      </c>
      <c r="P293" s="1">
        <v>-0.11304474947304376</v>
      </c>
      <c r="Q293" s="1">
        <v>1.1567665262170677</v>
      </c>
      <c r="R293" s="1">
        <v>-0.72815674905095173</v>
      </c>
      <c r="S293" s="19">
        <v>3.5766838932373084E-2</v>
      </c>
      <c r="T293" s="19">
        <v>9.8667760292884599E-2</v>
      </c>
      <c r="U293" s="19">
        <v>0.21592890287537145</v>
      </c>
      <c r="V293" s="19">
        <v>0.40726921744346251</v>
      </c>
      <c r="W293" s="19">
        <v>0.69864236521184431</v>
      </c>
      <c r="X293" s="19">
        <v>1.1173753557877366</v>
      </c>
      <c r="Y293" s="19">
        <v>1.6890232097759543</v>
      </c>
      <c r="Z293" s="19">
        <v>2.4329382540444411</v>
      </c>
      <c r="AA293" s="19">
        <v>3.3568508651757556</v>
      </c>
      <c r="AB293" s="19">
        <v>4.4513047437400717</v>
      </c>
      <c r="AC293" s="19">
        <v>5.6854144519070822</v>
      </c>
      <c r="AD293" s="19">
        <v>7.0058551590155531</v>
      </c>
      <c r="AE293" s="19">
        <v>8.3408635864048559</v>
      </c>
      <c r="AF293" s="19">
        <v>9.6099667338780783</v>
      </c>
      <c r="AG293" s="19">
        <v>10.738142361146108</v>
      </c>
      <c r="AH293" s="19">
        <v>11.67077746868252</v>
      </c>
      <c r="AI293" s="19">
        <v>12.384383043648301</v>
      </c>
      <c r="AJ293" s="19">
        <v>12.924225100907035</v>
      </c>
      <c r="AK293" s="19">
        <v>13.244128152104066</v>
      </c>
      <c r="AL293" s="19">
        <v>13.513301414558937</v>
      </c>
      <c r="AM293" s="19">
        <v>13.622208617356495</v>
      </c>
      <c r="AN293" s="19">
        <v>13.678335875548168</v>
      </c>
      <c r="AO293" s="19">
        <v>13.735962290462997</v>
      </c>
      <c r="AP293" s="19">
        <v>13.795096846560996</v>
      </c>
      <c r="AQ293" s="19">
        <v>13.855748699505067</v>
      </c>
      <c r="AR293" s="19">
        <v>188.30817731496612</v>
      </c>
    </row>
    <row r="294" spans="1:44" x14ac:dyDescent="0.25">
      <c r="A294" t="s">
        <v>250</v>
      </c>
      <c r="B294" t="s">
        <v>257</v>
      </c>
      <c r="C294" t="s">
        <v>43</v>
      </c>
      <c r="D294" t="s">
        <v>258</v>
      </c>
      <c r="E294" t="s">
        <v>145</v>
      </c>
      <c r="F294" t="s">
        <v>258</v>
      </c>
      <c r="G294" t="s">
        <v>31</v>
      </c>
      <c r="H294" t="s">
        <v>253</v>
      </c>
      <c r="I294" t="s">
        <v>256</v>
      </c>
      <c r="J294" t="s">
        <v>39</v>
      </c>
      <c r="K294" t="s">
        <v>31</v>
      </c>
      <c r="L294">
        <v>38.700000000000003</v>
      </c>
      <c r="M294">
        <v>1</v>
      </c>
      <c r="N294" s="2">
        <v>1.3149191963199545</v>
      </c>
      <c r="O294" s="2">
        <v>2.8081635732298982</v>
      </c>
      <c r="P294" s="1">
        <v>0.13336080475326101</v>
      </c>
      <c r="Q294" s="1">
        <v>0.4672931329656026</v>
      </c>
      <c r="R294" s="1">
        <v>-0.48175119482464696</v>
      </c>
      <c r="S294" s="19">
        <v>0.14155379131465434</v>
      </c>
      <c r="T294" s="19">
        <v>0.21683005206635744</v>
      </c>
      <c r="U294" s="19">
        <v>0.47150437761558794</v>
      </c>
      <c r="V294" s="19">
        <v>0.88357558570381611</v>
      </c>
      <c r="W294" s="19">
        <v>1.505777300337539</v>
      </c>
      <c r="X294" s="19">
        <v>2.3922429540919463</v>
      </c>
      <c r="Y294" s="19">
        <v>3.5916910374566964</v>
      </c>
      <c r="Z294" s="19">
        <v>5.5558952750007196</v>
      </c>
      <c r="AA294" s="19">
        <v>7.8204796912144436</v>
      </c>
      <c r="AB294" s="19">
        <v>10.2992249089578</v>
      </c>
      <c r="AC294" s="19">
        <v>13.055583474017354</v>
      </c>
      <c r="AD294" s="19">
        <v>15.952016098345505</v>
      </c>
      <c r="AE294" s="19">
        <v>18.809704912762523</v>
      </c>
      <c r="AF294" s="19">
        <v>21.433804543818574</v>
      </c>
      <c r="AG294" s="19">
        <v>23.648969910541169</v>
      </c>
      <c r="AH294" s="19">
        <v>25.335707029712591</v>
      </c>
      <c r="AI294" s="19">
        <v>26.454903699202134</v>
      </c>
      <c r="AJ294" s="19">
        <v>18.853351510118721</v>
      </c>
      <c r="AK294" s="19">
        <v>1.5119611841808087</v>
      </c>
      <c r="AL294" s="19">
        <v>1.2204900036852246</v>
      </c>
      <c r="AM294" s="19">
        <v>0.92211123045758048</v>
      </c>
      <c r="AN294" s="19">
        <v>0.65220520396847004</v>
      </c>
      <c r="AO294" s="19">
        <v>0.43002962999825095</v>
      </c>
      <c r="AP294" s="19">
        <v>0.26222199825571779</v>
      </c>
      <c r="AQ294" s="19">
        <v>0.13789909362859926</v>
      </c>
      <c r="AR294" s="19">
        <v>201.55973449645276</v>
      </c>
    </row>
    <row r="295" spans="1:44" x14ac:dyDescent="0.25">
      <c r="A295" t="s">
        <v>250</v>
      </c>
      <c r="B295" t="s">
        <v>257</v>
      </c>
      <c r="C295" t="s">
        <v>43</v>
      </c>
      <c r="D295" t="s">
        <v>258</v>
      </c>
      <c r="E295" t="s">
        <v>148</v>
      </c>
      <c r="F295" t="s">
        <v>258</v>
      </c>
      <c r="G295" t="s">
        <v>31</v>
      </c>
      <c r="H295" t="s">
        <v>253</v>
      </c>
      <c r="I295" t="s">
        <v>256</v>
      </c>
      <c r="J295" t="s">
        <v>39</v>
      </c>
      <c r="K295" t="s">
        <v>31</v>
      </c>
      <c r="L295">
        <v>38.700000000000003</v>
      </c>
      <c r="M295">
        <v>1</v>
      </c>
      <c r="N295" s="2">
        <v>1.3149191963199545</v>
      </c>
      <c r="O295" s="2">
        <v>2.8081635732298982</v>
      </c>
      <c r="P295" s="1">
        <v>0.13336080475326101</v>
      </c>
      <c r="Q295" s="1">
        <v>0.4672931329656026</v>
      </c>
      <c r="R295" s="1">
        <v>-0.48175119482464696</v>
      </c>
      <c r="S295" s="19">
        <v>1.1238026429036724E-2</v>
      </c>
      <c r="T295" s="19">
        <v>2.3533757392770173E-2</v>
      </c>
      <c r="U295" s="19">
        <v>5.1752951808052131E-2</v>
      </c>
      <c r="V295" s="19">
        <v>9.8082219259363834E-2</v>
      </c>
      <c r="W295" s="19">
        <v>0.1690534127898605</v>
      </c>
      <c r="X295" s="19">
        <v>0.27164667765196066</v>
      </c>
      <c r="Y295" s="19">
        <v>0.41252773738707266</v>
      </c>
      <c r="Z295" s="19">
        <v>0.59694839832314039</v>
      </c>
      <c r="AA295" s="19">
        <v>0.82737398183548283</v>
      </c>
      <c r="AB295" s="19">
        <v>1.1020395971867805</v>
      </c>
      <c r="AC295" s="19">
        <v>1.413800164777639</v>
      </c>
      <c r="AD295" s="19">
        <v>1.749762372337182</v>
      </c>
      <c r="AE295" s="19">
        <v>2.0921700517119626</v>
      </c>
      <c r="AF295" s="19">
        <v>2.4207612219066688</v>
      </c>
      <c r="AG295" s="19">
        <v>2.7163106853710905</v>
      </c>
      <c r="AH295" s="19">
        <v>2.9644658326284916</v>
      </c>
      <c r="AI295" s="19">
        <v>3.1585927444006368</v>
      </c>
      <c r="AJ295" s="19">
        <v>3.3095782470863759</v>
      </c>
      <c r="AK295" s="19">
        <v>3.4049971712123264</v>
      </c>
      <c r="AL295" s="19">
        <v>3.4878397545090918</v>
      </c>
      <c r="AM295" s="19">
        <v>3.5295617783630089</v>
      </c>
      <c r="AN295" s="19">
        <v>3.5576345945566312</v>
      </c>
      <c r="AO295" s="19">
        <v>3.5860694141558098</v>
      </c>
      <c r="AP295" s="19">
        <v>3.6148701033172719</v>
      </c>
      <c r="AQ295" s="19">
        <v>3.6440405723472118</v>
      </c>
      <c r="AR295" s="19">
        <v>48.214651468744918</v>
      </c>
    </row>
    <row r="296" spans="1:44" x14ac:dyDescent="0.25">
      <c r="A296" t="s">
        <v>250</v>
      </c>
      <c r="B296" t="s">
        <v>257</v>
      </c>
      <c r="C296" t="s">
        <v>43</v>
      </c>
      <c r="D296" t="s">
        <v>258</v>
      </c>
      <c r="E296" t="s">
        <v>145</v>
      </c>
      <c r="F296" t="s">
        <v>258</v>
      </c>
      <c r="G296" t="s">
        <v>31</v>
      </c>
      <c r="H296" t="s">
        <v>253</v>
      </c>
      <c r="I296" t="s">
        <v>135</v>
      </c>
      <c r="J296" t="s">
        <v>40</v>
      </c>
      <c r="K296" t="s">
        <v>31</v>
      </c>
      <c r="L296">
        <v>38.700000000000003</v>
      </c>
      <c r="M296">
        <v>1</v>
      </c>
      <c r="N296" s="2">
        <v>1.5279315446562396</v>
      </c>
      <c r="O296" s="2">
        <v>2.0803135952388567</v>
      </c>
      <c r="P296" s="1">
        <v>-0.11304474947304376</v>
      </c>
      <c r="Q296" s="1">
        <v>0.4672931329656026</v>
      </c>
      <c r="R296" s="1">
        <v>-0.58515674905095172</v>
      </c>
      <c r="S296" s="19">
        <v>0.14194774059632323</v>
      </c>
      <c r="T296" s="19">
        <v>0.21743349788340308</v>
      </c>
      <c r="U296" s="19">
        <v>0.4728165912210327</v>
      </c>
      <c r="V296" s="19">
        <v>0.88603460827082348</v>
      </c>
      <c r="W296" s="19">
        <v>1.5099679326075195</v>
      </c>
      <c r="X296" s="19">
        <v>2.3989006520920446</v>
      </c>
      <c r="Y296" s="19">
        <v>3.6016868425216235</v>
      </c>
      <c r="Z296" s="19">
        <v>5.5713575309550576</v>
      </c>
      <c r="AA296" s="19">
        <v>7.8422443668762316</v>
      </c>
      <c r="AB296" s="19">
        <v>10.327888021524034</v>
      </c>
      <c r="AC296" s="19">
        <v>13.091917631397338</v>
      </c>
      <c r="AD296" s="19">
        <v>15.996411131673478</v>
      </c>
      <c r="AE296" s="19">
        <v>18.862052996624957</v>
      </c>
      <c r="AF296" s="19">
        <v>21.493455591134577</v>
      </c>
      <c r="AG296" s="19">
        <v>23.714785842576216</v>
      </c>
      <c r="AH296" s="19">
        <v>25.406217211688151</v>
      </c>
      <c r="AI296" s="19">
        <v>26.528528645677486</v>
      </c>
      <c r="AJ296" s="19">
        <v>18.905821064028199</v>
      </c>
      <c r="AK296" s="19">
        <v>1.5161690264214749</v>
      </c>
      <c r="AL296" s="19">
        <v>1.2238866711694931</v>
      </c>
      <c r="AM296" s="19">
        <v>0.92467749910700414</v>
      </c>
      <c r="AN296" s="19">
        <v>0.65402031445909936</v>
      </c>
      <c r="AO296" s="19">
        <v>0.43122641789252425</v>
      </c>
      <c r="AP296" s="19">
        <v>0.26295177148815119</v>
      </c>
      <c r="AQ296" s="19">
        <v>0.13828287175543846</v>
      </c>
      <c r="AR296" s="19">
        <v>202.12068247164169</v>
      </c>
    </row>
    <row r="297" spans="1:44" x14ac:dyDescent="0.25">
      <c r="A297" t="s">
        <v>250</v>
      </c>
      <c r="B297" t="s">
        <v>257</v>
      </c>
      <c r="C297" t="s">
        <v>43</v>
      </c>
      <c r="D297" t="s">
        <v>258</v>
      </c>
      <c r="E297" t="s">
        <v>148</v>
      </c>
      <c r="F297" t="s">
        <v>258</v>
      </c>
      <c r="G297" t="s">
        <v>31</v>
      </c>
      <c r="H297" t="s">
        <v>253</v>
      </c>
      <c r="I297" t="s">
        <v>135</v>
      </c>
      <c r="J297" t="s">
        <v>40</v>
      </c>
      <c r="K297" t="s">
        <v>31</v>
      </c>
      <c r="L297">
        <v>38.700000000000003</v>
      </c>
      <c r="M297">
        <v>1</v>
      </c>
      <c r="N297" s="2">
        <v>1.5279315446562396</v>
      </c>
      <c r="O297" s="2">
        <v>2.0803135952388567</v>
      </c>
      <c r="P297" s="1">
        <v>-0.11304474947304376</v>
      </c>
      <c r="Q297" s="1">
        <v>0.4672931329656026</v>
      </c>
      <c r="R297" s="1">
        <v>-0.58515674905095172</v>
      </c>
      <c r="S297" s="19">
        <v>1.1269302259927423E-2</v>
      </c>
      <c r="T297" s="19">
        <v>2.3599252684233168E-2</v>
      </c>
      <c r="U297" s="19">
        <v>5.1896982130374365E-2</v>
      </c>
      <c r="V297" s="19">
        <v>9.8355185595786543E-2</v>
      </c>
      <c r="W297" s="19">
        <v>0.16952389450507124</v>
      </c>
      <c r="X297" s="19">
        <v>0.27240268010540619</v>
      </c>
      <c r="Y297" s="19">
        <v>0.41367581688605903</v>
      </c>
      <c r="Z297" s="19">
        <v>0.59860972714046679</v>
      </c>
      <c r="AA297" s="19">
        <v>0.82967659332180987</v>
      </c>
      <c r="AB297" s="19">
        <v>1.1051066129385445</v>
      </c>
      <c r="AC297" s="19">
        <v>1.4177348213782319</v>
      </c>
      <c r="AD297" s="19">
        <v>1.7546320238192976</v>
      </c>
      <c r="AE297" s="19">
        <v>2.0979926360549341</v>
      </c>
      <c r="AF297" s="19">
        <v>2.4274982872696373</v>
      </c>
      <c r="AG297" s="19">
        <v>2.7238702754982862</v>
      </c>
      <c r="AH297" s="19">
        <v>2.9727160474369243</v>
      </c>
      <c r="AI297" s="19">
        <v>3.1673832213718853</v>
      </c>
      <c r="AJ297" s="19">
        <v>3.3187889221305173</v>
      </c>
      <c r="AK297" s="19">
        <v>3.4144734005469517</v>
      </c>
      <c r="AL297" s="19">
        <v>3.4975465377262824</v>
      </c>
      <c r="AM297" s="19">
        <v>3.5393846754700284</v>
      </c>
      <c r="AN297" s="19">
        <v>3.5675356193186332</v>
      </c>
      <c r="AO297" s="19">
        <v>3.5960495740413725</v>
      </c>
      <c r="AP297" s="19">
        <v>3.6249304165543785</v>
      </c>
      <c r="AQ297" s="19">
        <v>3.6541820680465658</v>
      </c>
      <c r="AR297" s="19">
        <v>48.34883457423161</v>
      </c>
    </row>
    <row r="298" spans="1:44" x14ac:dyDescent="0.25">
      <c r="A298" t="s">
        <v>250</v>
      </c>
      <c r="B298" t="s">
        <v>259</v>
      </c>
      <c r="C298" t="s">
        <v>43</v>
      </c>
      <c r="D298" t="s">
        <v>260</v>
      </c>
      <c r="E298" t="s">
        <v>134</v>
      </c>
      <c r="F298" t="s">
        <v>260</v>
      </c>
      <c r="G298" t="s">
        <v>31</v>
      </c>
      <c r="H298" t="s">
        <v>252</v>
      </c>
      <c r="I298" t="s">
        <v>135</v>
      </c>
      <c r="J298" t="s">
        <v>39</v>
      </c>
      <c r="K298" t="s">
        <v>31</v>
      </c>
      <c r="L298">
        <v>44.645800000000001</v>
      </c>
      <c r="M298">
        <v>0</v>
      </c>
      <c r="N298" s="2">
        <v>0.81670651997087551</v>
      </c>
      <c r="O298" s="2">
        <v>3.1364369911764678</v>
      </c>
      <c r="P298" s="1">
        <v>0.87892520177383748</v>
      </c>
      <c r="Q298" s="1">
        <v>2.0801417060437122</v>
      </c>
      <c r="R298" s="1">
        <v>-0.65956197763071533</v>
      </c>
      <c r="S298" s="19">
        <v>217.08074494807943</v>
      </c>
      <c r="T298" s="19">
        <v>432.32462878354642</v>
      </c>
      <c r="U298" s="19">
        <v>764.77179171096907</v>
      </c>
      <c r="V298" s="19">
        <v>1239.4033170217313</v>
      </c>
      <c r="W298" s="19">
        <v>1874.2805327902763</v>
      </c>
      <c r="X298" s="19">
        <v>2674.4380450469653</v>
      </c>
      <c r="Y298" s="19">
        <v>3624.5097103681942</v>
      </c>
      <c r="Z298" s="19">
        <v>4681.2885725938186</v>
      </c>
      <c r="AA298" s="19">
        <v>5768.5243489776158</v>
      </c>
      <c r="AB298" s="19">
        <v>6777.2914248056295</v>
      </c>
      <c r="AC298" s="19">
        <v>7575.5469198786132</v>
      </c>
      <c r="AD298" s="19">
        <v>8029.137477316066</v>
      </c>
      <c r="AE298" s="19">
        <v>8032.8262305492526</v>
      </c>
      <c r="AF298" s="19">
        <v>7544.2759451237916</v>
      </c>
      <c r="AG298" s="19">
        <v>6608.5633902907002</v>
      </c>
      <c r="AH298" s="19">
        <v>5444.987631557573</v>
      </c>
      <c r="AI298" s="19">
        <v>4148.4079591276777</v>
      </c>
      <c r="AJ298" s="19">
        <v>2008.3709117598437</v>
      </c>
      <c r="AK298" s="19">
        <v>0</v>
      </c>
      <c r="AL298" s="19">
        <v>0</v>
      </c>
      <c r="AM298" s="19">
        <v>0</v>
      </c>
      <c r="AN298" s="19">
        <v>0</v>
      </c>
      <c r="AO298" s="19">
        <v>0</v>
      </c>
      <c r="AP298" s="19">
        <v>0</v>
      </c>
      <c r="AQ298" s="19">
        <v>0</v>
      </c>
      <c r="AR298" s="19">
        <v>77446.029582650357</v>
      </c>
    </row>
    <row r="299" spans="1:44" x14ac:dyDescent="0.25">
      <c r="A299" t="s">
        <v>250</v>
      </c>
      <c r="B299" t="s">
        <v>259</v>
      </c>
      <c r="C299" t="s">
        <v>43</v>
      </c>
      <c r="D299" t="s">
        <v>260</v>
      </c>
      <c r="E299" t="s">
        <v>134</v>
      </c>
      <c r="F299" t="s">
        <v>260</v>
      </c>
      <c r="G299" t="s">
        <v>31</v>
      </c>
      <c r="H299" t="s">
        <v>253</v>
      </c>
      <c r="I299" t="s">
        <v>135</v>
      </c>
      <c r="J299" t="s">
        <v>39</v>
      </c>
      <c r="K299" t="s">
        <v>31</v>
      </c>
      <c r="L299">
        <v>44.645800000000001</v>
      </c>
      <c r="M299">
        <v>0</v>
      </c>
      <c r="N299" s="2">
        <v>0.81670651997087551</v>
      </c>
      <c r="O299" s="2">
        <v>3.1364369911764678</v>
      </c>
      <c r="P299" s="1">
        <v>0.87892520177383748</v>
      </c>
      <c r="Q299" s="1">
        <v>2.0801417060437122</v>
      </c>
      <c r="R299" s="1">
        <v>-0.65956197763071533</v>
      </c>
      <c r="S299" s="19">
        <v>7.6912139224534988</v>
      </c>
      <c r="T299" s="19">
        <v>15.311197797885278</v>
      </c>
      <c r="U299" s="19">
        <v>27.074263575194735</v>
      </c>
      <c r="V299" s="19">
        <v>43.859436533254289</v>
      </c>
      <c r="W299" s="19">
        <v>66.29955146529511</v>
      </c>
      <c r="X299" s="19">
        <v>94.565808421424165</v>
      </c>
      <c r="Y299" s="19">
        <v>128.10806385647984</v>
      </c>
      <c r="Z299" s="19">
        <v>165.39341541264267</v>
      </c>
      <c r="AA299" s="19">
        <v>203.72444072296705</v>
      </c>
      <c r="AB299" s="19">
        <v>239.25452865480105</v>
      </c>
      <c r="AC299" s="19">
        <v>267.32747760933057</v>
      </c>
      <c r="AD299" s="19">
        <v>283.22012123625558</v>
      </c>
      <c r="AE299" s="19">
        <v>283.23647745638237</v>
      </c>
      <c r="AF299" s="19">
        <v>265.90345445860464</v>
      </c>
      <c r="AG299" s="19">
        <v>232.8300742121134</v>
      </c>
      <c r="AH299" s="19">
        <v>191.75845240487536</v>
      </c>
      <c r="AI299" s="19">
        <v>146.03759739707058</v>
      </c>
      <c r="AJ299" s="19">
        <v>56.014817455268449</v>
      </c>
      <c r="AK299" s="19">
        <v>0</v>
      </c>
      <c r="AL299" s="19">
        <v>0</v>
      </c>
      <c r="AM299" s="19">
        <v>0</v>
      </c>
      <c r="AN299" s="19">
        <v>0</v>
      </c>
      <c r="AO299" s="19">
        <v>0</v>
      </c>
      <c r="AP299" s="19">
        <v>0</v>
      </c>
      <c r="AQ299" s="19">
        <v>0</v>
      </c>
      <c r="AR299" s="19">
        <v>2717.6103925922976</v>
      </c>
    </row>
    <row r="300" spans="1:44" x14ac:dyDescent="0.25">
      <c r="A300" t="s">
        <v>250</v>
      </c>
      <c r="B300" t="s">
        <v>259</v>
      </c>
      <c r="C300" t="s">
        <v>43</v>
      </c>
      <c r="D300" t="s">
        <v>260</v>
      </c>
      <c r="E300" t="s">
        <v>134</v>
      </c>
      <c r="F300" t="s">
        <v>260</v>
      </c>
      <c r="G300" t="s">
        <v>31</v>
      </c>
      <c r="H300" t="s">
        <v>254</v>
      </c>
      <c r="I300" t="s">
        <v>135</v>
      </c>
      <c r="J300" t="s">
        <v>39</v>
      </c>
      <c r="K300" t="s">
        <v>31</v>
      </c>
      <c r="L300">
        <v>44.645800000000001</v>
      </c>
      <c r="M300">
        <v>0</v>
      </c>
      <c r="N300" s="2">
        <v>0.81670651997087551</v>
      </c>
      <c r="O300" s="2">
        <v>3.1364369911764678</v>
      </c>
      <c r="P300" s="1">
        <v>0.87892520177383748</v>
      </c>
      <c r="Q300" s="1">
        <v>2.0801417060437122</v>
      </c>
      <c r="R300" s="1">
        <v>-0.65956197763071533</v>
      </c>
      <c r="S300" s="19">
        <v>49.873905980566839</v>
      </c>
      <c r="T300" s="19">
        <v>99.247369993149618</v>
      </c>
      <c r="U300" s="19">
        <v>175.42756745316643</v>
      </c>
      <c r="V300" s="19">
        <v>284.07668110851114</v>
      </c>
      <c r="W300" s="19">
        <v>429.25412420885175</v>
      </c>
      <c r="X300" s="19">
        <v>612.02529867521537</v>
      </c>
      <c r="Y300" s="19">
        <v>828.78723078654514</v>
      </c>
      <c r="Z300" s="19">
        <v>1069.5870792099861</v>
      </c>
      <c r="AA300" s="19">
        <v>1316.9594874164866</v>
      </c>
      <c r="AB300" s="19">
        <v>1546.0402517070645</v>
      </c>
      <c r="AC300" s="19">
        <v>1726.7743110969454</v>
      </c>
      <c r="AD300" s="19">
        <v>1828.7209136484676</v>
      </c>
      <c r="AE300" s="19">
        <v>1828.1164664562757</v>
      </c>
      <c r="AF300" s="19">
        <v>1715.5761662942789</v>
      </c>
      <c r="AG300" s="19">
        <v>1501.6075734133401</v>
      </c>
      <c r="AH300" s="19">
        <v>1236.2412712493467</v>
      </c>
      <c r="AI300" s="19">
        <v>941.11945257022171</v>
      </c>
      <c r="AJ300" s="19">
        <v>269.51219941827088</v>
      </c>
      <c r="AK300" s="19">
        <v>0</v>
      </c>
      <c r="AL300" s="19">
        <v>0</v>
      </c>
      <c r="AM300" s="19">
        <v>0</v>
      </c>
      <c r="AN300" s="19">
        <v>0</v>
      </c>
      <c r="AO300" s="19">
        <v>0</v>
      </c>
      <c r="AP300" s="19">
        <v>0</v>
      </c>
      <c r="AQ300" s="19">
        <v>0</v>
      </c>
      <c r="AR300" s="19">
        <v>17458.947350686685</v>
      </c>
    </row>
    <row r="301" spans="1:44" x14ac:dyDescent="0.25">
      <c r="A301" t="s">
        <v>250</v>
      </c>
      <c r="B301" t="s">
        <v>259</v>
      </c>
      <c r="C301" t="s">
        <v>43</v>
      </c>
      <c r="D301" t="s">
        <v>260</v>
      </c>
      <c r="E301" t="s">
        <v>134</v>
      </c>
      <c r="F301" t="s">
        <v>260</v>
      </c>
      <c r="G301" t="s">
        <v>31</v>
      </c>
      <c r="H301" t="s">
        <v>255</v>
      </c>
      <c r="I301" t="s">
        <v>135</v>
      </c>
      <c r="J301" t="s">
        <v>39</v>
      </c>
      <c r="K301" t="s">
        <v>31</v>
      </c>
      <c r="L301">
        <v>44.645800000000001</v>
      </c>
      <c r="M301">
        <v>0</v>
      </c>
      <c r="N301" s="2">
        <v>0.81670651997087551</v>
      </c>
      <c r="O301" s="2">
        <v>3.1364369911764678</v>
      </c>
      <c r="P301" s="1">
        <v>0.87892520177383748</v>
      </c>
      <c r="Q301" s="1">
        <v>2.0801417060437122</v>
      </c>
      <c r="R301" s="1">
        <v>-0.65956197763071533</v>
      </c>
      <c r="S301" s="19">
        <v>12.840482006233303</v>
      </c>
      <c r="T301" s="19">
        <v>25.436275767240065</v>
      </c>
      <c r="U301" s="19">
        <v>44.756790154713869</v>
      </c>
      <c r="V301" s="19">
        <v>72.147826122474655</v>
      </c>
      <c r="W301" s="19">
        <v>108.52473009556476</v>
      </c>
      <c r="X301" s="19">
        <v>154.03172738240869</v>
      </c>
      <c r="Y301" s="19">
        <v>207.63972065462684</v>
      </c>
      <c r="Z301" s="19">
        <v>266.75348749342322</v>
      </c>
      <c r="AA301" s="19">
        <v>326.95873678555142</v>
      </c>
      <c r="AB301" s="19">
        <v>382.09196201011088</v>
      </c>
      <c r="AC301" s="19">
        <v>424.82420893653983</v>
      </c>
      <c r="AD301" s="19">
        <v>447.86557644989358</v>
      </c>
      <c r="AE301" s="19">
        <v>445.68773785044681</v>
      </c>
      <c r="AF301" s="19">
        <v>416.3546339190035</v>
      </c>
      <c r="AG301" s="19">
        <v>362.77422403885583</v>
      </c>
      <c r="AH301" s="19">
        <v>297.31018244488178</v>
      </c>
      <c r="AI301" s="19">
        <v>34.546575180244389</v>
      </c>
      <c r="AJ301" s="19">
        <v>0</v>
      </c>
      <c r="AK301" s="19">
        <v>0</v>
      </c>
      <c r="AL301" s="19">
        <v>0</v>
      </c>
      <c r="AM301" s="19">
        <v>0</v>
      </c>
      <c r="AN301" s="19">
        <v>0</v>
      </c>
      <c r="AO301" s="19">
        <v>0</v>
      </c>
      <c r="AP301" s="19">
        <v>0</v>
      </c>
      <c r="AQ301" s="19">
        <v>0</v>
      </c>
      <c r="AR301" s="19">
        <v>4030.5448772922127</v>
      </c>
    </row>
    <row r="302" spans="1:44" x14ac:dyDescent="0.25">
      <c r="A302" t="s">
        <v>250</v>
      </c>
      <c r="B302" t="s">
        <v>259</v>
      </c>
      <c r="C302" t="s">
        <v>43</v>
      </c>
      <c r="D302" t="s">
        <v>260</v>
      </c>
      <c r="E302" t="s">
        <v>134</v>
      </c>
      <c r="F302" t="s">
        <v>260</v>
      </c>
      <c r="G302" t="s">
        <v>31</v>
      </c>
      <c r="H302" t="s">
        <v>253</v>
      </c>
      <c r="I302" t="s">
        <v>256</v>
      </c>
      <c r="J302" t="s">
        <v>39</v>
      </c>
      <c r="K302" t="s">
        <v>31</v>
      </c>
      <c r="L302">
        <v>44.645800000000001</v>
      </c>
      <c r="M302">
        <v>0</v>
      </c>
      <c r="N302" s="2">
        <v>0.69825038137686057</v>
      </c>
      <c r="O302" s="2">
        <v>2.6815242338601144</v>
      </c>
      <c r="P302" s="1">
        <v>1.125330756000142</v>
      </c>
      <c r="Q302" s="1">
        <v>0.4672931329656026</v>
      </c>
      <c r="R302" s="1">
        <v>-0.41315642340441067</v>
      </c>
      <c r="S302" s="19">
        <v>4.0345101903039797</v>
      </c>
      <c r="T302" s="19">
        <v>8.0316558821734532</v>
      </c>
      <c r="U302" s="19">
        <v>14.202100395389104</v>
      </c>
      <c r="V302" s="19">
        <v>23.006946031993557</v>
      </c>
      <c r="W302" s="19">
        <v>34.778153188331551</v>
      </c>
      <c r="X302" s="19">
        <v>49.60552671883849</v>
      </c>
      <c r="Y302" s="19">
        <v>67.200482823679479</v>
      </c>
      <c r="Z302" s="19">
        <v>86.758920843879366</v>
      </c>
      <c r="AA302" s="19">
        <v>106.86587844231929</v>
      </c>
      <c r="AB302" s="19">
        <v>125.50357377476858</v>
      </c>
      <c r="AC302" s="19">
        <v>140.22954548364058</v>
      </c>
      <c r="AD302" s="19">
        <v>148.56620512023079</v>
      </c>
      <c r="AE302" s="19">
        <v>148.57478495397899</v>
      </c>
      <c r="AF302" s="19">
        <v>139.48255860084697</v>
      </c>
      <c r="AG302" s="19">
        <v>122.1335560925795</v>
      </c>
      <c r="AH302" s="19">
        <v>100.58898869602564</v>
      </c>
      <c r="AI302" s="19">
        <v>76.60561529122559</v>
      </c>
      <c r="AJ302" s="19">
        <v>29.383183735344911</v>
      </c>
      <c r="AK302" s="19">
        <v>0</v>
      </c>
      <c r="AL302" s="19">
        <v>0</v>
      </c>
      <c r="AM302" s="19">
        <v>0</v>
      </c>
      <c r="AN302" s="19">
        <v>0</v>
      </c>
      <c r="AO302" s="19">
        <v>0</v>
      </c>
      <c r="AP302" s="19">
        <v>0</v>
      </c>
      <c r="AQ302" s="19">
        <v>0</v>
      </c>
      <c r="AR302" s="19">
        <v>1425.5521862655496</v>
      </c>
    </row>
    <row r="303" spans="1:44" x14ac:dyDescent="0.25">
      <c r="A303" t="s">
        <v>250</v>
      </c>
      <c r="B303" t="s">
        <v>259</v>
      </c>
      <c r="C303" t="s">
        <v>43</v>
      </c>
      <c r="D303" t="s">
        <v>260</v>
      </c>
      <c r="E303" t="s">
        <v>134</v>
      </c>
      <c r="F303" t="s">
        <v>260</v>
      </c>
      <c r="G303" t="s">
        <v>31</v>
      </c>
      <c r="H303" t="s">
        <v>253</v>
      </c>
      <c r="I303" t="s">
        <v>135</v>
      </c>
      <c r="J303" t="s">
        <v>40</v>
      </c>
      <c r="K303" t="s">
        <v>31</v>
      </c>
      <c r="L303">
        <v>44.645800000000001</v>
      </c>
      <c r="M303">
        <v>0</v>
      </c>
      <c r="N303" s="2">
        <v>0.81670651997087551</v>
      </c>
      <c r="O303" s="2">
        <v>1.9536742558690725</v>
      </c>
      <c r="P303" s="1">
        <v>0.87892520177383748</v>
      </c>
      <c r="Q303" s="1">
        <v>0.4672931329656026</v>
      </c>
      <c r="R303" s="1">
        <v>-0.51656197763071521</v>
      </c>
      <c r="S303" s="19">
        <v>4.0457383769642945</v>
      </c>
      <c r="T303" s="19">
        <v>8.0540082687539076</v>
      </c>
      <c r="U303" s="19">
        <v>14.241625350510342</v>
      </c>
      <c r="V303" s="19">
        <v>23.070975188532021</v>
      </c>
      <c r="W303" s="19">
        <v>34.874942036860936</v>
      </c>
      <c r="X303" s="19">
        <v>49.743580680065527</v>
      </c>
      <c r="Y303" s="19">
        <v>67.387504179238547</v>
      </c>
      <c r="Z303" s="19">
        <v>87.000374034411294</v>
      </c>
      <c r="AA303" s="19">
        <v>107.16329001749696</v>
      </c>
      <c r="AB303" s="19">
        <v>125.85285472497318</v>
      </c>
      <c r="AC303" s="19">
        <v>140.61980934163392</v>
      </c>
      <c r="AD303" s="19">
        <v>148.97967020119984</v>
      </c>
      <c r="AE303" s="19">
        <v>148.98827391293327</v>
      </c>
      <c r="AF303" s="19">
        <v>139.87074356753575</v>
      </c>
      <c r="AG303" s="19">
        <v>122.47345816262292</v>
      </c>
      <c r="AH303" s="19">
        <v>100.86893146175856</v>
      </c>
      <c r="AI303" s="19">
        <v>76.818811467997023</v>
      </c>
      <c r="AJ303" s="19">
        <v>29.464958190259008</v>
      </c>
      <c r="AK303" s="19">
        <v>0</v>
      </c>
      <c r="AL303" s="19">
        <v>0</v>
      </c>
      <c r="AM303" s="19">
        <v>0</v>
      </c>
      <c r="AN303" s="19">
        <v>0</v>
      </c>
      <c r="AO303" s="19">
        <v>0</v>
      </c>
      <c r="AP303" s="19">
        <v>0</v>
      </c>
      <c r="AQ303" s="19">
        <v>0</v>
      </c>
      <c r="AR303" s="19">
        <v>1429.5195491637471</v>
      </c>
    </row>
    <row r="304" spans="1:44" x14ac:dyDescent="0.25">
      <c r="A304" t="s">
        <v>250</v>
      </c>
      <c r="B304" t="s">
        <v>261</v>
      </c>
      <c r="C304" t="s">
        <v>43</v>
      </c>
      <c r="D304" t="s">
        <v>262</v>
      </c>
      <c r="E304" t="s">
        <v>134</v>
      </c>
      <c r="F304" t="s">
        <v>262</v>
      </c>
      <c r="G304" t="s">
        <v>31</v>
      </c>
      <c r="H304" t="s">
        <v>252</v>
      </c>
      <c r="I304" t="s">
        <v>135</v>
      </c>
      <c r="J304" t="s">
        <v>39</v>
      </c>
      <c r="K304" t="s">
        <v>31</v>
      </c>
      <c r="L304">
        <v>1.5016666666666667</v>
      </c>
      <c r="M304">
        <v>1</v>
      </c>
      <c r="N304" s="2">
        <v>1.5584917401472864</v>
      </c>
      <c r="O304" s="2">
        <v>2.9025603819605665</v>
      </c>
      <c r="P304" s="1">
        <v>-7.0871986976393714E-2</v>
      </c>
      <c r="Q304" s="1">
        <v>1.008786206068599</v>
      </c>
      <c r="R304" s="1">
        <v>-0.53800366640583275</v>
      </c>
      <c r="S304" s="19">
        <v>22.858468231704755</v>
      </c>
      <c r="T304" s="19">
        <v>45.523516123900592</v>
      </c>
      <c r="U304" s="19">
        <v>80.529996842927162</v>
      </c>
      <c r="V304" s="19">
        <v>130.50840301467929</v>
      </c>
      <c r="W304" s="19">
        <v>197.36058131888333</v>
      </c>
      <c r="X304" s="19">
        <v>281.6166726578644</v>
      </c>
      <c r="Y304" s="19">
        <v>381.65863162931714</v>
      </c>
      <c r="Z304" s="19">
        <v>492.93679246250917</v>
      </c>
      <c r="AA304" s="19">
        <v>607.42204752640737</v>
      </c>
      <c r="AB304" s="19">
        <v>713.64459693547394</v>
      </c>
      <c r="AC304" s="19">
        <v>797.70040704094299</v>
      </c>
      <c r="AD304" s="19">
        <v>845.46321230432613</v>
      </c>
      <c r="AE304" s="19">
        <v>845.85163573918942</v>
      </c>
      <c r="AF304" s="19">
        <v>794.40759273270737</v>
      </c>
      <c r="AG304" s="19">
        <v>695.8776392180589</v>
      </c>
      <c r="AH304" s="19">
        <v>573.35383121037739</v>
      </c>
      <c r="AI304" s="19">
        <v>436.8247933208051</v>
      </c>
      <c r="AJ304" s="19">
        <v>211.48021532228503</v>
      </c>
      <c r="AK304" s="19">
        <v>0</v>
      </c>
      <c r="AL304" s="19">
        <v>0</v>
      </c>
      <c r="AM304" s="19">
        <v>0</v>
      </c>
      <c r="AN304" s="19">
        <v>0</v>
      </c>
      <c r="AO304" s="19">
        <v>0</v>
      </c>
      <c r="AP304" s="19">
        <v>0</v>
      </c>
      <c r="AQ304" s="19">
        <v>0</v>
      </c>
      <c r="AR304" s="19">
        <v>8155.0190336323603</v>
      </c>
    </row>
    <row r="305" spans="1:44" x14ac:dyDescent="0.25">
      <c r="A305" t="s">
        <v>250</v>
      </c>
      <c r="B305" t="s">
        <v>261</v>
      </c>
      <c r="C305" t="s">
        <v>43</v>
      </c>
      <c r="D305" t="s">
        <v>262</v>
      </c>
      <c r="E305" t="s">
        <v>134</v>
      </c>
      <c r="F305" t="s">
        <v>262</v>
      </c>
      <c r="G305" t="s">
        <v>31</v>
      </c>
      <c r="H305" t="s">
        <v>254</v>
      </c>
      <c r="I305" t="s">
        <v>135</v>
      </c>
      <c r="J305" t="s">
        <v>39</v>
      </c>
      <c r="K305" t="s">
        <v>31</v>
      </c>
      <c r="L305">
        <v>1.5016666666666667</v>
      </c>
      <c r="M305">
        <v>1</v>
      </c>
      <c r="N305" s="2">
        <v>1.5584917401472864</v>
      </c>
      <c r="O305" s="2">
        <v>2.9025603819605665</v>
      </c>
      <c r="P305" s="1">
        <v>-7.0871986976393714E-2</v>
      </c>
      <c r="Q305" s="1">
        <v>1.008786206068599</v>
      </c>
      <c r="R305" s="1">
        <v>-0.53800366640583275</v>
      </c>
      <c r="S305" s="19">
        <v>5.6483672987386164</v>
      </c>
      <c r="T305" s="19">
        <v>11.240058065104192</v>
      </c>
      <c r="U305" s="19">
        <v>19.867690645401229</v>
      </c>
      <c r="V305" s="19">
        <v>32.172523975417654</v>
      </c>
      <c r="W305" s="19">
        <v>48.614298606864523</v>
      </c>
      <c r="X305" s="19">
        <v>69.31367445703583</v>
      </c>
      <c r="Y305" s="19">
        <v>93.862604100246401</v>
      </c>
      <c r="Z305" s="19">
        <v>121.13389883112526</v>
      </c>
      <c r="AA305" s="19">
        <v>149.14955538844902</v>
      </c>
      <c r="AB305" s="19">
        <v>175.09362919516315</v>
      </c>
      <c r="AC305" s="19">
        <v>195.56229574042752</v>
      </c>
      <c r="AD305" s="19">
        <v>207.10804987273656</v>
      </c>
      <c r="AE305" s="19">
        <v>207.03959444124257</v>
      </c>
      <c r="AF305" s="19">
        <v>194.29407273550461</v>
      </c>
      <c r="AG305" s="19">
        <v>170.0614970183203</v>
      </c>
      <c r="AH305" s="19">
        <v>140.00797877344243</v>
      </c>
      <c r="AI305" s="19">
        <v>106.58456031447996</v>
      </c>
      <c r="AJ305" s="19">
        <v>30.523053365791078</v>
      </c>
      <c r="AK305" s="19">
        <v>0</v>
      </c>
      <c r="AL305" s="19">
        <v>0</v>
      </c>
      <c r="AM305" s="19">
        <v>0</v>
      </c>
      <c r="AN305" s="19">
        <v>0</v>
      </c>
      <c r="AO305" s="19">
        <v>0</v>
      </c>
      <c r="AP305" s="19">
        <v>0</v>
      </c>
      <c r="AQ305" s="19">
        <v>0</v>
      </c>
      <c r="AR305" s="19">
        <v>1977.277402825491</v>
      </c>
    </row>
    <row r="306" spans="1:44" x14ac:dyDescent="0.25">
      <c r="A306" t="s">
        <v>250</v>
      </c>
      <c r="B306" t="s">
        <v>261</v>
      </c>
      <c r="C306" t="s">
        <v>43</v>
      </c>
      <c r="D306" t="s">
        <v>262</v>
      </c>
      <c r="E306" t="s">
        <v>134</v>
      </c>
      <c r="F306" t="s">
        <v>262</v>
      </c>
      <c r="G306" t="s">
        <v>31</v>
      </c>
      <c r="H306" t="s">
        <v>255</v>
      </c>
      <c r="I306" t="s">
        <v>135</v>
      </c>
      <c r="J306" t="s">
        <v>39</v>
      </c>
      <c r="K306" t="s">
        <v>31</v>
      </c>
      <c r="L306">
        <v>1.5016666666666667</v>
      </c>
      <c r="M306">
        <v>1</v>
      </c>
      <c r="N306" s="2">
        <v>1.5584917401472864</v>
      </c>
      <c r="O306" s="2">
        <v>2.9025603819605665</v>
      </c>
      <c r="P306" s="1">
        <v>-7.0871986976393714E-2</v>
      </c>
      <c r="Q306" s="1">
        <v>1.008786206068599</v>
      </c>
      <c r="R306" s="1">
        <v>-0.53800366640583275</v>
      </c>
      <c r="S306" s="19">
        <v>1.4542225486070806</v>
      </c>
      <c r="T306" s="19">
        <v>2.8807334300497343</v>
      </c>
      <c r="U306" s="19">
        <v>5.0688388032991814</v>
      </c>
      <c r="V306" s="19">
        <v>8.1709546050805208</v>
      </c>
      <c r="W306" s="19">
        <v>12.290746524145726</v>
      </c>
      <c r="X306" s="19">
        <v>17.444548503059327</v>
      </c>
      <c r="Y306" s="19">
        <v>23.515812226975005</v>
      </c>
      <c r="Z306" s="19">
        <v>30.210621084488949</v>
      </c>
      <c r="AA306" s="19">
        <v>37.029043556684464</v>
      </c>
      <c r="AB306" s="19">
        <v>43.273044308374814</v>
      </c>
      <c r="AC306" s="19">
        <v>48.112597605742621</v>
      </c>
      <c r="AD306" s="19">
        <v>50.722100595770264</v>
      </c>
      <c r="AE306" s="19">
        <v>50.475453935854759</v>
      </c>
      <c r="AF306" s="19">
        <v>47.153393195686881</v>
      </c>
      <c r="AG306" s="19">
        <v>41.085253372470291</v>
      </c>
      <c r="AH306" s="19">
        <v>33.671257125079016</v>
      </c>
      <c r="AI306" s="19">
        <v>3.9125017721198558</v>
      </c>
      <c r="AJ306" s="19">
        <v>0</v>
      </c>
      <c r="AK306" s="19">
        <v>0</v>
      </c>
      <c r="AL306" s="19">
        <v>0</v>
      </c>
      <c r="AM306" s="19">
        <v>0</v>
      </c>
      <c r="AN306" s="19">
        <v>0</v>
      </c>
      <c r="AO306" s="19">
        <v>0</v>
      </c>
      <c r="AP306" s="19">
        <v>0</v>
      </c>
      <c r="AQ306" s="19">
        <v>0</v>
      </c>
      <c r="AR306" s="19">
        <v>456.47112319348849</v>
      </c>
    </row>
    <row r="307" spans="1:44" x14ac:dyDescent="0.25">
      <c r="A307" t="s">
        <v>250</v>
      </c>
      <c r="B307" t="s">
        <v>263</v>
      </c>
      <c r="C307" t="s">
        <v>43</v>
      </c>
      <c r="D307" t="s">
        <v>264</v>
      </c>
      <c r="E307" t="s">
        <v>145</v>
      </c>
      <c r="F307" t="s">
        <v>265</v>
      </c>
      <c r="G307" t="s">
        <v>31</v>
      </c>
      <c r="H307" t="s">
        <v>252</v>
      </c>
      <c r="I307" t="s">
        <v>135</v>
      </c>
      <c r="J307" t="s">
        <v>39</v>
      </c>
      <c r="K307" t="s">
        <v>31</v>
      </c>
      <c r="L307">
        <v>0.36249999999999993</v>
      </c>
      <c r="M307">
        <v>1</v>
      </c>
      <c r="N307" s="2">
        <v>1.1290986548603958</v>
      </c>
      <c r="O307" s="2">
        <v>2.9025603819605679</v>
      </c>
      <c r="P307" s="1">
        <v>0.31276660789219263</v>
      </c>
      <c r="Q307" s="1">
        <v>1.3924248009371851</v>
      </c>
      <c r="R307" s="1">
        <v>-0.53800366640583286</v>
      </c>
      <c r="S307" s="19">
        <v>1.5673350552981062</v>
      </c>
      <c r="T307" s="19">
        <v>2.4017854715563898</v>
      </c>
      <c r="U307" s="19">
        <v>5.2248625084453506</v>
      </c>
      <c r="V307" s="19">
        <v>9.7950632000214686</v>
      </c>
      <c r="W307" s="19">
        <v>16.699315850813942</v>
      </c>
      <c r="X307" s="19">
        <v>26.541020366934433</v>
      </c>
      <c r="Y307" s="19">
        <v>39.864442970509309</v>
      </c>
      <c r="Z307" s="19">
        <v>57.051839966068336</v>
      </c>
      <c r="AA307" s="19">
        <v>78.201697147026593</v>
      </c>
      <c r="AB307" s="19">
        <v>103.00878240702554</v>
      </c>
      <c r="AC307" s="19">
        <v>145.9839149362831</v>
      </c>
      <c r="AD307" s="19">
        <v>184.79266925458504</v>
      </c>
      <c r="AE307" s="19">
        <v>218.53834127438512</v>
      </c>
      <c r="AF307" s="19">
        <v>249.88695826986057</v>
      </c>
      <c r="AG307" s="19">
        <v>276.78080167002292</v>
      </c>
      <c r="AH307" s="19">
        <v>297.73272098826061</v>
      </c>
      <c r="AI307" s="19">
        <v>312.1121738746026</v>
      </c>
      <c r="AJ307" s="19">
        <v>321.08085471100776</v>
      </c>
      <c r="AK307" s="19">
        <v>323.58744908522556</v>
      </c>
      <c r="AL307" s="19">
        <v>323.94503650706991</v>
      </c>
      <c r="AM307" s="19">
        <v>227.5281960541447</v>
      </c>
      <c r="AN307" s="19">
        <v>23.860873344584142</v>
      </c>
      <c r="AO307" s="19">
        <v>18.958286673341934</v>
      </c>
      <c r="AP307" s="19">
        <v>14.27112115346403</v>
      </c>
      <c r="AQ307" s="19">
        <v>10.097358853636155</v>
      </c>
      <c r="AR307" s="19">
        <v>3289.5129015941734</v>
      </c>
    </row>
    <row r="308" spans="1:44" x14ac:dyDescent="0.25">
      <c r="A308" t="s">
        <v>250</v>
      </c>
      <c r="B308" t="s">
        <v>263</v>
      </c>
      <c r="C308" t="s">
        <v>43</v>
      </c>
      <c r="D308" t="s">
        <v>264</v>
      </c>
      <c r="E308" t="s">
        <v>148</v>
      </c>
      <c r="F308" t="s">
        <v>265</v>
      </c>
      <c r="G308" t="s">
        <v>31</v>
      </c>
      <c r="H308" t="s">
        <v>252</v>
      </c>
      <c r="I308" t="s">
        <v>135</v>
      </c>
      <c r="J308" t="s">
        <v>39</v>
      </c>
      <c r="K308" t="s">
        <v>31</v>
      </c>
      <c r="L308">
        <v>0.36249999999999993</v>
      </c>
      <c r="M308">
        <v>1</v>
      </c>
      <c r="N308" s="2">
        <v>1.1290986548603958</v>
      </c>
      <c r="O308" s="2">
        <v>2.9025603819605679</v>
      </c>
      <c r="P308" s="1">
        <v>0.31276660789219263</v>
      </c>
      <c r="Q308" s="1">
        <v>1.3924248009371851</v>
      </c>
      <c r="R308" s="1">
        <v>-0.53800366640583286</v>
      </c>
      <c r="S308" s="19">
        <v>0.17775930782225136</v>
      </c>
      <c r="T308" s="19">
        <v>0.36260620854603515</v>
      </c>
      <c r="U308" s="19">
        <v>0.79771997883514667</v>
      </c>
      <c r="V308" s="19">
        <v>1.5124292750031625</v>
      </c>
      <c r="W308" s="19">
        <v>2.6078118636839238</v>
      </c>
      <c r="X308" s="19">
        <v>4.1920100760075751</v>
      </c>
      <c r="Y308" s="19">
        <v>6.3684650795213749</v>
      </c>
      <c r="Z308" s="19">
        <v>9.2189233594414954</v>
      </c>
      <c r="AA308" s="19">
        <v>12.782187304094512</v>
      </c>
      <c r="AB308" s="19">
        <v>17.031721153833335</v>
      </c>
      <c r="AC308" s="19">
        <v>21.857753008503263</v>
      </c>
      <c r="AD308" s="19">
        <v>27.061436239605538</v>
      </c>
      <c r="AE308" s="19">
        <v>32.368396014725448</v>
      </c>
      <c r="AF308" s="19">
        <v>37.465086141825218</v>
      </c>
      <c r="AG308" s="19">
        <v>42.053580040867359</v>
      </c>
      <c r="AH308" s="19">
        <v>45.911016284285118</v>
      </c>
      <c r="AI308" s="19">
        <v>48.933829390799389</v>
      </c>
      <c r="AJ308" s="19">
        <v>51.289862432181067</v>
      </c>
      <c r="AK308" s="19">
        <v>52.785805863303622</v>
      </c>
      <c r="AL308" s="19">
        <v>54.087469665603322</v>
      </c>
      <c r="AM308" s="19">
        <v>54.751863049128374</v>
      </c>
      <c r="AN308" s="19">
        <v>55.204651151291607</v>
      </c>
      <c r="AO308" s="19">
        <v>55.663113461753547</v>
      </c>
      <c r="AP308" s="19">
        <v>56.127311405812328</v>
      </c>
      <c r="AQ308" s="19">
        <v>56.597307105768856</v>
      </c>
      <c r="AR308" s="19">
        <v>747.2101148622429</v>
      </c>
    </row>
    <row r="309" spans="1:44" x14ac:dyDescent="0.25">
      <c r="A309" t="s">
        <v>250</v>
      </c>
      <c r="B309" t="s">
        <v>263</v>
      </c>
      <c r="C309" t="s">
        <v>43</v>
      </c>
      <c r="D309" t="s">
        <v>264</v>
      </c>
      <c r="E309" t="s">
        <v>145</v>
      </c>
      <c r="F309" t="s">
        <v>265</v>
      </c>
      <c r="G309" t="s">
        <v>31</v>
      </c>
      <c r="H309" t="s">
        <v>254</v>
      </c>
      <c r="I309" t="s">
        <v>135</v>
      </c>
      <c r="J309" t="s">
        <v>39</v>
      </c>
      <c r="K309" t="s">
        <v>31</v>
      </c>
      <c r="L309">
        <v>0.36249999999999993</v>
      </c>
      <c r="M309">
        <v>1</v>
      </c>
      <c r="N309" s="2">
        <v>1.1290986548603958</v>
      </c>
      <c r="O309" s="2">
        <v>2.9025603819605679</v>
      </c>
      <c r="P309" s="1">
        <v>0.31276660789219263</v>
      </c>
      <c r="Q309" s="1">
        <v>1.3924248009371851</v>
      </c>
      <c r="R309" s="1">
        <v>-0.53800366640583286</v>
      </c>
      <c r="S309" s="19">
        <v>0.30385676611114876</v>
      </c>
      <c r="T309" s="19">
        <v>0.46526269119188834</v>
      </c>
      <c r="U309" s="19">
        <v>1.0113368509439993</v>
      </c>
      <c r="V309" s="19">
        <v>1.8944587747134805</v>
      </c>
      <c r="W309" s="19">
        <v>3.2272569618640148</v>
      </c>
      <c r="X309" s="19">
        <v>5.1251836655463139</v>
      </c>
      <c r="Y309" s="19">
        <v>7.6919148671039101</v>
      </c>
      <c r="Z309" s="19">
        <v>10.999561568079701</v>
      </c>
      <c r="AA309" s="19">
        <v>15.065336921985285</v>
      </c>
      <c r="AB309" s="19">
        <v>19.828683233374569</v>
      </c>
      <c r="AC309" s="19">
        <v>28.102339738804236</v>
      </c>
      <c r="AD309" s="19">
        <v>35.80933298773671</v>
      </c>
      <c r="AE309" s="19">
        <v>42.315855309711459</v>
      </c>
      <c r="AF309" s="19">
        <v>48.346533434982661</v>
      </c>
      <c r="AG309" s="19">
        <v>53.503131573226511</v>
      </c>
      <c r="AH309" s="19">
        <v>57.498776942227238</v>
      </c>
      <c r="AI309" s="19">
        <v>60.213054809091389</v>
      </c>
      <c r="AJ309" s="19">
        <v>61.871952580927264</v>
      </c>
      <c r="AK309" s="19">
        <v>62.275394376475646</v>
      </c>
      <c r="AL309" s="19">
        <v>62.256624285782181</v>
      </c>
      <c r="AM309" s="19">
        <v>39.659331867488056</v>
      </c>
      <c r="AN309" s="19">
        <v>4.8320419144805546</v>
      </c>
      <c r="AO309" s="19">
        <v>3.8365746036846273</v>
      </c>
      <c r="AP309" s="19">
        <v>2.8860676181846743</v>
      </c>
      <c r="AQ309" s="19">
        <v>2.0406272007149528</v>
      </c>
      <c r="AR309" s="19">
        <v>631.06049154443258</v>
      </c>
    </row>
    <row r="310" spans="1:44" x14ac:dyDescent="0.25">
      <c r="A310" t="s">
        <v>250</v>
      </c>
      <c r="B310" t="s">
        <v>263</v>
      </c>
      <c r="C310" t="s">
        <v>43</v>
      </c>
      <c r="D310" t="s">
        <v>264</v>
      </c>
      <c r="E310" t="s">
        <v>148</v>
      </c>
      <c r="F310" t="s">
        <v>265</v>
      </c>
      <c r="G310" t="s">
        <v>31</v>
      </c>
      <c r="H310" t="s">
        <v>254</v>
      </c>
      <c r="I310" t="s">
        <v>135</v>
      </c>
      <c r="J310" t="s">
        <v>39</v>
      </c>
      <c r="K310" t="s">
        <v>31</v>
      </c>
      <c r="L310">
        <v>0.36249999999999993</v>
      </c>
      <c r="M310">
        <v>1</v>
      </c>
      <c r="N310" s="2">
        <v>1.1290986548603958</v>
      </c>
      <c r="O310" s="2">
        <v>2.9025603819605679</v>
      </c>
      <c r="P310" s="1">
        <v>0.31276660789219263</v>
      </c>
      <c r="Q310" s="1">
        <v>1.3924248009371851</v>
      </c>
      <c r="R310" s="1">
        <v>-0.53800366640583286</v>
      </c>
      <c r="S310" s="19">
        <v>3.4461915618133221E-2</v>
      </c>
      <c r="T310" s="19">
        <v>7.3974453664842191E-2</v>
      </c>
      <c r="U310" s="19">
        <v>0.16261471295953642</v>
      </c>
      <c r="V310" s="19">
        <v>0.30807118854985699</v>
      </c>
      <c r="W310" s="19">
        <v>0.53078995774587168</v>
      </c>
      <c r="X310" s="19">
        <v>0.8525953654493732</v>
      </c>
      <c r="Y310" s="19">
        <v>1.2942953550483585</v>
      </c>
      <c r="Z310" s="19">
        <v>1.8722357922972468</v>
      </c>
      <c r="AA310" s="19">
        <v>2.5940059371553592</v>
      </c>
      <c r="AB310" s="19">
        <v>3.4539296777970265</v>
      </c>
      <c r="AC310" s="19">
        <v>4.4294859574817185</v>
      </c>
      <c r="AD310" s="19">
        <v>5.4801847479525261</v>
      </c>
      <c r="AE310" s="19">
        <v>6.5503686198986779</v>
      </c>
      <c r="AF310" s="19">
        <v>7.5766136916422671</v>
      </c>
      <c r="AG310" s="19">
        <v>8.4988243522645828</v>
      </c>
      <c r="AH310" s="19">
        <v>9.2722228704438052</v>
      </c>
      <c r="AI310" s="19">
        <v>9.8762214193720634</v>
      </c>
      <c r="AJ310" s="19">
        <v>10.345020858332536</v>
      </c>
      <c r="AK310" s="19">
        <v>10.639929640809958</v>
      </c>
      <c r="AL310" s="19">
        <v>10.895409253663765</v>
      </c>
      <c r="AM310" s="19">
        <v>11.022359350045225</v>
      </c>
      <c r="AN310" s="19">
        <v>11.106662881621522</v>
      </c>
      <c r="AO310" s="19">
        <v>11.192088166282552</v>
      </c>
      <c r="AP310" s="19">
        <v>11.278646992508367</v>
      </c>
      <c r="AQ310" s="19">
        <v>11.366351284529449</v>
      </c>
      <c r="AR310" s="19">
        <v>150.70736444313462</v>
      </c>
    </row>
    <row r="311" spans="1:44" x14ac:dyDescent="0.25">
      <c r="A311" t="s">
        <v>250</v>
      </c>
      <c r="B311" t="s">
        <v>263</v>
      </c>
      <c r="C311" t="s">
        <v>43</v>
      </c>
      <c r="D311" t="s">
        <v>264</v>
      </c>
      <c r="E311" t="s">
        <v>145</v>
      </c>
      <c r="F311" t="s">
        <v>265</v>
      </c>
      <c r="G311" t="s">
        <v>31</v>
      </c>
      <c r="H311" t="s">
        <v>255</v>
      </c>
      <c r="I311" t="s">
        <v>135</v>
      </c>
      <c r="J311" t="s">
        <v>39</v>
      </c>
      <c r="K311" t="s">
        <v>31</v>
      </c>
      <c r="L311">
        <v>0.36249999999999993</v>
      </c>
      <c r="M311">
        <v>1</v>
      </c>
      <c r="N311" s="2">
        <v>1.1290986548603958</v>
      </c>
      <c r="O311" s="2">
        <v>2.9025603819605679</v>
      </c>
      <c r="P311" s="1">
        <v>0.31276660789219263</v>
      </c>
      <c r="Q311" s="1">
        <v>1.3924248009371851</v>
      </c>
      <c r="R311" s="1">
        <v>-0.53800366640583286</v>
      </c>
      <c r="S311" s="19">
        <v>7.8230635058796377E-2</v>
      </c>
      <c r="T311" s="19">
        <v>0.11924295946766132</v>
      </c>
      <c r="U311" s="19">
        <v>0.25802211060991764</v>
      </c>
      <c r="V311" s="19">
        <v>0.4811415063738208</v>
      </c>
      <c r="W311" s="19">
        <v>0.81592038604367167</v>
      </c>
      <c r="X311" s="19">
        <v>1.2898827791351457</v>
      </c>
      <c r="Y311" s="19">
        <v>1.927089360183414</v>
      </c>
      <c r="Z311" s="19">
        <v>2.7432749200290569</v>
      </c>
      <c r="AA311" s="19">
        <v>3.740239222486633</v>
      </c>
      <c r="AB311" s="19">
        <v>4.9005066151101806</v>
      </c>
      <c r="AC311" s="19">
        <v>6.9477226774548067</v>
      </c>
      <c r="AD311" s="19">
        <v>9.2059958524515952</v>
      </c>
      <c r="AE311" s="19">
        <v>10.83042816861715</v>
      </c>
      <c r="AF311" s="19">
        <v>12.316163304043121</v>
      </c>
      <c r="AG311" s="19">
        <v>13.56175888704192</v>
      </c>
      <c r="AH311" s="19">
        <v>14.495578291514612</v>
      </c>
      <c r="AI311" s="19">
        <v>15.089443652087461</v>
      </c>
      <c r="AJ311" s="19">
        <v>15.402898219268939</v>
      </c>
      <c r="AK311" s="19">
        <v>15.389933047375916</v>
      </c>
      <c r="AL311" s="19">
        <v>15.261179089713041</v>
      </c>
      <c r="AM311" s="19">
        <v>4.2173529930787881</v>
      </c>
      <c r="AN311" s="19">
        <v>1.5323693176349784</v>
      </c>
      <c r="AO311" s="19">
        <v>1.2118691380611617</v>
      </c>
      <c r="AP311" s="19">
        <v>0.90807149266315401</v>
      </c>
      <c r="AQ311" s="19">
        <v>0.63958868954836801</v>
      </c>
      <c r="AR311" s="19">
        <v>153.36390331505328</v>
      </c>
    </row>
    <row r="312" spans="1:44" x14ac:dyDescent="0.25">
      <c r="A312" t="s">
        <v>250</v>
      </c>
      <c r="B312" t="s">
        <v>263</v>
      </c>
      <c r="C312" t="s">
        <v>43</v>
      </c>
      <c r="D312" t="s">
        <v>264</v>
      </c>
      <c r="E312" t="s">
        <v>148</v>
      </c>
      <c r="F312" t="s">
        <v>265</v>
      </c>
      <c r="G312" t="s">
        <v>31</v>
      </c>
      <c r="H312" t="s">
        <v>255</v>
      </c>
      <c r="I312" t="s">
        <v>135</v>
      </c>
      <c r="J312" t="s">
        <v>39</v>
      </c>
      <c r="K312" t="s">
        <v>31</v>
      </c>
      <c r="L312">
        <v>0.36249999999999993</v>
      </c>
      <c r="M312">
        <v>1</v>
      </c>
      <c r="N312" s="2">
        <v>1.1290986548603958</v>
      </c>
      <c r="O312" s="2">
        <v>2.9025603819605679</v>
      </c>
      <c r="P312" s="1">
        <v>0.31276660789219263</v>
      </c>
      <c r="Q312" s="1">
        <v>1.3924248009371851</v>
      </c>
      <c r="R312" s="1">
        <v>-0.53800366640583286</v>
      </c>
      <c r="S312" s="19">
        <v>8.8725276012548791E-3</v>
      </c>
      <c r="T312" s="19">
        <v>2.4476091616814709E-2</v>
      </c>
      <c r="U312" s="19">
        <v>5.3564564492065495E-2</v>
      </c>
      <c r="V312" s="19">
        <v>0.10102954246923844</v>
      </c>
      <c r="W312" s="19">
        <v>0.17330923989308783</v>
      </c>
      <c r="X312" s="19">
        <v>0.27718255180262602</v>
      </c>
      <c r="Y312" s="19">
        <v>0.41898880346211714</v>
      </c>
      <c r="Z312" s="19">
        <v>0.60352864428340836</v>
      </c>
      <c r="AA312" s="19">
        <v>0.83271971590451355</v>
      </c>
      <c r="AB312" s="19">
        <v>1.1042162343478354</v>
      </c>
      <c r="AC312" s="19">
        <v>1.4103565804206808</v>
      </c>
      <c r="AD312" s="19">
        <v>1.7379126901957718</v>
      </c>
      <c r="AE312" s="19">
        <v>2.0690825523777625</v>
      </c>
      <c r="AF312" s="19">
        <v>2.3839035720962229</v>
      </c>
      <c r="AG312" s="19">
        <v>2.663765301306479</v>
      </c>
      <c r="AH312" s="19">
        <v>2.8951201255100374</v>
      </c>
      <c r="AI312" s="19">
        <v>3.07214122520142</v>
      </c>
      <c r="AJ312" s="19">
        <v>3.2060575481508038</v>
      </c>
      <c r="AK312" s="19">
        <v>3.285414537367493</v>
      </c>
      <c r="AL312" s="19">
        <v>3.3521872036678682</v>
      </c>
      <c r="AM312" s="19">
        <v>3.3792033502337926</v>
      </c>
      <c r="AN312" s="19">
        <v>3.3931266004385412</v>
      </c>
      <c r="AO312" s="19">
        <v>3.4074217400750046</v>
      </c>
      <c r="AP312" s="19">
        <v>3.4220909978799647</v>
      </c>
      <c r="AQ312" s="19">
        <v>3.4371366450597742</v>
      </c>
      <c r="AR312" s="19">
        <v>46.712808585854575</v>
      </c>
    </row>
    <row r="313" spans="1:44" x14ac:dyDescent="0.25">
      <c r="A313" t="s">
        <v>250</v>
      </c>
      <c r="B313" t="s">
        <v>266</v>
      </c>
      <c r="C313" t="s">
        <v>43</v>
      </c>
      <c r="D313" t="s">
        <v>264</v>
      </c>
      <c r="E313" t="s">
        <v>145</v>
      </c>
      <c r="F313" t="s">
        <v>267</v>
      </c>
      <c r="G313" t="s">
        <v>31</v>
      </c>
      <c r="H313" t="s">
        <v>252</v>
      </c>
      <c r="I313" t="s">
        <v>135</v>
      </c>
      <c r="J313" t="s">
        <v>39</v>
      </c>
      <c r="K313" t="s">
        <v>31</v>
      </c>
      <c r="L313">
        <v>1.1475</v>
      </c>
      <c r="M313">
        <v>1</v>
      </c>
      <c r="N313" s="2">
        <v>1.9435945825335712</v>
      </c>
      <c r="O313" s="2">
        <v>2.5395240143327231</v>
      </c>
      <c r="P313" s="1">
        <v>-0.2335376618596588</v>
      </c>
      <c r="Q313" s="1">
        <v>0.70773230705298595</v>
      </c>
      <c r="R313" s="1">
        <v>-0.39961544227348511</v>
      </c>
      <c r="S313" s="19">
        <v>1.612893007557838</v>
      </c>
      <c r="T313" s="19">
        <v>2.4715985134336869</v>
      </c>
      <c r="U313" s="19">
        <v>5.3767343343952527</v>
      </c>
      <c r="V313" s="19">
        <v>10.079777703240918</v>
      </c>
      <c r="W313" s="19">
        <v>17.184717253487769</v>
      </c>
      <c r="X313" s="19">
        <v>27.312492002634801</v>
      </c>
      <c r="Y313" s="19">
        <v>41.02318843694426</v>
      </c>
      <c r="Z313" s="19">
        <v>58.710173959631462</v>
      </c>
      <c r="AA313" s="19">
        <v>80.47479706475707</v>
      </c>
      <c r="AB313" s="19">
        <v>106.00295342066356</v>
      </c>
      <c r="AC313" s="19">
        <v>150.22725027474456</v>
      </c>
      <c r="AD313" s="19">
        <v>190.16406420641141</v>
      </c>
      <c r="AE313" s="19">
        <v>224.89062650213151</v>
      </c>
      <c r="AF313" s="19">
        <v>257.15045823223619</v>
      </c>
      <c r="AG313" s="19">
        <v>284.82602882567716</v>
      </c>
      <c r="AH313" s="19">
        <v>306.38696057991143</v>
      </c>
      <c r="AI313" s="19">
        <v>321.18438308028237</v>
      </c>
      <c r="AJ313" s="19">
        <v>330.41375784552974</v>
      </c>
      <c r="AK313" s="19">
        <v>332.99321175699134</v>
      </c>
      <c r="AL313" s="19">
        <v>333.36119322357939</v>
      </c>
      <c r="AM313" s="19">
        <v>234.14179067677449</v>
      </c>
      <c r="AN313" s="19">
        <v>24.554440763390652</v>
      </c>
      <c r="AO313" s="19">
        <v>19.509349904060112</v>
      </c>
      <c r="AP313" s="19">
        <v>14.685941873516578</v>
      </c>
      <c r="AQ313" s="19">
        <v>10.390860227862641</v>
      </c>
      <c r="AR313" s="19">
        <v>3385.1296436698462</v>
      </c>
    </row>
    <row r="314" spans="1:44" x14ac:dyDescent="0.25">
      <c r="A314" t="s">
        <v>250</v>
      </c>
      <c r="B314" t="s">
        <v>266</v>
      </c>
      <c r="C314" t="s">
        <v>43</v>
      </c>
      <c r="D314" t="s">
        <v>264</v>
      </c>
      <c r="E314" t="s">
        <v>148</v>
      </c>
      <c r="F314" t="s">
        <v>267</v>
      </c>
      <c r="G314" t="s">
        <v>31</v>
      </c>
      <c r="H314" t="s">
        <v>252</v>
      </c>
      <c r="I314" t="s">
        <v>135</v>
      </c>
      <c r="J314" t="s">
        <v>39</v>
      </c>
      <c r="K314" t="s">
        <v>31</v>
      </c>
      <c r="L314">
        <v>1.1475</v>
      </c>
      <c r="M314">
        <v>1</v>
      </c>
      <c r="N314" s="2">
        <v>1.9435945825335712</v>
      </c>
      <c r="O314" s="2">
        <v>2.5395240143327231</v>
      </c>
      <c r="P314" s="1">
        <v>-0.2335376618596588</v>
      </c>
      <c r="Q314" s="1">
        <v>0.70773230705298595</v>
      </c>
      <c r="R314" s="1">
        <v>-0.39961544227348511</v>
      </c>
      <c r="S314" s="19">
        <v>0.18292626305120127</v>
      </c>
      <c r="T314" s="19">
        <v>0.37314613508068439</v>
      </c>
      <c r="U314" s="19">
        <v>0.82090741957384261</v>
      </c>
      <c r="V314" s="19">
        <v>1.5563912730927851</v>
      </c>
      <c r="W314" s="19">
        <v>2.6836135041732812</v>
      </c>
      <c r="X314" s="19">
        <v>4.3138598325541997</v>
      </c>
      <c r="Y314" s="19">
        <v>6.5535781649971669</v>
      </c>
      <c r="Z314" s="19">
        <v>9.4868911234979674</v>
      </c>
      <c r="AA314" s="19">
        <v>13.153728970955353</v>
      </c>
      <c r="AB314" s="19">
        <v>17.526784629000627</v>
      </c>
      <c r="AC314" s="19">
        <v>22.493095441954424</v>
      </c>
      <c r="AD314" s="19">
        <v>27.84803487792237</v>
      </c>
      <c r="AE314" s="19">
        <v>33.309252811986632</v>
      </c>
      <c r="AF314" s="19">
        <v>38.554089160092659</v>
      </c>
      <c r="AG314" s="19">
        <v>43.275957467682616</v>
      </c>
      <c r="AH314" s="19">
        <v>47.245518362194282</v>
      </c>
      <c r="AI314" s="19">
        <v>50.356196009689214</v>
      </c>
      <c r="AJ314" s="19">
        <v>52.780712200515431</v>
      </c>
      <c r="AK314" s="19">
        <v>54.320138433345235</v>
      </c>
      <c r="AL314" s="19">
        <v>55.659637883589475</v>
      </c>
      <c r="AM314" s="19">
        <v>56.343343284634955</v>
      </c>
      <c r="AN314" s="19">
        <v>56.809292643335155</v>
      </c>
      <c r="AO314" s="19">
        <v>57.281081143358342</v>
      </c>
      <c r="AP314" s="19">
        <v>57.75877199546062</v>
      </c>
      <c r="AQ314" s="19">
        <v>58.242429127660706</v>
      </c>
      <c r="AR314" s="19">
        <v>768.92937815939922</v>
      </c>
    </row>
    <row r="315" spans="1:44" x14ac:dyDescent="0.25">
      <c r="A315" t="s">
        <v>250</v>
      </c>
      <c r="B315" t="s">
        <v>266</v>
      </c>
      <c r="C315" t="s">
        <v>43</v>
      </c>
      <c r="D315" t="s">
        <v>264</v>
      </c>
      <c r="E315" t="s">
        <v>145</v>
      </c>
      <c r="F315" t="s">
        <v>267</v>
      </c>
      <c r="G315" t="s">
        <v>31</v>
      </c>
      <c r="H315" t="s">
        <v>254</v>
      </c>
      <c r="I315" t="s">
        <v>135</v>
      </c>
      <c r="J315" t="s">
        <v>39</v>
      </c>
      <c r="K315" t="s">
        <v>31</v>
      </c>
      <c r="L315">
        <v>1.1475</v>
      </c>
      <c r="M315">
        <v>1</v>
      </c>
      <c r="N315" s="2">
        <v>1.9435945825335712</v>
      </c>
      <c r="O315" s="2">
        <v>2.5395240143327231</v>
      </c>
      <c r="P315" s="1">
        <v>-0.2335376618596588</v>
      </c>
      <c r="Q315" s="1">
        <v>0.70773230705298595</v>
      </c>
      <c r="R315" s="1">
        <v>-0.39961544227348511</v>
      </c>
      <c r="S315" s="19">
        <v>0.6766160445232039</v>
      </c>
      <c r="T315" s="19">
        <v>1.0360282767681499</v>
      </c>
      <c r="U315" s="19">
        <v>2.2520042865064069</v>
      </c>
      <c r="V315" s="19">
        <v>4.2185047220242868</v>
      </c>
      <c r="W315" s="19">
        <v>7.1863262027795374</v>
      </c>
      <c r="X315" s="19">
        <v>11.412553169766808</v>
      </c>
      <c r="Y315" s="19">
        <v>17.128047134830993</v>
      </c>
      <c r="Z315" s="19">
        <v>24.493381980380612</v>
      </c>
      <c r="AA315" s="19">
        <v>33.546887265410994</v>
      </c>
      <c r="AB315" s="19">
        <v>44.153715545573341</v>
      </c>
      <c r="AC315" s="19">
        <v>62.577161599098922</v>
      </c>
      <c r="AD315" s="19">
        <v>79.738784669069446</v>
      </c>
      <c r="AE315" s="19">
        <v>94.227247287295654</v>
      </c>
      <c r="AF315" s="19">
        <v>107.65611915721156</v>
      </c>
      <c r="AG315" s="19">
        <v>119.13862481324161</v>
      </c>
      <c r="AH315" s="19">
        <v>128.03596746415957</v>
      </c>
      <c r="AI315" s="19">
        <v>134.08001241836249</v>
      </c>
      <c r="AJ315" s="19">
        <v>137.7739793588168</v>
      </c>
      <c r="AK315" s="19">
        <v>138.67234734776406</v>
      </c>
      <c r="AL315" s="19">
        <v>138.63055086357548</v>
      </c>
      <c r="AM315" s="19">
        <v>88.31180756658587</v>
      </c>
      <c r="AN315" s="19">
        <v>10.759796890454048</v>
      </c>
      <c r="AO315" s="19">
        <v>8.5431302586617797</v>
      </c>
      <c r="AP315" s="19">
        <v>6.4265794737258286</v>
      </c>
      <c r="AQ315" s="19">
        <v>4.5439867032256593</v>
      </c>
      <c r="AR315" s="19">
        <v>1405.2201604998131</v>
      </c>
    </row>
    <row r="316" spans="1:44" x14ac:dyDescent="0.25">
      <c r="A316" t="s">
        <v>250</v>
      </c>
      <c r="B316" t="s">
        <v>266</v>
      </c>
      <c r="C316" t="s">
        <v>43</v>
      </c>
      <c r="D316" t="s">
        <v>264</v>
      </c>
      <c r="E316" t="s">
        <v>148</v>
      </c>
      <c r="F316" t="s">
        <v>267</v>
      </c>
      <c r="G316" t="s">
        <v>31</v>
      </c>
      <c r="H316" t="s">
        <v>254</v>
      </c>
      <c r="I316" t="s">
        <v>135</v>
      </c>
      <c r="J316" t="s">
        <v>39</v>
      </c>
      <c r="K316" t="s">
        <v>31</v>
      </c>
      <c r="L316">
        <v>1.1475</v>
      </c>
      <c r="M316">
        <v>1</v>
      </c>
      <c r="N316" s="2">
        <v>1.9435945825335712</v>
      </c>
      <c r="O316" s="2">
        <v>2.5395240143327231</v>
      </c>
      <c r="P316" s="1">
        <v>-0.2335376618596588</v>
      </c>
      <c r="Q316" s="1">
        <v>0.70773230705298595</v>
      </c>
      <c r="R316" s="1">
        <v>-0.39961544227348511</v>
      </c>
      <c r="S316" s="19">
        <v>7.6738409779903802E-2</v>
      </c>
      <c r="T316" s="19">
        <v>0.1647233427613119</v>
      </c>
      <c r="U316" s="19">
        <v>0.36210391255105462</v>
      </c>
      <c r="V316" s="19">
        <v>0.68600055116731617</v>
      </c>
      <c r="W316" s="19">
        <v>1.1819417624923936</v>
      </c>
      <c r="X316" s="19">
        <v>1.8985251213334893</v>
      </c>
      <c r="Y316" s="19">
        <v>2.8820849204234467</v>
      </c>
      <c r="Z316" s="19">
        <v>4.1690194772083773</v>
      </c>
      <c r="AA316" s="19">
        <v>5.7762282509968692</v>
      </c>
      <c r="AB316" s="19">
        <v>7.6910719039163169</v>
      </c>
      <c r="AC316" s="19">
        <v>9.8634014512155108</v>
      </c>
      <c r="AD316" s="19">
        <v>12.203055323966932</v>
      </c>
      <c r="AE316" s="19">
        <v>14.586097793667474</v>
      </c>
      <c r="AF316" s="19">
        <v>16.871299107567399</v>
      </c>
      <c r="AG316" s="19">
        <v>18.924840772587135</v>
      </c>
      <c r="AH316" s="19">
        <v>20.647013534799431</v>
      </c>
      <c r="AI316" s="19">
        <v>21.991973248232643</v>
      </c>
      <c r="AJ316" s="19">
        <v>23.035877012903462</v>
      </c>
      <c r="AK316" s="19">
        <v>23.69256804680343</v>
      </c>
      <c r="AL316" s="19">
        <v>24.261459789178623</v>
      </c>
      <c r="AM316" s="19">
        <v>24.544147165750125</v>
      </c>
      <c r="AN316" s="19">
        <v>24.731870884410473</v>
      </c>
      <c r="AO316" s="19">
        <v>24.922092477792638</v>
      </c>
      <c r="AP316" s="19">
        <v>25.114838196010609</v>
      </c>
      <c r="AQ316" s="19">
        <v>25.310134591461953</v>
      </c>
      <c r="AR316" s="19">
        <v>335.58910704897835</v>
      </c>
    </row>
    <row r="317" spans="1:44" x14ac:dyDescent="0.25">
      <c r="A317" t="s">
        <v>250</v>
      </c>
      <c r="B317" t="s">
        <v>266</v>
      </c>
      <c r="C317" t="s">
        <v>43</v>
      </c>
      <c r="D317" t="s">
        <v>264</v>
      </c>
      <c r="E317" t="s">
        <v>145</v>
      </c>
      <c r="F317" t="s">
        <v>267</v>
      </c>
      <c r="G317" t="s">
        <v>31</v>
      </c>
      <c r="H317" t="s">
        <v>255</v>
      </c>
      <c r="I317" t="s">
        <v>135</v>
      </c>
      <c r="J317" t="s">
        <v>39</v>
      </c>
      <c r="K317" t="s">
        <v>31</v>
      </c>
      <c r="L317">
        <v>1.1475</v>
      </c>
      <c r="M317">
        <v>1</v>
      </c>
      <c r="N317" s="2">
        <v>1.9435945825335712</v>
      </c>
      <c r="O317" s="2">
        <v>2.5395240143327231</v>
      </c>
      <c r="P317" s="1">
        <v>-0.2335376618596588</v>
      </c>
      <c r="Q317" s="1">
        <v>0.70773230705298595</v>
      </c>
      <c r="R317" s="1">
        <v>-0.39961544227348511</v>
      </c>
      <c r="S317" s="19">
        <v>0.17420083657001365</v>
      </c>
      <c r="T317" s="19">
        <v>0.26552543359438274</v>
      </c>
      <c r="U317" s="19">
        <v>0.57455327427709879</v>
      </c>
      <c r="V317" s="19">
        <v>1.0713865847552235</v>
      </c>
      <c r="W317" s="19">
        <v>1.8168587499834477</v>
      </c>
      <c r="X317" s="19">
        <v>2.872259173579736</v>
      </c>
      <c r="Y317" s="19">
        <v>4.2911651993725739</v>
      </c>
      <c r="Z317" s="19">
        <v>6.1086144277294245</v>
      </c>
      <c r="AA317" s="19">
        <v>8.3286145004377961</v>
      </c>
      <c r="AB317" s="19">
        <v>10.912251336416714</v>
      </c>
      <c r="AC317" s="19">
        <v>15.470909852124413</v>
      </c>
      <c r="AD317" s="19">
        <v>20.499541870673102</v>
      </c>
      <c r="AE317" s="19">
        <v>24.116762518501471</v>
      </c>
      <c r="AF317" s="19">
        <v>27.425137854048049</v>
      </c>
      <c r="AG317" s="19">
        <v>30.198780077752662</v>
      </c>
      <c r="AH317" s="19">
        <v>32.278171627395515</v>
      </c>
      <c r="AI317" s="19">
        <v>33.600567163926577</v>
      </c>
      <c r="AJ317" s="19">
        <v>34.298555206445549</v>
      </c>
      <c r="AK317" s="19">
        <v>34.269684882328391</v>
      </c>
      <c r="AL317" s="19">
        <v>33.982980739894735</v>
      </c>
      <c r="AM317" s="19">
        <v>9.3910322848998362</v>
      </c>
      <c r="AN317" s="19">
        <v>3.4122184597582272</v>
      </c>
      <c r="AO317" s="19">
        <v>2.6985415305010783</v>
      </c>
      <c r="AP317" s="19">
        <v>2.0220571336077331</v>
      </c>
      <c r="AQ317" s="19">
        <v>1.4242104093403565</v>
      </c>
      <c r="AR317" s="19">
        <v>341.50458112791404</v>
      </c>
    </row>
    <row r="318" spans="1:44" x14ac:dyDescent="0.25">
      <c r="A318" t="s">
        <v>250</v>
      </c>
      <c r="B318" t="s">
        <v>266</v>
      </c>
      <c r="C318" t="s">
        <v>43</v>
      </c>
      <c r="D318" t="s">
        <v>264</v>
      </c>
      <c r="E318" t="s">
        <v>148</v>
      </c>
      <c r="F318" t="s">
        <v>267</v>
      </c>
      <c r="G318" t="s">
        <v>31</v>
      </c>
      <c r="H318" t="s">
        <v>255</v>
      </c>
      <c r="I318" t="s">
        <v>135</v>
      </c>
      <c r="J318" t="s">
        <v>39</v>
      </c>
      <c r="K318" t="s">
        <v>31</v>
      </c>
      <c r="L318">
        <v>1.1475</v>
      </c>
      <c r="M318">
        <v>1</v>
      </c>
      <c r="N318" s="2">
        <v>1.9435945825335712</v>
      </c>
      <c r="O318" s="2">
        <v>2.5395240143327231</v>
      </c>
      <c r="P318" s="1">
        <v>-0.2335376618596588</v>
      </c>
      <c r="Q318" s="1">
        <v>0.70773230705298595</v>
      </c>
      <c r="R318" s="1">
        <v>-0.39961544227348511</v>
      </c>
      <c r="S318" s="19">
        <v>1.9756988160296755E-2</v>
      </c>
      <c r="T318" s="19">
        <v>5.4502377903603585E-2</v>
      </c>
      <c r="U318" s="19">
        <v>0.11927542116989456</v>
      </c>
      <c r="V318" s="19">
        <v>0.22496852803508133</v>
      </c>
      <c r="W318" s="19">
        <v>0.38591805565682152</v>
      </c>
      <c r="X318" s="19">
        <v>0.61721897528172109</v>
      </c>
      <c r="Y318" s="19">
        <v>0.93298744183418092</v>
      </c>
      <c r="Z318" s="19">
        <v>1.3439133486404484</v>
      </c>
      <c r="AA318" s="19">
        <v>1.8542668230915695</v>
      </c>
      <c r="AB318" s="19">
        <v>2.4588243676280168</v>
      </c>
      <c r="AC318" s="19">
        <v>3.1405253963061237</v>
      </c>
      <c r="AD318" s="19">
        <v>3.869914187584051</v>
      </c>
      <c r="AE318" s="19">
        <v>4.6073499376009135</v>
      </c>
      <c r="AF318" s="19">
        <v>5.3083807417553528</v>
      </c>
      <c r="AG318" s="19">
        <v>5.9315656016982148</v>
      </c>
      <c r="AH318" s="19">
        <v>6.4467372335081583</v>
      </c>
      <c r="AI318" s="19">
        <v>6.840920709503286</v>
      </c>
      <c r="AJ318" s="19">
        <v>7.139120199647139</v>
      </c>
      <c r="AK318" s="19">
        <v>7.3158291564239137</v>
      </c>
      <c r="AL318" s="19">
        <v>7.4645158482907714</v>
      </c>
      <c r="AM318" s="19">
        <v>7.5246743185517522</v>
      </c>
      <c r="AN318" s="19">
        <v>7.5556780529790384</v>
      </c>
      <c r="AO318" s="19">
        <v>7.5875098958585632</v>
      </c>
      <c r="AP318" s="19">
        <v>7.6201748100518909</v>
      </c>
      <c r="AQ318" s="19">
        <v>7.6536778529901248</v>
      </c>
      <c r="AR318" s="19">
        <v>104.01820627015093</v>
      </c>
    </row>
    <row r="319" spans="1:44" x14ac:dyDescent="0.25">
      <c r="A319" t="s">
        <v>250</v>
      </c>
      <c r="B319" t="s">
        <v>268</v>
      </c>
      <c r="C319" t="s">
        <v>43</v>
      </c>
      <c r="D319" t="s">
        <v>269</v>
      </c>
      <c r="E319" t="s">
        <v>134</v>
      </c>
      <c r="F319" t="s">
        <v>269</v>
      </c>
      <c r="G319" t="s">
        <v>31</v>
      </c>
      <c r="H319" t="s">
        <v>252</v>
      </c>
      <c r="I319" t="s">
        <v>135</v>
      </c>
      <c r="J319" t="s">
        <v>39</v>
      </c>
      <c r="K319" t="s">
        <v>31</v>
      </c>
      <c r="L319">
        <v>351.82</v>
      </c>
      <c r="M319">
        <v>1</v>
      </c>
      <c r="N319" s="2">
        <v>2.8100909379967898</v>
      </c>
      <c r="O319" s="2">
        <v>3.1014175434194655</v>
      </c>
      <c r="P319" s="1">
        <v>-0.58986680859649776</v>
      </c>
      <c r="Q319" s="1">
        <v>0.59780871454245266</v>
      </c>
      <c r="R319" s="1">
        <v>-0.64602099649979083</v>
      </c>
      <c r="S319" s="19">
        <v>1983.7073919122347</v>
      </c>
      <c r="T319" s="19">
        <v>2294.2514651828205</v>
      </c>
      <c r="U319" s="19">
        <v>2607.2018518458276</v>
      </c>
      <c r="V319" s="19">
        <v>3036.8542682520097</v>
      </c>
      <c r="W319" s="19">
        <v>3319.1498308404448</v>
      </c>
      <c r="X319" s="19">
        <v>3378.2002465923088</v>
      </c>
      <c r="Y319" s="19">
        <v>3171.7691828037537</v>
      </c>
      <c r="Z319" s="19">
        <v>2716.3165749811501</v>
      </c>
      <c r="AA319" s="19">
        <v>2094.2230476558707</v>
      </c>
      <c r="AB319" s="19">
        <v>916.44583526024746</v>
      </c>
      <c r="AC319" s="19">
        <v>0</v>
      </c>
      <c r="AD319" s="19">
        <v>0</v>
      </c>
      <c r="AE319" s="19">
        <v>0</v>
      </c>
      <c r="AF319" s="19">
        <v>0</v>
      </c>
      <c r="AG319" s="19">
        <v>0</v>
      </c>
      <c r="AH319" s="19">
        <v>0</v>
      </c>
      <c r="AI319" s="19">
        <v>0</v>
      </c>
      <c r="AJ319" s="19">
        <v>0</v>
      </c>
      <c r="AK319" s="19">
        <v>0</v>
      </c>
      <c r="AL319" s="19">
        <v>0</v>
      </c>
      <c r="AM319" s="19">
        <v>0</v>
      </c>
      <c r="AN319" s="19">
        <v>0</v>
      </c>
      <c r="AO319" s="19">
        <v>0</v>
      </c>
      <c r="AP319" s="19">
        <v>0</v>
      </c>
      <c r="AQ319" s="19">
        <v>0</v>
      </c>
      <c r="AR319" s="19">
        <v>25518.119695326663</v>
      </c>
    </row>
    <row r="320" spans="1:44" x14ac:dyDescent="0.25">
      <c r="A320" t="s">
        <v>250</v>
      </c>
      <c r="B320" t="s">
        <v>268</v>
      </c>
      <c r="C320" t="s">
        <v>43</v>
      </c>
      <c r="D320" t="s">
        <v>269</v>
      </c>
      <c r="E320" t="s">
        <v>134</v>
      </c>
      <c r="F320" t="s">
        <v>269</v>
      </c>
      <c r="G320" t="s">
        <v>31</v>
      </c>
      <c r="H320" t="s">
        <v>253</v>
      </c>
      <c r="I320" t="s">
        <v>135</v>
      </c>
      <c r="J320" t="s">
        <v>39</v>
      </c>
      <c r="K320" t="s">
        <v>31</v>
      </c>
      <c r="L320">
        <v>351.82</v>
      </c>
      <c r="M320">
        <v>1</v>
      </c>
      <c r="N320" s="2">
        <v>2.8100909379967898</v>
      </c>
      <c r="O320" s="2">
        <v>3.1014175434194655</v>
      </c>
      <c r="P320" s="1">
        <v>-0.58986680859649776</v>
      </c>
      <c r="Q320" s="1">
        <v>0.59780871454245266</v>
      </c>
      <c r="R320" s="1">
        <v>-0.64602099649979083</v>
      </c>
      <c r="S320" s="19">
        <v>124.61583508376788</v>
      </c>
      <c r="T320" s="19">
        <v>144.06624619271162</v>
      </c>
      <c r="U320" s="19">
        <v>163.65206154578746</v>
      </c>
      <c r="V320" s="19">
        <v>190.54448277725564</v>
      </c>
      <c r="W320" s="19">
        <v>208.17323261637108</v>
      </c>
      <c r="X320" s="19">
        <v>211.7917408258896</v>
      </c>
      <c r="Y320" s="19">
        <v>198.76998638718939</v>
      </c>
      <c r="Z320" s="19">
        <v>170.15911517852001</v>
      </c>
      <c r="AA320" s="19">
        <v>131.13643462689328</v>
      </c>
      <c r="AB320" s="19">
        <v>44.755386209326893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19">
        <v>0</v>
      </c>
      <c r="AI320" s="19">
        <v>0</v>
      </c>
      <c r="AJ320" s="19">
        <v>0</v>
      </c>
      <c r="AK320" s="19">
        <v>0</v>
      </c>
      <c r="AL320" s="19">
        <v>0</v>
      </c>
      <c r="AM320" s="19">
        <v>0</v>
      </c>
      <c r="AN320" s="19">
        <v>0</v>
      </c>
      <c r="AO320" s="19">
        <v>0</v>
      </c>
      <c r="AP320" s="19">
        <v>0</v>
      </c>
      <c r="AQ320" s="19">
        <v>0</v>
      </c>
      <c r="AR320" s="19">
        <v>1587.6645214437128</v>
      </c>
    </row>
    <row r="321" spans="1:44" x14ac:dyDescent="0.25">
      <c r="A321" t="s">
        <v>250</v>
      </c>
      <c r="B321" t="s">
        <v>268</v>
      </c>
      <c r="C321" t="s">
        <v>43</v>
      </c>
      <c r="D321" t="s">
        <v>269</v>
      </c>
      <c r="E321" t="s">
        <v>134</v>
      </c>
      <c r="F321" t="s">
        <v>269</v>
      </c>
      <c r="G321" t="s">
        <v>31</v>
      </c>
      <c r="H321" t="s">
        <v>254</v>
      </c>
      <c r="I321" t="s">
        <v>135</v>
      </c>
      <c r="J321" t="s">
        <v>39</v>
      </c>
      <c r="K321" t="s">
        <v>31</v>
      </c>
      <c r="L321">
        <v>351.82</v>
      </c>
      <c r="M321">
        <v>1</v>
      </c>
      <c r="N321" s="2">
        <v>2.8100909379967898</v>
      </c>
      <c r="O321" s="2">
        <v>3.1014175434194655</v>
      </c>
      <c r="P321" s="1">
        <v>-0.58986680859649776</v>
      </c>
      <c r="Q321" s="1">
        <v>0.59780871454245266</v>
      </c>
      <c r="R321" s="1">
        <v>-0.64602099649979083</v>
      </c>
      <c r="S321" s="19">
        <v>47.36180366267638</v>
      </c>
      <c r="T321" s="19">
        <v>54.732916422420935</v>
      </c>
      <c r="U321" s="19">
        <v>62.149720367635929</v>
      </c>
      <c r="V321" s="19">
        <v>72.334490270083791</v>
      </c>
      <c r="W321" s="19">
        <v>78.996032906626169</v>
      </c>
      <c r="X321" s="19">
        <v>80.337953528718771</v>
      </c>
      <c r="Y321" s="19">
        <v>75.36919926335959</v>
      </c>
      <c r="Z321" s="19">
        <v>64.495536627072227</v>
      </c>
      <c r="AA321" s="19">
        <v>49.685442557078339</v>
      </c>
      <c r="AB321" s="19">
        <v>12.350944116289131</v>
      </c>
      <c r="AC321" s="19">
        <v>0</v>
      </c>
      <c r="AD321" s="19">
        <v>0</v>
      </c>
      <c r="AE321" s="19">
        <v>0</v>
      </c>
      <c r="AF321" s="19">
        <v>0</v>
      </c>
      <c r="AG321" s="19">
        <v>0</v>
      </c>
      <c r="AH321" s="19">
        <v>0</v>
      </c>
      <c r="AI321" s="19">
        <v>0</v>
      </c>
      <c r="AJ321" s="19">
        <v>0</v>
      </c>
      <c r="AK321" s="19">
        <v>0</v>
      </c>
      <c r="AL321" s="19">
        <v>0</v>
      </c>
      <c r="AM321" s="19">
        <v>0</v>
      </c>
      <c r="AN321" s="19">
        <v>0</v>
      </c>
      <c r="AO321" s="19">
        <v>0</v>
      </c>
      <c r="AP321" s="19">
        <v>0</v>
      </c>
      <c r="AQ321" s="19">
        <v>0</v>
      </c>
      <c r="AR321" s="19">
        <v>597.81403972196131</v>
      </c>
    </row>
    <row r="322" spans="1:44" x14ac:dyDescent="0.25">
      <c r="A322" t="s">
        <v>250</v>
      </c>
      <c r="B322" t="s">
        <v>268</v>
      </c>
      <c r="C322" t="s">
        <v>43</v>
      </c>
      <c r="D322" t="s">
        <v>269</v>
      </c>
      <c r="E322" t="s">
        <v>134</v>
      </c>
      <c r="F322" t="s">
        <v>269</v>
      </c>
      <c r="G322" t="s">
        <v>31</v>
      </c>
      <c r="H322" t="s">
        <v>255</v>
      </c>
      <c r="I322" t="s">
        <v>135</v>
      </c>
      <c r="J322" t="s">
        <v>39</v>
      </c>
      <c r="K322" t="s">
        <v>31</v>
      </c>
      <c r="L322">
        <v>351.82</v>
      </c>
      <c r="M322">
        <v>1</v>
      </c>
      <c r="N322" s="2">
        <v>2.8100909379967898</v>
      </c>
      <c r="O322" s="2">
        <v>3.1014175434194655</v>
      </c>
      <c r="P322" s="1">
        <v>-0.58986680859649776</v>
      </c>
      <c r="Q322" s="1">
        <v>0.59780871454245266</v>
      </c>
      <c r="R322" s="1">
        <v>-0.64602099649979083</v>
      </c>
      <c r="S322" s="19">
        <v>12.193718854711582</v>
      </c>
      <c r="T322" s="19">
        <v>14.027591418917147</v>
      </c>
      <c r="U322" s="19">
        <v>15.856242169070899</v>
      </c>
      <c r="V322" s="19">
        <v>18.371012384048448</v>
      </c>
      <c r="W322" s="19">
        <v>19.97190630518157</v>
      </c>
      <c r="X322" s="19">
        <v>20.219088627842943</v>
      </c>
      <c r="Y322" s="19">
        <v>18.882577940003831</v>
      </c>
      <c r="Z322" s="19">
        <v>16.085094572887677</v>
      </c>
      <c r="AA322" s="19">
        <v>2.4031681814013268</v>
      </c>
      <c r="AB322" s="19">
        <v>0</v>
      </c>
      <c r="AC322" s="19">
        <v>0</v>
      </c>
      <c r="AD322" s="19">
        <v>0</v>
      </c>
      <c r="AE322" s="19">
        <v>0</v>
      </c>
      <c r="AF322" s="19">
        <v>0</v>
      </c>
      <c r="AG322" s="19">
        <v>0</v>
      </c>
      <c r="AH322" s="19">
        <v>0</v>
      </c>
      <c r="AI322" s="19">
        <v>0</v>
      </c>
      <c r="AJ322" s="19">
        <v>0</v>
      </c>
      <c r="AK322" s="19">
        <v>0</v>
      </c>
      <c r="AL322" s="19">
        <v>0</v>
      </c>
      <c r="AM322" s="19">
        <v>0</v>
      </c>
      <c r="AN322" s="19">
        <v>0</v>
      </c>
      <c r="AO322" s="19">
        <v>0</v>
      </c>
      <c r="AP322" s="19">
        <v>0</v>
      </c>
      <c r="AQ322" s="19">
        <v>0</v>
      </c>
      <c r="AR322" s="19">
        <v>138.01040045406543</v>
      </c>
    </row>
    <row r="323" spans="1:44" x14ac:dyDescent="0.25">
      <c r="A323" t="s">
        <v>250</v>
      </c>
      <c r="B323" t="s">
        <v>268</v>
      </c>
      <c r="C323" t="s">
        <v>43</v>
      </c>
      <c r="D323" t="s">
        <v>269</v>
      </c>
      <c r="E323" t="s">
        <v>134</v>
      </c>
      <c r="F323" t="s">
        <v>269</v>
      </c>
      <c r="G323" t="s">
        <v>31</v>
      </c>
      <c r="H323" t="s">
        <v>253</v>
      </c>
      <c r="I323" t="s">
        <v>256</v>
      </c>
      <c r="J323" t="s">
        <v>39</v>
      </c>
      <c r="K323" t="s">
        <v>31</v>
      </c>
      <c r="L323">
        <v>351.82</v>
      </c>
      <c r="M323">
        <v>1</v>
      </c>
      <c r="N323" s="2">
        <v>2.3979096695873836</v>
      </c>
      <c r="O323" s="2">
        <v>2.6465047861031112</v>
      </c>
      <c r="P323" s="1">
        <v>-0.3434612543701927</v>
      </c>
      <c r="Q323" s="1">
        <v>0.4672931329656026</v>
      </c>
      <c r="R323" s="1">
        <v>-0.39961544227348578</v>
      </c>
      <c r="S323" s="19">
        <v>65.368596113410391</v>
      </c>
      <c r="T323" s="19">
        <v>75.57152150540135</v>
      </c>
      <c r="U323" s="19">
        <v>85.845474671196214</v>
      </c>
      <c r="V323" s="19">
        <v>99.952187680902071</v>
      </c>
      <c r="W323" s="19">
        <v>109.19954077565808</v>
      </c>
      <c r="X323" s="19">
        <v>111.09766874247762</v>
      </c>
      <c r="Y323" s="19">
        <v>104.26696535699529</v>
      </c>
      <c r="Z323" s="19">
        <v>89.258820659853782</v>
      </c>
      <c r="AA323" s="19">
        <v>68.789047757178821</v>
      </c>
      <c r="AB323" s="19">
        <v>23.476926211268022</v>
      </c>
      <c r="AC323" s="19">
        <v>0</v>
      </c>
      <c r="AD323" s="19">
        <v>0</v>
      </c>
      <c r="AE323" s="19">
        <v>0</v>
      </c>
      <c r="AF323" s="19">
        <v>0</v>
      </c>
      <c r="AG323" s="19">
        <v>0</v>
      </c>
      <c r="AH323" s="19">
        <v>0</v>
      </c>
      <c r="AI323" s="19">
        <v>0</v>
      </c>
      <c r="AJ323" s="19">
        <v>0</v>
      </c>
      <c r="AK323" s="19">
        <v>0</v>
      </c>
      <c r="AL323" s="19">
        <v>0</v>
      </c>
      <c r="AM323" s="19">
        <v>0</v>
      </c>
      <c r="AN323" s="19">
        <v>0</v>
      </c>
      <c r="AO323" s="19">
        <v>0</v>
      </c>
      <c r="AP323" s="19">
        <v>0</v>
      </c>
      <c r="AQ323" s="19">
        <v>0</v>
      </c>
      <c r="AR323" s="19">
        <v>832.8267494743418</v>
      </c>
    </row>
    <row r="324" spans="1:44" x14ac:dyDescent="0.25">
      <c r="A324" t="s">
        <v>250</v>
      </c>
      <c r="B324" t="s">
        <v>268</v>
      </c>
      <c r="C324" t="s">
        <v>43</v>
      </c>
      <c r="D324" t="s">
        <v>269</v>
      </c>
      <c r="E324" t="s">
        <v>134</v>
      </c>
      <c r="F324" t="s">
        <v>269</v>
      </c>
      <c r="G324" t="s">
        <v>31</v>
      </c>
      <c r="H324" t="s">
        <v>253</v>
      </c>
      <c r="I324" t="s">
        <v>135</v>
      </c>
      <c r="J324" t="s">
        <v>40</v>
      </c>
      <c r="K324" t="s">
        <v>31</v>
      </c>
      <c r="L324">
        <v>351.82</v>
      </c>
      <c r="M324">
        <v>1</v>
      </c>
      <c r="N324" s="2">
        <v>2.8100909379967898</v>
      </c>
      <c r="O324" s="2">
        <v>1.9286749611803653</v>
      </c>
      <c r="P324" s="1">
        <v>-0.58986680859649776</v>
      </c>
      <c r="Q324" s="1">
        <v>0.4672931329656026</v>
      </c>
      <c r="R324" s="1">
        <v>-0.50302099649979048</v>
      </c>
      <c r="S324" s="19">
        <v>65.550519262507393</v>
      </c>
      <c r="T324" s="19">
        <v>75.781839762052641</v>
      </c>
      <c r="U324" s="19">
        <v>86.084385708245492</v>
      </c>
      <c r="V324" s="19">
        <v>100.23035820655474</v>
      </c>
      <c r="W324" s="19">
        <v>109.50344701686581</v>
      </c>
      <c r="X324" s="19">
        <v>111.40685754194185</v>
      </c>
      <c r="Y324" s="19">
        <v>104.55714406378016</v>
      </c>
      <c r="Z324" s="19">
        <v>89.507231161296289</v>
      </c>
      <c r="AA324" s="19">
        <v>68.98049014596225</v>
      </c>
      <c r="AB324" s="19">
        <v>23.542263339513656</v>
      </c>
      <c r="AC324" s="19">
        <v>0</v>
      </c>
      <c r="AD324" s="19">
        <v>0</v>
      </c>
      <c r="AE324" s="19">
        <v>0</v>
      </c>
      <c r="AF324" s="19">
        <v>0</v>
      </c>
      <c r="AG324" s="19">
        <v>0</v>
      </c>
      <c r="AH324" s="19">
        <v>0</v>
      </c>
      <c r="AI324" s="19">
        <v>0</v>
      </c>
      <c r="AJ324" s="19">
        <v>0</v>
      </c>
      <c r="AK324" s="19">
        <v>0</v>
      </c>
      <c r="AL324" s="19">
        <v>0</v>
      </c>
      <c r="AM324" s="19">
        <v>0</v>
      </c>
      <c r="AN324" s="19">
        <v>0</v>
      </c>
      <c r="AO324" s="19">
        <v>0</v>
      </c>
      <c r="AP324" s="19">
        <v>0</v>
      </c>
      <c r="AQ324" s="19">
        <v>0</v>
      </c>
      <c r="AR324" s="19">
        <v>835.14453620872018</v>
      </c>
    </row>
    <row r="325" spans="1:44" x14ac:dyDescent="0.25">
      <c r="A325" t="s">
        <v>250</v>
      </c>
      <c r="B325" t="s">
        <v>270</v>
      </c>
      <c r="C325" t="s">
        <v>43</v>
      </c>
      <c r="D325" t="s">
        <v>271</v>
      </c>
      <c r="E325" t="s">
        <v>145</v>
      </c>
      <c r="F325" t="s">
        <v>271</v>
      </c>
      <c r="G325" t="s">
        <v>31</v>
      </c>
      <c r="H325" t="s">
        <v>272</v>
      </c>
      <c r="I325" t="s">
        <v>135</v>
      </c>
      <c r="J325" t="s">
        <v>39</v>
      </c>
      <c r="K325" t="s">
        <v>31</v>
      </c>
      <c r="L325">
        <v>30.12</v>
      </c>
      <c r="M325">
        <v>0</v>
      </c>
      <c r="N325" s="2">
        <v>0.47836719693862995</v>
      </c>
      <c r="O325" s="2">
        <v>3.9948356401026599</v>
      </c>
      <c r="P325" s="1">
        <v>2.851747483966371</v>
      </c>
      <c r="Q325" s="1">
        <v>4.5233469633551158</v>
      </c>
      <c r="R325" s="1">
        <v>-1.1299449527495848</v>
      </c>
      <c r="S325" s="19">
        <v>5.0491438493008953</v>
      </c>
      <c r="T325" s="19">
        <v>6.701223716792148</v>
      </c>
      <c r="U325" s="19">
        <v>8.337997609618629</v>
      </c>
      <c r="V325" s="19">
        <v>9.9595713847372576</v>
      </c>
      <c r="W325" s="19">
        <v>11.56605024909538</v>
      </c>
      <c r="X325" s="19">
        <v>13.157538763370896</v>
      </c>
      <c r="Y325" s="19">
        <v>14.734140845691815</v>
      </c>
      <c r="Z325" s="19">
        <v>16.295959775335149</v>
      </c>
      <c r="AA325" s="19">
        <v>17.843098196405464</v>
      </c>
      <c r="AB325" s="19">
        <v>19.375658121493089</v>
      </c>
      <c r="AC325" s="19">
        <v>20.893740935312071</v>
      </c>
      <c r="AD325" s="19">
        <v>22.397447398318075</v>
      </c>
      <c r="AE325" s="19">
        <v>26.807385805110155</v>
      </c>
      <c r="AF325" s="19">
        <v>29.483266701336522</v>
      </c>
      <c r="AG325" s="19">
        <v>30.955646958977798</v>
      </c>
      <c r="AH325" s="19">
        <v>32.381596684457364</v>
      </c>
      <c r="AI325" s="19">
        <v>33.760551953551285</v>
      </c>
      <c r="AJ325" s="19">
        <v>35.091929379898431</v>
      </c>
      <c r="AK325" s="19">
        <v>33.800044523702013</v>
      </c>
      <c r="AL325" s="19">
        <v>3.3527994354882447</v>
      </c>
      <c r="AM325" s="19">
        <v>3.0384967306729789</v>
      </c>
      <c r="AN325" s="19">
        <v>2.7197941161844565</v>
      </c>
      <c r="AO325" s="19">
        <v>2.3965958111666592</v>
      </c>
      <c r="AP325" s="19">
        <v>2.0688047118216919</v>
      </c>
      <c r="AQ325" s="19">
        <v>1.7363223720566996</v>
      </c>
      <c r="AR325" s="19">
        <v>403.90480602989521</v>
      </c>
    </row>
    <row r="326" spans="1:44" x14ac:dyDescent="0.25">
      <c r="A326" t="s">
        <v>250</v>
      </c>
      <c r="B326" t="s">
        <v>270</v>
      </c>
      <c r="C326" t="s">
        <v>43</v>
      </c>
      <c r="D326" t="s">
        <v>271</v>
      </c>
      <c r="E326" t="s">
        <v>148</v>
      </c>
      <c r="F326" t="s">
        <v>271</v>
      </c>
      <c r="G326" t="s">
        <v>31</v>
      </c>
      <c r="H326" t="s">
        <v>272</v>
      </c>
      <c r="I326" t="s">
        <v>135</v>
      </c>
      <c r="J326" t="s">
        <v>39</v>
      </c>
      <c r="K326" t="s">
        <v>31</v>
      </c>
      <c r="L326">
        <v>30.12</v>
      </c>
      <c r="M326">
        <v>0</v>
      </c>
      <c r="N326" s="2">
        <v>0.47836719693862995</v>
      </c>
      <c r="O326" s="2">
        <v>3.9948356401026599</v>
      </c>
      <c r="P326" s="1">
        <v>2.851747483966371</v>
      </c>
      <c r="Q326" s="1">
        <v>4.5233469633551158</v>
      </c>
      <c r="R326" s="1">
        <v>-1.1299449527495848</v>
      </c>
      <c r="S326" s="19">
        <v>0.68717838936563158</v>
      </c>
      <c r="T326" s="19">
        <v>1.2878548397960548</v>
      </c>
      <c r="U326" s="19">
        <v>1.6205254746755728</v>
      </c>
      <c r="V326" s="19">
        <v>1.9576635148813408</v>
      </c>
      <c r="W326" s="19">
        <v>2.2993634761218766</v>
      </c>
      <c r="X326" s="19">
        <v>2.6457211594382586</v>
      </c>
      <c r="Y326" s="19">
        <v>2.9968336698900853</v>
      </c>
      <c r="Z326" s="19">
        <v>3.3527994354882447</v>
      </c>
      <c r="AA326" s="19">
        <v>3.7137182263780848</v>
      </c>
      <c r="AB326" s="19">
        <v>4.079691174276685</v>
      </c>
      <c r="AC326" s="19">
        <v>4.4508207921666543</v>
      </c>
      <c r="AD326" s="19">
        <v>4.8272109942506161</v>
      </c>
      <c r="AE326" s="19">
        <v>5.2089671161701032</v>
      </c>
      <c r="AF326" s="19">
        <v>5.5961959354901003</v>
      </c>
      <c r="AG326" s="19">
        <v>5.9890056924570683</v>
      </c>
      <c r="AH326" s="19">
        <v>6.387506111028193</v>
      </c>
      <c r="AI326" s="19">
        <v>6.7918084201818081</v>
      </c>
      <c r="AJ326" s="19">
        <v>7.2020253755065884</v>
      </c>
      <c r="AK326" s="19">
        <v>7.2554964581694543</v>
      </c>
      <c r="AL326" s="19">
        <v>7.3096927378394163</v>
      </c>
      <c r="AM326" s="19">
        <v>7.3646217695469796</v>
      </c>
      <c r="AN326" s="19">
        <v>7.4202911957039133</v>
      </c>
      <c r="AO326" s="19">
        <v>7.4767087470714557</v>
      </c>
      <c r="AP326" s="19">
        <v>7.533882243737775</v>
      </c>
      <c r="AQ326" s="19">
        <v>7.5918195961086994</v>
      </c>
      <c r="AR326" s="19">
        <v>123.04740254574068</v>
      </c>
    </row>
    <row r="327" spans="1:44" x14ac:dyDescent="0.25">
      <c r="A327" t="s">
        <v>250</v>
      </c>
      <c r="B327" t="s">
        <v>270</v>
      </c>
      <c r="C327" t="s">
        <v>43</v>
      </c>
      <c r="D327" t="s">
        <v>271</v>
      </c>
      <c r="E327" t="s">
        <v>145</v>
      </c>
      <c r="F327" t="s">
        <v>271</v>
      </c>
      <c r="G327" t="s">
        <v>31</v>
      </c>
      <c r="H327" t="s">
        <v>273</v>
      </c>
      <c r="I327" t="s">
        <v>135</v>
      </c>
      <c r="J327" t="s">
        <v>39</v>
      </c>
      <c r="K327" t="s">
        <v>31</v>
      </c>
      <c r="L327">
        <v>30.12</v>
      </c>
      <c r="M327">
        <v>0</v>
      </c>
      <c r="N327" s="2">
        <v>0.47836719693862995</v>
      </c>
      <c r="O327" s="2">
        <v>3.9948356401026599</v>
      </c>
      <c r="P327" s="1">
        <v>2.851747483966371</v>
      </c>
      <c r="Q327" s="1">
        <v>4.5233469633551158</v>
      </c>
      <c r="R327" s="1">
        <v>-1.1299449527495848</v>
      </c>
      <c r="S327" s="19">
        <v>1.5185630718385461</v>
      </c>
      <c r="T327" s="19">
        <v>2.015436908944118</v>
      </c>
      <c r="U327" s="19">
        <v>2.5077073739537181</v>
      </c>
      <c r="V327" s="19">
        <v>2.995406304040237</v>
      </c>
      <c r="W327" s="19">
        <v>3.4785653408819268</v>
      </c>
      <c r="X327" s="19">
        <v>3.957215931787279</v>
      </c>
      <c r="Y327" s="19">
        <v>4.4313893308136896</v>
      </c>
      <c r="Z327" s="19">
        <v>4.9011165998799404</v>
      </c>
      <c r="AA327" s="19">
        <v>5.3664286098725418</v>
      </c>
      <c r="AB327" s="19">
        <v>5.8273560417459587</v>
      </c>
      <c r="AC327" s="19">
        <v>6.2839293876167535</v>
      </c>
      <c r="AD327" s="19">
        <v>6.7361789518516941</v>
      </c>
      <c r="AE327" s="19">
        <v>8.0624968016717613</v>
      </c>
      <c r="AF327" s="19">
        <v>8.8672855014847425</v>
      </c>
      <c r="AG327" s="19">
        <v>9.3101135043485712</v>
      </c>
      <c r="AH327" s="19">
        <v>9.7389772206618908</v>
      </c>
      <c r="AI327" s="19">
        <v>10.153707046521982</v>
      </c>
      <c r="AJ327" s="19">
        <v>10.5541275246611</v>
      </c>
      <c r="AK327" s="19">
        <v>10.165584695571503</v>
      </c>
      <c r="AL327" s="19">
        <v>1.0083763826056269</v>
      </c>
      <c r="AM327" s="19">
        <v>0.9138477862422254</v>
      </c>
      <c r="AN327" s="19">
        <v>0.81799588823624436</v>
      </c>
      <c r="AO327" s="19">
        <v>0.72079188186816212</v>
      </c>
      <c r="AP327" s="19">
        <v>0.62220656253495643</v>
      </c>
      <c r="AQ327" s="19">
        <v>0.52221032192961969</v>
      </c>
      <c r="AR327" s="19">
        <v>121.4770149715648</v>
      </c>
    </row>
    <row r="328" spans="1:44" x14ac:dyDescent="0.25">
      <c r="A328" t="s">
        <v>250</v>
      </c>
      <c r="B328" t="s">
        <v>270</v>
      </c>
      <c r="C328" t="s">
        <v>43</v>
      </c>
      <c r="D328" t="s">
        <v>271</v>
      </c>
      <c r="E328" t="s">
        <v>148</v>
      </c>
      <c r="F328" t="s">
        <v>271</v>
      </c>
      <c r="G328" t="s">
        <v>31</v>
      </c>
      <c r="H328" t="s">
        <v>273</v>
      </c>
      <c r="I328" t="s">
        <v>135</v>
      </c>
      <c r="J328" t="s">
        <v>39</v>
      </c>
      <c r="K328" t="s">
        <v>31</v>
      </c>
      <c r="L328">
        <v>30.12</v>
      </c>
      <c r="M328">
        <v>0</v>
      </c>
      <c r="N328" s="2">
        <v>0.47836719693862995</v>
      </c>
      <c r="O328" s="2">
        <v>3.9948356401026599</v>
      </c>
      <c r="P328" s="1">
        <v>2.851747483966371</v>
      </c>
      <c r="Q328" s="1">
        <v>4.5233469633551158</v>
      </c>
      <c r="R328" s="1">
        <v>-1.1299449527495848</v>
      </c>
      <c r="S328" s="19">
        <v>0.2066733998875124</v>
      </c>
      <c r="T328" s="19">
        <v>0.38733077527066817</v>
      </c>
      <c r="U328" s="19">
        <v>0.48738364686454017</v>
      </c>
      <c r="V328" s="19">
        <v>0.58878011986054068</v>
      </c>
      <c r="W328" s="19">
        <v>0.69154862047680576</v>
      </c>
      <c r="X328" s="19">
        <v>0.79571796150373275</v>
      </c>
      <c r="Y328" s="19">
        <v>0.90131734792376716</v>
      </c>
      <c r="Z328" s="19">
        <v>1.0083763826056269</v>
      </c>
      <c r="AA328" s="19">
        <v>1.1169250720738313</v>
      </c>
      <c r="AB328" s="19">
        <v>1.2269938323543661</v>
      </c>
      <c r="AC328" s="19">
        <v>1.3386134948980155</v>
      </c>
      <c r="AD328" s="19">
        <v>1.4518153125815656</v>
      </c>
      <c r="AE328" s="19">
        <v>1.5666309657888606</v>
      </c>
      <c r="AF328" s="19">
        <v>1.6830925685718008</v>
      </c>
      <c r="AG328" s="19">
        <v>1.8012326748930607</v>
      </c>
      <c r="AH328" s="19">
        <v>1.9210842849513059</v>
      </c>
      <c r="AI328" s="19">
        <v>2.0426808515899744</v>
      </c>
      <c r="AJ328" s="19">
        <v>2.1660562867906363</v>
      </c>
      <c r="AK328" s="19">
        <v>2.1821380650022304</v>
      </c>
      <c r="AL328" s="19">
        <v>2.1984379509619933</v>
      </c>
      <c r="AM328" s="19">
        <v>2.2149582168946766</v>
      </c>
      <c r="AN328" s="19">
        <v>2.2317011613057778</v>
      </c>
      <c r="AO328" s="19">
        <v>2.2486691092722526</v>
      </c>
      <c r="AP328" s="19">
        <v>2.265864412736899</v>
      </c>
      <c r="AQ328" s="19">
        <v>2.2832894508060213</v>
      </c>
      <c r="AR328" s="19">
        <v>37.007311965866464</v>
      </c>
    </row>
    <row r="329" spans="1:44" x14ac:dyDescent="0.25">
      <c r="A329" t="s">
        <v>250</v>
      </c>
      <c r="B329" t="s">
        <v>270</v>
      </c>
      <c r="C329" t="s">
        <v>43</v>
      </c>
      <c r="D329" t="s">
        <v>271</v>
      </c>
      <c r="E329" t="s">
        <v>145</v>
      </c>
      <c r="F329" t="s">
        <v>271</v>
      </c>
      <c r="G329" t="s">
        <v>31</v>
      </c>
      <c r="H329" t="s">
        <v>274</v>
      </c>
      <c r="I329" t="s">
        <v>135</v>
      </c>
      <c r="J329" t="s">
        <v>39</v>
      </c>
      <c r="K329" t="s">
        <v>31</v>
      </c>
      <c r="L329">
        <v>30.12</v>
      </c>
      <c r="M329">
        <v>0</v>
      </c>
      <c r="N329" s="2">
        <v>0.47836719693862995</v>
      </c>
      <c r="O329" s="2">
        <v>3.9948356401026599</v>
      </c>
      <c r="P329" s="1">
        <v>2.851747483966371</v>
      </c>
      <c r="Q329" s="1">
        <v>4.5233469633551158</v>
      </c>
      <c r="R329" s="1">
        <v>-1.1299449527495848</v>
      </c>
      <c r="S329" s="19">
        <v>2.3904902048184646</v>
      </c>
      <c r="T329" s="19">
        <v>3.1726585998350663</v>
      </c>
      <c r="U329" s="19">
        <v>3.9475804628447801</v>
      </c>
      <c r="V329" s="19">
        <v>4.7153059112588336</v>
      </c>
      <c r="W329" s="19">
        <v>5.4758847547448823</v>
      </c>
      <c r="X329" s="19">
        <v>6.2293664969977778</v>
      </c>
      <c r="Y329" s="19">
        <v>6.9758003375005364</v>
      </c>
      <c r="Z329" s="19">
        <v>7.7152351732755919</v>
      </c>
      <c r="AA329" s="19">
        <v>8.4477196006263782</v>
      </c>
      <c r="AB329" s="19">
        <v>9.1733019168692689</v>
      </c>
      <c r="AC329" s="19">
        <v>9.8920301220559761</v>
      </c>
      <c r="AD329" s="19">
        <v>10.603951920686406</v>
      </c>
      <c r="AE329" s="19">
        <v>12.691813720612911</v>
      </c>
      <c r="AF329" s="19">
        <v>13.958695247978335</v>
      </c>
      <c r="AG329" s="19">
        <v>14.655785821887561</v>
      </c>
      <c r="AH329" s="19">
        <v>15.330894108175457</v>
      </c>
      <c r="AI329" s="19">
        <v>15.983753119928163</v>
      </c>
      <c r="AJ329" s="19">
        <v>16.614086655986924</v>
      </c>
      <c r="AK329" s="19">
        <v>16.002450666467833</v>
      </c>
      <c r="AL329" s="19">
        <v>1.5873649966152614</v>
      </c>
      <c r="AM329" s="19">
        <v>1.438560058662697</v>
      </c>
      <c r="AN329" s="19">
        <v>1.2876720069605574</v>
      </c>
      <c r="AO329" s="19">
        <v>1.1346554945738192</v>
      </c>
      <c r="AP329" s="19">
        <v>0.97946454822767548</v>
      </c>
      <c r="AQ329" s="19">
        <v>0.8220525591449297</v>
      </c>
      <c r="AR329" s="19">
        <v>191.22657450673611</v>
      </c>
    </row>
    <row r="330" spans="1:44" x14ac:dyDescent="0.25">
      <c r="A330" t="s">
        <v>250</v>
      </c>
      <c r="B330" t="s">
        <v>270</v>
      </c>
      <c r="C330" t="s">
        <v>43</v>
      </c>
      <c r="D330" t="s">
        <v>271</v>
      </c>
      <c r="E330" t="s">
        <v>148</v>
      </c>
      <c r="F330" t="s">
        <v>271</v>
      </c>
      <c r="G330" t="s">
        <v>31</v>
      </c>
      <c r="H330" t="s">
        <v>274</v>
      </c>
      <c r="I330" t="s">
        <v>135</v>
      </c>
      <c r="J330" t="s">
        <v>39</v>
      </c>
      <c r="K330" t="s">
        <v>31</v>
      </c>
      <c r="L330">
        <v>30.12</v>
      </c>
      <c r="M330">
        <v>0</v>
      </c>
      <c r="N330" s="2">
        <v>0.47836719693862995</v>
      </c>
      <c r="O330" s="2">
        <v>3.9948356401026599</v>
      </c>
      <c r="P330" s="1">
        <v>2.851747483966371</v>
      </c>
      <c r="Q330" s="1">
        <v>4.5233469633551158</v>
      </c>
      <c r="R330" s="1">
        <v>-1.1299449527495848</v>
      </c>
      <c r="S330" s="19">
        <v>0.32534094051785006</v>
      </c>
      <c r="T330" s="19">
        <v>0.60972799976511161</v>
      </c>
      <c r="U330" s="19">
        <v>0.76722913616475474</v>
      </c>
      <c r="V330" s="19">
        <v>0.92684534177062705</v>
      </c>
      <c r="W330" s="19">
        <v>1.0886213645403997</v>
      </c>
      <c r="X330" s="19">
        <v>1.2526025609656144</v>
      </c>
      <c r="Y330" s="19">
        <v>1.4188349049184337</v>
      </c>
      <c r="Z330" s="19">
        <v>1.5873649966152614</v>
      </c>
      <c r="AA330" s="19">
        <v>1.7582400716988511</v>
      </c>
      <c r="AB330" s="19">
        <v>1.931508010440836</v>
      </c>
      <c r="AC330" s="19">
        <v>2.1072173470656645</v>
      </c>
      <c r="AD330" s="19">
        <v>2.2854172791979108</v>
      </c>
      <c r="AE330" s="19">
        <v>2.4661576774347913</v>
      </c>
      <c r="AF330" s="19">
        <v>2.6494890950445513</v>
      </c>
      <c r="AG330" s="19">
        <v>2.8354627777941181</v>
      </c>
      <c r="AH330" s="19">
        <v>3.0241306739052578</v>
      </c>
      <c r="AI330" s="19">
        <v>3.2155454441442384</v>
      </c>
      <c r="AJ330" s="19">
        <v>3.4097604720424455</v>
      </c>
      <c r="AK330" s="19">
        <v>3.4350760707185204</v>
      </c>
      <c r="AL330" s="19">
        <v>3.4607350100467618</v>
      </c>
      <c r="AM330" s="19">
        <v>3.4867408669159645</v>
      </c>
      <c r="AN330" s="19">
        <v>3.5130972595853094</v>
      </c>
      <c r="AO330" s="19">
        <v>3.5398078481423121</v>
      </c>
      <c r="AP330" s="19">
        <v>3.5668763349660924</v>
      </c>
      <c r="AQ330" s="19">
        <v>3.5943064651959578</v>
      </c>
      <c r="AR330" s="19">
        <v>58.256135949597635</v>
      </c>
    </row>
    <row r="331" spans="1:44" x14ac:dyDescent="0.25">
      <c r="A331" t="s">
        <v>250</v>
      </c>
      <c r="B331" t="s">
        <v>270</v>
      </c>
      <c r="C331" t="s">
        <v>43</v>
      </c>
      <c r="D331" t="s">
        <v>271</v>
      </c>
      <c r="E331" t="s">
        <v>145</v>
      </c>
      <c r="F331" t="s">
        <v>271</v>
      </c>
      <c r="G331" t="s">
        <v>31</v>
      </c>
      <c r="H331" t="s">
        <v>275</v>
      </c>
      <c r="I331" t="s">
        <v>135</v>
      </c>
      <c r="J331" t="s">
        <v>39</v>
      </c>
      <c r="K331" t="s">
        <v>31</v>
      </c>
      <c r="L331">
        <v>30.12</v>
      </c>
      <c r="M331">
        <v>0</v>
      </c>
      <c r="N331" s="2">
        <v>0.47836719693862995</v>
      </c>
      <c r="O331" s="2">
        <v>3.9948356401026599</v>
      </c>
      <c r="P331" s="1">
        <v>2.851747483966371</v>
      </c>
      <c r="Q331" s="1">
        <v>4.5233469633551158</v>
      </c>
      <c r="R331" s="1">
        <v>-1.1299449527495848</v>
      </c>
      <c r="S331" s="19">
        <v>3.6519217632843231</v>
      </c>
      <c r="T331" s="19">
        <v>4.8468305642309542</v>
      </c>
      <c r="U331" s="19">
        <v>6.0306689295443645</v>
      </c>
      <c r="V331" s="19">
        <v>7.2035134229621498</v>
      </c>
      <c r="W331" s="19">
        <v>8.3654401380859476</v>
      </c>
      <c r="X331" s="19">
        <v>9.5165247010865706</v>
      </c>
      <c r="Y331" s="19">
        <v>10.656842273394266</v>
      </c>
      <c r="Z331" s="19">
        <v>11.78646755437406</v>
      </c>
      <c r="AA331" s="19">
        <v>12.90547478398633</v>
      </c>
      <c r="AB331" s="19">
        <v>14.01393774543272</v>
      </c>
      <c r="AC331" s="19">
        <v>15.111929767787371</v>
      </c>
      <c r="AD331" s="19">
        <v>16.199523728613674</v>
      </c>
      <c r="AE331" s="19">
        <v>19.389123891171387</v>
      </c>
      <c r="AF331" s="19">
        <v>21.324522836526999</v>
      </c>
      <c r="AG331" s="19">
        <v>22.389459322235329</v>
      </c>
      <c r="AH331" s="19">
        <v>23.420813744143789</v>
      </c>
      <c r="AI331" s="19">
        <v>24.41817822970836</v>
      </c>
      <c r="AJ331" s="19">
        <v>25.381130829899369</v>
      </c>
      <c r="AK331" s="19">
        <v>24.446742235948964</v>
      </c>
      <c r="AL331" s="19">
        <v>2.424997502909759</v>
      </c>
      <c r="AM331" s="19">
        <v>2.1976700742937534</v>
      </c>
      <c r="AN331" s="19">
        <v>1.9671602990518555</v>
      </c>
      <c r="AO331" s="19">
        <v>1.7333989012429067</v>
      </c>
      <c r="AP331" s="19">
        <v>1.4963156480742654</v>
      </c>
      <c r="AQ331" s="19">
        <v>1.2558393359042923</v>
      </c>
      <c r="AR331" s="19">
        <v>292.13442822389374</v>
      </c>
    </row>
    <row r="332" spans="1:44" x14ac:dyDescent="0.25">
      <c r="A332" t="s">
        <v>250</v>
      </c>
      <c r="B332" t="s">
        <v>270</v>
      </c>
      <c r="C332" t="s">
        <v>43</v>
      </c>
      <c r="D332" t="s">
        <v>271</v>
      </c>
      <c r="E332" t="s">
        <v>148</v>
      </c>
      <c r="F332" t="s">
        <v>271</v>
      </c>
      <c r="G332" t="s">
        <v>31</v>
      </c>
      <c r="H332" t="s">
        <v>275</v>
      </c>
      <c r="I332" t="s">
        <v>135</v>
      </c>
      <c r="J332" t="s">
        <v>39</v>
      </c>
      <c r="K332" t="s">
        <v>31</v>
      </c>
      <c r="L332">
        <v>30.12</v>
      </c>
      <c r="M332">
        <v>0</v>
      </c>
      <c r="N332" s="2">
        <v>0.47836719693862995</v>
      </c>
      <c r="O332" s="2">
        <v>3.9948356401026599</v>
      </c>
      <c r="P332" s="1">
        <v>2.851747483966371</v>
      </c>
      <c r="Q332" s="1">
        <v>4.5233469633551158</v>
      </c>
      <c r="R332" s="1">
        <v>-1.1299449527495848</v>
      </c>
      <c r="S332" s="19">
        <v>0.49701925520115398</v>
      </c>
      <c r="T332" s="19">
        <v>0.93147378204592901</v>
      </c>
      <c r="U332" s="19">
        <v>1.1720862834485777</v>
      </c>
      <c r="V332" s="19">
        <v>1.4159299494255448</v>
      </c>
      <c r="W332" s="19">
        <v>1.6630731408678738</v>
      </c>
      <c r="X332" s="19">
        <v>1.9135851483162361</v>
      </c>
      <c r="Y332" s="19">
        <v>2.1675362054757255</v>
      </c>
      <c r="Z332" s="19">
        <v>2.424997502909759</v>
      </c>
      <c r="AA332" s="19">
        <v>2.6860412019145872</v>
      </c>
      <c r="AB332" s="19">
        <v>2.9507404485777831</v>
      </c>
      <c r="AC332" s="19">
        <v>3.219169388022542</v>
      </c>
      <c r="AD332" s="19">
        <v>3.491403178839954</v>
      </c>
      <c r="AE332" s="19">
        <v>3.7675180077128809</v>
      </c>
      <c r="AF332" s="19">
        <v>4.0475911042323025</v>
      </c>
      <c r="AG332" s="19">
        <v>4.3317007559105347</v>
      </c>
      <c r="AH332" s="19">
        <v>4.6199263233914598</v>
      </c>
      <c r="AI332" s="19">
        <v>4.9123482558640514</v>
      </c>
      <c r="AJ332" s="19">
        <v>5.2090481066766037</v>
      </c>
      <c r="AK332" s="19">
        <v>5.247722427771575</v>
      </c>
      <c r="AL332" s="19">
        <v>5.2869212660544722</v>
      </c>
      <c r="AM332" s="19">
        <v>5.326650085893295</v>
      </c>
      <c r="AN332" s="19">
        <v>5.3669144148566801</v>
      </c>
      <c r="AO332" s="19">
        <v>5.4077198444146699</v>
      </c>
      <c r="AP332" s="19">
        <v>5.4490720306446629</v>
      </c>
      <c r="AQ332" s="19">
        <v>5.490976694949337</v>
      </c>
      <c r="AR332" s="19">
        <v>88.997164803418187</v>
      </c>
    </row>
    <row r="333" spans="1:44" x14ac:dyDescent="0.25">
      <c r="A333" t="s">
        <v>250</v>
      </c>
      <c r="B333" t="s">
        <v>270</v>
      </c>
      <c r="C333" t="s">
        <v>43</v>
      </c>
      <c r="D333" t="s">
        <v>271</v>
      </c>
      <c r="E333" t="s">
        <v>145</v>
      </c>
      <c r="F333" t="s">
        <v>271</v>
      </c>
      <c r="G333" t="s">
        <v>31</v>
      </c>
      <c r="H333" t="s">
        <v>276</v>
      </c>
      <c r="I333" t="s">
        <v>135</v>
      </c>
      <c r="J333" t="s">
        <v>39</v>
      </c>
      <c r="K333" t="s">
        <v>31</v>
      </c>
      <c r="L333">
        <v>30.12</v>
      </c>
      <c r="M333">
        <v>0</v>
      </c>
      <c r="N333" s="2">
        <v>0.47836719693862995</v>
      </c>
      <c r="O333" s="2">
        <v>3.9948356401026599</v>
      </c>
      <c r="P333" s="1">
        <v>2.851747483966371</v>
      </c>
      <c r="Q333" s="1">
        <v>4.5233469633551158</v>
      </c>
      <c r="R333" s="1">
        <v>-1.1299449527495848</v>
      </c>
      <c r="S333" s="19">
        <v>8.5187146248234811</v>
      </c>
      <c r="T333" s="19">
        <v>11.334433765481805</v>
      </c>
      <c r="U333" s="19">
        <v>14.138289318217865</v>
      </c>
      <c r="V333" s="19">
        <v>16.930318692779526</v>
      </c>
      <c r="W333" s="19">
        <v>19.71055919411214</v>
      </c>
      <c r="X333" s="19">
        <v>22.479048022633719</v>
      </c>
      <c r="Y333" s="19">
        <v>25.235822274509459</v>
      </c>
      <c r="Z333" s="19">
        <v>27.980918941925548</v>
      </c>
      <c r="AA333" s="19">
        <v>30.714374913362253</v>
      </c>
      <c r="AB333" s="19">
        <v>33.43622697386639</v>
      </c>
      <c r="AC333" s="19">
        <v>36.146511805323051</v>
      </c>
      <c r="AD333" s="19">
        <v>38.845265986726631</v>
      </c>
      <c r="AE333" s="19">
        <v>46.459891162248823</v>
      </c>
      <c r="AF333" s="19">
        <v>50.070948567437064</v>
      </c>
      <c r="AG333" s="19">
        <v>52.76576945828154</v>
      </c>
      <c r="AH333" s="19">
        <v>55.40276454129603</v>
      </c>
      <c r="AI333" s="19">
        <v>57.980684836182789</v>
      </c>
      <c r="AJ333" s="19">
        <v>60.498251222353431</v>
      </c>
      <c r="AK333" s="19">
        <v>59.956337030344407</v>
      </c>
      <c r="AL333" s="19">
        <v>23.547812729088879</v>
      </c>
      <c r="AM333" s="19">
        <v>4.3951413365828822</v>
      </c>
      <c r="AN333" s="19">
        <v>3.943093749217319</v>
      </c>
      <c r="AO333" s="19">
        <v>3.4823408088102279</v>
      </c>
      <c r="AP333" s="19">
        <v>3.0127274716648862</v>
      </c>
      <c r="AQ333" s="19">
        <v>2.5340963726078551</v>
      </c>
      <c r="AR333" s="19">
        <v>709.52034379987822</v>
      </c>
    </row>
    <row r="334" spans="1:44" x14ac:dyDescent="0.25">
      <c r="A334" t="s">
        <v>250</v>
      </c>
      <c r="B334" t="s">
        <v>270</v>
      </c>
      <c r="C334" t="s">
        <v>43</v>
      </c>
      <c r="D334" t="s">
        <v>271</v>
      </c>
      <c r="E334" t="s">
        <v>148</v>
      </c>
      <c r="F334" t="s">
        <v>271</v>
      </c>
      <c r="G334" t="s">
        <v>31</v>
      </c>
      <c r="H334" t="s">
        <v>276</v>
      </c>
      <c r="I334" t="s">
        <v>135</v>
      </c>
      <c r="J334" t="s">
        <v>39</v>
      </c>
      <c r="K334" t="s">
        <v>31</v>
      </c>
      <c r="L334">
        <v>30.12</v>
      </c>
      <c r="M334">
        <v>0</v>
      </c>
      <c r="N334" s="2">
        <v>0.47836719693862995</v>
      </c>
      <c r="O334" s="2">
        <v>3.9948356401026599</v>
      </c>
      <c r="P334" s="1">
        <v>2.851747483966371</v>
      </c>
      <c r="Q334" s="1">
        <v>4.5233469633551158</v>
      </c>
      <c r="R334" s="1">
        <v>-1.1299449527495848</v>
      </c>
      <c r="S334" s="19">
        <v>1.1593800394817786</v>
      </c>
      <c r="T334" s="19">
        <v>1.8320688640364431</v>
      </c>
      <c r="U334" s="19">
        <v>2.3110041472178211</v>
      </c>
      <c r="V334" s="19">
        <v>2.7986001598329242</v>
      </c>
      <c r="W334" s="19">
        <v>3.2950074637545264</v>
      </c>
      <c r="X334" s="19">
        <v>3.8003788472439841</v>
      </c>
      <c r="Y334" s="19">
        <v>4.3148693561359659</v>
      </c>
      <c r="Z334" s="19">
        <v>4.838636325442141</v>
      </c>
      <c r="AA334" s="19">
        <v>5.3718394113790771</v>
      </c>
      <c r="AB334" s="19">
        <v>5.914640623825977</v>
      </c>
      <c r="AC334" s="19">
        <v>6.4672043592189965</v>
      </c>
      <c r="AD334" s="19">
        <v>7.0296974338847376</v>
      </c>
      <c r="AE334" s="19">
        <v>7.602289117823573</v>
      </c>
      <c r="AF334" s="19">
        <v>8.1851511689428786</v>
      </c>
      <c r="AG334" s="19">
        <v>8.7784578677514098</v>
      </c>
      <c r="AH334" s="19">
        <v>9.3823860525170026</v>
      </c>
      <c r="AI334" s="19">
        <v>9.9971151548964947</v>
      </c>
      <c r="AJ334" s="19">
        <v>10.622827236039257</v>
      </c>
      <c r="AK334" s="19">
        <v>10.72353049826593</v>
      </c>
      <c r="AL334" s="19">
        <v>10.825401769738829</v>
      </c>
      <c r="AM334" s="19">
        <v>10.928454067626372</v>
      </c>
      <c r="AN334" s="19">
        <v>11.032700555248011</v>
      </c>
      <c r="AO334" s="19">
        <v>11.138154543709961</v>
      </c>
      <c r="AP334" s="19">
        <v>11.24482949356355</v>
      </c>
      <c r="AQ334" s="19">
        <v>11.352739016481085</v>
      </c>
      <c r="AR334" s="19">
        <v>180.9473635740587</v>
      </c>
    </row>
    <row r="335" spans="1:44" x14ac:dyDescent="0.25">
      <c r="A335" t="s">
        <v>250</v>
      </c>
      <c r="B335" t="s">
        <v>270</v>
      </c>
      <c r="C335" t="s">
        <v>43</v>
      </c>
      <c r="D335" t="s">
        <v>271</v>
      </c>
      <c r="E335" t="s">
        <v>145</v>
      </c>
      <c r="F335" t="s">
        <v>271</v>
      </c>
      <c r="G335" t="s">
        <v>31</v>
      </c>
      <c r="H335" t="s">
        <v>277</v>
      </c>
      <c r="I335" t="s">
        <v>135</v>
      </c>
      <c r="J335" t="s">
        <v>39</v>
      </c>
      <c r="K335" t="s">
        <v>31</v>
      </c>
      <c r="L335">
        <v>30.12</v>
      </c>
      <c r="M335">
        <v>0</v>
      </c>
      <c r="N335" s="2">
        <v>0.47836719693862995</v>
      </c>
      <c r="O335" s="2">
        <v>3.9948356401026599</v>
      </c>
      <c r="P335" s="1">
        <v>2.851747483966371</v>
      </c>
      <c r="Q335" s="1">
        <v>4.5233469633551158</v>
      </c>
      <c r="R335" s="1">
        <v>-1.1299449527495848</v>
      </c>
      <c r="S335" s="19">
        <v>50.386623184039301</v>
      </c>
      <c r="T335" s="19">
        <v>66.865064430147498</v>
      </c>
      <c r="U335" s="19">
        <v>83.186826657546519</v>
      </c>
      <c r="V335" s="19">
        <v>99.353021802867502</v>
      </c>
      <c r="W335" s="19">
        <v>115.36475479661762</v>
      </c>
      <c r="X335" s="19">
        <v>131.2231236045458</v>
      </c>
      <c r="Y335" s="19">
        <v>146.92921926877392</v>
      </c>
      <c r="Z335" s="19">
        <v>162.48412594869478</v>
      </c>
      <c r="AA335" s="19">
        <v>177.88892096163863</v>
      </c>
      <c r="AB335" s="19">
        <v>193.14467482330883</v>
      </c>
      <c r="AC335" s="19">
        <v>208.25245128798807</v>
      </c>
      <c r="AD335" s="19">
        <v>223.21330738851711</v>
      </c>
      <c r="AE335" s="19">
        <v>267.17274811906384</v>
      </c>
      <c r="AF335" s="19">
        <v>294.13383278671938</v>
      </c>
      <c r="AG335" s="19">
        <v>308.76793225782444</v>
      </c>
      <c r="AH335" s="19">
        <v>322.93310512193898</v>
      </c>
      <c r="AI335" s="19">
        <v>336.62383928158152</v>
      </c>
      <c r="AJ335" s="19">
        <v>349.83442702175853</v>
      </c>
      <c r="AK335" s="19">
        <v>331.4064508464686</v>
      </c>
      <c r="AL335" s="19">
        <v>33.686959124588689</v>
      </c>
      <c r="AM335" s="19">
        <v>30.525655222232185</v>
      </c>
      <c r="AN335" s="19">
        <v>27.320887905652999</v>
      </c>
      <c r="AO335" s="19">
        <v>24.071696735028944</v>
      </c>
      <c r="AP335" s="19">
        <v>20.777108106728253</v>
      </c>
      <c r="AQ335" s="19">
        <v>17.436135059902472</v>
      </c>
      <c r="AR335" s="19">
        <v>4022.9828917441746</v>
      </c>
    </row>
    <row r="336" spans="1:44" x14ac:dyDescent="0.25">
      <c r="A336" t="s">
        <v>250</v>
      </c>
      <c r="B336" t="s">
        <v>270</v>
      </c>
      <c r="C336" t="s">
        <v>43</v>
      </c>
      <c r="D336" t="s">
        <v>271</v>
      </c>
      <c r="E336" t="s">
        <v>148</v>
      </c>
      <c r="F336" t="s">
        <v>271</v>
      </c>
      <c r="G336" t="s">
        <v>31</v>
      </c>
      <c r="H336" t="s">
        <v>277</v>
      </c>
      <c r="I336" t="s">
        <v>135</v>
      </c>
      <c r="J336" t="s">
        <v>39</v>
      </c>
      <c r="K336" t="s">
        <v>31</v>
      </c>
      <c r="L336">
        <v>30.12</v>
      </c>
      <c r="M336">
        <v>0</v>
      </c>
      <c r="N336" s="2">
        <v>0.47836719693862995</v>
      </c>
      <c r="O336" s="2">
        <v>3.9948356401026599</v>
      </c>
      <c r="P336" s="1">
        <v>2.851747483966371</v>
      </c>
      <c r="Q336" s="1">
        <v>4.5233469633551158</v>
      </c>
      <c r="R336" s="1">
        <v>-1.1299449527495848</v>
      </c>
      <c r="S336" s="19">
        <v>6.8575187395334849</v>
      </c>
      <c r="T336" s="19">
        <v>12.948556102236616</v>
      </c>
      <c r="U336" s="19">
        <v>16.291415063778942</v>
      </c>
      <c r="V336" s="19">
        <v>19.678413974606769</v>
      </c>
      <c r="W336" s="19">
        <v>23.110500688310172</v>
      </c>
      <c r="X336" s="19">
        <v>26.588635846415432</v>
      </c>
      <c r="Y336" s="19">
        <v>30.11379306513631</v>
      </c>
      <c r="Z336" s="19">
        <v>33.686959124588689</v>
      </c>
      <c r="AA336" s="19">
        <v>37.309134160505991</v>
      </c>
      <c r="AB336" s="19">
        <v>40.9813318584795</v>
      </c>
      <c r="AC336" s="19">
        <v>44.704579650768054</v>
      </c>
      <c r="AD336" s="19">
        <v>48.47991891569928</v>
      </c>
      <c r="AE336" s="19">
        <v>52.308405179707464</v>
      </c>
      <c r="AF336" s="19">
        <v>56.191108322028875</v>
      </c>
      <c r="AG336" s="19">
        <v>60.129112782112017</v>
      </c>
      <c r="AH336" s="19">
        <v>64.123517769743032</v>
      </c>
      <c r="AI336" s="19">
        <v>68.175437477975137</v>
      </c>
      <c r="AJ336" s="19">
        <v>72.286001298822171</v>
      </c>
      <c r="AK336" s="19">
        <v>72.81557527794827</v>
      </c>
      <c r="AL336" s="19">
        <v>73.352414686901454</v>
      </c>
      <c r="AM336" s="19">
        <v>73.896594740831659</v>
      </c>
      <c r="AN336" s="19">
        <v>74.448191527929538</v>
      </c>
      <c r="AO336" s="19">
        <v>75.007282019081586</v>
      </c>
      <c r="AP336" s="19">
        <v>75.573944077624574</v>
      </c>
      <c r="AQ336" s="19">
        <v>76.148256469217728</v>
      </c>
      <c r="AR336" s="19">
        <v>1235.2065988199831</v>
      </c>
    </row>
    <row r="337" spans="1:44" x14ac:dyDescent="0.25">
      <c r="A337" t="s">
        <v>250</v>
      </c>
      <c r="B337" t="s">
        <v>270</v>
      </c>
      <c r="C337" t="s">
        <v>43</v>
      </c>
      <c r="D337" t="s">
        <v>271</v>
      </c>
      <c r="E337" t="s">
        <v>145</v>
      </c>
      <c r="F337" t="s">
        <v>271</v>
      </c>
      <c r="G337" t="s">
        <v>31</v>
      </c>
      <c r="H337" t="s">
        <v>278</v>
      </c>
      <c r="I337" t="s">
        <v>135</v>
      </c>
      <c r="J337" t="s">
        <v>39</v>
      </c>
      <c r="K337" t="s">
        <v>31</v>
      </c>
      <c r="L337">
        <v>30.12</v>
      </c>
      <c r="M337">
        <v>0</v>
      </c>
      <c r="N337" s="2">
        <v>0.47836719693862995</v>
      </c>
      <c r="O337" s="2">
        <v>3.9948356401026599</v>
      </c>
      <c r="P337" s="1">
        <v>2.851747483966371</v>
      </c>
      <c r="Q337" s="1">
        <v>4.5233469633551158</v>
      </c>
      <c r="R337" s="1">
        <v>-1.1299449527495848</v>
      </c>
      <c r="S337" s="19">
        <v>133.30944809798152</v>
      </c>
      <c r="T337" s="19">
        <v>176.14621742013284</v>
      </c>
      <c r="U337" s="19">
        <v>218.2011268291896</v>
      </c>
      <c r="V337" s="19">
        <v>259.48478002527219</v>
      </c>
      <c r="W337" s="19">
        <v>300.00765317255224</v>
      </c>
      <c r="X337" s="19">
        <v>339.78009633599913</v>
      </c>
      <c r="Y337" s="19">
        <v>378.81233490259706</v>
      </c>
      <c r="Z337" s="19">
        <v>417.11447098719282</v>
      </c>
      <c r="AA337" s="19">
        <v>454.69648482313897</v>
      </c>
      <c r="AB337" s="19">
        <v>491.56823613788816</v>
      </c>
      <c r="AC337" s="19">
        <v>527.73946551370125</v>
      </c>
      <c r="AD337" s="19">
        <v>563.21979573362216</v>
      </c>
      <c r="AE337" s="19">
        <v>675.12711859420574</v>
      </c>
      <c r="AF337" s="19">
        <v>770.98543380614831</v>
      </c>
      <c r="AG337" s="19">
        <v>804.22131855888142</v>
      </c>
      <c r="AH337" s="19">
        <v>835.72605055791314</v>
      </c>
      <c r="AI337" s="19">
        <v>865.50049481396229</v>
      </c>
      <c r="AJ337" s="19">
        <v>893.5447112186439</v>
      </c>
      <c r="AK337" s="19">
        <v>358.38968148349755</v>
      </c>
      <c r="AL337" s="19">
        <v>110.11970955498336</v>
      </c>
      <c r="AM337" s="19">
        <v>99.392161243052641</v>
      </c>
      <c r="AN337" s="19">
        <v>88.610859123753087</v>
      </c>
      <c r="AO337" s="19">
        <v>77.772299627091627</v>
      </c>
      <c r="AP337" s="19">
        <v>66.872956753223548</v>
      </c>
      <c r="AQ337" s="19">
        <v>55.90928141639457</v>
      </c>
      <c r="AR337" s="19">
        <v>9962.2521867310206</v>
      </c>
    </row>
    <row r="338" spans="1:44" x14ac:dyDescent="0.25">
      <c r="A338" t="s">
        <v>250</v>
      </c>
      <c r="B338" t="s">
        <v>270</v>
      </c>
      <c r="C338" t="s">
        <v>43</v>
      </c>
      <c r="D338" t="s">
        <v>271</v>
      </c>
      <c r="E338" t="s">
        <v>148</v>
      </c>
      <c r="F338" t="s">
        <v>271</v>
      </c>
      <c r="G338" t="s">
        <v>31</v>
      </c>
      <c r="H338" t="s">
        <v>278</v>
      </c>
      <c r="I338" t="s">
        <v>135</v>
      </c>
      <c r="J338" t="s">
        <v>39</v>
      </c>
      <c r="K338" t="s">
        <v>31</v>
      </c>
      <c r="L338">
        <v>30.12</v>
      </c>
      <c r="M338">
        <v>0</v>
      </c>
      <c r="N338" s="2">
        <v>0.47836719693862995</v>
      </c>
      <c r="O338" s="2">
        <v>3.9948356401026599</v>
      </c>
      <c r="P338" s="1">
        <v>2.851747483966371</v>
      </c>
      <c r="Q338" s="1">
        <v>4.5233469633551158</v>
      </c>
      <c r="R338" s="1">
        <v>-1.1299449527495848</v>
      </c>
      <c r="S338" s="19">
        <v>18.143149525018217</v>
      </c>
      <c r="T338" s="19">
        <v>43.387426559467222</v>
      </c>
      <c r="U338" s="19">
        <v>54.357426823564317</v>
      </c>
      <c r="V338" s="19">
        <v>65.38358031406112</v>
      </c>
      <c r="W338" s="19">
        <v>76.469370133857126</v>
      </c>
      <c r="X338" s="19">
        <v>87.61830052554231</v>
      </c>
      <c r="Y338" s="19">
        <v>98.833897514180563</v>
      </c>
      <c r="Z338" s="19">
        <v>110.11970955498336</v>
      </c>
      <c r="AA338" s="19">
        <v>121.47930818595322</v>
      </c>
      <c r="AB338" s="19">
        <v>132.91628868562964</v>
      </c>
      <c r="AC338" s="19">
        <v>144.43427073602734</v>
      </c>
      <c r="AD338" s="19">
        <v>156.03689909085503</v>
      </c>
      <c r="AE338" s="19">
        <v>167.72784424918387</v>
      </c>
      <c r="AF338" s="19">
        <v>179.51080313457661</v>
      </c>
      <c r="AG338" s="19">
        <v>191.38949977989012</v>
      </c>
      <c r="AH338" s="19">
        <v>203.36768601777649</v>
      </c>
      <c r="AI338" s="19">
        <v>215.44914217705249</v>
      </c>
      <c r="AJ338" s="19">
        <v>227.6376777850156</v>
      </c>
      <c r="AK338" s="19">
        <v>228.51155454839559</v>
      </c>
      <c r="AL338" s="19">
        <v>229.41034155006889</v>
      </c>
      <c r="AM338" s="19">
        <v>230.33418214843519</v>
      </c>
      <c r="AN338" s="19">
        <v>231.28322253351149</v>
      </c>
      <c r="AO338" s="19">
        <v>232.25761174765717</v>
      </c>
      <c r="AP338" s="19">
        <v>233.25750170663093</v>
      </c>
      <c r="AQ338" s="19">
        <v>234.2830472210249</v>
      </c>
      <c r="AR338" s="19">
        <v>3913.5997422483583</v>
      </c>
    </row>
    <row r="339" spans="1:44" x14ac:dyDescent="0.25">
      <c r="A339" t="s">
        <v>250</v>
      </c>
      <c r="B339" t="s">
        <v>270</v>
      </c>
      <c r="C339" t="s">
        <v>43</v>
      </c>
      <c r="D339" t="s">
        <v>271</v>
      </c>
      <c r="E339" t="s">
        <v>145</v>
      </c>
      <c r="F339" t="s">
        <v>271</v>
      </c>
      <c r="G339" t="s">
        <v>31</v>
      </c>
      <c r="H339" t="s">
        <v>253</v>
      </c>
      <c r="I339" t="s">
        <v>135</v>
      </c>
      <c r="J339" t="s">
        <v>39</v>
      </c>
      <c r="K339" t="s">
        <v>31</v>
      </c>
      <c r="L339">
        <v>30.12</v>
      </c>
      <c r="M339">
        <v>0</v>
      </c>
      <c r="N339" s="2">
        <v>0.47836719693862995</v>
      </c>
      <c r="O339" s="2">
        <v>3.9948356401026599</v>
      </c>
      <c r="P339" s="1">
        <v>2.851747483966371</v>
      </c>
      <c r="Q339" s="1">
        <v>4.5233469633551158</v>
      </c>
      <c r="R339" s="1">
        <v>-1.1299449527495848</v>
      </c>
      <c r="S339" s="19">
        <v>1.7373548362192617</v>
      </c>
      <c r="T339" s="19">
        <v>2.3069755751876828</v>
      </c>
      <c r="U339" s="19">
        <v>2.871896219161767</v>
      </c>
      <c r="V339" s="19">
        <v>3.4321457335958439</v>
      </c>
      <c r="W339" s="19">
        <v>3.9877529254361184</v>
      </c>
      <c r="X339" s="19">
        <v>4.5387464439335199</v>
      </c>
      <c r="Y339" s="19">
        <v>5.0851547814525668</v>
      </c>
      <c r="Z339" s="19">
        <v>5.6270062742762335</v>
      </c>
      <c r="AA339" s="19">
        <v>6.1643291034068728</v>
      </c>
      <c r="AB339" s="19">
        <v>6.6971512953631702</v>
      </c>
      <c r="AC339" s="19">
        <v>7.2255007229731953</v>
      </c>
      <c r="AD339" s="19">
        <v>7.7494051061635458</v>
      </c>
      <c r="AE339" s="19">
        <v>9.2738067306464966</v>
      </c>
      <c r="AF339" s="19">
        <v>10.157549946343863</v>
      </c>
      <c r="AG339" s="19">
        <v>10.672698502117299</v>
      </c>
      <c r="AH339" s="19">
        <v>11.17268124371412</v>
      </c>
      <c r="AI339" s="19">
        <v>11.657288576424268</v>
      </c>
      <c r="AJ339" s="19">
        <v>12.126304384855905</v>
      </c>
      <c r="AK339" s="19">
        <v>11.980481830326276</v>
      </c>
      <c r="AL339" s="19">
        <v>1.6253872291630638</v>
      </c>
      <c r="AM339" s="19">
        <v>1.0161084279914865</v>
      </c>
      <c r="AN339" s="19">
        <v>0.90994454485843868</v>
      </c>
      <c r="AO339" s="19">
        <v>0.80217467397057507</v>
      </c>
      <c r="AP339" s="19">
        <v>0.6927659782975073</v>
      </c>
      <c r="AQ339" s="19">
        <v>0.58168515449103897</v>
      </c>
      <c r="AR339" s="19">
        <v>140.09229624037008</v>
      </c>
    </row>
    <row r="340" spans="1:44" x14ac:dyDescent="0.25">
      <c r="A340" t="s">
        <v>250</v>
      </c>
      <c r="B340" t="s">
        <v>270</v>
      </c>
      <c r="C340" t="s">
        <v>43</v>
      </c>
      <c r="D340" t="s">
        <v>271</v>
      </c>
      <c r="E340" t="s">
        <v>148</v>
      </c>
      <c r="F340" t="s">
        <v>271</v>
      </c>
      <c r="G340" t="s">
        <v>31</v>
      </c>
      <c r="H340" t="s">
        <v>253</v>
      </c>
      <c r="I340" t="s">
        <v>135</v>
      </c>
      <c r="J340" t="s">
        <v>39</v>
      </c>
      <c r="K340" t="s">
        <v>31</v>
      </c>
      <c r="L340">
        <v>30.12</v>
      </c>
      <c r="M340">
        <v>0</v>
      </c>
      <c r="N340" s="2">
        <v>0.47836719693862995</v>
      </c>
      <c r="O340" s="2">
        <v>3.9948356401026599</v>
      </c>
      <c r="P340" s="1">
        <v>2.851747483966371</v>
      </c>
      <c r="Q340" s="1">
        <v>4.5233469633551158</v>
      </c>
      <c r="R340" s="1">
        <v>-1.1299449527495848</v>
      </c>
      <c r="S340" s="19">
        <v>0.23645052185927448</v>
      </c>
      <c r="T340" s="19">
        <v>0.42923783973501473</v>
      </c>
      <c r="U340" s="19">
        <v>0.540382584585822</v>
      </c>
      <c r="V340" s="19">
        <v>0.65312378959050355</v>
      </c>
      <c r="W340" s="19">
        <v>0.76749339219582091</v>
      </c>
      <c r="X340" s="19">
        <v>0.88352377665862725</v>
      </c>
      <c r="Y340" s="19">
        <v>1.0012477804443649</v>
      </c>
      <c r="Z340" s="19">
        <v>1.1206987007108709</v>
      </c>
      <c r="AA340" s="19">
        <v>1.2419103008784833</v>
      </c>
      <c r="AB340" s="19">
        <v>1.3649168172876578</v>
      </c>
      <c r="AC340" s="19">
        <v>1.4897529659453539</v>
      </c>
      <c r="AD340" s="19">
        <v>1.6164539493608514</v>
      </c>
      <c r="AE340" s="19">
        <v>1.7450554634731184</v>
      </c>
      <c r="AF340" s="19">
        <v>1.875593704669771</v>
      </c>
      <c r="AG340" s="19">
        <v>2.0081053768999122</v>
      </c>
      <c r="AH340" s="19">
        <v>2.1426276988809954</v>
      </c>
      <c r="AI340" s="19">
        <v>2.2791984114023651</v>
      </c>
      <c r="AJ340" s="19">
        <v>2.4178557847247637</v>
      </c>
      <c r="AK340" s="19">
        <v>2.436798691504003</v>
      </c>
      <c r="AL340" s="19">
        <v>2.455987533877523</v>
      </c>
      <c r="AM340" s="19">
        <v>2.475424932477873</v>
      </c>
      <c r="AN340" s="19">
        <v>2.4951135378896021</v>
      </c>
      <c r="AO340" s="19">
        <v>2.5150560309826497</v>
      </c>
      <c r="AP340" s="19">
        <v>2.5352551232494811</v>
      </c>
      <c r="AQ340" s="19">
        <v>2.5557135571466998</v>
      </c>
      <c r="AR340" s="19">
        <v>41.2829782664314</v>
      </c>
    </row>
    <row r="341" spans="1:44" x14ac:dyDescent="0.25">
      <c r="A341" t="s">
        <v>250</v>
      </c>
      <c r="B341" t="s">
        <v>270</v>
      </c>
      <c r="C341" t="s">
        <v>43</v>
      </c>
      <c r="D341" t="s">
        <v>271</v>
      </c>
      <c r="E341" t="s">
        <v>145</v>
      </c>
      <c r="F341" t="s">
        <v>271</v>
      </c>
      <c r="G341" t="s">
        <v>31</v>
      </c>
      <c r="H341" t="s">
        <v>274</v>
      </c>
      <c r="I341" t="s">
        <v>135</v>
      </c>
      <c r="J341" t="s">
        <v>39</v>
      </c>
      <c r="K341" t="s">
        <v>33</v>
      </c>
      <c r="L341">
        <v>30.12</v>
      </c>
      <c r="M341">
        <v>0</v>
      </c>
      <c r="N341" s="2">
        <v>0.47836719693862995</v>
      </c>
      <c r="O341" s="2">
        <v>3.9948356401026599</v>
      </c>
      <c r="P341" s="1">
        <v>2.851747483966371</v>
      </c>
      <c r="Q341" s="1">
        <v>4.5233469633551158</v>
      </c>
      <c r="R341" s="1">
        <v>-1.1299449527495848</v>
      </c>
      <c r="S341" s="19">
        <v>7.6913606960664228E-3</v>
      </c>
      <c r="T341" s="19">
        <v>1.0207973915819357E-2</v>
      </c>
      <c r="U341" s="19">
        <v>1.270127154475823E-2</v>
      </c>
      <c r="V341" s="19">
        <v>1.5171414834782808E-2</v>
      </c>
      <c r="W341" s="19">
        <v>1.7618564047633276E-2</v>
      </c>
      <c r="X341" s="19">
        <v>2.0042878460587613E-2</v>
      </c>
      <c r="Y341" s="19">
        <v>2.2444516372127517E-2</v>
      </c>
      <c r="Z341" s="19">
        <v>2.482363510757303E-2</v>
      </c>
      <c r="AA341" s="19">
        <v>2.7180391024686012E-2</v>
      </c>
      <c r="AB341" s="19">
        <v>2.9514939519242687E-2</v>
      </c>
      <c r="AC341" s="19">
        <v>3.1827435030575349E-2</v>
      </c>
      <c r="AD341" s="19">
        <v>3.4118031047083532E-2</v>
      </c>
      <c r="AE341" s="19">
        <v>4.0835690108979895E-2</v>
      </c>
      <c r="AF341" s="19">
        <v>4.4911859409531719E-2</v>
      </c>
      <c r="AG341" s="19">
        <v>4.7154736218211694E-2</v>
      </c>
      <c r="AH341" s="19">
        <v>4.932688539844135E-2</v>
      </c>
      <c r="AI341" s="19">
        <v>5.1427447924464617E-2</v>
      </c>
      <c r="AJ341" s="19">
        <v>5.3455535123852829E-2</v>
      </c>
      <c r="AK341" s="19">
        <v>5.1487606955561482E-2</v>
      </c>
      <c r="AL341" s="19">
        <v>5.107319294038023E-3</v>
      </c>
      <c r="AM341" s="19">
        <v>4.6285419918587339E-3</v>
      </c>
      <c r="AN341" s="19">
        <v>4.1430623073870614E-3</v>
      </c>
      <c r="AO341" s="19">
        <v>3.6507343376475567E-3</v>
      </c>
      <c r="AP341" s="19">
        <v>3.1514101644273011E-3</v>
      </c>
      <c r="AQ341" s="19">
        <v>2.6449398247955962E-3</v>
      </c>
      <c r="AR341" s="19">
        <v>0.61526818066013367</v>
      </c>
    </row>
    <row r="342" spans="1:44" x14ac:dyDescent="0.25">
      <c r="A342" t="s">
        <v>250</v>
      </c>
      <c r="B342" t="s">
        <v>270</v>
      </c>
      <c r="C342" t="s">
        <v>43</v>
      </c>
      <c r="D342" t="s">
        <v>271</v>
      </c>
      <c r="E342" t="s">
        <v>148</v>
      </c>
      <c r="F342" t="s">
        <v>271</v>
      </c>
      <c r="G342" t="s">
        <v>31</v>
      </c>
      <c r="H342" t="s">
        <v>274</v>
      </c>
      <c r="I342" t="s">
        <v>135</v>
      </c>
      <c r="J342" t="s">
        <v>39</v>
      </c>
      <c r="K342" t="s">
        <v>33</v>
      </c>
      <c r="L342">
        <v>30.12</v>
      </c>
      <c r="M342">
        <v>0</v>
      </c>
      <c r="N342" s="2">
        <v>0.47836719693862995</v>
      </c>
      <c r="O342" s="2">
        <v>3.9948356401026599</v>
      </c>
      <c r="P342" s="1">
        <v>2.851747483966371</v>
      </c>
      <c r="Q342" s="1">
        <v>4.5233469633551158</v>
      </c>
      <c r="R342" s="1">
        <v>-1.1299449527495848</v>
      </c>
      <c r="S342" s="19">
        <v>1.0467788228859542E-3</v>
      </c>
      <c r="T342" s="19">
        <v>1.9617892444117649E-3</v>
      </c>
      <c r="U342" s="19">
        <v>2.4685464139865563E-3</v>
      </c>
      <c r="V342" s="19">
        <v>2.9821087819802295E-3</v>
      </c>
      <c r="W342" s="19">
        <v>3.5026203241690273E-3</v>
      </c>
      <c r="X342" s="19">
        <v>4.0302269742765228E-3</v>
      </c>
      <c r="Y342" s="19">
        <v>4.5650766524372782E-3</v>
      </c>
      <c r="Z342" s="19">
        <v>5.107319294038023E-3</v>
      </c>
      <c r="AA342" s="19">
        <v>5.6571068789384518E-3</v>
      </c>
      <c r="AB342" s="19">
        <v>6.2145934610805913E-3</v>
      </c>
      <c r="AC342" s="19">
        <v>6.7799351984883212E-3</v>
      </c>
      <c r="AD342" s="19">
        <v>7.353290383663706E-3</v>
      </c>
      <c r="AE342" s="19">
        <v>7.9348194743867947E-3</v>
      </c>
      <c r="AF342" s="19">
        <v>8.5246851249197488E-3</v>
      </c>
      <c r="AG342" s="19">
        <v>9.1230522176270566E-3</v>
      </c>
      <c r="AH342" s="19">
        <v>9.7300878950097834E-3</v>
      </c>
      <c r="AI342" s="19">
        <v>1.034596159216832E-2</v>
      </c>
      <c r="AJ342" s="19">
        <v>1.0970845069687166E-2</v>
      </c>
      <c r="AK342" s="19">
        <v>1.1052297568535364E-2</v>
      </c>
      <c r="AL342" s="19">
        <v>1.1134854759965822E-2</v>
      </c>
      <c r="AM342" s="19">
        <v>1.1218528152556265E-2</v>
      </c>
      <c r="AN342" s="19">
        <v>1.1303329387992705E-2</v>
      </c>
      <c r="AO342" s="19">
        <v>1.1389270242542904E-2</v>
      </c>
      <c r="AP342" s="19">
        <v>1.1476362628547464E-2</v>
      </c>
      <c r="AQ342" s="19">
        <v>1.1564618595927336E-2</v>
      </c>
      <c r="AR342" s="19">
        <v>0.18743810514022313</v>
      </c>
    </row>
    <row r="343" spans="1:44" x14ac:dyDescent="0.25">
      <c r="A343" t="s">
        <v>250</v>
      </c>
      <c r="B343" t="s">
        <v>270</v>
      </c>
      <c r="C343" t="s">
        <v>43</v>
      </c>
      <c r="D343" t="s">
        <v>271</v>
      </c>
      <c r="E343" t="s">
        <v>145</v>
      </c>
      <c r="F343" t="s">
        <v>271</v>
      </c>
      <c r="G343" t="s">
        <v>31</v>
      </c>
      <c r="H343" t="s">
        <v>253</v>
      </c>
      <c r="I343" t="s">
        <v>256</v>
      </c>
      <c r="J343" t="s">
        <v>39</v>
      </c>
      <c r="K343" t="s">
        <v>31</v>
      </c>
      <c r="L343">
        <v>30.12</v>
      </c>
      <c r="M343">
        <v>0</v>
      </c>
      <c r="N343" s="2">
        <v>0.31690942763799917</v>
      </c>
      <c r="O343" s="2">
        <v>2.6465047861031121</v>
      </c>
      <c r="P343" s="1">
        <v>3.58207699444247</v>
      </c>
      <c r="Q343" s="1">
        <v>0.4672931329656026</v>
      </c>
      <c r="R343" s="1">
        <v>-0.39961544227348605</v>
      </c>
      <c r="S343" s="19">
        <v>0.91134843752525829</v>
      </c>
      <c r="T343" s="19">
        <v>1.2101492119085395</v>
      </c>
      <c r="U343" s="19">
        <v>1.5064845001746436</v>
      </c>
      <c r="V343" s="19">
        <v>1.8003694964687127</v>
      </c>
      <c r="W343" s="19">
        <v>2.0918193117887229</v>
      </c>
      <c r="X343" s="19">
        <v>2.3808489744118733</v>
      </c>
      <c r="Y343" s="19">
        <v>2.6674734303188825</v>
      </c>
      <c r="Z343" s="19">
        <v>2.9517075436161941</v>
      </c>
      <c r="AA343" s="19">
        <v>3.2335660969561046</v>
      </c>
      <c r="AB343" s="19">
        <v>3.5130637919548202</v>
      </c>
      <c r="AC343" s="19">
        <v>3.790215249608456</v>
      </c>
      <c r="AD343" s="19">
        <v>4.065035010706989</v>
      </c>
      <c r="AE343" s="19">
        <v>4.8646765172496238</v>
      </c>
      <c r="AF343" s="19">
        <v>5.3282536645363638</v>
      </c>
      <c r="AG343" s="19">
        <v>5.5984804608188989</v>
      </c>
      <c r="AH343" s="19">
        <v>5.8607518637842499</v>
      </c>
      <c r="AI343" s="19">
        <v>6.1149579282401305</v>
      </c>
      <c r="AJ343" s="19">
        <v>6.36098528849947</v>
      </c>
      <c r="AK343" s="19">
        <v>6.2844924762909278</v>
      </c>
      <c r="AL343" s="19">
        <v>0.85261460744239925</v>
      </c>
      <c r="AM343" s="19">
        <v>0.53301076377780754</v>
      </c>
      <c r="AN343" s="19">
        <v>0.47732134040965551</v>
      </c>
      <c r="AO343" s="19">
        <v>0.42078947864001937</v>
      </c>
      <c r="AP343" s="19">
        <v>0.36339795344628478</v>
      </c>
      <c r="AQ343" s="19">
        <v>0.30512929519375831</v>
      </c>
      <c r="AR343" s="19">
        <v>73.486942693768782</v>
      </c>
    </row>
    <row r="344" spans="1:44" x14ac:dyDescent="0.25">
      <c r="A344" t="s">
        <v>250</v>
      </c>
      <c r="B344" t="s">
        <v>270</v>
      </c>
      <c r="C344" t="s">
        <v>43</v>
      </c>
      <c r="D344" t="s">
        <v>271</v>
      </c>
      <c r="E344" t="s">
        <v>148</v>
      </c>
      <c r="F344" t="s">
        <v>271</v>
      </c>
      <c r="G344" t="s">
        <v>31</v>
      </c>
      <c r="H344" t="s">
        <v>253</v>
      </c>
      <c r="I344" t="s">
        <v>256</v>
      </c>
      <c r="J344" t="s">
        <v>39</v>
      </c>
      <c r="K344" t="s">
        <v>31</v>
      </c>
      <c r="L344">
        <v>30.12</v>
      </c>
      <c r="M344">
        <v>0</v>
      </c>
      <c r="N344" s="2">
        <v>0.31690942763799917</v>
      </c>
      <c r="O344" s="2">
        <v>2.6465047861031121</v>
      </c>
      <c r="P344" s="1">
        <v>3.58207699444247</v>
      </c>
      <c r="Q344" s="1">
        <v>0.4672931329656026</v>
      </c>
      <c r="R344" s="1">
        <v>-0.39961544227348605</v>
      </c>
      <c r="S344" s="19">
        <v>0.12403270141257788</v>
      </c>
      <c r="T344" s="19">
        <v>0.22516139271842744</v>
      </c>
      <c r="U344" s="19">
        <v>0.28346358145227718</v>
      </c>
      <c r="V344" s="19">
        <v>0.34260321078057415</v>
      </c>
      <c r="W344" s="19">
        <v>0.40259703383952367</v>
      </c>
      <c r="X344" s="19">
        <v>0.46346203814443138</v>
      </c>
      <c r="Y344" s="19">
        <v>0.5252154489461186</v>
      </c>
      <c r="Z344" s="19">
        <v>0.5878747326320668</v>
      </c>
      <c r="AA344" s="19">
        <v>0.65145760017287579</v>
      </c>
      <c r="AB344" s="19">
        <v>0.71598201061448319</v>
      </c>
      <c r="AC344" s="19">
        <v>0.78146617461717893</v>
      </c>
      <c r="AD344" s="19">
        <v>0.8479285580413316</v>
      </c>
      <c r="AE344" s="19">
        <v>0.91538788558127582</v>
      </c>
      <c r="AF344" s="19">
        <v>0.98386314444707301</v>
      </c>
      <c r="AG344" s="19">
        <v>1.0533735880957584</v>
      </c>
      <c r="AH344" s="19">
        <v>1.1239387400117249</v>
      </c>
      <c r="AI344" s="19">
        <v>1.1955783975378087</v>
      </c>
      <c r="AJ344" s="19">
        <v>1.268312635756931</v>
      </c>
      <c r="AK344" s="19">
        <v>1.2782493442148548</v>
      </c>
      <c r="AL344" s="19">
        <v>1.288315060872411</v>
      </c>
      <c r="AM344" s="19">
        <v>1.2985111604110224</v>
      </c>
      <c r="AN344" s="19">
        <v>1.3088390332237465</v>
      </c>
      <c r="AO344" s="19">
        <v>1.3193000855901209</v>
      </c>
      <c r="AP344" s="19">
        <v>1.3298957398531923</v>
      </c>
      <c r="AQ344" s="19">
        <v>1.3406274345984166</v>
      </c>
      <c r="AR344" s="19">
        <v>21.655436733566205</v>
      </c>
    </row>
    <row r="345" spans="1:44" x14ac:dyDescent="0.25">
      <c r="A345" t="s">
        <v>250</v>
      </c>
      <c r="B345" t="s">
        <v>270</v>
      </c>
      <c r="C345" t="s">
        <v>43</v>
      </c>
      <c r="D345" t="s">
        <v>271</v>
      </c>
      <c r="E345" t="s">
        <v>145</v>
      </c>
      <c r="F345" t="s">
        <v>271</v>
      </c>
      <c r="G345" t="s">
        <v>31</v>
      </c>
      <c r="H345" t="s">
        <v>272</v>
      </c>
      <c r="I345" t="s">
        <v>135</v>
      </c>
      <c r="J345" t="s">
        <v>40</v>
      </c>
      <c r="K345" t="s">
        <v>31</v>
      </c>
      <c r="L345">
        <v>30.12</v>
      </c>
      <c r="M345">
        <v>0</v>
      </c>
      <c r="N345" s="2">
        <v>0.47836719693862995</v>
      </c>
      <c r="O345" s="2">
        <v>2.8220930578635595</v>
      </c>
      <c r="P345" s="1">
        <v>2.851747483966371</v>
      </c>
      <c r="Q345" s="1">
        <v>0.4672931329656026</v>
      </c>
      <c r="R345" s="1">
        <v>-0.98694495274958494</v>
      </c>
      <c r="S345" s="19">
        <v>0.49944031393269545</v>
      </c>
      <c r="T345" s="19">
        <v>0.66285718465147347</v>
      </c>
      <c r="U345" s="19">
        <v>0.82476005200259583</v>
      </c>
      <c r="V345" s="19">
        <v>0.98515938691606053</v>
      </c>
      <c r="W345" s="19">
        <v>1.144065596025621</v>
      </c>
      <c r="X345" s="19">
        <v>1.3014890220387465</v>
      </c>
      <c r="Y345" s="19">
        <v>1.4574399441045387</v>
      </c>
      <c r="Z345" s="19">
        <v>1.6119285781796195</v>
      </c>
      <c r="AA345" s="19">
        <v>1.7649650773919927</v>
      </c>
      <c r="AB345" s="19">
        <v>1.9165595324028979</v>
      </c>
      <c r="AC345" s="19">
        <v>2.0667219717666652</v>
      </c>
      <c r="AD345" s="19">
        <v>2.2154623622885801</v>
      </c>
      <c r="AE345" s="19">
        <v>2.651675131829113</v>
      </c>
      <c r="AF345" s="19">
        <v>2.916362143082087</v>
      </c>
      <c r="AG345" s="19">
        <v>3.0620038756317478</v>
      </c>
      <c r="AH345" s="19">
        <v>3.203052893010093</v>
      </c>
      <c r="AI345" s="19">
        <v>3.3394534141778021</v>
      </c>
      <c r="AJ345" s="19">
        <v>3.4711477329819314</v>
      </c>
      <c r="AK345" s="19">
        <v>3.3433598549968195</v>
      </c>
      <c r="AL345" s="19">
        <v>0.3316449783551812</v>
      </c>
      <c r="AM345" s="19">
        <v>0.30055546174643644</v>
      </c>
      <c r="AN345" s="19">
        <v>0.26903072436875336</v>
      </c>
      <c r="AO345" s="19">
        <v>0.2370612919781602</v>
      </c>
      <c r="AP345" s="19">
        <v>0.20463755947074908</v>
      </c>
      <c r="AQ345" s="19">
        <v>0.17174978896836743</v>
      </c>
      <c r="AR345" s="19">
        <v>39.952583872298725</v>
      </c>
    </row>
    <row r="346" spans="1:44" x14ac:dyDescent="0.25">
      <c r="A346" t="s">
        <v>250</v>
      </c>
      <c r="B346" t="s">
        <v>270</v>
      </c>
      <c r="C346" t="s">
        <v>43</v>
      </c>
      <c r="D346" t="s">
        <v>271</v>
      </c>
      <c r="E346" t="s">
        <v>148</v>
      </c>
      <c r="F346" t="s">
        <v>271</v>
      </c>
      <c r="G346" t="s">
        <v>31</v>
      </c>
      <c r="H346" t="s">
        <v>272</v>
      </c>
      <c r="I346" t="s">
        <v>135</v>
      </c>
      <c r="J346" t="s">
        <v>40</v>
      </c>
      <c r="K346" t="s">
        <v>31</v>
      </c>
      <c r="L346">
        <v>30.12</v>
      </c>
      <c r="M346">
        <v>0</v>
      </c>
      <c r="N346" s="2">
        <v>0.47836719693862995</v>
      </c>
      <c r="O346" s="2">
        <v>2.8220930578635595</v>
      </c>
      <c r="P346" s="1">
        <v>2.851747483966371</v>
      </c>
      <c r="Q346" s="1">
        <v>0.4672931329656026</v>
      </c>
      <c r="R346" s="1">
        <v>-0.98694495274958494</v>
      </c>
      <c r="S346" s="19">
        <v>6.7972828811374675E-2</v>
      </c>
      <c r="T346" s="19">
        <v>0.12738924552061254</v>
      </c>
      <c r="U346" s="19">
        <v>0.16029564139273894</v>
      </c>
      <c r="V346" s="19">
        <v>0.19364393442312289</v>
      </c>
      <c r="W346" s="19">
        <v>0.22744347371261481</v>
      </c>
      <c r="X346" s="19">
        <v>0.26170373550184817</v>
      </c>
      <c r="Y346" s="19">
        <v>0.29643432501951872</v>
      </c>
      <c r="Z346" s="19">
        <v>0.3316449783551812</v>
      </c>
      <c r="AA346" s="19">
        <v>0.36734556435675558</v>
      </c>
      <c r="AB346" s="19">
        <v>0.4035460865531299</v>
      </c>
      <c r="AC346" s="19">
        <v>0.4402566851022976</v>
      </c>
      <c r="AD346" s="19">
        <v>0.47748763876508138</v>
      </c>
      <c r="AE346" s="19">
        <v>0.5152493669051027</v>
      </c>
      <c r="AF346" s="19">
        <v>0.55355243151510369</v>
      </c>
      <c r="AG346" s="19">
        <v>0.59240753927016843</v>
      </c>
      <c r="AH346" s="19">
        <v>0.63182554360788867</v>
      </c>
      <c r="AI346" s="19">
        <v>0.6718174468362591</v>
      </c>
      <c r="AJ346" s="19">
        <v>0.71239440226926465</v>
      </c>
      <c r="AK346" s="19">
        <v>0.71768353941974616</v>
      </c>
      <c r="AL346" s="19">
        <v>0.72304441004261666</v>
      </c>
      <c r="AM346" s="19">
        <v>0.72847776145006926</v>
      </c>
      <c r="AN346" s="19">
        <v>0.73398434959770587</v>
      </c>
      <c r="AO346" s="19">
        <v>0.73956493918028177</v>
      </c>
      <c r="AP346" s="19">
        <v>0.74522030372839299</v>
      </c>
      <c r="AQ346" s="19">
        <v>0.75095122570649109</v>
      </c>
      <c r="AR346" s="19">
        <v>12.171337397043366</v>
      </c>
    </row>
    <row r="347" spans="1:44" x14ac:dyDescent="0.25">
      <c r="A347" t="s">
        <v>250</v>
      </c>
      <c r="B347" t="s">
        <v>270</v>
      </c>
      <c r="C347" t="s">
        <v>43</v>
      </c>
      <c r="D347" t="s">
        <v>271</v>
      </c>
      <c r="E347" t="s">
        <v>145</v>
      </c>
      <c r="F347" t="s">
        <v>271</v>
      </c>
      <c r="G347" t="s">
        <v>31</v>
      </c>
      <c r="H347" t="s">
        <v>277</v>
      </c>
      <c r="I347" t="s">
        <v>135</v>
      </c>
      <c r="J347" t="s">
        <v>40</v>
      </c>
      <c r="K347" t="s">
        <v>31</v>
      </c>
      <c r="L347">
        <v>30.12</v>
      </c>
      <c r="M347">
        <v>0</v>
      </c>
      <c r="N347" s="2">
        <v>0.47836719693862995</v>
      </c>
      <c r="O347" s="2">
        <v>2.8220930578635595</v>
      </c>
      <c r="P347" s="1">
        <v>2.851747483966371</v>
      </c>
      <c r="Q347" s="1">
        <v>0.4672931329656026</v>
      </c>
      <c r="R347" s="1">
        <v>-0.98694495274958494</v>
      </c>
      <c r="S347" s="19">
        <v>7.9482575260173167</v>
      </c>
      <c r="T347" s="19">
        <v>10.547655667326019</v>
      </c>
      <c r="U347" s="19">
        <v>13.1223384157203</v>
      </c>
      <c r="V347" s="19">
        <v>15.672481174077721</v>
      </c>
      <c r="W347" s="19">
        <v>18.198258240092084</v>
      </c>
      <c r="X347" s="19">
        <v>20.699842812798689</v>
      </c>
      <c r="Y347" s="19">
        <v>23.177406999062569</v>
      </c>
      <c r="Z347" s="19">
        <v>25.631121820029986</v>
      </c>
      <c r="AA347" s="19">
        <v>28.061157217543393</v>
      </c>
      <c r="AB347" s="19">
        <v>30.467682060519927</v>
      </c>
      <c r="AC347" s="19">
        <v>32.850864151293791</v>
      </c>
      <c r="AD347" s="19">
        <v>35.21087023192274</v>
      </c>
      <c r="AE347" s="19">
        <v>42.145269355076472</v>
      </c>
      <c r="AF347" s="19">
        <v>46.398256171370328</v>
      </c>
      <c r="AG347" s="19">
        <v>48.706717900048709</v>
      </c>
      <c r="AH347" s="19">
        <v>50.941208618216159</v>
      </c>
      <c r="AI347" s="19">
        <v>53.10085881790549</v>
      </c>
      <c r="AJ347" s="19">
        <v>55.1847681333889</v>
      </c>
      <c r="AK347" s="19">
        <v>52.277839844316702</v>
      </c>
      <c r="AL347" s="19">
        <v>5.3139625057363</v>
      </c>
      <c r="AM347" s="19">
        <v>4.8152813886836219</v>
      </c>
      <c r="AN347" s="19">
        <v>4.3097441184025813</v>
      </c>
      <c r="AO347" s="19">
        <v>3.7971991899391231</v>
      </c>
      <c r="AP347" s="19">
        <v>3.2774930218084095</v>
      </c>
      <c r="AQ347" s="19">
        <v>2.750469925486553</v>
      </c>
      <c r="AR347" s="19">
        <v>634.60700530678389</v>
      </c>
    </row>
    <row r="348" spans="1:44" x14ac:dyDescent="0.25">
      <c r="A348" t="s">
        <v>250</v>
      </c>
      <c r="B348" t="s">
        <v>270</v>
      </c>
      <c r="C348" t="s">
        <v>43</v>
      </c>
      <c r="D348" t="s">
        <v>271</v>
      </c>
      <c r="E348" t="s">
        <v>148</v>
      </c>
      <c r="F348" t="s">
        <v>271</v>
      </c>
      <c r="G348" t="s">
        <v>31</v>
      </c>
      <c r="H348" t="s">
        <v>277</v>
      </c>
      <c r="I348" t="s">
        <v>135</v>
      </c>
      <c r="J348" t="s">
        <v>40</v>
      </c>
      <c r="K348" t="s">
        <v>31</v>
      </c>
      <c r="L348">
        <v>30.12</v>
      </c>
      <c r="M348">
        <v>0</v>
      </c>
      <c r="N348" s="2">
        <v>0.47836719693862995</v>
      </c>
      <c r="O348" s="2">
        <v>2.8220930578635595</v>
      </c>
      <c r="P348" s="1">
        <v>2.851747483966371</v>
      </c>
      <c r="Q348" s="1">
        <v>0.4672931329656026</v>
      </c>
      <c r="R348" s="1">
        <v>-0.98694495274958494</v>
      </c>
      <c r="S348" s="19">
        <v>1.0817419681453699</v>
      </c>
      <c r="T348" s="19">
        <v>2.0425750325586658</v>
      </c>
      <c r="U348" s="19">
        <v>2.5698956232329855</v>
      </c>
      <c r="V348" s="19">
        <v>3.1041790874229087</v>
      </c>
      <c r="W348" s="19">
        <v>3.6455749446626182</v>
      </c>
      <c r="X348" s="19">
        <v>4.1942347317243485</v>
      </c>
      <c r="Y348" s="19">
        <v>4.7503120320775123</v>
      </c>
      <c r="Z348" s="19">
        <v>5.3139625057363</v>
      </c>
      <c r="AA348" s="19">
        <v>5.885343919502203</v>
      </c>
      <c r="AB348" s="19">
        <v>6.4646161776038715</v>
      </c>
      <c r="AC348" s="19">
        <v>7.0519413527440884</v>
      </c>
      <c r="AD348" s="19">
        <v>7.6474837175529586</v>
      </c>
      <c r="AE348" s="19">
        <v>8.251409776459667</v>
      </c>
      <c r="AF348" s="19">
        <v>8.8638882979818074</v>
      </c>
      <c r="AG348" s="19">
        <v>9.4850903474425809</v>
      </c>
      <c r="AH348" s="19">
        <v>10.115189320119253</v>
      </c>
      <c r="AI348" s="19">
        <v>10.754360974828804</v>
      </c>
      <c r="AJ348" s="19">
        <v>11.402783467955466</v>
      </c>
      <c r="AK348" s="19">
        <v>11.486321321837574</v>
      </c>
      <c r="AL348" s="19">
        <v>11.57100526378181</v>
      </c>
      <c r="AM348" s="19">
        <v>11.656847158630658</v>
      </c>
      <c r="AN348" s="19">
        <v>11.743859008945886</v>
      </c>
      <c r="AO348" s="19">
        <v>11.832052956529967</v>
      </c>
      <c r="AP348" s="19">
        <v>11.921441283964873</v>
      </c>
      <c r="AQ348" s="19">
        <v>12.012036416170972</v>
      </c>
      <c r="AR348" s="19">
        <v>194.84814668761317</v>
      </c>
    </row>
    <row r="349" spans="1:44" x14ac:dyDescent="0.25">
      <c r="A349" t="s">
        <v>250</v>
      </c>
      <c r="B349" t="s">
        <v>270</v>
      </c>
      <c r="C349" t="s">
        <v>43</v>
      </c>
      <c r="D349" t="s">
        <v>271</v>
      </c>
      <c r="E349" t="s">
        <v>145</v>
      </c>
      <c r="F349" t="s">
        <v>271</v>
      </c>
      <c r="G349" t="s">
        <v>31</v>
      </c>
      <c r="H349" t="s">
        <v>253</v>
      </c>
      <c r="I349" t="s">
        <v>135</v>
      </c>
      <c r="J349" t="s">
        <v>40</v>
      </c>
      <c r="K349" t="s">
        <v>31</v>
      </c>
      <c r="L349">
        <v>30.12</v>
      </c>
      <c r="M349">
        <v>0</v>
      </c>
      <c r="N349" s="2">
        <v>0.47836719693862995</v>
      </c>
      <c r="O349" s="2">
        <v>2.8220930578635595</v>
      </c>
      <c r="P349" s="1">
        <v>2.851747483966371</v>
      </c>
      <c r="Q349" s="1">
        <v>0.4672931329656026</v>
      </c>
      <c r="R349" s="1">
        <v>-0.98694495274958494</v>
      </c>
      <c r="S349" s="19">
        <v>0.9138847529356674</v>
      </c>
      <c r="T349" s="19">
        <v>1.2135171005981746</v>
      </c>
      <c r="U349" s="19">
        <v>1.5106771006071529</v>
      </c>
      <c r="V349" s="19">
        <v>1.805379989393596</v>
      </c>
      <c r="W349" s="19">
        <v>2.0976409200099289</v>
      </c>
      <c r="X349" s="19">
        <v>2.3874749625575866</v>
      </c>
      <c r="Y349" s="19">
        <v>2.6748971046124876</v>
      </c>
      <c r="Z349" s="19">
        <v>2.9599222516484187</v>
      </c>
      <c r="AA349" s="19">
        <v>3.2425652274583263</v>
      </c>
      <c r="AB349" s="19">
        <v>3.5228407745735426</v>
      </c>
      <c r="AC349" s="19">
        <v>3.8007635546809402</v>
      </c>
      <c r="AD349" s="19">
        <v>4.0763481490380364</v>
      </c>
      <c r="AE349" s="19">
        <v>4.8782150865929363</v>
      </c>
      <c r="AF349" s="19">
        <v>5.3430823857186027</v>
      </c>
      <c r="AG349" s="19">
        <v>5.6140612328737722</v>
      </c>
      <c r="AH349" s="19">
        <v>5.8770625465666475</v>
      </c>
      <c r="AI349" s="19">
        <v>6.1319760756234905</v>
      </c>
      <c r="AJ349" s="19">
        <v>6.3786881388564751</v>
      </c>
      <c r="AK349" s="19">
        <v>6.3019824444061969</v>
      </c>
      <c r="AL349" s="19">
        <v>0.85498746449573859</v>
      </c>
      <c r="AM349" s="19">
        <v>0.53449415186343263</v>
      </c>
      <c r="AN349" s="19">
        <v>0.47864974283133482</v>
      </c>
      <c r="AO349" s="19">
        <v>0.42196055086142592</v>
      </c>
      <c r="AP349" s="19">
        <v>0.36440930299327146</v>
      </c>
      <c r="AQ349" s="19">
        <v>0.30597848097352953</v>
      </c>
      <c r="AR349" s="19">
        <v>73.691459492770704</v>
      </c>
    </row>
    <row r="350" spans="1:44" x14ac:dyDescent="0.25">
      <c r="A350" t="s">
        <v>250</v>
      </c>
      <c r="B350" t="s">
        <v>270</v>
      </c>
      <c r="C350" t="s">
        <v>43</v>
      </c>
      <c r="D350" t="s">
        <v>271</v>
      </c>
      <c r="E350" t="s">
        <v>148</v>
      </c>
      <c r="F350" t="s">
        <v>271</v>
      </c>
      <c r="G350" t="s">
        <v>31</v>
      </c>
      <c r="H350" t="s">
        <v>253</v>
      </c>
      <c r="I350" t="s">
        <v>135</v>
      </c>
      <c r="J350" t="s">
        <v>40</v>
      </c>
      <c r="K350" t="s">
        <v>31</v>
      </c>
      <c r="L350">
        <v>30.12</v>
      </c>
      <c r="M350">
        <v>0</v>
      </c>
      <c r="N350" s="2">
        <v>0.47836719693862995</v>
      </c>
      <c r="O350" s="2">
        <v>2.8220930578635595</v>
      </c>
      <c r="P350" s="1">
        <v>2.851747483966371</v>
      </c>
      <c r="Q350" s="1">
        <v>0.4672931329656026</v>
      </c>
      <c r="R350" s="1">
        <v>-0.98694495274958494</v>
      </c>
      <c r="S350" s="19">
        <v>0.12437788887220808</v>
      </c>
      <c r="T350" s="19">
        <v>0.22578802495552344</v>
      </c>
      <c r="U350" s="19">
        <v>0.28425247077311455</v>
      </c>
      <c r="V350" s="19">
        <v>0.34355668781239118</v>
      </c>
      <c r="W350" s="19">
        <v>0.40371747583411993</v>
      </c>
      <c r="X350" s="19">
        <v>0.4647518696304801</v>
      </c>
      <c r="Y350" s="19">
        <v>0.52667714239079533</v>
      </c>
      <c r="Z350" s="19">
        <v>0.58951080911211629</v>
      </c>
      <c r="AA350" s="19">
        <v>0.65327063005530639</v>
      </c>
      <c r="AB350" s="19">
        <v>0.71797461424700215</v>
      </c>
      <c r="AC350" s="19">
        <v>0.78364102302836258</v>
      </c>
      <c r="AD350" s="19">
        <v>0.8502883736509671</v>
      </c>
      <c r="AE350" s="19">
        <v>0.91793544292058948</v>
      </c>
      <c r="AF350" s="19">
        <v>0.98660127088943872</v>
      </c>
      <c r="AG350" s="19">
        <v>1.0563051645975567</v>
      </c>
      <c r="AH350" s="19">
        <v>1.1270667018639258</v>
      </c>
      <c r="AI350" s="19">
        <v>1.1989057351281045</v>
      </c>
      <c r="AJ350" s="19">
        <v>1.2718423953426488</v>
      </c>
      <c r="AK350" s="19">
        <v>1.2818067580168473</v>
      </c>
      <c r="AL350" s="19">
        <v>1.2919004879251197</v>
      </c>
      <c r="AM350" s="19">
        <v>1.302124963574697</v>
      </c>
      <c r="AN350" s="19">
        <v>1.3124815792281199</v>
      </c>
      <c r="AO350" s="19">
        <v>1.32297174507871</v>
      </c>
      <c r="AP350" s="19">
        <v>1.3335968874278556</v>
      </c>
      <c r="AQ350" s="19">
        <v>1.3443584488647191</v>
      </c>
      <c r="AR350" s="19">
        <v>21.715704591220721</v>
      </c>
    </row>
    <row r="351" spans="1:44" x14ac:dyDescent="0.25">
      <c r="A351" t="s">
        <v>250</v>
      </c>
      <c r="B351" t="s">
        <v>279</v>
      </c>
      <c r="C351" t="s">
        <v>43</v>
      </c>
      <c r="D351" t="s">
        <v>280</v>
      </c>
      <c r="E351" t="s">
        <v>145</v>
      </c>
      <c r="F351" t="s">
        <v>280</v>
      </c>
      <c r="G351" t="s">
        <v>31</v>
      </c>
      <c r="H351" t="s">
        <v>272</v>
      </c>
      <c r="I351" t="s">
        <v>135</v>
      </c>
      <c r="J351" t="s">
        <v>39</v>
      </c>
      <c r="K351" t="s">
        <v>31</v>
      </c>
      <c r="L351">
        <v>555.32000000000005</v>
      </c>
      <c r="M351">
        <v>1</v>
      </c>
      <c r="N351" s="2">
        <v>7.4417404184983775</v>
      </c>
      <c r="O351" s="2">
        <v>3.994835640102659</v>
      </c>
      <c r="P351" s="1">
        <v>-1.3808313679047273</v>
      </c>
      <c r="Q351" s="1">
        <v>0.29076811148401677</v>
      </c>
      <c r="R351" s="1">
        <v>-1.1299449527495846</v>
      </c>
      <c r="S351" s="19">
        <v>6.5196576606544834E-2</v>
      </c>
      <c r="T351" s="19">
        <v>9.9817034789956988E-2</v>
      </c>
      <c r="U351" s="19">
        <v>0.21694658767362665</v>
      </c>
      <c r="V351" s="19">
        <v>0.40634292793906707</v>
      </c>
      <c r="W351" s="19">
        <v>0.69213633386757456</v>
      </c>
      <c r="X351" s="19">
        <v>1.0990516195073401</v>
      </c>
      <c r="Y351" s="19">
        <v>1.6492772994552851</v>
      </c>
      <c r="Z351" s="19">
        <v>2.3582244770350629</v>
      </c>
      <c r="AA351" s="19">
        <v>3.229528874737249</v>
      </c>
      <c r="AB351" s="19">
        <v>4.2501548496077177</v>
      </c>
      <c r="AC351" s="19">
        <v>5.3870034127684443</v>
      </c>
      <c r="AD351" s="19">
        <v>6.5867554224167462</v>
      </c>
      <c r="AE351" s="19">
        <v>8.8939890282825065</v>
      </c>
      <c r="AF351" s="19">
        <v>10.685601724861312</v>
      </c>
      <c r="AG351" s="19">
        <v>11.848216285511509</v>
      </c>
      <c r="AH351" s="19">
        <v>12.764333983237821</v>
      </c>
      <c r="AI351" s="19">
        <v>13.40633985347843</v>
      </c>
      <c r="AJ351" s="19">
        <v>13.821613618459011</v>
      </c>
      <c r="AK351" s="19">
        <v>13.960255273345886</v>
      </c>
      <c r="AL351" s="19">
        <v>14.001791142001556</v>
      </c>
      <c r="AM351" s="19">
        <v>13.834154009765165</v>
      </c>
      <c r="AN351" s="19">
        <v>13.575033811596466</v>
      </c>
      <c r="AO351" s="19">
        <v>8.2449547211114407</v>
      </c>
      <c r="AP351" s="19">
        <v>1.2517130712550422</v>
      </c>
      <c r="AQ351" s="19">
        <v>0.9937440588676496</v>
      </c>
      <c r="AR351" s="19">
        <v>163.32217599817841</v>
      </c>
    </row>
    <row r="352" spans="1:44" x14ac:dyDescent="0.25">
      <c r="A352" t="s">
        <v>250</v>
      </c>
      <c r="B352" t="s">
        <v>279</v>
      </c>
      <c r="C352" t="s">
        <v>43</v>
      </c>
      <c r="D352" t="s">
        <v>280</v>
      </c>
      <c r="E352" t="s">
        <v>148</v>
      </c>
      <c r="F352" t="s">
        <v>280</v>
      </c>
      <c r="G352" t="s">
        <v>31</v>
      </c>
      <c r="H352" t="s">
        <v>272</v>
      </c>
      <c r="I352" t="s">
        <v>135</v>
      </c>
      <c r="J352" t="s">
        <v>39</v>
      </c>
      <c r="K352" t="s">
        <v>31</v>
      </c>
      <c r="L352">
        <v>555.32000000000005</v>
      </c>
      <c r="M352">
        <v>1</v>
      </c>
      <c r="N352" s="2">
        <v>7.4417404184983775</v>
      </c>
      <c r="O352" s="2">
        <v>3.994835640102659</v>
      </c>
      <c r="P352" s="1">
        <v>-1.3808313679047273</v>
      </c>
      <c r="Q352" s="1">
        <v>0.29076811148401677</v>
      </c>
      <c r="R352" s="1">
        <v>-1.1299449527495846</v>
      </c>
      <c r="S352" s="19">
        <v>8.8731238090674989E-3</v>
      </c>
      <c r="T352" s="19">
        <v>1.9183041304263987E-2</v>
      </c>
      <c r="U352" s="19">
        <v>4.2164496612889998E-2</v>
      </c>
      <c r="V352" s="19">
        <v>7.9871180578656484E-2</v>
      </c>
      <c r="W352" s="19">
        <v>0.13759865920662698</v>
      </c>
      <c r="X352" s="19">
        <v>0.22099757236819975</v>
      </c>
      <c r="Y352" s="19">
        <v>0.33545286377781464</v>
      </c>
      <c r="Z352" s="19">
        <v>0.48519104148286402</v>
      </c>
      <c r="AA352" s="19">
        <v>0.67216803453685869</v>
      </c>
      <c r="AB352" s="19">
        <v>0.8949022077355735</v>
      </c>
      <c r="AC352" s="19">
        <v>1.1475487741163757</v>
      </c>
      <c r="AD352" s="19">
        <v>1.4196107987697588</v>
      </c>
      <c r="AE352" s="19">
        <v>1.6966670980842682</v>
      </c>
      <c r="AF352" s="19">
        <v>1.9622908332681064</v>
      </c>
      <c r="AG352" s="19">
        <v>2.2009234864085157</v>
      </c>
      <c r="AH352" s="19">
        <v>2.4009788743101392</v>
      </c>
      <c r="AI352" s="19">
        <v>2.5571382169697423</v>
      </c>
      <c r="AJ352" s="19">
        <v>2.6782689299746223</v>
      </c>
      <c r="AK352" s="19">
        <v>2.7543651391790389</v>
      </c>
      <c r="AL352" s="19">
        <v>2.8202445144142327</v>
      </c>
      <c r="AM352" s="19">
        <v>2.8528487702502985</v>
      </c>
      <c r="AN352" s="19">
        <v>2.8744135510254729</v>
      </c>
      <c r="AO352" s="19">
        <v>2.8962681346111441</v>
      </c>
      <c r="AP352" s="19">
        <v>2.9184155502910478</v>
      </c>
      <c r="AQ352" s="19">
        <v>2.9408588623354515</v>
      </c>
      <c r="AR352" s="19">
        <v>39.017243755421021</v>
      </c>
    </row>
    <row r="353" spans="1:44" x14ac:dyDescent="0.25">
      <c r="A353" t="s">
        <v>250</v>
      </c>
      <c r="B353" t="s">
        <v>279</v>
      </c>
      <c r="C353" t="s">
        <v>43</v>
      </c>
      <c r="D353" t="s">
        <v>280</v>
      </c>
      <c r="E353" t="s">
        <v>145</v>
      </c>
      <c r="F353" t="s">
        <v>280</v>
      </c>
      <c r="G353" t="s">
        <v>31</v>
      </c>
      <c r="H353" t="s">
        <v>273</v>
      </c>
      <c r="I353" t="s">
        <v>135</v>
      </c>
      <c r="J353" t="s">
        <v>39</v>
      </c>
      <c r="K353" t="s">
        <v>31</v>
      </c>
      <c r="L353">
        <v>555.32000000000005</v>
      </c>
      <c r="M353">
        <v>1</v>
      </c>
      <c r="N353" s="2">
        <v>7.4417404184983775</v>
      </c>
      <c r="O353" s="2">
        <v>3.994835640102659</v>
      </c>
      <c r="P353" s="1">
        <v>-1.3808313679047273</v>
      </c>
      <c r="Q353" s="1">
        <v>0.29076811148401677</v>
      </c>
      <c r="R353" s="1">
        <v>-1.1299449527495846</v>
      </c>
      <c r="S353" s="19">
        <v>1.9608297287608479E-2</v>
      </c>
      <c r="T353" s="19">
        <v>3.0020626762978755E-2</v>
      </c>
      <c r="U353" s="19">
        <v>6.5248106695983341E-2</v>
      </c>
      <c r="V353" s="19">
        <v>0.12221029609929931</v>
      </c>
      <c r="W353" s="19">
        <v>0.2081645341585073</v>
      </c>
      <c r="X353" s="19">
        <v>0.3305469705837914</v>
      </c>
      <c r="Y353" s="19">
        <v>0.49603094641900058</v>
      </c>
      <c r="Z353" s="19">
        <v>0.70925145189259231</v>
      </c>
      <c r="AA353" s="19">
        <v>0.97130195434842292</v>
      </c>
      <c r="AB353" s="19">
        <v>1.2782618988174457</v>
      </c>
      <c r="AC353" s="19">
        <v>1.6201765476796719</v>
      </c>
      <c r="AD353" s="19">
        <v>1.9810098199320076</v>
      </c>
      <c r="AE353" s="19">
        <v>2.6749254334587951</v>
      </c>
      <c r="AF353" s="19">
        <v>3.2137646825006616</v>
      </c>
      <c r="AG353" s="19">
        <v>3.5634286238101565</v>
      </c>
      <c r="AH353" s="19">
        <v>3.838957019662379</v>
      </c>
      <c r="AI353" s="19">
        <v>4.0320444886569291</v>
      </c>
      <c r="AJ353" s="19">
        <v>4.156940792470933</v>
      </c>
      <c r="AK353" s="19">
        <v>4.1986381779314295</v>
      </c>
      <c r="AL353" s="19">
        <v>4.2111303623848206</v>
      </c>
      <c r="AM353" s="19">
        <v>4.1607123972642031</v>
      </c>
      <c r="AN353" s="19">
        <v>4.0827803010810095</v>
      </c>
      <c r="AO353" s="19">
        <v>2.4797241160388488</v>
      </c>
      <c r="AP353" s="19">
        <v>0.37646090174450392</v>
      </c>
      <c r="AQ353" s="19">
        <v>0.29887503222240125</v>
      </c>
      <c r="AR353" s="19">
        <v>49.120213779904383</v>
      </c>
    </row>
    <row r="354" spans="1:44" x14ac:dyDescent="0.25">
      <c r="A354" t="s">
        <v>250</v>
      </c>
      <c r="B354" t="s">
        <v>279</v>
      </c>
      <c r="C354" t="s">
        <v>43</v>
      </c>
      <c r="D354" t="s">
        <v>280</v>
      </c>
      <c r="E354" t="s">
        <v>148</v>
      </c>
      <c r="F354" t="s">
        <v>280</v>
      </c>
      <c r="G354" t="s">
        <v>31</v>
      </c>
      <c r="H354" t="s">
        <v>273</v>
      </c>
      <c r="I354" t="s">
        <v>135</v>
      </c>
      <c r="J354" t="s">
        <v>39</v>
      </c>
      <c r="K354" t="s">
        <v>31</v>
      </c>
      <c r="L354">
        <v>555.32000000000005</v>
      </c>
      <c r="M354">
        <v>1</v>
      </c>
      <c r="N354" s="2">
        <v>7.4417404184983775</v>
      </c>
      <c r="O354" s="2">
        <v>3.994835640102659</v>
      </c>
      <c r="P354" s="1">
        <v>-1.3808313679047273</v>
      </c>
      <c r="Q354" s="1">
        <v>0.29076811148401677</v>
      </c>
      <c r="R354" s="1">
        <v>-1.1299449527495846</v>
      </c>
      <c r="S354" s="19">
        <v>2.6686500821653043E-3</v>
      </c>
      <c r="T354" s="19">
        <v>5.7694252728098363E-3</v>
      </c>
      <c r="U354" s="19">
        <v>1.2681248427465798E-2</v>
      </c>
      <c r="V354" s="19">
        <v>2.4021780513876843E-2</v>
      </c>
      <c r="W354" s="19">
        <v>4.1383697680669469E-2</v>
      </c>
      <c r="X354" s="19">
        <v>6.6466466866612117E-2</v>
      </c>
      <c r="Y354" s="19">
        <v>0.10088964515162492</v>
      </c>
      <c r="Z354" s="19">
        <v>0.14592438250392997</v>
      </c>
      <c r="AA354" s="19">
        <v>0.20215893739278348</v>
      </c>
      <c r="AB354" s="19">
        <v>0.2691476983295269</v>
      </c>
      <c r="AC354" s="19">
        <v>0.34513280736654239</v>
      </c>
      <c r="AD354" s="19">
        <v>0.42695724260133328</v>
      </c>
      <c r="AE354" s="19">
        <v>0.51028373864035337</v>
      </c>
      <c r="AF354" s="19">
        <v>0.59017181616262959</v>
      </c>
      <c r="AG354" s="19">
        <v>0.66194214903678528</v>
      </c>
      <c r="AH354" s="19">
        <v>0.72211011680657589</v>
      </c>
      <c r="AI354" s="19">
        <v>0.76907606156140629</v>
      </c>
      <c r="AJ354" s="19">
        <v>0.80550691659837437</v>
      </c>
      <c r="AK354" s="19">
        <v>0.82839334975489187</v>
      </c>
      <c r="AL354" s="19">
        <v>0.84820700320069153</v>
      </c>
      <c r="AM354" s="19">
        <v>0.85801294661904559</v>
      </c>
      <c r="AN354" s="19">
        <v>0.86449869563212989</v>
      </c>
      <c r="AO354" s="19">
        <v>0.87107160473793022</v>
      </c>
      <c r="AP354" s="19">
        <v>0.87773258501339291</v>
      </c>
      <c r="AQ354" s="19">
        <v>0.88448255805784959</v>
      </c>
      <c r="AR354" s="19">
        <v>11.734691524011394</v>
      </c>
    </row>
    <row r="355" spans="1:44" x14ac:dyDescent="0.25">
      <c r="A355" t="s">
        <v>250</v>
      </c>
      <c r="B355" t="s">
        <v>279</v>
      </c>
      <c r="C355" t="s">
        <v>43</v>
      </c>
      <c r="D355" t="s">
        <v>280</v>
      </c>
      <c r="E355" t="s">
        <v>145</v>
      </c>
      <c r="F355" t="s">
        <v>280</v>
      </c>
      <c r="G355" t="s">
        <v>31</v>
      </c>
      <c r="H355" t="s">
        <v>274</v>
      </c>
      <c r="I355" t="s">
        <v>135</v>
      </c>
      <c r="J355" t="s">
        <v>39</v>
      </c>
      <c r="K355" t="s">
        <v>31</v>
      </c>
      <c r="L355">
        <v>555.32000000000005</v>
      </c>
      <c r="M355">
        <v>1</v>
      </c>
      <c r="N355" s="2">
        <v>7.4417404184983775</v>
      </c>
      <c r="O355" s="2">
        <v>3.994835640102659</v>
      </c>
      <c r="P355" s="1">
        <v>-1.3808313679047273</v>
      </c>
      <c r="Q355" s="1">
        <v>0.29076811148401677</v>
      </c>
      <c r="R355" s="1">
        <v>-1.1299449527495846</v>
      </c>
      <c r="S355" s="19">
        <v>3.0866971196952791E-2</v>
      </c>
      <c r="T355" s="19">
        <v>4.7257842331518085E-2</v>
      </c>
      <c r="U355" s="19">
        <v>0.10271220394610094</v>
      </c>
      <c r="V355" s="19">
        <v>0.1923808903107582</v>
      </c>
      <c r="W355" s="19">
        <v>0.32768825287845338</v>
      </c>
      <c r="X355" s="19">
        <v>0.52034012288755416</v>
      </c>
      <c r="Y355" s="19">
        <v>0.78084153413913915</v>
      </c>
      <c r="Z355" s="19">
        <v>1.116488791242501</v>
      </c>
      <c r="AA355" s="19">
        <v>1.5290032076045379</v>
      </c>
      <c r="AB355" s="19">
        <v>2.0122131276485011</v>
      </c>
      <c r="AC355" s="19">
        <v>2.5504480117613677</v>
      </c>
      <c r="AD355" s="19">
        <v>3.1184641968563205</v>
      </c>
      <c r="AE355" s="19">
        <v>4.21081163231585</v>
      </c>
      <c r="AF355" s="19">
        <v>5.0590411004846105</v>
      </c>
      <c r="AG355" s="19">
        <v>5.6094747585786129</v>
      </c>
      <c r="AH355" s="19">
        <v>6.0432057926387515</v>
      </c>
      <c r="AI355" s="19">
        <v>6.3471600450925862</v>
      </c>
      <c r="AJ355" s="19">
        <v>6.5437691925308341</v>
      </c>
      <c r="AK355" s="19">
        <v>6.6094083440144544</v>
      </c>
      <c r="AL355" s="19">
        <v>6.6290732793249809</v>
      </c>
      <c r="AM355" s="19">
        <v>6.5497063738583394</v>
      </c>
      <c r="AN355" s="19">
        <v>6.4270272991319075</v>
      </c>
      <c r="AO355" s="19">
        <v>3.9035298039127104</v>
      </c>
      <c r="AP355" s="19">
        <v>0.59261687236197902</v>
      </c>
      <c r="AQ355" s="19">
        <v>0.47048282039905925</v>
      </c>
      <c r="AR355" s="19">
        <v>77.32401246744837</v>
      </c>
    </row>
    <row r="356" spans="1:44" x14ac:dyDescent="0.25">
      <c r="A356" t="s">
        <v>250</v>
      </c>
      <c r="B356" t="s">
        <v>279</v>
      </c>
      <c r="C356" t="s">
        <v>43</v>
      </c>
      <c r="D356" t="s">
        <v>280</v>
      </c>
      <c r="E356" t="s">
        <v>148</v>
      </c>
      <c r="F356" t="s">
        <v>280</v>
      </c>
      <c r="G356" t="s">
        <v>31</v>
      </c>
      <c r="H356" t="s">
        <v>274</v>
      </c>
      <c r="I356" t="s">
        <v>135</v>
      </c>
      <c r="J356" t="s">
        <v>39</v>
      </c>
      <c r="K356" t="s">
        <v>31</v>
      </c>
      <c r="L356">
        <v>555.32000000000005</v>
      </c>
      <c r="M356">
        <v>1</v>
      </c>
      <c r="N356" s="2">
        <v>7.4417404184983775</v>
      </c>
      <c r="O356" s="2">
        <v>3.994835640102659</v>
      </c>
      <c r="P356" s="1">
        <v>-1.3808313679047273</v>
      </c>
      <c r="Q356" s="1">
        <v>0.29076811148401677</v>
      </c>
      <c r="R356" s="1">
        <v>-1.1299449527495846</v>
      </c>
      <c r="S356" s="19">
        <v>4.20093310565003E-3</v>
      </c>
      <c r="T356" s="19">
        <v>9.0821085128760769E-3</v>
      </c>
      <c r="U356" s="19">
        <v>1.9962555861459515E-2</v>
      </c>
      <c r="V356" s="19">
        <v>3.7814584119444758E-2</v>
      </c>
      <c r="W356" s="19">
        <v>6.5145350745976618E-2</v>
      </c>
      <c r="X356" s="19">
        <v>0.10463012102695128</v>
      </c>
      <c r="Y356" s="19">
        <v>0.1588183678209503</v>
      </c>
      <c r="Z356" s="19">
        <v>0.22971110880333537</v>
      </c>
      <c r="AA356" s="19">
        <v>0.31823436814439748</v>
      </c>
      <c r="AB356" s="19">
        <v>0.4236866735651646</v>
      </c>
      <c r="AC356" s="19">
        <v>0.54330084187568906</v>
      </c>
      <c r="AD356" s="19">
        <v>0.67210715527217624</v>
      </c>
      <c r="AE356" s="19">
        <v>0.8032779813492078</v>
      </c>
      <c r="AF356" s="19">
        <v>0.92903612096176802</v>
      </c>
      <c r="AG356" s="19">
        <v>1.0420154768501984</v>
      </c>
      <c r="AH356" s="19">
        <v>1.1367306324237756</v>
      </c>
      <c r="AI356" s="19">
        <v>1.2106634396798936</v>
      </c>
      <c r="AJ356" s="19">
        <v>1.268012129196993</v>
      </c>
      <c r="AK356" s="19">
        <v>1.3040394732688363</v>
      </c>
      <c r="AL356" s="19">
        <v>1.3352297118319834</v>
      </c>
      <c r="AM356" s="19">
        <v>1.3506660227269964</v>
      </c>
      <c r="AN356" s="19">
        <v>1.360875753079462</v>
      </c>
      <c r="AO356" s="19">
        <v>1.371222689025664</v>
      </c>
      <c r="AP356" s="19">
        <v>1.3817082647638612</v>
      </c>
      <c r="AQ356" s="19">
        <v>1.3923339310564138</v>
      </c>
      <c r="AR356" s="19">
        <v>18.472505795069125</v>
      </c>
    </row>
    <row r="357" spans="1:44" x14ac:dyDescent="0.25">
      <c r="A357" t="s">
        <v>250</v>
      </c>
      <c r="B357" t="s">
        <v>279</v>
      </c>
      <c r="C357" t="s">
        <v>43</v>
      </c>
      <c r="D357" t="s">
        <v>280</v>
      </c>
      <c r="E357" t="s">
        <v>145</v>
      </c>
      <c r="F357" t="s">
        <v>280</v>
      </c>
      <c r="G357" t="s">
        <v>31</v>
      </c>
      <c r="H357" t="s">
        <v>275</v>
      </c>
      <c r="I357" t="s">
        <v>135</v>
      </c>
      <c r="J357" t="s">
        <v>39</v>
      </c>
      <c r="K357" t="s">
        <v>31</v>
      </c>
      <c r="L357">
        <v>555.32000000000005</v>
      </c>
      <c r="M357">
        <v>1</v>
      </c>
      <c r="N357" s="2">
        <v>7.4417404184983775</v>
      </c>
      <c r="O357" s="2">
        <v>3.994835640102659</v>
      </c>
      <c r="P357" s="1">
        <v>-1.3808313679047273</v>
      </c>
      <c r="Q357" s="1">
        <v>0.29076811148401677</v>
      </c>
      <c r="R357" s="1">
        <v>-1.1299449527495846</v>
      </c>
      <c r="S357" s="19">
        <v>4.7155082942238018E-2</v>
      </c>
      <c r="T357" s="19">
        <v>7.2195210232804979E-2</v>
      </c>
      <c r="U357" s="19">
        <v>0.15691213968983783</v>
      </c>
      <c r="V357" s="19">
        <v>0.29389786193214085</v>
      </c>
      <c r="W357" s="19">
        <v>0.50060521471591579</v>
      </c>
      <c r="X357" s="19">
        <v>0.79491704891859361</v>
      </c>
      <c r="Y357" s="19">
        <v>1.1928817723039329</v>
      </c>
      <c r="Z357" s="19">
        <v>1.705645857482663</v>
      </c>
      <c r="AA357" s="19">
        <v>2.3358389332561971</v>
      </c>
      <c r="AB357" s="19">
        <v>3.0740326391690966</v>
      </c>
      <c r="AC357" s="19">
        <v>3.8962872893193401</v>
      </c>
      <c r="AD357" s="19">
        <v>4.7640384577051229</v>
      </c>
      <c r="AE357" s="19">
        <v>6.4328038701638679</v>
      </c>
      <c r="AF357" s="19">
        <v>7.7286333401280771</v>
      </c>
      <c r="AG357" s="19">
        <v>8.5695239035723159</v>
      </c>
      <c r="AH357" s="19">
        <v>9.2321293388522054</v>
      </c>
      <c r="AI357" s="19">
        <v>9.6964764201920435</v>
      </c>
      <c r="AJ357" s="19">
        <v>9.9968337372575213</v>
      </c>
      <c r="AK357" s="19">
        <v>10.09710984185873</v>
      </c>
      <c r="AL357" s="19">
        <v>10.127151715734351</v>
      </c>
      <c r="AM357" s="19">
        <v>10.005903894356996</v>
      </c>
      <c r="AN357" s="19">
        <v>9.8184886177789892</v>
      </c>
      <c r="AO357" s="19">
        <v>5.9633732929770931</v>
      </c>
      <c r="AP357" s="19">
        <v>0.90533332832985436</v>
      </c>
      <c r="AQ357" s="19">
        <v>0.71875067615982557</v>
      </c>
      <c r="AR357" s="19">
        <v>118.12691948502976</v>
      </c>
    </row>
    <row r="358" spans="1:44" x14ac:dyDescent="0.25">
      <c r="A358" t="s">
        <v>250</v>
      </c>
      <c r="B358" t="s">
        <v>279</v>
      </c>
      <c r="C358" t="s">
        <v>43</v>
      </c>
      <c r="D358" t="s">
        <v>280</v>
      </c>
      <c r="E358" t="s">
        <v>148</v>
      </c>
      <c r="F358" t="s">
        <v>280</v>
      </c>
      <c r="G358" t="s">
        <v>31</v>
      </c>
      <c r="H358" t="s">
        <v>275</v>
      </c>
      <c r="I358" t="s">
        <v>135</v>
      </c>
      <c r="J358" t="s">
        <v>39</v>
      </c>
      <c r="K358" t="s">
        <v>31</v>
      </c>
      <c r="L358">
        <v>555.32000000000005</v>
      </c>
      <c r="M358">
        <v>1</v>
      </c>
      <c r="N358" s="2">
        <v>7.4417404184983775</v>
      </c>
      <c r="O358" s="2">
        <v>3.994835640102659</v>
      </c>
      <c r="P358" s="1">
        <v>-1.3808313679047273</v>
      </c>
      <c r="Q358" s="1">
        <v>0.29076811148401677</v>
      </c>
      <c r="R358" s="1">
        <v>-1.1299449527495846</v>
      </c>
      <c r="S358" s="19">
        <v>6.4177125694560144E-3</v>
      </c>
      <c r="T358" s="19">
        <v>1.3874622731282135E-2</v>
      </c>
      <c r="U358" s="19">
        <v>3.0496545040969679E-2</v>
      </c>
      <c r="V358" s="19">
        <v>5.7768863656914207E-2</v>
      </c>
      <c r="W358" s="19">
        <v>9.9521731436706479E-2</v>
      </c>
      <c r="X358" s="19">
        <v>0.15984211744654139</v>
      </c>
      <c r="Y358" s="19">
        <v>0.24262481924650753</v>
      </c>
      <c r="Z358" s="19">
        <v>0.35092676632439018</v>
      </c>
      <c r="AA358" s="19">
        <v>0.48616263413629773</v>
      </c>
      <c r="AB358" s="19">
        <v>0.64726079232090095</v>
      </c>
      <c r="AC358" s="19">
        <v>0.82999384998826764</v>
      </c>
      <c r="AD358" s="19">
        <v>1.0267696318730537</v>
      </c>
      <c r="AE358" s="19">
        <v>1.227157649984614</v>
      </c>
      <c r="AF358" s="19">
        <v>1.4192767751897872</v>
      </c>
      <c r="AG358" s="19">
        <v>1.5918739135253137</v>
      </c>
      <c r="AH358" s="19">
        <v>1.7365690631874295</v>
      </c>
      <c r="AI358" s="19">
        <v>1.8495152812037601</v>
      </c>
      <c r="AJ358" s="19">
        <v>1.9371261515270288</v>
      </c>
      <c r="AK358" s="19">
        <v>1.99216467108424</v>
      </c>
      <c r="AL358" s="19">
        <v>2.0398136055083036</v>
      </c>
      <c r="AM358" s="19">
        <v>2.0633954631493725</v>
      </c>
      <c r="AN358" s="19">
        <v>2.0789927395557624</v>
      </c>
      <c r="AO358" s="19">
        <v>2.0947996232188744</v>
      </c>
      <c r="AP358" s="19">
        <v>2.1108183051451088</v>
      </c>
      <c r="AQ358" s="19">
        <v>2.1270510016460582</v>
      </c>
      <c r="AR358" s="19">
        <v>28.22021433069694</v>
      </c>
    </row>
    <row r="359" spans="1:44" x14ac:dyDescent="0.25">
      <c r="A359" t="s">
        <v>250</v>
      </c>
      <c r="B359" t="s">
        <v>279</v>
      </c>
      <c r="C359" t="s">
        <v>43</v>
      </c>
      <c r="D359" t="s">
        <v>280</v>
      </c>
      <c r="E359" t="s">
        <v>145</v>
      </c>
      <c r="F359" t="s">
        <v>280</v>
      </c>
      <c r="G359" t="s">
        <v>31</v>
      </c>
      <c r="H359" t="s">
        <v>276</v>
      </c>
      <c r="I359" t="s">
        <v>135</v>
      </c>
      <c r="J359" t="s">
        <v>39</v>
      </c>
      <c r="K359" t="s">
        <v>31</v>
      </c>
      <c r="L359">
        <v>555.32000000000005</v>
      </c>
      <c r="M359">
        <v>1</v>
      </c>
      <c r="N359" s="2">
        <v>7.4417404184983775</v>
      </c>
      <c r="O359" s="2">
        <v>3.994835640102659</v>
      </c>
      <c r="P359" s="1">
        <v>-1.3808313679047273</v>
      </c>
      <c r="Q359" s="1">
        <v>0.29076811148401677</v>
      </c>
      <c r="R359" s="1">
        <v>-1.1299449527495846</v>
      </c>
      <c r="S359" s="19">
        <v>0.25718607237973012</v>
      </c>
      <c r="T359" s="19">
        <v>0.39474506084128991</v>
      </c>
      <c r="U359" s="19">
        <v>0.86011050128988709</v>
      </c>
      <c r="V359" s="19">
        <v>1.6150408751434029</v>
      </c>
      <c r="W359" s="19">
        <v>2.7578576589520547</v>
      </c>
      <c r="X359" s="19">
        <v>4.3902340701896607</v>
      </c>
      <c r="Y359" s="19">
        <v>6.6046932636329148</v>
      </c>
      <c r="Z359" s="19">
        <v>9.4674604690912627</v>
      </c>
      <c r="AA359" s="19">
        <v>12.998011465274333</v>
      </c>
      <c r="AB359" s="19">
        <v>17.148726874103456</v>
      </c>
      <c r="AC359" s="19">
        <v>21.790327971660123</v>
      </c>
      <c r="AD359" s="19">
        <v>26.710218463845525</v>
      </c>
      <c r="AE359" s="19">
        <v>36.022723677087725</v>
      </c>
      <c r="AF359" s="19">
        <v>42.206311894544569</v>
      </c>
      <c r="AG359" s="19">
        <v>46.913163810967042</v>
      </c>
      <c r="AH359" s="19">
        <v>50.672172901180815</v>
      </c>
      <c r="AI359" s="19">
        <v>53.370817549286166</v>
      </c>
      <c r="AJ359" s="19">
        <v>55.194641927202589</v>
      </c>
      <c r="AK359" s="19">
        <v>55.940873672417496</v>
      </c>
      <c r="AL359" s="19">
        <v>56.324737649793363</v>
      </c>
      <c r="AM359" s="19">
        <v>55.892268119513773</v>
      </c>
      <c r="AN359" s="19">
        <v>55.110709840855513</v>
      </c>
      <c r="AO359" s="19">
        <v>45.452402362259697</v>
      </c>
      <c r="AP359" s="19">
        <v>4.2619805815072951</v>
      </c>
      <c r="AQ359" s="19">
        <v>3.3910456766132953</v>
      </c>
      <c r="AR359" s="19">
        <v>665.74846240963302</v>
      </c>
    </row>
    <row r="360" spans="1:44" x14ac:dyDescent="0.25">
      <c r="A360" t="s">
        <v>250</v>
      </c>
      <c r="B360" t="s">
        <v>279</v>
      </c>
      <c r="C360" t="s">
        <v>43</v>
      </c>
      <c r="D360" t="s">
        <v>280</v>
      </c>
      <c r="E360" t="s">
        <v>148</v>
      </c>
      <c r="F360" t="s">
        <v>280</v>
      </c>
      <c r="G360" t="s">
        <v>31</v>
      </c>
      <c r="H360" t="s">
        <v>276</v>
      </c>
      <c r="I360" t="s">
        <v>135</v>
      </c>
      <c r="J360" t="s">
        <v>39</v>
      </c>
      <c r="K360" t="s">
        <v>31</v>
      </c>
      <c r="L360">
        <v>555.32000000000005</v>
      </c>
      <c r="M360">
        <v>1</v>
      </c>
      <c r="N360" s="2">
        <v>7.4417404184983775</v>
      </c>
      <c r="O360" s="2">
        <v>3.994835640102659</v>
      </c>
      <c r="P360" s="1">
        <v>-1.3808313679047273</v>
      </c>
      <c r="Q360" s="1">
        <v>0.29076811148401677</v>
      </c>
      <c r="R360" s="1">
        <v>-1.1299449527495846</v>
      </c>
      <c r="S360" s="19">
        <v>3.5002510576054621E-2</v>
      </c>
      <c r="T360" s="19">
        <v>6.3805581307639053E-2</v>
      </c>
      <c r="U360" s="19">
        <v>0.14059119111286367</v>
      </c>
      <c r="V360" s="19">
        <v>0.26696801952349941</v>
      </c>
      <c r="W360" s="19">
        <v>0.46103012505774493</v>
      </c>
      <c r="X360" s="19">
        <v>0.74222683620762275</v>
      </c>
      <c r="Y360" s="19">
        <v>1.129283138069701</v>
      </c>
      <c r="Z360" s="19">
        <v>1.6371727544227694</v>
      </c>
      <c r="AA360" s="19">
        <v>2.2733078714989987</v>
      </c>
      <c r="AB360" s="19">
        <v>3.0334928847009173</v>
      </c>
      <c r="AC360" s="19">
        <v>3.8986473938649682</v>
      </c>
      <c r="AD360" s="19">
        <v>4.8336586048337162</v>
      </c>
      <c r="AE360" s="19">
        <v>5.7896956225998943</v>
      </c>
      <c r="AF360" s="19">
        <v>6.7106331248616167</v>
      </c>
      <c r="AG360" s="19">
        <v>7.5428379303466269</v>
      </c>
      <c r="AH360" s="19">
        <v>8.2458729134067159</v>
      </c>
      <c r="AI360" s="19">
        <v>8.8005496773987968</v>
      </c>
      <c r="AJ360" s="19">
        <v>9.2364691200704208</v>
      </c>
      <c r="AK360" s="19">
        <v>9.5182804781351802</v>
      </c>
      <c r="AL360" s="19">
        <v>9.7655788988123433</v>
      </c>
      <c r="AM360" s="19">
        <v>9.8981347631187475</v>
      </c>
      <c r="AN360" s="19">
        <v>9.9925530382632104</v>
      </c>
      <c r="AO360" s="19">
        <v>10.088064972764252</v>
      </c>
      <c r="AP360" s="19">
        <v>10.184682758131316</v>
      </c>
      <c r="AQ360" s="19">
        <v>10.282418722747362</v>
      </c>
      <c r="AR360" s="19">
        <v>134.57095893183299</v>
      </c>
    </row>
    <row r="361" spans="1:44" x14ac:dyDescent="0.25">
      <c r="A361" t="s">
        <v>250</v>
      </c>
      <c r="B361" t="s">
        <v>279</v>
      </c>
      <c r="C361" t="s">
        <v>43</v>
      </c>
      <c r="D361" t="s">
        <v>280</v>
      </c>
      <c r="E361" t="s">
        <v>145</v>
      </c>
      <c r="F361" t="s">
        <v>280</v>
      </c>
      <c r="G361" t="s">
        <v>31</v>
      </c>
      <c r="H361" t="s">
        <v>277</v>
      </c>
      <c r="I361" t="s">
        <v>135</v>
      </c>
      <c r="J361" t="s">
        <v>39</v>
      </c>
      <c r="K361" t="s">
        <v>31</v>
      </c>
      <c r="L361">
        <v>555.32000000000005</v>
      </c>
      <c r="M361">
        <v>1</v>
      </c>
      <c r="N361" s="2">
        <v>7.4417404184983775</v>
      </c>
      <c r="O361" s="2">
        <v>3.994835640102659</v>
      </c>
      <c r="P361" s="1">
        <v>-1.3808313679047273</v>
      </c>
      <c r="Q361" s="1">
        <v>0.29076811148401677</v>
      </c>
      <c r="R361" s="1">
        <v>-1.1299449527495846</v>
      </c>
      <c r="S361" s="19">
        <v>6.2490730642638272</v>
      </c>
      <c r="T361" s="19">
        <v>9.5662805984801214</v>
      </c>
      <c r="U361" s="19">
        <v>20.78925447348708</v>
      </c>
      <c r="V361" s="19">
        <v>38.933768124273207</v>
      </c>
      <c r="W361" s="19">
        <v>66.309082894666204</v>
      </c>
      <c r="X361" s="19">
        <v>105.2802976974061</v>
      </c>
      <c r="Y361" s="19">
        <v>157.96844236598449</v>
      </c>
      <c r="Z361" s="19">
        <v>225.84445800581176</v>
      </c>
      <c r="AA361" s="19">
        <v>309.25099642286136</v>
      </c>
      <c r="AB361" s="19">
        <v>406.93433021643858</v>
      </c>
      <c r="AC361" s="19">
        <v>515.72058636718157</v>
      </c>
      <c r="AD361" s="19">
        <v>630.50189384381463</v>
      </c>
      <c r="AE361" s="19">
        <v>851.40815073579461</v>
      </c>
      <c r="AF361" s="19">
        <v>1024.1701738877089</v>
      </c>
      <c r="AG361" s="19">
        <v>1135.468318043479</v>
      </c>
      <c r="AH361" s="19">
        <v>1223.1112266945552</v>
      </c>
      <c r="AI361" s="19">
        <v>1284.4563146284686</v>
      </c>
      <c r="AJ361" s="19">
        <v>1324.046776159563</v>
      </c>
      <c r="AK361" s="19">
        <v>1337.1066696342864</v>
      </c>
      <c r="AL361" s="19">
        <v>1340.8359395534758</v>
      </c>
      <c r="AM361" s="19">
        <v>1324.5066501591443</v>
      </c>
      <c r="AN361" s="19">
        <v>1299.3962416009194</v>
      </c>
      <c r="AO361" s="19">
        <v>775.89061608544228</v>
      </c>
      <c r="AP361" s="19">
        <v>120.74348059313569</v>
      </c>
      <c r="AQ361" s="19">
        <v>95.849027123347199</v>
      </c>
      <c r="AR361" s="19">
        <v>15630.338048973988</v>
      </c>
    </row>
    <row r="362" spans="1:44" x14ac:dyDescent="0.25">
      <c r="A362" t="s">
        <v>250</v>
      </c>
      <c r="B362" t="s">
        <v>279</v>
      </c>
      <c r="C362" t="s">
        <v>43</v>
      </c>
      <c r="D362" t="s">
        <v>280</v>
      </c>
      <c r="E362" t="s">
        <v>148</v>
      </c>
      <c r="F362" t="s">
        <v>280</v>
      </c>
      <c r="G362" t="s">
        <v>31</v>
      </c>
      <c r="H362" t="s">
        <v>277</v>
      </c>
      <c r="I362" t="s">
        <v>135</v>
      </c>
      <c r="J362" t="s">
        <v>39</v>
      </c>
      <c r="K362" t="s">
        <v>31</v>
      </c>
      <c r="L362">
        <v>555.32000000000005</v>
      </c>
      <c r="M362">
        <v>1</v>
      </c>
      <c r="N362" s="2">
        <v>7.4417404184983775</v>
      </c>
      <c r="O362" s="2">
        <v>3.994835640102659</v>
      </c>
      <c r="P362" s="1">
        <v>-1.3808313679047273</v>
      </c>
      <c r="Q362" s="1">
        <v>0.29076811148401677</v>
      </c>
      <c r="R362" s="1">
        <v>-1.1299449527495846</v>
      </c>
      <c r="S362" s="19">
        <v>0.85048635798394789</v>
      </c>
      <c r="T362" s="19">
        <v>1.8525297489029025</v>
      </c>
      <c r="U362" s="19">
        <v>4.07139431929967</v>
      </c>
      <c r="V362" s="19">
        <v>7.7114393990046173</v>
      </c>
      <c r="W362" s="19">
        <v>13.283399323996388</v>
      </c>
      <c r="X362" s="19">
        <v>21.332059627801513</v>
      </c>
      <c r="Y362" s="19">
        <v>32.376330643459383</v>
      </c>
      <c r="Z362" s="19">
        <v>46.823115679367582</v>
      </c>
      <c r="AA362" s="19">
        <v>64.860064654047875</v>
      </c>
      <c r="AB362" s="19">
        <v>86.343104444707166</v>
      </c>
      <c r="AC362" s="19">
        <v>110.70732607564888</v>
      </c>
      <c r="AD362" s="19">
        <v>136.93932968136028</v>
      </c>
      <c r="AE362" s="19">
        <v>163.64766083620796</v>
      </c>
      <c r="AF362" s="19">
        <v>189.24802773702453</v>
      </c>
      <c r="AG362" s="19">
        <v>212.24052698607937</v>
      </c>
      <c r="AH362" s="19">
        <v>231.50887797025777</v>
      </c>
      <c r="AI362" s="19">
        <v>246.54148630258319</v>
      </c>
      <c r="AJ362" s="19">
        <v>258.1945302686504</v>
      </c>
      <c r="AK362" s="19">
        <v>265.50454760400987</v>
      </c>
      <c r="AL362" s="19">
        <v>271.82873046827098</v>
      </c>
      <c r="AM362" s="19">
        <v>274.9451286201861</v>
      </c>
      <c r="AN362" s="19">
        <v>276.9974403688804</v>
      </c>
      <c r="AO362" s="19">
        <v>279.07763374638631</v>
      </c>
      <c r="AP362" s="19">
        <v>281.18599845678608</v>
      </c>
      <c r="AQ362" s="19">
        <v>283.32282756140921</v>
      </c>
      <c r="AR362" s="19">
        <v>3761.393996882312</v>
      </c>
    </row>
    <row r="363" spans="1:44" x14ac:dyDescent="0.25">
      <c r="A363" t="s">
        <v>250</v>
      </c>
      <c r="B363" t="s">
        <v>279</v>
      </c>
      <c r="C363" t="s">
        <v>43</v>
      </c>
      <c r="D363" t="s">
        <v>280</v>
      </c>
      <c r="E363" t="s">
        <v>145</v>
      </c>
      <c r="F363" t="s">
        <v>280</v>
      </c>
      <c r="G363" t="s">
        <v>31</v>
      </c>
      <c r="H363" t="s">
        <v>278</v>
      </c>
      <c r="I363" t="s">
        <v>135</v>
      </c>
      <c r="J363" t="s">
        <v>39</v>
      </c>
      <c r="K363" t="s">
        <v>31</v>
      </c>
      <c r="L363">
        <v>555.32000000000005</v>
      </c>
      <c r="M363">
        <v>1</v>
      </c>
      <c r="N363" s="2">
        <v>7.4417404184983775</v>
      </c>
      <c r="O363" s="2">
        <v>3.994835640102659</v>
      </c>
      <c r="P363" s="1">
        <v>-1.3808313679047273</v>
      </c>
      <c r="Q363" s="1">
        <v>0.29076811148401677</v>
      </c>
      <c r="R363" s="1">
        <v>-1.1299449527495846</v>
      </c>
      <c r="S363" s="19">
        <v>0.13076278369699246</v>
      </c>
      <c r="T363" s="19">
        <v>0.19931502926622069</v>
      </c>
      <c r="U363" s="19">
        <v>0.43128487213951583</v>
      </c>
      <c r="V363" s="19">
        <v>0.80422973274241216</v>
      </c>
      <c r="W363" s="19">
        <v>1.3638138163394409</v>
      </c>
      <c r="X363" s="19">
        <v>2.1560436357925106</v>
      </c>
      <c r="Y363" s="19">
        <v>3.2211366938418449</v>
      </c>
      <c r="Z363" s="19">
        <v>4.5853937491308772</v>
      </c>
      <c r="AA363" s="19">
        <v>6.2518231132527839</v>
      </c>
      <c r="AB363" s="19">
        <v>8.191214171222299</v>
      </c>
      <c r="AC363" s="19">
        <v>10.336340245426271</v>
      </c>
      <c r="AD363" s="19">
        <v>12.582504713705458</v>
      </c>
      <c r="AE363" s="19">
        <v>17.030481236062442</v>
      </c>
      <c r="AF363" s="19">
        <v>21.425821599311128</v>
      </c>
      <c r="AG363" s="19">
        <v>23.654552276707488</v>
      </c>
      <c r="AH363" s="19">
        <v>25.366981305399715</v>
      </c>
      <c r="AI363" s="19">
        <v>26.511178622051791</v>
      </c>
      <c r="AJ363" s="19">
        <v>27.183945383607949</v>
      </c>
      <c r="AK363" s="19">
        <v>27.290601050385387</v>
      </c>
      <c r="AL363" s="19">
        <v>27.186103321791158</v>
      </c>
      <c r="AM363" s="19">
        <v>26.65594737678915</v>
      </c>
      <c r="AN363" s="19">
        <v>25.934233164811097</v>
      </c>
      <c r="AO363" s="19">
        <v>6.3136546617901494</v>
      </c>
      <c r="AP363" s="19">
        <v>3.0736328929230079</v>
      </c>
      <c r="AQ363" s="19">
        <v>2.4307722699720098</v>
      </c>
      <c r="AR363" s="19">
        <v>310.3117677181591</v>
      </c>
    </row>
    <row r="364" spans="1:44" x14ac:dyDescent="0.25">
      <c r="A364" t="s">
        <v>250</v>
      </c>
      <c r="B364" t="s">
        <v>279</v>
      </c>
      <c r="C364" t="s">
        <v>43</v>
      </c>
      <c r="D364" t="s">
        <v>280</v>
      </c>
      <c r="E364" t="s">
        <v>148</v>
      </c>
      <c r="F364" t="s">
        <v>280</v>
      </c>
      <c r="G364" t="s">
        <v>31</v>
      </c>
      <c r="H364" t="s">
        <v>278</v>
      </c>
      <c r="I364" t="s">
        <v>135</v>
      </c>
      <c r="J364" t="s">
        <v>39</v>
      </c>
      <c r="K364" t="s">
        <v>31</v>
      </c>
      <c r="L364">
        <v>555.32000000000005</v>
      </c>
      <c r="M364">
        <v>1</v>
      </c>
      <c r="N364" s="2">
        <v>7.4417404184983775</v>
      </c>
      <c r="O364" s="2">
        <v>3.994835640102659</v>
      </c>
      <c r="P364" s="1">
        <v>-1.3808313679047273</v>
      </c>
      <c r="Q364" s="1">
        <v>0.29076811148401677</v>
      </c>
      <c r="R364" s="1">
        <v>-1.1299449527495846</v>
      </c>
      <c r="S364" s="19">
        <v>1.7796553588447953E-2</v>
      </c>
      <c r="T364" s="19">
        <v>4.9094248636972447E-2</v>
      </c>
      <c r="U364" s="19">
        <v>0.10744003121388966</v>
      </c>
      <c r="V364" s="19">
        <v>0.20264548586085912</v>
      </c>
      <c r="W364" s="19">
        <v>0.3476244102857789</v>
      </c>
      <c r="X364" s="19">
        <v>0.55597394098165287</v>
      </c>
      <c r="Y364" s="19">
        <v>0.84040952351826048</v>
      </c>
      <c r="Z364" s="19">
        <v>1.2105603208981743</v>
      </c>
      <c r="AA364" s="19">
        <v>1.6702727468726892</v>
      </c>
      <c r="AB364" s="19">
        <v>2.2148416179653299</v>
      </c>
      <c r="AC364" s="19">
        <v>2.8288992258223185</v>
      </c>
      <c r="AD364" s="19">
        <v>3.485912663572706</v>
      </c>
      <c r="AE364" s="19">
        <v>4.1501745812664987</v>
      </c>
      <c r="AF364" s="19">
        <v>4.7816439212319439</v>
      </c>
      <c r="AG364" s="19">
        <v>5.342991767649611</v>
      </c>
      <c r="AH364" s="19">
        <v>5.8070442577542822</v>
      </c>
      <c r="AI364" s="19">
        <v>6.1621139322062319</v>
      </c>
      <c r="AJ364" s="19">
        <v>6.430723862188314</v>
      </c>
      <c r="AK364" s="19">
        <v>6.5898984485838303</v>
      </c>
      <c r="AL364" s="19">
        <v>6.7238313465654569</v>
      </c>
      <c r="AM364" s="19">
        <v>6.7780204482195749</v>
      </c>
      <c r="AN364" s="19">
        <v>6.80594776268169</v>
      </c>
      <c r="AO364" s="19">
        <v>6.8346210145473103</v>
      </c>
      <c r="AP364" s="19">
        <v>6.8640446742259513</v>
      </c>
      <c r="AQ364" s="19">
        <v>6.8942232973130908</v>
      </c>
      <c r="AR364" s="19">
        <v>93.696750083650855</v>
      </c>
    </row>
    <row r="365" spans="1:44" x14ac:dyDescent="0.25">
      <c r="A365" t="s">
        <v>250</v>
      </c>
      <c r="B365" t="s">
        <v>279</v>
      </c>
      <c r="C365" t="s">
        <v>43</v>
      </c>
      <c r="D365" t="s">
        <v>280</v>
      </c>
      <c r="E365" t="s">
        <v>145</v>
      </c>
      <c r="F365" t="s">
        <v>280</v>
      </c>
      <c r="G365" t="s">
        <v>31</v>
      </c>
      <c r="H365" t="s">
        <v>252</v>
      </c>
      <c r="I365" t="s">
        <v>135</v>
      </c>
      <c r="J365" t="s">
        <v>39</v>
      </c>
      <c r="K365" t="s">
        <v>31</v>
      </c>
      <c r="L365">
        <v>555.32000000000005</v>
      </c>
      <c r="M365">
        <v>1</v>
      </c>
      <c r="N365" s="2">
        <v>7.4417404184983775</v>
      </c>
      <c r="O365" s="2">
        <v>3.994835640102659</v>
      </c>
      <c r="P365" s="1">
        <v>-1.3808313679047273</v>
      </c>
      <c r="Q365" s="1">
        <v>0.29076811148401677</v>
      </c>
      <c r="R365" s="1">
        <v>-1.1299449527495846</v>
      </c>
      <c r="S365" s="19">
        <v>1.5303657059548728</v>
      </c>
      <c r="T365" s="19">
        <v>2.345133611543865</v>
      </c>
      <c r="U365" s="19">
        <v>5.1016216183165062</v>
      </c>
      <c r="V365" s="19">
        <v>9.5640231859181828</v>
      </c>
      <c r="W365" s="19">
        <v>16.30542250976038</v>
      </c>
      <c r="X365" s="19">
        <v>25.91498686468212</v>
      </c>
      <c r="Y365" s="19">
        <v>38.924144651034865</v>
      </c>
      <c r="Z365" s="19">
        <v>55.706135743317645</v>
      </c>
      <c r="AA365" s="19">
        <v>76.357122911741385</v>
      </c>
      <c r="AB365" s="19">
        <v>100.57907367987519</v>
      </c>
      <c r="AC365" s="19">
        <v>127.59763436586501</v>
      </c>
      <c r="AD365" s="19">
        <v>156.15626167655984</v>
      </c>
      <c r="AE365" s="19">
        <v>210.76090123781395</v>
      </c>
      <c r="AF365" s="19">
        <v>250.91585285656669</v>
      </c>
      <c r="AG365" s="19">
        <v>278.46148481450706</v>
      </c>
      <c r="AH365" s="19">
        <v>300.27358785026036</v>
      </c>
      <c r="AI365" s="19">
        <v>315.69613866146574</v>
      </c>
      <c r="AJ365" s="19">
        <v>325.83806488595388</v>
      </c>
      <c r="AK365" s="19">
        <v>329.51530977846852</v>
      </c>
      <c r="AL365" s="19">
        <v>330.95630019761683</v>
      </c>
      <c r="AM365" s="19">
        <v>327.50522238672897</v>
      </c>
      <c r="AN365" s="19">
        <v>321.93059204140809</v>
      </c>
      <c r="AO365" s="19">
        <v>220.44495714261865</v>
      </c>
      <c r="AP365" s="19">
        <v>27.957669031071873</v>
      </c>
      <c r="AQ365" s="19">
        <v>22.213332117190863</v>
      </c>
      <c r="AR365" s="19">
        <v>3878.5513395262415</v>
      </c>
    </row>
    <row r="366" spans="1:44" x14ac:dyDescent="0.25">
      <c r="A366" t="s">
        <v>250</v>
      </c>
      <c r="B366" t="s">
        <v>279</v>
      </c>
      <c r="C366" t="s">
        <v>43</v>
      </c>
      <c r="D366" t="s">
        <v>280</v>
      </c>
      <c r="E366" t="s">
        <v>148</v>
      </c>
      <c r="F366" t="s">
        <v>280</v>
      </c>
      <c r="G366" t="s">
        <v>31</v>
      </c>
      <c r="H366" t="s">
        <v>252</v>
      </c>
      <c r="I366" t="s">
        <v>135</v>
      </c>
      <c r="J366" t="s">
        <v>39</v>
      </c>
      <c r="K366" t="s">
        <v>31</v>
      </c>
      <c r="L366">
        <v>555.32000000000005</v>
      </c>
      <c r="M366">
        <v>1</v>
      </c>
      <c r="N366" s="2">
        <v>7.4417404184983775</v>
      </c>
      <c r="O366" s="2">
        <v>3.994835640102659</v>
      </c>
      <c r="P366" s="1">
        <v>-1.3808313679047273</v>
      </c>
      <c r="Q366" s="1">
        <v>0.29076811148401677</v>
      </c>
      <c r="R366" s="1">
        <v>-1.1299449527495846</v>
      </c>
      <c r="S366" s="19">
        <v>0.20827971480829896</v>
      </c>
      <c r="T366" s="19">
        <v>0.42486392768363929</v>
      </c>
      <c r="U366" s="19">
        <v>0.93468461215434939</v>
      </c>
      <c r="V366" s="19">
        <v>1.7721060119134264</v>
      </c>
      <c r="W366" s="19">
        <v>3.0555604536045338</v>
      </c>
      <c r="X366" s="19">
        <v>4.9117577796681759</v>
      </c>
      <c r="Y366" s="19">
        <v>7.4618995020821375</v>
      </c>
      <c r="Z366" s="19">
        <v>10.801767579248452</v>
      </c>
      <c r="AA366" s="19">
        <v>14.976826580497123</v>
      </c>
      <c r="AB366" s="19">
        <v>19.955984685550359</v>
      </c>
      <c r="AC366" s="19">
        <v>25.610622693881957</v>
      </c>
      <c r="AD366" s="19">
        <v>31.707752979799057</v>
      </c>
      <c r="AE366" s="19">
        <v>37.925891889106438</v>
      </c>
      <c r="AF366" s="19">
        <v>43.897658876408649</v>
      </c>
      <c r="AG366" s="19">
        <v>49.273974819581383</v>
      </c>
      <c r="AH366" s="19">
        <v>53.793714069880558</v>
      </c>
      <c r="AI366" s="19">
        <v>57.335529457534605</v>
      </c>
      <c r="AJ366" s="19">
        <v>60.096081891889192</v>
      </c>
      <c r="AK366" s="19">
        <v>61.848871520858232</v>
      </c>
      <c r="AL366" s="19">
        <v>63.374024655401037</v>
      </c>
      <c r="AM366" s="19">
        <v>64.152491145490515</v>
      </c>
      <c r="AN366" s="19">
        <v>64.683020758496482</v>
      </c>
      <c r="AO366" s="19">
        <v>65.22019881371736</v>
      </c>
      <c r="AP366" s="19">
        <v>65.764097282875653</v>
      </c>
      <c r="AQ366" s="19">
        <v>66.314788954368638</v>
      </c>
      <c r="AR366" s="19">
        <v>875.50245065650029</v>
      </c>
    </row>
    <row r="367" spans="1:44" x14ac:dyDescent="0.25">
      <c r="A367" t="s">
        <v>250</v>
      </c>
      <c r="B367" t="s">
        <v>279</v>
      </c>
      <c r="C367" t="s">
        <v>43</v>
      </c>
      <c r="D367" t="s">
        <v>280</v>
      </c>
      <c r="E367" t="s">
        <v>145</v>
      </c>
      <c r="F367" t="s">
        <v>280</v>
      </c>
      <c r="G367" t="s">
        <v>31</v>
      </c>
      <c r="H367" t="s">
        <v>253</v>
      </c>
      <c r="I367" t="s">
        <v>135</v>
      </c>
      <c r="J367" t="s">
        <v>39</v>
      </c>
      <c r="K367" t="s">
        <v>31</v>
      </c>
      <c r="L367">
        <v>555.32000000000005</v>
      </c>
      <c r="M367">
        <v>1</v>
      </c>
      <c r="N367" s="2">
        <v>7.4417404184983775</v>
      </c>
      <c r="O367" s="2">
        <v>3.994835640102659</v>
      </c>
      <c r="P367" s="1">
        <v>-1.3808313679047273</v>
      </c>
      <c r="Q367" s="1">
        <v>0.29076811148401677</v>
      </c>
      <c r="R367" s="1">
        <v>-1.1299449527495846</v>
      </c>
      <c r="S367" s="19">
        <v>0.10081935807403508</v>
      </c>
      <c r="T367" s="19">
        <v>0.15443363584587114</v>
      </c>
      <c r="U367" s="19">
        <v>0.3358212326127909</v>
      </c>
      <c r="V367" s="19">
        <v>0.62931216842177329</v>
      </c>
      <c r="W367" s="19">
        <v>1.0724650990451283</v>
      </c>
      <c r="X367" s="19">
        <v>1.7038356708692035</v>
      </c>
      <c r="Y367" s="19">
        <v>2.558122826902776</v>
      </c>
      <c r="Z367" s="19">
        <v>3.6595775135902007</v>
      </c>
      <c r="AA367" s="19">
        <v>5.0142164280416468</v>
      </c>
      <c r="AB367" s="19">
        <v>6.6021707611326974</v>
      </c>
      <c r="AC367" s="19">
        <v>8.372349436404944</v>
      </c>
      <c r="AD367" s="19">
        <v>10.242116916099492</v>
      </c>
      <c r="AE367" s="19">
        <v>13.826302893703859</v>
      </c>
      <c r="AF367" s="19">
        <v>16.527248811688342</v>
      </c>
      <c r="AG367" s="19">
        <v>18.334429119209869</v>
      </c>
      <c r="AH367" s="19">
        <v>19.762350843486352</v>
      </c>
      <c r="AI367" s="19">
        <v>20.768023240573907</v>
      </c>
      <c r="AJ367" s="19">
        <v>21.424593115825651</v>
      </c>
      <c r="AK367" s="19">
        <v>21.654428498712331</v>
      </c>
      <c r="AL367" s="19">
        <v>21.735667621554363</v>
      </c>
      <c r="AM367" s="19">
        <v>21.494088636815302</v>
      </c>
      <c r="AN367" s="19">
        <v>21.111900759587929</v>
      </c>
      <c r="AO367" s="19">
        <v>13.727788142443874</v>
      </c>
      <c r="AP367" s="19">
        <v>1.8837366796511132</v>
      </c>
      <c r="AQ367" s="19">
        <v>1.4961685326323604</v>
      </c>
      <c r="AR367" s="19">
        <v>254.19196794292583</v>
      </c>
    </row>
    <row r="368" spans="1:44" x14ac:dyDescent="0.25">
      <c r="A368" t="s">
        <v>250</v>
      </c>
      <c r="B368" t="s">
        <v>279</v>
      </c>
      <c r="C368" t="s">
        <v>43</v>
      </c>
      <c r="D368" t="s">
        <v>280</v>
      </c>
      <c r="E368" t="s">
        <v>148</v>
      </c>
      <c r="F368" t="s">
        <v>280</v>
      </c>
      <c r="G368" t="s">
        <v>31</v>
      </c>
      <c r="H368" t="s">
        <v>253</v>
      </c>
      <c r="I368" t="s">
        <v>135</v>
      </c>
      <c r="J368" t="s">
        <v>39</v>
      </c>
      <c r="K368" t="s">
        <v>31</v>
      </c>
      <c r="L368">
        <v>555.32000000000005</v>
      </c>
      <c r="M368">
        <v>1</v>
      </c>
      <c r="N368" s="2">
        <v>7.4417404184983775</v>
      </c>
      <c r="O368" s="2">
        <v>3.994835640102659</v>
      </c>
      <c r="P368" s="1">
        <v>-1.3808313679047273</v>
      </c>
      <c r="Q368" s="1">
        <v>0.29076811148401677</v>
      </c>
      <c r="R368" s="1">
        <v>-1.1299449527495846</v>
      </c>
      <c r="S368" s="19">
        <v>1.3721313190113394E-2</v>
      </c>
      <c r="T368" s="19">
        <v>2.8734053774068569E-2</v>
      </c>
      <c r="U368" s="19">
        <v>6.3188893953509045E-2</v>
      </c>
      <c r="V368" s="19">
        <v>0.11975562233612476</v>
      </c>
      <c r="W368" s="19">
        <v>0.20640944719205587</v>
      </c>
      <c r="X368" s="19">
        <v>0.33167292893043898</v>
      </c>
      <c r="Y368" s="19">
        <v>0.50368472792264407</v>
      </c>
      <c r="Z368" s="19">
        <v>0.72885715151593267</v>
      </c>
      <c r="AA368" s="19">
        <v>1.0102002875507428</v>
      </c>
      <c r="AB368" s="19">
        <v>1.3455592542330657</v>
      </c>
      <c r="AC368" s="19">
        <v>1.7262101109696957</v>
      </c>
      <c r="AD368" s="19">
        <v>2.1364104872613696</v>
      </c>
      <c r="AE368" s="19">
        <v>2.5544806027810738</v>
      </c>
      <c r="AF368" s="19">
        <v>2.9556811504233167</v>
      </c>
      <c r="AG368" s="19">
        <v>3.3165387064161864</v>
      </c>
      <c r="AH368" s="19">
        <v>3.6195291395459055</v>
      </c>
      <c r="AI368" s="19">
        <v>3.8565526215492318</v>
      </c>
      <c r="AJ368" s="19">
        <v>4.0409016602883661</v>
      </c>
      <c r="AK368" s="19">
        <v>4.1574054744111342</v>
      </c>
      <c r="AL368" s="19">
        <v>4.2585539312216776</v>
      </c>
      <c r="AM368" s="19">
        <v>4.3094953451647786</v>
      </c>
      <c r="AN368" s="19">
        <v>4.343771461665594</v>
      </c>
      <c r="AO368" s="19">
        <v>4.3784895741108141</v>
      </c>
      <c r="AP368" s="19">
        <v>4.4136544029684304</v>
      </c>
      <c r="AQ368" s="19">
        <v>4.4492707226122565</v>
      </c>
      <c r="AR368" s="19">
        <v>58.868729071988525</v>
      </c>
    </row>
    <row r="369" spans="1:44" x14ac:dyDescent="0.25">
      <c r="A369" t="s">
        <v>250</v>
      </c>
      <c r="B369" t="s">
        <v>279</v>
      </c>
      <c r="C369" t="s">
        <v>43</v>
      </c>
      <c r="D369" t="s">
        <v>280</v>
      </c>
      <c r="E369" t="s">
        <v>145</v>
      </c>
      <c r="F369" t="s">
        <v>280</v>
      </c>
      <c r="G369" t="s">
        <v>31</v>
      </c>
      <c r="H369" t="s">
        <v>274</v>
      </c>
      <c r="I369" t="s">
        <v>135</v>
      </c>
      <c r="J369" t="s">
        <v>39</v>
      </c>
      <c r="K369" t="s">
        <v>33</v>
      </c>
      <c r="L369">
        <v>555.32000000000005</v>
      </c>
      <c r="M369">
        <v>1</v>
      </c>
      <c r="N369" s="2">
        <v>7.4417404184983775</v>
      </c>
      <c r="O369" s="2">
        <v>3.994835640102659</v>
      </c>
      <c r="P369" s="1">
        <v>-1.3808313679047273</v>
      </c>
      <c r="Q369" s="1">
        <v>0.29076811148401677</v>
      </c>
      <c r="R369" s="1">
        <v>-1.1299449527495846</v>
      </c>
      <c r="S369" s="19">
        <v>9.9313943471642842E-5</v>
      </c>
      <c r="T369" s="19">
        <v>1.5205128653398718E-4</v>
      </c>
      <c r="U369" s="19">
        <v>3.304747314358446E-4</v>
      </c>
      <c r="V369" s="19">
        <v>6.189821717018072E-4</v>
      </c>
      <c r="W369" s="19">
        <v>1.0543312596185304E-3</v>
      </c>
      <c r="X369" s="19">
        <v>1.6741853037911237E-3</v>
      </c>
      <c r="Y369" s="19">
        <v>2.512344067935665E-3</v>
      </c>
      <c r="Z369" s="19">
        <v>3.5922832853495855E-3</v>
      </c>
      <c r="AA369" s="19">
        <v>4.9195412520094805E-3</v>
      </c>
      <c r="AB369" s="19">
        <v>6.4742607733378572E-3</v>
      </c>
      <c r="AC369" s="19">
        <v>8.2060221604262195E-3</v>
      </c>
      <c r="AD369" s="19">
        <v>1.0033604365934848E-2</v>
      </c>
      <c r="AE369" s="19">
        <v>1.3548213258540788E-2</v>
      </c>
      <c r="AF369" s="19">
        <v>1.6277376833262032E-2</v>
      </c>
      <c r="AG369" s="19">
        <v>1.8048387563664864E-2</v>
      </c>
      <c r="AH369" s="19">
        <v>1.9443909629101523E-2</v>
      </c>
      <c r="AI369" s="19">
        <v>2.0421877154763533E-2</v>
      </c>
      <c r="AJ369" s="19">
        <v>2.1054463670301535E-2</v>
      </c>
      <c r="AK369" s="19">
        <v>2.1265656499632763E-2</v>
      </c>
      <c r="AL369" s="19">
        <v>2.1328928087290065E-2</v>
      </c>
      <c r="AM369" s="19">
        <v>2.1073566448056347E-2</v>
      </c>
      <c r="AN369" s="19">
        <v>2.0678848656835641E-2</v>
      </c>
      <c r="AO369" s="19">
        <v>1.2559539315082907E-2</v>
      </c>
      <c r="AP369" s="19">
        <v>1.9067344893207304E-3</v>
      </c>
      <c r="AQ369" s="19">
        <v>1.5137702993711325E-3</v>
      </c>
      <c r="AR369" s="19">
        <v>0.24878866650677053</v>
      </c>
    </row>
    <row r="370" spans="1:44" x14ac:dyDescent="0.25">
      <c r="A370" t="s">
        <v>250</v>
      </c>
      <c r="B370" t="s">
        <v>279</v>
      </c>
      <c r="C370" t="s">
        <v>43</v>
      </c>
      <c r="D370" t="s">
        <v>280</v>
      </c>
      <c r="E370" t="s">
        <v>148</v>
      </c>
      <c r="F370" t="s">
        <v>280</v>
      </c>
      <c r="G370" t="s">
        <v>31</v>
      </c>
      <c r="H370" t="s">
        <v>274</v>
      </c>
      <c r="I370" t="s">
        <v>135</v>
      </c>
      <c r="J370" t="s">
        <v>39</v>
      </c>
      <c r="K370" t="s">
        <v>33</v>
      </c>
      <c r="L370">
        <v>555.32000000000005</v>
      </c>
      <c r="M370">
        <v>1</v>
      </c>
      <c r="N370" s="2">
        <v>7.4417404184983775</v>
      </c>
      <c r="O370" s="2">
        <v>3.994835640102659</v>
      </c>
      <c r="P370" s="1">
        <v>-1.3808313679047273</v>
      </c>
      <c r="Q370" s="1">
        <v>0.29076811148401677</v>
      </c>
      <c r="R370" s="1">
        <v>-1.1299449527495846</v>
      </c>
      <c r="S370" s="19">
        <v>1.3516429270646016E-5</v>
      </c>
      <c r="T370" s="19">
        <v>2.9221526326500687E-5</v>
      </c>
      <c r="U370" s="19">
        <v>6.4229176608368701E-5</v>
      </c>
      <c r="V370" s="19">
        <v>1.2166776732577415E-4</v>
      </c>
      <c r="W370" s="19">
        <v>2.0960403403832859E-4</v>
      </c>
      <c r="X370" s="19">
        <v>3.3664559631713223E-4</v>
      </c>
      <c r="Y370" s="19">
        <v>5.1099533878418103E-4</v>
      </c>
      <c r="Z370" s="19">
        <v>7.3909150103963089E-4</v>
      </c>
      <c r="AA370" s="19">
        <v>1.0239135497604865E-3</v>
      </c>
      <c r="AB370" s="19">
        <v>1.3632045100781694E-3</v>
      </c>
      <c r="AC370" s="19">
        <v>1.748061018162517E-3</v>
      </c>
      <c r="AD370" s="19">
        <v>2.1624930933352247E-3</v>
      </c>
      <c r="AE370" s="19">
        <v>2.5845329469710442E-3</v>
      </c>
      <c r="AF370" s="19">
        <v>2.9891575759600397E-3</v>
      </c>
      <c r="AG370" s="19">
        <v>3.3526666903649152E-3</v>
      </c>
      <c r="AH370" s="19">
        <v>3.6574110576214824E-3</v>
      </c>
      <c r="AI370" s="19">
        <v>3.8952885802875062E-3</v>
      </c>
      <c r="AJ370" s="19">
        <v>4.0798069922992498E-3</v>
      </c>
      <c r="AK370" s="19">
        <v>4.1957243458275407E-3</v>
      </c>
      <c r="AL370" s="19">
        <v>4.2960783964326879E-3</v>
      </c>
      <c r="AM370" s="19">
        <v>4.3457444585110333E-3</v>
      </c>
      <c r="AN370" s="19">
        <v>4.3785940885125258E-3</v>
      </c>
      <c r="AO370" s="19">
        <v>4.4118851751276745E-3</v>
      </c>
      <c r="AP370" s="19">
        <v>4.4456223328644996E-3</v>
      </c>
      <c r="AQ370" s="19">
        <v>4.4798102295258132E-3</v>
      </c>
      <c r="AR370" s="19">
        <v>5.9434966411352971E-2</v>
      </c>
    </row>
    <row r="371" spans="1:44" x14ac:dyDescent="0.25">
      <c r="A371" t="s">
        <v>250</v>
      </c>
      <c r="B371" t="s">
        <v>279</v>
      </c>
      <c r="C371" t="s">
        <v>43</v>
      </c>
      <c r="D371" t="s">
        <v>280</v>
      </c>
      <c r="E371" t="s">
        <v>145</v>
      </c>
      <c r="F371" t="s">
        <v>280</v>
      </c>
      <c r="G371" t="s">
        <v>31</v>
      </c>
      <c r="H371" t="s">
        <v>253</v>
      </c>
      <c r="I371" t="s">
        <v>256</v>
      </c>
      <c r="J371" t="s">
        <v>39</v>
      </c>
      <c r="K371" t="s">
        <v>31</v>
      </c>
      <c r="L371">
        <v>555.32000000000005</v>
      </c>
      <c r="M371">
        <v>1</v>
      </c>
      <c r="N371" s="2">
        <v>4.9300155022114529</v>
      </c>
      <c r="O371" s="2">
        <v>2.6465047861031108</v>
      </c>
      <c r="P371" s="1">
        <v>-0.65050185742862832</v>
      </c>
      <c r="Q371" s="1">
        <v>0.4672931329656026</v>
      </c>
      <c r="R371" s="1">
        <v>-0.3996154422734855</v>
      </c>
      <c r="S371" s="19">
        <v>5.2885894428462941E-2</v>
      </c>
      <c r="T371" s="19">
        <v>8.1009848877939328E-2</v>
      </c>
      <c r="U371" s="19">
        <v>0.17615869208128107</v>
      </c>
      <c r="V371" s="19">
        <v>0.33011256506177217</v>
      </c>
      <c r="W371" s="19">
        <v>0.56257327054851491</v>
      </c>
      <c r="X371" s="19">
        <v>0.89376559357646468</v>
      </c>
      <c r="Y371" s="19">
        <v>1.3418912433391454</v>
      </c>
      <c r="Z371" s="19">
        <v>1.9196713184226517</v>
      </c>
      <c r="AA371" s="19">
        <v>2.6302619429509115</v>
      </c>
      <c r="AB371" s="19">
        <v>3.4632407162873173</v>
      </c>
      <c r="AC371" s="19">
        <v>4.3918072567647704</v>
      </c>
      <c r="AD371" s="19">
        <v>5.3726141913247494</v>
      </c>
      <c r="AE371" s="19">
        <v>7.2527380568661934</v>
      </c>
      <c r="AF371" s="19">
        <v>8.6695487111318368</v>
      </c>
      <c r="AG371" s="19">
        <v>9.6175248615710753</v>
      </c>
      <c r="AH371" s="19">
        <v>10.36655678366227</v>
      </c>
      <c r="AI371" s="19">
        <v>10.894093213550439</v>
      </c>
      <c r="AJ371" s="19">
        <v>11.238504106168657</v>
      </c>
      <c r="AK371" s="19">
        <v>11.359066764248103</v>
      </c>
      <c r="AL371" s="19">
        <v>11.40168163262414</v>
      </c>
      <c r="AM371" s="19">
        <v>11.274958740045721</v>
      </c>
      <c r="AN371" s="19">
        <v>11.07447791857448</v>
      </c>
      <c r="AO371" s="19">
        <v>7.2010610690901551</v>
      </c>
      <c r="AP371" s="19">
        <v>0.98813463083046638</v>
      </c>
      <c r="AQ371" s="19">
        <v>0.78483153013014495</v>
      </c>
      <c r="AR371" s="19">
        <v>133.33917055215764</v>
      </c>
    </row>
    <row r="372" spans="1:44" x14ac:dyDescent="0.25">
      <c r="A372" t="s">
        <v>250</v>
      </c>
      <c r="B372" t="s">
        <v>279</v>
      </c>
      <c r="C372" t="s">
        <v>43</v>
      </c>
      <c r="D372" t="s">
        <v>280</v>
      </c>
      <c r="E372" t="s">
        <v>148</v>
      </c>
      <c r="F372" t="s">
        <v>280</v>
      </c>
      <c r="G372" t="s">
        <v>31</v>
      </c>
      <c r="H372" t="s">
        <v>253</v>
      </c>
      <c r="I372" t="s">
        <v>256</v>
      </c>
      <c r="J372" t="s">
        <v>39</v>
      </c>
      <c r="K372" t="s">
        <v>31</v>
      </c>
      <c r="L372">
        <v>555.32000000000005</v>
      </c>
      <c r="M372">
        <v>1</v>
      </c>
      <c r="N372" s="2">
        <v>4.9300155022114529</v>
      </c>
      <c r="O372" s="2">
        <v>2.6465047861031108</v>
      </c>
      <c r="P372" s="1">
        <v>-0.65050185742862832</v>
      </c>
      <c r="Q372" s="1">
        <v>0.4672931329656026</v>
      </c>
      <c r="R372" s="1">
        <v>-0.3996154422734855</v>
      </c>
      <c r="S372" s="19">
        <v>7.1976645621898714E-3</v>
      </c>
      <c r="T372" s="19">
        <v>1.5072761456001931E-2</v>
      </c>
      <c r="U372" s="19">
        <v>3.3146423846723956E-2</v>
      </c>
      <c r="V372" s="19">
        <v>6.2819118481515432E-2</v>
      </c>
      <c r="W372" s="19">
        <v>0.10827432788473453</v>
      </c>
      <c r="X372" s="19">
        <v>0.17398265411800831</v>
      </c>
      <c r="Y372" s="19">
        <v>0.2642133202889978</v>
      </c>
      <c r="Z372" s="19">
        <v>0.38232997218843173</v>
      </c>
      <c r="AA372" s="19">
        <v>0.52991158423940732</v>
      </c>
      <c r="AB372" s="19">
        <v>0.70582778968256932</v>
      </c>
      <c r="AC372" s="19">
        <v>0.90550235028326587</v>
      </c>
      <c r="AD372" s="19">
        <v>1.1206774338138066</v>
      </c>
      <c r="AE372" s="19">
        <v>1.3399806749318095</v>
      </c>
      <c r="AF372" s="19">
        <v>1.550434800137285</v>
      </c>
      <c r="AG372" s="19">
        <v>1.7397265688463963</v>
      </c>
      <c r="AH372" s="19">
        <v>1.8986635068059472</v>
      </c>
      <c r="AI372" s="19">
        <v>2.0229967607142574</v>
      </c>
      <c r="AJ372" s="19">
        <v>2.119699060619662</v>
      </c>
      <c r="AK372" s="19">
        <v>2.1808124076188387</v>
      </c>
      <c r="AL372" s="19">
        <v>2.2338709343806857</v>
      </c>
      <c r="AM372" s="19">
        <v>2.2605928089422429</v>
      </c>
      <c r="AN372" s="19">
        <v>2.2785727198771046</v>
      </c>
      <c r="AO372" s="19">
        <v>2.2967844846076506</v>
      </c>
      <c r="AP372" s="19">
        <v>2.315230579307026</v>
      </c>
      <c r="AQ372" s="19">
        <v>2.3339135084249687</v>
      </c>
      <c r="AR372" s="19">
        <v>30.880234216059527</v>
      </c>
    </row>
    <row r="373" spans="1:44" x14ac:dyDescent="0.25">
      <c r="A373" t="s">
        <v>250</v>
      </c>
      <c r="B373" t="s">
        <v>279</v>
      </c>
      <c r="C373" t="s">
        <v>43</v>
      </c>
      <c r="D373" t="s">
        <v>280</v>
      </c>
      <c r="E373" t="s">
        <v>145</v>
      </c>
      <c r="F373" t="s">
        <v>280</v>
      </c>
      <c r="G373" t="s">
        <v>31</v>
      </c>
      <c r="H373" t="s">
        <v>272</v>
      </c>
      <c r="I373" t="s">
        <v>135</v>
      </c>
      <c r="J373" t="s">
        <v>40</v>
      </c>
      <c r="K373" t="s">
        <v>31</v>
      </c>
      <c r="L373">
        <v>555.32000000000005</v>
      </c>
      <c r="M373">
        <v>1</v>
      </c>
      <c r="N373" s="2">
        <v>7.4417404184983775</v>
      </c>
      <c r="O373" s="2">
        <v>2.8220930578635581</v>
      </c>
      <c r="P373" s="1">
        <v>-1.3808313679047273</v>
      </c>
      <c r="Q373" s="1">
        <v>0.4672931329656026</v>
      </c>
      <c r="R373" s="1">
        <v>-0.98694495274958449</v>
      </c>
      <c r="S373" s="19">
        <v>6.4489742537674564E-3</v>
      </c>
      <c r="T373" s="19">
        <v>9.8734860164915866E-3</v>
      </c>
      <c r="U373" s="19">
        <v>2.1459454332905477E-2</v>
      </c>
      <c r="V373" s="19">
        <v>4.0193752753215371E-2</v>
      </c>
      <c r="W373" s="19">
        <v>6.8463248065097085E-2</v>
      </c>
      <c r="X373" s="19">
        <v>0.10871361606205485</v>
      </c>
      <c r="Y373" s="19">
        <v>0.16313965234245958</v>
      </c>
      <c r="Z373" s="19">
        <v>0.2332657591637512</v>
      </c>
      <c r="AA373" s="19">
        <v>0.31945156707642763</v>
      </c>
      <c r="AB373" s="19">
        <v>0.4204076444850261</v>
      </c>
      <c r="AC373" s="19">
        <v>0.53285997704385057</v>
      </c>
      <c r="AD373" s="19">
        <v>0.6515344569604995</v>
      </c>
      <c r="AE373" s="19">
        <v>0.87975641118135439</v>
      </c>
      <c r="AF373" s="19">
        <v>1.0569752891400432</v>
      </c>
      <c r="AG373" s="19">
        <v>1.1719762870288726</v>
      </c>
      <c r="AH373" s="19">
        <v>1.2625948402347011</v>
      </c>
      <c r="AI373" s="19">
        <v>1.3260993912931898</v>
      </c>
      <c r="AJ373" s="19">
        <v>1.3671765453098337</v>
      </c>
      <c r="AK373" s="19">
        <v>1.380890401303543</v>
      </c>
      <c r="AL373" s="19">
        <v>1.3849989567141243</v>
      </c>
      <c r="AM373" s="19">
        <v>1.3684169886716646</v>
      </c>
      <c r="AN373" s="19">
        <v>1.3427858961573134</v>
      </c>
      <c r="AO373" s="19">
        <v>0.81555663636774911</v>
      </c>
      <c r="AP373" s="19">
        <v>0.12381425206331639</v>
      </c>
      <c r="AQ373" s="19">
        <v>9.8297030059527626E-2</v>
      </c>
      <c r="AR373" s="19">
        <v>16.155150514080777</v>
      </c>
    </row>
    <row r="374" spans="1:44" x14ac:dyDescent="0.25">
      <c r="A374" t="s">
        <v>250</v>
      </c>
      <c r="B374" t="s">
        <v>279</v>
      </c>
      <c r="C374" t="s">
        <v>43</v>
      </c>
      <c r="D374" t="s">
        <v>280</v>
      </c>
      <c r="E374" t="s">
        <v>148</v>
      </c>
      <c r="F374" t="s">
        <v>280</v>
      </c>
      <c r="G374" t="s">
        <v>31</v>
      </c>
      <c r="H374" t="s">
        <v>272</v>
      </c>
      <c r="I374" t="s">
        <v>135</v>
      </c>
      <c r="J374" t="s">
        <v>40</v>
      </c>
      <c r="K374" t="s">
        <v>31</v>
      </c>
      <c r="L374">
        <v>555.32000000000005</v>
      </c>
      <c r="M374">
        <v>1</v>
      </c>
      <c r="N374" s="2">
        <v>7.4417404184983775</v>
      </c>
      <c r="O374" s="2">
        <v>2.8220930578635581</v>
      </c>
      <c r="P374" s="1">
        <v>-1.3808313679047273</v>
      </c>
      <c r="Q374" s="1">
        <v>0.4672931329656026</v>
      </c>
      <c r="R374" s="1">
        <v>-0.98694495274958449</v>
      </c>
      <c r="S374" s="19">
        <v>8.776925104595594E-4</v>
      </c>
      <c r="T374" s="19">
        <v>1.897506677792914E-3</v>
      </c>
      <c r="U374" s="19">
        <v>4.1707366741138528E-3</v>
      </c>
      <c r="V374" s="19">
        <v>7.9005250579072192E-3</v>
      </c>
      <c r="W374" s="19">
        <v>1.3610687198066412E-2</v>
      </c>
      <c r="X374" s="19">
        <v>2.1860160893855372E-2</v>
      </c>
      <c r="Y374" s="19">
        <v>3.318160238552318E-2</v>
      </c>
      <c r="Z374" s="19">
        <v>4.799308027420969E-2</v>
      </c>
      <c r="AA374" s="19">
        <v>6.6488066928633849E-2</v>
      </c>
      <c r="AB374" s="19">
        <v>8.8520005155408532E-2</v>
      </c>
      <c r="AC374" s="19">
        <v>0.11351075293232428</v>
      </c>
      <c r="AD374" s="19">
        <v>0.14042199710709208</v>
      </c>
      <c r="AE374" s="19">
        <v>0.16782725416385388</v>
      </c>
      <c r="AF374" s="19">
        <v>0.19410164951635681</v>
      </c>
      <c r="AG374" s="19">
        <v>0.21770619926899237</v>
      </c>
      <c r="AH374" s="19">
        <v>0.23749484635841231</v>
      </c>
      <c r="AI374" s="19">
        <v>0.25294147918354409</v>
      </c>
      <c r="AJ374" s="19">
        <v>0.26492322562129367</v>
      </c>
      <c r="AK374" s="19">
        <v>0.27245034620816388</v>
      </c>
      <c r="AL374" s="19">
        <v>0.2789668600630259</v>
      </c>
      <c r="AM374" s="19">
        <v>0.28219193747343801</v>
      </c>
      <c r="AN374" s="19">
        <v>0.28432503591580727</v>
      </c>
      <c r="AO374" s="19">
        <v>0.28648680044711772</v>
      </c>
      <c r="AP374" s="19">
        <v>0.28867753071151636</v>
      </c>
      <c r="AQ374" s="19">
        <v>0.29089752981387668</v>
      </c>
      <c r="AR374" s="19">
        <v>3.8594235085407846</v>
      </c>
    </row>
    <row r="375" spans="1:44" x14ac:dyDescent="0.25">
      <c r="A375" t="s">
        <v>250</v>
      </c>
      <c r="B375" t="s">
        <v>279</v>
      </c>
      <c r="C375" t="s">
        <v>43</v>
      </c>
      <c r="D375" t="s">
        <v>280</v>
      </c>
      <c r="E375" t="s">
        <v>145</v>
      </c>
      <c r="F375" t="s">
        <v>280</v>
      </c>
      <c r="G375" t="s">
        <v>31</v>
      </c>
      <c r="H375" t="s">
        <v>277</v>
      </c>
      <c r="I375" t="s">
        <v>135</v>
      </c>
      <c r="J375" t="s">
        <v>40</v>
      </c>
      <c r="K375" t="s">
        <v>31</v>
      </c>
      <c r="L375">
        <v>555.32000000000005</v>
      </c>
      <c r="M375">
        <v>1</v>
      </c>
      <c r="N375" s="2">
        <v>7.4417404184983775</v>
      </c>
      <c r="O375" s="2">
        <v>2.8220930578635581</v>
      </c>
      <c r="P375" s="1">
        <v>-1.3808313679047273</v>
      </c>
      <c r="Q375" s="1">
        <v>0.4672931329656026</v>
      </c>
      <c r="R375" s="1">
        <v>-0.98694495274958449</v>
      </c>
      <c r="S375" s="19">
        <v>0.98576246779324783</v>
      </c>
      <c r="T375" s="19">
        <v>1.509036664059447</v>
      </c>
      <c r="U375" s="19">
        <v>3.2794090551701132</v>
      </c>
      <c r="V375" s="19">
        <v>6.1416224377582829</v>
      </c>
      <c r="W375" s="19">
        <v>10.459952143166936</v>
      </c>
      <c r="X375" s="19">
        <v>16.607481621824945</v>
      </c>
      <c r="Y375" s="19">
        <v>24.918793552063047</v>
      </c>
      <c r="Z375" s="19">
        <v>35.625922112252397</v>
      </c>
      <c r="AA375" s="19">
        <v>48.782919045167752</v>
      </c>
      <c r="AB375" s="19">
        <v>64.192014633006281</v>
      </c>
      <c r="AC375" s="19">
        <v>81.352545038450941</v>
      </c>
      <c r="AD375" s="19">
        <v>99.458767153495231</v>
      </c>
      <c r="AE375" s="19">
        <v>134.30571080504308</v>
      </c>
      <c r="AF375" s="19">
        <v>161.55812352799293</v>
      </c>
      <c r="AG375" s="19">
        <v>179.11489268647983</v>
      </c>
      <c r="AH375" s="19">
        <v>192.94015749423625</v>
      </c>
      <c r="AI375" s="19">
        <v>202.61706231625593</v>
      </c>
      <c r="AJ375" s="19">
        <v>208.86227511159737</v>
      </c>
      <c r="AK375" s="19">
        <v>210.92241310140301</v>
      </c>
      <c r="AL375" s="19">
        <v>211.51068823929961</v>
      </c>
      <c r="AM375" s="19">
        <v>208.93481811502227</v>
      </c>
      <c r="AN375" s="19">
        <v>204.97376692341311</v>
      </c>
      <c r="AO375" s="19">
        <v>122.39316784818392</v>
      </c>
      <c r="AP375" s="19">
        <v>19.046727438680943</v>
      </c>
      <c r="AQ375" s="19">
        <v>15.119742166724532</v>
      </c>
      <c r="AR375" s="19">
        <v>2465.6137716985413</v>
      </c>
    </row>
    <row r="376" spans="1:44" x14ac:dyDescent="0.25">
      <c r="A376" t="s">
        <v>250</v>
      </c>
      <c r="B376" t="s">
        <v>279</v>
      </c>
      <c r="C376" t="s">
        <v>43</v>
      </c>
      <c r="D376" t="s">
        <v>280</v>
      </c>
      <c r="E376" t="s">
        <v>148</v>
      </c>
      <c r="F376" t="s">
        <v>280</v>
      </c>
      <c r="G376" t="s">
        <v>31</v>
      </c>
      <c r="H376" t="s">
        <v>277</v>
      </c>
      <c r="I376" t="s">
        <v>135</v>
      </c>
      <c r="J376" t="s">
        <v>40</v>
      </c>
      <c r="K376" t="s">
        <v>31</v>
      </c>
      <c r="L376">
        <v>555.32000000000005</v>
      </c>
      <c r="M376">
        <v>1</v>
      </c>
      <c r="N376" s="2">
        <v>7.4417404184983775</v>
      </c>
      <c r="O376" s="2">
        <v>2.8220930578635581</v>
      </c>
      <c r="P376" s="1">
        <v>-1.3808313679047273</v>
      </c>
      <c r="Q376" s="1">
        <v>0.4672931329656026</v>
      </c>
      <c r="R376" s="1">
        <v>-0.98694495274958449</v>
      </c>
      <c r="S376" s="19">
        <v>0.13416030224788436</v>
      </c>
      <c r="T376" s="19">
        <v>0.29222802776655837</v>
      </c>
      <c r="U376" s="19">
        <v>0.64224368482800531</v>
      </c>
      <c r="V376" s="19">
        <v>1.2164440156208047</v>
      </c>
      <c r="W376" s="19">
        <v>2.095395007171108</v>
      </c>
      <c r="X376" s="19">
        <v>3.3650340659429534</v>
      </c>
      <c r="Y376" s="19">
        <v>5.1072169048076983</v>
      </c>
      <c r="Z376" s="19">
        <v>7.3861306448493744</v>
      </c>
      <c r="AA376" s="19">
        <v>10.231376195652873</v>
      </c>
      <c r="AB376" s="19">
        <v>13.620226686271105</v>
      </c>
      <c r="AC376" s="19">
        <v>17.463570330007098</v>
      </c>
      <c r="AD376" s="19">
        <v>21.601547969827369</v>
      </c>
      <c r="AE376" s="19">
        <v>25.814664084663914</v>
      </c>
      <c r="AF376" s="19">
        <v>29.853003946119362</v>
      </c>
      <c r="AG376" s="19">
        <v>33.479964707722701</v>
      </c>
      <c r="AH376" s="19">
        <v>36.519458248787927</v>
      </c>
      <c r="AI376" s="19">
        <v>38.890782913206174</v>
      </c>
      <c r="AJ376" s="19">
        <v>40.728996878568054</v>
      </c>
      <c r="AK376" s="19">
        <v>41.88211841419524</v>
      </c>
      <c r="AL376" s="19">
        <v>42.879729106684103</v>
      </c>
      <c r="AM376" s="19">
        <v>43.371326548618811</v>
      </c>
      <c r="AN376" s="19">
        <v>43.69506926586179</v>
      </c>
      <c r="AO376" s="19">
        <v>44.023210181516589</v>
      </c>
      <c r="AP376" s="19">
        <v>44.355794995064883</v>
      </c>
      <c r="AQ376" s="19">
        <v>44.69286993558314</v>
      </c>
      <c r="AR376" s="19">
        <v>593.34256306158568</v>
      </c>
    </row>
    <row r="377" spans="1:44" x14ac:dyDescent="0.25">
      <c r="A377" t="s">
        <v>250</v>
      </c>
      <c r="B377" t="s">
        <v>279</v>
      </c>
      <c r="C377" t="s">
        <v>43</v>
      </c>
      <c r="D377" t="s">
        <v>280</v>
      </c>
      <c r="E377" t="s">
        <v>145</v>
      </c>
      <c r="F377" t="s">
        <v>280</v>
      </c>
      <c r="G377" t="s">
        <v>31</v>
      </c>
      <c r="H377" t="s">
        <v>253</v>
      </c>
      <c r="I377" t="s">
        <v>135</v>
      </c>
      <c r="J377" t="s">
        <v>40</v>
      </c>
      <c r="K377" t="s">
        <v>31</v>
      </c>
      <c r="L377">
        <v>555.32000000000005</v>
      </c>
      <c r="M377">
        <v>1</v>
      </c>
      <c r="N377" s="2">
        <v>7.4417404184983775</v>
      </c>
      <c r="O377" s="2">
        <v>2.8220930578635581</v>
      </c>
      <c r="P377" s="1">
        <v>-1.3808313679047273</v>
      </c>
      <c r="Q377" s="1">
        <v>0.4672931329656026</v>
      </c>
      <c r="R377" s="1">
        <v>-0.98694495274958449</v>
      </c>
      <c r="S377" s="19">
        <v>5.3033077770760002E-2</v>
      </c>
      <c r="T377" s="19">
        <v>8.1235302194852838E-2</v>
      </c>
      <c r="U377" s="19">
        <v>0.1766489480437716</v>
      </c>
      <c r="V377" s="19">
        <v>0.33103128017825317</v>
      </c>
      <c r="W377" s="19">
        <v>0.56413893215150257</v>
      </c>
      <c r="X377" s="19">
        <v>0.89625297530110626</v>
      </c>
      <c r="Y377" s="19">
        <v>1.3456257748305425</v>
      </c>
      <c r="Z377" s="19">
        <v>1.9250138325998376</v>
      </c>
      <c r="AA377" s="19">
        <v>2.6375820563396317</v>
      </c>
      <c r="AB377" s="19">
        <v>3.4728790394982809</v>
      </c>
      <c r="AC377" s="19">
        <v>4.4040298139846259</v>
      </c>
      <c r="AD377" s="19">
        <v>5.387566369445163</v>
      </c>
      <c r="AE377" s="19">
        <v>7.2729226871830468</v>
      </c>
      <c r="AF377" s="19">
        <v>8.6936763763495915</v>
      </c>
      <c r="AG377" s="19">
        <v>9.6442907784388598</v>
      </c>
      <c r="AH377" s="19">
        <v>10.395407283252418</v>
      </c>
      <c r="AI377" s="19">
        <v>10.924411865958511</v>
      </c>
      <c r="AJ377" s="19">
        <v>11.26978126645195</v>
      </c>
      <c r="AK377" s="19">
        <v>11.39067945473591</v>
      </c>
      <c r="AL377" s="19">
        <v>11.433412921820103</v>
      </c>
      <c r="AM377" s="19">
        <v>11.306337354883468</v>
      </c>
      <c r="AN377" s="19">
        <v>11.105298588090742</v>
      </c>
      <c r="AO377" s="19">
        <v>7.2211018804953166</v>
      </c>
      <c r="AP377" s="19">
        <v>0.99088464497274453</v>
      </c>
      <c r="AQ377" s="19">
        <v>0.78701574444650357</v>
      </c>
      <c r="AR377" s="19">
        <v>133.71025824941748</v>
      </c>
    </row>
    <row r="378" spans="1:44" x14ac:dyDescent="0.25">
      <c r="A378" t="s">
        <v>250</v>
      </c>
      <c r="B378" t="s">
        <v>279</v>
      </c>
      <c r="C378" t="s">
        <v>43</v>
      </c>
      <c r="D378" t="s">
        <v>280</v>
      </c>
      <c r="E378" t="s">
        <v>148</v>
      </c>
      <c r="F378" t="s">
        <v>280</v>
      </c>
      <c r="G378" t="s">
        <v>31</v>
      </c>
      <c r="H378" t="s">
        <v>253</v>
      </c>
      <c r="I378" t="s">
        <v>135</v>
      </c>
      <c r="J378" t="s">
        <v>40</v>
      </c>
      <c r="K378" t="s">
        <v>31</v>
      </c>
      <c r="L378">
        <v>555.32000000000005</v>
      </c>
      <c r="M378">
        <v>1</v>
      </c>
      <c r="N378" s="2">
        <v>7.4417404184983775</v>
      </c>
      <c r="O378" s="2">
        <v>2.8220930578635581</v>
      </c>
      <c r="P378" s="1">
        <v>-1.3808313679047273</v>
      </c>
      <c r="Q378" s="1">
        <v>0.4672931329656026</v>
      </c>
      <c r="R378" s="1">
        <v>-0.98694495274958449</v>
      </c>
      <c r="S378" s="19">
        <v>7.217695920994421E-3</v>
      </c>
      <c r="T378" s="19">
        <v>1.5114709492103308E-2</v>
      </c>
      <c r="U378" s="19">
        <v>3.3238671533931834E-2</v>
      </c>
      <c r="V378" s="19">
        <v>6.2993946342861651E-2</v>
      </c>
      <c r="W378" s="19">
        <v>0.10857565922526076</v>
      </c>
      <c r="X378" s="19">
        <v>0.17446685408874638</v>
      </c>
      <c r="Y378" s="19">
        <v>0.26494863544211755</v>
      </c>
      <c r="Z378" s="19">
        <v>0.38339401022305664</v>
      </c>
      <c r="AA378" s="19">
        <v>0.53138634719714584</v>
      </c>
      <c r="AB378" s="19">
        <v>0.70779213375379424</v>
      </c>
      <c r="AC378" s="19">
        <v>0.90802239582305044</v>
      </c>
      <c r="AD378" s="19">
        <v>1.123796319333819</v>
      </c>
      <c r="AE378" s="19">
        <v>1.3437098892427388</v>
      </c>
      <c r="AF378" s="19">
        <v>1.5547497158319932</v>
      </c>
      <c r="AG378" s="19">
        <v>1.7445682903271904</v>
      </c>
      <c r="AH378" s="19">
        <v>1.903947555489413</v>
      </c>
      <c r="AI378" s="19">
        <v>2.0286268333057604</v>
      </c>
      <c r="AJ378" s="19">
        <v>2.1255982591824782</v>
      </c>
      <c r="AK378" s="19">
        <v>2.1868816868197478</v>
      </c>
      <c r="AL378" s="19">
        <v>2.240087877365863</v>
      </c>
      <c r="AM378" s="19">
        <v>2.2668841198633976</v>
      </c>
      <c r="AN378" s="19">
        <v>2.28491406953568</v>
      </c>
      <c r="AO378" s="19">
        <v>2.3031765182611483</v>
      </c>
      <c r="AP378" s="19">
        <v>2.321673949104071</v>
      </c>
      <c r="AQ378" s="19">
        <v>2.3404088734842849</v>
      </c>
      <c r="AR378" s="19">
        <v>30.96617501619065</v>
      </c>
    </row>
    <row r="379" spans="1:44" x14ac:dyDescent="0.25">
      <c r="A379" t="s">
        <v>250</v>
      </c>
      <c r="B379" t="s">
        <v>281</v>
      </c>
      <c r="C379" t="s">
        <v>43</v>
      </c>
      <c r="D379" t="s">
        <v>282</v>
      </c>
      <c r="E379" t="s">
        <v>145</v>
      </c>
      <c r="F379" t="s">
        <v>282</v>
      </c>
      <c r="G379" t="s">
        <v>31</v>
      </c>
      <c r="H379" t="s">
        <v>272</v>
      </c>
      <c r="I379" t="s">
        <v>135</v>
      </c>
      <c r="J379" t="s">
        <v>39</v>
      </c>
      <c r="K379" t="s">
        <v>31</v>
      </c>
      <c r="L379">
        <v>2077.3599999999997</v>
      </c>
      <c r="M379">
        <v>1</v>
      </c>
      <c r="N379" s="2">
        <v>3.2065728737266936</v>
      </c>
      <c r="O379" s="2">
        <v>4.4372583223218758</v>
      </c>
      <c r="P379" s="1">
        <v>-1.16169772439717</v>
      </c>
      <c r="Q379" s="1">
        <v>0.74954200350345179</v>
      </c>
      <c r="R379" s="1">
        <v>-1.3695852012614622</v>
      </c>
      <c r="S379" s="19">
        <v>0.95111745320097052</v>
      </c>
      <c r="T379" s="19">
        <v>1.4561765181082549</v>
      </c>
      <c r="U379" s="19">
        <v>3.1649159616774565</v>
      </c>
      <c r="V379" s="19">
        <v>5.9279163241959791</v>
      </c>
      <c r="W379" s="19">
        <v>10.097201132335217</v>
      </c>
      <c r="X379" s="19">
        <v>16.033467272226172</v>
      </c>
      <c r="Y379" s="19">
        <v>24.06041093456146</v>
      </c>
      <c r="Z379" s="19">
        <v>34.40285633722398</v>
      </c>
      <c r="AA379" s="19">
        <v>47.11384306136614</v>
      </c>
      <c r="AB379" s="19">
        <v>62.003201190518425</v>
      </c>
      <c r="AC379" s="19">
        <v>78.588067549284659</v>
      </c>
      <c r="AD379" s="19">
        <v>96.090598131157108</v>
      </c>
      <c r="AE379" s="19">
        <v>129.7495763378509</v>
      </c>
      <c r="AF379" s="19">
        <v>155.88644109037062</v>
      </c>
      <c r="AG379" s="19">
        <v>172.84719359511141</v>
      </c>
      <c r="AH379" s="19">
        <v>186.21193721887889</v>
      </c>
      <c r="AI379" s="19">
        <v>195.57781223910231</v>
      </c>
      <c r="AJ379" s="19">
        <v>201.63601569529209</v>
      </c>
      <c r="AK379" s="19">
        <v>203.65858351352833</v>
      </c>
      <c r="AL379" s="19">
        <v>204.26452774662332</v>
      </c>
      <c r="AM379" s="19">
        <v>201.8189606543998</v>
      </c>
      <c r="AN379" s="19">
        <v>198.03879679023763</v>
      </c>
      <c r="AO379" s="19">
        <v>120.28116726781656</v>
      </c>
      <c r="AP379" s="19">
        <v>18.260562293863575</v>
      </c>
      <c r="AQ379" s="19">
        <v>14.497192453950298</v>
      </c>
      <c r="AR379" s="19">
        <v>2382.6185387628816</v>
      </c>
    </row>
    <row r="380" spans="1:44" x14ac:dyDescent="0.25">
      <c r="A380" t="s">
        <v>250</v>
      </c>
      <c r="B380" t="s">
        <v>281</v>
      </c>
      <c r="C380" t="s">
        <v>43</v>
      </c>
      <c r="D380" t="s">
        <v>282</v>
      </c>
      <c r="E380" t="s">
        <v>148</v>
      </c>
      <c r="F380" t="s">
        <v>282</v>
      </c>
      <c r="G380" t="s">
        <v>31</v>
      </c>
      <c r="H380" t="s">
        <v>272</v>
      </c>
      <c r="I380" t="s">
        <v>135</v>
      </c>
      <c r="J380" t="s">
        <v>39</v>
      </c>
      <c r="K380" t="s">
        <v>31</v>
      </c>
      <c r="L380">
        <v>2077.3599999999997</v>
      </c>
      <c r="M380">
        <v>1</v>
      </c>
      <c r="N380" s="2">
        <v>3.2065728737266936</v>
      </c>
      <c r="O380" s="2">
        <v>4.4372583223218758</v>
      </c>
      <c r="P380" s="1">
        <v>-1.16169772439717</v>
      </c>
      <c r="Q380" s="1">
        <v>0.74954200350345179</v>
      </c>
      <c r="R380" s="1">
        <v>-1.3695852012614622</v>
      </c>
      <c r="S380" s="19">
        <v>0.12944518498491184</v>
      </c>
      <c r="T380" s="19">
        <v>0.27985097285198579</v>
      </c>
      <c r="U380" s="19">
        <v>0.61511494500659192</v>
      </c>
      <c r="V380" s="19">
        <v>1.1651972819766203</v>
      </c>
      <c r="W380" s="19">
        <v>2.007352120622504</v>
      </c>
      <c r="X380" s="19">
        <v>3.2240135776291465</v>
      </c>
      <c r="Y380" s="19">
        <v>4.8937396727253697</v>
      </c>
      <c r="Z380" s="19">
        <v>7.0781886367448097</v>
      </c>
      <c r="AA380" s="19">
        <v>9.8058944565445341</v>
      </c>
      <c r="AB380" s="19">
        <v>13.055242360684629</v>
      </c>
      <c r="AC380" s="19">
        <v>16.740965925991521</v>
      </c>
      <c r="AD380" s="19">
        <v>20.709931069094591</v>
      </c>
      <c r="AE380" s="19">
        <v>24.751754973248001</v>
      </c>
      <c r="AF380" s="19">
        <v>28.626795407386684</v>
      </c>
      <c r="AG380" s="19">
        <v>32.108077602236044</v>
      </c>
      <c r="AH380" s="19">
        <v>35.026577022664554</v>
      </c>
      <c r="AI380" s="19">
        <v>37.304700875398098</v>
      </c>
      <c r="AJ380" s="19">
        <v>39.071811071273835</v>
      </c>
      <c r="AK380" s="19">
        <v>40.181937345748914</v>
      </c>
      <c r="AL380" s="19">
        <v>41.143015777371339</v>
      </c>
      <c r="AM380" s="19">
        <v>41.61866156106727</v>
      </c>
      <c r="AN380" s="19">
        <v>41.933258437733059</v>
      </c>
      <c r="AO380" s="19">
        <v>42.252083090233057</v>
      </c>
      <c r="AP380" s="19">
        <v>42.575179711142717</v>
      </c>
      <c r="AQ380" s="19">
        <v>42.902593003437048</v>
      </c>
      <c r="AR380" s="19">
        <v>569.20138208379774</v>
      </c>
    </row>
    <row r="381" spans="1:44" x14ac:dyDescent="0.25">
      <c r="A381" t="s">
        <v>250</v>
      </c>
      <c r="B381" t="s">
        <v>281</v>
      </c>
      <c r="C381" t="s">
        <v>43</v>
      </c>
      <c r="D381" t="s">
        <v>282</v>
      </c>
      <c r="E381" t="s">
        <v>145</v>
      </c>
      <c r="F381" t="s">
        <v>282</v>
      </c>
      <c r="G381" t="s">
        <v>31</v>
      </c>
      <c r="H381" t="s">
        <v>273</v>
      </c>
      <c r="I381" t="s">
        <v>135</v>
      </c>
      <c r="J381" t="s">
        <v>39</v>
      </c>
      <c r="K381" t="s">
        <v>31</v>
      </c>
      <c r="L381">
        <v>2077.3599999999997</v>
      </c>
      <c r="M381">
        <v>1</v>
      </c>
      <c r="N381" s="2">
        <v>3.2065728737266936</v>
      </c>
      <c r="O381" s="2">
        <v>4.4372583223218758</v>
      </c>
      <c r="P381" s="1">
        <v>-1.16169772439717</v>
      </c>
      <c r="Q381" s="1">
        <v>0.74954200350345179</v>
      </c>
      <c r="R381" s="1">
        <v>-1.3695852012614622</v>
      </c>
      <c r="S381" s="19">
        <v>0.28605480147136275</v>
      </c>
      <c r="T381" s="19">
        <v>0.43795462210564762</v>
      </c>
      <c r="U381" s="19">
        <v>0.951869197694025</v>
      </c>
      <c r="V381" s="19">
        <v>1.7828596474072158</v>
      </c>
      <c r="W381" s="19">
        <v>3.0367993517581491</v>
      </c>
      <c r="X381" s="19">
        <v>4.8221702609058683</v>
      </c>
      <c r="Y381" s="19">
        <v>7.2363261235950596</v>
      </c>
      <c r="Z381" s="19">
        <v>10.346884295385756</v>
      </c>
      <c r="AA381" s="19">
        <v>14.169796777585075</v>
      </c>
      <c r="AB381" s="19">
        <v>18.647868722681345</v>
      </c>
      <c r="AC381" s="19">
        <v>23.635875869137855</v>
      </c>
      <c r="AD381" s="19">
        <v>28.899876539080417</v>
      </c>
      <c r="AE381" s="19">
        <v>39.023034616183082</v>
      </c>
      <c r="AF381" s="19">
        <v>46.883867821066048</v>
      </c>
      <c r="AG381" s="19">
        <v>51.984925187030797</v>
      </c>
      <c r="AH381" s="19">
        <v>56.00445933725193</v>
      </c>
      <c r="AI381" s="19">
        <v>58.821307572450259</v>
      </c>
      <c r="AJ381" s="19">
        <v>60.643351927856855</v>
      </c>
      <c r="AK381" s="19">
        <v>61.251652441910927</v>
      </c>
      <c r="AL381" s="19">
        <v>61.43389413742095</v>
      </c>
      <c r="AM381" s="19">
        <v>60.698373822136745</v>
      </c>
      <c r="AN381" s="19">
        <v>59.561464789447875</v>
      </c>
      <c r="AO381" s="19">
        <v>36.175348594164461</v>
      </c>
      <c r="AP381" s="19">
        <v>5.4919836705203524</v>
      </c>
      <c r="AQ381" s="19">
        <v>4.3601255505828496</v>
      </c>
      <c r="AR381" s="19">
        <v>716.58812567683105</v>
      </c>
    </row>
    <row r="382" spans="1:44" x14ac:dyDescent="0.25">
      <c r="A382" t="s">
        <v>250</v>
      </c>
      <c r="B382" t="s">
        <v>281</v>
      </c>
      <c r="C382" t="s">
        <v>43</v>
      </c>
      <c r="D382" t="s">
        <v>282</v>
      </c>
      <c r="E382" t="s">
        <v>148</v>
      </c>
      <c r="F382" t="s">
        <v>282</v>
      </c>
      <c r="G382" t="s">
        <v>31</v>
      </c>
      <c r="H382" t="s">
        <v>273</v>
      </c>
      <c r="I382" t="s">
        <v>135</v>
      </c>
      <c r="J382" t="s">
        <v>39</v>
      </c>
      <c r="K382" t="s">
        <v>31</v>
      </c>
      <c r="L382">
        <v>2077.3599999999997</v>
      </c>
      <c r="M382">
        <v>1</v>
      </c>
      <c r="N382" s="2">
        <v>3.2065728737266936</v>
      </c>
      <c r="O382" s="2">
        <v>4.4372583223218758</v>
      </c>
      <c r="P382" s="1">
        <v>-1.16169772439717</v>
      </c>
      <c r="Q382" s="1">
        <v>0.74954200350345179</v>
      </c>
      <c r="R382" s="1">
        <v>-1.3695852012614622</v>
      </c>
      <c r="S382" s="19">
        <v>3.8931486923790802E-2</v>
      </c>
      <c r="T382" s="19">
        <v>8.4167012403490934E-2</v>
      </c>
      <c r="U382" s="19">
        <v>0.18499984716266973</v>
      </c>
      <c r="V382" s="19">
        <v>0.35044071165874174</v>
      </c>
      <c r="W382" s="19">
        <v>0.60372429337226863</v>
      </c>
      <c r="X382" s="19">
        <v>0.96964319263187604</v>
      </c>
      <c r="Y382" s="19">
        <v>1.47182424822794</v>
      </c>
      <c r="Z382" s="19">
        <v>2.1288115767895919</v>
      </c>
      <c r="AA382" s="19">
        <v>2.9491869616898989</v>
      </c>
      <c r="AB382" s="19">
        <v>3.9264496188958602</v>
      </c>
      <c r="AC382" s="19">
        <v>5.0349551133581141</v>
      </c>
      <c r="AD382" s="19">
        <v>6.2286473668607254</v>
      </c>
      <c r="AE382" s="19">
        <v>7.4442523697902434</v>
      </c>
      <c r="AF382" s="19">
        <v>8.6096961521019875</v>
      </c>
      <c r="AG382" s="19">
        <v>9.6567145658234264</v>
      </c>
      <c r="AH382" s="19">
        <v>10.534472375329896</v>
      </c>
      <c r="AI382" s="19">
        <v>11.219633040006688</v>
      </c>
      <c r="AJ382" s="19">
        <v>11.751103001532496</v>
      </c>
      <c r="AK382" s="19">
        <v>12.084980747108728</v>
      </c>
      <c r="AL382" s="19">
        <v>12.374031378059858</v>
      </c>
      <c r="AM382" s="19">
        <v>12.517084961786855</v>
      </c>
      <c r="AN382" s="19">
        <v>12.611702032260556</v>
      </c>
      <c r="AO382" s="19">
        <v>12.707590633997391</v>
      </c>
      <c r="AP382" s="19">
        <v>12.804764058204212</v>
      </c>
      <c r="AQ382" s="19">
        <v>12.903235749593206</v>
      </c>
      <c r="AR382" s="19">
        <v>171.19104249557049</v>
      </c>
    </row>
    <row r="383" spans="1:44" x14ac:dyDescent="0.25">
      <c r="A383" t="s">
        <v>250</v>
      </c>
      <c r="B383" t="s">
        <v>281</v>
      </c>
      <c r="C383" t="s">
        <v>43</v>
      </c>
      <c r="D383" t="s">
        <v>282</v>
      </c>
      <c r="E383" t="s">
        <v>145</v>
      </c>
      <c r="F383" t="s">
        <v>282</v>
      </c>
      <c r="G383" t="s">
        <v>31</v>
      </c>
      <c r="H383" t="s">
        <v>274</v>
      </c>
      <c r="I383" t="s">
        <v>135</v>
      </c>
      <c r="J383" t="s">
        <v>39</v>
      </c>
      <c r="K383" t="s">
        <v>31</v>
      </c>
      <c r="L383">
        <v>2077.3599999999997</v>
      </c>
      <c r="M383">
        <v>1</v>
      </c>
      <c r="N383" s="2">
        <v>3.2065728737266936</v>
      </c>
      <c r="O383" s="2">
        <v>4.4372583223218758</v>
      </c>
      <c r="P383" s="1">
        <v>-1.16169772439717</v>
      </c>
      <c r="Q383" s="1">
        <v>0.74954200350345179</v>
      </c>
      <c r="R383" s="1">
        <v>-1.3695852012614622</v>
      </c>
      <c r="S383" s="19">
        <v>0.4503014814726683</v>
      </c>
      <c r="T383" s="19">
        <v>0.68941899991746447</v>
      </c>
      <c r="U383" s="19">
        <v>1.4984125687983951</v>
      </c>
      <c r="V383" s="19">
        <v>2.8065403424653939</v>
      </c>
      <c r="W383" s="19">
        <v>4.7804659806377447</v>
      </c>
      <c r="X383" s="19">
        <v>7.5909594987754163</v>
      </c>
      <c r="Y383" s="19">
        <v>11.391273130580339</v>
      </c>
      <c r="Z383" s="19">
        <v>16.287848701973047</v>
      </c>
      <c r="AA383" s="19">
        <v>22.305797519542704</v>
      </c>
      <c r="AB383" s="19">
        <v>29.355084651399899</v>
      </c>
      <c r="AC383" s="19">
        <v>37.207101104514685</v>
      </c>
      <c r="AD383" s="19">
        <v>45.493580785875885</v>
      </c>
      <c r="AE383" s="19">
        <v>61.429244357520894</v>
      </c>
      <c r="AF383" s="19">
        <v>73.803603464801014</v>
      </c>
      <c r="AG383" s="19">
        <v>81.833581207373257</v>
      </c>
      <c r="AH383" s="19">
        <v>88.161047739536073</v>
      </c>
      <c r="AI383" s="19">
        <v>92.595271275967534</v>
      </c>
      <c r="AJ383" s="19">
        <v>95.463495365646324</v>
      </c>
      <c r="AK383" s="19">
        <v>96.421069303402845</v>
      </c>
      <c r="AL383" s="19">
        <v>96.707950366235067</v>
      </c>
      <c r="AM383" s="19">
        <v>95.55010968003721</v>
      </c>
      <c r="AN383" s="19">
        <v>93.760411275793984</v>
      </c>
      <c r="AO383" s="19">
        <v>56.946476622498665</v>
      </c>
      <c r="AP383" s="19">
        <v>8.6453657492848723</v>
      </c>
      <c r="AQ383" s="19">
        <v>6.863618386181364</v>
      </c>
      <c r="AR383" s="19">
        <v>1128.0380295602326</v>
      </c>
    </row>
    <row r="384" spans="1:44" x14ac:dyDescent="0.25">
      <c r="A384" t="s">
        <v>250</v>
      </c>
      <c r="B384" t="s">
        <v>281</v>
      </c>
      <c r="C384" t="s">
        <v>43</v>
      </c>
      <c r="D384" t="s">
        <v>282</v>
      </c>
      <c r="E384" t="s">
        <v>148</v>
      </c>
      <c r="F384" t="s">
        <v>282</v>
      </c>
      <c r="G384" t="s">
        <v>31</v>
      </c>
      <c r="H384" t="s">
        <v>274</v>
      </c>
      <c r="I384" t="s">
        <v>135</v>
      </c>
      <c r="J384" t="s">
        <v>39</v>
      </c>
      <c r="K384" t="s">
        <v>31</v>
      </c>
      <c r="L384">
        <v>2077.3599999999997</v>
      </c>
      <c r="M384">
        <v>1</v>
      </c>
      <c r="N384" s="2">
        <v>3.2065728737266936</v>
      </c>
      <c r="O384" s="2">
        <v>4.4372583223218758</v>
      </c>
      <c r="P384" s="1">
        <v>-1.16169772439717</v>
      </c>
      <c r="Q384" s="1">
        <v>0.74954200350345179</v>
      </c>
      <c r="R384" s="1">
        <v>-1.3695852012614622</v>
      </c>
      <c r="S384" s="19">
        <v>6.1285131896210626E-2</v>
      </c>
      <c r="T384" s="19">
        <v>0.13249394934632802</v>
      </c>
      <c r="U384" s="19">
        <v>0.29122288743650798</v>
      </c>
      <c r="V384" s="19">
        <v>0.55165643372031992</v>
      </c>
      <c r="W384" s="19">
        <v>0.95037014693770283</v>
      </c>
      <c r="X384" s="19">
        <v>1.5263920196275034</v>
      </c>
      <c r="Y384" s="19">
        <v>2.3169149269140217</v>
      </c>
      <c r="Z384" s="19">
        <v>3.3511306290745759</v>
      </c>
      <c r="AA384" s="19">
        <v>4.6425483898817888</v>
      </c>
      <c r="AB384" s="19">
        <v>6.1809348111697799</v>
      </c>
      <c r="AC384" s="19">
        <v>7.925920960010572</v>
      </c>
      <c r="AD384" s="19">
        <v>9.8050063220106161</v>
      </c>
      <c r="AE384" s="19">
        <v>11.718586275534276</v>
      </c>
      <c r="AF384" s="19">
        <v>13.553203485413714</v>
      </c>
      <c r="AG384" s="19">
        <v>15.201397958650867</v>
      </c>
      <c r="AH384" s="19">
        <v>16.583145931283394</v>
      </c>
      <c r="AI384" s="19">
        <v>17.661711509500858</v>
      </c>
      <c r="AJ384" s="19">
        <v>18.498340399497533</v>
      </c>
      <c r="AK384" s="19">
        <v>19.023923758666839</v>
      </c>
      <c r="AL384" s="19">
        <v>19.478941212204926</v>
      </c>
      <c r="AM384" s="19">
        <v>19.704133169658249</v>
      </c>
      <c r="AN384" s="19">
        <v>19.853077381703436</v>
      </c>
      <c r="AO384" s="19">
        <v>20.004023211650551</v>
      </c>
      <c r="AP384" s="19">
        <v>20.156991582239176</v>
      </c>
      <c r="AQ384" s="19">
        <v>20.312003657853612</v>
      </c>
      <c r="AR384" s="19">
        <v>269.48535614188336</v>
      </c>
    </row>
    <row r="385" spans="1:44" x14ac:dyDescent="0.25">
      <c r="A385" t="s">
        <v>250</v>
      </c>
      <c r="B385" t="s">
        <v>281</v>
      </c>
      <c r="C385" t="s">
        <v>43</v>
      </c>
      <c r="D385" t="s">
        <v>282</v>
      </c>
      <c r="E385" t="s">
        <v>145</v>
      </c>
      <c r="F385" t="s">
        <v>282</v>
      </c>
      <c r="G385" t="s">
        <v>31</v>
      </c>
      <c r="H385" t="s">
        <v>275</v>
      </c>
      <c r="I385" t="s">
        <v>135</v>
      </c>
      <c r="J385" t="s">
        <v>39</v>
      </c>
      <c r="K385" t="s">
        <v>31</v>
      </c>
      <c r="L385">
        <v>2077.3599999999997</v>
      </c>
      <c r="M385">
        <v>1</v>
      </c>
      <c r="N385" s="2">
        <v>3.2065728737266936</v>
      </c>
      <c r="O385" s="2">
        <v>4.4372583223218758</v>
      </c>
      <c r="P385" s="1">
        <v>-1.16169772439717</v>
      </c>
      <c r="Q385" s="1">
        <v>0.74954200350345179</v>
      </c>
      <c r="R385" s="1">
        <v>-1.3695852012614622</v>
      </c>
      <c r="S385" s="19">
        <v>0.68791989898745121</v>
      </c>
      <c r="T385" s="19">
        <v>1.0532167187907375</v>
      </c>
      <c r="U385" s="19">
        <v>2.2891059998253298</v>
      </c>
      <c r="V385" s="19">
        <v>4.2875163159110894</v>
      </c>
      <c r="W385" s="19">
        <v>7.3030576398689249</v>
      </c>
      <c r="X385" s="19">
        <v>11.596613172440502</v>
      </c>
      <c r="Y385" s="19">
        <v>17.402304419917677</v>
      </c>
      <c r="Z385" s="19">
        <v>24.882741218483584</v>
      </c>
      <c r="AA385" s="19">
        <v>34.076285794786379</v>
      </c>
      <c r="AB385" s="19">
        <v>44.845392917910715</v>
      </c>
      <c r="AC385" s="19">
        <v>56.840819509911363</v>
      </c>
      <c r="AD385" s="19">
        <v>69.49997010102382</v>
      </c>
      <c r="AE385" s="19">
        <v>93.844682533797453</v>
      </c>
      <c r="AF385" s="19">
        <v>112.74883501243228</v>
      </c>
      <c r="AG385" s="19">
        <v>125.01613082384344</v>
      </c>
      <c r="AH385" s="19">
        <v>134.68252171249117</v>
      </c>
      <c r="AI385" s="19">
        <v>141.45662913335408</v>
      </c>
      <c r="AJ385" s="19">
        <v>145.83837893260528</v>
      </c>
      <c r="AK385" s="19">
        <v>147.30125257090671</v>
      </c>
      <c r="AL385" s="19">
        <v>147.73951715560111</v>
      </c>
      <c r="AM385" s="19">
        <v>145.97069852927137</v>
      </c>
      <c r="AN385" s="19">
        <v>143.2365988291356</v>
      </c>
      <c r="AO385" s="19">
        <v>86.99641475245356</v>
      </c>
      <c r="AP385" s="19">
        <v>13.207416314748786</v>
      </c>
      <c r="AQ385" s="19">
        <v>10.485463319971052</v>
      </c>
      <c r="AR385" s="19">
        <v>1723.2894833284695</v>
      </c>
    </row>
    <row r="386" spans="1:44" x14ac:dyDescent="0.25">
      <c r="A386" t="s">
        <v>250</v>
      </c>
      <c r="B386" t="s">
        <v>281</v>
      </c>
      <c r="C386" t="s">
        <v>43</v>
      </c>
      <c r="D386" t="s">
        <v>282</v>
      </c>
      <c r="E386" t="s">
        <v>148</v>
      </c>
      <c r="F386" t="s">
        <v>282</v>
      </c>
      <c r="G386" t="s">
        <v>31</v>
      </c>
      <c r="H386" t="s">
        <v>275</v>
      </c>
      <c r="I386" t="s">
        <v>135</v>
      </c>
      <c r="J386" t="s">
        <v>39</v>
      </c>
      <c r="K386" t="s">
        <v>31</v>
      </c>
      <c r="L386">
        <v>2077.3599999999997</v>
      </c>
      <c r="M386">
        <v>1</v>
      </c>
      <c r="N386" s="2">
        <v>3.2065728737266936</v>
      </c>
      <c r="O386" s="2">
        <v>4.4372583223218758</v>
      </c>
      <c r="P386" s="1">
        <v>-1.16169772439717</v>
      </c>
      <c r="Q386" s="1">
        <v>0.74954200350345179</v>
      </c>
      <c r="R386" s="1">
        <v>-1.3695852012614622</v>
      </c>
      <c r="S386" s="19">
        <v>9.3624523742617871E-2</v>
      </c>
      <c r="T386" s="19">
        <v>0.20240933685736845</v>
      </c>
      <c r="U386" s="19">
        <v>0.44489753543108568</v>
      </c>
      <c r="V386" s="19">
        <v>0.84275858236032963</v>
      </c>
      <c r="W386" s="19">
        <v>1.4518684978427077</v>
      </c>
      <c r="X386" s="19">
        <v>2.3318498542873378</v>
      </c>
      <c r="Y386" s="19">
        <v>3.5395217383533368</v>
      </c>
      <c r="Z386" s="19">
        <v>5.1194800343703939</v>
      </c>
      <c r="AA386" s="19">
        <v>7.0923626743734971</v>
      </c>
      <c r="AB386" s="19">
        <v>9.4425362249357416</v>
      </c>
      <c r="AC386" s="19">
        <v>12.108329575913078</v>
      </c>
      <c r="AD386" s="19">
        <v>14.978984605046914</v>
      </c>
      <c r="AE386" s="19">
        <v>17.902336586984017</v>
      </c>
      <c r="AF386" s="19">
        <v>20.705058180467187</v>
      </c>
      <c r="AG386" s="19">
        <v>23.222984108298533</v>
      </c>
      <c r="AH386" s="19">
        <v>25.333863074654399</v>
      </c>
      <c r="AI386" s="19">
        <v>26.981574117469943</v>
      </c>
      <c r="AJ386" s="19">
        <v>28.259681530340195</v>
      </c>
      <c r="AK386" s="19">
        <v>29.062608605255836</v>
      </c>
      <c r="AL386" s="19">
        <v>29.757733035341417</v>
      </c>
      <c r="AM386" s="19">
        <v>30.101755951094784</v>
      </c>
      <c r="AN386" s="19">
        <v>30.329296146986422</v>
      </c>
      <c r="AO386" s="19">
        <v>30.559894189325867</v>
      </c>
      <c r="AP386" s="19">
        <v>30.793582041515752</v>
      </c>
      <c r="AQ386" s="19">
        <v>31.0303920361224</v>
      </c>
      <c r="AR386" s="19">
        <v>411.68938278737119</v>
      </c>
    </row>
    <row r="387" spans="1:44" x14ac:dyDescent="0.25">
      <c r="A387" t="s">
        <v>250</v>
      </c>
      <c r="B387" t="s">
        <v>281</v>
      </c>
      <c r="C387" t="s">
        <v>43</v>
      </c>
      <c r="D387" t="s">
        <v>282</v>
      </c>
      <c r="E387" t="s">
        <v>145</v>
      </c>
      <c r="F387" t="s">
        <v>282</v>
      </c>
      <c r="G387" t="s">
        <v>31</v>
      </c>
      <c r="H387" t="s">
        <v>276</v>
      </c>
      <c r="I387" t="s">
        <v>135</v>
      </c>
      <c r="J387" t="s">
        <v>39</v>
      </c>
      <c r="K387" t="s">
        <v>31</v>
      </c>
      <c r="L387">
        <v>2077.3599999999997</v>
      </c>
      <c r="M387">
        <v>1</v>
      </c>
      <c r="N387" s="2">
        <v>3.2065728737266936</v>
      </c>
      <c r="O387" s="2">
        <v>4.4372583223218758</v>
      </c>
      <c r="P387" s="1">
        <v>-1.16169772439717</v>
      </c>
      <c r="Q387" s="1">
        <v>0.74954200350345179</v>
      </c>
      <c r="R387" s="1">
        <v>-1.3695852012614622</v>
      </c>
      <c r="S387" s="19">
        <v>8.9121141528936558</v>
      </c>
      <c r="T387" s="19">
        <v>13.678862976352187</v>
      </c>
      <c r="U387" s="19">
        <v>29.80489145726461</v>
      </c>
      <c r="V387" s="19">
        <v>55.965039271705415</v>
      </c>
      <c r="W387" s="19">
        <v>95.566381361908782</v>
      </c>
      <c r="X387" s="19">
        <v>152.13213853075226</v>
      </c>
      <c r="Y387" s="19">
        <v>228.86845996635472</v>
      </c>
      <c r="Z387" s="19">
        <v>328.07020869299362</v>
      </c>
      <c r="AA387" s="19">
        <v>450.41226714683927</v>
      </c>
      <c r="AB387" s="19">
        <v>594.24450968383928</v>
      </c>
      <c r="AC387" s="19">
        <v>755.08711850343627</v>
      </c>
      <c r="AD387" s="19">
        <v>925.57312219866651</v>
      </c>
      <c r="AE387" s="19">
        <v>1248.2737596861141</v>
      </c>
      <c r="AF387" s="19">
        <v>1462.5499199717162</v>
      </c>
      <c r="AG387" s="19">
        <v>1625.6536261397084</v>
      </c>
      <c r="AH387" s="19">
        <v>1755.9123054055392</v>
      </c>
      <c r="AI387" s="19">
        <v>1849.4268139458777</v>
      </c>
      <c r="AJ387" s="19">
        <v>1912.6267022618456</v>
      </c>
      <c r="AK387" s="19">
        <v>1938.4854217342167</v>
      </c>
      <c r="AL387" s="19">
        <v>1951.7872290751152</v>
      </c>
      <c r="AM387" s="19">
        <v>1936.8011227675804</v>
      </c>
      <c r="AN387" s="19">
        <v>1909.7182541966204</v>
      </c>
      <c r="AO387" s="19">
        <v>1575.0347389637127</v>
      </c>
      <c r="AP387" s="19">
        <v>147.68784758969201</v>
      </c>
      <c r="AQ387" s="19">
        <v>117.5078645900891</v>
      </c>
      <c r="AR387" s="19">
        <v>23069.780720270839</v>
      </c>
    </row>
    <row r="388" spans="1:44" x14ac:dyDescent="0.25">
      <c r="A388" t="s">
        <v>250</v>
      </c>
      <c r="B388" t="s">
        <v>281</v>
      </c>
      <c r="C388" t="s">
        <v>43</v>
      </c>
      <c r="D388" t="s">
        <v>282</v>
      </c>
      <c r="E388" t="s">
        <v>148</v>
      </c>
      <c r="F388" t="s">
        <v>282</v>
      </c>
      <c r="G388" t="s">
        <v>31</v>
      </c>
      <c r="H388" t="s">
        <v>276</v>
      </c>
      <c r="I388" t="s">
        <v>135</v>
      </c>
      <c r="J388" t="s">
        <v>39</v>
      </c>
      <c r="K388" t="s">
        <v>31</v>
      </c>
      <c r="L388">
        <v>2077.3599999999997</v>
      </c>
      <c r="M388">
        <v>1</v>
      </c>
      <c r="N388" s="2">
        <v>3.2065728737266936</v>
      </c>
      <c r="O388" s="2">
        <v>4.4372583223218758</v>
      </c>
      <c r="P388" s="1">
        <v>-1.16169772439717</v>
      </c>
      <c r="Q388" s="1">
        <v>0.74954200350345179</v>
      </c>
      <c r="R388" s="1">
        <v>-1.3695852012614622</v>
      </c>
      <c r="S388" s="19">
        <v>1.2129209292137857</v>
      </c>
      <c r="T388" s="19">
        <v>2.2110164012529694</v>
      </c>
      <c r="U388" s="19">
        <v>4.8718219166983179</v>
      </c>
      <c r="V388" s="19">
        <v>9.2510820790188593</v>
      </c>
      <c r="W388" s="19">
        <v>15.975799406318425</v>
      </c>
      <c r="X388" s="19">
        <v>25.719939771298336</v>
      </c>
      <c r="Y388" s="19">
        <v>39.132368810996113</v>
      </c>
      <c r="Z388" s="19">
        <v>56.731961962077833</v>
      </c>
      <c r="AA388" s="19">
        <v>78.775569252277833</v>
      </c>
      <c r="AB388" s="19">
        <v>105.11780292102615</v>
      </c>
      <c r="AC388" s="19">
        <v>135.09748134691117</v>
      </c>
      <c r="AD388" s="19">
        <v>167.49786201015877</v>
      </c>
      <c r="AE388" s="19">
        <v>200.62683729986321</v>
      </c>
      <c r="AF388" s="19">
        <v>232.53953020696201</v>
      </c>
      <c r="AG388" s="19">
        <v>261.37742238534742</v>
      </c>
      <c r="AH388" s="19">
        <v>285.73927046107934</v>
      </c>
      <c r="AI388" s="19">
        <v>304.96015047574946</v>
      </c>
      <c r="AJ388" s="19">
        <v>320.06580452072905</v>
      </c>
      <c r="AK388" s="19">
        <v>329.83124387526334</v>
      </c>
      <c r="AL388" s="19">
        <v>338.40072718558469</v>
      </c>
      <c r="AM388" s="19">
        <v>342.99410575932768</v>
      </c>
      <c r="AN388" s="19">
        <v>346.26592541278217</v>
      </c>
      <c r="AO388" s="19">
        <v>349.57564298559134</v>
      </c>
      <c r="AP388" s="19">
        <v>352.92368094279345</v>
      </c>
      <c r="AQ388" s="19">
        <v>356.31046649242194</v>
      </c>
      <c r="AR388" s="19">
        <v>4663.2064348107442</v>
      </c>
    </row>
    <row r="389" spans="1:44" x14ac:dyDescent="0.25">
      <c r="A389" t="s">
        <v>250</v>
      </c>
      <c r="B389" t="s">
        <v>281</v>
      </c>
      <c r="C389" t="s">
        <v>43</v>
      </c>
      <c r="D389" t="s">
        <v>282</v>
      </c>
      <c r="E389" t="s">
        <v>145</v>
      </c>
      <c r="F389" t="s">
        <v>282</v>
      </c>
      <c r="G389" t="s">
        <v>31</v>
      </c>
      <c r="H389" t="s">
        <v>277</v>
      </c>
      <c r="I389" t="s">
        <v>135</v>
      </c>
      <c r="J389" t="s">
        <v>39</v>
      </c>
      <c r="K389" t="s">
        <v>31</v>
      </c>
      <c r="L389">
        <v>2077.3599999999997</v>
      </c>
      <c r="M389">
        <v>1</v>
      </c>
      <c r="N389" s="2">
        <v>3.2065728737266936</v>
      </c>
      <c r="O389" s="2">
        <v>4.4372583223218758</v>
      </c>
      <c r="P389" s="1">
        <v>-1.16169772439717</v>
      </c>
      <c r="Q389" s="1">
        <v>0.74954200350345179</v>
      </c>
      <c r="R389" s="1">
        <v>-1.3695852012614622</v>
      </c>
      <c r="S389" s="19">
        <v>5.1545265709757651</v>
      </c>
      <c r="T389" s="19">
        <v>7.8907138743919676</v>
      </c>
      <c r="U389" s="19">
        <v>17.147945538862057</v>
      </c>
      <c r="V389" s="19">
        <v>32.114385644235888</v>
      </c>
      <c r="W389" s="19">
        <v>54.694820521810691</v>
      </c>
      <c r="X389" s="19">
        <v>86.840093930866473</v>
      </c>
      <c r="Y389" s="19">
        <v>130.29973008437597</v>
      </c>
      <c r="Z389" s="19">
        <v>186.28702972857889</v>
      </c>
      <c r="AA389" s="19">
        <v>255.08462803517503</v>
      </c>
      <c r="AB389" s="19">
        <v>335.6583922402836</v>
      </c>
      <c r="AC389" s="19">
        <v>425.39036402545258</v>
      </c>
      <c r="AD389" s="19">
        <v>520.0673334184072</v>
      </c>
      <c r="AE389" s="19">
        <v>702.28110482654313</v>
      </c>
      <c r="AF389" s="19">
        <v>844.78326948910001</v>
      </c>
      <c r="AG389" s="19">
        <v>936.58716351490796</v>
      </c>
      <c r="AH389" s="19">
        <v>1008.8791173381098</v>
      </c>
      <c r="AI389" s="19">
        <v>1059.4794035729535</v>
      </c>
      <c r="AJ389" s="19">
        <v>1092.1354605306203</v>
      </c>
      <c r="AK389" s="19">
        <v>1102.9078690522197</v>
      </c>
      <c r="AL389" s="19">
        <v>1105.9839446063254</v>
      </c>
      <c r="AM389" s="19">
        <v>1092.5147860283005</v>
      </c>
      <c r="AN389" s="19">
        <v>1071.8025513031853</v>
      </c>
      <c r="AO389" s="19">
        <v>639.99072432901733</v>
      </c>
      <c r="AP389" s="19">
        <v>99.594847522035408</v>
      </c>
      <c r="AQ389" s="19">
        <v>79.060742613940334</v>
      </c>
      <c r="AR389" s="19">
        <v>12892.630948340671</v>
      </c>
    </row>
    <row r="390" spans="1:44" x14ac:dyDescent="0.25">
      <c r="A390" t="s">
        <v>250</v>
      </c>
      <c r="B390" t="s">
        <v>281</v>
      </c>
      <c r="C390" t="s">
        <v>43</v>
      </c>
      <c r="D390" t="s">
        <v>282</v>
      </c>
      <c r="E390" t="s">
        <v>148</v>
      </c>
      <c r="F390" t="s">
        <v>282</v>
      </c>
      <c r="G390" t="s">
        <v>31</v>
      </c>
      <c r="H390" t="s">
        <v>277</v>
      </c>
      <c r="I390" t="s">
        <v>135</v>
      </c>
      <c r="J390" t="s">
        <v>39</v>
      </c>
      <c r="K390" t="s">
        <v>31</v>
      </c>
      <c r="L390">
        <v>2077.3599999999997</v>
      </c>
      <c r="M390">
        <v>1</v>
      </c>
      <c r="N390" s="2">
        <v>3.2065728737266936</v>
      </c>
      <c r="O390" s="2">
        <v>4.4372583223218758</v>
      </c>
      <c r="P390" s="1">
        <v>-1.16169772439717</v>
      </c>
      <c r="Q390" s="1">
        <v>0.74954200350345179</v>
      </c>
      <c r="R390" s="1">
        <v>-1.3695852012614622</v>
      </c>
      <c r="S390" s="19">
        <v>0.70152076722391554</v>
      </c>
      <c r="T390" s="19">
        <v>1.5280528353636684</v>
      </c>
      <c r="U390" s="19">
        <v>3.3582756968808467</v>
      </c>
      <c r="V390" s="19">
        <v>6.3607544469191293</v>
      </c>
      <c r="W390" s="19">
        <v>10.956766557903412</v>
      </c>
      <c r="X390" s="19">
        <v>17.595676516241173</v>
      </c>
      <c r="Y390" s="19">
        <v>26.705505737604643</v>
      </c>
      <c r="Z390" s="19">
        <v>38.621887025992798</v>
      </c>
      <c r="AA390" s="19">
        <v>53.499602775708738</v>
      </c>
      <c r="AB390" s="19">
        <v>71.21981476355306</v>
      </c>
      <c r="AC390" s="19">
        <v>91.316559750583593</v>
      </c>
      <c r="AD390" s="19">
        <v>112.95393831938422</v>
      </c>
      <c r="AE390" s="19">
        <v>134.98421404001229</v>
      </c>
      <c r="AF390" s="19">
        <v>156.1005892303755</v>
      </c>
      <c r="AG390" s="19">
        <v>175.06587369634531</v>
      </c>
      <c r="AH390" s="19">
        <v>190.95930718727459</v>
      </c>
      <c r="AI390" s="19">
        <v>203.35890282061055</v>
      </c>
      <c r="AJ390" s="19">
        <v>212.97087633062401</v>
      </c>
      <c r="AK390" s="19">
        <v>219.0005191595549</v>
      </c>
      <c r="AL390" s="19">
        <v>224.21699979249237</v>
      </c>
      <c r="AM390" s="19">
        <v>226.78755016285817</v>
      </c>
      <c r="AN390" s="19">
        <v>228.48039249831839</v>
      </c>
      <c r="AO390" s="19">
        <v>230.19623290006373</v>
      </c>
      <c r="AP390" s="19">
        <v>231.93531032951665</v>
      </c>
      <c r="AQ390" s="19">
        <v>233.69786651731371</v>
      </c>
      <c r="AR390" s="19">
        <v>3102.5729898587197</v>
      </c>
    </row>
    <row r="391" spans="1:44" x14ac:dyDescent="0.25">
      <c r="A391" t="s">
        <v>250</v>
      </c>
      <c r="B391" t="s">
        <v>281</v>
      </c>
      <c r="C391" t="s">
        <v>43</v>
      </c>
      <c r="D391" t="s">
        <v>282</v>
      </c>
      <c r="E391" t="s">
        <v>145</v>
      </c>
      <c r="F391" t="s">
        <v>282</v>
      </c>
      <c r="G391" t="s">
        <v>31</v>
      </c>
      <c r="H391" t="s">
        <v>278</v>
      </c>
      <c r="I391" t="s">
        <v>135</v>
      </c>
      <c r="J391" t="s">
        <v>39</v>
      </c>
      <c r="K391" t="s">
        <v>31</v>
      </c>
      <c r="L391">
        <v>2077.3599999999997</v>
      </c>
      <c r="M391">
        <v>1</v>
      </c>
      <c r="N391" s="2">
        <v>3.2065728737266936</v>
      </c>
      <c r="O391" s="2">
        <v>4.4372583223218758</v>
      </c>
      <c r="P391" s="1">
        <v>-1.16169772439717</v>
      </c>
      <c r="Q391" s="1">
        <v>0.74954200350345179</v>
      </c>
      <c r="R391" s="1">
        <v>-1.3695852012614622</v>
      </c>
      <c r="S391" s="19">
        <v>69.268266075373447</v>
      </c>
      <c r="T391" s="19">
        <v>105.58207839950541</v>
      </c>
      <c r="U391" s="19">
        <v>228.46221557097755</v>
      </c>
      <c r="V391" s="19">
        <v>426.0202906234793</v>
      </c>
      <c r="W391" s="19">
        <v>722.44575739820141</v>
      </c>
      <c r="X391" s="19">
        <v>1142.1093984987267</v>
      </c>
      <c r="Y391" s="19">
        <v>1706.3154153341682</v>
      </c>
      <c r="Z391" s="19">
        <v>2428.9959673170915</v>
      </c>
      <c r="AA391" s="19">
        <v>3311.7446311669773</v>
      </c>
      <c r="AB391" s="19">
        <v>4339.0878249225116</v>
      </c>
      <c r="AC391" s="19">
        <v>5475.4139222431186</v>
      </c>
      <c r="AD391" s="19">
        <v>6665.2625446030206</v>
      </c>
      <c r="AE391" s="19">
        <v>9021.4652235057983</v>
      </c>
      <c r="AF391" s="19">
        <v>11349.785232957698</v>
      </c>
      <c r="AG391" s="19">
        <v>12530.398747044192</v>
      </c>
      <c r="AH391" s="19">
        <v>13437.514565788992</v>
      </c>
      <c r="AI391" s="19">
        <v>14043.624056056811</v>
      </c>
      <c r="AJ391" s="19">
        <v>14400.005174052316</v>
      </c>
      <c r="AK391" s="19">
        <v>14456.503306746596</v>
      </c>
      <c r="AL391" s="19">
        <v>14401.14828703923</v>
      </c>
      <c r="AM391" s="19">
        <v>14120.311629837624</v>
      </c>
      <c r="AN391" s="19">
        <v>13738.001842203264</v>
      </c>
      <c r="AO391" s="19">
        <v>3344.4983248009644</v>
      </c>
      <c r="AP391" s="19">
        <v>1628.1790202506031</v>
      </c>
      <c r="AQ391" s="19">
        <v>1287.6399202025657</v>
      </c>
      <c r="AR391" s="19">
        <v>164379.78364263981</v>
      </c>
    </row>
    <row r="392" spans="1:44" x14ac:dyDescent="0.25">
      <c r="A392" t="s">
        <v>250</v>
      </c>
      <c r="B392" t="s">
        <v>281</v>
      </c>
      <c r="C392" t="s">
        <v>43</v>
      </c>
      <c r="D392" t="s">
        <v>282</v>
      </c>
      <c r="E392" t="s">
        <v>148</v>
      </c>
      <c r="F392" t="s">
        <v>282</v>
      </c>
      <c r="G392" t="s">
        <v>31</v>
      </c>
      <c r="H392" t="s">
        <v>278</v>
      </c>
      <c r="I392" t="s">
        <v>135</v>
      </c>
      <c r="J392" t="s">
        <v>39</v>
      </c>
      <c r="K392" t="s">
        <v>31</v>
      </c>
      <c r="L392">
        <v>2077.3599999999997</v>
      </c>
      <c r="M392">
        <v>1</v>
      </c>
      <c r="N392" s="2">
        <v>3.2065728737266936</v>
      </c>
      <c r="O392" s="2">
        <v>4.4372583223218758</v>
      </c>
      <c r="P392" s="1">
        <v>-1.16169772439717</v>
      </c>
      <c r="Q392" s="1">
        <v>0.74954200350345179</v>
      </c>
      <c r="R392" s="1">
        <v>-1.3695852012614622</v>
      </c>
      <c r="S392" s="19">
        <v>9.4272726102695206</v>
      </c>
      <c r="T392" s="19">
        <v>26.006432267735239</v>
      </c>
      <c r="U392" s="19">
        <v>56.913629848347355</v>
      </c>
      <c r="V392" s="19">
        <v>107.34630325789072</v>
      </c>
      <c r="W392" s="19">
        <v>184.14520909685979</v>
      </c>
      <c r="X392" s="19">
        <v>294.51308534491585</v>
      </c>
      <c r="Y392" s="19">
        <v>445.18561659130239</v>
      </c>
      <c r="Z392" s="19">
        <v>641.26360756109261</v>
      </c>
      <c r="AA392" s="19">
        <v>884.78459832209387</v>
      </c>
      <c r="AB392" s="19">
        <v>1173.2561373390347</v>
      </c>
      <c r="AC392" s="19">
        <v>1498.537571123803</v>
      </c>
      <c r="AD392" s="19">
        <v>1846.5737656319227</v>
      </c>
      <c r="AE392" s="19">
        <v>2198.4496584331387</v>
      </c>
      <c r="AF392" s="19">
        <v>2532.9545154154157</v>
      </c>
      <c r="AG392" s="19">
        <v>2830.3142907823826</v>
      </c>
      <c r="AH392" s="19">
        <v>3076.1343203711931</v>
      </c>
      <c r="AI392" s="19">
        <v>3264.2234692090324</v>
      </c>
      <c r="AJ392" s="19">
        <v>3406.5127626489843</v>
      </c>
      <c r="AK392" s="19">
        <v>3490.8314601495772</v>
      </c>
      <c r="AL392" s="19">
        <v>3561.7790138138885</v>
      </c>
      <c r="AM392" s="19">
        <v>3590.4843151667633</v>
      </c>
      <c r="AN392" s="19">
        <v>3605.2781012444216</v>
      </c>
      <c r="AO392" s="19">
        <v>3620.4670287306726</v>
      </c>
      <c r="AP392" s="19">
        <v>3636.0534657115054</v>
      </c>
      <c r="AQ392" s="19">
        <v>3652.0398253980065</v>
      </c>
      <c r="AR392" s="19">
        <v>49633.475456070257</v>
      </c>
    </row>
    <row r="393" spans="1:44" x14ac:dyDescent="0.25">
      <c r="A393" t="s">
        <v>250</v>
      </c>
      <c r="B393" t="s">
        <v>281</v>
      </c>
      <c r="C393" t="s">
        <v>43</v>
      </c>
      <c r="D393" t="s">
        <v>282</v>
      </c>
      <c r="E393" t="s">
        <v>145</v>
      </c>
      <c r="F393" t="s">
        <v>282</v>
      </c>
      <c r="G393" t="s">
        <v>31</v>
      </c>
      <c r="H393" t="s">
        <v>252</v>
      </c>
      <c r="I393" t="s">
        <v>135</v>
      </c>
      <c r="J393" t="s">
        <v>39</v>
      </c>
      <c r="K393" t="s">
        <v>31</v>
      </c>
      <c r="L393">
        <v>2077.3599999999997</v>
      </c>
      <c r="M393">
        <v>1</v>
      </c>
      <c r="N393" s="2">
        <v>3.2065728737266936</v>
      </c>
      <c r="O393" s="2">
        <v>4.4372583223218758</v>
      </c>
      <c r="P393" s="1">
        <v>-1.16169772439717</v>
      </c>
      <c r="Q393" s="1">
        <v>0.74954200350345179</v>
      </c>
      <c r="R393" s="1">
        <v>-1.3695852012614622</v>
      </c>
      <c r="S393" s="19">
        <v>1.2530408396976875</v>
      </c>
      <c r="T393" s="19">
        <v>1.9201607683561399</v>
      </c>
      <c r="U393" s="19">
        <v>4.1771324406714676</v>
      </c>
      <c r="V393" s="19">
        <v>7.8308809437764948</v>
      </c>
      <c r="W393" s="19">
        <v>13.350639153605158</v>
      </c>
      <c r="X393" s="19">
        <v>21.218808534012837</v>
      </c>
      <c r="Y393" s="19">
        <v>31.870514811108301</v>
      </c>
      <c r="Z393" s="19">
        <v>45.611361282149922</v>
      </c>
      <c r="AA393" s="19">
        <v>62.520084603261047</v>
      </c>
      <c r="AB393" s="19">
        <v>82.352660184063708</v>
      </c>
      <c r="AC393" s="19">
        <v>104.47505866545904</v>
      </c>
      <c r="AD393" s="19">
        <v>127.85844095556222</v>
      </c>
      <c r="AE393" s="19">
        <v>172.56791343066027</v>
      </c>
      <c r="AF393" s="19">
        <v>205.44619481046115</v>
      </c>
      <c r="AG393" s="19">
        <v>228.00015146557641</v>
      </c>
      <c r="AH393" s="19">
        <v>245.85957931157569</v>
      </c>
      <c r="AI393" s="19">
        <v>258.4873361565941</v>
      </c>
      <c r="AJ393" s="19">
        <v>266.79139557391835</v>
      </c>
      <c r="AK393" s="19">
        <v>269.8022693866032</v>
      </c>
      <c r="AL393" s="19">
        <v>270.98213106135194</v>
      </c>
      <c r="AM393" s="19">
        <v>268.15643951508281</v>
      </c>
      <c r="AN393" s="19">
        <v>263.59201451410121</v>
      </c>
      <c r="AO393" s="19">
        <v>180.49707539202592</v>
      </c>
      <c r="AP393" s="19">
        <v>22.891326525659451</v>
      </c>
      <c r="AQ393" s="19">
        <v>18.187948292556175</v>
      </c>
      <c r="AR393" s="19">
        <v>3175.7005586178902</v>
      </c>
    </row>
    <row r="394" spans="1:44" x14ac:dyDescent="0.25">
      <c r="A394" t="s">
        <v>250</v>
      </c>
      <c r="B394" t="s">
        <v>281</v>
      </c>
      <c r="C394" t="s">
        <v>43</v>
      </c>
      <c r="D394" t="s">
        <v>282</v>
      </c>
      <c r="E394" t="s">
        <v>148</v>
      </c>
      <c r="F394" t="s">
        <v>282</v>
      </c>
      <c r="G394" t="s">
        <v>31</v>
      </c>
      <c r="H394" t="s">
        <v>252</v>
      </c>
      <c r="I394" t="s">
        <v>135</v>
      </c>
      <c r="J394" t="s">
        <v>39</v>
      </c>
      <c r="K394" t="s">
        <v>31</v>
      </c>
      <c r="L394">
        <v>2077.3599999999997</v>
      </c>
      <c r="M394">
        <v>1</v>
      </c>
      <c r="N394" s="2">
        <v>3.2065728737266936</v>
      </c>
      <c r="O394" s="2">
        <v>4.4372583223218758</v>
      </c>
      <c r="P394" s="1">
        <v>-1.16169772439717</v>
      </c>
      <c r="Q394" s="1">
        <v>0.74954200350345179</v>
      </c>
      <c r="R394" s="1">
        <v>-1.3695852012614622</v>
      </c>
      <c r="S394" s="19">
        <v>0.17053635462416825</v>
      </c>
      <c r="T394" s="19">
        <v>0.34787230962535914</v>
      </c>
      <c r="U394" s="19">
        <v>0.76530595707228255</v>
      </c>
      <c r="V394" s="19">
        <v>1.450974232211917</v>
      </c>
      <c r="W394" s="19">
        <v>2.5018477750994328</v>
      </c>
      <c r="X394" s="19">
        <v>4.0216747334826568</v>
      </c>
      <c r="Y394" s="19">
        <v>6.1096931154731928</v>
      </c>
      <c r="Z394" s="19">
        <v>8.8443277741090842</v>
      </c>
      <c r="AA394" s="19">
        <v>12.262804427340033</v>
      </c>
      <c r="AB394" s="19">
        <v>16.339665551884483</v>
      </c>
      <c r="AC394" s="19">
        <v>20.96959964579133</v>
      </c>
      <c r="AD394" s="19">
        <v>25.961839881888892</v>
      </c>
      <c r="AE394" s="19">
        <v>31.053160191771173</v>
      </c>
      <c r="AF394" s="19">
        <v>35.942754810319656</v>
      </c>
      <c r="AG394" s="19">
        <v>40.344802907516019</v>
      </c>
      <c r="AH394" s="19">
        <v>44.045498658454719</v>
      </c>
      <c r="AI394" s="19">
        <v>46.945484792573602</v>
      </c>
      <c r="AJ394" s="19">
        <v>49.205784358169858</v>
      </c>
      <c r="AK394" s="19">
        <v>50.640942621289945</v>
      </c>
      <c r="AL394" s="19">
        <v>51.889715484494339</v>
      </c>
      <c r="AM394" s="19">
        <v>52.527112350238653</v>
      </c>
      <c r="AN394" s="19">
        <v>52.961502162542182</v>
      </c>
      <c r="AO394" s="19">
        <v>53.401335621147531</v>
      </c>
      <c r="AP394" s="19">
        <v>53.8466716554382</v>
      </c>
      <c r="AQ394" s="19">
        <v>54.297569863478977</v>
      </c>
      <c r="AR394" s="19">
        <v>716.84847723603764</v>
      </c>
    </row>
    <row r="395" spans="1:44" x14ac:dyDescent="0.25">
      <c r="A395" t="s">
        <v>250</v>
      </c>
      <c r="B395" t="s">
        <v>281</v>
      </c>
      <c r="C395" t="s">
        <v>43</v>
      </c>
      <c r="D395" t="s">
        <v>282</v>
      </c>
      <c r="E395" t="s">
        <v>145</v>
      </c>
      <c r="F395" t="s">
        <v>282</v>
      </c>
      <c r="G395" t="s">
        <v>31</v>
      </c>
      <c r="H395" t="s">
        <v>253</v>
      </c>
      <c r="I395" t="s">
        <v>135</v>
      </c>
      <c r="J395" t="s">
        <v>39</v>
      </c>
      <c r="K395" t="s">
        <v>31</v>
      </c>
      <c r="L395">
        <v>2077.3599999999997</v>
      </c>
      <c r="M395">
        <v>1</v>
      </c>
      <c r="N395" s="2">
        <v>3.2065728737266936</v>
      </c>
      <c r="O395" s="2">
        <v>4.4372583223218758</v>
      </c>
      <c r="P395" s="1">
        <v>-1.16169772439717</v>
      </c>
      <c r="Q395" s="1">
        <v>0.74954200350345179</v>
      </c>
      <c r="R395" s="1">
        <v>-1.3695852012614622</v>
      </c>
      <c r="S395" s="19">
        <v>0.32286029239043623</v>
      </c>
      <c r="T395" s="19">
        <v>0.49455273051333914</v>
      </c>
      <c r="U395" s="19">
        <v>1.075421857701806</v>
      </c>
      <c r="V395" s="19">
        <v>2.0152866927828614</v>
      </c>
      <c r="W395" s="19">
        <v>3.4344237264631317</v>
      </c>
      <c r="X395" s="19">
        <v>5.4563021763948205</v>
      </c>
      <c r="Y395" s="19">
        <v>8.1920406918082271</v>
      </c>
      <c r="Z395" s="19">
        <v>11.719299632869699</v>
      </c>
      <c r="AA395" s="19">
        <v>16.057346654376119</v>
      </c>
      <c r="AB395" s="19">
        <v>21.142554595374449</v>
      </c>
      <c r="AC395" s="19">
        <v>26.811311227032675</v>
      </c>
      <c r="AD395" s="19">
        <v>32.798987470249905</v>
      </c>
      <c r="AE395" s="19">
        <v>44.27685595520181</v>
      </c>
      <c r="AF395" s="19">
        <v>52.926268185845707</v>
      </c>
      <c r="AG395" s="19">
        <v>58.713517516080259</v>
      </c>
      <c r="AH395" s="19">
        <v>63.286242776560691</v>
      </c>
      <c r="AI395" s="19">
        <v>66.506771952458124</v>
      </c>
      <c r="AJ395" s="19">
        <v>68.609347746908867</v>
      </c>
      <c r="AK395" s="19">
        <v>69.345364324855836</v>
      </c>
      <c r="AL395" s="19">
        <v>69.605521574965081</v>
      </c>
      <c r="AM395" s="19">
        <v>68.831897708098552</v>
      </c>
      <c r="AN395" s="19">
        <v>67.607992972471322</v>
      </c>
      <c r="AO395" s="19">
        <v>43.961375852926153</v>
      </c>
      <c r="AP395" s="19">
        <v>6.0324107075958375</v>
      </c>
      <c r="AQ395" s="19">
        <v>4.7912763891665682</v>
      </c>
      <c r="AR395" s="19">
        <v>814.01523141109237</v>
      </c>
    </row>
    <row r="396" spans="1:44" x14ac:dyDescent="0.25">
      <c r="A396" t="s">
        <v>250</v>
      </c>
      <c r="B396" t="s">
        <v>281</v>
      </c>
      <c r="C396" t="s">
        <v>43</v>
      </c>
      <c r="D396" t="s">
        <v>282</v>
      </c>
      <c r="E396" t="s">
        <v>148</v>
      </c>
      <c r="F396" t="s">
        <v>282</v>
      </c>
      <c r="G396" t="s">
        <v>31</v>
      </c>
      <c r="H396" t="s">
        <v>253</v>
      </c>
      <c r="I396" t="s">
        <v>135</v>
      </c>
      <c r="J396" t="s">
        <v>39</v>
      </c>
      <c r="K396" t="s">
        <v>31</v>
      </c>
      <c r="L396">
        <v>2077.3599999999997</v>
      </c>
      <c r="M396">
        <v>1</v>
      </c>
      <c r="N396" s="2">
        <v>3.2065728737266936</v>
      </c>
      <c r="O396" s="2">
        <v>4.4372583223218758</v>
      </c>
      <c r="P396" s="1">
        <v>-1.16169772439717</v>
      </c>
      <c r="Q396" s="1">
        <v>0.74954200350345179</v>
      </c>
      <c r="R396" s="1">
        <v>-1.3695852012614622</v>
      </c>
      <c r="S396" s="19">
        <v>4.3940640698065261E-2</v>
      </c>
      <c r="T396" s="19">
        <v>9.2016902113637916E-2</v>
      </c>
      <c r="U396" s="19">
        <v>0.20235384520775185</v>
      </c>
      <c r="V396" s="19">
        <v>0.38350110515926278</v>
      </c>
      <c r="W396" s="19">
        <v>0.66099820258365882</v>
      </c>
      <c r="X396" s="19">
        <v>1.062137478933743</v>
      </c>
      <c r="Y396" s="19">
        <v>1.6129818879652558</v>
      </c>
      <c r="Z396" s="19">
        <v>2.3340659724940109</v>
      </c>
      <c r="AA396" s="19">
        <v>3.2350291297434173</v>
      </c>
      <c r="AB396" s="19">
        <v>4.3089706436270898</v>
      </c>
      <c r="AC396" s="19">
        <v>5.5279532800212925</v>
      </c>
      <c r="AD396" s="19">
        <v>6.8415642368669376</v>
      </c>
      <c r="AE396" s="19">
        <v>8.1803769640544708</v>
      </c>
      <c r="AF396" s="19">
        <v>9.4651671927708438</v>
      </c>
      <c r="AG396" s="19">
        <v>10.620764473539101</v>
      </c>
      <c r="AH396" s="19">
        <v>11.591050157761876</v>
      </c>
      <c r="AI396" s="19">
        <v>12.350085646232236</v>
      </c>
      <c r="AJ396" s="19">
        <v>12.940438388862336</v>
      </c>
      <c r="AK396" s="19">
        <v>13.313526020154896</v>
      </c>
      <c r="AL396" s="19">
        <v>13.637440206522877</v>
      </c>
      <c r="AM396" s="19">
        <v>13.800573161489464</v>
      </c>
      <c r="AN396" s="19">
        <v>13.9103377662922</v>
      </c>
      <c r="AO396" s="19">
        <v>14.02151780303749</v>
      </c>
      <c r="AP396" s="19">
        <v>14.134128388382546</v>
      </c>
      <c r="AQ396" s="19">
        <v>14.248184811610637</v>
      </c>
      <c r="AR396" s="19">
        <v>188.51910430612503</v>
      </c>
    </row>
    <row r="397" spans="1:44" x14ac:dyDescent="0.25">
      <c r="A397" t="s">
        <v>250</v>
      </c>
      <c r="B397" t="s">
        <v>281</v>
      </c>
      <c r="C397" t="s">
        <v>43</v>
      </c>
      <c r="D397" t="s">
        <v>282</v>
      </c>
      <c r="E397" t="s">
        <v>145</v>
      </c>
      <c r="F397" t="s">
        <v>282</v>
      </c>
      <c r="G397" t="s">
        <v>31</v>
      </c>
      <c r="H397" t="s">
        <v>274</v>
      </c>
      <c r="I397" t="s">
        <v>135</v>
      </c>
      <c r="J397" t="s">
        <v>39</v>
      </c>
      <c r="K397" t="s">
        <v>33</v>
      </c>
      <c r="L397">
        <v>2077.3599999999997</v>
      </c>
      <c r="M397">
        <v>1</v>
      </c>
      <c r="N397" s="2">
        <v>3.2065728737266936</v>
      </c>
      <c r="O397" s="2">
        <v>4.4372583223218758</v>
      </c>
      <c r="P397" s="1">
        <v>-1.16169772439717</v>
      </c>
      <c r="Q397" s="1">
        <v>0.74954200350345179</v>
      </c>
      <c r="R397" s="1">
        <v>-1.3695852012614622</v>
      </c>
      <c r="S397" s="19">
        <v>1.4488371920529904E-3</v>
      </c>
      <c r="T397" s="19">
        <v>2.2181936526651804E-3</v>
      </c>
      <c r="U397" s="19">
        <v>4.8211164032036279E-3</v>
      </c>
      <c r="V397" s="19">
        <v>9.0299947845226096E-3</v>
      </c>
      <c r="W397" s="19">
        <v>1.5381066225766855E-2</v>
      </c>
      <c r="X397" s="19">
        <v>2.4423780284323345E-2</v>
      </c>
      <c r="Y397" s="19">
        <v>3.665122335916729E-2</v>
      </c>
      <c r="Z397" s="19">
        <v>5.2405870175630136E-2</v>
      </c>
      <c r="AA397" s="19">
        <v>7.1768515926320248E-2</v>
      </c>
      <c r="AB397" s="19">
        <v>9.4449474782359863E-2</v>
      </c>
      <c r="AC397" s="19">
        <v>0.11971320128105944</v>
      </c>
      <c r="AD397" s="19">
        <v>0.1463748056672671</v>
      </c>
      <c r="AE397" s="19">
        <v>0.19764752630575039</v>
      </c>
      <c r="AF397" s="19">
        <v>0.23746181171252659</v>
      </c>
      <c r="AG397" s="19">
        <v>0.26329812556774262</v>
      </c>
      <c r="AH397" s="19">
        <v>0.28365663918685546</v>
      </c>
      <c r="AI397" s="19">
        <v>0.29792367636480949</v>
      </c>
      <c r="AJ397" s="19">
        <v>0.30715213753415543</v>
      </c>
      <c r="AK397" s="19">
        <v>0.31023311503976964</v>
      </c>
      <c r="AL397" s="19">
        <v>0.31115614987449364</v>
      </c>
      <c r="AM397" s="19">
        <v>0.30743081758566898</v>
      </c>
      <c r="AN397" s="19">
        <v>0.30167249406839913</v>
      </c>
      <c r="AO397" s="19">
        <v>0.18322429901234927</v>
      </c>
      <c r="AP397" s="19">
        <v>2.7816314073630877E-2</v>
      </c>
      <c r="AQ397" s="19">
        <v>2.2083572893068268E-2</v>
      </c>
      <c r="AR397" s="19">
        <v>3.6294427589535583</v>
      </c>
    </row>
    <row r="398" spans="1:44" x14ac:dyDescent="0.25">
      <c r="A398" t="s">
        <v>250</v>
      </c>
      <c r="B398" t="s">
        <v>281</v>
      </c>
      <c r="C398" t="s">
        <v>43</v>
      </c>
      <c r="D398" t="s">
        <v>282</v>
      </c>
      <c r="E398" t="s">
        <v>148</v>
      </c>
      <c r="F398" t="s">
        <v>282</v>
      </c>
      <c r="G398" t="s">
        <v>31</v>
      </c>
      <c r="H398" t="s">
        <v>274</v>
      </c>
      <c r="I398" t="s">
        <v>135</v>
      </c>
      <c r="J398" t="s">
        <v>39</v>
      </c>
      <c r="K398" t="s">
        <v>33</v>
      </c>
      <c r="L398">
        <v>2077.3599999999997</v>
      </c>
      <c r="M398">
        <v>1</v>
      </c>
      <c r="N398" s="2">
        <v>3.2065728737266936</v>
      </c>
      <c r="O398" s="2">
        <v>4.4372583223218758</v>
      </c>
      <c r="P398" s="1">
        <v>-1.16169772439717</v>
      </c>
      <c r="Q398" s="1">
        <v>0.74954200350345179</v>
      </c>
      <c r="R398" s="1">
        <v>-1.3695852012614622</v>
      </c>
      <c r="S398" s="19">
        <v>1.9718384696562968E-4</v>
      </c>
      <c r="T398" s="19">
        <v>4.2629697976375656E-4</v>
      </c>
      <c r="U398" s="19">
        <v>9.3700457994315108E-4</v>
      </c>
      <c r="V398" s="19">
        <v>1.7749449897331248E-3</v>
      </c>
      <c r="W398" s="19">
        <v>3.0577994338305769E-3</v>
      </c>
      <c r="X398" s="19">
        <v>4.9111398000662842E-3</v>
      </c>
      <c r="Y398" s="19">
        <v>7.4546335178768868E-3</v>
      </c>
      <c r="Z398" s="19">
        <v>1.078220456870934E-2</v>
      </c>
      <c r="AA398" s="19">
        <v>1.4937318774010546E-2</v>
      </c>
      <c r="AB398" s="19">
        <v>1.9887050353000708E-2</v>
      </c>
      <c r="AC398" s="19">
        <v>2.5501512965448028E-2</v>
      </c>
      <c r="AD398" s="19">
        <v>3.1547437466083385E-2</v>
      </c>
      <c r="AE398" s="19">
        <v>3.7704347715556738E-2</v>
      </c>
      <c r="AF398" s="19">
        <v>4.3607196709437315E-2</v>
      </c>
      <c r="AG398" s="19">
        <v>4.8910233787512941E-2</v>
      </c>
      <c r="AH398" s="19">
        <v>5.3355983879754917E-2</v>
      </c>
      <c r="AI398" s="19">
        <v>5.6826249886162854E-2</v>
      </c>
      <c r="AJ398" s="19">
        <v>5.9518088802190845E-2</v>
      </c>
      <c r="AK398" s="19">
        <v>6.1209144127610429E-2</v>
      </c>
      <c r="AL398" s="19">
        <v>6.2673154877837284E-2</v>
      </c>
      <c r="AM398" s="19">
        <v>6.339770608793463E-2</v>
      </c>
      <c r="AN398" s="19">
        <v>6.3876931502087397E-2</v>
      </c>
      <c r="AO398" s="19">
        <v>6.4362597087057924E-2</v>
      </c>
      <c r="AP398" s="19">
        <v>6.4854770161397957E-2</v>
      </c>
      <c r="AQ398" s="19">
        <v>6.535351882114801E-2</v>
      </c>
      <c r="AR398" s="19">
        <v>0.86706445072112059</v>
      </c>
    </row>
    <row r="399" spans="1:44" x14ac:dyDescent="0.25">
      <c r="A399" t="s">
        <v>250</v>
      </c>
      <c r="B399" t="s">
        <v>281</v>
      </c>
      <c r="C399" t="s">
        <v>43</v>
      </c>
      <c r="D399" t="s">
        <v>282</v>
      </c>
      <c r="E399" t="s">
        <v>145</v>
      </c>
      <c r="F399" t="s">
        <v>282</v>
      </c>
      <c r="G399" t="s">
        <v>31</v>
      </c>
      <c r="H399" t="s">
        <v>253</v>
      </c>
      <c r="I399" t="s">
        <v>256</v>
      </c>
      <c r="J399" t="s">
        <v>39</v>
      </c>
      <c r="K399" t="s">
        <v>31</v>
      </c>
      <c r="L399">
        <v>2077.3599999999997</v>
      </c>
      <c r="M399">
        <v>1</v>
      </c>
      <c r="N399" s="2">
        <v>2.2322051837740986</v>
      </c>
      <c r="O399" s="2">
        <v>3.088927468322328</v>
      </c>
      <c r="P399" s="1">
        <v>-0.43136821392107066</v>
      </c>
      <c r="Q399" s="1">
        <v>0.4672931329656026</v>
      </c>
      <c r="R399" s="1">
        <v>-0.63925569078536293</v>
      </c>
      <c r="S399" s="19">
        <v>0.16935988945659344</v>
      </c>
      <c r="T399" s="19">
        <v>0.25942303139869377</v>
      </c>
      <c r="U399" s="19">
        <v>0.56412427056631576</v>
      </c>
      <c r="V399" s="19">
        <v>1.0571406257053848</v>
      </c>
      <c r="W399" s="19">
        <v>1.8015644424849304</v>
      </c>
      <c r="X399" s="19">
        <v>2.8621628463326334</v>
      </c>
      <c r="Y399" s="19">
        <v>4.2972243372398502</v>
      </c>
      <c r="Z399" s="19">
        <v>6.1474865045693106</v>
      </c>
      <c r="AA399" s="19">
        <v>8.4230564068952578</v>
      </c>
      <c r="AB399" s="19">
        <v>11.090557722633951</v>
      </c>
      <c r="AC399" s="19">
        <v>14.064165871798863</v>
      </c>
      <c r="AD399" s="19">
        <v>17.205066783289151</v>
      </c>
      <c r="AE399" s="19">
        <v>23.225907944697809</v>
      </c>
      <c r="AF399" s="19">
        <v>27.763051513517031</v>
      </c>
      <c r="AG399" s="19">
        <v>30.798816300724063</v>
      </c>
      <c r="AH399" s="19">
        <v>33.197489234135801</v>
      </c>
      <c r="AI399" s="19">
        <v>34.886852956083217</v>
      </c>
      <c r="AJ399" s="19">
        <v>35.989782032575782</v>
      </c>
      <c r="AK399" s="19">
        <v>36.375867560022947</v>
      </c>
      <c r="AL399" s="19">
        <v>36.512335884429085</v>
      </c>
      <c r="AM399" s="19">
        <v>36.106523043204831</v>
      </c>
      <c r="AN399" s="19">
        <v>35.464510458762973</v>
      </c>
      <c r="AO399" s="19">
        <v>23.060419414499194</v>
      </c>
      <c r="AP399" s="19">
        <v>3.1643668629269195</v>
      </c>
      <c r="AQ399" s="19">
        <v>2.513316312815427</v>
      </c>
      <c r="AR399" s="19">
        <v>427.00057225076603</v>
      </c>
    </row>
    <row r="400" spans="1:44" x14ac:dyDescent="0.25">
      <c r="A400" t="s">
        <v>250</v>
      </c>
      <c r="B400" t="s">
        <v>281</v>
      </c>
      <c r="C400" t="s">
        <v>43</v>
      </c>
      <c r="D400" t="s">
        <v>282</v>
      </c>
      <c r="E400" t="s">
        <v>148</v>
      </c>
      <c r="F400" t="s">
        <v>282</v>
      </c>
      <c r="G400" t="s">
        <v>31</v>
      </c>
      <c r="H400" t="s">
        <v>253</v>
      </c>
      <c r="I400" t="s">
        <v>256</v>
      </c>
      <c r="J400" t="s">
        <v>39</v>
      </c>
      <c r="K400" t="s">
        <v>31</v>
      </c>
      <c r="L400">
        <v>2077.3599999999997</v>
      </c>
      <c r="M400">
        <v>1</v>
      </c>
      <c r="N400" s="2">
        <v>2.2322051837740986</v>
      </c>
      <c r="O400" s="2">
        <v>3.088927468322328</v>
      </c>
      <c r="P400" s="1">
        <v>-0.43136821392107066</v>
      </c>
      <c r="Q400" s="1">
        <v>0.4672931329656026</v>
      </c>
      <c r="R400" s="1">
        <v>-0.63925569078536293</v>
      </c>
      <c r="S400" s="19">
        <v>2.3049542562752962E-2</v>
      </c>
      <c r="T400" s="19">
        <v>4.8268470101173647E-2</v>
      </c>
      <c r="U400" s="19">
        <v>0.10614691760873972</v>
      </c>
      <c r="V400" s="19">
        <v>0.20116968951297945</v>
      </c>
      <c r="W400" s="19">
        <v>0.34673382004250508</v>
      </c>
      <c r="X400" s="19">
        <v>0.55715580472308923</v>
      </c>
      <c r="Y400" s="19">
        <v>0.84610725034880907</v>
      </c>
      <c r="Z400" s="19">
        <v>1.2243597754286319</v>
      </c>
      <c r="AA400" s="19">
        <v>1.6969698309622152</v>
      </c>
      <c r="AB400" s="19">
        <v>2.2603175710250696</v>
      </c>
      <c r="AC400" s="19">
        <v>2.8997482146037807</v>
      </c>
      <c r="AD400" s="19">
        <v>3.5888171762687784</v>
      </c>
      <c r="AE400" s="19">
        <v>4.2911060015709062</v>
      </c>
      <c r="AF400" s="19">
        <v>4.965056735801106</v>
      </c>
      <c r="AG400" s="19">
        <v>5.5712378994189882</v>
      </c>
      <c r="AH400" s="19">
        <v>6.0802118429307033</v>
      </c>
      <c r="AI400" s="19">
        <v>6.4783721910774696</v>
      </c>
      <c r="AJ400" s="19">
        <v>6.7880481642111175</v>
      </c>
      <c r="AK400" s="19">
        <v>6.9837553523745566</v>
      </c>
      <c r="AL400" s="19">
        <v>7.1536680734172391</v>
      </c>
      <c r="AM400" s="19">
        <v>7.2392412450677615</v>
      </c>
      <c r="AN400" s="19">
        <v>7.2968194662792145</v>
      </c>
      <c r="AO400" s="19">
        <v>7.3551401677612844</v>
      </c>
      <c r="AP400" s="19">
        <v>7.4142112791219521</v>
      </c>
      <c r="AQ400" s="19">
        <v>7.4740408205211262</v>
      </c>
      <c r="AR400" s="19">
        <v>98.889753302741966</v>
      </c>
    </row>
    <row r="401" spans="1:44" x14ac:dyDescent="0.25">
      <c r="A401" t="s">
        <v>250</v>
      </c>
      <c r="B401" t="s">
        <v>281</v>
      </c>
      <c r="C401" t="s">
        <v>43</v>
      </c>
      <c r="D401" t="s">
        <v>282</v>
      </c>
      <c r="E401" t="s">
        <v>145</v>
      </c>
      <c r="F401" t="s">
        <v>282</v>
      </c>
      <c r="G401" t="s">
        <v>31</v>
      </c>
      <c r="H401" t="s">
        <v>272</v>
      </c>
      <c r="I401" t="s">
        <v>135</v>
      </c>
      <c r="J401" t="s">
        <v>40</v>
      </c>
      <c r="K401" t="s">
        <v>31</v>
      </c>
      <c r="L401">
        <v>2077.3599999999997</v>
      </c>
      <c r="M401">
        <v>1</v>
      </c>
      <c r="N401" s="2">
        <v>3.2065728737266936</v>
      </c>
      <c r="O401" s="2">
        <v>3.2645157400827758</v>
      </c>
      <c r="P401" s="1">
        <v>-1.16169772439717</v>
      </c>
      <c r="Q401" s="1">
        <v>0.4672931329656026</v>
      </c>
      <c r="R401" s="1">
        <v>-1.226585201261462</v>
      </c>
      <c r="S401" s="19">
        <v>9.4080583479381502E-2</v>
      </c>
      <c r="T401" s="19">
        <v>0.14403892601437854</v>
      </c>
      <c r="U401" s="19">
        <v>0.31306032639368159</v>
      </c>
      <c r="V401" s="19">
        <v>0.58636483298710573</v>
      </c>
      <c r="W401" s="19">
        <v>0.99877314924852389</v>
      </c>
      <c r="X401" s="19">
        <v>1.5859639112834931</v>
      </c>
      <c r="Y401" s="19">
        <v>2.3799558002632226</v>
      </c>
      <c r="Z401" s="19">
        <v>3.4029874929437023</v>
      </c>
      <c r="AA401" s="19">
        <v>4.6603054441402971</v>
      </c>
      <c r="AB401" s="19">
        <v>6.1330988364913175</v>
      </c>
      <c r="AC401" s="19">
        <v>7.7736048525559811</v>
      </c>
      <c r="AD401" s="19">
        <v>9.5048823976861954</v>
      </c>
      <c r="AE401" s="19">
        <v>12.834288559194649</v>
      </c>
      <c r="AF401" s="19">
        <v>15.419638536700692</v>
      </c>
      <c r="AG401" s="19">
        <v>17.097325647293751</v>
      </c>
      <c r="AH401" s="19">
        <v>18.419310512511849</v>
      </c>
      <c r="AI401" s="19">
        <v>19.345743923792483</v>
      </c>
      <c r="AJ401" s="19">
        <v>19.944996218108997</v>
      </c>
      <c r="AK401" s="19">
        <v>20.145060216331142</v>
      </c>
      <c r="AL401" s="19">
        <v>20.204997700196749</v>
      </c>
      <c r="AM401" s="19">
        <v>19.96309237273173</v>
      </c>
      <c r="AN401" s="19">
        <v>19.589174282183382</v>
      </c>
      <c r="AO401" s="19">
        <v>11.897712906069602</v>
      </c>
      <c r="AP401" s="19">
        <v>1.8062588899893688</v>
      </c>
      <c r="AQ401" s="19">
        <v>1.4340019944858859</v>
      </c>
      <c r="AR401" s="19">
        <v>235.67871831307761</v>
      </c>
    </row>
    <row r="402" spans="1:44" x14ac:dyDescent="0.25">
      <c r="A402" t="s">
        <v>250</v>
      </c>
      <c r="B402" t="s">
        <v>281</v>
      </c>
      <c r="C402" t="s">
        <v>43</v>
      </c>
      <c r="D402" t="s">
        <v>282</v>
      </c>
      <c r="E402" t="s">
        <v>148</v>
      </c>
      <c r="F402" t="s">
        <v>282</v>
      </c>
      <c r="G402" t="s">
        <v>31</v>
      </c>
      <c r="H402" t="s">
        <v>272</v>
      </c>
      <c r="I402" t="s">
        <v>135</v>
      </c>
      <c r="J402" t="s">
        <v>40</v>
      </c>
      <c r="K402" t="s">
        <v>31</v>
      </c>
      <c r="L402">
        <v>2077.3599999999997</v>
      </c>
      <c r="M402">
        <v>1</v>
      </c>
      <c r="N402" s="2">
        <v>3.2065728737266936</v>
      </c>
      <c r="O402" s="2">
        <v>3.2645157400827758</v>
      </c>
      <c r="P402" s="1">
        <v>-1.16169772439717</v>
      </c>
      <c r="Q402" s="1">
        <v>0.4672931329656026</v>
      </c>
      <c r="R402" s="1">
        <v>-1.226585201261462</v>
      </c>
      <c r="S402" s="19">
        <v>1.2804179432299534E-2</v>
      </c>
      <c r="T402" s="19">
        <v>2.7681694542118929E-2</v>
      </c>
      <c r="U402" s="19">
        <v>6.0844612553733919E-2</v>
      </c>
      <c r="V402" s="19">
        <v>0.11525646994282258</v>
      </c>
      <c r="W402" s="19">
        <v>0.19855892468501851</v>
      </c>
      <c r="X402" s="19">
        <v>0.318906016820521</v>
      </c>
      <c r="Y402" s="19">
        <v>0.4840683789964198</v>
      </c>
      <c r="Z402" s="19">
        <v>0.70014498701598593</v>
      </c>
      <c r="AA402" s="19">
        <v>0.96995830420748974</v>
      </c>
      <c r="AB402" s="19">
        <v>1.2913702872597934</v>
      </c>
      <c r="AC402" s="19">
        <v>1.6559467361523854</v>
      </c>
      <c r="AD402" s="19">
        <v>2.0485402641292079</v>
      </c>
      <c r="AE402" s="19">
        <v>2.4483406777835737</v>
      </c>
      <c r="AF402" s="19">
        <v>2.8316435641127207</v>
      </c>
      <c r="AG402" s="19">
        <v>3.1759975227595096</v>
      </c>
      <c r="AH402" s="19">
        <v>3.464683349556319</v>
      </c>
      <c r="AI402" s="19">
        <v>3.6900258880431474</v>
      </c>
      <c r="AJ402" s="19">
        <v>3.8648210805199912</v>
      </c>
      <c r="AK402" s="19">
        <v>3.9746301554001873</v>
      </c>
      <c r="AL402" s="19">
        <v>4.0696960374447206</v>
      </c>
      <c r="AM402" s="19">
        <v>4.116744940510273</v>
      </c>
      <c r="AN402" s="19">
        <v>4.1478635553752365</v>
      </c>
      <c r="AO402" s="19">
        <v>4.1794003642455637</v>
      </c>
      <c r="AP402" s="19">
        <v>4.2113597384670003</v>
      </c>
      <c r="AQ402" s="19">
        <v>4.2437460998719558</v>
      </c>
      <c r="AR402" s="19">
        <v>56.303033829828003</v>
      </c>
    </row>
    <row r="403" spans="1:44" x14ac:dyDescent="0.25">
      <c r="A403" t="s">
        <v>250</v>
      </c>
      <c r="B403" t="s">
        <v>281</v>
      </c>
      <c r="C403" t="s">
        <v>43</v>
      </c>
      <c r="D403" t="s">
        <v>282</v>
      </c>
      <c r="E403" t="s">
        <v>145</v>
      </c>
      <c r="F403" t="s">
        <v>282</v>
      </c>
      <c r="G403" t="s">
        <v>31</v>
      </c>
      <c r="H403" t="s">
        <v>277</v>
      </c>
      <c r="I403" t="s">
        <v>135</v>
      </c>
      <c r="J403" t="s">
        <v>40</v>
      </c>
      <c r="K403" t="s">
        <v>31</v>
      </c>
      <c r="L403">
        <v>2077.3599999999997</v>
      </c>
      <c r="M403">
        <v>1</v>
      </c>
      <c r="N403" s="2">
        <v>3.2065728737266936</v>
      </c>
      <c r="O403" s="2">
        <v>3.2645157400827758</v>
      </c>
      <c r="P403" s="1">
        <v>-1.16169772439717</v>
      </c>
      <c r="Q403" s="1">
        <v>0.4672931329656026</v>
      </c>
      <c r="R403" s="1">
        <v>-1.226585201261462</v>
      </c>
      <c r="S403" s="19">
        <v>0.81310280431318993</v>
      </c>
      <c r="T403" s="19">
        <v>1.244723737661624</v>
      </c>
      <c r="U403" s="19">
        <v>2.7050093570900229</v>
      </c>
      <c r="V403" s="19">
        <v>5.0658962887410874</v>
      </c>
      <c r="W403" s="19">
        <v>8.6278557953523407</v>
      </c>
      <c r="X403" s="19">
        <v>13.698624486601826</v>
      </c>
      <c r="Y403" s="19">
        <v>20.554181741816446</v>
      </c>
      <c r="Z403" s="19">
        <v>29.38592016042481</v>
      </c>
      <c r="AA403" s="19">
        <v>40.238424137820395</v>
      </c>
      <c r="AB403" s="19">
        <v>52.94856399783113</v>
      </c>
      <c r="AC403" s="19">
        <v>67.103368884453545</v>
      </c>
      <c r="AD403" s="19">
        <v>82.038224347370004</v>
      </c>
      <c r="AE403" s="19">
        <v>110.78160678537942</v>
      </c>
      <c r="AF403" s="19">
        <v>133.26066632893935</v>
      </c>
      <c r="AG403" s="19">
        <v>147.7423073975047</v>
      </c>
      <c r="AH403" s="19">
        <v>159.14602984874017</v>
      </c>
      <c r="AI403" s="19">
        <v>167.12799173603975</v>
      </c>
      <c r="AJ403" s="19">
        <v>172.27933417738109</v>
      </c>
      <c r="AK403" s="19">
        <v>173.97863196108861</v>
      </c>
      <c r="AL403" s="19">
        <v>174.46386869910549</v>
      </c>
      <c r="AM403" s="19">
        <v>172.33917102595797</v>
      </c>
      <c r="AN403" s="19">
        <v>169.07191148103377</v>
      </c>
      <c r="AO403" s="19">
        <v>100.9555864192286</v>
      </c>
      <c r="AP403" s="19">
        <v>15.710628066465061</v>
      </c>
      <c r="AQ403" s="19">
        <v>12.471467679001355</v>
      </c>
      <c r="AR403" s="19">
        <v>2033.753097345342</v>
      </c>
    </row>
    <row r="404" spans="1:44" x14ac:dyDescent="0.25">
      <c r="A404" t="s">
        <v>250</v>
      </c>
      <c r="B404" t="s">
        <v>281</v>
      </c>
      <c r="C404" t="s">
        <v>43</v>
      </c>
      <c r="D404" t="s">
        <v>282</v>
      </c>
      <c r="E404" t="s">
        <v>148</v>
      </c>
      <c r="F404" t="s">
        <v>282</v>
      </c>
      <c r="G404" t="s">
        <v>31</v>
      </c>
      <c r="H404" t="s">
        <v>277</v>
      </c>
      <c r="I404" t="s">
        <v>135</v>
      </c>
      <c r="J404" t="s">
        <v>40</v>
      </c>
      <c r="K404" t="s">
        <v>31</v>
      </c>
      <c r="L404">
        <v>2077.3599999999997</v>
      </c>
      <c r="M404">
        <v>1</v>
      </c>
      <c r="N404" s="2">
        <v>3.2065728737266936</v>
      </c>
      <c r="O404" s="2">
        <v>3.2645157400827758</v>
      </c>
      <c r="P404" s="1">
        <v>-1.16169772439717</v>
      </c>
      <c r="Q404" s="1">
        <v>0.4672931329656026</v>
      </c>
      <c r="R404" s="1">
        <v>-1.226585201261462</v>
      </c>
      <c r="S404" s="19">
        <v>0.1106616670337052</v>
      </c>
      <c r="T404" s="19">
        <v>0.24104329048743775</v>
      </c>
      <c r="U404" s="19">
        <v>0.52975250960317066</v>
      </c>
      <c r="V404" s="19">
        <v>1.0033796910583179</v>
      </c>
      <c r="W404" s="19">
        <v>1.7283794140476765</v>
      </c>
      <c r="X404" s="19">
        <v>2.7756368547412587</v>
      </c>
      <c r="Y404" s="19">
        <v>4.2126704182917303</v>
      </c>
      <c r="Z404" s="19">
        <v>6.0924246322697675</v>
      </c>
      <c r="AA404" s="19">
        <v>8.4393157058333159</v>
      </c>
      <c r="AB404" s="19">
        <v>11.234597457113937</v>
      </c>
      <c r="AC404" s="19">
        <v>14.404766333249777</v>
      </c>
      <c r="AD404" s="19">
        <v>17.817963054621426</v>
      </c>
      <c r="AE404" s="19">
        <v>21.293137490446245</v>
      </c>
      <c r="AF404" s="19">
        <v>24.624148330684339</v>
      </c>
      <c r="AG404" s="19">
        <v>27.615834525630969</v>
      </c>
      <c r="AH404" s="19">
        <v>30.122950390434131</v>
      </c>
      <c r="AI404" s="19">
        <v>32.078929439719573</v>
      </c>
      <c r="AJ404" s="19">
        <v>33.59517394993042</v>
      </c>
      <c r="AK404" s="19">
        <v>34.546322309667985</v>
      </c>
      <c r="AL404" s="19">
        <v>35.36919808164923</v>
      </c>
      <c r="AM404" s="19">
        <v>35.774690552391327</v>
      </c>
      <c r="AN404" s="19">
        <v>36.041728626842989</v>
      </c>
      <c r="AO404" s="19">
        <v>36.31239454023094</v>
      </c>
      <c r="AP404" s="19">
        <v>36.586725987616511</v>
      </c>
      <c r="AQ404" s="19">
        <v>36.864761100895542</v>
      </c>
      <c r="AR404" s="19">
        <v>489.4165863544917</v>
      </c>
    </row>
    <row r="405" spans="1:44" x14ac:dyDescent="0.25">
      <c r="A405" t="s">
        <v>250</v>
      </c>
      <c r="B405" t="s">
        <v>281</v>
      </c>
      <c r="C405" t="s">
        <v>43</v>
      </c>
      <c r="D405" t="s">
        <v>282</v>
      </c>
      <c r="E405" t="s">
        <v>145</v>
      </c>
      <c r="F405" t="s">
        <v>282</v>
      </c>
      <c r="G405" t="s">
        <v>31</v>
      </c>
      <c r="H405" t="s">
        <v>253</v>
      </c>
      <c r="I405" t="s">
        <v>135</v>
      </c>
      <c r="J405" t="s">
        <v>40</v>
      </c>
      <c r="K405" t="s">
        <v>31</v>
      </c>
      <c r="L405">
        <v>2077.3599999999997</v>
      </c>
      <c r="M405">
        <v>1</v>
      </c>
      <c r="N405" s="2">
        <v>3.2065728737266936</v>
      </c>
      <c r="O405" s="2">
        <v>3.2645157400827758</v>
      </c>
      <c r="P405" s="1">
        <v>-1.16169772439717</v>
      </c>
      <c r="Q405" s="1">
        <v>0.4672931329656026</v>
      </c>
      <c r="R405" s="1">
        <v>-1.226585201261462</v>
      </c>
      <c r="S405" s="19">
        <v>0.16983122410736692</v>
      </c>
      <c r="T405" s="19">
        <v>0.2601450150059057</v>
      </c>
      <c r="U405" s="19">
        <v>0.56569424865801932</v>
      </c>
      <c r="V405" s="19">
        <v>1.0600826860080574</v>
      </c>
      <c r="W405" s="19">
        <v>1.806578260987463</v>
      </c>
      <c r="X405" s="19">
        <v>2.8701283482585112</v>
      </c>
      <c r="Y405" s="19">
        <v>4.3091836668000356</v>
      </c>
      <c r="Z405" s="19">
        <v>6.1645951801480603</v>
      </c>
      <c r="AA405" s="19">
        <v>8.4464980751835839</v>
      </c>
      <c r="AB405" s="19">
        <v>11.121423142822009</v>
      </c>
      <c r="AC405" s="19">
        <v>14.103306950190412</v>
      </c>
      <c r="AD405" s="19">
        <v>17.252949101645967</v>
      </c>
      <c r="AE405" s="19">
        <v>23.290546480097984</v>
      </c>
      <c r="AF405" s="19">
        <v>27.840317082309699</v>
      </c>
      <c r="AG405" s="19">
        <v>30.884530511874715</v>
      </c>
      <c r="AH405" s="19">
        <v>33.289879038149877</v>
      </c>
      <c r="AI405" s="19">
        <v>34.983944319967577</v>
      </c>
      <c r="AJ405" s="19">
        <v>36.089942887664648</v>
      </c>
      <c r="AK405" s="19">
        <v>36.477102904991568</v>
      </c>
      <c r="AL405" s="19">
        <v>36.613951025642464</v>
      </c>
      <c r="AM405" s="19">
        <v>36.207008792716174</v>
      </c>
      <c r="AN405" s="19">
        <v>35.563209464209756</v>
      </c>
      <c r="AO405" s="19">
        <v>23.124597389380511</v>
      </c>
      <c r="AP405" s="19">
        <v>3.1731734094772537</v>
      </c>
      <c r="AQ405" s="19">
        <v>2.520310962318205</v>
      </c>
      <c r="AR405" s="19">
        <v>428.18893016861585</v>
      </c>
    </row>
    <row r="406" spans="1:44" x14ac:dyDescent="0.25">
      <c r="A406" t="s">
        <v>250</v>
      </c>
      <c r="B406" t="s">
        <v>281</v>
      </c>
      <c r="C406" t="s">
        <v>43</v>
      </c>
      <c r="D406" t="s">
        <v>282</v>
      </c>
      <c r="E406" t="s">
        <v>148</v>
      </c>
      <c r="F406" t="s">
        <v>282</v>
      </c>
      <c r="G406" t="s">
        <v>31</v>
      </c>
      <c r="H406" t="s">
        <v>253</v>
      </c>
      <c r="I406" t="s">
        <v>135</v>
      </c>
      <c r="J406" t="s">
        <v>40</v>
      </c>
      <c r="K406" t="s">
        <v>31</v>
      </c>
      <c r="L406">
        <v>2077.3599999999997</v>
      </c>
      <c r="M406">
        <v>1</v>
      </c>
      <c r="N406" s="2">
        <v>3.2065728737266936</v>
      </c>
      <c r="O406" s="2">
        <v>3.2645157400827758</v>
      </c>
      <c r="P406" s="1">
        <v>-1.16169772439717</v>
      </c>
      <c r="Q406" s="1">
        <v>0.4672931329656026</v>
      </c>
      <c r="R406" s="1">
        <v>-1.226585201261462</v>
      </c>
      <c r="S406" s="19">
        <v>2.3113690266965341E-2</v>
      </c>
      <c r="T406" s="19">
        <v>4.8402802985845955E-2</v>
      </c>
      <c r="U406" s="19">
        <v>0.10644232829011303</v>
      </c>
      <c r="V406" s="19">
        <v>0.20172955197898307</v>
      </c>
      <c r="W406" s="19">
        <v>0.34769879270814391</v>
      </c>
      <c r="X406" s="19">
        <v>0.55870638932424432</v>
      </c>
      <c r="Y406" s="19">
        <v>0.84846199719376547</v>
      </c>
      <c r="Z406" s="19">
        <v>1.2277672126265684</v>
      </c>
      <c r="AA406" s="19">
        <v>1.7016925589069056</v>
      </c>
      <c r="AB406" s="19">
        <v>2.2666081159492437</v>
      </c>
      <c r="AC406" s="19">
        <v>2.9078183179584816</v>
      </c>
      <c r="AD406" s="19">
        <v>3.5988049832748894</v>
      </c>
      <c r="AE406" s="19">
        <v>4.3030483035832754</v>
      </c>
      <c r="AF406" s="19">
        <v>4.978874666895357</v>
      </c>
      <c r="AG406" s="19">
        <v>5.5867428544477074</v>
      </c>
      <c r="AH406" s="19">
        <v>6.0971332907115583</v>
      </c>
      <c r="AI406" s="19">
        <v>6.4964017333974811</v>
      </c>
      <c r="AJ406" s="19">
        <v>6.8069395458787296</v>
      </c>
      <c r="AK406" s="19">
        <v>7.0031913941708748</v>
      </c>
      <c r="AL406" s="19">
        <v>7.1735769884144451</v>
      </c>
      <c r="AM406" s="19">
        <v>7.2593883132729742</v>
      </c>
      <c r="AN406" s="19">
        <v>7.3171267767405057</v>
      </c>
      <c r="AO406" s="19">
        <v>7.3756097868281154</v>
      </c>
      <c r="AP406" s="19">
        <v>7.4348452952116588</v>
      </c>
      <c r="AQ406" s="19">
        <v>7.4948413443718476</v>
      </c>
      <c r="AR406" s="19">
        <v>99.164967035388699</v>
      </c>
    </row>
    <row r="407" spans="1:44" x14ac:dyDescent="0.25">
      <c r="A407" t="s">
        <v>250</v>
      </c>
      <c r="B407" t="s">
        <v>283</v>
      </c>
      <c r="C407" t="s">
        <v>43</v>
      </c>
      <c r="D407" t="s">
        <v>284</v>
      </c>
      <c r="E407" t="s">
        <v>145</v>
      </c>
      <c r="F407" t="s">
        <v>284</v>
      </c>
      <c r="G407" t="s">
        <v>31</v>
      </c>
      <c r="H407" t="s">
        <v>278</v>
      </c>
      <c r="I407" t="s">
        <v>135</v>
      </c>
      <c r="J407" t="s">
        <v>39</v>
      </c>
      <c r="K407" t="s">
        <v>31</v>
      </c>
      <c r="L407">
        <v>317.69</v>
      </c>
      <c r="M407">
        <v>1</v>
      </c>
      <c r="N407" s="2">
        <v>1.6375784010064771</v>
      </c>
      <c r="O407" s="2">
        <v>3.9932926555063242</v>
      </c>
      <c r="P407" s="1">
        <v>-0.35075582285265838</v>
      </c>
      <c r="Q407" s="1">
        <v>1.320843656536087</v>
      </c>
      <c r="R407" s="1">
        <v>-1.1299449527495853</v>
      </c>
      <c r="S407" s="19">
        <v>571.79847902305721</v>
      </c>
      <c r="T407" s="19">
        <v>1112.0841869650642</v>
      </c>
      <c r="U407" s="19">
        <v>1942.8889960456104</v>
      </c>
      <c r="V407" s="19">
        <v>3091.9477376085074</v>
      </c>
      <c r="W407" s="19">
        <v>4535.4512768631103</v>
      </c>
      <c r="X407" s="19">
        <v>6195.7361528565561</v>
      </c>
      <c r="Y407" s="19">
        <v>7955.4449912246846</v>
      </c>
      <c r="Z407" s="19">
        <v>9682.9772158738033</v>
      </c>
      <c r="AA407" s="19">
        <v>11259.906866201352</v>
      </c>
      <c r="AB407" s="19">
        <v>12601.529992010644</v>
      </c>
      <c r="AC407" s="19">
        <v>13665.743209037442</v>
      </c>
      <c r="AD407" s="19">
        <v>14450.440232212335</v>
      </c>
      <c r="AE407" s="19">
        <v>17184.180539178669</v>
      </c>
      <c r="AF407" s="19">
        <v>19250.032917604785</v>
      </c>
      <c r="AG407" s="19">
        <v>19300.668155196312</v>
      </c>
      <c r="AH407" s="19">
        <v>19120.928266517989</v>
      </c>
      <c r="AI407" s="19">
        <v>18761.160495730044</v>
      </c>
      <c r="AJ407" s="19">
        <v>13664.554814120176</v>
      </c>
      <c r="AK407" s="19">
        <v>2393.3796566312399</v>
      </c>
      <c r="AL407" s="19">
        <v>1925.0339742064327</v>
      </c>
      <c r="AM407" s="19">
        <v>1485.9743386606444</v>
      </c>
      <c r="AN407" s="19">
        <v>1100.2196391962293</v>
      </c>
      <c r="AO407" s="19">
        <v>781.2953989442982</v>
      </c>
      <c r="AP407" s="19">
        <v>532.2981161477536</v>
      </c>
      <c r="AQ407" s="19">
        <v>348.13650947689905</v>
      </c>
      <c r="AR407" s="19">
        <v>202913.81215753368</v>
      </c>
    </row>
    <row r="408" spans="1:44" x14ac:dyDescent="0.25">
      <c r="A408" t="s">
        <v>250</v>
      </c>
      <c r="B408" t="s">
        <v>283</v>
      </c>
      <c r="C408" t="s">
        <v>43</v>
      </c>
      <c r="D408" t="s">
        <v>284</v>
      </c>
      <c r="E408" t="s">
        <v>148</v>
      </c>
      <c r="F408" t="s">
        <v>284</v>
      </c>
      <c r="G408" t="s">
        <v>31</v>
      </c>
      <c r="H408" t="s">
        <v>278</v>
      </c>
      <c r="I408" t="s">
        <v>135</v>
      </c>
      <c r="J408" t="s">
        <v>39</v>
      </c>
      <c r="K408" t="s">
        <v>31</v>
      </c>
      <c r="L408">
        <v>317.69</v>
      </c>
      <c r="M408">
        <v>1</v>
      </c>
      <c r="N408" s="2">
        <v>1.6375784010064771</v>
      </c>
      <c r="O408" s="2">
        <v>3.9932926555063242</v>
      </c>
      <c r="P408" s="1">
        <v>-0.35075582285265838</v>
      </c>
      <c r="Q408" s="1">
        <v>1.320843656536087</v>
      </c>
      <c r="R408" s="1">
        <v>-1.1299449527495853</v>
      </c>
      <c r="S408" s="19">
        <v>77.820630503760967</v>
      </c>
      <c r="T408" s="19">
        <v>273.92283352192305</v>
      </c>
      <c r="U408" s="19">
        <v>484.00504600295091</v>
      </c>
      <c r="V408" s="19">
        <v>779.09237377666659</v>
      </c>
      <c r="W408" s="19">
        <v>1156.0475166113231</v>
      </c>
      <c r="X408" s="19">
        <v>1597.6800232616752</v>
      </c>
      <c r="Y408" s="19">
        <v>2075.6125461029992</v>
      </c>
      <c r="Z408" s="19">
        <v>2556.3405559052972</v>
      </c>
      <c r="AA408" s="19">
        <v>3008.260987274728</v>
      </c>
      <c r="AB408" s="19">
        <v>3407.3572602214931</v>
      </c>
      <c r="AC408" s="19">
        <v>3740.1062142317601</v>
      </c>
      <c r="AD408" s="19">
        <v>4003.4137674354206</v>
      </c>
      <c r="AE408" s="19">
        <v>4202.3736716488274</v>
      </c>
      <c r="AF408" s="19">
        <v>4347.0588614718072</v>
      </c>
      <c r="AG408" s="19">
        <v>4449.4296351434614</v>
      </c>
      <c r="AH408" s="19">
        <v>4521.0184533182519</v>
      </c>
      <c r="AI408" s="19">
        <v>4571.5915780988398</v>
      </c>
      <c r="AJ408" s="19">
        <v>4613.38472767653</v>
      </c>
      <c r="AK408" s="19">
        <v>4649.6937947248471</v>
      </c>
      <c r="AL408" s="19">
        <v>4667.9820793269919</v>
      </c>
      <c r="AM408" s="19">
        <v>4686.7801480112121</v>
      </c>
      <c r="AN408" s="19">
        <v>4706.0909754140257</v>
      </c>
      <c r="AO408" s="19">
        <v>4725.9175942106713</v>
      </c>
      <c r="AP408" s="19">
        <v>4746.2630955435743</v>
      </c>
      <c r="AQ408" s="19">
        <v>4767.1306294584747</v>
      </c>
      <c r="AR408" s="19">
        <v>82814.374998897503</v>
      </c>
    </row>
    <row r="409" spans="1:44" x14ac:dyDescent="0.25">
      <c r="A409" t="s">
        <v>250</v>
      </c>
      <c r="B409" t="s">
        <v>285</v>
      </c>
      <c r="C409" t="s">
        <v>43</v>
      </c>
      <c r="D409" t="s">
        <v>284</v>
      </c>
      <c r="E409" t="s">
        <v>145</v>
      </c>
      <c r="F409" t="s">
        <v>284</v>
      </c>
      <c r="G409" t="s">
        <v>31</v>
      </c>
      <c r="H409" t="s">
        <v>272</v>
      </c>
      <c r="I409" t="s">
        <v>135</v>
      </c>
      <c r="J409" t="s">
        <v>39</v>
      </c>
      <c r="K409" t="s">
        <v>31</v>
      </c>
      <c r="L409">
        <v>259.74</v>
      </c>
      <c r="M409">
        <v>1</v>
      </c>
      <c r="N409" s="2">
        <v>1.3953794259707024</v>
      </c>
      <c r="O409" s="2">
        <v>3.994835640102659</v>
      </c>
      <c r="P409" s="1">
        <v>-0.1208952283669998</v>
      </c>
      <c r="Q409" s="1">
        <v>1.550704251021745</v>
      </c>
      <c r="R409" s="1">
        <v>-1.1299449527495853</v>
      </c>
      <c r="S409" s="19">
        <v>17.496748243015475</v>
      </c>
      <c r="T409" s="19">
        <v>34.180309779159863</v>
      </c>
      <c r="U409" s="19">
        <v>59.980530075647302</v>
      </c>
      <c r="V409" s="19">
        <v>95.877883271153237</v>
      </c>
      <c r="W409" s="19">
        <v>141.26376616228185</v>
      </c>
      <c r="X409" s="19">
        <v>193.8327563742798</v>
      </c>
      <c r="Y409" s="19">
        <v>249.990045584272</v>
      </c>
      <c r="Z409" s="19">
        <v>305.62658623240748</v>
      </c>
      <c r="AA409" s="19">
        <v>356.97762911845041</v>
      </c>
      <c r="AB409" s="19">
        <v>401.28549493551793</v>
      </c>
      <c r="AC409" s="19">
        <v>437.10665831426792</v>
      </c>
      <c r="AD409" s="19">
        <v>464.25781843267441</v>
      </c>
      <c r="AE409" s="19">
        <v>550.86027753495591</v>
      </c>
      <c r="AF409" s="19">
        <v>590.71957675362751</v>
      </c>
      <c r="AG409" s="19">
        <v>595.96164382779602</v>
      </c>
      <c r="AH409" s="19">
        <v>594.69406436917495</v>
      </c>
      <c r="AI409" s="19">
        <v>588.37313075406792</v>
      </c>
      <c r="AJ409" s="19">
        <v>579.06534477940136</v>
      </c>
      <c r="AK409" s="19">
        <v>235.34660925637823</v>
      </c>
      <c r="AL409" s="19">
        <v>47.352013387131969</v>
      </c>
      <c r="AM409" s="19">
        <v>36.700795892886909</v>
      </c>
      <c r="AN409" s="19">
        <v>27.282615929462793</v>
      </c>
      <c r="AO409" s="19">
        <v>19.451032328498545</v>
      </c>
      <c r="AP409" s="19">
        <v>13.303975418893206</v>
      </c>
      <c r="AQ409" s="19">
        <v>8.7348118562433061</v>
      </c>
      <c r="AR409" s="19">
        <v>6645.7221186116458</v>
      </c>
    </row>
    <row r="410" spans="1:44" x14ac:dyDescent="0.25">
      <c r="A410" t="s">
        <v>250</v>
      </c>
      <c r="B410" t="s">
        <v>285</v>
      </c>
      <c r="C410" t="s">
        <v>43</v>
      </c>
      <c r="D410" t="s">
        <v>284</v>
      </c>
      <c r="E410" t="s">
        <v>148</v>
      </c>
      <c r="F410" t="s">
        <v>284</v>
      </c>
      <c r="G410" t="s">
        <v>31</v>
      </c>
      <c r="H410" t="s">
        <v>272</v>
      </c>
      <c r="I410" t="s">
        <v>135</v>
      </c>
      <c r="J410" t="s">
        <v>39</v>
      </c>
      <c r="K410" t="s">
        <v>31</v>
      </c>
      <c r="L410">
        <v>259.74</v>
      </c>
      <c r="M410">
        <v>1</v>
      </c>
      <c r="N410" s="2">
        <v>1.3953794259707024</v>
      </c>
      <c r="O410" s="2">
        <v>3.994835640102659</v>
      </c>
      <c r="P410" s="1">
        <v>-0.1208952283669998</v>
      </c>
      <c r="Q410" s="1">
        <v>1.550704251021745</v>
      </c>
      <c r="R410" s="1">
        <v>-1.1299449527495853</v>
      </c>
      <c r="S410" s="19">
        <v>2.3812724762112052</v>
      </c>
      <c r="T410" s="19">
        <v>6.5688416377615448</v>
      </c>
      <c r="U410" s="19">
        <v>11.657472396010514</v>
      </c>
      <c r="V410" s="19">
        <v>18.845854576797169</v>
      </c>
      <c r="W410" s="19">
        <v>28.083635935990969</v>
      </c>
      <c r="X410" s="19">
        <v>38.975938749223111</v>
      </c>
      <c r="Y410" s="19">
        <v>50.846438458158175</v>
      </c>
      <c r="Z410" s="19">
        <v>62.880901764446129</v>
      </c>
      <c r="AA410" s="19">
        <v>74.2984381453157</v>
      </c>
      <c r="AB410" s="19">
        <v>84.493692125876947</v>
      </c>
      <c r="AC410" s="19">
        <v>93.113215543493595</v>
      </c>
      <c r="AD410" s="19">
        <v>100.05919002507868</v>
      </c>
      <c r="AE410" s="19">
        <v>105.43836217188998</v>
      </c>
      <c r="AF410" s="19">
        <v>109.48518996600016</v>
      </c>
      <c r="AG410" s="19">
        <v>112.48600562751452</v>
      </c>
      <c r="AH410" s="19">
        <v>114.7210715577834</v>
      </c>
      <c r="AI410" s="19">
        <v>116.43019248708318</v>
      </c>
      <c r="AJ410" s="19">
        <v>117.92006446309119</v>
      </c>
      <c r="AK410" s="19">
        <v>119.27264676055704</v>
      </c>
      <c r="AL410" s="19">
        <v>120.16357596961664</v>
      </c>
      <c r="AM410" s="19">
        <v>121.0665508430147</v>
      </c>
      <c r="AN410" s="19">
        <v>121.98169701387428</v>
      </c>
      <c r="AO410" s="19">
        <v>122.9091415676897</v>
      </c>
      <c r="AP410" s="19">
        <v>123.84901305839514</v>
      </c>
      <c r="AQ410" s="19">
        <v>124.80144152465104</v>
      </c>
      <c r="AR410" s="19">
        <v>2102.7298448455249</v>
      </c>
    </row>
    <row r="411" spans="1:44" x14ac:dyDescent="0.25">
      <c r="A411" t="s">
        <v>250</v>
      </c>
      <c r="B411" t="s">
        <v>285</v>
      </c>
      <c r="C411" t="s">
        <v>43</v>
      </c>
      <c r="D411" t="s">
        <v>284</v>
      </c>
      <c r="E411" t="s">
        <v>145</v>
      </c>
      <c r="F411" t="s">
        <v>284</v>
      </c>
      <c r="G411" t="s">
        <v>31</v>
      </c>
      <c r="H411" t="s">
        <v>273</v>
      </c>
      <c r="I411" t="s">
        <v>135</v>
      </c>
      <c r="J411" t="s">
        <v>39</v>
      </c>
      <c r="K411" t="s">
        <v>31</v>
      </c>
      <c r="L411">
        <v>259.74</v>
      </c>
      <c r="M411">
        <v>1</v>
      </c>
      <c r="N411" s="2">
        <v>1.3953794259707024</v>
      </c>
      <c r="O411" s="2">
        <v>3.994835640102659</v>
      </c>
      <c r="P411" s="1">
        <v>-0.1208952283669998</v>
      </c>
      <c r="Q411" s="1">
        <v>1.550704251021745</v>
      </c>
      <c r="R411" s="1">
        <v>-1.1299449527495853</v>
      </c>
      <c r="S411" s="19">
        <v>5.2622615936715933</v>
      </c>
      <c r="T411" s="19">
        <v>10.279951960929148</v>
      </c>
      <c r="U411" s="19">
        <v>18.039537141488012</v>
      </c>
      <c r="V411" s="19">
        <v>28.835901152188267</v>
      </c>
      <c r="W411" s="19">
        <v>42.486002594792154</v>
      </c>
      <c r="X411" s="19">
        <v>58.296470595388975</v>
      </c>
      <c r="Y411" s="19">
        <v>75.186143013943493</v>
      </c>
      <c r="Z411" s="19">
        <v>91.919196892929492</v>
      </c>
      <c r="AA411" s="19">
        <v>107.36335926076129</v>
      </c>
      <c r="AB411" s="19">
        <v>120.68924001004764</v>
      </c>
      <c r="AC411" s="19">
        <v>131.4626894345073</v>
      </c>
      <c r="AD411" s="19">
        <v>139.62857861175783</v>
      </c>
      <c r="AE411" s="19">
        <v>165.67483521451669</v>
      </c>
      <c r="AF411" s="19">
        <v>177.66278043244091</v>
      </c>
      <c r="AG411" s="19">
        <v>179.23936642731874</v>
      </c>
      <c r="AH411" s="19">
        <v>178.85813360568963</v>
      </c>
      <c r="AI411" s="19">
        <v>176.95707143476824</v>
      </c>
      <c r="AJ411" s="19">
        <v>174.15769386035788</v>
      </c>
      <c r="AK411" s="19">
        <v>70.7820336607424</v>
      </c>
      <c r="AL411" s="19">
        <v>14.241428062474029</v>
      </c>
      <c r="AM411" s="19">
        <v>11.038004662461535</v>
      </c>
      <c r="AN411" s="19">
        <v>8.2054253731298505</v>
      </c>
      <c r="AO411" s="19">
        <v>5.8500253280138788</v>
      </c>
      <c r="AP411" s="19">
        <v>4.0012577147265089</v>
      </c>
      <c r="AQ411" s="19">
        <v>2.627051856758845</v>
      </c>
      <c r="AR411" s="19">
        <v>1998.7444398958044</v>
      </c>
    </row>
    <row r="412" spans="1:44" x14ac:dyDescent="0.25">
      <c r="A412" t="s">
        <v>250</v>
      </c>
      <c r="B412" t="s">
        <v>285</v>
      </c>
      <c r="C412" t="s">
        <v>43</v>
      </c>
      <c r="D412" t="s">
        <v>284</v>
      </c>
      <c r="E412" t="s">
        <v>148</v>
      </c>
      <c r="F412" t="s">
        <v>284</v>
      </c>
      <c r="G412" t="s">
        <v>31</v>
      </c>
      <c r="H412" t="s">
        <v>273</v>
      </c>
      <c r="I412" t="s">
        <v>135</v>
      </c>
      <c r="J412" t="s">
        <v>39</v>
      </c>
      <c r="K412" t="s">
        <v>31</v>
      </c>
      <c r="L412">
        <v>259.74</v>
      </c>
      <c r="M412">
        <v>1</v>
      </c>
      <c r="N412" s="2">
        <v>1.3953794259707024</v>
      </c>
      <c r="O412" s="2">
        <v>3.994835640102659</v>
      </c>
      <c r="P412" s="1">
        <v>-0.1208952283669998</v>
      </c>
      <c r="Q412" s="1">
        <v>1.550704251021745</v>
      </c>
      <c r="R412" s="1">
        <v>-1.1299449527495853</v>
      </c>
      <c r="S412" s="19">
        <v>0.71618328855109836</v>
      </c>
      <c r="T412" s="19">
        <v>1.9756221319068408</v>
      </c>
      <c r="U412" s="19">
        <v>3.5060611501511709</v>
      </c>
      <c r="V412" s="19">
        <v>5.6680141568013624</v>
      </c>
      <c r="W412" s="19">
        <v>8.4463373847545586</v>
      </c>
      <c r="X412" s="19">
        <v>11.722268772953781</v>
      </c>
      <c r="Y412" s="19">
        <v>15.292399282258806</v>
      </c>
      <c r="Z412" s="19">
        <v>18.911842917015516</v>
      </c>
      <c r="AA412" s="19">
        <v>22.345741739637631</v>
      </c>
      <c r="AB412" s="19">
        <v>25.412031127498416</v>
      </c>
      <c r="AC412" s="19">
        <v>28.004409231491959</v>
      </c>
      <c r="AD412" s="19">
        <v>30.093456535448041</v>
      </c>
      <c r="AE412" s="19">
        <v>31.711277778615447</v>
      </c>
      <c r="AF412" s="19">
        <v>32.928387734213345</v>
      </c>
      <c r="AG412" s="19">
        <v>33.830902692189461</v>
      </c>
      <c r="AH412" s="19">
        <v>34.503113404764498</v>
      </c>
      <c r="AI412" s="19">
        <v>35.01714271468412</v>
      </c>
      <c r="AJ412" s="19">
        <v>35.465231466373375</v>
      </c>
      <c r="AK412" s="19">
        <v>35.872029448339347</v>
      </c>
      <c r="AL412" s="19">
        <v>36.139982241304615</v>
      </c>
      <c r="AM412" s="19">
        <v>36.411557846687309</v>
      </c>
      <c r="AN412" s="19">
        <v>36.686794049473747</v>
      </c>
      <c r="AO412" s="19">
        <v>36.965729071456721</v>
      </c>
      <c r="AP412" s="19">
        <v>37.248401576074933</v>
      </c>
      <c r="AQ412" s="19">
        <v>37.534850673306259</v>
      </c>
      <c r="AR412" s="19">
        <v>632.40976841595227</v>
      </c>
    </row>
    <row r="413" spans="1:44" x14ac:dyDescent="0.25">
      <c r="A413" t="s">
        <v>250</v>
      </c>
      <c r="B413" t="s">
        <v>285</v>
      </c>
      <c r="C413" t="s">
        <v>43</v>
      </c>
      <c r="D413" t="s">
        <v>284</v>
      </c>
      <c r="E413" t="s">
        <v>145</v>
      </c>
      <c r="F413" t="s">
        <v>284</v>
      </c>
      <c r="G413" t="s">
        <v>31</v>
      </c>
      <c r="H413" t="s">
        <v>274</v>
      </c>
      <c r="I413" t="s">
        <v>135</v>
      </c>
      <c r="J413" t="s">
        <v>39</v>
      </c>
      <c r="K413" t="s">
        <v>31</v>
      </c>
      <c r="L413">
        <v>259.74</v>
      </c>
      <c r="M413">
        <v>1</v>
      </c>
      <c r="N413" s="2">
        <v>1.3953794259707024</v>
      </c>
      <c r="O413" s="2">
        <v>3.994835640102659</v>
      </c>
      <c r="P413" s="1">
        <v>-0.1208952283669998</v>
      </c>
      <c r="Q413" s="1">
        <v>1.550704251021745</v>
      </c>
      <c r="R413" s="1">
        <v>-1.1299449527495853</v>
      </c>
      <c r="S413" s="19">
        <v>8.2837420638935395</v>
      </c>
      <c r="T413" s="19">
        <v>16.182485221936322</v>
      </c>
      <c r="U413" s="19">
        <v>28.39746180840282</v>
      </c>
      <c r="V413" s="19">
        <v>45.392872070807478</v>
      </c>
      <c r="W413" s="19">
        <v>66.880576071021892</v>
      </c>
      <c r="X413" s="19">
        <v>91.769083891288986</v>
      </c>
      <c r="Y413" s="19">
        <v>118.35645271902234</v>
      </c>
      <c r="Z413" s="19">
        <v>144.69727591972543</v>
      </c>
      <c r="AA413" s="19">
        <v>169.00915307951266</v>
      </c>
      <c r="AB413" s="19">
        <v>189.98647565010577</v>
      </c>
      <c r="AC413" s="19">
        <v>206.94581425044296</v>
      </c>
      <c r="AD413" s="19">
        <v>219.80038608473416</v>
      </c>
      <c r="AE413" s="19">
        <v>260.8018580918864</v>
      </c>
      <c r="AF413" s="19">
        <v>279.67303055142281</v>
      </c>
      <c r="AG413" s="19">
        <v>282.15485922729465</v>
      </c>
      <c r="AH413" s="19">
        <v>281.55473049852429</v>
      </c>
      <c r="AI413" s="19">
        <v>278.56211821747132</v>
      </c>
      <c r="AJ413" s="19">
        <v>274.15539662959861</v>
      </c>
      <c r="AK413" s="19">
        <v>111.4235959513218</v>
      </c>
      <c r="AL413" s="19">
        <v>22.418557989003247</v>
      </c>
      <c r="AM413" s="19">
        <v>17.375795918972575</v>
      </c>
      <c r="AN413" s="19">
        <v>12.916808886368973</v>
      </c>
      <c r="AO413" s="19">
        <v>9.2089874328538155</v>
      </c>
      <c r="AP413" s="19">
        <v>6.2986961499251644</v>
      </c>
      <c r="AQ413" s="19">
        <v>4.135450049848119</v>
      </c>
      <c r="AR413" s="19">
        <v>3146.3816644253861</v>
      </c>
    </row>
    <row r="414" spans="1:44" x14ac:dyDescent="0.25">
      <c r="A414" t="s">
        <v>250</v>
      </c>
      <c r="B414" t="s">
        <v>285</v>
      </c>
      <c r="C414" t="s">
        <v>43</v>
      </c>
      <c r="D414" t="s">
        <v>284</v>
      </c>
      <c r="E414" t="s">
        <v>148</v>
      </c>
      <c r="F414" t="s">
        <v>284</v>
      </c>
      <c r="G414" t="s">
        <v>31</v>
      </c>
      <c r="H414" t="s">
        <v>274</v>
      </c>
      <c r="I414" t="s">
        <v>135</v>
      </c>
      <c r="J414" t="s">
        <v>39</v>
      </c>
      <c r="K414" t="s">
        <v>31</v>
      </c>
      <c r="L414">
        <v>259.74</v>
      </c>
      <c r="M414">
        <v>1</v>
      </c>
      <c r="N414" s="2">
        <v>1.3953794259707024</v>
      </c>
      <c r="O414" s="2">
        <v>3.994835640102659</v>
      </c>
      <c r="P414" s="1">
        <v>-0.1208952283669998</v>
      </c>
      <c r="Q414" s="1">
        <v>1.550704251021745</v>
      </c>
      <c r="R414" s="1">
        <v>-1.1299449527495853</v>
      </c>
      <c r="S414" s="19">
        <v>1.1274007434299711</v>
      </c>
      <c r="T414" s="19">
        <v>3.1099830111291058</v>
      </c>
      <c r="U414" s="19">
        <v>5.5191680822211007</v>
      </c>
      <c r="V414" s="19">
        <v>8.9224692565462878</v>
      </c>
      <c r="W414" s="19">
        <v>13.29604753288419</v>
      </c>
      <c r="X414" s="19">
        <v>18.452950160356881</v>
      </c>
      <c r="Y414" s="19">
        <v>24.072974886813729</v>
      </c>
      <c r="Z414" s="19">
        <v>29.7706273032551</v>
      </c>
      <c r="AA414" s="19">
        <v>35.176198959805774</v>
      </c>
      <c r="AB414" s="19">
        <v>40.003087538062971</v>
      </c>
      <c r="AC414" s="19">
        <v>44.083954892014269</v>
      </c>
      <c r="AD414" s="19">
        <v>47.372489435043263</v>
      </c>
      <c r="AE414" s="19">
        <v>49.91922977573757</v>
      </c>
      <c r="AF414" s="19">
        <v>51.835178794252528</v>
      </c>
      <c r="AG414" s="19">
        <v>53.255898951851485</v>
      </c>
      <c r="AH414" s="19">
        <v>54.314078986505663</v>
      </c>
      <c r="AI414" s="19">
        <v>55.123253167770457</v>
      </c>
      <c r="AJ414" s="19">
        <v>55.828625102374517</v>
      </c>
      <c r="AK414" s="19">
        <v>56.468997971480157</v>
      </c>
      <c r="AL414" s="19">
        <v>56.890803650029135</v>
      </c>
      <c r="AM414" s="19">
        <v>57.318312284062522</v>
      </c>
      <c r="AN414" s="19">
        <v>57.751583353913794</v>
      </c>
      <c r="AO414" s="19">
        <v>58.190677027529837</v>
      </c>
      <c r="AP414" s="19">
        <v>58.635654168086575</v>
      </c>
      <c r="AQ414" s="19">
        <v>59.086576341691789</v>
      </c>
      <c r="AR414" s="19">
        <v>995.52622137684864</v>
      </c>
    </row>
    <row r="415" spans="1:44" x14ac:dyDescent="0.25">
      <c r="A415" t="s">
        <v>250</v>
      </c>
      <c r="B415" t="s">
        <v>285</v>
      </c>
      <c r="C415" t="s">
        <v>43</v>
      </c>
      <c r="D415" t="s">
        <v>284</v>
      </c>
      <c r="E415" t="s">
        <v>145</v>
      </c>
      <c r="F415" t="s">
        <v>284</v>
      </c>
      <c r="G415" t="s">
        <v>31</v>
      </c>
      <c r="H415" t="s">
        <v>275</v>
      </c>
      <c r="I415" t="s">
        <v>135</v>
      </c>
      <c r="J415" t="s">
        <v>39</v>
      </c>
      <c r="K415" t="s">
        <v>31</v>
      </c>
      <c r="L415">
        <v>259.74</v>
      </c>
      <c r="M415">
        <v>1</v>
      </c>
      <c r="N415" s="2">
        <v>1.3953794259707024</v>
      </c>
      <c r="O415" s="2">
        <v>3.994835640102659</v>
      </c>
      <c r="P415" s="1">
        <v>-0.1208952283669998</v>
      </c>
      <c r="Q415" s="1">
        <v>1.550704251021745</v>
      </c>
      <c r="R415" s="1">
        <v>-1.1299449527495853</v>
      </c>
      <c r="S415" s="19">
        <v>12.654968367403931</v>
      </c>
      <c r="T415" s="19">
        <v>24.721778757718891</v>
      </c>
      <c r="U415" s="19">
        <v>43.382444567689461</v>
      </c>
      <c r="V415" s="19">
        <v>69.346118666046465</v>
      </c>
      <c r="W415" s="19">
        <v>102.17261330016848</v>
      </c>
      <c r="X415" s="19">
        <v>140.1944730765853</v>
      </c>
      <c r="Y415" s="19">
        <v>180.81166140672528</v>
      </c>
      <c r="Z415" s="19">
        <v>221.05220508917779</v>
      </c>
      <c r="AA415" s="19">
        <v>258.19315347171437</v>
      </c>
      <c r="AB415" s="19">
        <v>290.23994482713101</v>
      </c>
      <c r="AC415" s="19">
        <v>316.14851270188728</v>
      </c>
      <c r="AD415" s="19">
        <v>335.7862801124067</v>
      </c>
      <c r="AE415" s="19">
        <v>398.42371223733073</v>
      </c>
      <c r="AF415" s="19">
        <v>427.2529646077266</v>
      </c>
      <c r="AG415" s="19">
        <v>431.0444230022822</v>
      </c>
      <c r="AH415" s="19">
        <v>430.12761390557438</v>
      </c>
      <c r="AI415" s="19">
        <v>425.55583783377881</v>
      </c>
      <c r="AJ415" s="19">
        <v>418.82374479317696</v>
      </c>
      <c r="AK415" s="19">
        <v>170.22042348378187</v>
      </c>
      <c r="AL415" s="19">
        <v>34.248548543084226</v>
      </c>
      <c r="AM415" s="19">
        <v>26.544784472648285</v>
      </c>
      <c r="AN415" s="19">
        <v>19.732846170727974</v>
      </c>
      <c r="AO415" s="19">
        <v>14.068454058528358</v>
      </c>
      <c r="AP415" s="19">
        <v>9.6224387382394152</v>
      </c>
      <c r="AQ415" s="19">
        <v>6.3176749302607718</v>
      </c>
      <c r="AR415" s="19">
        <v>4806.6876211217959</v>
      </c>
    </row>
    <row r="416" spans="1:44" x14ac:dyDescent="0.25">
      <c r="A416" t="s">
        <v>250</v>
      </c>
      <c r="B416" t="s">
        <v>285</v>
      </c>
      <c r="C416" t="s">
        <v>43</v>
      </c>
      <c r="D416" t="s">
        <v>284</v>
      </c>
      <c r="E416" t="s">
        <v>148</v>
      </c>
      <c r="F416" t="s">
        <v>284</v>
      </c>
      <c r="G416" t="s">
        <v>31</v>
      </c>
      <c r="H416" t="s">
        <v>275</v>
      </c>
      <c r="I416" t="s">
        <v>135</v>
      </c>
      <c r="J416" t="s">
        <v>39</v>
      </c>
      <c r="K416" t="s">
        <v>31</v>
      </c>
      <c r="L416">
        <v>259.74</v>
      </c>
      <c r="M416">
        <v>1</v>
      </c>
      <c r="N416" s="2">
        <v>1.3953794259707024</v>
      </c>
      <c r="O416" s="2">
        <v>3.994835640102659</v>
      </c>
      <c r="P416" s="1">
        <v>-0.1208952283669998</v>
      </c>
      <c r="Q416" s="1">
        <v>1.550704251021745</v>
      </c>
      <c r="R416" s="1">
        <v>-1.1299449527495853</v>
      </c>
      <c r="S416" s="19">
        <v>1.7223159093377245</v>
      </c>
      <c r="T416" s="19">
        <v>4.7510818571412008</v>
      </c>
      <c r="U416" s="19">
        <v>8.4315635320572664</v>
      </c>
      <c r="V416" s="19">
        <v>13.630743851004956</v>
      </c>
      <c r="W416" s="19">
        <v>20.312204272215208</v>
      </c>
      <c r="X416" s="19">
        <v>28.190339433968283</v>
      </c>
      <c r="Y416" s="19">
        <v>36.775980390527785</v>
      </c>
      <c r="Z416" s="19">
        <v>45.48021219088826</v>
      </c>
      <c r="AA416" s="19">
        <v>53.738235894879864</v>
      </c>
      <c r="AB416" s="19">
        <v>61.112212752159266</v>
      </c>
      <c r="AC416" s="19">
        <v>67.346502385696567</v>
      </c>
      <c r="AD416" s="19">
        <v>72.3703551681904</v>
      </c>
      <c r="AE416" s="19">
        <v>76.260978295140305</v>
      </c>
      <c r="AF416" s="19">
        <v>79.187949467812217</v>
      </c>
      <c r="AG416" s="19">
        <v>81.358365750051263</v>
      </c>
      <c r="AH416" s="19">
        <v>82.974934054844269</v>
      </c>
      <c r="AI416" s="19">
        <v>84.211099255141903</v>
      </c>
      <c r="AJ416" s="19">
        <v>85.288687071231251</v>
      </c>
      <c r="AK416" s="19">
        <v>86.266976634010717</v>
      </c>
      <c r="AL416" s="19">
        <v>86.911363853947407</v>
      </c>
      <c r="AM416" s="19">
        <v>87.564463407116406</v>
      </c>
      <c r="AN416" s="19">
        <v>88.226366160868452</v>
      </c>
      <c r="AO416" s="19">
        <v>88.89716403302549</v>
      </c>
      <c r="AP416" s="19">
        <v>89.576950003485607</v>
      </c>
      <c r="AQ416" s="19">
        <v>90.265818126025124</v>
      </c>
      <c r="AR416" s="19">
        <v>1520.852863750767</v>
      </c>
    </row>
    <row r="417" spans="1:44" x14ac:dyDescent="0.25">
      <c r="A417" t="s">
        <v>250</v>
      </c>
      <c r="B417" t="s">
        <v>285</v>
      </c>
      <c r="C417" t="s">
        <v>43</v>
      </c>
      <c r="D417" t="s">
        <v>284</v>
      </c>
      <c r="E417" t="s">
        <v>145</v>
      </c>
      <c r="F417" t="s">
        <v>284</v>
      </c>
      <c r="G417" t="s">
        <v>31</v>
      </c>
      <c r="H417" t="s">
        <v>276</v>
      </c>
      <c r="I417" t="s">
        <v>135</v>
      </c>
      <c r="J417" t="s">
        <v>39</v>
      </c>
      <c r="K417" t="s">
        <v>31</v>
      </c>
      <c r="L417">
        <v>259.74</v>
      </c>
      <c r="M417">
        <v>1</v>
      </c>
      <c r="N417" s="2">
        <v>1.3953794259707024</v>
      </c>
      <c r="O417" s="2">
        <v>3.994835640102659</v>
      </c>
      <c r="P417" s="1">
        <v>-0.1208952283669998</v>
      </c>
      <c r="Q417" s="1">
        <v>1.550704251021745</v>
      </c>
      <c r="R417" s="1">
        <v>-1.1299449527495853</v>
      </c>
      <c r="S417" s="19">
        <v>12.49926480431035</v>
      </c>
      <c r="T417" s="19">
        <v>24.478934300663362</v>
      </c>
      <c r="U417" s="19">
        <v>43.064181577119413</v>
      </c>
      <c r="V417" s="19">
        <v>69.010269289756721</v>
      </c>
      <c r="W417" s="19">
        <v>101.93315146551804</v>
      </c>
      <c r="X417" s="19">
        <v>140.21718009308913</v>
      </c>
      <c r="Y417" s="19">
        <v>181.29513875679041</v>
      </c>
      <c r="Z417" s="19">
        <v>222.19995163633999</v>
      </c>
      <c r="AA417" s="19">
        <v>260.18557592007829</v>
      </c>
      <c r="AB417" s="19">
        <v>293.21424387136403</v>
      </c>
      <c r="AC417" s="19">
        <v>320.19047634481228</v>
      </c>
      <c r="AD417" s="19">
        <v>340.93344018426353</v>
      </c>
      <c r="AE417" s="19">
        <v>404.0767726852697</v>
      </c>
      <c r="AF417" s="19">
        <v>423.15536250989823</v>
      </c>
      <c r="AG417" s="19">
        <v>428.41610889342383</v>
      </c>
      <c r="AH417" s="19">
        <v>429.25942631704856</v>
      </c>
      <c r="AI417" s="19">
        <v>426.69678020314865</v>
      </c>
      <c r="AJ417" s="19">
        <v>422.15386762904262</v>
      </c>
      <c r="AK417" s="19">
        <v>306.6050209029724</v>
      </c>
      <c r="AL417" s="19">
        <v>28.935077955198228</v>
      </c>
      <c r="AM417" s="19">
        <v>22.478139114783456</v>
      </c>
      <c r="AN417" s="19">
        <v>16.747804487749345</v>
      </c>
      <c r="AO417" s="19">
        <v>11.96712788899646</v>
      </c>
      <c r="AP417" s="19">
        <v>8.203375378653595</v>
      </c>
      <c r="AQ417" s="19">
        <v>5.3978041302540944</v>
      </c>
      <c r="AR417" s="19">
        <v>4943.3144763405444</v>
      </c>
    </row>
    <row r="418" spans="1:44" x14ac:dyDescent="0.25">
      <c r="A418" t="s">
        <v>250</v>
      </c>
      <c r="B418" t="s">
        <v>285</v>
      </c>
      <c r="C418" t="s">
        <v>43</v>
      </c>
      <c r="D418" t="s">
        <v>284</v>
      </c>
      <c r="E418" t="s">
        <v>148</v>
      </c>
      <c r="F418" t="s">
        <v>284</v>
      </c>
      <c r="G418" t="s">
        <v>31</v>
      </c>
      <c r="H418" t="s">
        <v>276</v>
      </c>
      <c r="I418" t="s">
        <v>135</v>
      </c>
      <c r="J418" t="s">
        <v>39</v>
      </c>
      <c r="K418" t="s">
        <v>31</v>
      </c>
      <c r="L418">
        <v>259.74</v>
      </c>
      <c r="M418">
        <v>1</v>
      </c>
      <c r="N418" s="2">
        <v>1.3953794259707024</v>
      </c>
      <c r="O418" s="2">
        <v>3.994835640102659</v>
      </c>
      <c r="P418" s="1">
        <v>-0.1208952283669998</v>
      </c>
      <c r="Q418" s="1">
        <v>1.550704251021745</v>
      </c>
      <c r="R418" s="1">
        <v>-1.1299449527495853</v>
      </c>
      <c r="S418" s="19">
        <v>1.7011249655067315</v>
      </c>
      <c r="T418" s="19">
        <v>3.9567122879678047</v>
      </c>
      <c r="U418" s="19">
        <v>7.0391473806541818</v>
      </c>
      <c r="V418" s="19">
        <v>11.407472840236236</v>
      </c>
      <c r="W418" s="19">
        <v>17.040130194948116</v>
      </c>
      <c r="X418" s="19">
        <v>23.705559270545216</v>
      </c>
      <c r="Y418" s="19">
        <v>30.998190989332393</v>
      </c>
      <c r="Z418" s="19">
        <v>38.424211861324025</v>
      </c>
      <c r="AA418" s="19">
        <v>45.505569784257048</v>
      </c>
      <c r="AB418" s="19">
        <v>51.867600959925142</v>
      </c>
      <c r="AC418" s="19">
        <v>57.287332607641368</v>
      </c>
      <c r="AD418" s="19">
        <v>61.6975806114379</v>
      </c>
      <c r="AE418" s="19">
        <v>65.157170662108612</v>
      </c>
      <c r="AF418" s="19">
        <v>67.804726634496603</v>
      </c>
      <c r="AG418" s="19">
        <v>69.812437019412471</v>
      </c>
      <c r="AH418" s="19">
        <v>71.350326554292948</v>
      </c>
      <c r="AI418" s="19">
        <v>72.564746643110666</v>
      </c>
      <c r="AJ418" s="19">
        <v>73.645120870314429</v>
      </c>
      <c r="AK418" s="19">
        <v>74.641836057290959</v>
      </c>
      <c r="AL418" s="19">
        <v>75.350917711458635</v>
      </c>
      <c r="AM418" s="19">
        <v>76.068219977302221</v>
      </c>
      <c r="AN418" s="19">
        <v>76.793834478968549</v>
      </c>
      <c r="AO418" s="19">
        <v>77.527853869283803</v>
      </c>
      <c r="AP418" s="19">
        <v>78.27037184129675</v>
      </c>
      <c r="AQ418" s="19">
        <v>79.021483139943541</v>
      </c>
      <c r="AR418" s="19">
        <v>1308.6396792130558</v>
      </c>
    </row>
    <row r="419" spans="1:44" x14ac:dyDescent="0.25">
      <c r="A419" t="s">
        <v>250</v>
      </c>
      <c r="B419" t="s">
        <v>285</v>
      </c>
      <c r="C419" t="s">
        <v>43</v>
      </c>
      <c r="D419" t="s">
        <v>284</v>
      </c>
      <c r="E419" t="s">
        <v>145</v>
      </c>
      <c r="F419" t="s">
        <v>284</v>
      </c>
      <c r="G419" t="s">
        <v>31</v>
      </c>
      <c r="H419" t="s">
        <v>277</v>
      </c>
      <c r="I419" t="s">
        <v>135</v>
      </c>
      <c r="J419" t="s">
        <v>39</v>
      </c>
      <c r="K419" t="s">
        <v>31</v>
      </c>
      <c r="L419">
        <v>259.74</v>
      </c>
      <c r="M419">
        <v>1</v>
      </c>
      <c r="N419" s="2">
        <v>1.3953794259707024</v>
      </c>
      <c r="O419" s="2">
        <v>3.994835640102659</v>
      </c>
      <c r="P419" s="1">
        <v>-0.1208952283669998</v>
      </c>
      <c r="Q419" s="1">
        <v>1.550704251021745</v>
      </c>
      <c r="R419" s="1">
        <v>-1.1299449527495853</v>
      </c>
      <c r="S419" s="19">
        <v>204.45417474967084</v>
      </c>
      <c r="T419" s="19">
        <v>399.35789549694965</v>
      </c>
      <c r="U419" s="19">
        <v>700.71952797420056</v>
      </c>
      <c r="V419" s="19">
        <v>1119.9535206994326</v>
      </c>
      <c r="W419" s="19">
        <v>1649.9089682256815</v>
      </c>
      <c r="X419" s="19">
        <v>2263.6225668312863</v>
      </c>
      <c r="Y419" s="19">
        <v>2919.0880812278074</v>
      </c>
      <c r="Z419" s="19">
        <v>3568.3155712794337</v>
      </c>
      <c r="AA419" s="19">
        <v>4167.3575745843918</v>
      </c>
      <c r="AB419" s="19">
        <v>4684.0429402435066</v>
      </c>
      <c r="AC419" s="19">
        <v>5101.553772269529</v>
      </c>
      <c r="AD419" s="19">
        <v>5417.7868355935279</v>
      </c>
      <c r="AE419" s="19">
        <v>6428.781301970299</v>
      </c>
      <c r="AF419" s="19">
        <v>6901.9505895820967</v>
      </c>
      <c r="AG419" s="19">
        <v>6962.0210604372933</v>
      </c>
      <c r="AH419" s="19">
        <v>6945.8458434927907</v>
      </c>
      <c r="AI419" s="19">
        <v>6870.4663998228789</v>
      </c>
      <c r="AJ419" s="19">
        <v>6760.0713360806203</v>
      </c>
      <c r="AK419" s="19">
        <v>2646.0550769706974</v>
      </c>
      <c r="AL419" s="19">
        <v>557.10084178775946</v>
      </c>
      <c r="AM419" s="19">
        <v>431.74054340755038</v>
      </c>
      <c r="AN419" s="19">
        <v>320.91197170281453</v>
      </c>
      <c r="AO419" s="19">
        <v>228.76822006952872</v>
      </c>
      <c r="AP419" s="19">
        <v>156.45453878992461</v>
      </c>
      <c r="AQ419" s="19">
        <v>102.71043021533686</v>
      </c>
      <c r="AR419" s="19">
        <v>77509.039583505</v>
      </c>
    </row>
    <row r="420" spans="1:44" x14ac:dyDescent="0.25">
      <c r="A420" t="s">
        <v>250</v>
      </c>
      <c r="B420" t="s">
        <v>285</v>
      </c>
      <c r="C420" t="s">
        <v>43</v>
      </c>
      <c r="D420" t="s">
        <v>284</v>
      </c>
      <c r="E420" t="s">
        <v>148</v>
      </c>
      <c r="F420" t="s">
        <v>284</v>
      </c>
      <c r="G420" t="s">
        <v>31</v>
      </c>
      <c r="H420" t="s">
        <v>277</v>
      </c>
      <c r="I420" t="s">
        <v>135</v>
      </c>
      <c r="J420" t="s">
        <v>39</v>
      </c>
      <c r="K420" t="s">
        <v>31</v>
      </c>
      <c r="L420">
        <v>259.74</v>
      </c>
      <c r="M420">
        <v>1</v>
      </c>
      <c r="N420" s="2">
        <v>1.3953794259707024</v>
      </c>
      <c r="O420" s="2">
        <v>3.994835640102659</v>
      </c>
      <c r="P420" s="1">
        <v>-0.1208952283669998</v>
      </c>
      <c r="Q420" s="1">
        <v>1.550704251021745</v>
      </c>
      <c r="R420" s="1">
        <v>-1.1299449527495853</v>
      </c>
      <c r="S420" s="19">
        <v>27.82580467043168</v>
      </c>
      <c r="T420" s="19">
        <v>77.336470977539349</v>
      </c>
      <c r="U420" s="19">
        <v>137.22981308708634</v>
      </c>
      <c r="V420" s="19">
        <v>221.82424462509593</v>
      </c>
      <c r="W420" s="19">
        <v>330.51881758038189</v>
      </c>
      <c r="X420" s="19">
        <v>458.65876737231002</v>
      </c>
      <c r="Y420" s="19">
        <v>598.28000757424525</v>
      </c>
      <c r="Z420" s="19">
        <v>739.79965791414702</v>
      </c>
      <c r="AA420" s="19">
        <v>874.03140119388877</v>
      </c>
      <c r="AB420" s="19">
        <v>993.85767870169377</v>
      </c>
      <c r="AC420" s="19">
        <v>1095.1266865988337</v>
      </c>
      <c r="AD420" s="19">
        <v>1176.6944792182628</v>
      </c>
      <c r="AE420" s="19">
        <v>1239.822874047908</v>
      </c>
      <c r="AF420" s="19">
        <v>1287.2745787941126</v>
      </c>
      <c r="AG420" s="19">
        <v>1322.4208722465621</v>
      </c>
      <c r="AH420" s="19">
        <v>1348.5601922722517</v>
      </c>
      <c r="AI420" s="19">
        <v>1368.5140229686399</v>
      </c>
      <c r="AJ420" s="19">
        <v>1385.8888220771044</v>
      </c>
      <c r="AK420" s="19">
        <v>1401.6485669542596</v>
      </c>
      <c r="AL420" s="19">
        <v>1411.9823476786655</v>
      </c>
      <c r="AM420" s="19">
        <v>1422.4574306515713</v>
      </c>
      <c r="AN420" s="19">
        <v>1433.0752805170855</v>
      </c>
      <c r="AO420" s="19">
        <v>1443.8373789105915</v>
      </c>
      <c r="AP420" s="19">
        <v>1454.7452246465114</v>
      </c>
      <c r="AQ420" s="19">
        <v>1465.8003339083402</v>
      </c>
      <c r="AR420" s="19">
        <v>24717.211755187524</v>
      </c>
    </row>
    <row r="421" spans="1:44" x14ac:dyDescent="0.25">
      <c r="A421" t="s">
        <v>250</v>
      </c>
      <c r="B421" t="s">
        <v>285</v>
      </c>
      <c r="C421" t="s">
        <v>43</v>
      </c>
      <c r="D421" t="s">
        <v>284</v>
      </c>
      <c r="E421" t="s">
        <v>145</v>
      </c>
      <c r="F421" t="s">
        <v>284</v>
      </c>
      <c r="G421" t="s">
        <v>31</v>
      </c>
      <c r="H421" t="s">
        <v>252</v>
      </c>
      <c r="I421" t="s">
        <v>135</v>
      </c>
      <c r="J421" t="s">
        <v>39</v>
      </c>
      <c r="K421" t="s">
        <v>31</v>
      </c>
      <c r="L421">
        <v>259.74</v>
      </c>
      <c r="M421">
        <v>1</v>
      </c>
      <c r="N421" s="2">
        <v>1.3953794259707024</v>
      </c>
      <c r="O421" s="2">
        <v>3.994835640102659</v>
      </c>
      <c r="P421" s="1">
        <v>-0.1208952283669998</v>
      </c>
      <c r="Q421" s="1">
        <v>1.550704251021745</v>
      </c>
      <c r="R421" s="1">
        <v>-1.1299449527495853</v>
      </c>
      <c r="S421" s="19">
        <v>8.8404709278596201</v>
      </c>
      <c r="T421" s="19">
        <v>17.285683059714358</v>
      </c>
      <c r="U421" s="19">
        <v>30.360809353164665</v>
      </c>
      <c r="V421" s="19">
        <v>48.5751305560361</v>
      </c>
      <c r="W421" s="19">
        <v>71.633935843311932</v>
      </c>
      <c r="X421" s="19">
        <v>98.380199427463424</v>
      </c>
      <c r="Y421" s="19">
        <v>126.99766516965884</v>
      </c>
      <c r="Z421" s="19">
        <v>155.40201484043186</v>
      </c>
      <c r="AA421" s="19">
        <v>181.67660663626617</v>
      </c>
      <c r="AB421" s="19">
        <v>204.41085952328856</v>
      </c>
      <c r="AC421" s="19">
        <v>222.85912370799929</v>
      </c>
      <c r="AD421" s="19">
        <v>236.91617737467695</v>
      </c>
      <c r="AE421" s="19">
        <v>280.99353614799418</v>
      </c>
      <c r="AF421" s="19">
        <v>298.73551145290509</v>
      </c>
      <c r="AG421" s="19">
        <v>301.76895465547773</v>
      </c>
      <c r="AH421" s="19">
        <v>301.57179315459211</v>
      </c>
      <c r="AI421" s="19">
        <v>298.87216313315918</v>
      </c>
      <c r="AJ421" s="19">
        <v>294.70106234065651</v>
      </c>
      <c r="AK421" s="19">
        <v>153.23403038767484</v>
      </c>
      <c r="AL421" s="19">
        <v>22.691757255670304</v>
      </c>
      <c r="AM421" s="19">
        <v>17.602123044889293</v>
      </c>
      <c r="AN421" s="19">
        <v>13.095775344565554</v>
      </c>
      <c r="AO421" s="19">
        <v>9.3441384518777912</v>
      </c>
      <c r="AP421" s="19">
        <v>6.3962470560393481</v>
      </c>
      <c r="AQ421" s="19">
        <v>4.2028156817440232</v>
      </c>
      <c r="AR421" s="19">
        <v>3406.5485845271182</v>
      </c>
    </row>
    <row r="422" spans="1:44" x14ac:dyDescent="0.25">
      <c r="A422" t="s">
        <v>250</v>
      </c>
      <c r="B422" t="s">
        <v>285</v>
      </c>
      <c r="C422" t="s">
        <v>43</v>
      </c>
      <c r="D422" t="s">
        <v>284</v>
      </c>
      <c r="E422" t="s">
        <v>148</v>
      </c>
      <c r="F422" t="s">
        <v>284</v>
      </c>
      <c r="G422" t="s">
        <v>31</v>
      </c>
      <c r="H422" t="s">
        <v>252</v>
      </c>
      <c r="I422" t="s">
        <v>135</v>
      </c>
      <c r="J422" t="s">
        <v>39</v>
      </c>
      <c r="K422" t="s">
        <v>31</v>
      </c>
      <c r="L422">
        <v>259.74</v>
      </c>
      <c r="M422">
        <v>1</v>
      </c>
      <c r="N422" s="2">
        <v>1.3953794259707024</v>
      </c>
      <c r="O422" s="2">
        <v>3.994835640102659</v>
      </c>
      <c r="P422" s="1">
        <v>-0.1208952283669998</v>
      </c>
      <c r="Q422" s="1">
        <v>1.550704251021745</v>
      </c>
      <c r="R422" s="1">
        <v>-1.1299449527495853</v>
      </c>
      <c r="S422" s="19">
        <v>1.203170429434568</v>
      </c>
      <c r="T422" s="19">
        <v>3.1316182418322818</v>
      </c>
      <c r="U422" s="19">
        <v>5.5625021685397549</v>
      </c>
      <c r="V422" s="19">
        <v>9.0004257846816493</v>
      </c>
      <c r="W422" s="19">
        <v>13.423866898747717</v>
      </c>
      <c r="X422" s="19">
        <v>18.646342073269555</v>
      </c>
      <c r="Y422" s="19">
        <v>24.345912363417259</v>
      </c>
      <c r="Z422" s="19">
        <v>30.133421090056963</v>
      </c>
      <c r="AA422" s="19">
        <v>35.634383899843797</v>
      </c>
      <c r="AB422" s="19">
        <v>40.557342923940055</v>
      </c>
      <c r="AC422" s="19">
        <v>44.730930628457045</v>
      </c>
      <c r="AD422" s="19">
        <v>48.106169733199557</v>
      </c>
      <c r="AE422" s="19">
        <v>50.732403775438755</v>
      </c>
      <c r="AF422" s="19">
        <v>52.720677781911064</v>
      </c>
      <c r="AG422" s="19">
        <v>54.207424313280008</v>
      </c>
      <c r="AH422" s="19">
        <v>55.326603636702295</v>
      </c>
      <c r="AI422" s="19">
        <v>56.193083550292606</v>
      </c>
      <c r="AJ422" s="19">
        <v>56.954403438276728</v>
      </c>
      <c r="AK422" s="19">
        <v>57.649925198970877</v>
      </c>
      <c r="AL422" s="19">
        <v>58.122594713502849</v>
      </c>
      <c r="AM422" s="19">
        <v>58.60120808066074</v>
      </c>
      <c r="AN422" s="19">
        <v>59.085829576873699</v>
      </c>
      <c r="AO422" s="19">
        <v>59.576524208185397</v>
      </c>
      <c r="AP422" s="19">
        <v>60.073357718416723</v>
      </c>
      <c r="AQ422" s="19">
        <v>60.576396597394307</v>
      </c>
      <c r="AR422" s="19">
        <v>1014.2965188253264</v>
      </c>
    </row>
    <row r="423" spans="1:44" x14ac:dyDescent="0.25">
      <c r="A423" t="s">
        <v>250</v>
      </c>
      <c r="B423" t="s">
        <v>285</v>
      </c>
      <c r="C423" t="s">
        <v>43</v>
      </c>
      <c r="D423" t="s">
        <v>284</v>
      </c>
      <c r="E423" t="s">
        <v>145</v>
      </c>
      <c r="F423" t="s">
        <v>284</v>
      </c>
      <c r="G423" t="s">
        <v>31</v>
      </c>
      <c r="H423" t="s">
        <v>253</v>
      </c>
      <c r="I423" t="s">
        <v>135</v>
      </c>
      <c r="J423" t="s">
        <v>39</v>
      </c>
      <c r="K423" t="s">
        <v>31</v>
      </c>
      <c r="L423">
        <v>259.74</v>
      </c>
      <c r="M423">
        <v>1</v>
      </c>
      <c r="N423" s="2">
        <v>1.3953794259707024</v>
      </c>
      <c r="O423" s="2">
        <v>3.994835640102659</v>
      </c>
      <c r="P423" s="1">
        <v>-0.1208952283669998</v>
      </c>
      <c r="Q423" s="1">
        <v>1.550704251021745</v>
      </c>
      <c r="R423" s="1">
        <v>-1.1299449527495853</v>
      </c>
      <c r="S423" s="19">
        <v>2.8608149629760127</v>
      </c>
      <c r="T423" s="19">
        <v>5.5914766566258374</v>
      </c>
      <c r="U423" s="19">
        <v>9.8170028517296117</v>
      </c>
      <c r="V423" s="19">
        <v>15.700198779020299</v>
      </c>
      <c r="W423" s="19">
        <v>23.143849160942803</v>
      </c>
      <c r="X423" s="19">
        <v>31.772404074393592</v>
      </c>
      <c r="Y423" s="19">
        <v>40.998098756508227</v>
      </c>
      <c r="Z423" s="19">
        <v>50.147608648117021</v>
      </c>
      <c r="AA423" s="19">
        <v>58.602776718713571</v>
      </c>
      <c r="AB423" s="19">
        <v>65.909611417871957</v>
      </c>
      <c r="AC423" s="19">
        <v>71.829163262980245</v>
      </c>
      <c r="AD423" s="19">
        <v>76.329199475993249</v>
      </c>
      <c r="AE423" s="19">
        <v>90.546548641117639</v>
      </c>
      <c r="AF423" s="19">
        <v>96.632518991417285</v>
      </c>
      <c r="AG423" s="19">
        <v>97.558758565809697</v>
      </c>
      <c r="AH423" s="19">
        <v>97.431112278333444</v>
      </c>
      <c r="AI423" s="19">
        <v>96.486297691676668</v>
      </c>
      <c r="AJ423" s="19">
        <v>95.059827346494714</v>
      </c>
      <c r="AK423" s="19">
        <v>44.609445710539482</v>
      </c>
      <c r="AL423" s="19">
        <v>7.5211003889335633</v>
      </c>
      <c r="AM423" s="19">
        <v>5.8320119432580366</v>
      </c>
      <c r="AN423" s="19">
        <v>4.3373707576399196</v>
      </c>
      <c r="AO423" s="19">
        <v>3.0937017875001893</v>
      </c>
      <c r="AP423" s="19">
        <v>2.1169477086752519</v>
      </c>
      <c r="AQ423" s="19">
        <v>1.3905058361079532</v>
      </c>
      <c r="AR423" s="19">
        <v>1095.3183524133765</v>
      </c>
    </row>
    <row r="424" spans="1:44" x14ac:dyDescent="0.25">
      <c r="A424" t="s">
        <v>250</v>
      </c>
      <c r="B424" t="s">
        <v>285</v>
      </c>
      <c r="C424" t="s">
        <v>43</v>
      </c>
      <c r="D424" t="s">
        <v>284</v>
      </c>
      <c r="E424" t="s">
        <v>148</v>
      </c>
      <c r="F424" t="s">
        <v>284</v>
      </c>
      <c r="G424" t="s">
        <v>31</v>
      </c>
      <c r="H424" t="s">
        <v>253</v>
      </c>
      <c r="I424" t="s">
        <v>135</v>
      </c>
      <c r="J424" t="s">
        <v>39</v>
      </c>
      <c r="K424" t="s">
        <v>31</v>
      </c>
      <c r="L424">
        <v>259.74</v>
      </c>
      <c r="M424">
        <v>1</v>
      </c>
      <c r="N424" s="2">
        <v>1.3953794259707024</v>
      </c>
      <c r="O424" s="2">
        <v>3.994835640102659</v>
      </c>
      <c r="P424" s="1">
        <v>-0.1208952283669998</v>
      </c>
      <c r="Q424" s="1">
        <v>1.550704251021745</v>
      </c>
      <c r="R424" s="1">
        <v>-1.1299449527495853</v>
      </c>
      <c r="S424" s="19">
        <v>0.38935120036303833</v>
      </c>
      <c r="T424" s="19">
        <v>1.0403549074521867</v>
      </c>
      <c r="U424" s="19">
        <v>1.847189789975213</v>
      </c>
      <c r="V424" s="19">
        <v>2.9876858734476524</v>
      </c>
      <c r="W424" s="19">
        <v>4.4543259407320939</v>
      </c>
      <c r="X424" s="19">
        <v>6.1848959372587844</v>
      </c>
      <c r="Y424" s="19">
        <v>8.0723708808460479</v>
      </c>
      <c r="Z424" s="19">
        <v>9.9876127937907242</v>
      </c>
      <c r="AA424" s="19">
        <v>11.806539016034812</v>
      </c>
      <c r="AB424" s="19">
        <v>13.43274671238702</v>
      </c>
      <c r="AC424" s="19">
        <v>14.809729195953311</v>
      </c>
      <c r="AD424" s="19">
        <v>15.921562268875103</v>
      </c>
      <c r="AE424" s="19">
        <v>16.784867305972249</v>
      </c>
      <c r="AF424" s="19">
        <v>17.436642884148167</v>
      </c>
      <c r="AG424" s="19">
        <v>17.922224389341107</v>
      </c>
      <c r="AH424" s="19">
        <v>18.286063487660719</v>
      </c>
      <c r="AI424" s="19">
        <v>18.566240163886331</v>
      </c>
      <c r="AJ424" s="19">
        <v>18.81157230368148</v>
      </c>
      <c r="AK424" s="19">
        <v>19.035093619060337</v>
      </c>
      <c r="AL424" s="19">
        <v>19.184987581288265</v>
      </c>
      <c r="AM424" s="19">
        <v>19.336823144627427</v>
      </c>
      <c r="AN424" s="19">
        <v>19.490621014163249</v>
      </c>
      <c r="AO424" s="19">
        <v>19.64640213155598</v>
      </c>
      <c r="AP424" s="19">
        <v>19.804187677674214</v>
      </c>
      <c r="AQ424" s="19">
        <v>19.963999075263462</v>
      </c>
      <c r="AR424" s="19">
        <v>335.20408929543902</v>
      </c>
    </row>
    <row r="425" spans="1:44" x14ac:dyDescent="0.25">
      <c r="A425" t="s">
        <v>250</v>
      </c>
      <c r="B425" t="s">
        <v>285</v>
      </c>
      <c r="C425" t="s">
        <v>43</v>
      </c>
      <c r="D425" t="s">
        <v>284</v>
      </c>
      <c r="E425" t="s">
        <v>145</v>
      </c>
      <c r="F425" t="s">
        <v>284</v>
      </c>
      <c r="G425" t="s">
        <v>31</v>
      </c>
      <c r="H425" t="s">
        <v>274</v>
      </c>
      <c r="I425" t="s">
        <v>135</v>
      </c>
      <c r="J425" t="s">
        <v>39</v>
      </c>
      <c r="K425" t="s">
        <v>33</v>
      </c>
      <c r="L425">
        <v>259.74</v>
      </c>
      <c r="M425">
        <v>1</v>
      </c>
      <c r="N425" s="2">
        <v>1.3953794259707024</v>
      </c>
      <c r="O425" s="2">
        <v>3.994835640102659</v>
      </c>
      <c r="P425" s="1">
        <v>-0.1208952283669998</v>
      </c>
      <c r="Q425" s="1">
        <v>1.550704251021745</v>
      </c>
      <c r="R425" s="1">
        <v>-1.1299449527495853</v>
      </c>
      <c r="S425" s="19">
        <v>2.6652796149575244E-2</v>
      </c>
      <c r="T425" s="19">
        <v>5.2066865009442152E-2</v>
      </c>
      <c r="U425" s="19">
        <v>9.1368339924983444E-2</v>
      </c>
      <c r="V425" s="19">
        <v>0.14605077712648196</v>
      </c>
      <c r="W425" s="19">
        <v>0.21518709136982311</v>
      </c>
      <c r="X425" s="19">
        <v>0.29526543281070816</v>
      </c>
      <c r="Y425" s="19">
        <v>0.38080983002315311</v>
      </c>
      <c r="Z425" s="19">
        <v>0.46556097096468529</v>
      </c>
      <c r="AA425" s="19">
        <v>0.54378401327519854</v>
      </c>
      <c r="AB425" s="19">
        <v>0.61127818413728752</v>
      </c>
      <c r="AC425" s="19">
        <v>0.66584456139287684</v>
      </c>
      <c r="AD425" s="19">
        <v>0.70720392290447864</v>
      </c>
      <c r="AE425" s="19">
        <v>0.83912544663254884</v>
      </c>
      <c r="AF425" s="19">
        <v>0.89984311610946244</v>
      </c>
      <c r="AG425" s="19">
        <v>0.90782835674901796</v>
      </c>
      <c r="AH425" s="19">
        <v>0.90589745299223101</v>
      </c>
      <c r="AI425" s="19">
        <v>0.89626877497854818</v>
      </c>
      <c r="AJ425" s="19">
        <v>0.88209022484220079</v>
      </c>
      <c r="AK425" s="19">
        <v>0.3585034838406575</v>
      </c>
      <c r="AL425" s="19">
        <v>7.2131320777447036E-2</v>
      </c>
      <c r="AM425" s="19">
        <v>5.5906321441800549E-2</v>
      </c>
      <c r="AN425" s="19">
        <v>4.155960814521048E-2</v>
      </c>
      <c r="AO425" s="19">
        <v>2.9629757046839914E-2</v>
      </c>
      <c r="AP425" s="19">
        <v>2.0265945414186873E-2</v>
      </c>
      <c r="AQ425" s="19">
        <v>1.3305738676458304E-2</v>
      </c>
      <c r="AR425" s="19">
        <v>10.123428332735305</v>
      </c>
    </row>
    <row r="426" spans="1:44" x14ac:dyDescent="0.25">
      <c r="A426" t="s">
        <v>250</v>
      </c>
      <c r="B426" t="s">
        <v>285</v>
      </c>
      <c r="C426" t="s">
        <v>43</v>
      </c>
      <c r="D426" t="s">
        <v>284</v>
      </c>
      <c r="E426" t="s">
        <v>148</v>
      </c>
      <c r="F426" t="s">
        <v>284</v>
      </c>
      <c r="G426" t="s">
        <v>31</v>
      </c>
      <c r="H426" t="s">
        <v>274</v>
      </c>
      <c r="I426" t="s">
        <v>135</v>
      </c>
      <c r="J426" t="s">
        <v>39</v>
      </c>
      <c r="K426" t="s">
        <v>33</v>
      </c>
      <c r="L426">
        <v>259.74</v>
      </c>
      <c r="M426">
        <v>1</v>
      </c>
      <c r="N426" s="2">
        <v>1.3953794259707024</v>
      </c>
      <c r="O426" s="2">
        <v>3.994835640102659</v>
      </c>
      <c r="P426" s="1">
        <v>-0.1208952283669998</v>
      </c>
      <c r="Q426" s="1">
        <v>1.550704251021745</v>
      </c>
      <c r="R426" s="1">
        <v>-1.1299449527495853</v>
      </c>
      <c r="S426" s="19">
        <v>3.6273923019031328E-3</v>
      </c>
      <c r="T426" s="19">
        <v>1.0006316298229312E-2</v>
      </c>
      <c r="U426" s="19">
        <v>1.7757827401682871E-2</v>
      </c>
      <c r="V426" s="19">
        <v>2.8707889793203604E-2</v>
      </c>
      <c r="W426" s="19">
        <v>4.2779801900598595E-2</v>
      </c>
      <c r="X426" s="19">
        <v>5.9372046496472174E-2</v>
      </c>
      <c r="Y426" s="19">
        <v>7.7454378398464863E-2</v>
      </c>
      <c r="Z426" s="19">
        <v>9.578647604409958E-2</v>
      </c>
      <c r="AA426" s="19">
        <v>0.1131788089200759</v>
      </c>
      <c r="AB426" s="19">
        <v>0.1287092390470288</v>
      </c>
      <c r="AC426" s="19">
        <v>0.14183935884788687</v>
      </c>
      <c r="AD426" s="19">
        <v>0.15242016159743432</v>
      </c>
      <c r="AE426" s="19">
        <v>0.16061425439062788</v>
      </c>
      <c r="AF426" s="19">
        <v>0.16677878706554553</v>
      </c>
      <c r="AG426" s="19">
        <v>0.17134992948572186</v>
      </c>
      <c r="AH426" s="19">
        <v>0.17475460535994045</v>
      </c>
      <c r="AI426" s="19">
        <v>0.17735810922768661</v>
      </c>
      <c r="AJ426" s="19">
        <v>0.17962763117050243</v>
      </c>
      <c r="AK426" s="19">
        <v>0.18168801974952248</v>
      </c>
      <c r="AL426" s="19">
        <v>0.18304517219081981</v>
      </c>
      <c r="AM426" s="19">
        <v>0.18442067379229324</v>
      </c>
      <c r="AN426" s="19">
        <v>0.18581471593088195</v>
      </c>
      <c r="AO426" s="19">
        <v>0.18722749219590579</v>
      </c>
      <c r="AP426" s="19">
        <v>0.18865919841357745</v>
      </c>
      <c r="AQ426" s="19">
        <v>0.19011003267178431</v>
      </c>
      <c r="AR426" s="19">
        <v>3.2030883186918899</v>
      </c>
    </row>
    <row r="427" spans="1:44" x14ac:dyDescent="0.25">
      <c r="A427" t="s">
        <v>250</v>
      </c>
      <c r="B427" t="s">
        <v>285</v>
      </c>
      <c r="C427" t="s">
        <v>43</v>
      </c>
      <c r="D427" t="s">
        <v>284</v>
      </c>
      <c r="E427" t="s">
        <v>145</v>
      </c>
      <c r="F427" t="s">
        <v>284</v>
      </c>
      <c r="G427" t="s">
        <v>31</v>
      </c>
      <c r="H427" t="s">
        <v>253</v>
      </c>
      <c r="I427" t="s">
        <v>256</v>
      </c>
      <c r="J427" t="s">
        <v>39</v>
      </c>
      <c r="K427" t="s">
        <v>31</v>
      </c>
      <c r="L427">
        <v>259.74</v>
      </c>
      <c r="M427">
        <v>0</v>
      </c>
      <c r="N427" s="2">
        <v>0.92441308277863887</v>
      </c>
      <c r="O427" s="2">
        <v>2.6465047861031117</v>
      </c>
      <c r="P427" s="1">
        <v>0.60943428210909911</v>
      </c>
      <c r="Q427" s="1">
        <v>0.4672931329656026</v>
      </c>
      <c r="R427" s="1">
        <v>-0.39961544227348617</v>
      </c>
      <c r="S427" s="19">
        <v>1.5006717063226511</v>
      </c>
      <c r="T427" s="19">
        <v>2.9330700949750046</v>
      </c>
      <c r="U427" s="19">
        <v>5.149615969973147</v>
      </c>
      <c r="V427" s="19">
        <v>8.235710591644704</v>
      </c>
      <c r="W427" s="19">
        <v>12.140358625325506</v>
      </c>
      <c r="X427" s="19">
        <v>16.666561260813978</v>
      </c>
      <c r="Y427" s="19">
        <v>21.506000078002817</v>
      </c>
      <c r="Z427" s="19">
        <v>26.305475331995918</v>
      </c>
      <c r="AA427" s="19">
        <v>30.740726007050949</v>
      </c>
      <c r="AB427" s="19">
        <v>34.573605881391678</v>
      </c>
      <c r="AC427" s="19">
        <v>37.678771396473806</v>
      </c>
      <c r="AD427" s="19">
        <v>40.039314496846487</v>
      </c>
      <c r="AE427" s="19">
        <v>47.497180142521593</v>
      </c>
      <c r="AF427" s="19">
        <v>50.689642300476933</v>
      </c>
      <c r="AG427" s="19">
        <v>51.175511376441506</v>
      </c>
      <c r="AH427" s="19">
        <v>51.108553123457021</v>
      </c>
      <c r="AI427" s="19">
        <v>50.612940322116813</v>
      </c>
      <c r="AJ427" s="19">
        <v>49.864669736767283</v>
      </c>
      <c r="AK427" s="19">
        <v>23.40037153011227</v>
      </c>
      <c r="AL427" s="19">
        <v>3.9452752800004767</v>
      </c>
      <c r="AM427" s="19">
        <v>3.059245504322603</v>
      </c>
      <c r="AN427" s="19">
        <v>2.2752151607353306</v>
      </c>
      <c r="AO427" s="19">
        <v>1.6228350314106934</v>
      </c>
      <c r="AP427" s="19">
        <v>1.1104680209267088</v>
      </c>
      <c r="AQ427" s="19">
        <v>0.72940500966655442</v>
      </c>
      <c r="AR427" s="19">
        <v>574.5611939797725</v>
      </c>
    </row>
    <row r="428" spans="1:44" x14ac:dyDescent="0.25">
      <c r="A428" t="s">
        <v>250</v>
      </c>
      <c r="B428" t="s">
        <v>285</v>
      </c>
      <c r="C428" t="s">
        <v>43</v>
      </c>
      <c r="D428" t="s">
        <v>284</v>
      </c>
      <c r="E428" t="s">
        <v>148</v>
      </c>
      <c r="F428" t="s">
        <v>284</v>
      </c>
      <c r="G428" t="s">
        <v>31</v>
      </c>
      <c r="H428" t="s">
        <v>253</v>
      </c>
      <c r="I428" t="s">
        <v>256</v>
      </c>
      <c r="J428" t="s">
        <v>39</v>
      </c>
      <c r="K428" t="s">
        <v>31</v>
      </c>
      <c r="L428">
        <v>259.74</v>
      </c>
      <c r="M428">
        <v>0</v>
      </c>
      <c r="N428" s="2">
        <v>0.92441308277863887</v>
      </c>
      <c r="O428" s="2">
        <v>2.6465047861031117</v>
      </c>
      <c r="P428" s="1">
        <v>0.60943428210909911</v>
      </c>
      <c r="Q428" s="1">
        <v>0.4672931329656026</v>
      </c>
      <c r="R428" s="1">
        <v>-0.39961544227348617</v>
      </c>
      <c r="S428" s="19">
        <v>0.20423842078893387</v>
      </c>
      <c r="T428" s="19">
        <v>0.5457295191588778</v>
      </c>
      <c r="U428" s="19">
        <v>0.96896356104772885</v>
      </c>
      <c r="V428" s="19">
        <v>1.567223226838365</v>
      </c>
      <c r="W428" s="19">
        <v>2.3365652782527651</v>
      </c>
      <c r="X428" s="19">
        <v>3.244354654080468</v>
      </c>
      <c r="Y428" s="19">
        <v>4.2344502320509418</v>
      </c>
      <c r="Z428" s="19">
        <v>5.2391112767936638</v>
      </c>
      <c r="AA428" s="19">
        <v>6.1932488749733388</v>
      </c>
      <c r="AB428" s="19">
        <v>7.0462938674328202</v>
      </c>
      <c r="AC428" s="19">
        <v>7.768605054955473</v>
      </c>
      <c r="AD428" s="19">
        <v>8.3518292257880891</v>
      </c>
      <c r="AE428" s="19">
        <v>8.80468530346681</v>
      </c>
      <c r="AF428" s="19">
        <v>9.1465812952380094</v>
      </c>
      <c r="AG428" s="19">
        <v>9.4012983724999568</v>
      </c>
      <c r="AH428" s="19">
        <v>9.5921541417715552</v>
      </c>
      <c r="AI428" s="19">
        <v>9.7391238746009492</v>
      </c>
      <c r="AJ428" s="19">
        <v>9.8678155256188376</v>
      </c>
      <c r="AK428" s="19">
        <v>9.9850660706874717</v>
      </c>
      <c r="AL428" s="19">
        <v>10.063694584231714</v>
      </c>
      <c r="AM428" s="19">
        <v>10.143341585825816</v>
      </c>
      <c r="AN428" s="19">
        <v>10.224017936548334</v>
      </c>
      <c r="AO428" s="19">
        <v>10.305734621575327</v>
      </c>
      <c r="AP428" s="19">
        <v>10.388502751563241</v>
      </c>
      <c r="AQ428" s="19">
        <v>10.47233356404633</v>
      </c>
      <c r="AR428" s="19">
        <v>175.83496281983582</v>
      </c>
    </row>
    <row r="429" spans="1:44" x14ac:dyDescent="0.25">
      <c r="A429" t="s">
        <v>250</v>
      </c>
      <c r="B429" t="s">
        <v>285</v>
      </c>
      <c r="C429" t="s">
        <v>43</v>
      </c>
      <c r="D429" t="s">
        <v>284</v>
      </c>
      <c r="E429" t="s">
        <v>145</v>
      </c>
      <c r="F429" t="s">
        <v>284</v>
      </c>
      <c r="G429" t="s">
        <v>31</v>
      </c>
      <c r="H429" t="s">
        <v>272</v>
      </c>
      <c r="I429" t="s">
        <v>135</v>
      </c>
      <c r="J429" t="s">
        <v>40</v>
      </c>
      <c r="K429" t="s">
        <v>31</v>
      </c>
      <c r="L429">
        <v>259.74</v>
      </c>
      <c r="M429">
        <v>1</v>
      </c>
      <c r="N429" s="2">
        <v>1.3953794259707024</v>
      </c>
      <c r="O429" s="2">
        <v>2.8220930578635595</v>
      </c>
      <c r="P429" s="1">
        <v>-0.1208952283669998</v>
      </c>
      <c r="Q429" s="1">
        <v>0.4672931329656026</v>
      </c>
      <c r="R429" s="1">
        <v>-0.98694495274958527</v>
      </c>
      <c r="S429" s="19">
        <v>1.7307055802149371</v>
      </c>
      <c r="T429" s="19">
        <v>3.380974112825887</v>
      </c>
      <c r="U429" s="19">
        <v>5.9330246205955453</v>
      </c>
      <c r="V429" s="19">
        <v>9.4838415282577682</v>
      </c>
      <c r="W429" s="19">
        <v>13.97322433766146</v>
      </c>
      <c r="X429" s="19">
        <v>19.173130254035843</v>
      </c>
      <c r="Y429" s="19">
        <v>24.727975786220693</v>
      </c>
      <c r="Z429" s="19">
        <v>30.231311036073276</v>
      </c>
      <c r="AA429" s="19">
        <v>35.310742667502758</v>
      </c>
      <c r="AB429" s="19">
        <v>39.693492510612899</v>
      </c>
      <c r="AC429" s="19">
        <v>43.236773038418491</v>
      </c>
      <c r="AD429" s="19">
        <v>45.922452895816747</v>
      </c>
      <c r="AE429" s="19">
        <v>54.488808034891598</v>
      </c>
      <c r="AF429" s="19">
        <v>58.431524168373706</v>
      </c>
      <c r="AG429" s="19">
        <v>58.950047645485782</v>
      </c>
      <c r="AH429" s="19">
        <v>58.824663956360979</v>
      </c>
      <c r="AI429" s="19">
        <v>58.199423487223875</v>
      </c>
      <c r="AJ429" s="19">
        <v>57.278736002780491</v>
      </c>
      <c r="AK429" s="19">
        <v>23.279507955843808</v>
      </c>
      <c r="AL429" s="19">
        <v>4.6838642623914559</v>
      </c>
      <c r="AM429" s="19">
        <v>3.630290118365616</v>
      </c>
      <c r="AN429" s="19">
        <v>2.6986829196008428</v>
      </c>
      <c r="AO429" s="19">
        <v>1.9240152355345044</v>
      </c>
      <c r="AP429" s="19">
        <v>1.3159739270817119</v>
      </c>
      <c r="AQ429" s="19">
        <v>0.86401126722290034</v>
      </c>
      <c r="AR429" s="19">
        <v>657.36719734939345</v>
      </c>
    </row>
    <row r="430" spans="1:44" x14ac:dyDescent="0.25">
      <c r="A430" t="s">
        <v>250</v>
      </c>
      <c r="B430" t="s">
        <v>285</v>
      </c>
      <c r="C430" t="s">
        <v>43</v>
      </c>
      <c r="D430" t="s">
        <v>284</v>
      </c>
      <c r="E430" t="s">
        <v>148</v>
      </c>
      <c r="F430" t="s">
        <v>284</v>
      </c>
      <c r="G430" t="s">
        <v>31</v>
      </c>
      <c r="H430" t="s">
        <v>272</v>
      </c>
      <c r="I430" t="s">
        <v>135</v>
      </c>
      <c r="J430" t="s">
        <v>40</v>
      </c>
      <c r="K430" t="s">
        <v>31</v>
      </c>
      <c r="L430">
        <v>259.74</v>
      </c>
      <c r="M430">
        <v>1</v>
      </c>
      <c r="N430" s="2">
        <v>1.3953794259707024</v>
      </c>
      <c r="O430" s="2">
        <v>2.8220930578635595</v>
      </c>
      <c r="P430" s="1">
        <v>-0.1208952283669998</v>
      </c>
      <c r="Q430" s="1">
        <v>0.4672931329656026</v>
      </c>
      <c r="R430" s="1">
        <v>-0.98694495274958527</v>
      </c>
      <c r="S430" s="19">
        <v>0.23554557140274041</v>
      </c>
      <c r="T430" s="19">
        <v>0.64976249987253554</v>
      </c>
      <c r="U430" s="19">
        <v>1.153108694641628</v>
      </c>
      <c r="V430" s="19">
        <v>1.8641535688211559</v>
      </c>
      <c r="W430" s="19">
        <v>2.7779164877991844</v>
      </c>
      <c r="X430" s="19">
        <v>3.8553377890845546</v>
      </c>
      <c r="Y430" s="19">
        <v>5.0295182596982233</v>
      </c>
      <c r="Z430" s="19">
        <v>6.2199173275591937</v>
      </c>
      <c r="AA430" s="19">
        <v>7.3492925492990366</v>
      </c>
      <c r="AB430" s="19">
        <v>8.3577646785649033</v>
      </c>
      <c r="AC430" s="19">
        <v>9.2103720928378561</v>
      </c>
      <c r="AD430" s="19">
        <v>9.8974390054061363</v>
      </c>
      <c r="AE430" s="19">
        <v>10.429524346185779</v>
      </c>
      <c r="AF430" s="19">
        <v>10.829819723827224</v>
      </c>
      <c r="AG430" s="19">
        <v>11.126647930900068</v>
      </c>
      <c r="AH430" s="19">
        <v>11.34773135874282</v>
      </c>
      <c r="AI430" s="19">
        <v>11.516790494104152</v>
      </c>
      <c r="AJ430" s="19">
        <v>11.664162434699568</v>
      </c>
      <c r="AK430" s="19">
        <v>11.797954251179442</v>
      </c>
      <c r="AL430" s="19">
        <v>11.886081263826624</v>
      </c>
      <c r="AM430" s="19">
        <v>11.975399783501096</v>
      </c>
      <c r="AN430" s="19">
        <v>12.06592223730912</v>
      </c>
      <c r="AO430" s="19">
        <v>12.157661196019347</v>
      </c>
      <c r="AP430" s="19">
        <v>12.250629375652258</v>
      </c>
      <c r="AQ430" s="19">
        <v>12.344839639091417</v>
      </c>
      <c r="AR430" s="19">
        <v>207.99329256002608</v>
      </c>
    </row>
    <row r="431" spans="1:44" x14ac:dyDescent="0.25">
      <c r="A431" t="s">
        <v>250</v>
      </c>
      <c r="B431" t="s">
        <v>285</v>
      </c>
      <c r="C431" t="s">
        <v>43</v>
      </c>
      <c r="D431" t="s">
        <v>284</v>
      </c>
      <c r="E431" t="s">
        <v>145</v>
      </c>
      <c r="F431" t="s">
        <v>284</v>
      </c>
      <c r="G431" t="s">
        <v>31</v>
      </c>
      <c r="H431" t="s">
        <v>277</v>
      </c>
      <c r="I431" t="s">
        <v>135</v>
      </c>
      <c r="J431" t="s">
        <v>40</v>
      </c>
      <c r="K431" t="s">
        <v>31</v>
      </c>
      <c r="L431">
        <v>259.74</v>
      </c>
      <c r="M431">
        <v>1</v>
      </c>
      <c r="N431" s="2">
        <v>1.3953794259707024</v>
      </c>
      <c r="O431" s="2">
        <v>2.8220930578635595</v>
      </c>
      <c r="P431" s="1">
        <v>-0.1208952283669998</v>
      </c>
      <c r="Q431" s="1">
        <v>0.4672931329656026</v>
      </c>
      <c r="R431" s="1">
        <v>-0.98694495274958527</v>
      </c>
      <c r="S431" s="19">
        <v>32.25170353734859</v>
      </c>
      <c r="T431" s="19">
        <v>62.996866983210374</v>
      </c>
      <c r="U431" s="19">
        <v>110.5352752357586</v>
      </c>
      <c r="V431" s="19">
        <v>176.66750492834353</v>
      </c>
      <c r="W431" s="19">
        <v>260.26553369222921</v>
      </c>
      <c r="X431" s="19">
        <v>357.07602466558211</v>
      </c>
      <c r="Y431" s="19">
        <v>460.47268787950514</v>
      </c>
      <c r="Z431" s="19">
        <v>562.885331510181</v>
      </c>
      <c r="AA431" s="19">
        <v>657.3814459606001</v>
      </c>
      <c r="AB431" s="19">
        <v>738.88618048474154</v>
      </c>
      <c r="AC431" s="19">
        <v>804.74658952076061</v>
      </c>
      <c r="AD431" s="19">
        <v>854.63089743240209</v>
      </c>
      <c r="AE431" s="19">
        <v>1014.1106138402766</v>
      </c>
      <c r="AF431" s="19">
        <v>1088.7508876606523</v>
      </c>
      <c r="AG431" s="19">
        <v>1098.2267275144609</v>
      </c>
      <c r="AH431" s="19">
        <v>1095.6751616088741</v>
      </c>
      <c r="AI431" s="19">
        <v>1083.7844018675828</v>
      </c>
      <c r="AJ431" s="19">
        <v>1066.3700894811448</v>
      </c>
      <c r="AK431" s="19">
        <v>417.40299013430609</v>
      </c>
      <c r="AL431" s="19">
        <v>87.880089568946246</v>
      </c>
      <c r="AM431" s="19">
        <v>68.10508040778781</v>
      </c>
      <c r="AN431" s="19">
        <v>50.622384138731171</v>
      </c>
      <c r="AO431" s="19">
        <v>36.087132099322915</v>
      </c>
      <c r="AP431" s="19">
        <v>24.679982242003057</v>
      </c>
      <c r="AQ431" s="19">
        <v>16.202096873563075</v>
      </c>
      <c r="AR431" s="19">
        <v>12226.693679268314</v>
      </c>
    </row>
    <row r="432" spans="1:44" x14ac:dyDescent="0.25">
      <c r="A432" t="s">
        <v>250</v>
      </c>
      <c r="B432" t="s">
        <v>285</v>
      </c>
      <c r="C432" t="s">
        <v>43</v>
      </c>
      <c r="D432" t="s">
        <v>284</v>
      </c>
      <c r="E432" t="s">
        <v>148</v>
      </c>
      <c r="F432" t="s">
        <v>284</v>
      </c>
      <c r="G432" t="s">
        <v>31</v>
      </c>
      <c r="H432" t="s">
        <v>277</v>
      </c>
      <c r="I432" t="s">
        <v>135</v>
      </c>
      <c r="J432" t="s">
        <v>40</v>
      </c>
      <c r="K432" t="s">
        <v>31</v>
      </c>
      <c r="L432">
        <v>259.74</v>
      </c>
      <c r="M432">
        <v>1</v>
      </c>
      <c r="N432" s="2">
        <v>1.3953794259707024</v>
      </c>
      <c r="O432" s="2">
        <v>2.8220930578635595</v>
      </c>
      <c r="P432" s="1">
        <v>-0.1208952283669998</v>
      </c>
      <c r="Q432" s="1">
        <v>0.4672931329656026</v>
      </c>
      <c r="R432" s="1">
        <v>-0.98694495274958527</v>
      </c>
      <c r="S432" s="19">
        <v>4.3893924103908617</v>
      </c>
      <c r="T432" s="19">
        <v>12.199471777214926</v>
      </c>
      <c r="U432" s="19">
        <v>21.647370387958158</v>
      </c>
      <c r="V432" s="19">
        <v>34.991751984543058</v>
      </c>
      <c r="W432" s="19">
        <v>52.137819788562041</v>
      </c>
      <c r="X432" s="19">
        <v>72.351306145785927</v>
      </c>
      <c r="Y432" s="19">
        <v>94.37591313668338</v>
      </c>
      <c r="Z432" s="19">
        <v>116.69998557521389</v>
      </c>
      <c r="AA432" s="19">
        <v>137.87442427210374</v>
      </c>
      <c r="AB432" s="19">
        <v>156.77646715235818</v>
      </c>
      <c r="AC432" s="19">
        <v>172.75118630015456</v>
      </c>
      <c r="AD432" s="19">
        <v>185.61812956007341</v>
      </c>
      <c r="AE432" s="19">
        <v>195.57634282388659</v>
      </c>
      <c r="AF432" s="19">
        <v>203.06163049625016</v>
      </c>
      <c r="AG432" s="19">
        <v>208.60579626470064</v>
      </c>
      <c r="AH432" s="19">
        <v>212.72915349704641</v>
      </c>
      <c r="AI432" s="19">
        <v>215.87677830266313</v>
      </c>
      <c r="AJ432" s="19">
        <v>218.61757276457027</v>
      </c>
      <c r="AK432" s="19">
        <v>221.10359986684756</v>
      </c>
      <c r="AL432" s="19">
        <v>222.73370613761577</v>
      </c>
      <c r="AM432" s="19">
        <v>224.3861021866787</v>
      </c>
      <c r="AN432" s="19">
        <v>226.06101905490132</v>
      </c>
      <c r="AO432" s="19">
        <v>227.75869046343465</v>
      </c>
      <c r="AP432" s="19">
        <v>229.47935284333496</v>
      </c>
      <c r="AQ432" s="19">
        <v>231.22324536557343</v>
      </c>
      <c r="AR432" s="19">
        <v>3899.0262085585455</v>
      </c>
    </row>
    <row r="433" spans="1:44" x14ac:dyDescent="0.25">
      <c r="A433" t="s">
        <v>250</v>
      </c>
      <c r="B433" t="s">
        <v>285</v>
      </c>
      <c r="C433" t="s">
        <v>43</v>
      </c>
      <c r="D433" t="s">
        <v>284</v>
      </c>
      <c r="E433" t="s">
        <v>145</v>
      </c>
      <c r="F433" t="s">
        <v>284</v>
      </c>
      <c r="G433" t="s">
        <v>31</v>
      </c>
      <c r="H433" t="s">
        <v>253</v>
      </c>
      <c r="I433" t="s">
        <v>135</v>
      </c>
      <c r="J433" t="s">
        <v>40</v>
      </c>
      <c r="K433" t="s">
        <v>31</v>
      </c>
      <c r="L433">
        <v>259.74</v>
      </c>
      <c r="M433">
        <v>1</v>
      </c>
      <c r="N433" s="2">
        <v>1.3953794259707024</v>
      </c>
      <c r="O433" s="2">
        <v>2.8220930578635595</v>
      </c>
      <c r="P433" s="1">
        <v>-0.1208952283669998</v>
      </c>
      <c r="Q433" s="1">
        <v>0.4672931329656026</v>
      </c>
      <c r="R433" s="1">
        <v>-0.98694495274958527</v>
      </c>
      <c r="S433" s="19">
        <v>1.5048481295412464</v>
      </c>
      <c r="T433" s="19">
        <v>2.9412329343187524</v>
      </c>
      <c r="U433" s="19">
        <v>5.1639475360400144</v>
      </c>
      <c r="V433" s="19">
        <v>8.2586308698052484</v>
      </c>
      <c r="W433" s="19">
        <v>12.174145679103656</v>
      </c>
      <c r="X433" s="19">
        <v>16.712944898974492</v>
      </c>
      <c r="Y433" s="19">
        <v>21.565852048081585</v>
      </c>
      <c r="Z433" s="19">
        <v>26.378684413962247</v>
      </c>
      <c r="AA433" s="19">
        <v>30.826278550829443</v>
      </c>
      <c r="AB433" s="19">
        <v>34.669825467424545</v>
      </c>
      <c r="AC433" s="19">
        <v>37.783632769581175</v>
      </c>
      <c r="AD433" s="19">
        <v>40.150745346123323</v>
      </c>
      <c r="AE433" s="19">
        <v>47.629366499557072</v>
      </c>
      <c r="AF433" s="19">
        <v>50.83071339427714</v>
      </c>
      <c r="AG433" s="19">
        <v>51.317934661318205</v>
      </c>
      <c r="AH433" s="19">
        <v>51.250790061112646</v>
      </c>
      <c r="AI433" s="19">
        <v>50.753797951558425</v>
      </c>
      <c r="AJ433" s="19">
        <v>50.003444902313966</v>
      </c>
      <c r="AK433" s="19">
        <v>23.465495603932535</v>
      </c>
      <c r="AL433" s="19">
        <v>3.9562551227027303</v>
      </c>
      <c r="AM433" s="19">
        <v>3.0677594943590329</v>
      </c>
      <c r="AN433" s="19">
        <v>2.2815471661863507</v>
      </c>
      <c r="AO433" s="19">
        <v>1.6273514395474953</v>
      </c>
      <c r="AP433" s="19">
        <v>1.1135584932842353</v>
      </c>
      <c r="AQ433" s="19">
        <v>0.7314349699871765</v>
      </c>
      <c r="AR433" s="19">
        <v>576.16021840392261</v>
      </c>
    </row>
    <row r="434" spans="1:44" x14ac:dyDescent="0.25">
      <c r="A434" t="s">
        <v>250</v>
      </c>
      <c r="B434" t="s">
        <v>285</v>
      </c>
      <c r="C434" t="s">
        <v>43</v>
      </c>
      <c r="D434" t="s">
        <v>284</v>
      </c>
      <c r="E434" t="s">
        <v>148</v>
      </c>
      <c r="F434" t="s">
        <v>284</v>
      </c>
      <c r="G434" t="s">
        <v>31</v>
      </c>
      <c r="H434" t="s">
        <v>253</v>
      </c>
      <c r="I434" t="s">
        <v>135</v>
      </c>
      <c r="J434" t="s">
        <v>40</v>
      </c>
      <c r="K434" t="s">
        <v>31</v>
      </c>
      <c r="L434">
        <v>259.74</v>
      </c>
      <c r="M434">
        <v>1</v>
      </c>
      <c r="N434" s="2">
        <v>1.3953794259707024</v>
      </c>
      <c r="O434" s="2">
        <v>2.8220930578635595</v>
      </c>
      <c r="P434" s="1">
        <v>-0.1208952283669998</v>
      </c>
      <c r="Q434" s="1">
        <v>0.4672931329656026</v>
      </c>
      <c r="R434" s="1">
        <v>-0.98694495274958527</v>
      </c>
      <c r="S434" s="19">
        <v>0.20480682364421407</v>
      </c>
      <c r="T434" s="19">
        <v>0.54724830399721591</v>
      </c>
      <c r="U434" s="19">
        <v>0.97166022141473196</v>
      </c>
      <c r="V434" s="19">
        <v>1.5715848653271458</v>
      </c>
      <c r="W434" s="19">
        <v>2.3430680232827088</v>
      </c>
      <c r="X434" s="19">
        <v>3.2533838095243448</v>
      </c>
      <c r="Y434" s="19">
        <v>4.246234859023394</v>
      </c>
      <c r="Z434" s="19">
        <v>5.2536919115114502</v>
      </c>
      <c r="AA434" s="19">
        <v>6.2104849088712877</v>
      </c>
      <c r="AB434" s="19">
        <v>7.0659039561611552</v>
      </c>
      <c r="AC434" s="19">
        <v>7.790225361642654</v>
      </c>
      <c r="AD434" s="19">
        <v>8.3750726662750452</v>
      </c>
      <c r="AE434" s="19">
        <v>8.8291890586710302</v>
      </c>
      <c r="AF434" s="19">
        <v>9.1720365592583057</v>
      </c>
      <c r="AG434" s="19">
        <v>9.4274625232881295</v>
      </c>
      <c r="AH434" s="19">
        <v>9.6188494510155262</v>
      </c>
      <c r="AI434" s="19">
        <v>9.7662282058863248</v>
      </c>
      <c r="AJ434" s="19">
        <v>9.8952780103877149</v>
      </c>
      <c r="AK434" s="19">
        <v>10.012854867931477</v>
      </c>
      <c r="AL434" s="19">
        <v>10.091702207450888</v>
      </c>
      <c r="AM434" s="19">
        <v>10.171570869509052</v>
      </c>
      <c r="AN434" s="19">
        <v>10.252471745411055</v>
      </c>
      <c r="AO434" s="19">
        <v>10.33441585090555</v>
      </c>
      <c r="AP434" s="19">
        <v>10.417414327569624</v>
      </c>
      <c r="AQ434" s="19">
        <v>10.501478444212564</v>
      </c>
      <c r="AR434" s="19">
        <v>176.32431783217254</v>
      </c>
    </row>
    <row r="435" spans="1:44" x14ac:dyDescent="0.25">
      <c r="A435" t="s">
        <v>250</v>
      </c>
      <c r="B435" t="s">
        <v>286</v>
      </c>
      <c r="C435" t="s">
        <v>44</v>
      </c>
      <c r="D435" t="s">
        <v>287</v>
      </c>
      <c r="E435" t="s">
        <v>134</v>
      </c>
      <c r="F435" t="s">
        <v>287</v>
      </c>
      <c r="G435" t="s">
        <v>31</v>
      </c>
      <c r="H435" t="s">
        <v>288</v>
      </c>
      <c r="I435" t="s">
        <v>135</v>
      </c>
      <c r="J435" t="s">
        <v>39</v>
      </c>
      <c r="K435" t="s">
        <v>31</v>
      </c>
      <c r="L435">
        <v>15.196759042494826</v>
      </c>
      <c r="M435">
        <v>1</v>
      </c>
      <c r="N435" s="2">
        <v>1.6936671816670661</v>
      </c>
      <c r="O435" s="2">
        <v>8.7544663803383234</v>
      </c>
      <c r="P435" s="1">
        <v>-1.4152039125174969</v>
      </c>
      <c r="Q435" s="1">
        <v>2.7997804967521378</v>
      </c>
      <c r="R435" s="1">
        <v>-3.6733298826304734</v>
      </c>
      <c r="S435" s="19">
        <v>139.56659037997031</v>
      </c>
      <c r="T435" s="19">
        <v>226.34311584873839</v>
      </c>
      <c r="U435" s="19">
        <v>342.52656429146873</v>
      </c>
      <c r="V435" s="19">
        <v>489.09951665052478</v>
      </c>
      <c r="W435" s="19">
        <v>663.31373102777911</v>
      </c>
      <c r="X435" s="19">
        <v>857.31448492134245</v>
      </c>
      <c r="Y435" s="19">
        <v>1057.1692106028331</v>
      </c>
      <c r="Z435" s="19">
        <v>1242.9136704843756</v>
      </c>
      <c r="AA435" s="19">
        <v>1390.2849590570358</v>
      </c>
      <c r="AB435" s="19">
        <v>1474.5644319017531</v>
      </c>
      <c r="AC435" s="19">
        <v>1476.2783819395331</v>
      </c>
      <c r="AD435" s="19">
        <v>1387.4664202185984</v>
      </c>
      <c r="AE435" s="19">
        <v>1216.233619346348</v>
      </c>
      <c r="AF435" s="19">
        <v>1002.794329509842</v>
      </c>
      <c r="AG435" s="19">
        <v>764.54219439865039</v>
      </c>
      <c r="AH435" s="19">
        <v>432.87504873521078</v>
      </c>
      <c r="AI435" s="19">
        <v>0</v>
      </c>
      <c r="AJ435" s="19">
        <v>0</v>
      </c>
      <c r="AK435" s="19">
        <v>0</v>
      </c>
      <c r="AL435" s="19">
        <v>0</v>
      </c>
      <c r="AM435" s="19">
        <v>0</v>
      </c>
      <c r="AN435" s="19">
        <v>0</v>
      </c>
      <c r="AO435" s="19">
        <v>0</v>
      </c>
      <c r="AP435" s="19">
        <v>0</v>
      </c>
      <c r="AQ435" s="19">
        <v>0</v>
      </c>
      <c r="AR435" s="19">
        <v>14163.286269314003</v>
      </c>
    </row>
    <row r="436" spans="1:44" x14ac:dyDescent="0.25">
      <c r="A436" t="s">
        <v>250</v>
      </c>
      <c r="B436" t="s">
        <v>286</v>
      </c>
      <c r="C436" t="s">
        <v>44</v>
      </c>
      <c r="D436" t="s">
        <v>287</v>
      </c>
      <c r="E436" t="s">
        <v>134</v>
      </c>
      <c r="F436" t="s">
        <v>287</v>
      </c>
      <c r="G436" t="s">
        <v>31</v>
      </c>
      <c r="H436" t="s">
        <v>289</v>
      </c>
      <c r="I436" t="s">
        <v>135</v>
      </c>
      <c r="J436" t="s">
        <v>39</v>
      </c>
      <c r="K436" t="s">
        <v>31</v>
      </c>
      <c r="L436">
        <v>15.196759042494826</v>
      </c>
      <c r="M436">
        <v>1</v>
      </c>
      <c r="N436" s="2">
        <v>1.6936671816670661</v>
      </c>
      <c r="O436" s="2">
        <v>8.7544663803383234</v>
      </c>
      <c r="P436" s="1">
        <v>-1.4152039125174969</v>
      </c>
      <c r="Q436" s="1">
        <v>2.7997804967521378</v>
      </c>
      <c r="R436" s="1">
        <v>-3.6733298826304734</v>
      </c>
      <c r="S436" s="19">
        <v>132.65199419759043</v>
      </c>
      <c r="T436" s="19">
        <v>215.12932005065551</v>
      </c>
      <c r="U436" s="19">
        <v>325.55665145369414</v>
      </c>
      <c r="V436" s="19">
        <v>464.86788899932071</v>
      </c>
      <c r="W436" s="19">
        <v>630.45094789466702</v>
      </c>
      <c r="X436" s="19">
        <v>814.84025488966245</v>
      </c>
      <c r="Y436" s="19">
        <v>1004.7935083100234</v>
      </c>
      <c r="Z436" s="19">
        <v>1181.3355657419645</v>
      </c>
      <c r="AA436" s="19">
        <v>1321.4055872521942</v>
      </c>
      <c r="AB436" s="19">
        <v>1401.5095728288022</v>
      </c>
      <c r="AC436" s="19">
        <v>1403.1386080430866</v>
      </c>
      <c r="AD436" s="19">
        <v>1318.7266882648069</v>
      </c>
      <c r="AE436" s="19">
        <v>1155.9773336670976</v>
      </c>
      <c r="AF436" s="19">
        <v>953.11254088361454</v>
      </c>
      <c r="AG436" s="19">
        <v>726.66421425838405</v>
      </c>
      <c r="AH436" s="19">
        <v>411.42896947452584</v>
      </c>
      <c r="AI436" s="19">
        <v>0</v>
      </c>
      <c r="AJ436" s="19">
        <v>0</v>
      </c>
      <c r="AK436" s="19">
        <v>0</v>
      </c>
      <c r="AL436" s="19">
        <v>0</v>
      </c>
      <c r="AM436" s="19">
        <v>0</v>
      </c>
      <c r="AN436" s="19">
        <v>0</v>
      </c>
      <c r="AO436" s="19">
        <v>0</v>
      </c>
      <c r="AP436" s="19">
        <v>0</v>
      </c>
      <c r="AQ436" s="19">
        <v>0</v>
      </c>
      <c r="AR436" s="19">
        <v>13461.589646210088</v>
      </c>
    </row>
    <row r="437" spans="1:44" x14ac:dyDescent="0.25">
      <c r="A437" t="s">
        <v>250</v>
      </c>
      <c r="B437" t="s">
        <v>286</v>
      </c>
      <c r="C437" t="s">
        <v>44</v>
      </c>
      <c r="D437" t="s">
        <v>287</v>
      </c>
      <c r="E437" t="s">
        <v>134</v>
      </c>
      <c r="F437" t="s">
        <v>287</v>
      </c>
      <c r="G437" t="s">
        <v>31</v>
      </c>
      <c r="H437" t="s">
        <v>290</v>
      </c>
      <c r="I437" t="s">
        <v>135</v>
      </c>
      <c r="J437" t="s">
        <v>39</v>
      </c>
      <c r="K437" t="s">
        <v>31</v>
      </c>
      <c r="L437">
        <v>15.196759042494826</v>
      </c>
      <c r="M437">
        <v>1</v>
      </c>
      <c r="N437" s="2">
        <v>1.6936671816670661</v>
      </c>
      <c r="O437" s="2">
        <v>8.7544663803383234</v>
      </c>
      <c r="P437" s="1">
        <v>-1.4152039125174969</v>
      </c>
      <c r="Q437" s="1">
        <v>2.7997804967521378</v>
      </c>
      <c r="R437" s="1">
        <v>-3.6733298826304734</v>
      </c>
      <c r="S437" s="19">
        <v>192.08912248484401</v>
      </c>
      <c r="T437" s="19">
        <v>311.52190782550798</v>
      </c>
      <c r="U437" s="19">
        <v>471.4282048688587</v>
      </c>
      <c r="V437" s="19">
        <v>673.16036528068582</v>
      </c>
      <c r="W437" s="19">
        <v>912.93591237262001</v>
      </c>
      <c r="X437" s="19">
        <v>1179.9441876006497</v>
      </c>
      <c r="Y437" s="19">
        <v>1455.0094362112964</v>
      </c>
      <c r="Z437" s="19">
        <v>1710.6543595982566</v>
      </c>
      <c r="AA437" s="19">
        <v>1913.4852908713729</v>
      </c>
      <c r="AB437" s="19">
        <v>2029.4813178442471</v>
      </c>
      <c r="AC437" s="19">
        <v>2031.8402717876208</v>
      </c>
      <c r="AD437" s="19">
        <v>1909.6060626786452</v>
      </c>
      <c r="AE437" s="19">
        <v>1673.9339124124226</v>
      </c>
      <c r="AF437" s="19">
        <v>1380.1718754029796</v>
      </c>
      <c r="AG437" s="19">
        <v>1052.2592751234124</v>
      </c>
      <c r="AH437" s="19">
        <v>595.77717010031802</v>
      </c>
      <c r="AI437" s="19">
        <v>0</v>
      </c>
      <c r="AJ437" s="19">
        <v>0</v>
      </c>
      <c r="AK437" s="19">
        <v>0</v>
      </c>
      <c r="AL437" s="19">
        <v>0</v>
      </c>
      <c r="AM437" s="19">
        <v>0</v>
      </c>
      <c r="AN437" s="19">
        <v>0</v>
      </c>
      <c r="AO437" s="19">
        <v>0</v>
      </c>
      <c r="AP437" s="19">
        <v>0</v>
      </c>
      <c r="AQ437" s="19">
        <v>0</v>
      </c>
      <c r="AR437" s="19">
        <v>19493.298672463738</v>
      </c>
    </row>
    <row r="438" spans="1:44" x14ac:dyDescent="0.25">
      <c r="A438" t="s">
        <v>250</v>
      </c>
      <c r="B438" t="s">
        <v>286</v>
      </c>
      <c r="C438" t="s">
        <v>44</v>
      </c>
      <c r="D438" t="s">
        <v>287</v>
      </c>
      <c r="E438" t="s">
        <v>134</v>
      </c>
      <c r="F438" t="s">
        <v>287</v>
      </c>
      <c r="G438" t="s">
        <v>31</v>
      </c>
      <c r="H438" t="s">
        <v>272</v>
      </c>
      <c r="I438" t="s">
        <v>135</v>
      </c>
      <c r="J438" t="s">
        <v>39</v>
      </c>
      <c r="K438" t="s">
        <v>31</v>
      </c>
      <c r="L438">
        <v>15.196759042494826</v>
      </c>
      <c r="M438">
        <v>1</v>
      </c>
      <c r="N438" s="2">
        <v>1.6936671816670661</v>
      </c>
      <c r="O438" s="2">
        <v>8.7544663803383234</v>
      </c>
      <c r="P438" s="1">
        <v>-1.4152039125174969</v>
      </c>
      <c r="Q438" s="1">
        <v>2.7997804967521378</v>
      </c>
      <c r="R438" s="1">
        <v>-3.6733298826304734</v>
      </c>
      <c r="S438" s="19">
        <v>69.863702640794557</v>
      </c>
      <c r="T438" s="19">
        <v>113.12013066191764</v>
      </c>
      <c r="U438" s="19">
        <v>170.91073602874292</v>
      </c>
      <c r="V438" s="19">
        <v>243.65470260853209</v>
      </c>
      <c r="W438" s="19">
        <v>329.91269680861859</v>
      </c>
      <c r="X438" s="19">
        <v>425.71865546934401</v>
      </c>
      <c r="Y438" s="19">
        <v>524.11851826169163</v>
      </c>
      <c r="Z438" s="19">
        <v>615.21716104851009</v>
      </c>
      <c r="AA438" s="19">
        <v>687.05859823527112</v>
      </c>
      <c r="AB438" s="19">
        <v>727.5388458711152</v>
      </c>
      <c r="AC438" s="19">
        <v>727.21557379032799</v>
      </c>
      <c r="AD438" s="19">
        <v>682.36991342833937</v>
      </c>
      <c r="AE438" s="19">
        <v>597.19597382072982</v>
      </c>
      <c r="AF438" s="19">
        <v>491.60264924817074</v>
      </c>
      <c r="AG438" s="19">
        <v>374.20215304712815</v>
      </c>
      <c r="AH438" s="19">
        <v>42.016027116043631</v>
      </c>
      <c r="AI438" s="19">
        <v>0</v>
      </c>
      <c r="AJ438" s="19">
        <v>0</v>
      </c>
      <c r="AK438" s="19">
        <v>0</v>
      </c>
      <c r="AL438" s="19">
        <v>0</v>
      </c>
      <c r="AM438" s="19">
        <v>0</v>
      </c>
      <c r="AN438" s="19">
        <v>0</v>
      </c>
      <c r="AO438" s="19">
        <v>0</v>
      </c>
      <c r="AP438" s="19">
        <v>0</v>
      </c>
      <c r="AQ438" s="19">
        <v>0</v>
      </c>
      <c r="AR438" s="19">
        <v>6821.7160380852774</v>
      </c>
    </row>
    <row r="439" spans="1:44" x14ac:dyDescent="0.25">
      <c r="A439" t="s">
        <v>250</v>
      </c>
      <c r="B439" t="s">
        <v>286</v>
      </c>
      <c r="C439" t="s">
        <v>44</v>
      </c>
      <c r="D439" t="s">
        <v>287</v>
      </c>
      <c r="E439" t="s">
        <v>134</v>
      </c>
      <c r="F439" t="s">
        <v>287</v>
      </c>
      <c r="G439" t="s">
        <v>31</v>
      </c>
      <c r="H439" t="s">
        <v>273</v>
      </c>
      <c r="I439" t="s">
        <v>135</v>
      </c>
      <c r="J439" t="s">
        <v>39</v>
      </c>
      <c r="K439" t="s">
        <v>31</v>
      </c>
      <c r="L439">
        <v>15.196759042494826</v>
      </c>
      <c r="M439">
        <v>1</v>
      </c>
      <c r="N439" s="2">
        <v>1.6936671816670661</v>
      </c>
      <c r="O439" s="2">
        <v>8.7544663803383234</v>
      </c>
      <c r="P439" s="1">
        <v>-1.4152039125174969</v>
      </c>
      <c r="Q439" s="1">
        <v>2.7997804967521378</v>
      </c>
      <c r="R439" s="1">
        <v>-3.6733298826304734</v>
      </c>
      <c r="S439" s="19">
        <v>21.011966000316921</v>
      </c>
      <c r="T439" s="19">
        <v>34.021619948206457</v>
      </c>
      <c r="U439" s="19">
        <v>51.402522895031083</v>
      </c>
      <c r="V439" s="19">
        <v>73.280747133467159</v>
      </c>
      <c r="W439" s="19">
        <v>99.22340366151424</v>
      </c>
      <c r="X439" s="19">
        <v>128.03767301619152</v>
      </c>
      <c r="Y439" s="19">
        <v>157.63207602198591</v>
      </c>
      <c r="Z439" s="19">
        <v>185.03058930653569</v>
      </c>
      <c r="AA439" s="19">
        <v>206.63737192072665</v>
      </c>
      <c r="AB439" s="19">
        <v>218.81207144076183</v>
      </c>
      <c r="AC439" s="19">
        <v>218.71484524584815</v>
      </c>
      <c r="AD439" s="19">
        <v>205.2272192659785</v>
      </c>
      <c r="AE439" s="19">
        <v>179.61059925444306</v>
      </c>
      <c r="AF439" s="19">
        <v>147.85271551921298</v>
      </c>
      <c r="AG439" s="19">
        <v>112.54374760951288</v>
      </c>
      <c r="AH439" s="19">
        <v>12.636595254187664</v>
      </c>
      <c r="AI439" s="19">
        <v>0</v>
      </c>
      <c r="AJ439" s="19">
        <v>0</v>
      </c>
      <c r="AK439" s="19">
        <v>0</v>
      </c>
      <c r="AL439" s="19">
        <v>0</v>
      </c>
      <c r="AM439" s="19">
        <v>0</v>
      </c>
      <c r="AN439" s="19">
        <v>0</v>
      </c>
      <c r="AO439" s="19">
        <v>0</v>
      </c>
      <c r="AP439" s="19">
        <v>0</v>
      </c>
      <c r="AQ439" s="19">
        <v>0</v>
      </c>
      <c r="AR439" s="19">
        <v>2051.6757634939208</v>
      </c>
    </row>
    <row r="440" spans="1:44" x14ac:dyDescent="0.25">
      <c r="A440" t="s">
        <v>250</v>
      </c>
      <c r="B440" t="s">
        <v>286</v>
      </c>
      <c r="C440" t="s">
        <v>44</v>
      </c>
      <c r="D440" t="s">
        <v>287</v>
      </c>
      <c r="E440" t="s">
        <v>134</v>
      </c>
      <c r="F440" t="s">
        <v>287</v>
      </c>
      <c r="G440" t="s">
        <v>31</v>
      </c>
      <c r="H440" t="s">
        <v>274</v>
      </c>
      <c r="I440" t="s">
        <v>135</v>
      </c>
      <c r="J440" t="s">
        <v>39</v>
      </c>
      <c r="K440" t="s">
        <v>31</v>
      </c>
      <c r="L440">
        <v>15.196759042494826</v>
      </c>
      <c r="M440">
        <v>1</v>
      </c>
      <c r="N440" s="2">
        <v>1.6936671816670661</v>
      </c>
      <c r="O440" s="2">
        <v>8.7544663803383234</v>
      </c>
      <c r="P440" s="1">
        <v>-1.4152039125174969</v>
      </c>
      <c r="Q440" s="1">
        <v>2.7997804967521378</v>
      </c>
      <c r="R440" s="1">
        <v>-3.6733298826304734</v>
      </c>
      <c r="S440" s="19">
        <v>33.07659710631799</v>
      </c>
      <c r="T440" s="19">
        <v>53.556122064642757</v>
      </c>
      <c r="U440" s="19">
        <v>80.916775708735969</v>
      </c>
      <c r="V440" s="19">
        <v>115.35701840308997</v>
      </c>
      <c r="W440" s="19">
        <v>156.19540534093585</v>
      </c>
      <c r="X440" s="19">
        <v>201.55422508884581</v>
      </c>
      <c r="Y440" s="19">
        <v>248.14111490248359</v>
      </c>
      <c r="Z440" s="19">
        <v>291.27128107596235</v>
      </c>
      <c r="AA440" s="19">
        <v>325.28422604658584</v>
      </c>
      <c r="AB440" s="19">
        <v>344.44938321981812</v>
      </c>
      <c r="AC440" s="19">
        <v>344.29633177868726</v>
      </c>
      <c r="AD440" s="19">
        <v>323.0643932513679</v>
      </c>
      <c r="AE440" s="19">
        <v>282.73924617401099</v>
      </c>
      <c r="AF440" s="19">
        <v>232.7466502768136</v>
      </c>
      <c r="AG440" s="19">
        <v>177.16401199482485</v>
      </c>
      <c r="AH440" s="19">
        <v>19.892263770658037</v>
      </c>
      <c r="AI440" s="19">
        <v>0</v>
      </c>
      <c r="AJ440" s="19">
        <v>0</v>
      </c>
      <c r="AK440" s="19">
        <v>0</v>
      </c>
      <c r="AL440" s="19">
        <v>0</v>
      </c>
      <c r="AM440" s="19">
        <v>0</v>
      </c>
      <c r="AN440" s="19">
        <v>0</v>
      </c>
      <c r="AO440" s="19">
        <v>0</v>
      </c>
      <c r="AP440" s="19">
        <v>0</v>
      </c>
      <c r="AQ440" s="19">
        <v>0</v>
      </c>
      <c r="AR440" s="19">
        <v>3229.705046203781</v>
      </c>
    </row>
    <row r="441" spans="1:44" x14ac:dyDescent="0.25">
      <c r="A441" t="s">
        <v>250</v>
      </c>
      <c r="B441" t="s">
        <v>286</v>
      </c>
      <c r="C441" t="s">
        <v>44</v>
      </c>
      <c r="D441" t="s">
        <v>287</v>
      </c>
      <c r="E441" t="s">
        <v>134</v>
      </c>
      <c r="F441" t="s">
        <v>287</v>
      </c>
      <c r="G441" t="s">
        <v>31</v>
      </c>
      <c r="H441" t="s">
        <v>275</v>
      </c>
      <c r="I441" t="s">
        <v>135</v>
      </c>
      <c r="J441" t="s">
        <v>39</v>
      </c>
      <c r="K441" t="s">
        <v>31</v>
      </c>
      <c r="L441">
        <v>15.196759042494826</v>
      </c>
      <c r="M441">
        <v>1</v>
      </c>
      <c r="N441" s="2">
        <v>1.6936671816670661</v>
      </c>
      <c r="O441" s="2">
        <v>8.7544663803383234</v>
      </c>
      <c r="P441" s="1">
        <v>-1.4152039125174969</v>
      </c>
      <c r="Q441" s="1">
        <v>2.7997804967521378</v>
      </c>
      <c r="R441" s="1">
        <v>-3.6733298826304734</v>
      </c>
      <c r="S441" s="19">
        <v>50.53070060043315</v>
      </c>
      <c r="T441" s="19">
        <v>81.817012816345482</v>
      </c>
      <c r="U441" s="19">
        <v>123.61553861626037</v>
      </c>
      <c r="V441" s="19">
        <v>176.22946339820979</v>
      </c>
      <c r="W441" s="19">
        <v>238.61775251779275</v>
      </c>
      <c r="X441" s="19">
        <v>307.91184987924265</v>
      </c>
      <c r="Y441" s="19">
        <v>379.08205440516849</v>
      </c>
      <c r="Z441" s="19">
        <v>444.97146578426992</v>
      </c>
      <c r="AA441" s="19">
        <v>496.93261321806369</v>
      </c>
      <c r="AB441" s="19">
        <v>526.21098233106625</v>
      </c>
      <c r="AC441" s="19">
        <v>525.977167573055</v>
      </c>
      <c r="AD441" s="19">
        <v>493.54140262896857</v>
      </c>
      <c r="AE441" s="19">
        <v>431.93718357690847</v>
      </c>
      <c r="AF441" s="19">
        <v>355.56412478250184</v>
      </c>
      <c r="AG441" s="19">
        <v>270.65122867708993</v>
      </c>
      <c r="AH441" s="19">
        <v>30.38916069960408</v>
      </c>
      <c r="AI441" s="19">
        <v>0</v>
      </c>
      <c r="AJ441" s="19">
        <v>0</v>
      </c>
      <c r="AK441" s="19">
        <v>0</v>
      </c>
      <c r="AL441" s="19">
        <v>0</v>
      </c>
      <c r="AM441" s="19">
        <v>0</v>
      </c>
      <c r="AN441" s="19">
        <v>0</v>
      </c>
      <c r="AO441" s="19">
        <v>0</v>
      </c>
      <c r="AP441" s="19">
        <v>0</v>
      </c>
      <c r="AQ441" s="19">
        <v>0</v>
      </c>
      <c r="AR441" s="19">
        <v>4933.9797015049799</v>
      </c>
    </row>
    <row r="442" spans="1:44" x14ac:dyDescent="0.25">
      <c r="A442" t="s">
        <v>250</v>
      </c>
      <c r="B442" t="s">
        <v>286</v>
      </c>
      <c r="C442" t="s">
        <v>44</v>
      </c>
      <c r="D442" t="s">
        <v>287</v>
      </c>
      <c r="E442" t="s">
        <v>134</v>
      </c>
      <c r="F442" t="s">
        <v>287</v>
      </c>
      <c r="G442" t="s">
        <v>31</v>
      </c>
      <c r="H442" t="s">
        <v>276</v>
      </c>
      <c r="I442" t="s">
        <v>135</v>
      </c>
      <c r="J442" t="s">
        <v>39</v>
      </c>
      <c r="K442" t="s">
        <v>31</v>
      </c>
      <c r="L442">
        <v>15.196759042494826</v>
      </c>
      <c r="M442">
        <v>1</v>
      </c>
      <c r="N442" s="2">
        <v>1.6936671816670661</v>
      </c>
      <c r="O442" s="2">
        <v>8.7544663803383234</v>
      </c>
      <c r="P442" s="1">
        <v>-1.4152039125174969</v>
      </c>
      <c r="Q442" s="1">
        <v>2.7997804967521378</v>
      </c>
      <c r="R442" s="1">
        <v>-3.6733298826304734</v>
      </c>
      <c r="S442" s="19">
        <v>81.095830339928781</v>
      </c>
      <c r="T442" s="19">
        <v>131.63646482315144</v>
      </c>
      <c r="U442" s="19">
        <v>199.38617552441303</v>
      </c>
      <c r="V442" s="19">
        <v>284.96392414699</v>
      </c>
      <c r="W442" s="19">
        <v>386.81517282254646</v>
      </c>
      <c r="X442" s="19">
        <v>500.39912219773419</v>
      </c>
      <c r="Y442" s="19">
        <v>617.60776566690947</v>
      </c>
      <c r="Z442" s="19">
        <v>726.77682617529115</v>
      </c>
      <c r="AA442" s="19">
        <v>813.68403502336309</v>
      </c>
      <c r="AB442" s="19">
        <v>863.78884048134444</v>
      </c>
      <c r="AC442" s="19">
        <v>865.57351516365054</v>
      </c>
      <c r="AD442" s="19">
        <v>814.23552110955779</v>
      </c>
      <c r="AE442" s="19">
        <v>714.39175233794776</v>
      </c>
      <c r="AF442" s="19">
        <v>589.55341815392273</v>
      </c>
      <c r="AG442" s="19">
        <v>449.8882133932583</v>
      </c>
      <c r="AH442" s="19">
        <v>310.80700256201476</v>
      </c>
      <c r="AI442" s="19">
        <v>59.199620233049245</v>
      </c>
      <c r="AJ442" s="19">
        <v>0</v>
      </c>
      <c r="AK442" s="19">
        <v>0</v>
      </c>
      <c r="AL442" s="19">
        <v>0</v>
      </c>
      <c r="AM442" s="19">
        <v>0</v>
      </c>
      <c r="AN442" s="19">
        <v>0</v>
      </c>
      <c r="AO442" s="19">
        <v>0</v>
      </c>
      <c r="AP442" s="19">
        <v>0</v>
      </c>
      <c r="AQ442" s="19">
        <v>0</v>
      </c>
      <c r="AR442" s="19">
        <v>8409.8032001550746</v>
      </c>
    </row>
    <row r="443" spans="1:44" x14ac:dyDescent="0.25">
      <c r="A443" t="s">
        <v>250</v>
      </c>
      <c r="B443" t="s">
        <v>286</v>
      </c>
      <c r="C443" t="s">
        <v>44</v>
      </c>
      <c r="D443" t="s">
        <v>287</v>
      </c>
      <c r="E443" t="s">
        <v>134</v>
      </c>
      <c r="F443" t="s">
        <v>287</v>
      </c>
      <c r="G443" t="s">
        <v>31</v>
      </c>
      <c r="H443" t="s">
        <v>277</v>
      </c>
      <c r="I443" t="s">
        <v>135</v>
      </c>
      <c r="J443" t="s">
        <v>39</v>
      </c>
      <c r="K443" t="s">
        <v>31</v>
      </c>
      <c r="L443">
        <v>15.196759042494826</v>
      </c>
      <c r="M443">
        <v>1</v>
      </c>
      <c r="N443" s="2">
        <v>1.6936671816670661</v>
      </c>
      <c r="O443" s="2">
        <v>8.7544663803383234</v>
      </c>
      <c r="P443" s="1">
        <v>-1.4152039125174969</v>
      </c>
      <c r="Q443" s="1">
        <v>2.7997804967521378</v>
      </c>
      <c r="R443" s="1">
        <v>-3.6733298826304734</v>
      </c>
      <c r="S443" s="19">
        <v>256.20379896926841</v>
      </c>
      <c r="T443" s="19">
        <v>414.78353181081314</v>
      </c>
      <c r="U443" s="19">
        <v>626.61183356073809</v>
      </c>
      <c r="V443" s="19">
        <v>893.20611218965109</v>
      </c>
      <c r="W443" s="19">
        <v>1209.2707799375271</v>
      </c>
      <c r="X443" s="19">
        <v>1560.2523726100312</v>
      </c>
      <c r="Y443" s="19">
        <v>1920.6547958247563</v>
      </c>
      <c r="Z443" s="19">
        <v>2254.2178916264556</v>
      </c>
      <c r="AA443" s="19">
        <v>2517.1486920927891</v>
      </c>
      <c r="AB443" s="19">
        <v>2665.1331992027472</v>
      </c>
      <c r="AC443" s="19">
        <v>2663.6278320115284</v>
      </c>
      <c r="AD443" s="19">
        <v>2499.0669082939967</v>
      </c>
      <c r="AE443" s="19">
        <v>2186.8677780516582</v>
      </c>
      <c r="AF443" s="19">
        <v>1799.9792962235877</v>
      </c>
      <c r="AG443" s="19">
        <v>1369.9578894876679</v>
      </c>
      <c r="AH443" s="19">
        <v>107.29769484430388</v>
      </c>
      <c r="AI443" s="19">
        <v>0</v>
      </c>
      <c r="AJ443" s="19">
        <v>0</v>
      </c>
      <c r="AK443" s="19">
        <v>0</v>
      </c>
      <c r="AL443" s="19">
        <v>0</v>
      </c>
      <c r="AM443" s="19">
        <v>0</v>
      </c>
      <c r="AN443" s="19">
        <v>0</v>
      </c>
      <c r="AO443" s="19">
        <v>0</v>
      </c>
      <c r="AP443" s="19">
        <v>0</v>
      </c>
      <c r="AQ443" s="19">
        <v>0</v>
      </c>
      <c r="AR443" s="19">
        <v>24944.280406737518</v>
      </c>
    </row>
    <row r="444" spans="1:44" x14ac:dyDescent="0.25">
      <c r="A444" t="s">
        <v>250</v>
      </c>
      <c r="B444" t="s">
        <v>286</v>
      </c>
      <c r="C444" t="s">
        <v>44</v>
      </c>
      <c r="D444" t="s">
        <v>287</v>
      </c>
      <c r="E444" t="s">
        <v>134</v>
      </c>
      <c r="F444" t="s">
        <v>287</v>
      </c>
      <c r="G444" t="s">
        <v>31</v>
      </c>
      <c r="H444" t="s">
        <v>278</v>
      </c>
      <c r="I444" t="s">
        <v>135</v>
      </c>
      <c r="J444" t="s">
        <v>39</v>
      </c>
      <c r="K444" t="s">
        <v>31</v>
      </c>
      <c r="L444">
        <v>15.196759042494826</v>
      </c>
      <c r="M444">
        <v>1</v>
      </c>
      <c r="N444" s="2">
        <v>1.6936671816670661</v>
      </c>
      <c r="O444" s="2">
        <v>8.7544663803383234</v>
      </c>
      <c r="P444" s="1">
        <v>-1.4152039125174969</v>
      </c>
      <c r="Q444" s="1">
        <v>2.7997804967521378</v>
      </c>
      <c r="R444" s="1">
        <v>-3.6733298826304734</v>
      </c>
      <c r="S444" s="19">
        <v>52.259315173408751</v>
      </c>
      <c r="T444" s="19">
        <v>84.241876403051009</v>
      </c>
      <c r="U444" s="19">
        <v>126.71659550580868</v>
      </c>
      <c r="V444" s="19">
        <v>179.85187409902028</v>
      </c>
      <c r="W444" s="19">
        <v>242.4461085502092</v>
      </c>
      <c r="X444" s="19">
        <v>311.46904253714735</v>
      </c>
      <c r="Y444" s="19">
        <v>381.76642282235088</v>
      </c>
      <c r="Z444" s="19">
        <v>446.14156195938585</v>
      </c>
      <c r="AA444" s="19">
        <v>496.03696224337995</v>
      </c>
      <c r="AB444" s="19">
        <v>522.9407255102343</v>
      </c>
      <c r="AC444" s="19">
        <v>520.39781853741783</v>
      </c>
      <c r="AD444" s="19">
        <v>486.14764290890031</v>
      </c>
      <c r="AE444" s="19">
        <v>423.585615619458</v>
      </c>
      <c r="AF444" s="19">
        <v>314.07003947192646</v>
      </c>
      <c r="AG444" s="19">
        <v>0</v>
      </c>
      <c r="AH444" s="19">
        <v>0</v>
      </c>
      <c r="AI444" s="19">
        <v>0</v>
      </c>
      <c r="AJ444" s="19">
        <v>0</v>
      </c>
      <c r="AK444" s="19">
        <v>0</v>
      </c>
      <c r="AL444" s="19">
        <v>0</v>
      </c>
      <c r="AM444" s="19">
        <v>0</v>
      </c>
      <c r="AN444" s="19">
        <v>0</v>
      </c>
      <c r="AO444" s="19">
        <v>0</v>
      </c>
      <c r="AP444" s="19">
        <v>0</v>
      </c>
      <c r="AQ444" s="19">
        <v>0</v>
      </c>
      <c r="AR444" s="19">
        <v>4588.0716013416986</v>
      </c>
    </row>
    <row r="445" spans="1:44" x14ac:dyDescent="0.25">
      <c r="A445" t="s">
        <v>250</v>
      </c>
      <c r="B445" t="s">
        <v>286</v>
      </c>
      <c r="C445" t="s">
        <v>44</v>
      </c>
      <c r="D445" t="s">
        <v>287</v>
      </c>
      <c r="E445" t="s">
        <v>134</v>
      </c>
      <c r="F445" t="s">
        <v>287</v>
      </c>
      <c r="G445" t="s">
        <v>31</v>
      </c>
      <c r="H445" t="s">
        <v>252</v>
      </c>
      <c r="I445" t="s">
        <v>135</v>
      </c>
      <c r="J445" t="s">
        <v>39</v>
      </c>
      <c r="K445" t="s">
        <v>31</v>
      </c>
      <c r="L445">
        <v>15.196759042494826</v>
      </c>
      <c r="M445">
        <v>1</v>
      </c>
      <c r="N445" s="2">
        <v>1.6936671816670661</v>
      </c>
      <c r="O445" s="2">
        <v>8.7544663803383234</v>
      </c>
      <c r="P445" s="1">
        <v>-1.4152039125174969</v>
      </c>
      <c r="Q445" s="1">
        <v>2.7997804967521378</v>
      </c>
      <c r="R445" s="1">
        <v>-3.6733298826304734</v>
      </c>
      <c r="S445" s="19">
        <v>13.565550995495917</v>
      </c>
      <c r="T445" s="19">
        <v>21.984582960925049</v>
      </c>
      <c r="U445" s="19">
        <v>33.246059050568242</v>
      </c>
      <c r="V445" s="19">
        <v>47.439283296801328</v>
      </c>
      <c r="W445" s="19">
        <v>64.291690465816956</v>
      </c>
      <c r="X445" s="19">
        <v>83.036873933438628</v>
      </c>
      <c r="Y445" s="19">
        <v>102.32230329749147</v>
      </c>
      <c r="Z445" s="19">
        <v>120.21585188027444</v>
      </c>
      <c r="AA445" s="19">
        <v>134.37533807369292</v>
      </c>
      <c r="AB445" s="19">
        <v>142.42114455437792</v>
      </c>
      <c r="AC445" s="19">
        <v>142.48657579888376</v>
      </c>
      <c r="AD445" s="19">
        <v>133.82065233957826</v>
      </c>
      <c r="AE445" s="19">
        <v>117.22294761603465</v>
      </c>
      <c r="AF445" s="19">
        <v>96.583396754851009</v>
      </c>
      <c r="AG445" s="19">
        <v>73.584617437009086</v>
      </c>
      <c r="AH445" s="19">
        <v>27.031136742713219</v>
      </c>
      <c r="AI445" s="19">
        <v>0</v>
      </c>
      <c r="AJ445" s="19">
        <v>0</v>
      </c>
      <c r="AK445" s="19">
        <v>0</v>
      </c>
      <c r="AL445" s="19">
        <v>0</v>
      </c>
      <c r="AM445" s="19">
        <v>0</v>
      </c>
      <c r="AN445" s="19">
        <v>0</v>
      </c>
      <c r="AO445" s="19">
        <v>0</v>
      </c>
      <c r="AP445" s="19">
        <v>0</v>
      </c>
      <c r="AQ445" s="19">
        <v>0</v>
      </c>
      <c r="AR445" s="19">
        <v>1353.6280051979527</v>
      </c>
    </row>
    <row r="446" spans="1:44" x14ac:dyDescent="0.25">
      <c r="A446" t="s">
        <v>250</v>
      </c>
      <c r="B446" t="s">
        <v>286</v>
      </c>
      <c r="C446" t="s">
        <v>44</v>
      </c>
      <c r="D446" t="s">
        <v>287</v>
      </c>
      <c r="E446" t="s">
        <v>134</v>
      </c>
      <c r="F446" t="s">
        <v>287</v>
      </c>
      <c r="G446" t="s">
        <v>31</v>
      </c>
      <c r="H446" t="s">
        <v>253</v>
      </c>
      <c r="I446" t="s">
        <v>135</v>
      </c>
      <c r="J446" t="s">
        <v>39</v>
      </c>
      <c r="K446" t="s">
        <v>31</v>
      </c>
      <c r="L446">
        <v>15.196759042494826</v>
      </c>
      <c r="M446">
        <v>1</v>
      </c>
      <c r="N446" s="2">
        <v>1.6936671816670661</v>
      </c>
      <c r="O446" s="2">
        <v>8.7544663803383234</v>
      </c>
      <c r="P446" s="1">
        <v>-1.4152039125174969</v>
      </c>
      <c r="Q446" s="1">
        <v>2.7997804967521378</v>
      </c>
      <c r="R446" s="1">
        <v>-3.6733298826304734</v>
      </c>
      <c r="S446" s="19">
        <v>0.66659842244926182</v>
      </c>
      <c r="T446" s="19">
        <v>1.0798680127117937</v>
      </c>
      <c r="U446" s="19">
        <v>1.6323685515254676</v>
      </c>
      <c r="V446" s="19">
        <v>2.3283151741610046</v>
      </c>
      <c r="W446" s="19">
        <v>3.1541627358610276</v>
      </c>
      <c r="X446" s="19">
        <v>4.072169479009367</v>
      </c>
      <c r="Y446" s="19">
        <v>5.0159218707137523</v>
      </c>
      <c r="Z446" s="19">
        <v>5.8907120750369266</v>
      </c>
      <c r="AA446" s="19">
        <v>6.5818992400955239</v>
      </c>
      <c r="AB446" s="19">
        <v>6.9731937674917432</v>
      </c>
      <c r="AC446" s="19">
        <v>6.9735964757871498</v>
      </c>
      <c r="AD446" s="19">
        <v>6.5468382094171185</v>
      </c>
      <c r="AE446" s="19">
        <v>5.7325348753247871</v>
      </c>
      <c r="AF446" s="19">
        <v>4.7213059557237615</v>
      </c>
      <c r="AG446" s="19">
        <v>3.5956077539393423</v>
      </c>
      <c r="AH446" s="19">
        <v>0.9129403957433474</v>
      </c>
      <c r="AI446" s="19">
        <v>0</v>
      </c>
      <c r="AJ446" s="19">
        <v>0</v>
      </c>
      <c r="AK446" s="19">
        <v>0</v>
      </c>
      <c r="AL446" s="19">
        <v>0</v>
      </c>
      <c r="AM446" s="19">
        <v>0</v>
      </c>
      <c r="AN446" s="19">
        <v>0</v>
      </c>
      <c r="AO446" s="19">
        <v>0</v>
      </c>
      <c r="AP446" s="19">
        <v>0</v>
      </c>
      <c r="AQ446" s="19">
        <v>0</v>
      </c>
      <c r="AR446" s="19">
        <v>65.878032994991386</v>
      </c>
    </row>
    <row r="447" spans="1:44" x14ac:dyDescent="0.25">
      <c r="A447" t="s">
        <v>250</v>
      </c>
      <c r="B447" t="s">
        <v>286</v>
      </c>
      <c r="C447" t="s">
        <v>44</v>
      </c>
      <c r="D447" t="s">
        <v>287</v>
      </c>
      <c r="E447" t="s">
        <v>134</v>
      </c>
      <c r="F447" t="s">
        <v>287</v>
      </c>
      <c r="G447" t="s">
        <v>31</v>
      </c>
      <c r="H447" t="s">
        <v>254</v>
      </c>
      <c r="I447" t="s">
        <v>135</v>
      </c>
      <c r="J447" t="s">
        <v>39</v>
      </c>
      <c r="K447" t="s">
        <v>31</v>
      </c>
      <c r="L447">
        <v>15.196759042494826</v>
      </c>
      <c r="M447">
        <v>1</v>
      </c>
      <c r="N447" s="2">
        <v>1.6936671816670661</v>
      </c>
      <c r="O447" s="2">
        <v>8.7544663803383234</v>
      </c>
      <c r="P447" s="1">
        <v>-1.4152039125174969</v>
      </c>
      <c r="Q447" s="1">
        <v>2.7997804967521378</v>
      </c>
      <c r="R447" s="1">
        <v>-3.6733298826304734</v>
      </c>
      <c r="S447" s="19">
        <v>6.5862747482529809</v>
      </c>
      <c r="T447" s="19">
        <v>10.665410793272276</v>
      </c>
      <c r="U447" s="19">
        <v>16.115971052354571</v>
      </c>
      <c r="V447" s="19">
        <v>22.977955109778847</v>
      </c>
      <c r="W447" s="19">
        <v>31.116092465120772</v>
      </c>
      <c r="X447" s="19">
        <v>40.156712386376078</v>
      </c>
      <c r="Y447" s="19">
        <v>49.444093322214243</v>
      </c>
      <c r="Z447" s="19">
        <v>58.044730468712459</v>
      </c>
      <c r="AA447" s="19">
        <v>64.830232820425906</v>
      </c>
      <c r="AB447" s="19">
        <v>68.657728942063272</v>
      </c>
      <c r="AC447" s="19">
        <v>68.635035500340408</v>
      </c>
      <c r="AD447" s="19">
        <v>64.409808257674243</v>
      </c>
      <c r="AE447" s="19">
        <v>56.376544383185546</v>
      </c>
      <c r="AF447" s="19">
        <v>46.413598420051336</v>
      </c>
      <c r="AG447" s="19">
        <v>35.333507586871796</v>
      </c>
      <c r="AH447" s="19">
        <v>5.1009301320243265</v>
      </c>
      <c r="AI447" s="19">
        <v>0</v>
      </c>
      <c r="AJ447" s="19">
        <v>0</v>
      </c>
      <c r="AK447" s="19">
        <v>0</v>
      </c>
      <c r="AL447" s="19">
        <v>0</v>
      </c>
      <c r="AM447" s="19">
        <v>0</v>
      </c>
      <c r="AN447" s="19">
        <v>0</v>
      </c>
      <c r="AO447" s="19">
        <v>0</v>
      </c>
      <c r="AP447" s="19">
        <v>0</v>
      </c>
      <c r="AQ447" s="19">
        <v>0</v>
      </c>
      <c r="AR447" s="19">
        <v>644.86462638871899</v>
      </c>
    </row>
    <row r="448" spans="1:44" x14ac:dyDescent="0.25">
      <c r="A448" t="s">
        <v>250</v>
      </c>
      <c r="B448" t="s">
        <v>286</v>
      </c>
      <c r="C448" t="s">
        <v>44</v>
      </c>
      <c r="D448" t="s">
        <v>287</v>
      </c>
      <c r="E448" t="s">
        <v>134</v>
      </c>
      <c r="F448" t="s">
        <v>287</v>
      </c>
      <c r="G448" t="s">
        <v>31</v>
      </c>
      <c r="H448" t="s">
        <v>255</v>
      </c>
      <c r="I448" t="s">
        <v>135</v>
      </c>
      <c r="J448" t="s">
        <v>39</v>
      </c>
      <c r="K448" t="s">
        <v>31</v>
      </c>
      <c r="L448">
        <v>15.196759042494826</v>
      </c>
      <c r="M448">
        <v>1</v>
      </c>
      <c r="N448" s="2">
        <v>1.6936671816670661</v>
      </c>
      <c r="O448" s="2">
        <v>8.7544663803383234</v>
      </c>
      <c r="P448" s="1">
        <v>-1.4152039125174969</v>
      </c>
      <c r="Q448" s="1">
        <v>2.7997804967521378</v>
      </c>
      <c r="R448" s="1">
        <v>-3.6733298826304734</v>
      </c>
      <c r="S448" s="19">
        <v>1.3807382628690086</v>
      </c>
      <c r="T448" s="19">
        <v>2.2257463898945193</v>
      </c>
      <c r="U448" s="19">
        <v>3.3479667954851378</v>
      </c>
      <c r="V448" s="19">
        <v>4.7518488023274861</v>
      </c>
      <c r="W448" s="19">
        <v>6.4056449581892183</v>
      </c>
      <c r="X448" s="19">
        <v>8.2292931566971923</v>
      </c>
      <c r="Y448" s="19">
        <v>10.08661337639694</v>
      </c>
      <c r="Z448" s="19">
        <v>11.787462641051064</v>
      </c>
      <c r="AA448" s="19">
        <v>13.105744139472431</v>
      </c>
      <c r="AB448" s="19">
        <v>13.816565841487716</v>
      </c>
      <c r="AC448" s="19">
        <v>13.749379944683804</v>
      </c>
      <c r="AD448" s="19">
        <v>12.84445939906707</v>
      </c>
      <c r="AE448" s="19">
        <v>11.191514185480685</v>
      </c>
      <c r="AF448" s="19">
        <v>8.2980138427134023</v>
      </c>
      <c r="AG448" s="19">
        <v>0</v>
      </c>
      <c r="AH448" s="19">
        <v>0</v>
      </c>
      <c r="AI448" s="19">
        <v>0</v>
      </c>
      <c r="AJ448" s="19">
        <v>0</v>
      </c>
      <c r="AK448" s="19">
        <v>0</v>
      </c>
      <c r="AL448" s="19">
        <v>0</v>
      </c>
      <c r="AM448" s="19">
        <v>0</v>
      </c>
      <c r="AN448" s="19">
        <v>0</v>
      </c>
      <c r="AO448" s="19">
        <v>0</v>
      </c>
      <c r="AP448" s="19">
        <v>0</v>
      </c>
      <c r="AQ448" s="19">
        <v>0</v>
      </c>
      <c r="AR448" s="19">
        <v>121.22099173581566</v>
      </c>
    </row>
    <row r="449" spans="1:44" x14ac:dyDescent="0.25">
      <c r="A449" t="s">
        <v>250</v>
      </c>
      <c r="B449" t="s">
        <v>286</v>
      </c>
      <c r="C449" t="s">
        <v>44</v>
      </c>
      <c r="D449" t="s">
        <v>287</v>
      </c>
      <c r="E449" t="s">
        <v>134</v>
      </c>
      <c r="F449" t="s">
        <v>287</v>
      </c>
      <c r="G449" t="s">
        <v>31</v>
      </c>
      <c r="H449" t="s">
        <v>288</v>
      </c>
      <c r="I449" t="s">
        <v>135</v>
      </c>
      <c r="J449" t="s">
        <v>39</v>
      </c>
      <c r="K449" t="s">
        <v>33</v>
      </c>
      <c r="L449">
        <v>15.196759042494826</v>
      </c>
      <c r="M449">
        <v>1</v>
      </c>
      <c r="N449" s="2">
        <v>1.6936671816670661</v>
      </c>
      <c r="O449" s="2">
        <v>8.7544663803383234</v>
      </c>
      <c r="P449" s="1">
        <v>-1.4152039125174969</v>
      </c>
      <c r="Q449" s="1">
        <v>2.7997804967521378</v>
      </c>
      <c r="R449" s="1">
        <v>-3.6733298826304734</v>
      </c>
      <c r="S449" s="19">
        <v>1.3129187391197266</v>
      </c>
      <c r="T449" s="19">
        <v>2.1292353525260563</v>
      </c>
      <c r="U449" s="19">
        <v>3.2221862243695436</v>
      </c>
      <c r="V449" s="19">
        <v>4.6010146049754885</v>
      </c>
      <c r="W449" s="19">
        <v>6.2398674712252324</v>
      </c>
      <c r="X449" s="19">
        <v>8.0648545580113531</v>
      </c>
      <c r="Y449" s="19">
        <v>9.9449106211027889</v>
      </c>
      <c r="Z449" s="19">
        <v>11.692229814057349</v>
      </c>
      <c r="AA449" s="19">
        <v>13.078568233936334</v>
      </c>
      <c r="AB449" s="19">
        <v>13.871394790203928</v>
      </c>
      <c r="AC449" s="19">
        <v>13.887518112529072</v>
      </c>
      <c r="AD449" s="19">
        <v>13.052053919530245</v>
      </c>
      <c r="AE449" s="19">
        <v>11.441247548140955</v>
      </c>
      <c r="AF449" s="19">
        <v>9.433399949888166</v>
      </c>
      <c r="AG449" s="19">
        <v>7.1921351029706164</v>
      </c>
      <c r="AH449" s="19">
        <v>4.0721046608256195</v>
      </c>
      <c r="AI449" s="19">
        <v>0</v>
      </c>
      <c r="AJ449" s="19">
        <v>0</v>
      </c>
      <c r="AK449" s="19">
        <v>0</v>
      </c>
      <c r="AL449" s="19">
        <v>0</v>
      </c>
      <c r="AM449" s="19">
        <v>0</v>
      </c>
      <c r="AN449" s="19">
        <v>0</v>
      </c>
      <c r="AO449" s="19">
        <v>0</v>
      </c>
      <c r="AP449" s="19">
        <v>0</v>
      </c>
      <c r="AQ449" s="19">
        <v>0</v>
      </c>
      <c r="AR449" s="19">
        <v>133.23563970341249</v>
      </c>
    </row>
    <row r="450" spans="1:44" x14ac:dyDescent="0.25">
      <c r="A450" t="s">
        <v>250</v>
      </c>
      <c r="B450" t="s">
        <v>286</v>
      </c>
      <c r="C450" t="s">
        <v>44</v>
      </c>
      <c r="D450" t="s">
        <v>287</v>
      </c>
      <c r="E450" t="s">
        <v>134</v>
      </c>
      <c r="F450" t="s">
        <v>287</v>
      </c>
      <c r="G450" t="s">
        <v>31</v>
      </c>
      <c r="H450" t="s">
        <v>274</v>
      </c>
      <c r="I450" t="s">
        <v>135</v>
      </c>
      <c r="J450" t="s">
        <v>39</v>
      </c>
      <c r="K450" t="s">
        <v>33</v>
      </c>
      <c r="L450">
        <v>15.196759042494826</v>
      </c>
      <c r="M450">
        <v>1</v>
      </c>
      <c r="N450" s="2">
        <v>1.6936671816670661</v>
      </c>
      <c r="O450" s="2">
        <v>8.7544663803383234</v>
      </c>
      <c r="P450" s="1">
        <v>-1.4152039125174969</v>
      </c>
      <c r="Q450" s="1">
        <v>2.7997804967521378</v>
      </c>
      <c r="R450" s="1">
        <v>-3.6733298826304734</v>
      </c>
      <c r="S450" s="19">
        <v>0.10642337643984535</v>
      </c>
      <c r="T450" s="19">
        <v>0.17231589213435425</v>
      </c>
      <c r="U450" s="19">
        <v>0.26034831980658807</v>
      </c>
      <c r="V450" s="19">
        <v>0.37115920223078913</v>
      </c>
      <c r="W450" s="19">
        <v>0.50255600258218558</v>
      </c>
      <c r="X450" s="19">
        <v>0.64849721695144869</v>
      </c>
      <c r="Y450" s="19">
        <v>0.79838972541784559</v>
      </c>
      <c r="Z450" s="19">
        <v>0.93716028563718756</v>
      </c>
      <c r="AA450" s="19">
        <v>1.0465963450601503</v>
      </c>
      <c r="AB450" s="19">
        <v>1.1082599052450075</v>
      </c>
      <c r="AC450" s="19">
        <v>1.1077674648926406</v>
      </c>
      <c r="AD450" s="19">
        <v>1.0394540716140743</v>
      </c>
      <c r="AE450" s="19">
        <v>0.90970861159557881</v>
      </c>
      <c r="AF450" s="19">
        <v>0.7488583029839877</v>
      </c>
      <c r="AG450" s="19">
        <v>0.57002213013372927</v>
      </c>
      <c r="AH450" s="19">
        <v>6.4003013027631755E-2</v>
      </c>
      <c r="AI450" s="19">
        <v>0</v>
      </c>
      <c r="AJ450" s="19">
        <v>0</v>
      </c>
      <c r="AK450" s="19">
        <v>0</v>
      </c>
      <c r="AL450" s="19">
        <v>0</v>
      </c>
      <c r="AM450" s="19">
        <v>0</v>
      </c>
      <c r="AN450" s="19">
        <v>0</v>
      </c>
      <c r="AO450" s="19">
        <v>0</v>
      </c>
      <c r="AP450" s="19">
        <v>0</v>
      </c>
      <c r="AQ450" s="19">
        <v>0</v>
      </c>
      <c r="AR450" s="19">
        <v>10.391519865753043</v>
      </c>
    </row>
    <row r="451" spans="1:44" x14ac:dyDescent="0.25">
      <c r="A451" t="s">
        <v>250</v>
      </c>
      <c r="B451" t="s">
        <v>286</v>
      </c>
      <c r="C451" t="s">
        <v>44</v>
      </c>
      <c r="D451" t="s">
        <v>287</v>
      </c>
      <c r="E451" t="s">
        <v>134</v>
      </c>
      <c r="F451" t="s">
        <v>287</v>
      </c>
      <c r="G451" t="s">
        <v>31</v>
      </c>
      <c r="H451" t="s">
        <v>253</v>
      </c>
      <c r="I451" t="s">
        <v>256</v>
      </c>
      <c r="J451" t="s">
        <v>39</v>
      </c>
      <c r="K451" t="s">
        <v>31</v>
      </c>
      <c r="L451">
        <v>15.196759042494826</v>
      </c>
      <c r="M451">
        <v>1</v>
      </c>
      <c r="N451" s="2">
        <v>1.1711487367225639</v>
      </c>
      <c r="O451" s="2">
        <v>6.0535991681208801</v>
      </c>
      <c r="P451" s="1">
        <v>4.7733038831375328E-2</v>
      </c>
      <c r="Q451" s="1">
        <v>0.4672931329656026</v>
      </c>
      <c r="R451" s="1">
        <v>-2.2103929312816009</v>
      </c>
      <c r="S451" s="19">
        <v>0.34967147648315378</v>
      </c>
      <c r="T451" s="19">
        <v>0.56645654969368453</v>
      </c>
      <c r="U451" s="19">
        <v>0.8562767362684891</v>
      </c>
      <c r="V451" s="19">
        <v>1.2213431314097936</v>
      </c>
      <c r="W451" s="19">
        <v>1.6545504816291678</v>
      </c>
      <c r="X451" s="19">
        <v>2.1361009361272862</v>
      </c>
      <c r="Y451" s="19">
        <v>2.6311565515145219</v>
      </c>
      <c r="Z451" s="19">
        <v>3.090037298988789</v>
      </c>
      <c r="AA451" s="19">
        <v>3.4526070687224411</v>
      </c>
      <c r="AB451" s="19">
        <v>3.6578648829124054</v>
      </c>
      <c r="AC451" s="19">
        <v>3.658076127943152</v>
      </c>
      <c r="AD451" s="19">
        <v>3.4342154224906771</v>
      </c>
      <c r="AE451" s="19">
        <v>3.0070637228346619</v>
      </c>
      <c r="AF451" s="19">
        <v>2.4766125584287493</v>
      </c>
      <c r="AG451" s="19">
        <v>1.8861152829534988</v>
      </c>
      <c r="AH451" s="19">
        <v>0.47889284668234711</v>
      </c>
      <c r="AI451" s="19">
        <v>0</v>
      </c>
      <c r="AJ451" s="19">
        <v>0</v>
      </c>
      <c r="AK451" s="19">
        <v>0</v>
      </c>
      <c r="AL451" s="19">
        <v>0</v>
      </c>
      <c r="AM451" s="19">
        <v>0</v>
      </c>
      <c r="AN451" s="19">
        <v>0</v>
      </c>
      <c r="AO451" s="19">
        <v>0</v>
      </c>
      <c r="AP451" s="19">
        <v>0</v>
      </c>
      <c r="AQ451" s="19">
        <v>0</v>
      </c>
      <c r="AR451" s="19">
        <v>34.557041075082815</v>
      </c>
    </row>
    <row r="452" spans="1:44" x14ac:dyDescent="0.25">
      <c r="A452" t="s">
        <v>250</v>
      </c>
      <c r="B452" t="s">
        <v>286</v>
      </c>
      <c r="C452" t="s">
        <v>44</v>
      </c>
      <c r="D452" t="s">
        <v>287</v>
      </c>
      <c r="E452" t="s">
        <v>134</v>
      </c>
      <c r="F452" t="s">
        <v>287</v>
      </c>
      <c r="G452" t="s">
        <v>31</v>
      </c>
      <c r="H452" t="s">
        <v>272</v>
      </c>
      <c r="I452" t="s">
        <v>135</v>
      </c>
      <c r="J452" t="s">
        <v>40</v>
      </c>
      <c r="K452" t="s">
        <v>31</v>
      </c>
      <c r="L452">
        <v>15.196759042494826</v>
      </c>
      <c r="M452">
        <v>1</v>
      </c>
      <c r="N452" s="2">
        <v>1.6936671816670661</v>
      </c>
      <c r="O452" s="2">
        <v>7.5176781675495903</v>
      </c>
      <c r="P452" s="1">
        <v>-1.4152039125174969</v>
      </c>
      <c r="Q452" s="1">
        <v>0.4672931329656026</v>
      </c>
      <c r="R452" s="1">
        <v>-3.5303298826304736</v>
      </c>
      <c r="S452" s="19">
        <v>6.9106269539637246</v>
      </c>
      <c r="T452" s="19">
        <v>11.189372942448095</v>
      </c>
      <c r="U452" s="19">
        <v>16.905779317117759</v>
      </c>
      <c r="V452" s="19">
        <v>24.101310003047782</v>
      </c>
      <c r="W452" s="19">
        <v>32.633592106371246</v>
      </c>
      <c r="X452" s="19">
        <v>42.110319151246557</v>
      </c>
      <c r="Y452" s="19">
        <v>51.84362440670067</v>
      </c>
      <c r="Z452" s="19">
        <v>60.854723339560486</v>
      </c>
      <c r="AA452" s="19">
        <v>67.96097957088179</v>
      </c>
      <c r="AB452" s="19">
        <v>71.9651173397272</v>
      </c>
      <c r="AC452" s="19">
        <v>71.933140609744285</v>
      </c>
      <c r="AD452" s="19">
        <v>67.497194366538736</v>
      </c>
      <c r="AE452" s="19">
        <v>59.072142435724977</v>
      </c>
      <c r="AF452" s="19">
        <v>48.627289853238544</v>
      </c>
      <c r="AG452" s="19">
        <v>37.01452095052219</v>
      </c>
      <c r="AH452" s="19">
        <v>4.1560506888602058</v>
      </c>
      <c r="AI452" s="19">
        <v>0</v>
      </c>
      <c r="AJ452" s="19">
        <v>0</v>
      </c>
      <c r="AK452" s="19">
        <v>0</v>
      </c>
      <c r="AL452" s="19">
        <v>0</v>
      </c>
      <c r="AM452" s="19">
        <v>0</v>
      </c>
      <c r="AN452" s="19">
        <v>0</v>
      </c>
      <c r="AO452" s="19">
        <v>0</v>
      </c>
      <c r="AP452" s="19">
        <v>0</v>
      </c>
      <c r="AQ452" s="19">
        <v>0</v>
      </c>
      <c r="AR452" s="19">
        <v>674.7757840356943</v>
      </c>
    </row>
    <row r="453" spans="1:44" x14ac:dyDescent="0.25">
      <c r="A453" t="s">
        <v>250</v>
      </c>
      <c r="B453" t="s">
        <v>286</v>
      </c>
      <c r="C453" t="s">
        <v>44</v>
      </c>
      <c r="D453" t="s">
        <v>287</v>
      </c>
      <c r="E453" t="s">
        <v>134</v>
      </c>
      <c r="F453" t="s">
        <v>287</v>
      </c>
      <c r="G453" t="s">
        <v>31</v>
      </c>
      <c r="H453" t="s">
        <v>277</v>
      </c>
      <c r="I453" t="s">
        <v>135</v>
      </c>
      <c r="J453" t="s">
        <v>40</v>
      </c>
      <c r="K453" t="s">
        <v>31</v>
      </c>
      <c r="L453">
        <v>15.196759042494826</v>
      </c>
      <c r="M453">
        <v>1</v>
      </c>
      <c r="N453" s="2">
        <v>1.6936671816670661</v>
      </c>
      <c r="O453" s="2">
        <v>7.5176781675495903</v>
      </c>
      <c r="P453" s="1">
        <v>-1.4152039125174969</v>
      </c>
      <c r="Q453" s="1">
        <v>0.4672931329656026</v>
      </c>
      <c r="R453" s="1">
        <v>-3.5303298826304736</v>
      </c>
      <c r="S453" s="19">
        <v>40.414968193319325</v>
      </c>
      <c r="T453" s="19">
        <v>65.430189999865846</v>
      </c>
      <c r="U453" s="19">
        <v>98.845128076935353</v>
      </c>
      <c r="V453" s="19">
        <v>140.89914653667265</v>
      </c>
      <c r="W453" s="19">
        <v>190.75689082248107</v>
      </c>
      <c r="X453" s="19">
        <v>246.1226190488658</v>
      </c>
      <c r="Y453" s="19">
        <v>302.97443986345672</v>
      </c>
      <c r="Z453" s="19">
        <v>355.5924805073733</v>
      </c>
      <c r="AA453" s="19">
        <v>397.06860217552043</v>
      </c>
      <c r="AB453" s="19">
        <v>420.41247596667506</v>
      </c>
      <c r="AC453" s="19">
        <v>420.17501123197127</v>
      </c>
      <c r="AD453" s="19">
        <v>394.2162841379008</v>
      </c>
      <c r="AE453" s="19">
        <v>344.96831057354501</v>
      </c>
      <c r="AF453" s="19">
        <v>283.93843611286763</v>
      </c>
      <c r="AG453" s="19">
        <v>216.10454158984663</v>
      </c>
      <c r="AH453" s="19">
        <v>16.925716721589378</v>
      </c>
      <c r="AI453" s="19">
        <v>0</v>
      </c>
      <c r="AJ453" s="19">
        <v>0</v>
      </c>
      <c r="AK453" s="19">
        <v>0</v>
      </c>
      <c r="AL453" s="19">
        <v>0</v>
      </c>
      <c r="AM453" s="19">
        <v>0</v>
      </c>
      <c r="AN453" s="19">
        <v>0</v>
      </c>
      <c r="AO453" s="19">
        <v>0</v>
      </c>
      <c r="AP453" s="19">
        <v>0</v>
      </c>
      <c r="AQ453" s="19">
        <v>0</v>
      </c>
      <c r="AR453" s="19">
        <v>3934.8452415588863</v>
      </c>
    </row>
    <row r="454" spans="1:44" x14ac:dyDescent="0.25">
      <c r="A454" t="s">
        <v>250</v>
      </c>
      <c r="B454" t="s">
        <v>286</v>
      </c>
      <c r="C454" t="s">
        <v>44</v>
      </c>
      <c r="D454" t="s">
        <v>287</v>
      </c>
      <c r="E454" t="s">
        <v>134</v>
      </c>
      <c r="F454" t="s">
        <v>287</v>
      </c>
      <c r="G454" t="s">
        <v>31</v>
      </c>
      <c r="H454" t="s">
        <v>253</v>
      </c>
      <c r="I454" t="s">
        <v>135</v>
      </c>
      <c r="J454" t="s">
        <v>40</v>
      </c>
      <c r="K454" t="s">
        <v>31</v>
      </c>
      <c r="L454">
        <v>15.196759042494826</v>
      </c>
      <c r="M454">
        <v>1</v>
      </c>
      <c r="N454" s="2">
        <v>1.6936671816670661</v>
      </c>
      <c r="O454" s="2">
        <v>7.5176781675495903</v>
      </c>
      <c r="P454" s="1">
        <v>-1.4152039125174969</v>
      </c>
      <c r="Q454" s="1">
        <v>0.4672931329656026</v>
      </c>
      <c r="R454" s="1">
        <v>-3.5303298826304736</v>
      </c>
      <c r="S454" s="19">
        <v>0.35064462475210006</v>
      </c>
      <c r="T454" s="19">
        <v>0.56803301860190625</v>
      </c>
      <c r="U454" s="19">
        <v>0.85865978515774788</v>
      </c>
      <c r="V454" s="19">
        <v>1.2247421731791559</v>
      </c>
      <c r="W454" s="19">
        <v>1.6591551550022308</v>
      </c>
      <c r="X454" s="19">
        <v>2.1420457816983176</v>
      </c>
      <c r="Y454" s="19">
        <v>2.6384791546309829</v>
      </c>
      <c r="Z454" s="19">
        <v>3.0986369836949423</v>
      </c>
      <c r="AA454" s="19">
        <v>3.462215798110583</v>
      </c>
      <c r="AB454" s="19">
        <v>3.6680448521642495</v>
      </c>
      <c r="AC454" s="19">
        <v>3.6682566850975009</v>
      </c>
      <c r="AD454" s="19">
        <v>3.4437729672672717</v>
      </c>
      <c r="AE454" s="19">
        <v>3.0154324891004141</v>
      </c>
      <c r="AF454" s="19">
        <v>2.483505060065788</v>
      </c>
      <c r="AG454" s="19">
        <v>1.8913644094796311</v>
      </c>
      <c r="AH454" s="19">
        <v>0.48022562266240798</v>
      </c>
      <c r="AI454" s="19">
        <v>0</v>
      </c>
      <c r="AJ454" s="19">
        <v>0</v>
      </c>
      <c r="AK454" s="19">
        <v>0</v>
      </c>
      <c r="AL454" s="19">
        <v>0</v>
      </c>
      <c r="AM454" s="19">
        <v>0</v>
      </c>
      <c r="AN454" s="19">
        <v>0</v>
      </c>
      <c r="AO454" s="19">
        <v>0</v>
      </c>
      <c r="AP454" s="19">
        <v>0</v>
      </c>
      <c r="AQ454" s="19">
        <v>0</v>
      </c>
      <c r="AR454" s="19">
        <v>34.653214560665226</v>
      </c>
    </row>
    <row r="455" spans="1:44" x14ac:dyDescent="0.25">
      <c r="A455" t="s">
        <v>250</v>
      </c>
      <c r="B455" t="s">
        <v>291</v>
      </c>
      <c r="C455" t="s">
        <v>44</v>
      </c>
      <c r="D455" t="s">
        <v>292</v>
      </c>
      <c r="E455" t="s">
        <v>145</v>
      </c>
      <c r="F455" t="s">
        <v>292</v>
      </c>
      <c r="G455" t="s">
        <v>31</v>
      </c>
      <c r="H455" t="s">
        <v>288</v>
      </c>
      <c r="I455" t="s">
        <v>135</v>
      </c>
      <c r="J455" t="s">
        <v>39</v>
      </c>
      <c r="K455" t="s">
        <v>31</v>
      </c>
      <c r="L455">
        <v>2.370000000000001</v>
      </c>
      <c r="M455">
        <v>1</v>
      </c>
      <c r="N455" s="2">
        <v>2.729832824165364</v>
      </c>
      <c r="O455" s="2">
        <v>5.3797577395665286</v>
      </c>
      <c r="P455" s="1">
        <v>-1.3196045040170097</v>
      </c>
      <c r="Q455" s="1">
        <v>1.0674536938902881</v>
      </c>
      <c r="R455" s="1">
        <v>-1.8454036712681361</v>
      </c>
      <c r="S455" s="19">
        <v>0</v>
      </c>
      <c r="T455" s="19">
        <v>0</v>
      </c>
      <c r="U455" s="19">
        <v>31.662153924525672</v>
      </c>
      <c r="V455" s="19">
        <v>59.398825791874735</v>
      </c>
      <c r="W455" s="19">
        <v>101.33846563685157</v>
      </c>
      <c r="X455" s="19">
        <v>161.17522627067058</v>
      </c>
      <c r="Y455" s="19">
        <v>242.25424804445257</v>
      </c>
      <c r="Z455" s="19">
        <v>346.94480155253586</v>
      </c>
      <c r="AA455" s="19">
        <v>475.89586973010279</v>
      </c>
      <c r="AB455" s="19">
        <v>627.29964103143845</v>
      </c>
      <c r="AC455" s="19">
        <v>796.3703059426789</v>
      </c>
      <c r="AD455" s="19">
        <v>975.29695229485606</v>
      </c>
      <c r="AE455" s="19">
        <v>1153.8975698574679</v>
      </c>
      <c r="AF455" s="19">
        <v>1321.0418671107673</v>
      </c>
      <c r="AG455" s="19">
        <v>1466.6295613570376</v>
      </c>
      <c r="AH455" s="19">
        <v>1583.6017302609991</v>
      </c>
      <c r="AI455" s="19">
        <v>1669.2984396316651</v>
      </c>
      <c r="AJ455" s="19">
        <v>2118.7011612119463</v>
      </c>
      <c r="AK455" s="19">
        <v>2154.802871638095</v>
      </c>
      <c r="AL455" s="19">
        <v>2178.5755768627014</v>
      </c>
      <c r="AM455" s="19">
        <v>2171.6751441223296</v>
      </c>
      <c r="AN455" s="19">
        <v>2150.9232008908543</v>
      </c>
      <c r="AO455" s="19">
        <v>2124.3493666596869</v>
      </c>
      <c r="AP455" s="19">
        <v>2091.6057613358712</v>
      </c>
      <c r="AQ455" s="19">
        <v>287.9673882265177</v>
      </c>
      <c r="AR455" s="19">
        <v>26290.70612938593</v>
      </c>
    </row>
    <row r="456" spans="1:44" x14ac:dyDescent="0.25">
      <c r="A456" t="s">
        <v>250</v>
      </c>
      <c r="B456" t="s">
        <v>291</v>
      </c>
      <c r="C456" t="s">
        <v>44</v>
      </c>
      <c r="D456" t="s">
        <v>292</v>
      </c>
      <c r="E456" t="s">
        <v>148</v>
      </c>
      <c r="F456" t="s">
        <v>292</v>
      </c>
      <c r="G456" t="s">
        <v>31</v>
      </c>
      <c r="H456" t="s">
        <v>288</v>
      </c>
      <c r="I456" t="s">
        <v>135</v>
      </c>
      <c r="J456" t="s">
        <v>39</v>
      </c>
      <c r="K456" t="s">
        <v>31</v>
      </c>
      <c r="L456">
        <v>2.370000000000001</v>
      </c>
      <c r="M456">
        <v>1</v>
      </c>
      <c r="N456" s="2">
        <v>2.729832824165364</v>
      </c>
      <c r="O456" s="2">
        <v>5.3797577395665286</v>
      </c>
      <c r="P456" s="1">
        <v>-1.3196045040170097</v>
      </c>
      <c r="Q456" s="1">
        <v>1.0674536938902881</v>
      </c>
      <c r="R456" s="1">
        <v>-1.8454036712681361</v>
      </c>
      <c r="S456" s="19">
        <v>0</v>
      </c>
      <c r="T456" s="19">
        <v>0</v>
      </c>
      <c r="U456" s="19">
        <v>6.9087630716836967</v>
      </c>
      <c r="V456" s="19">
        <v>13.107538529102536</v>
      </c>
      <c r="W456" s="19">
        <v>22.615969401196693</v>
      </c>
      <c r="X456" s="19">
        <v>36.379004852484051</v>
      </c>
      <c r="Y456" s="19">
        <v>55.303102276606559</v>
      </c>
      <c r="Z456" s="19">
        <v>80.108361634006499</v>
      </c>
      <c r="AA456" s="19">
        <v>111.143088393564</v>
      </c>
      <c r="AB456" s="19">
        <v>148.18771234083007</v>
      </c>
      <c r="AC456" s="19">
        <v>190.29715452208345</v>
      </c>
      <c r="AD456" s="19">
        <v>235.74772977609797</v>
      </c>
      <c r="AE456" s="19">
        <v>282.1529165542658</v>
      </c>
      <c r="AF456" s="19">
        <v>326.7785939335929</v>
      </c>
      <c r="AG456" s="19">
        <v>367.02036976996834</v>
      </c>
      <c r="AH456" s="19">
        <v>400.92328871044941</v>
      </c>
      <c r="AI456" s="19">
        <v>427.57040454312937</v>
      </c>
      <c r="AJ456" s="19">
        <v>448.41581048224577</v>
      </c>
      <c r="AK456" s="19">
        <v>461.75797330579928</v>
      </c>
      <c r="AL456" s="19">
        <v>473.41140145062479</v>
      </c>
      <c r="AM456" s="19">
        <v>479.4934843479582</v>
      </c>
      <c r="AN456" s="19">
        <v>483.7246502167871</v>
      </c>
      <c r="AO456" s="19">
        <v>488.00670377662624</v>
      </c>
      <c r="AP456" s="19">
        <v>492.34020538374909</v>
      </c>
      <c r="AQ456" s="19">
        <v>0</v>
      </c>
      <c r="AR456" s="19">
        <v>6031.3942272728527</v>
      </c>
    </row>
    <row r="457" spans="1:44" x14ac:dyDescent="0.25">
      <c r="A457" t="s">
        <v>250</v>
      </c>
      <c r="B457" t="s">
        <v>291</v>
      </c>
      <c r="C457" t="s">
        <v>44</v>
      </c>
      <c r="D457" t="s">
        <v>292</v>
      </c>
      <c r="E457" t="s">
        <v>145</v>
      </c>
      <c r="F457" t="s">
        <v>292</v>
      </c>
      <c r="G457" t="s">
        <v>31</v>
      </c>
      <c r="H457" t="s">
        <v>289</v>
      </c>
      <c r="I457" t="s">
        <v>135</v>
      </c>
      <c r="J457" t="s">
        <v>39</v>
      </c>
      <c r="K457" t="s">
        <v>31</v>
      </c>
      <c r="L457">
        <v>2.370000000000001</v>
      </c>
      <c r="M457">
        <v>1</v>
      </c>
      <c r="N457" s="2">
        <v>2.729832824165364</v>
      </c>
      <c r="O457" s="2">
        <v>5.3797577395665286</v>
      </c>
      <c r="P457" s="1">
        <v>-1.3196045040170097</v>
      </c>
      <c r="Q457" s="1">
        <v>1.0674536938902881</v>
      </c>
      <c r="R457" s="1">
        <v>-1.8454036712681361</v>
      </c>
      <c r="S457" s="19">
        <v>0</v>
      </c>
      <c r="T457" s="19">
        <v>0</v>
      </c>
      <c r="U457" s="19">
        <v>30.093504808312332</v>
      </c>
      <c r="V457" s="19">
        <v>56.456009083806123</v>
      </c>
      <c r="W457" s="19">
        <v>96.317818749132144</v>
      </c>
      <c r="X457" s="19">
        <v>153.19006591652513</v>
      </c>
      <c r="Y457" s="19">
        <v>230.25216148395805</v>
      </c>
      <c r="Z457" s="19">
        <v>329.75599444776623</v>
      </c>
      <c r="AA457" s="19">
        <v>452.31839495560706</v>
      </c>
      <c r="AB457" s="19">
        <v>596.22111649863052</v>
      </c>
      <c r="AC457" s="19">
        <v>756.91545459007148</v>
      </c>
      <c r="AD457" s="19">
        <v>926.97747580220221</v>
      </c>
      <c r="AE457" s="19">
        <v>1096.7296207826089</v>
      </c>
      <c r="AF457" s="19">
        <v>1255.5930299197205</v>
      </c>
      <c r="AG457" s="19">
        <v>1393.9678223382973</v>
      </c>
      <c r="AH457" s="19">
        <v>1505.1447983501346</v>
      </c>
      <c r="AI457" s="19">
        <v>1586.5958058100227</v>
      </c>
      <c r="AJ457" s="19">
        <v>2013.7336118791525</v>
      </c>
      <c r="AK457" s="19">
        <v>2048.0467226955293</v>
      </c>
      <c r="AL457" s="19">
        <v>2070.6416485078603</v>
      </c>
      <c r="AM457" s="19">
        <v>2064.0830863093875</v>
      </c>
      <c r="AN457" s="19">
        <v>2044.3592638269663</v>
      </c>
      <c r="AO457" s="19">
        <v>2019.1019863177637</v>
      </c>
      <c r="AP457" s="19">
        <v>1987.9806088333828</v>
      </c>
      <c r="AQ457" s="19">
        <v>273.70051964529091</v>
      </c>
      <c r="AR457" s="19">
        <v>24988.176521552126</v>
      </c>
    </row>
    <row r="458" spans="1:44" x14ac:dyDescent="0.25">
      <c r="A458" t="s">
        <v>250</v>
      </c>
      <c r="B458" t="s">
        <v>291</v>
      </c>
      <c r="C458" t="s">
        <v>44</v>
      </c>
      <c r="D458" t="s">
        <v>292</v>
      </c>
      <c r="E458" t="s">
        <v>148</v>
      </c>
      <c r="F458" t="s">
        <v>292</v>
      </c>
      <c r="G458" t="s">
        <v>31</v>
      </c>
      <c r="H458" t="s">
        <v>289</v>
      </c>
      <c r="I458" t="s">
        <v>135</v>
      </c>
      <c r="J458" t="s">
        <v>39</v>
      </c>
      <c r="K458" t="s">
        <v>31</v>
      </c>
      <c r="L458">
        <v>2.370000000000001</v>
      </c>
      <c r="M458">
        <v>1</v>
      </c>
      <c r="N458" s="2">
        <v>2.729832824165364</v>
      </c>
      <c r="O458" s="2">
        <v>5.3797577395665286</v>
      </c>
      <c r="P458" s="1">
        <v>-1.3196045040170097</v>
      </c>
      <c r="Q458" s="1">
        <v>1.0674536938902881</v>
      </c>
      <c r="R458" s="1">
        <v>-1.8454036712681361</v>
      </c>
      <c r="S458" s="19">
        <v>0</v>
      </c>
      <c r="T458" s="19">
        <v>0</v>
      </c>
      <c r="U458" s="19">
        <v>6.5664798172861865</v>
      </c>
      <c r="V458" s="19">
        <v>12.458147183888851</v>
      </c>
      <c r="W458" s="19">
        <v>21.495498554580692</v>
      </c>
      <c r="X458" s="19">
        <v>34.576667148404027</v>
      </c>
      <c r="Y458" s="19">
        <v>52.563201424729627</v>
      </c>
      <c r="Z458" s="19">
        <v>76.139525180933191</v>
      </c>
      <c r="AA458" s="19">
        <v>105.63668766677284</v>
      </c>
      <c r="AB458" s="19">
        <v>140.84599691138629</v>
      </c>
      <c r="AC458" s="19">
        <v>180.86919633672017</v>
      </c>
      <c r="AD458" s="19">
        <v>224.06799791565359</v>
      </c>
      <c r="AE458" s="19">
        <v>268.17411636761778</v>
      </c>
      <c r="AF458" s="19">
        <v>310.58888827448567</v>
      </c>
      <c r="AG458" s="19">
        <v>348.83695179896216</v>
      </c>
      <c r="AH458" s="19">
        <v>381.06020662184375</v>
      </c>
      <c r="AI458" s="19">
        <v>406.38713511665134</v>
      </c>
      <c r="AJ458" s="19">
        <v>426.19978985125698</v>
      </c>
      <c r="AK458" s="19">
        <v>438.88093725647673</v>
      </c>
      <c r="AL458" s="19">
        <v>449.95701555315554</v>
      </c>
      <c r="AM458" s="19">
        <v>455.73777169981048</v>
      </c>
      <c r="AN458" s="19">
        <v>459.75931144475982</v>
      </c>
      <c r="AO458" s="19">
        <v>463.8292177341371</v>
      </c>
      <c r="AP458" s="19">
        <v>467.94802316227123</v>
      </c>
      <c r="AQ458" s="19">
        <v>0</v>
      </c>
      <c r="AR458" s="19">
        <v>5732.5787630217847</v>
      </c>
    </row>
    <row r="459" spans="1:44" x14ac:dyDescent="0.25">
      <c r="A459" t="s">
        <v>250</v>
      </c>
      <c r="B459" t="s">
        <v>291</v>
      </c>
      <c r="C459" t="s">
        <v>44</v>
      </c>
      <c r="D459" t="s">
        <v>292</v>
      </c>
      <c r="E459" t="s">
        <v>145</v>
      </c>
      <c r="F459" t="s">
        <v>292</v>
      </c>
      <c r="G459" t="s">
        <v>31</v>
      </c>
      <c r="H459" t="s">
        <v>290</v>
      </c>
      <c r="I459" t="s">
        <v>135</v>
      </c>
      <c r="J459" t="s">
        <v>39</v>
      </c>
      <c r="K459" t="s">
        <v>31</v>
      </c>
      <c r="L459">
        <v>2.370000000000001</v>
      </c>
      <c r="M459">
        <v>1</v>
      </c>
      <c r="N459" s="2">
        <v>2.729832824165364</v>
      </c>
      <c r="O459" s="2">
        <v>5.3797577395665286</v>
      </c>
      <c r="P459" s="1">
        <v>-1.3196045040170097</v>
      </c>
      <c r="Q459" s="1">
        <v>1.0674536938902881</v>
      </c>
      <c r="R459" s="1">
        <v>-1.8454036712681361</v>
      </c>
      <c r="S459" s="19">
        <v>0</v>
      </c>
      <c r="T459" s="19">
        <v>0</v>
      </c>
      <c r="U459" s="19">
        <v>43.577444621840101</v>
      </c>
      <c r="V459" s="19">
        <v>81.752146354854332</v>
      </c>
      <c r="W459" s="19">
        <v>139.47476172590493</v>
      </c>
      <c r="X459" s="19">
        <v>221.82964917564149</v>
      </c>
      <c r="Y459" s="19">
        <v>333.42081223303239</v>
      </c>
      <c r="Z459" s="19">
        <v>477.50913954024134</v>
      </c>
      <c r="AA459" s="19">
        <v>654.98784316318927</v>
      </c>
      <c r="AB459" s="19">
        <v>863.3687851278172</v>
      </c>
      <c r="AC459" s="19">
        <v>1096.0651315264186</v>
      </c>
      <c r="AD459" s="19">
        <v>1342.3265211138096</v>
      </c>
      <c r="AE459" s="19">
        <v>1588.1391888120872</v>
      </c>
      <c r="AF459" s="19">
        <v>1818.1842253808099</v>
      </c>
      <c r="AG459" s="19">
        <v>2018.5603494676768</v>
      </c>
      <c r="AH459" s="19">
        <v>2179.5521829626327</v>
      </c>
      <c r="AI459" s="19">
        <v>2297.4987893677458</v>
      </c>
      <c r="AJ459" s="19">
        <v>2916.0234247811059</v>
      </c>
      <c r="AK459" s="19">
        <v>2965.7111462987054</v>
      </c>
      <c r="AL459" s="19">
        <v>2998.4301378084465</v>
      </c>
      <c r="AM459" s="19">
        <v>2988.9328930433926</v>
      </c>
      <c r="AN459" s="19">
        <v>2960.3714547053232</v>
      </c>
      <c r="AO459" s="19">
        <v>2923.797196606562</v>
      </c>
      <c r="AP459" s="19">
        <v>2878.7313223416763</v>
      </c>
      <c r="AQ459" s="19">
        <v>396.33699410502254</v>
      </c>
      <c r="AR459" s="19">
        <v>36184.581540263935</v>
      </c>
    </row>
    <row r="460" spans="1:44" x14ac:dyDescent="0.25">
      <c r="A460" t="s">
        <v>250</v>
      </c>
      <c r="B460" t="s">
        <v>291</v>
      </c>
      <c r="C460" t="s">
        <v>44</v>
      </c>
      <c r="D460" t="s">
        <v>292</v>
      </c>
      <c r="E460" t="s">
        <v>148</v>
      </c>
      <c r="F460" t="s">
        <v>292</v>
      </c>
      <c r="G460" t="s">
        <v>31</v>
      </c>
      <c r="H460" t="s">
        <v>290</v>
      </c>
      <c r="I460" t="s">
        <v>135</v>
      </c>
      <c r="J460" t="s">
        <v>39</v>
      </c>
      <c r="K460" t="s">
        <v>31</v>
      </c>
      <c r="L460">
        <v>2.370000000000001</v>
      </c>
      <c r="M460">
        <v>1</v>
      </c>
      <c r="N460" s="2">
        <v>2.729832824165364</v>
      </c>
      <c r="O460" s="2">
        <v>5.3797577395665286</v>
      </c>
      <c r="P460" s="1">
        <v>-1.3196045040170097</v>
      </c>
      <c r="Q460" s="1">
        <v>1.0674536938902881</v>
      </c>
      <c r="R460" s="1">
        <v>-1.8454036712681361</v>
      </c>
      <c r="S460" s="19">
        <v>0</v>
      </c>
      <c r="T460" s="19">
        <v>0</v>
      </c>
      <c r="U460" s="19">
        <v>9.5087100163612917</v>
      </c>
      <c r="V460" s="19">
        <v>18.040245642863599</v>
      </c>
      <c r="W460" s="19">
        <v>31.126945958862027</v>
      </c>
      <c r="X460" s="19">
        <v>50.069369037108288</v>
      </c>
      <c r="Y460" s="19">
        <v>76.11509572657225</v>
      </c>
      <c r="Z460" s="19">
        <v>110.25521830175272</v>
      </c>
      <c r="AA460" s="19">
        <v>152.9691186239578</v>
      </c>
      <c r="AB460" s="19">
        <v>203.95459650543839</v>
      </c>
      <c r="AC460" s="19">
        <v>261.91091524118804</v>
      </c>
      <c r="AD460" s="19">
        <v>324.46572218463922</v>
      </c>
      <c r="AE460" s="19">
        <v>388.33438575731486</v>
      </c>
      <c r="AF460" s="19">
        <v>449.75386433559856</v>
      </c>
      <c r="AG460" s="19">
        <v>505.13966538293562</v>
      </c>
      <c r="AH460" s="19">
        <v>551.8011330824969</v>
      </c>
      <c r="AI460" s="19">
        <v>588.4762505523388</v>
      </c>
      <c r="AJ460" s="19">
        <v>617.16632404188215</v>
      </c>
      <c r="AK460" s="19">
        <v>635.52948919371431</v>
      </c>
      <c r="AL460" s="19">
        <v>651.568404955613</v>
      </c>
      <c r="AM460" s="19">
        <v>659.93933358149638</v>
      </c>
      <c r="AN460" s="19">
        <v>665.76279703803152</v>
      </c>
      <c r="AO460" s="19">
        <v>671.65629854512053</v>
      </c>
      <c r="AP460" s="19">
        <v>677.62060933563794</v>
      </c>
      <c r="AQ460" s="19">
        <v>0</v>
      </c>
      <c r="AR460" s="19">
        <v>8301.1644930409257</v>
      </c>
    </row>
    <row r="461" spans="1:44" x14ac:dyDescent="0.25">
      <c r="A461" t="s">
        <v>250</v>
      </c>
      <c r="B461" t="s">
        <v>291</v>
      </c>
      <c r="C461" t="s">
        <v>44</v>
      </c>
      <c r="D461" t="s">
        <v>292</v>
      </c>
      <c r="E461" t="s">
        <v>145</v>
      </c>
      <c r="F461" t="s">
        <v>292</v>
      </c>
      <c r="G461" t="s">
        <v>31</v>
      </c>
      <c r="H461" t="s">
        <v>272</v>
      </c>
      <c r="I461" t="s">
        <v>135</v>
      </c>
      <c r="J461" t="s">
        <v>39</v>
      </c>
      <c r="K461" t="s">
        <v>31</v>
      </c>
      <c r="L461">
        <v>2.370000000000001</v>
      </c>
      <c r="M461">
        <v>1</v>
      </c>
      <c r="N461" s="2">
        <v>2.729832824165364</v>
      </c>
      <c r="O461" s="2">
        <v>5.3797577395665286</v>
      </c>
      <c r="P461" s="1">
        <v>-1.3196045040170097</v>
      </c>
      <c r="Q461" s="1">
        <v>1.0674536938902881</v>
      </c>
      <c r="R461" s="1">
        <v>-1.8454036712681361</v>
      </c>
      <c r="S461" s="19">
        <v>0</v>
      </c>
      <c r="T461" s="19">
        <v>0</v>
      </c>
      <c r="U461" s="19">
        <v>33.311594484554803</v>
      </c>
      <c r="V461" s="19">
        <v>62.392918839250243</v>
      </c>
      <c r="W461" s="19">
        <v>106.27576644122496</v>
      </c>
      <c r="X461" s="19">
        <v>168.75656934369204</v>
      </c>
      <c r="Y461" s="19">
        <v>253.24231729649361</v>
      </c>
      <c r="Z461" s="19">
        <v>362.09934585706839</v>
      </c>
      <c r="AA461" s="19">
        <v>495.88591092869262</v>
      </c>
      <c r="AB461" s="19">
        <v>652.60042282705876</v>
      </c>
      <c r="AC461" s="19">
        <v>827.16061634036112</v>
      </c>
      <c r="AD461" s="19">
        <v>1011.3794734147948</v>
      </c>
      <c r="AE461" s="19">
        <v>1194.6673779070568</v>
      </c>
      <c r="AF461" s="19">
        <v>1365.5223283832531</v>
      </c>
      <c r="AG461" s="19">
        <v>1513.5791504107206</v>
      </c>
      <c r="AH461" s="19">
        <v>1631.673078370231</v>
      </c>
      <c r="AI461" s="19">
        <v>1717.2109372534765</v>
      </c>
      <c r="AJ461" s="19">
        <v>2232.0651464834636</v>
      </c>
      <c r="AK461" s="19">
        <v>2266.2941555962843</v>
      </c>
      <c r="AL461" s="19">
        <v>2287.0799127425689</v>
      </c>
      <c r="AM461" s="19">
        <v>2275.1433491587463</v>
      </c>
      <c r="AN461" s="19">
        <v>2248.1469293855662</v>
      </c>
      <c r="AO461" s="19">
        <v>2214.4648063339077</v>
      </c>
      <c r="AP461" s="19">
        <v>2173.7218814838757</v>
      </c>
      <c r="AQ461" s="19">
        <v>333.77922645679882</v>
      </c>
      <c r="AR461" s="19">
        <v>27426.453215739137</v>
      </c>
    </row>
    <row r="462" spans="1:44" x14ac:dyDescent="0.25">
      <c r="A462" t="s">
        <v>250</v>
      </c>
      <c r="B462" t="s">
        <v>291</v>
      </c>
      <c r="C462" t="s">
        <v>44</v>
      </c>
      <c r="D462" t="s">
        <v>292</v>
      </c>
      <c r="E462" t="s">
        <v>148</v>
      </c>
      <c r="F462" t="s">
        <v>292</v>
      </c>
      <c r="G462" t="s">
        <v>31</v>
      </c>
      <c r="H462" t="s">
        <v>272</v>
      </c>
      <c r="I462" t="s">
        <v>135</v>
      </c>
      <c r="J462" t="s">
        <v>39</v>
      </c>
      <c r="K462" t="s">
        <v>31</v>
      </c>
      <c r="L462">
        <v>2.370000000000001</v>
      </c>
      <c r="M462">
        <v>1</v>
      </c>
      <c r="N462" s="2">
        <v>2.729832824165364</v>
      </c>
      <c r="O462" s="2">
        <v>5.3797577395665286</v>
      </c>
      <c r="P462" s="1">
        <v>-1.3196045040170097</v>
      </c>
      <c r="Q462" s="1">
        <v>1.0674536938902881</v>
      </c>
      <c r="R462" s="1">
        <v>-1.8454036712681361</v>
      </c>
      <c r="S462" s="19">
        <v>0</v>
      </c>
      <c r="T462" s="19">
        <v>0</v>
      </c>
      <c r="U462" s="19">
        <v>8.0928134654910941</v>
      </c>
      <c r="V462" s="19">
        <v>15.330019746850674</v>
      </c>
      <c r="W462" s="19">
        <v>26.409903390628585</v>
      </c>
      <c r="X462" s="19">
        <v>42.417016048412982</v>
      </c>
      <c r="Y462" s="19">
        <v>64.384913163856609</v>
      </c>
      <c r="Z462" s="19">
        <v>93.124806632881558</v>
      </c>
      <c r="AA462" s="19">
        <v>129.01210634421776</v>
      </c>
      <c r="AB462" s="19">
        <v>171.76243567072828</v>
      </c>
      <c r="AC462" s="19">
        <v>220.25397947328349</v>
      </c>
      <c r="AD462" s="19">
        <v>272.4720158174095</v>
      </c>
      <c r="AE462" s="19">
        <v>325.64862481091393</v>
      </c>
      <c r="AF462" s="19">
        <v>376.63093252314798</v>
      </c>
      <c r="AG462" s="19">
        <v>422.43272559021335</v>
      </c>
      <c r="AH462" s="19">
        <v>460.83021796201501</v>
      </c>
      <c r="AI462" s="19">
        <v>490.80255328100321</v>
      </c>
      <c r="AJ462" s="19">
        <v>514.05169281871451</v>
      </c>
      <c r="AK462" s="19">
        <v>528.65716604839042</v>
      </c>
      <c r="AL462" s="19">
        <v>541.30167832364259</v>
      </c>
      <c r="AM462" s="19">
        <v>547.55955359451127</v>
      </c>
      <c r="AN462" s="19">
        <v>551.69857486256888</v>
      </c>
      <c r="AO462" s="19">
        <v>555.8932192324188</v>
      </c>
      <c r="AP462" s="19">
        <v>560.14406812753793</v>
      </c>
      <c r="AQ462" s="19">
        <v>0</v>
      </c>
      <c r="AR462" s="19">
        <v>6918.9110169288379</v>
      </c>
    </row>
    <row r="463" spans="1:44" x14ac:dyDescent="0.25">
      <c r="A463" t="s">
        <v>250</v>
      </c>
      <c r="B463" t="s">
        <v>291</v>
      </c>
      <c r="C463" t="s">
        <v>44</v>
      </c>
      <c r="D463" t="s">
        <v>292</v>
      </c>
      <c r="E463" t="s">
        <v>145</v>
      </c>
      <c r="F463" t="s">
        <v>292</v>
      </c>
      <c r="G463" t="s">
        <v>31</v>
      </c>
      <c r="H463" t="s">
        <v>273</v>
      </c>
      <c r="I463" t="s">
        <v>135</v>
      </c>
      <c r="J463" t="s">
        <v>39</v>
      </c>
      <c r="K463" t="s">
        <v>31</v>
      </c>
      <c r="L463">
        <v>2.370000000000001</v>
      </c>
      <c r="M463">
        <v>1</v>
      </c>
      <c r="N463" s="2">
        <v>2.729832824165364</v>
      </c>
      <c r="O463" s="2">
        <v>5.3797577395665286</v>
      </c>
      <c r="P463" s="1">
        <v>-1.3196045040170097</v>
      </c>
      <c r="Q463" s="1">
        <v>1.0674536938902881</v>
      </c>
      <c r="R463" s="1">
        <v>-1.8454036712681361</v>
      </c>
      <c r="S463" s="19">
        <v>0</v>
      </c>
      <c r="T463" s="19">
        <v>0</v>
      </c>
      <c r="U463" s="19">
        <v>10.018680148181874</v>
      </c>
      <c r="V463" s="19">
        <v>18.765078857205399</v>
      </c>
      <c r="W463" s="19">
        <v>31.963132595504874</v>
      </c>
      <c r="X463" s="19">
        <v>50.754643160141725</v>
      </c>
      <c r="Y463" s="19">
        <v>76.164285025573548</v>
      </c>
      <c r="Z463" s="19">
        <v>108.90374910423137</v>
      </c>
      <c r="AA463" s="19">
        <v>149.14093451419413</v>
      </c>
      <c r="AB463" s="19">
        <v>196.27385005254072</v>
      </c>
      <c r="AC463" s="19">
        <v>248.77397118079784</v>
      </c>
      <c r="AD463" s="19">
        <v>304.17899861495812</v>
      </c>
      <c r="AE463" s="19">
        <v>359.30403596463827</v>
      </c>
      <c r="AF463" s="19">
        <v>410.68978098948617</v>
      </c>
      <c r="AG463" s="19">
        <v>455.21883961312062</v>
      </c>
      <c r="AH463" s="19">
        <v>490.73636166440969</v>
      </c>
      <c r="AI463" s="19">
        <v>516.46243278084626</v>
      </c>
      <c r="AJ463" s="19">
        <v>671.30820720368047</v>
      </c>
      <c r="AK463" s="19">
        <v>681.60280580806943</v>
      </c>
      <c r="AL463" s="19">
        <v>687.85425836411218</v>
      </c>
      <c r="AM463" s="19">
        <v>684.26425871188371</v>
      </c>
      <c r="AN463" s="19">
        <v>676.14490870661905</v>
      </c>
      <c r="AO463" s="19">
        <v>666.01478966585046</v>
      </c>
      <c r="AP463" s="19">
        <v>653.76108825377753</v>
      </c>
      <c r="AQ463" s="19">
        <v>100.38628776922415</v>
      </c>
      <c r="AR463" s="19">
        <v>8248.6853787490472</v>
      </c>
    </row>
    <row r="464" spans="1:44" x14ac:dyDescent="0.25">
      <c r="A464" t="s">
        <v>250</v>
      </c>
      <c r="B464" t="s">
        <v>291</v>
      </c>
      <c r="C464" t="s">
        <v>44</v>
      </c>
      <c r="D464" t="s">
        <v>292</v>
      </c>
      <c r="E464" t="s">
        <v>148</v>
      </c>
      <c r="F464" t="s">
        <v>292</v>
      </c>
      <c r="G464" t="s">
        <v>31</v>
      </c>
      <c r="H464" t="s">
        <v>273</v>
      </c>
      <c r="I464" t="s">
        <v>135</v>
      </c>
      <c r="J464" t="s">
        <v>39</v>
      </c>
      <c r="K464" t="s">
        <v>31</v>
      </c>
      <c r="L464">
        <v>2.370000000000001</v>
      </c>
      <c r="M464">
        <v>1</v>
      </c>
      <c r="N464" s="2">
        <v>2.729832824165364</v>
      </c>
      <c r="O464" s="2">
        <v>5.3797577395665286</v>
      </c>
      <c r="P464" s="1">
        <v>-1.3196045040170097</v>
      </c>
      <c r="Q464" s="1">
        <v>1.0674536938902881</v>
      </c>
      <c r="R464" s="1">
        <v>-1.8454036712681361</v>
      </c>
      <c r="S464" s="19">
        <v>0</v>
      </c>
      <c r="T464" s="19">
        <v>0</v>
      </c>
      <c r="U464" s="19">
        <v>2.4339666372694029</v>
      </c>
      <c r="V464" s="19">
        <v>4.6106038118416297</v>
      </c>
      <c r="W464" s="19">
        <v>7.9429513630087998</v>
      </c>
      <c r="X464" s="19">
        <v>12.757195301065115</v>
      </c>
      <c r="Y464" s="19">
        <v>19.364184192871029</v>
      </c>
      <c r="Z464" s="19">
        <v>28.007895327517225</v>
      </c>
      <c r="AA464" s="19">
        <v>38.801235687029205</v>
      </c>
      <c r="AB464" s="19">
        <v>51.658677138843153</v>
      </c>
      <c r="AC464" s="19">
        <v>66.242826434807441</v>
      </c>
      <c r="AD464" s="19">
        <v>81.947742761779153</v>
      </c>
      <c r="AE464" s="19">
        <v>97.940956089283233</v>
      </c>
      <c r="AF464" s="19">
        <v>113.27421893930922</v>
      </c>
      <c r="AG464" s="19">
        <v>127.04940809048676</v>
      </c>
      <c r="AH464" s="19">
        <v>138.59770532806692</v>
      </c>
      <c r="AI464" s="19">
        <v>147.61208141847678</v>
      </c>
      <c r="AJ464" s="19">
        <v>154.60441235768687</v>
      </c>
      <c r="AK464" s="19">
        <v>158.99710406053302</v>
      </c>
      <c r="AL464" s="19">
        <v>162.80002391699162</v>
      </c>
      <c r="AM464" s="19">
        <v>164.68212087800791</v>
      </c>
      <c r="AN464" s="19">
        <v>165.9269586245313</v>
      </c>
      <c r="AO464" s="19">
        <v>167.18852538310631</v>
      </c>
      <c r="AP464" s="19">
        <v>168.46699602065578</v>
      </c>
      <c r="AQ464" s="19">
        <v>0</v>
      </c>
      <c r="AR464" s="19">
        <v>2080.9077897631678</v>
      </c>
    </row>
    <row r="465" spans="1:44" x14ac:dyDescent="0.25">
      <c r="A465" t="s">
        <v>250</v>
      </c>
      <c r="B465" t="s">
        <v>291</v>
      </c>
      <c r="C465" t="s">
        <v>44</v>
      </c>
      <c r="D465" t="s">
        <v>292</v>
      </c>
      <c r="E465" t="s">
        <v>145</v>
      </c>
      <c r="F465" t="s">
        <v>292</v>
      </c>
      <c r="G465" t="s">
        <v>31</v>
      </c>
      <c r="H465" t="s">
        <v>274</v>
      </c>
      <c r="I465" t="s">
        <v>135</v>
      </c>
      <c r="J465" t="s">
        <v>39</v>
      </c>
      <c r="K465" t="s">
        <v>31</v>
      </c>
      <c r="L465">
        <v>2.370000000000001</v>
      </c>
      <c r="M465">
        <v>1</v>
      </c>
      <c r="N465" s="2">
        <v>2.729832824165364</v>
      </c>
      <c r="O465" s="2">
        <v>5.3797577395665286</v>
      </c>
      <c r="P465" s="1">
        <v>-1.3196045040170097</v>
      </c>
      <c r="Q465" s="1">
        <v>1.0674536938902881</v>
      </c>
      <c r="R465" s="1">
        <v>-1.8454036712681361</v>
      </c>
      <c r="S465" s="19">
        <v>0</v>
      </c>
      <c r="T465" s="19">
        <v>0</v>
      </c>
      <c r="U465" s="19">
        <v>15.771196602615859</v>
      </c>
      <c r="V465" s="19">
        <v>29.53959439201013</v>
      </c>
      <c r="W465" s="19">
        <v>50.315694357271902</v>
      </c>
      <c r="X465" s="19">
        <v>79.896896989916414</v>
      </c>
      <c r="Y465" s="19">
        <v>119.8962234016402</v>
      </c>
      <c r="Z465" s="19">
        <v>171.43400253140851</v>
      </c>
      <c r="AA465" s="19">
        <v>234.7745376568453</v>
      </c>
      <c r="AB465" s="19">
        <v>308.97018682572792</v>
      </c>
      <c r="AC465" s="19">
        <v>391.61477870095098</v>
      </c>
      <c r="AD465" s="19">
        <v>478.8322132844915</v>
      </c>
      <c r="AE465" s="19">
        <v>565.60889333711486</v>
      </c>
      <c r="AF465" s="19">
        <v>646.49925767376214</v>
      </c>
      <c r="AG465" s="19">
        <v>716.59596978510649</v>
      </c>
      <c r="AH465" s="19">
        <v>772.50690963183627</v>
      </c>
      <c r="AI465" s="19">
        <v>813.00435234776432</v>
      </c>
      <c r="AJ465" s="19">
        <v>1056.7593295889533</v>
      </c>
      <c r="AK465" s="19">
        <v>1072.9648712504736</v>
      </c>
      <c r="AL465" s="19">
        <v>1082.8057770239957</v>
      </c>
      <c r="AM465" s="19">
        <v>1077.1544747085975</v>
      </c>
      <c r="AN465" s="19">
        <v>1064.3731638648003</v>
      </c>
      <c r="AO465" s="19">
        <v>1048.4265424898481</v>
      </c>
      <c r="AP465" s="19">
        <v>1029.1370221916422</v>
      </c>
      <c r="AQ465" s="19">
        <v>158.02599316463096</v>
      </c>
      <c r="AR465" s="19">
        <v>12984.907881801404</v>
      </c>
    </row>
    <row r="466" spans="1:44" x14ac:dyDescent="0.25">
      <c r="A466" t="s">
        <v>250</v>
      </c>
      <c r="B466" t="s">
        <v>291</v>
      </c>
      <c r="C466" t="s">
        <v>44</v>
      </c>
      <c r="D466" t="s">
        <v>292</v>
      </c>
      <c r="E466" t="s">
        <v>148</v>
      </c>
      <c r="F466" t="s">
        <v>292</v>
      </c>
      <c r="G466" t="s">
        <v>31</v>
      </c>
      <c r="H466" t="s">
        <v>274</v>
      </c>
      <c r="I466" t="s">
        <v>135</v>
      </c>
      <c r="J466" t="s">
        <v>39</v>
      </c>
      <c r="K466" t="s">
        <v>31</v>
      </c>
      <c r="L466">
        <v>2.370000000000001</v>
      </c>
      <c r="M466">
        <v>1</v>
      </c>
      <c r="N466" s="2">
        <v>2.729832824165364</v>
      </c>
      <c r="O466" s="2">
        <v>5.3797577395665286</v>
      </c>
      <c r="P466" s="1">
        <v>-1.3196045040170097</v>
      </c>
      <c r="Q466" s="1">
        <v>1.0674536938902881</v>
      </c>
      <c r="R466" s="1">
        <v>-1.8454036712681361</v>
      </c>
      <c r="S466" s="19">
        <v>0</v>
      </c>
      <c r="T466" s="19">
        <v>0</v>
      </c>
      <c r="U466" s="19">
        <v>3.8314993385181246</v>
      </c>
      <c r="V466" s="19">
        <v>7.2579160226528989</v>
      </c>
      <c r="W466" s="19">
        <v>12.503627793104217</v>
      </c>
      <c r="X466" s="19">
        <v>20.08210984034411</v>
      </c>
      <c r="Y466" s="19">
        <v>30.482693472398353</v>
      </c>
      <c r="Z466" s="19">
        <v>44.089442631415402</v>
      </c>
      <c r="AA466" s="19">
        <v>61.080093125402293</v>
      </c>
      <c r="AB466" s="19">
        <v>81.320008358147433</v>
      </c>
      <c r="AC466" s="19">
        <v>104.27807093990256</v>
      </c>
      <c r="AD466" s="19">
        <v>129.00042152469968</v>
      </c>
      <c r="AE466" s="19">
        <v>154.17660321380518</v>
      </c>
      <c r="AF466" s="19">
        <v>178.31390467373788</v>
      </c>
      <c r="AG466" s="19">
        <v>199.99851912676289</v>
      </c>
      <c r="AH466" s="19">
        <v>218.17760693727888</v>
      </c>
      <c r="AI466" s="19">
        <v>232.36784911180439</v>
      </c>
      <c r="AJ466" s="19">
        <v>243.37503012983575</v>
      </c>
      <c r="AK466" s="19">
        <v>250.28991347131893</v>
      </c>
      <c r="AL466" s="19">
        <v>256.27639031588171</v>
      </c>
      <c r="AM466" s="19">
        <v>259.23914796043709</v>
      </c>
      <c r="AN466" s="19">
        <v>261.19874548709674</v>
      </c>
      <c r="AO466" s="19">
        <v>263.18467747439803</v>
      </c>
      <c r="AP466" s="19">
        <v>265.19721919419101</v>
      </c>
      <c r="AQ466" s="19">
        <v>0</v>
      </c>
      <c r="AR466" s="19">
        <v>3275.7214901431335</v>
      </c>
    </row>
    <row r="467" spans="1:44" x14ac:dyDescent="0.25">
      <c r="A467" t="s">
        <v>250</v>
      </c>
      <c r="B467" t="s">
        <v>291</v>
      </c>
      <c r="C467" t="s">
        <v>44</v>
      </c>
      <c r="D467" t="s">
        <v>292</v>
      </c>
      <c r="E467" t="s">
        <v>145</v>
      </c>
      <c r="F467" t="s">
        <v>292</v>
      </c>
      <c r="G467" t="s">
        <v>31</v>
      </c>
      <c r="H467" t="s">
        <v>275</v>
      </c>
      <c r="I467" t="s">
        <v>135</v>
      </c>
      <c r="J467" t="s">
        <v>39</v>
      </c>
      <c r="K467" t="s">
        <v>31</v>
      </c>
      <c r="L467">
        <v>2.370000000000001</v>
      </c>
      <c r="M467">
        <v>1</v>
      </c>
      <c r="N467" s="2">
        <v>2.729832824165364</v>
      </c>
      <c r="O467" s="2">
        <v>5.3797577395665286</v>
      </c>
      <c r="P467" s="1">
        <v>-1.3196045040170097</v>
      </c>
      <c r="Q467" s="1">
        <v>1.0674536938902881</v>
      </c>
      <c r="R467" s="1">
        <v>-1.8454036712681361</v>
      </c>
      <c r="S467" s="19">
        <v>0</v>
      </c>
      <c r="T467" s="19">
        <v>0</v>
      </c>
      <c r="U467" s="19">
        <v>24.093458316639477</v>
      </c>
      <c r="V467" s="19">
        <v>45.127266123629873</v>
      </c>
      <c r="W467" s="19">
        <v>76.866652240492016</v>
      </c>
      <c r="X467" s="19">
        <v>122.05748274903272</v>
      </c>
      <c r="Y467" s="19">
        <v>183.16394967587817</v>
      </c>
      <c r="Z467" s="19">
        <v>261.89756542379735</v>
      </c>
      <c r="AA467" s="19">
        <v>358.66210277952507</v>
      </c>
      <c r="AB467" s="19">
        <v>472.00986107390702</v>
      </c>
      <c r="AC467" s="19">
        <v>598.26496267546224</v>
      </c>
      <c r="AD467" s="19">
        <v>731.50593846002789</v>
      </c>
      <c r="AE467" s="19">
        <v>864.07357910166866</v>
      </c>
      <c r="AF467" s="19">
        <v>987.64876939759893</v>
      </c>
      <c r="AG467" s="19">
        <v>1094.7346331999715</v>
      </c>
      <c r="AH467" s="19">
        <v>1180.1490714689037</v>
      </c>
      <c r="AI467" s="19">
        <v>1242.0165043969073</v>
      </c>
      <c r="AJ467" s="19">
        <v>1614.3979115667282</v>
      </c>
      <c r="AK467" s="19">
        <v>1639.1549133566668</v>
      </c>
      <c r="AL467" s="19">
        <v>1654.1887411014131</v>
      </c>
      <c r="AM467" s="19">
        <v>1645.5553177663639</v>
      </c>
      <c r="AN467" s="19">
        <v>1626.0294702478579</v>
      </c>
      <c r="AO467" s="19">
        <v>1601.668017717049</v>
      </c>
      <c r="AP467" s="19">
        <v>1572.199660625128</v>
      </c>
      <c r="AQ467" s="19">
        <v>241.41431846877435</v>
      </c>
      <c r="AR467" s="19">
        <v>19836.880147933425</v>
      </c>
    </row>
    <row r="468" spans="1:44" x14ac:dyDescent="0.25">
      <c r="A468" t="s">
        <v>250</v>
      </c>
      <c r="B468" t="s">
        <v>291</v>
      </c>
      <c r="C468" t="s">
        <v>44</v>
      </c>
      <c r="D468" t="s">
        <v>292</v>
      </c>
      <c r="E468" t="s">
        <v>148</v>
      </c>
      <c r="F468" t="s">
        <v>292</v>
      </c>
      <c r="G468" t="s">
        <v>31</v>
      </c>
      <c r="H468" t="s">
        <v>275</v>
      </c>
      <c r="I468" t="s">
        <v>135</v>
      </c>
      <c r="J468" t="s">
        <v>39</v>
      </c>
      <c r="K468" t="s">
        <v>31</v>
      </c>
      <c r="L468">
        <v>2.370000000000001</v>
      </c>
      <c r="M468">
        <v>1</v>
      </c>
      <c r="N468" s="2">
        <v>2.729832824165364</v>
      </c>
      <c r="O468" s="2">
        <v>5.3797577395665286</v>
      </c>
      <c r="P468" s="1">
        <v>-1.3196045040170097</v>
      </c>
      <c r="Q468" s="1">
        <v>1.0674536938902881</v>
      </c>
      <c r="R468" s="1">
        <v>-1.8454036712681361</v>
      </c>
      <c r="S468" s="19">
        <v>0</v>
      </c>
      <c r="T468" s="19">
        <v>0</v>
      </c>
      <c r="U468" s="19">
        <v>5.8533332586512064</v>
      </c>
      <c r="V468" s="19">
        <v>11.087826850655972</v>
      </c>
      <c r="W468" s="19">
        <v>19.101634621050987</v>
      </c>
      <c r="X468" s="19">
        <v>30.679186148009748</v>
      </c>
      <c r="Y468" s="19">
        <v>46.568026704728105</v>
      </c>
      <c r="Z468" s="19">
        <v>67.354885936028637</v>
      </c>
      <c r="AA468" s="19">
        <v>93.311288596152011</v>
      </c>
      <c r="AB468" s="19">
        <v>124.23155205362222</v>
      </c>
      <c r="AC468" s="19">
        <v>159.30429496474568</v>
      </c>
      <c r="AD468" s="19">
        <v>197.07231842628761</v>
      </c>
      <c r="AE468" s="19">
        <v>235.5336539471424</v>
      </c>
      <c r="AF468" s="19">
        <v>272.40790523284352</v>
      </c>
      <c r="AG468" s="19">
        <v>305.53521748444922</v>
      </c>
      <c r="AH468" s="19">
        <v>333.30718085751215</v>
      </c>
      <c r="AI468" s="19">
        <v>354.98543501599818</v>
      </c>
      <c r="AJ468" s="19">
        <v>371.80096675553256</v>
      </c>
      <c r="AK468" s="19">
        <v>382.36474690172145</v>
      </c>
      <c r="AL468" s="19">
        <v>391.51021214143873</v>
      </c>
      <c r="AM468" s="19">
        <v>396.03637966126138</v>
      </c>
      <c r="AN468" s="19">
        <v>399.0300321098012</v>
      </c>
      <c r="AO468" s="19">
        <v>402.06391538204144</v>
      </c>
      <c r="AP468" s="19">
        <v>405.13845000727912</v>
      </c>
      <c r="AQ468" s="19">
        <v>0</v>
      </c>
      <c r="AR468" s="19">
        <v>5004.2784430569536</v>
      </c>
    </row>
    <row r="469" spans="1:44" x14ac:dyDescent="0.25">
      <c r="A469" t="s">
        <v>250</v>
      </c>
      <c r="B469" t="s">
        <v>291</v>
      </c>
      <c r="C469" t="s">
        <v>44</v>
      </c>
      <c r="D469" t="s">
        <v>292</v>
      </c>
      <c r="E469" t="s">
        <v>145</v>
      </c>
      <c r="F469" t="s">
        <v>292</v>
      </c>
      <c r="G469" t="s">
        <v>31</v>
      </c>
      <c r="H469" t="s">
        <v>276</v>
      </c>
      <c r="I469" t="s">
        <v>135</v>
      </c>
      <c r="J469" t="s">
        <v>39</v>
      </c>
      <c r="K469" t="s">
        <v>31</v>
      </c>
      <c r="L469">
        <v>2.370000000000001</v>
      </c>
      <c r="M469">
        <v>1</v>
      </c>
      <c r="N469" s="2">
        <v>2.729832824165364</v>
      </c>
      <c r="O469" s="2">
        <v>5.3797577395665286</v>
      </c>
      <c r="P469" s="1">
        <v>-1.3196045040170097</v>
      </c>
      <c r="Q469" s="1">
        <v>1.0674536938902881</v>
      </c>
      <c r="R469" s="1">
        <v>-1.8454036712681361</v>
      </c>
      <c r="S469" s="19">
        <v>0</v>
      </c>
      <c r="T469" s="19">
        <v>0</v>
      </c>
      <c r="U469" s="19">
        <v>16.295739205389985</v>
      </c>
      <c r="V469" s="19">
        <v>30.598725242759855</v>
      </c>
      <c r="W469" s="19">
        <v>52.250645828033271</v>
      </c>
      <c r="X469" s="19">
        <v>83.177811863869266</v>
      </c>
      <c r="Y469" s="19">
        <v>125.13317625392364</v>
      </c>
      <c r="Z469" s="19">
        <v>179.3714487967319</v>
      </c>
      <c r="AA469" s="19">
        <v>246.26161953508279</v>
      </c>
      <c r="AB469" s="19">
        <v>324.90148699006266</v>
      </c>
      <c r="AC469" s="19">
        <v>412.84172358501462</v>
      </c>
      <c r="AD469" s="19">
        <v>506.05445876206136</v>
      </c>
      <c r="AE469" s="19">
        <v>599.26582533006638</v>
      </c>
      <c r="AF469" s="19">
        <v>686.68996201175412</v>
      </c>
      <c r="AG469" s="19">
        <v>763.05600760549237</v>
      </c>
      <c r="AH469" s="19">
        <v>824.65788046591308</v>
      </c>
      <c r="AI469" s="19">
        <v>870.06900464216972</v>
      </c>
      <c r="AJ469" s="19">
        <v>1089.8643740012208</v>
      </c>
      <c r="AK469" s="19">
        <v>1109.4810515084716</v>
      </c>
      <c r="AL469" s="19">
        <v>1122.8844787399591</v>
      </c>
      <c r="AM469" s="19">
        <v>1120.6266049264227</v>
      </c>
      <c r="AN469" s="19">
        <v>1111.3779451749922</v>
      </c>
      <c r="AO469" s="19">
        <v>1099.2936914463824</v>
      </c>
      <c r="AP469" s="19">
        <v>1084.1985392657325</v>
      </c>
      <c r="AQ469" s="19">
        <v>139.60594831255895</v>
      </c>
      <c r="AR469" s="19">
        <v>13597.958149494065</v>
      </c>
    </row>
    <row r="470" spans="1:44" x14ac:dyDescent="0.25">
      <c r="A470" t="s">
        <v>250</v>
      </c>
      <c r="B470" t="s">
        <v>291</v>
      </c>
      <c r="C470" t="s">
        <v>44</v>
      </c>
      <c r="D470" t="s">
        <v>292</v>
      </c>
      <c r="E470" t="s">
        <v>148</v>
      </c>
      <c r="F470" t="s">
        <v>292</v>
      </c>
      <c r="G470" t="s">
        <v>31</v>
      </c>
      <c r="H470" t="s">
        <v>276</v>
      </c>
      <c r="I470" t="s">
        <v>135</v>
      </c>
      <c r="J470" t="s">
        <v>39</v>
      </c>
      <c r="K470" t="s">
        <v>31</v>
      </c>
      <c r="L470">
        <v>2.370000000000001</v>
      </c>
      <c r="M470">
        <v>1</v>
      </c>
      <c r="N470" s="2">
        <v>2.729832824165364</v>
      </c>
      <c r="O470" s="2">
        <v>5.3797577395665286</v>
      </c>
      <c r="P470" s="1">
        <v>-1.3196045040170097</v>
      </c>
      <c r="Q470" s="1">
        <v>1.0674536938902881</v>
      </c>
      <c r="R470" s="1">
        <v>-1.8454036712681361</v>
      </c>
      <c r="S470" s="19">
        <v>0</v>
      </c>
      <c r="T470" s="19">
        <v>0</v>
      </c>
      <c r="U470" s="19">
        <v>3.3295683832405194</v>
      </c>
      <c r="V470" s="19">
        <v>6.3225033524909815</v>
      </c>
      <c r="W470" s="19">
        <v>10.918403322164036</v>
      </c>
      <c r="X470" s="19">
        <v>17.577879435174815</v>
      </c>
      <c r="Y470" s="19">
        <v>26.744388481814937</v>
      </c>
      <c r="Z470" s="19">
        <v>38.772547539289519</v>
      </c>
      <c r="AA470" s="19">
        <v>53.837896630653923</v>
      </c>
      <c r="AB470" s="19">
        <v>71.841072827791891</v>
      </c>
      <c r="AC470" s="19">
        <v>92.330202178848566</v>
      </c>
      <c r="AD470" s="19">
        <v>114.47372156561988</v>
      </c>
      <c r="AE470" s="19">
        <v>137.11518723900213</v>
      </c>
      <c r="AF470" s="19">
        <v>158.92540426753231</v>
      </c>
      <c r="AG470" s="19">
        <v>178.63419815988448</v>
      </c>
      <c r="AH470" s="19">
        <v>195.28391165459237</v>
      </c>
      <c r="AI470" s="19">
        <v>208.4201131597321</v>
      </c>
      <c r="AJ470" s="19">
        <v>218.74382962070223</v>
      </c>
      <c r="AK470" s="19">
        <v>225.41786218578125</v>
      </c>
      <c r="AL470" s="19">
        <v>231.27453781527345</v>
      </c>
      <c r="AM470" s="19">
        <v>234.41380857124437</v>
      </c>
      <c r="AN470" s="19">
        <v>236.64988112481376</v>
      </c>
      <c r="AO470" s="19">
        <v>238.9118544022256</v>
      </c>
      <c r="AP470" s="19">
        <v>241.20001713041992</v>
      </c>
      <c r="AQ470" s="19">
        <v>0</v>
      </c>
      <c r="AR470" s="19">
        <v>2941.1387890482933</v>
      </c>
    </row>
    <row r="471" spans="1:44" x14ac:dyDescent="0.25">
      <c r="A471" t="s">
        <v>250</v>
      </c>
      <c r="B471" t="s">
        <v>291</v>
      </c>
      <c r="C471" t="s">
        <v>44</v>
      </c>
      <c r="D471" t="s">
        <v>292</v>
      </c>
      <c r="E471" t="s">
        <v>145</v>
      </c>
      <c r="F471" t="s">
        <v>292</v>
      </c>
      <c r="G471" t="s">
        <v>31</v>
      </c>
      <c r="H471" t="s">
        <v>277</v>
      </c>
      <c r="I471" t="s">
        <v>135</v>
      </c>
      <c r="J471" t="s">
        <v>39</v>
      </c>
      <c r="K471" t="s">
        <v>31</v>
      </c>
      <c r="L471">
        <v>2.370000000000001</v>
      </c>
      <c r="M471">
        <v>1</v>
      </c>
      <c r="N471" s="2">
        <v>2.729832824165364</v>
      </c>
      <c r="O471" s="2">
        <v>5.3797577395665286</v>
      </c>
      <c r="P471" s="1">
        <v>-1.3196045040170097</v>
      </c>
      <c r="Q471" s="1">
        <v>1.0674536938902881</v>
      </c>
      <c r="R471" s="1">
        <v>-1.8454036712681361</v>
      </c>
      <c r="S471" s="19">
        <v>0</v>
      </c>
      <c r="T471" s="19">
        <v>0</v>
      </c>
      <c r="U471" s="19">
        <v>89.454017885649534</v>
      </c>
      <c r="V471" s="19">
        <v>167.52798877834331</v>
      </c>
      <c r="W471" s="19">
        <v>285.3211448638134</v>
      </c>
      <c r="X471" s="19">
        <v>453.01026283751042</v>
      </c>
      <c r="Y471" s="19">
        <v>679.72191531910812</v>
      </c>
      <c r="Z471" s="19">
        <v>971.7854101786852</v>
      </c>
      <c r="AA471" s="19">
        <v>1330.675142797721</v>
      </c>
      <c r="AB471" s="19">
        <v>1750.9964534750461</v>
      </c>
      <c r="AC471" s="19">
        <v>2219.0924939478787</v>
      </c>
      <c r="AD471" s="19">
        <v>2712.9846219723581</v>
      </c>
      <c r="AE471" s="19">
        <v>3204.2606941805088</v>
      </c>
      <c r="AF471" s="19">
        <v>3662.0754191465039</v>
      </c>
      <c r="AG471" s="19">
        <v>4058.6467696252889</v>
      </c>
      <c r="AH471" s="19">
        <v>4374.786946692042</v>
      </c>
      <c r="AI471" s="19">
        <v>4603.5731267017873</v>
      </c>
      <c r="AJ471" s="19">
        <v>5994.6484984338103</v>
      </c>
      <c r="AK471" s="19">
        <v>6085.811421309164</v>
      </c>
      <c r="AL471" s="19">
        <v>6140.7803235997553</v>
      </c>
      <c r="AM471" s="19">
        <v>6107.7873800689886</v>
      </c>
      <c r="AN471" s="19">
        <v>6034.2572570384682</v>
      </c>
      <c r="AO471" s="19">
        <v>5942.6639219916897</v>
      </c>
      <c r="AP471" s="19">
        <v>5831.9988725370358</v>
      </c>
      <c r="AQ471" s="19">
        <v>902.46366024847327</v>
      </c>
      <c r="AR471" s="19">
        <v>73604.323743629604</v>
      </c>
    </row>
    <row r="472" spans="1:44" x14ac:dyDescent="0.25">
      <c r="A472" t="s">
        <v>250</v>
      </c>
      <c r="B472" t="s">
        <v>291</v>
      </c>
      <c r="C472" t="s">
        <v>44</v>
      </c>
      <c r="D472" t="s">
        <v>292</v>
      </c>
      <c r="E472" t="s">
        <v>148</v>
      </c>
      <c r="F472" t="s">
        <v>292</v>
      </c>
      <c r="G472" t="s">
        <v>31</v>
      </c>
      <c r="H472" t="s">
        <v>277</v>
      </c>
      <c r="I472" t="s">
        <v>135</v>
      </c>
      <c r="J472" t="s">
        <v>39</v>
      </c>
      <c r="K472" t="s">
        <v>31</v>
      </c>
      <c r="L472">
        <v>2.370000000000001</v>
      </c>
      <c r="M472">
        <v>1</v>
      </c>
      <c r="N472" s="2">
        <v>2.729832824165364</v>
      </c>
      <c r="O472" s="2">
        <v>5.3797577395665286</v>
      </c>
      <c r="P472" s="1">
        <v>-1.3196045040170097</v>
      </c>
      <c r="Q472" s="1">
        <v>1.0674536938902881</v>
      </c>
      <c r="R472" s="1">
        <v>-1.8454036712681361</v>
      </c>
      <c r="S472" s="19">
        <v>0</v>
      </c>
      <c r="T472" s="19">
        <v>0</v>
      </c>
      <c r="U472" s="19">
        <v>21.898487312438188</v>
      </c>
      <c r="V472" s="19">
        <v>41.476910511774285</v>
      </c>
      <c r="W472" s="19">
        <v>71.446371623523063</v>
      </c>
      <c r="X472" s="19">
        <v>114.73706560261162</v>
      </c>
      <c r="Y472" s="19">
        <v>174.14001450516704</v>
      </c>
      <c r="Z472" s="19">
        <v>251.84379704342427</v>
      </c>
      <c r="AA472" s="19">
        <v>348.85771102488144</v>
      </c>
      <c r="AB472" s="19">
        <v>464.40684171416319</v>
      </c>
      <c r="AC472" s="19">
        <v>595.45275778607652</v>
      </c>
      <c r="AD472" s="19">
        <v>736.54476536109212</v>
      </c>
      <c r="AE472" s="19">
        <v>880.19875833307083</v>
      </c>
      <c r="AF472" s="19">
        <v>1017.89343141198</v>
      </c>
      <c r="AG472" s="19">
        <v>1141.561372564209</v>
      </c>
      <c r="AH472" s="19">
        <v>1245.198531352409</v>
      </c>
      <c r="AI472" s="19">
        <v>1326.0532354221707</v>
      </c>
      <c r="AJ472" s="19">
        <v>1388.7305433489796</v>
      </c>
      <c r="AK472" s="19">
        <v>1428.0483566870912</v>
      </c>
      <c r="AL472" s="19">
        <v>1462.0637399571608</v>
      </c>
      <c r="AM472" s="19">
        <v>1478.825664751995</v>
      </c>
      <c r="AN472" s="19">
        <v>1489.8642719870911</v>
      </c>
      <c r="AO472" s="19">
        <v>1501.0528439386694</v>
      </c>
      <c r="AP472" s="19">
        <v>1512.3929388152137</v>
      </c>
      <c r="AQ472" s="19">
        <v>0</v>
      </c>
      <c r="AR472" s="19">
        <v>18692.688411055195</v>
      </c>
    </row>
    <row r="473" spans="1:44" x14ac:dyDescent="0.25">
      <c r="A473" t="s">
        <v>250</v>
      </c>
      <c r="B473" t="s">
        <v>291</v>
      </c>
      <c r="C473" t="s">
        <v>44</v>
      </c>
      <c r="D473" t="s">
        <v>292</v>
      </c>
      <c r="E473" t="s">
        <v>145</v>
      </c>
      <c r="F473" t="s">
        <v>292</v>
      </c>
      <c r="G473" t="s">
        <v>31</v>
      </c>
      <c r="H473" t="s">
        <v>278</v>
      </c>
      <c r="I473" t="s">
        <v>135</v>
      </c>
      <c r="J473" t="s">
        <v>39</v>
      </c>
      <c r="K473" t="s">
        <v>31</v>
      </c>
      <c r="L473">
        <v>2.370000000000001</v>
      </c>
      <c r="M473">
        <v>1</v>
      </c>
      <c r="N473" s="2">
        <v>2.729832824165364</v>
      </c>
      <c r="O473" s="2">
        <v>5.3797577395665286</v>
      </c>
      <c r="P473" s="1">
        <v>-1.3196045040170097</v>
      </c>
      <c r="Q473" s="1">
        <v>1.0674536938902881</v>
      </c>
      <c r="R473" s="1">
        <v>-1.8454036712681361</v>
      </c>
      <c r="S473" s="19">
        <v>0</v>
      </c>
      <c r="T473" s="19">
        <v>0</v>
      </c>
      <c r="U473" s="19">
        <v>16.565880216913627</v>
      </c>
      <c r="V473" s="19">
        <v>30.890889711479353</v>
      </c>
      <c r="W473" s="19">
        <v>52.384810548936905</v>
      </c>
      <c r="X473" s="19">
        <v>82.814777239447665</v>
      </c>
      <c r="Y473" s="19">
        <v>123.72556535029008</v>
      </c>
      <c r="Z473" s="19">
        <v>176.12740094188609</v>
      </c>
      <c r="AA473" s="19">
        <v>240.13583485482161</v>
      </c>
      <c r="AB473" s="19">
        <v>314.6288719064051</v>
      </c>
      <c r="AC473" s="19">
        <v>397.02429982659805</v>
      </c>
      <c r="AD473" s="19">
        <v>483.30066594259671</v>
      </c>
      <c r="AE473" s="19">
        <v>568.3636326536631</v>
      </c>
      <c r="AF473" s="19">
        <v>646.77630441517408</v>
      </c>
      <c r="AG473" s="19">
        <v>713.73410471605723</v>
      </c>
      <c r="AH473" s="19">
        <v>766.02065259591836</v>
      </c>
      <c r="AI473" s="19">
        <v>802.61448770200002</v>
      </c>
      <c r="AJ473" s="19">
        <v>1116.9277590288268</v>
      </c>
      <c r="AK473" s="19">
        <v>1128.8334977104505</v>
      </c>
      <c r="AL473" s="19">
        <v>1133.4360763916493</v>
      </c>
      <c r="AM473" s="19">
        <v>1121.1644293357604</v>
      </c>
      <c r="AN473" s="19">
        <v>1100.7891368137284</v>
      </c>
      <c r="AO473" s="19">
        <v>1076.3993606542097</v>
      </c>
      <c r="AP473" s="19">
        <v>1047.8099678574845</v>
      </c>
      <c r="AQ473" s="19">
        <v>206.64937408139784</v>
      </c>
      <c r="AR473" s="19">
        <v>13347.117780495695</v>
      </c>
    </row>
    <row r="474" spans="1:44" x14ac:dyDescent="0.25">
      <c r="A474" t="s">
        <v>250</v>
      </c>
      <c r="B474" t="s">
        <v>291</v>
      </c>
      <c r="C474" t="s">
        <v>44</v>
      </c>
      <c r="D474" t="s">
        <v>292</v>
      </c>
      <c r="E474" t="s">
        <v>148</v>
      </c>
      <c r="F474" t="s">
        <v>292</v>
      </c>
      <c r="G474" t="s">
        <v>31</v>
      </c>
      <c r="H474" t="s">
        <v>278</v>
      </c>
      <c r="I474" t="s">
        <v>135</v>
      </c>
      <c r="J474" t="s">
        <v>39</v>
      </c>
      <c r="K474" t="s">
        <v>31</v>
      </c>
      <c r="L474">
        <v>2.370000000000001</v>
      </c>
      <c r="M474">
        <v>1</v>
      </c>
      <c r="N474" s="2">
        <v>2.729832824165364</v>
      </c>
      <c r="O474" s="2">
        <v>5.3797577395665286</v>
      </c>
      <c r="P474" s="1">
        <v>-1.3196045040170097</v>
      </c>
      <c r="Q474" s="1">
        <v>1.0674536938902881</v>
      </c>
      <c r="R474" s="1">
        <v>-1.8454036712681361</v>
      </c>
      <c r="S474" s="19">
        <v>0</v>
      </c>
      <c r="T474" s="19">
        <v>0</v>
      </c>
      <c r="U474" s="19">
        <v>5.1585355833411866</v>
      </c>
      <c r="V474" s="19">
        <v>9.7296504645985582</v>
      </c>
      <c r="W474" s="19">
        <v>16.690546994790527</v>
      </c>
      <c r="X474" s="19">
        <v>26.694066685951572</v>
      </c>
      <c r="Y474" s="19">
        <v>40.350718281318777</v>
      </c>
      <c r="Z474" s="19">
        <v>58.122828340418877</v>
      </c>
      <c r="AA474" s="19">
        <v>80.195075348357776</v>
      </c>
      <c r="AB474" s="19">
        <v>106.34154857041842</v>
      </c>
      <c r="AC474" s="19">
        <v>135.8243957416517</v>
      </c>
      <c r="AD474" s="19">
        <v>167.36968811616234</v>
      </c>
      <c r="AE474" s="19">
        <v>199.26300292970916</v>
      </c>
      <c r="AF474" s="19">
        <v>229.58184240878407</v>
      </c>
      <c r="AG474" s="19">
        <v>256.53392728497619</v>
      </c>
      <c r="AH474" s="19">
        <v>278.81455449344594</v>
      </c>
      <c r="AI474" s="19">
        <v>295.86257215996494</v>
      </c>
      <c r="AJ474" s="19">
        <v>308.75938414145872</v>
      </c>
      <c r="AK474" s="19">
        <v>316.40185928417577</v>
      </c>
      <c r="AL474" s="19">
        <v>322.83240116146533</v>
      </c>
      <c r="AM474" s="19">
        <v>325.43419125733357</v>
      </c>
      <c r="AN474" s="19">
        <v>326.77506992027037</v>
      </c>
      <c r="AO474" s="19">
        <v>328.15176339632166</v>
      </c>
      <c r="AP474" s="19">
        <v>329.5644863239819</v>
      </c>
      <c r="AQ474" s="19">
        <v>0</v>
      </c>
      <c r="AR474" s="19">
        <v>4164.4521088888978</v>
      </c>
    </row>
    <row r="475" spans="1:44" x14ac:dyDescent="0.25">
      <c r="A475" t="s">
        <v>250</v>
      </c>
      <c r="B475" t="s">
        <v>291</v>
      </c>
      <c r="C475" t="s">
        <v>44</v>
      </c>
      <c r="D475" t="s">
        <v>292</v>
      </c>
      <c r="E475" t="s">
        <v>145</v>
      </c>
      <c r="F475" t="s">
        <v>292</v>
      </c>
      <c r="G475" t="s">
        <v>31</v>
      </c>
      <c r="H475" t="s">
        <v>252</v>
      </c>
      <c r="I475" t="s">
        <v>135</v>
      </c>
      <c r="J475" t="s">
        <v>39</v>
      </c>
      <c r="K475" t="s">
        <v>31</v>
      </c>
      <c r="L475">
        <v>2.370000000000001</v>
      </c>
      <c r="M475">
        <v>1</v>
      </c>
      <c r="N475" s="2">
        <v>2.729832824165364</v>
      </c>
      <c r="O475" s="2">
        <v>5.3797577395665286</v>
      </c>
      <c r="P475" s="1">
        <v>-1.3196045040170097</v>
      </c>
      <c r="Q475" s="1">
        <v>1.0674536938902881</v>
      </c>
      <c r="R475" s="1">
        <v>-1.8454036712681361</v>
      </c>
      <c r="S475" s="19">
        <v>0</v>
      </c>
      <c r="T475" s="19">
        <v>0</v>
      </c>
      <c r="U475" s="19">
        <v>0.72016803309310162</v>
      </c>
      <c r="V475" s="19">
        <v>1.3501008662677738</v>
      </c>
      <c r="W475" s="19">
        <v>2.3017473533211774</v>
      </c>
      <c r="X475" s="19">
        <v>3.6582770174418342</v>
      </c>
      <c r="Y475" s="19">
        <v>5.4947087005675384</v>
      </c>
      <c r="Z475" s="19">
        <v>7.863730635264349</v>
      </c>
      <c r="AA475" s="19">
        <v>10.778917594077322</v>
      </c>
      <c r="AB475" s="19">
        <v>14.198197961663894</v>
      </c>
      <c r="AC475" s="19">
        <v>18.012260462178549</v>
      </c>
      <c r="AD475" s="19">
        <v>22.043725748498431</v>
      </c>
      <c r="AE475" s="19">
        <v>26.062157370772177</v>
      </c>
      <c r="AF475" s="19">
        <v>29.816362364526587</v>
      </c>
      <c r="AG475" s="19">
        <v>33.079084580569862</v>
      </c>
      <c r="AH475" s="19">
        <v>35.692255053339473</v>
      </c>
      <c r="AI475" s="19">
        <v>37.597327860364878</v>
      </c>
      <c r="AJ475" s="19">
        <v>48.215972844456005</v>
      </c>
      <c r="AK475" s="19">
        <v>49.00158493687892</v>
      </c>
      <c r="AL475" s="19">
        <v>49.502276316099184</v>
      </c>
      <c r="AM475" s="19">
        <v>49.301011418498746</v>
      </c>
      <c r="AN475" s="19">
        <v>48.78003136094334</v>
      </c>
      <c r="AO475" s="19">
        <v>48.121247756023614</v>
      </c>
      <c r="AP475" s="19">
        <v>47.316646810384704</v>
      </c>
      <c r="AQ475" s="19">
        <v>6.8428951326213046</v>
      </c>
      <c r="AR475" s="19">
        <v>595.75068817785279</v>
      </c>
    </row>
    <row r="476" spans="1:44" x14ac:dyDescent="0.25">
      <c r="A476" t="s">
        <v>250</v>
      </c>
      <c r="B476" t="s">
        <v>291</v>
      </c>
      <c r="C476" t="s">
        <v>44</v>
      </c>
      <c r="D476" t="s">
        <v>292</v>
      </c>
      <c r="E476" t="s">
        <v>148</v>
      </c>
      <c r="F476" t="s">
        <v>292</v>
      </c>
      <c r="G476" t="s">
        <v>31</v>
      </c>
      <c r="H476" t="s">
        <v>252</v>
      </c>
      <c r="I476" t="s">
        <v>135</v>
      </c>
      <c r="J476" t="s">
        <v>39</v>
      </c>
      <c r="K476" t="s">
        <v>31</v>
      </c>
      <c r="L476">
        <v>2.370000000000001</v>
      </c>
      <c r="M476">
        <v>1</v>
      </c>
      <c r="N476" s="2">
        <v>2.729832824165364</v>
      </c>
      <c r="O476" s="2">
        <v>5.3797577395665286</v>
      </c>
      <c r="P476" s="1">
        <v>-1.3196045040170097</v>
      </c>
      <c r="Q476" s="1">
        <v>1.0674536938902881</v>
      </c>
      <c r="R476" s="1">
        <v>-1.8454036712681361</v>
      </c>
      <c r="S476" s="19">
        <v>0</v>
      </c>
      <c r="T476" s="19">
        <v>0</v>
      </c>
      <c r="U476" s="19">
        <v>0.16493039592568651</v>
      </c>
      <c r="V476" s="19">
        <v>0.31269814691129838</v>
      </c>
      <c r="W476" s="19">
        <v>0.53917095545876526</v>
      </c>
      <c r="X476" s="19">
        <v>0.86670749123017277</v>
      </c>
      <c r="Y476" s="19">
        <v>1.3166944477661513</v>
      </c>
      <c r="Z476" s="19">
        <v>1.9060330943465849</v>
      </c>
      <c r="AA476" s="19">
        <v>2.6427459118411489</v>
      </c>
      <c r="AB476" s="19">
        <v>3.521346572389318</v>
      </c>
      <c r="AC476" s="19">
        <v>4.5191394892759797</v>
      </c>
      <c r="AD476" s="19">
        <v>5.5950126757928667</v>
      </c>
      <c r="AE476" s="19">
        <v>6.6922385195661738</v>
      </c>
      <c r="AF476" s="19">
        <v>7.7459906417087971</v>
      </c>
      <c r="AG476" s="19">
        <v>8.6946720531693611</v>
      </c>
      <c r="AH476" s="19">
        <v>9.4922056536365229</v>
      </c>
      <c r="AI476" s="19">
        <v>10.1171790474266</v>
      </c>
      <c r="AJ476" s="19">
        <v>10.604294166313933</v>
      </c>
      <c r="AK476" s="19">
        <v>10.91358382800418</v>
      </c>
      <c r="AL476" s="19">
        <v>11.182705740418749</v>
      </c>
      <c r="AM476" s="19">
        <v>11.320070563542778</v>
      </c>
      <c r="AN476" s="19">
        <v>11.413685519845201</v>
      </c>
      <c r="AO476" s="19">
        <v>11.508473631447856</v>
      </c>
      <c r="AP476" s="19">
        <v>11.604447598168983</v>
      </c>
      <c r="AQ476" s="19">
        <v>0</v>
      </c>
      <c r="AR476" s="19">
        <v>142.67402614418711</v>
      </c>
    </row>
    <row r="477" spans="1:44" x14ac:dyDescent="0.25">
      <c r="A477" t="s">
        <v>250</v>
      </c>
      <c r="B477" t="s">
        <v>291</v>
      </c>
      <c r="C477" t="s">
        <v>44</v>
      </c>
      <c r="D477" t="s">
        <v>292</v>
      </c>
      <c r="E477" t="s">
        <v>145</v>
      </c>
      <c r="F477" t="s">
        <v>292</v>
      </c>
      <c r="G477" t="s">
        <v>31</v>
      </c>
      <c r="H477" t="s">
        <v>253</v>
      </c>
      <c r="I477" t="s">
        <v>135</v>
      </c>
      <c r="J477" t="s">
        <v>39</v>
      </c>
      <c r="K477" t="s">
        <v>31</v>
      </c>
      <c r="L477">
        <v>2.370000000000001</v>
      </c>
      <c r="M477">
        <v>1</v>
      </c>
      <c r="N477" s="2">
        <v>2.729832824165364</v>
      </c>
      <c r="O477" s="2">
        <v>5.3797577395665286</v>
      </c>
      <c r="P477" s="1">
        <v>-1.3196045040170097</v>
      </c>
      <c r="Q477" s="1">
        <v>1.0674536938902881</v>
      </c>
      <c r="R477" s="1">
        <v>-1.8454036712681361</v>
      </c>
      <c r="S477" s="19">
        <v>0</v>
      </c>
      <c r="T477" s="19">
        <v>0</v>
      </c>
      <c r="U477" s="19">
        <v>0.15624817497237667</v>
      </c>
      <c r="V477" s="19">
        <v>0.29280125332988205</v>
      </c>
      <c r="W477" s="19">
        <v>0.49898784881354769</v>
      </c>
      <c r="X477" s="19">
        <v>0.7927468193564372</v>
      </c>
      <c r="Y477" s="19">
        <v>1.1902226072751061</v>
      </c>
      <c r="Z477" s="19">
        <v>1.7026984959218383</v>
      </c>
      <c r="AA477" s="19">
        <v>2.3329738852497326</v>
      </c>
      <c r="AB477" s="19">
        <v>3.0718043771592063</v>
      </c>
      <c r="AC477" s="19">
        <v>3.8954187306483408</v>
      </c>
      <c r="AD477" s="19">
        <v>4.7653689540215787</v>
      </c>
      <c r="AE477" s="19">
        <v>5.6318035442495784</v>
      </c>
      <c r="AF477" s="19">
        <v>6.4404675119844752</v>
      </c>
      <c r="AG477" s="19">
        <v>7.142361384622129</v>
      </c>
      <c r="AH477" s="19">
        <v>7.7034971785750512</v>
      </c>
      <c r="AI477" s="19">
        <v>8.1114131357722172</v>
      </c>
      <c r="AJ477" s="19">
        <v>10.46456186862998</v>
      </c>
      <c r="AK477" s="19">
        <v>10.630608659389411</v>
      </c>
      <c r="AL477" s="19">
        <v>10.734286196319781</v>
      </c>
      <c r="AM477" s="19">
        <v>10.685138047573099</v>
      </c>
      <c r="AN477" s="19">
        <v>10.566054960447282</v>
      </c>
      <c r="AO477" s="19">
        <v>10.416418875404712</v>
      </c>
      <c r="AP477" s="19">
        <v>10.234480874820919</v>
      </c>
      <c r="AQ477" s="19">
        <v>1.5207252478304962</v>
      </c>
      <c r="AR477" s="19">
        <v>128.98108863236718</v>
      </c>
    </row>
    <row r="478" spans="1:44" x14ac:dyDescent="0.25">
      <c r="A478" t="s">
        <v>250</v>
      </c>
      <c r="B478" t="s">
        <v>291</v>
      </c>
      <c r="C478" t="s">
        <v>44</v>
      </c>
      <c r="D478" t="s">
        <v>292</v>
      </c>
      <c r="E478" t="s">
        <v>148</v>
      </c>
      <c r="F478" t="s">
        <v>292</v>
      </c>
      <c r="G478" t="s">
        <v>31</v>
      </c>
      <c r="H478" t="s">
        <v>253</v>
      </c>
      <c r="I478" t="s">
        <v>135</v>
      </c>
      <c r="J478" t="s">
        <v>39</v>
      </c>
      <c r="K478" t="s">
        <v>31</v>
      </c>
      <c r="L478">
        <v>2.370000000000001</v>
      </c>
      <c r="M478">
        <v>1</v>
      </c>
      <c r="N478" s="2">
        <v>2.729832824165364</v>
      </c>
      <c r="O478" s="2">
        <v>5.3797577395665286</v>
      </c>
      <c r="P478" s="1">
        <v>-1.3196045040170097</v>
      </c>
      <c r="Q478" s="1">
        <v>1.0674536938902881</v>
      </c>
      <c r="R478" s="1">
        <v>-1.8454036712681361</v>
      </c>
      <c r="S478" s="19">
        <v>0</v>
      </c>
      <c r="T478" s="19">
        <v>0</v>
      </c>
      <c r="U478" s="19">
        <v>3.6750019057545671E-2</v>
      </c>
      <c r="V478" s="19">
        <v>6.9648653865327356E-2</v>
      </c>
      <c r="W478" s="19">
        <v>0.12004563845581089</v>
      </c>
      <c r="X478" s="19">
        <v>0.19289760741869641</v>
      </c>
      <c r="Y478" s="19">
        <v>0.29293792298011812</v>
      </c>
      <c r="Z478" s="19">
        <v>0.42389591797802822</v>
      </c>
      <c r="AA478" s="19">
        <v>0.58752222893381234</v>
      </c>
      <c r="AB478" s="19">
        <v>0.78256359847830603</v>
      </c>
      <c r="AC478" s="19">
        <v>1.0039462713517155</v>
      </c>
      <c r="AD478" s="19">
        <v>1.2425146447311053</v>
      </c>
      <c r="AE478" s="19">
        <v>1.4856599785304836</v>
      </c>
      <c r="AF478" s="19">
        <v>1.7189941429581457</v>
      </c>
      <c r="AG478" s="19">
        <v>1.9288652331145015</v>
      </c>
      <c r="AH478" s="19">
        <v>2.1050813922383451</v>
      </c>
      <c r="AI478" s="19">
        <v>2.2429318424632982</v>
      </c>
      <c r="AJ478" s="19">
        <v>2.3501473713802628</v>
      </c>
      <c r="AK478" s="19">
        <v>2.4179048066099189</v>
      </c>
      <c r="AL478" s="19">
        <v>2.4767317219562082</v>
      </c>
      <c r="AM478" s="19">
        <v>2.5063587310094877</v>
      </c>
      <c r="AN478" s="19">
        <v>2.5262933723018386</v>
      </c>
      <c r="AO478" s="19">
        <v>2.5464850739471085</v>
      </c>
      <c r="AP478" s="19">
        <v>2.5669365813215466</v>
      </c>
      <c r="AQ478" s="19">
        <v>0</v>
      </c>
      <c r="AR478" s="19">
        <v>31.625112751081613</v>
      </c>
    </row>
    <row r="479" spans="1:44" x14ac:dyDescent="0.25">
      <c r="A479" t="s">
        <v>250</v>
      </c>
      <c r="B479" t="s">
        <v>291</v>
      </c>
      <c r="C479" t="s">
        <v>44</v>
      </c>
      <c r="D479" t="s">
        <v>292</v>
      </c>
      <c r="E479" t="s">
        <v>145</v>
      </c>
      <c r="F479" t="s">
        <v>292</v>
      </c>
      <c r="G479" t="s">
        <v>31</v>
      </c>
      <c r="H479" t="s">
        <v>254</v>
      </c>
      <c r="I479" t="s">
        <v>135</v>
      </c>
      <c r="J479" t="s">
        <v>39</v>
      </c>
      <c r="K479" t="s">
        <v>31</v>
      </c>
      <c r="L479">
        <v>2.370000000000001</v>
      </c>
      <c r="M479">
        <v>1</v>
      </c>
      <c r="N479" s="2">
        <v>2.729832824165364</v>
      </c>
      <c r="O479" s="2">
        <v>5.3797577395665286</v>
      </c>
      <c r="P479" s="1">
        <v>-1.3196045040170097</v>
      </c>
      <c r="Q479" s="1">
        <v>1.0674536938902881</v>
      </c>
      <c r="R479" s="1">
        <v>-1.8454036712681361</v>
      </c>
      <c r="S479" s="19">
        <v>0</v>
      </c>
      <c r="T479" s="19">
        <v>0</v>
      </c>
      <c r="U479" s="19">
        <v>27.2868670249877</v>
      </c>
      <c r="V479" s="19">
        <v>51.114368690981593</v>
      </c>
      <c r="W479" s="19">
        <v>87.074580038936418</v>
      </c>
      <c r="X479" s="19">
        <v>138.28251687838997</v>
      </c>
      <c r="Y479" s="19">
        <v>207.53545957538981</v>
      </c>
      <c r="Z479" s="19">
        <v>296.77903416769288</v>
      </c>
      <c r="AA479" s="19">
        <v>406.47766853658629</v>
      </c>
      <c r="AB479" s="19">
        <v>534.99745625273886</v>
      </c>
      <c r="AC479" s="19">
        <v>678.17794045455059</v>
      </c>
      <c r="AD479" s="19">
        <v>829.3109328158838</v>
      </c>
      <c r="AE479" s="19">
        <v>979.71488210148675</v>
      </c>
      <c r="AF479" s="19">
        <v>1119.9559745794654</v>
      </c>
      <c r="AG479" s="19">
        <v>1241.528593985998</v>
      </c>
      <c r="AH479" s="19">
        <v>1338.548717715923</v>
      </c>
      <c r="AI479" s="19">
        <v>1408.88039221691</v>
      </c>
      <c r="AJ479" s="19">
        <v>1828.170602205277</v>
      </c>
      <c r="AK479" s="19">
        <v>1856.4264228804479</v>
      </c>
      <c r="AL479" s="19">
        <v>1873.6974296049364</v>
      </c>
      <c r="AM479" s="19">
        <v>1864.1902918442213</v>
      </c>
      <c r="AN479" s="19">
        <v>1842.3747228276588</v>
      </c>
      <c r="AO479" s="19">
        <v>1815.1143314187259</v>
      </c>
      <c r="AP479" s="19">
        <v>1782.1022352298044</v>
      </c>
      <c r="AQ479" s="19">
        <v>271.63999023122307</v>
      </c>
      <c r="AR479" s="19">
        <v>22479.381411278213</v>
      </c>
    </row>
    <row r="480" spans="1:44" x14ac:dyDescent="0.25">
      <c r="A480" t="s">
        <v>250</v>
      </c>
      <c r="B480" t="s">
        <v>291</v>
      </c>
      <c r="C480" t="s">
        <v>44</v>
      </c>
      <c r="D480" t="s">
        <v>292</v>
      </c>
      <c r="E480" t="s">
        <v>148</v>
      </c>
      <c r="F480" t="s">
        <v>292</v>
      </c>
      <c r="G480" t="s">
        <v>31</v>
      </c>
      <c r="H480" t="s">
        <v>254</v>
      </c>
      <c r="I480" t="s">
        <v>135</v>
      </c>
      <c r="J480" t="s">
        <v>39</v>
      </c>
      <c r="K480" t="s">
        <v>31</v>
      </c>
      <c r="L480">
        <v>2.370000000000001</v>
      </c>
      <c r="M480">
        <v>1</v>
      </c>
      <c r="N480" s="2">
        <v>2.729832824165364</v>
      </c>
      <c r="O480" s="2">
        <v>5.3797577395665286</v>
      </c>
      <c r="P480" s="1">
        <v>-1.3196045040170097</v>
      </c>
      <c r="Q480" s="1">
        <v>1.0674536938902881</v>
      </c>
      <c r="R480" s="1">
        <v>-1.8454036712681361</v>
      </c>
      <c r="S480" s="19">
        <v>0</v>
      </c>
      <c r="T480" s="19">
        <v>0</v>
      </c>
      <c r="U480" s="19">
        <v>6.5812583285553377</v>
      </c>
      <c r="V480" s="19">
        <v>12.468097372813933</v>
      </c>
      <c r="W480" s="19">
        <v>21.481855894538811</v>
      </c>
      <c r="X480" s="19">
        <v>34.505797462174272</v>
      </c>
      <c r="Y480" s="19">
        <v>52.382050369218817</v>
      </c>
      <c r="Z480" s="19">
        <v>75.772156017282839</v>
      </c>
      <c r="AA480" s="19">
        <v>104.98326299953987</v>
      </c>
      <c r="AB480" s="19">
        <v>139.78565066189526</v>
      </c>
      <c r="AC480" s="19">
        <v>179.26785847569215</v>
      </c>
      <c r="AD480" s="19">
        <v>221.79119501603128</v>
      </c>
      <c r="AE480" s="19">
        <v>265.10312166859541</v>
      </c>
      <c r="AF480" s="19">
        <v>306.63677998665901</v>
      </c>
      <c r="AG480" s="19">
        <v>343.96001157157326</v>
      </c>
      <c r="AH480" s="19">
        <v>375.26059530366081</v>
      </c>
      <c r="AI480" s="19">
        <v>399.70531133349846</v>
      </c>
      <c r="AJ480" s="19">
        <v>418.67831910093457</v>
      </c>
      <c r="AK480" s="19">
        <v>430.61371440139931</v>
      </c>
      <c r="AL480" s="19">
        <v>440.95335279739481</v>
      </c>
      <c r="AM480" s="19">
        <v>446.09121125998843</v>
      </c>
      <c r="AN480" s="19">
        <v>449.503100068913</v>
      </c>
      <c r="AO480" s="19">
        <v>452.96038788692562</v>
      </c>
      <c r="AP480" s="19">
        <v>456.463551811277</v>
      </c>
      <c r="AQ480" s="19">
        <v>0</v>
      </c>
      <c r="AR480" s="19">
        <v>5634.948639788563</v>
      </c>
    </row>
    <row r="481" spans="1:44" x14ac:dyDescent="0.25">
      <c r="A481" t="s">
        <v>250</v>
      </c>
      <c r="B481" t="s">
        <v>291</v>
      </c>
      <c r="C481" t="s">
        <v>44</v>
      </c>
      <c r="D481" t="s">
        <v>292</v>
      </c>
      <c r="E481" t="s">
        <v>145</v>
      </c>
      <c r="F481" t="s">
        <v>292</v>
      </c>
      <c r="G481" t="s">
        <v>31</v>
      </c>
      <c r="H481" t="s">
        <v>255</v>
      </c>
      <c r="I481" t="s">
        <v>135</v>
      </c>
      <c r="J481" t="s">
        <v>39</v>
      </c>
      <c r="K481" t="s">
        <v>31</v>
      </c>
      <c r="L481">
        <v>2.370000000000001</v>
      </c>
      <c r="M481">
        <v>1</v>
      </c>
      <c r="N481" s="2">
        <v>2.729832824165364</v>
      </c>
      <c r="O481" s="2">
        <v>5.3797577395665286</v>
      </c>
      <c r="P481" s="1">
        <v>-1.3196045040170097</v>
      </c>
      <c r="Q481" s="1">
        <v>1.0674536938902881</v>
      </c>
      <c r="R481" s="1">
        <v>-1.8454036712681361</v>
      </c>
      <c r="S481" s="19">
        <v>0</v>
      </c>
      <c r="T481" s="19">
        <v>0</v>
      </c>
      <c r="U481" s="19">
        <v>5.6686329638901869</v>
      </c>
      <c r="V481" s="19">
        <v>10.570468541937371</v>
      </c>
      <c r="W481" s="19">
        <v>17.925414164329315</v>
      </c>
      <c r="X481" s="19">
        <v>28.33816072613244</v>
      </c>
      <c r="Y481" s="19">
        <v>42.337310727656146</v>
      </c>
      <c r="Z481" s="19">
        <v>60.268550644481877</v>
      </c>
      <c r="AA481" s="19">
        <v>82.171420500766118</v>
      </c>
      <c r="AB481" s="19">
        <v>107.66198785255472</v>
      </c>
      <c r="AC481" s="19">
        <v>135.85665258913602</v>
      </c>
      <c r="AD481" s="19">
        <v>165.37932488701205</v>
      </c>
      <c r="AE481" s="19">
        <v>194.48678738165995</v>
      </c>
      <c r="AF481" s="19">
        <v>221.31860374842211</v>
      </c>
      <c r="AG481" s="19">
        <v>244.2307091726563</v>
      </c>
      <c r="AH481" s="19">
        <v>262.12249910466301</v>
      </c>
      <c r="AI481" s="19">
        <v>274.64444283728187</v>
      </c>
      <c r="AJ481" s="19">
        <v>382.1984361960096</v>
      </c>
      <c r="AK481" s="19">
        <v>386.27242815215175</v>
      </c>
      <c r="AL481" s="19">
        <v>387.84737188526526</v>
      </c>
      <c r="AM481" s="19">
        <v>383.64817074947496</v>
      </c>
      <c r="AN481" s="19">
        <v>376.67600547199254</v>
      </c>
      <c r="AO481" s="19">
        <v>368.33013508602926</v>
      </c>
      <c r="AP481" s="19">
        <v>358.54720943987803</v>
      </c>
      <c r="AQ481" s="19">
        <v>70.712780639876883</v>
      </c>
      <c r="AR481" s="19">
        <v>4567.2135034632583</v>
      </c>
    </row>
    <row r="482" spans="1:44" x14ac:dyDescent="0.25">
      <c r="A482" t="s">
        <v>250</v>
      </c>
      <c r="B482" t="s">
        <v>291</v>
      </c>
      <c r="C482" t="s">
        <v>44</v>
      </c>
      <c r="D482" t="s">
        <v>292</v>
      </c>
      <c r="E482" t="s">
        <v>148</v>
      </c>
      <c r="F482" t="s">
        <v>292</v>
      </c>
      <c r="G482" t="s">
        <v>31</v>
      </c>
      <c r="H482" t="s">
        <v>255</v>
      </c>
      <c r="I482" t="s">
        <v>135</v>
      </c>
      <c r="J482" t="s">
        <v>39</v>
      </c>
      <c r="K482" t="s">
        <v>31</v>
      </c>
      <c r="L482">
        <v>2.370000000000001</v>
      </c>
      <c r="M482">
        <v>1</v>
      </c>
      <c r="N482" s="2">
        <v>2.729832824165364</v>
      </c>
      <c r="O482" s="2">
        <v>5.3797577395665286</v>
      </c>
      <c r="P482" s="1">
        <v>-1.3196045040170097</v>
      </c>
      <c r="Q482" s="1">
        <v>1.0674536938902881</v>
      </c>
      <c r="R482" s="1">
        <v>-1.8454036712681361</v>
      </c>
      <c r="S482" s="19">
        <v>0</v>
      </c>
      <c r="T482" s="19">
        <v>0</v>
      </c>
      <c r="U482" s="19">
        <v>1.7651850955237862</v>
      </c>
      <c r="V482" s="19">
        <v>3.3293623175206406</v>
      </c>
      <c r="W482" s="19">
        <v>5.711292345542196</v>
      </c>
      <c r="X482" s="19">
        <v>9.1343692200413926</v>
      </c>
      <c r="Y482" s="19">
        <v>13.807501247811503</v>
      </c>
      <c r="Z482" s="19">
        <v>19.888890681983568</v>
      </c>
      <c r="AA482" s="19">
        <v>27.441732145160731</v>
      </c>
      <c r="AB482" s="19">
        <v>36.388721864711997</v>
      </c>
      <c r="AC482" s="19">
        <v>46.477376204584921</v>
      </c>
      <c r="AD482" s="19">
        <v>57.271772992939155</v>
      </c>
      <c r="AE482" s="19">
        <v>68.185258621986108</v>
      </c>
      <c r="AF482" s="19">
        <v>78.559978869117856</v>
      </c>
      <c r="AG482" s="19">
        <v>87.782638623639627</v>
      </c>
      <c r="AH482" s="19">
        <v>95.406785134195857</v>
      </c>
      <c r="AI482" s="19">
        <v>101.240399385176</v>
      </c>
      <c r="AJ482" s="19">
        <v>105.65352398647134</v>
      </c>
      <c r="AK482" s="19">
        <v>108.2686815242814</v>
      </c>
      <c r="AL482" s="19">
        <v>110.46913095310607</v>
      </c>
      <c r="AM482" s="19">
        <v>111.35943034616322</v>
      </c>
      <c r="AN482" s="19">
        <v>111.8182619258788</v>
      </c>
      <c r="AO482" s="19">
        <v>112.28934887793368</v>
      </c>
      <c r="AP482" s="19">
        <v>112.77276464888703</v>
      </c>
      <c r="AQ482" s="19">
        <v>0</v>
      </c>
      <c r="AR482" s="19">
        <v>1425.0224070126569</v>
      </c>
    </row>
    <row r="483" spans="1:44" x14ac:dyDescent="0.25">
      <c r="A483" t="s">
        <v>250</v>
      </c>
      <c r="B483" t="s">
        <v>291</v>
      </c>
      <c r="C483" t="s">
        <v>44</v>
      </c>
      <c r="D483" t="s">
        <v>292</v>
      </c>
      <c r="E483" t="s">
        <v>145</v>
      </c>
      <c r="F483" t="s">
        <v>292</v>
      </c>
      <c r="G483" t="s">
        <v>31</v>
      </c>
      <c r="H483" t="s">
        <v>288</v>
      </c>
      <c r="I483" t="s">
        <v>135</v>
      </c>
      <c r="J483" t="s">
        <v>39</v>
      </c>
      <c r="K483" t="s">
        <v>33</v>
      </c>
      <c r="L483">
        <v>2.370000000000001</v>
      </c>
      <c r="M483">
        <v>1</v>
      </c>
      <c r="N483" s="2">
        <v>2.729832824165364</v>
      </c>
      <c r="O483" s="2">
        <v>5.3797577395665286</v>
      </c>
      <c r="P483" s="1">
        <v>-1.3196045040170097</v>
      </c>
      <c r="Q483" s="1">
        <v>1.0674536938902881</v>
      </c>
      <c r="R483" s="1">
        <v>-1.8454036712681361</v>
      </c>
      <c r="S483" s="19">
        <v>0</v>
      </c>
      <c r="T483" s="19">
        <v>0</v>
      </c>
      <c r="U483" s="19">
        <v>0.2978494716767745</v>
      </c>
      <c r="V483" s="19">
        <v>0.55877148858866521</v>
      </c>
      <c r="W483" s="19">
        <v>0.95330243553300453</v>
      </c>
      <c r="X483" s="19">
        <v>1.5161936268308689</v>
      </c>
      <c r="Y483" s="19">
        <v>2.2789131770218134</v>
      </c>
      <c r="Z483" s="19">
        <v>3.2637490832037344</v>
      </c>
      <c r="AA483" s="19">
        <v>4.4768064014265798</v>
      </c>
      <c r="AB483" s="19">
        <v>5.9010788435184862</v>
      </c>
      <c r="AC483" s="19">
        <v>7.4915457567895603</v>
      </c>
      <c r="AD483" s="19">
        <v>9.1747290049011738</v>
      </c>
      <c r="AE483" s="19">
        <v>10.854845263225712</v>
      </c>
      <c r="AF483" s="19">
        <v>12.427190617535864</v>
      </c>
      <c r="AG483" s="19">
        <v>13.796750563370818</v>
      </c>
      <c r="AH483" s="19">
        <v>14.897121018014602</v>
      </c>
      <c r="AI483" s="19">
        <v>15.703279678961517</v>
      </c>
      <c r="AJ483" s="19">
        <v>19.930862032071985</v>
      </c>
      <c r="AK483" s="19">
        <v>20.270474915095892</v>
      </c>
      <c r="AL483" s="19">
        <v>20.494107448383325</v>
      </c>
      <c r="AM483" s="19">
        <v>20.42919429525546</v>
      </c>
      <c r="AN483" s="19">
        <v>20.233978412517413</v>
      </c>
      <c r="AO483" s="19">
        <v>19.983995341086299</v>
      </c>
      <c r="AP483" s="19">
        <v>19.675972533486448</v>
      </c>
      <c r="AQ483" s="19">
        <v>2.7089418694592124</v>
      </c>
      <c r="AR483" s="19">
        <v>247.31965327795521</v>
      </c>
    </row>
    <row r="484" spans="1:44" x14ac:dyDescent="0.25">
      <c r="A484" t="s">
        <v>250</v>
      </c>
      <c r="B484" t="s">
        <v>291</v>
      </c>
      <c r="C484" t="s">
        <v>44</v>
      </c>
      <c r="D484" t="s">
        <v>292</v>
      </c>
      <c r="E484" t="s">
        <v>148</v>
      </c>
      <c r="F484" t="s">
        <v>292</v>
      </c>
      <c r="G484" t="s">
        <v>31</v>
      </c>
      <c r="H484" t="s">
        <v>288</v>
      </c>
      <c r="I484" t="s">
        <v>135</v>
      </c>
      <c r="J484" t="s">
        <v>39</v>
      </c>
      <c r="K484" t="s">
        <v>33</v>
      </c>
      <c r="L484">
        <v>2.370000000000001</v>
      </c>
      <c r="M484">
        <v>1</v>
      </c>
      <c r="N484" s="2">
        <v>2.729832824165364</v>
      </c>
      <c r="O484" s="2">
        <v>5.3797577395665286</v>
      </c>
      <c r="P484" s="1">
        <v>-1.3196045040170097</v>
      </c>
      <c r="Q484" s="1">
        <v>1.0674536938902881</v>
      </c>
      <c r="R484" s="1">
        <v>-1.8454036712681361</v>
      </c>
      <c r="S484" s="19">
        <v>0</v>
      </c>
      <c r="T484" s="19">
        <v>0</v>
      </c>
      <c r="U484" s="19">
        <v>6.4991517498973819E-2</v>
      </c>
      <c r="V484" s="19">
        <v>0.1233041010154402</v>
      </c>
      <c r="W484" s="19">
        <v>0.21275098825120431</v>
      </c>
      <c r="X484" s="19">
        <v>0.34222142313085296</v>
      </c>
      <c r="Y484" s="19">
        <v>0.52024255312631484</v>
      </c>
      <c r="Z484" s="19">
        <v>0.7535884402071138</v>
      </c>
      <c r="AA484" s="19">
        <v>1.0455356334082413</v>
      </c>
      <c r="AB484" s="19">
        <v>1.3940186108285373</v>
      </c>
      <c r="AC484" s="19">
        <v>1.7901469076016028</v>
      </c>
      <c r="AD484" s="19">
        <v>2.2177056219923919</v>
      </c>
      <c r="AE484" s="19">
        <v>2.6542444752203829</v>
      </c>
      <c r="AF484" s="19">
        <v>3.0740432817808547</v>
      </c>
      <c r="AG484" s="19">
        <v>3.4526022295003052</v>
      </c>
      <c r="AH484" s="19">
        <v>3.7715308317297871</v>
      </c>
      <c r="AI484" s="19">
        <v>4.0222032714946421</v>
      </c>
      <c r="AJ484" s="19">
        <v>4.2182983685198678</v>
      </c>
      <c r="AK484" s="19">
        <v>4.3438096068737186</v>
      </c>
      <c r="AL484" s="19">
        <v>4.4534347266440459</v>
      </c>
      <c r="AM484" s="19">
        <v>4.5106495700176401</v>
      </c>
      <c r="AN484" s="19">
        <v>4.5504526270557824</v>
      </c>
      <c r="AO484" s="19">
        <v>4.5907343903726732</v>
      </c>
      <c r="AP484" s="19">
        <v>4.631500131303274</v>
      </c>
      <c r="AQ484" s="19">
        <v>0</v>
      </c>
      <c r="AR484" s="19">
        <v>56.738009307573655</v>
      </c>
    </row>
    <row r="485" spans="1:44" x14ac:dyDescent="0.25">
      <c r="A485" t="s">
        <v>250</v>
      </c>
      <c r="B485" t="s">
        <v>291</v>
      </c>
      <c r="C485" t="s">
        <v>44</v>
      </c>
      <c r="D485" t="s">
        <v>292</v>
      </c>
      <c r="E485" t="s">
        <v>145</v>
      </c>
      <c r="F485" t="s">
        <v>292</v>
      </c>
      <c r="G485" t="s">
        <v>31</v>
      </c>
      <c r="H485" t="s">
        <v>274</v>
      </c>
      <c r="I485" t="s">
        <v>135</v>
      </c>
      <c r="J485" t="s">
        <v>39</v>
      </c>
      <c r="K485" t="s">
        <v>33</v>
      </c>
      <c r="L485">
        <v>2.370000000000001</v>
      </c>
      <c r="M485">
        <v>1</v>
      </c>
      <c r="N485" s="2">
        <v>2.729832824165364</v>
      </c>
      <c r="O485" s="2">
        <v>5.3797577395665286</v>
      </c>
      <c r="P485" s="1">
        <v>-1.3196045040170097</v>
      </c>
      <c r="Q485" s="1">
        <v>1.0674536938902881</v>
      </c>
      <c r="R485" s="1">
        <v>-1.8454036712681361</v>
      </c>
      <c r="S485" s="19">
        <v>0</v>
      </c>
      <c r="T485" s="19">
        <v>0</v>
      </c>
      <c r="U485" s="19">
        <v>5.0743551023463673E-2</v>
      </c>
      <c r="V485" s="19">
        <v>9.5043131666671887E-2</v>
      </c>
      <c r="W485" s="19">
        <v>0.16188987229261659</v>
      </c>
      <c r="X485" s="19">
        <v>0.25706687775053128</v>
      </c>
      <c r="Y485" s="19">
        <v>0.38576401543891881</v>
      </c>
      <c r="Z485" s="19">
        <v>0.55158592425169939</v>
      </c>
      <c r="AA485" s="19">
        <v>0.75538299539200748</v>
      </c>
      <c r="AB485" s="19">
        <v>0.99410620734510324</v>
      </c>
      <c r="AC485" s="19">
        <v>1.2600137456442664</v>
      </c>
      <c r="AD485" s="19">
        <v>1.5406343258982356</v>
      </c>
      <c r="AE485" s="19">
        <v>1.8198367861076736</v>
      </c>
      <c r="AF485" s="19">
        <v>2.0801001277834983</v>
      </c>
      <c r="AG485" s="19">
        <v>2.3056350809784321</v>
      </c>
      <c r="AH485" s="19">
        <v>2.4855275584085694</v>
      </c>
      <c r="AI485" s="19">
        <v>2.6158273766503028</v>
      </c>
      <c r="AJ485" s="19">
        <v>3.4001047803578937</v>
      </c>
      <c r="AK485" s="19">
        <v>3.4522458290610598</v>
      </c>
      <c r="AL485" s="19">
        <v>3.4839087723885722</v>
      </c>
      <c r="AM485" s="19">
        <v>3.4657258053876667</v>
      </c>
      <c r="AN485" s="19">
        <v>3.4246021598399636</v>
      </c>
      <c r="AO485" s="19">
        <v>3.3732941826597465</v>
      </c>
      <c r="AP485" s="19">
        <v>3.3112304862812589</v>
      </c>
      <c r="AQ485" s="19">
        <v>0.50844588709603145</v>
      </c>
      <c r="AR485" s="19">
        <v>41.778715479704175</v>
      </c>
    </row>
    <row r="486" spans="1:44" x14ac:dyDescent="0.25">
      <c r="A486" t="s">
        <v>250</v>
      </c>
      <c r="B486" t="s">
        <v>291</v>
      </c>
      <c r="C486" t="s">
        <v>44</v>
      </c>
      <c r="D486" t="s">
        <v>292</v>
      </c>
      <c r="E486" t="s">
        <v>148</v>
      </c>
      <c r="F486" t="s">
        <v>292</v>
      </c>
      <c r="G486" t="s">
        <v>31</v>
      </c>
      <c r="H486" t="s">
        <v>274</v>
      </c>
      <c r="I486" t="s">
        <v>135</v>
      </c>
      <c r="J486" t="s">
        <v>39</v>
      </c>
      <c r="K486" t="s">
        <v>33</v>
      </c>
      <c r="L486">
        <v>2.370000000000001</v>
      </c>
      <c r="M486">
        <v>1</v>
      </c>
      <c r="N486" s="2">
        <v>2.729832824165364</v>
      </c>
      <c r="O486" s="2">
        <v>5.3797577395665286</v>
      </c>
      <c r="P486" s="1">
        <v>-1.3196045040170097</v>
      </c>
      <c r="Q486" s="1">
        <v>1.0674536938902881</v>
      </c>
      <c r="R486" s="1">
        <v>-1.8454036712681361</v>
      </c>
      <c r="S486" s="19">
        <v>0</v>
      </c>
      <c r="T486" s="19">
        <v>0</v>
      </c>
      <c r="U486" s="19">
        <v>1.2327782544300716E-2</v>
      </c>
      <c r="V486" s="19">
        <v>2.3352218686971179E-2</v>
      </c>
      <c r="W486" s="19">
        <v>4.0230205157200251E-2</v>
      </c>
      <c r="X486" s="19">
        <v>6.461383945802153E-2</v>
      </c>
      <c r="Y486" s="19">
        <v>9.8077536570223972E-2</v>
      </c>
      <c r="Z486" s="19">
        <v>0.14185701555405303</v>
      </c>
      <c r="AA486" s="19">
        <v>0.19652413828337401</v>
      </c>
      <c r="AB486" s="19">
        <v>0.26164571384936647</v>
      </c>
      <c r="AC486" s="19">
        <v>0.33551288127938728</v>
      </c>
      <c r="AD486" s="19">
        <v>0.41505661470234945</v>
      </c>
      <c r="AE486" s="19">
        <v>0.49606054181750686</v>
      </c>
      <c r="AF486" s="19">
        <v>0.57372188984722405</v>
      </c>
      <c r="AG486" s="19">
        <v>0.64349176005089659</v>
      </c>
      <c r="AH486" s="19">
        <v>0.70198265919547598</v>
      </c>
      <c r="AI486" s="19">
        <v>0.74763951681774277</v>
      </c>
      <c r="AJ486" s="19">
        <v>0.78305493047889285</v>
      </c>
      <c r="AK486" s="19">
        <v>0.80530344747484961</v>
      </c>
      <c r="AL486" s="19">
        <v>0.82456483269925285</v>
      </c>
      <c r="AM486" s="19">
        <v>0.834097453938769</v>
      </c>
      <c r="AN486" s="19">
        <v>0.8404024249301979</v>
      </c>
      <c r="AO486" s="19">
        <v>0.84679212659113379</v>
      </c>
      <c r="AP486" s="19">
        <v>0.85326744460397852</v>
      </c>
      <c r="AQ486" s="19">
        <v>0</v>
      </c>
      <c r="AR486" s="19">
        <v>10.539576974531167</v>
      </c>
    </row>
    <row r="487" spans="1:44" x14ac:dyDescent="0.25">
      <c r="A487" t="s">
        <v>250</v>
      </c>
      <c r="B487" t="s">
        <v>291</v>
      </c>
      <c r="C487" t="s">
        <v>44</v>
      </c>
      <c r="D487" t="s">
        <v>292</v>
      </c>
      <c r="E487" t="s">
        <v>145</v>
      </c>
      <c r="F487" t="s">
        <v>292</v>
      </c>
      <c r="G487" t="s">
        <v>31</v>
      </c>
      <c r="H487" t="s">
        <v>253</v>
      </c>
      <c r="I487" t="s">
        <v>256</v>
      </c>
      <c r="J487" t="s">
        <v>39</v>
      </c>
      <c r="K487" t="s">
        <v>31</v>
      </c>
      <c r="L487">
        <v>2.370000000000001</v>
      </c>
      <c r="M487">
        <v>1</v>
      </c>
      <c r="N487" s="2">
        <v>1.3593406335231053</v>
      </c>
      <c r="O487" s="2">
        <v>2.6788905273490848</v>
      </c>
      <c r="P487" s="1">
        <v>0.14333244733186137</v>
      </c>
      <c r="Q487" s="1">
        <v>0.4672931329656026</v>
      </c>
      <c r="R487" s="1">
        <v>-0.38246671991926479</v>
      </c>
      <c r="S487" s="19">
        <v>0</v>
      </c>
      <c r="T487" s="19">
        <v>0</v>
      </c>
      <c r="U487" s="19">
        <v>8.1961685177176793E-2</v>
      </c>
      <c r="V487" s="19">
        <v>0.15359209251019612</v>
      </c>
      <c r="W487" s="19">
        <v>0.26174952109951422</v>
      </c>
      <c r="X487" s="19">
        <v>0.4158439946244975</v>
      </c>
      <c r="Y487" s="19">
        <v>0.62434425647203395</v>
      </c>
      <c r="Z487" s="19">
        <v>0.8931690760488592</v>
      </c>
      <c r="AA487" s="19">
        <v>1.2237869091476978</v>
      </c>
      <c r="AB487" s="19">
        <v>1.6113485058696353</v>
      </c>
      <c r="AC487" s="19">
        <v>2.0433844023529999</v>
      </c>
      <c r="AD487" s="19">
        <v>2.4997262850056305</v>
      </c>
      <c r="AE487" s="19">
        <v>2.9542240039289931</v>
      </c>
      <c r="AF487" s="19">
        <v>3.3784175124248956</v>
      </c>
      <c r="AG487" s="19">
        <v>3.746603602451783</v>
      </c>
      <c r="AH487" s="19">
        <v>4.0409535063386341</v>
      </c>
      <c r="AI487" s="19">
        <v>4.2549302729053577</v>
      </c>
      <c r="AJ487" s="19">
        <v>5.4893001185157582</v>
      </c>
      <c r="AK487" s="19">
        <v>5.5764017745274925</v>
      </c>
      <c r="AL487" s="19">
        <v>5.6307869578637835</v>
      </c>
      <c r="AM487" s="19">
        <v>5.6050057601292975</v>
      </c>
      <c r="AN487" s="19">
        <v>5.5425394273311133</v>
      </c>
      <c r="AO487" s="19">
        <v>5.4640461860783729</v>
      </c>
      <c r="AP487" s="19">
        <v>5.3686086225468506</v>
      </c>
      <c r="AQ487" s="19">
        <v>0.79771302305261171</v>
      </c>
      <c r="AR487" s="19">
        <v>67.658437496403181</v>
      </c>
    </row>
    <row r="488" spans="1:44" x14ac:dyDescent="0.25">
      <c r="A488" t="s">
        <v>250</v>
      </c>
      <c r="B488" t="s">
        <v>291</v>
      </c>
      <c r="C488" t="s">
        <v>44</v>
      </c>
      <c r="D488" t="s">
        <v>292</v>
      </c>
      <c r="E488" t="s">
        <v>148</v>
      </c>
      <c r="F488" t="s">
        <v>292</v>
      </c>
      <c r="G488" t="s">
        <v>31</v>
      </c>
      <c r="H488" t="s">
        <v>253</v>
      </c>
      <c r="I488" t="s">
        <v>256</v>
      </c>
      <c r="J488" t="s">
        <v>39</v>
      </c>
      <c r="K488" t="s">
        <v>31</v>
      </c>
      <c r="L488">
        <v>2.370000000000001</v>
      </c>
      <c r="M488">
        <v>1</v>
      </c>
      <c r="N488" s="2">
        <v>1.3593406335231053</v>
      </c>
      <c r="O488" s="2">
        <v>2.6788905273490848</v>
      </c>
      <c r="P488" s="1">
        <v>0.14333244733186137</v>
      </c>
      <c r="Q488" s="1">
        <v>0.4672931329656026</v>
      </c>
      <c r="R488" s="1">
        <v>-0.38246671991926479</v>
      </c>
      <c r="S488" s="19">
        <v>0</v>
      </c>
      <c r="T488" s="19">
        <v>0</v>
      </c>
      <c r="U488" s="19">
        <v>1.9277623516449384E-2</v>
      </c>
      <c r="V488" s="19">
        <v>3.6534961398002275E-2</v>
      </c>
      <c r="W488" s="19">
        <v>6.2971249601781881E-2</v>
      </c>
      <c r="X488" s="19">
        <v>0.1011865448890978</v>
      </c>
      <c r="Y488" s="19">
        <v>0.15366378406658085</v>
      </c>
      <c r="Z488" s="19">
        <v>0.22235922936922217</v>
      </c>
      <c r="AA488" s="19">
        <v>0.30819119628744479</v>
      </c>
      <c r="AB488" s="19">
        <v>0.41050227499257086</v>
      </c>
      <c r="AC488" s="19">
        <v>0.52663097179776563</v>
      </c>
      <c r="AD488" s="19">
        <v>0.65177461533541636</v>
      </c>
      <c r="AE488" s="19">
        <v>0.77931915340563163</v>
      </c>
      <c r="AF488" s="19">
        <v>0.90171713552145605</v>
      </c>
      <c r="AG488" s="19">
        <v>1.0118073059968973</v>
      </c>
      <c r="AH488" s="19">
        <v>1.10424341515334</v>
      </c>
      <c r="AI488" s="19">
        <v>1.1765543730564625</v>
      </c>
      <c r="AJ488" s="19">
        <v>1.2327954486962232</v>
      </c>
      <c r="AK488" s="19">
        <v>1.268338350721737</v>
      </c>
      <c r="AL488" s="19">
        <v>1.2991966510917008</v>
      </c>
      <c r="AM488" s="19">
        <v>1.3147378219834256</v>
      </c>
      <c r="AN488" s="19">
        <v>1.3251947556020978</v>
      </c>
      <c r="AO488" s="19">
        <v>1.335786533033928</v>
      </c>
      <c r="AP488" s="19">
        <v>1.3465145943960732</v>
      </c>
      <c r="AQ488" s="19">
        <v>0</v>
      </c>
      <c r="AR488" s="19">
        <v>16.589297989913309</v>
      </c>
    </row>
    <row r="489" spans="1:44" x14ac:dyDescent="0.25">
      <c r="A489" t="s">
        <v>250</v>
      </c>
      <c r="B489" t="s">
        <v>291</v>
      </c>
      <c r="C489" t="s">
        <v>44</v>
      </c>
      <c r="D489" t="s">
        <v>292</v>
      </c>
      <c r="E489" t="s">
        <v>145</v>
      </c>
      <c r="F489" t="s">
        <v>292</v>
      </c>
      <c r="G489" t="s">
        <v>31</v>
      </c>
      <c r="H489" t="s">
        <v>272</v>
      </c>
      <c r="I489" t="s">
        <v>135</v>
      </c>
      <c r="J489" t="s">
        <v>40</v>
      </c>
      <c r="K489" t="s">
        <v>31</v>
      </c>
      <c r="L489">
        <v>2.370000000000001</v>
      </c>
      <c r="M489">
        <v>1</v>
      </c>
      <c r="N489" s="2">
        <v>2.729832824165364</v>
      </c>
      <c r="O489" s="2">
        <v>4.1429695267777937</v>
      </c>
      <c r="P489" s="1">
        <v>-1.3196045040170097</v>
      </c>
      <c r="Q489" s="1">
        <v>0.4672931329656026</v>
      </c>
      <c r="R489" s="1">
        <v>-1.7024036712681361</v>
      </c>
      <c r="S489" s="19">
        <v>0</v>
      </c>
      <c r="T489" s="19">
        <v>0</v>
      </c>
      <c r="U489" s="19">
        <v>3.2950444082254227</v>
      </c>
      <c r="V489" s="19">
        <v>6.1716480857575418</v>
      </c>
      <c r="W489" s="19">
        <v>10.512356894365857</v>
      </c>
      <c r="X489" s="19">
        <v>16.692698106212241</v>
      </c>
      <c r="Y489" s="19">
        <v>25.049676980210496</v>
      </c>
      <c r="Z489" s="19">
        <v>35.817361589869932</v>
      </c>
      <c r="AA489" s="19">
        <v>49.050972287770882</v>
      </c>
      <c r="AB489" s="19">
        <v>64.552520145466872</v>
      </c>
      <c r="AC489" s="19">
        <v>81.819288621573364</v>
      </c>
      <c r="AD489" s="19">
        <v>100.04145193393704</v>
      </c>
      <c r="AE489" s="19">
        <v>118.17152928801283</v>
      </c>
      <c r="AF489" s="19">
        <v>135.07179053024333</v>
      </c>
      <c r="AG489" s="19">
        <v>149.71695570681368</v>
      </c>
      <c r="AH489" s="19">
        <v>161.39831599560986</v>
      </c>
      <c r="AI489" s="19">
        <v>169.85936530789948</v>
      </c>
      <c r="AJ489" s="19">
        <v>220.78660278856577</v>
      </c>
      <c r="AK489" s="19">
        <v>224.17239403697425</v>
      </c>
      <c r="AL489" s="19">
        <v>226.22843470135371</v>
      </c>
      <c r="AM489" s="19">
        <v>225.04771946694711</v>
      </c>
      <c r="AN489" s="19">
        <v>222.37734588104797</v>
      </c>
      <c r="AO489" s="19">
        <v>219.0456503277176</v>
      </c>
      <c r="AP489" s="19">
        <v>215.01552962112541</v>
      </c>
      <c r="AQ489" s="19">
        <v>33.016053141143239</v>
      </c>
      <c r="AR489" s="19">
        <v>2712.9107058468444</v>
      </c>
    </row>
    <row r="490" spans="1:44" x14ac:dyDescent="0.25">
      <c r="A490" t="s">
        <v>250</v>
      </c>
      <c r="B490" t="s">
        <v>291</v>
      </c>
      <c r="C490" t="s">
        <v>44</v>
      </c>
      <c r="D490" t="s">
        <v>292</v>
      </c>
      <c r="E490" t="s">
        <v>148</v>
      </c>
      <c r="F490" t="s">
        <v>292</v>
      </c>
      <c r="G490" t="s">
        <v>31</v>
      </c>
      <c r="H490" t="s">
        <v>272</v>
      </c>
      <c r="I490" t="s">
        <v>135</v>
      </c>
      <c r="J490" t="s">
        <v>40</v>
      </c>
      <c r="K490" t="s">
        <v>31</v>
      </c>
      <c r="L490">
        <v>2.370000000000001</v>
      </c>
      <c r="M490">
        <v>1</v>
      </c>
      <c r="N490" s="2">
        <v>2.729832824165364</v>
      </c>
      <c r="O490" s="2">
        <v>4.1429695267777937</v>
      </c>
      <c r="P490" s="1">
        <v>-1.3196045040170097</v>
      </c>
      <c r="Q490" s="1">
        <v>0.4672931329656026</v>
      </c>
      <c r="R490" s="1">
        <v>-1.7024036712681361</v>
      </c>
      <c r="S490" s="19">
        <v>0</v>
      </c>
      <c r="T490" s="19">
        <v>0</v>
      </c>
      <c r="U490" s="19">
        <v>0.8005074560042913</v>
      </c>
      <c r="V490" s="19">
        <v>1.5163818071893027</v>
      </c>
      <c r="W490" s="19">
        <v>2.612357824222804</v>
      </c>
      <c r="X490" s="19">
        <v>4.1957148466350205</v>
      </c>
      <c r="Y490" s="19">
        <v>6.3686878811222689</v>
      </c>
      <c r="Z490" s="19">
        <v>9.2115186352013225</v>
      </c>
      <c r="AA490" s="19">
        <v>12.761341094014806</v>
      </c>
      <c r="AB490" s="19">
        <v>16.99002590411645</v>
      </c>
      <c r="AC490" s="19">
        <v>21.786607776740716</v>
      </c>
      <c r="AD490" s="19">
        <v>26.951798795862249</v>
      </c>
      <c r="AE490" s="19">
        <v>32.211807835467503</v>
      </c>
      <c r="AF490" s="19">
        <v>37.254765716799554</v>
      </c>
      <c r="AG490" s="19">
        <v>41.785288631345288</v>
      </c>
      <c r="AH490" s="19">
        <v>45.5834089101049</v>
      </c>
      <c r="AI490" s="19">
        <v>48.54814768717138</v>
      </c>
      <c r="AJ490" s="19">
        <v>50.847855894333435</v>
      </c>
      <c r="AK490" s="19">
        <v>52.292568572894758</v>
      </c>
      <c r="AL490" s="19">
        <v>53.543311148025261</v>
      </c>
      <c r="AM490" s="19">
        <v>54.162314147962753</v>
      </c>
      <c r="AN490" s="19">
        <v>54.571728920682865</v>
      </c>
      <c r="AO490" s="19">
        <v>54.986645699337387</v>
      </c>
      <c r="AP490" s="19">
        <v>55.407121995918274</v>
      </c>
      <c r="AQ490" s="19">
        <v>0</v>
      </c>
      <c r="AR490" s="19">
        <v>684.38990718115258</v>
      </c>
    </row>
    <row r="491" spans="1:44" x14ac:dyDescent="0.25">
      <c r="A491" t="s">
        <v>250</v>
      </c>
      <c r="B491" t="s">
        <v>291</v>
      </c>
      <c r="C491" t="s">
        <v>44</v>
      </c>
      <c r="D491" t="s">
        <v>292</v>
      </c>
      <c r="E491" t="s">
        <v>145</v>
      </c>
      <c r="F491" t="s">
        <v>292</v>
      </c>
      <c r="G491" t="s">
        <v>31</v>
      </c>
      <c r="H491" t="s">
        <v>277</v>
      </c>
      <c r="I491" t="s">
        <v>135</v>
      </c>
      <c r="J491" t="s">
        <v>40</v>
      </c>
      <c r="K491" t="s">
        <v>31</v>
      </c>
      <c r="L491">
        <v>2.370000000000001</v>
      </c>
      <c r="M491">
        <v>1</v>
      </c>
      <c r="N491" s="2">
        <v>2.729832824165364</v>
      </c>
      <c r="O491" s="2">
        <v>4.1429695267777937</v>
      </c>
      <c r="P491" s="1">
        <v>-1.3196045040170097</v>
      </c>
      <c r="Q491" s="1">
        <v>0.4672931329656026</v>
      </c>
      <c r="R491" s="1">
        <v>-1.7024036712681361</v>
      </c>
      <c r="S491" s="19">
        <v>0</v>
      </c>
      <c r="T491" s="19">
        <v>0</v>
      </c>
      <c r="U491" s="19">
        <v>14.110958940334829</v>
      </c>
      <c r="V491" s="19">
        <v>26.426767929306298</v>
      </c>
      <c r="W491" s="19">
        <v>45.008095277836397</v>
      </c>
      <c r="X491" s="19">
        <v>71.460280594907587</v>
      </c>
      <c r="Y491" s="19">
        <v>107.22299863796704</v>
      </c>
      <c r="Z491" s="19">
        <v>153.29466854554465</v>
      </c>
      <c r="AA491" s="19">
        <v>209.90786939213712</v>
      </c>
      <c r="AB491" s="19">
        <v>276.21161847915215</v>
      </c>
      <c r="AC491" s="19">
        <v>350.05161095091654</v>
      </c>
      <c r="AD491" s="19">
        <v>427.96081731453643</v>
      </c>
      <c r="AE491" s="19">
        <v>505.45735293309247</v>
      </c>
      <c r="AF491" s="19">
        <v>577.67551528029992</v>
      </c>
      <c r="AG491" s="19">
        <v>640.23281763280829</v>
      </c>
      <c r="AH491" s="19">
        <v>690.1024731655732</v>
      </c>
      <c r="AI491" s="19">
        <v>726.19243836267003</v>
      </c>
      <c r="AJ491" s="19">
        <v>945.62816542541714</v>
      </c>
      <c r="AK491" s="19">
        <v>960.00869624986365</v>
      </c>
      <c r="AL491" s="19">
        <v>968.67978718073039</v>
      </c>
      <c r="AM491" s="19">
        <v>963.47530243552092</v>
      </c>
      <c r="AN491" s="19">
        <v>951.87626449976597</v>
      </c>
      <c r="AO491" s="19">
        <v>937.42783813946869</v>
      </c>
      <c r="AP491" s="19">
        <v>919.97093675153167</v>
      </c>
      <c r="AQ491" s="19">
        <v>142.35948206585061</v>
      </c>
      <c r="AR491" s="19">
        <v>11610.742756185233</v>
      </c>
    </row>
    <row r="492" spans="1:44" x14ac:dyDescent="0.25">
      <c r="A492" t="s">
        <v>250</v>
      </c>
      <c r="B492" t="s">
        <v>291</v>
      </c>
      <c r="C492" t="s">
        <v>44</v>
      </c>
      <c r="D492" t="s">
        <v>292</v>
      </c>
      <c r="E492" t="s">
        <v>148</v>
      </c>
      <c r="F492" t="s">
        <v>292</v>
      </c>
      <c r="G492" t="s">
        <v>31</v>
      </c>
      <c r="H492" t="s">
        <v>277</v>
      </c>
      <c r="I492" t="s">
        <v>135</v>
      </c>
      <c r="J492" t="s">
        <v>40</v>
      </c>
      <c r="K492" t="s">
        <v>31</v>
      </c>
      <c r="L492">
        <v>2.370000000000001</v>
      </c>
      <c r="M492">
        <v>1</v>
      </c>
      <c r="N492" s="2">
        <v>2.729832824165364</v>
      </c>
      <c r="O492" s="2">
        <v>4.1429695267777937</v>
      </c>
      <c r="P492" s="1">
        <v>-1.3196045040170097</v>
      </c>
      <c r="Q492" s="1">
        <v>0.4672931329656026</v>
      </c>
      <c r="R492" s="1">
        <v>-1.7024036712681361</v>
      </c>
      <c r="S492" s="19">
        <v>0</v>
      </c>
      <c r="T492" s="19">
        <v>0</v>
      </c>
      <c r="U492" s="19">
        <v>3.4543854219747581</v>
      </c>
      <c r="V492" s="19">
        <v>6.5427914255541015</v>
      </c>
      <c r="W492" s="19">
        <v>11.27033575735199</v>
      </c>
      <c r="X492" s="19">
        <v>18.099243163371487</v>
      </c>
      <c r="Y492" s="19">
        <v>27.469784506414289</v>
      </c>
      <c r="Z492" s="19">
        <v>39.72719798903367</v>
      </c>
      <c r="AA492" s="19">
        <v>55.03069568752214</v>
      </c>
      <c r="AB492" s="19">
        <v>73.258038374712029</v>
      </c>
      <c r="AC492" s="19">
        <v>93.929927516162195</v>
      </c>
      <c r="AD492" s="19">
        <v>116.18654127995605</v>
      </c>
      <c r="AE492" s="19">
        <v>138.84729642942207</v>
      </c>
      <c r="AF492" s="19">
        <v>160.56799633809791</v>
      </c>
      <c r="AG492" s="19">
        <v>180.07604394826998</v>
      </c>
      <c r="AH492" s="19">
        <v>196.42432798200704</v>
      </c>
      <c r="AI492" s="19">
        <v>209.17878481053816</v>
      </c>
      <c r="AJ492" s="19">
        <v>219.0658411949338</v>
      </c>
      <c r="AK492" s="19">
        <v>225.26804499473056</v>
      </c>
      <c r="AL492" s="19">
        <v>230.63381489539148</v>
      </c>
      <c r="AM492" s="19">
        <v>233.27793125965607</v>
      </c>
      <c r="AN492" s="19">
        <v>235.01922066324769</v>
      </c>
      <c r="AO492" s="19">
        <v>236.78416630953291</v>
      </c>
      <c r="AP492" s="19">
        <v>238.5730139987073</v>
      </c>
      <c r="AQ492" s="19">
        <v>0</v>
      </c>
      <c r="AR492" s="19">
        <v>2948.6854239465879</v>
      </c>
    </row>
    <row r="493" spans="1:44" x14ac:dyDescent="0.25">
      <c r="A493" t="s">
        <v>250</v>
      </c>
      <c r="B493" t="s">
        <v>291</v>
      </c>
      <c r="C493" t="s">
        <v>44</v>
      </c>
      <c r="D493" t="s">
        <v>292</v>
      </c>
      <c r="E493" t="s">
        <v>145</v>
      </c>
      <c r="F493" t="s">
        <v>292</v>
      </c>
      <c r="G493" t="s">
        <v>31</v>
      </c>
      <c r="H493" t="s">
        <v>253</v>
      </c>
      <c r="I493" t="s">
        <v>135</v>
      </c>
      <c r="J493" t="s">
        <v>40</v>
      </c>
      <c r="K493" t="s">
        <v>31</v>
      </c>
      <c r="L493">
        <v>2.370000000000001</v>
      </c>
      <c r="M493">
        <v>1</v>
      </c>
      <c r="N493" s="2">
        <v>2.729832824165364</v>
      </c>
      <c r="O493" s="2">
        <v>4.1429695267777937</v>
      </c>
      <c r="P493" s="1">
        <v>-1.3196045040170097</v>
      </c>
      <c r="Q493" s="1">
        <v>0.4672931329656026</v>
      </c>
      <c r="R493" s="1">
        <v>-1.7024036712681361</v>
      </c>
      <c r="S493" s="19">
        <v>0</v>
      </c>
      <c r="T493" s="19">
        <v>0</v>
      </c>
      <c r="U493" s="19">
        <v>8.2189787488672977E-2</v>
      </c>
      <c r="V493" s="19">
        <v>0.15401954481615315</v>
      </c>
      <c r="W493" s="19">
        <v>0.26247797941106249</v>
      </c>
      <c r="X493" s="19">
        <v>0.41700130338639768</v>
      </c>
      <c r="Y493" s="19">
        <v>0.6260818289458403</v>
      </c>
      <c r="Z493" s="19">
        <v>0.89565479764381228</v>
      </c>
      <c r="AA493" s="19">
        <v>1.2271927520382131</v>
      </c>
      <c r="AB493" s="19">
        <v>1.6158329465936183</v>
      </c>
      <c r="AC493" s="19">
        <v>2.0490712144828924</v>
      </c>
      <c r="AD493" s="19">
        <v>2.5066831129732958</v>
      </c>
      <c r="AE493" s="19">
        <v>2.9624457153605852</v>
      </c>
      <c r="AF493" s="19">
        <v>3.3878197696151608</v>
      </c>
      <c r="AG493" s="19">
        <v>3.7570305347449882</v>
      </c>
      <c r="AH493" s="19">
        <v>4.0521996249787282</v>
      </c>
      <c r="AI493" s="19">
        <v>4.2667718965665449</v>
      </c>
      <c r="AJ493" s="19">
        <v>5.5045770377594581</v>
      </c>
      <c r="AK493" s="19">
        <v>5.5919211008060206</v>
      </c>
      <c r="AL493" s="19">
        <v>5.6464576400594373</v>
      </c>
      <c r="AM493" s="19">
        <v>5.6206046923263431</v>
      </c>
      <c r="AN493" s="19">
        <v>5.5579645134820428</v>
      </c>
      <c r="AO493" s="19">
        <v>5.4792528227217314</v>
      </c>
      <c r="AP493" s="19">
        <v>5.3835496530255851</v>
      </c>
      <c r="AQ493" s="19">
        <v>0.79993308702611587</v>
      </c>
      <c r="AR493" s="19">
        <v>67.846733356252713</v>
      </c>
    </row>
    <row r="494" spans="1:44" x14ac:dyDescent="0.25">
      <c r="A494" t="s">
        <v>250</v>
      </c>
      <c r="B494" t="s">
        <v>291</v>
      </c>
      <c r="C494" t="s">
        <v>44</v>
      </c>
      <c r="D494" t="s">
        <v>292</v>
      </c>
      <c r="E494" t="s">
        <v>148</v>
      </c>
      <c r="F494" t="s">
        <v>292</v>
      </c>
      <c r="G494" t="s">
        <v>31</v>
      </c>
      <c r="H494" t="s">
        <v>253</v>
      </c>
      <c r="I494" t="s">
        <v>135</v>
      </c>
      <c r="J494" t="s">
        <v>40</v>
      </c>
      <c r="K494" t="s">
        <v>31</v>
      </c>
      <c r="L494">
        <v>2.370000000000001</v>
      </c>
      <c r="M494">
        <v>1</v>
      </c>
      <c r="N494" s="2">
        <v>2.729832824165364</v>
      </c>
      <c r="O494" s="2">
        <v>4.1429695267777937</v>
      </c>
      <c r="P494" s="1">
        <v>-1.3196045040170097</v>
      </c>
      <c r="Q494" s="1">
        <v>0.4672931329656026</v>
      </c>
      <c r="R494" s="1">
        <v>-1.7024036712681361</v>
      </c>
      <c r="S494" s="19">
        <v>0</v>
      </c>
      <c r="T494" s="19">
        <v>0</v>
      </c>
      <c r="U494" s="19">
        <v>1.933127383457962E-2</v>
      </c>
      <c r="V494" s="19">
        <v>3.663663950683245E-2</v>
      </c>
      <c r="W494" s="19">
        <v>6.3146500849495149E-2</v>
      </c>
      <c r="X494" s="19">
        <v>0.10146815067516173</v>
      </c>
      <c r="Y494" s="19">
        <v>0.1540914358927124</v>
      </c>
      <c r="Z494" s="19">
        <v>0.22297806308514684</v>
      </c>
      <c r="AA494" s="19">
        <v>0.30904890344785385</v>
      </c>
      <c r="AB494" s="19">
        <v>0.41164471755702214</v>
      </c>
      <c r="AC494" s="19">
        <v>0.52809660469333597</v>
      </c>
      <c r="AD494" s="19">
        <v>0.65358852748243235</v>
      </c>
      <c r="AE494" s="19">
        <v>0.78148802657972416</v>
      </c>
      <c r="AF494" s="19">
        <v>0.90422664667271813</v>
      </c>
      <c r="AG494" s="19">
        <v>1.0146232020437789</v>
      </c>
      <c r="AH494" s="19">
        <v>1.1073165642095848</v>
      </c>
      <c r="AI494" s="19">
        <v>1.1798287661038445</v>
      </c>
      <c r="AJ494" s="19">
        <v>1.2362263626756205</v>
      </c>
      <c r="AK494" s="19">
        <v>1.271868181873127</v>
      </c>
      <c r="AL494" s="19">
        <v>1.3028123620005361</v>
      </c>
      <c r="AM494" s="19">
        <v>1.3183967845286395</v>
      </c>
      <c r="AN494" s="19">
        <v>1.3288828201688656</v>
      </c>
      <c r="AO494" s="19">
        <v>1.3395040748974607</v>
      </c>
      <c r="AP494" s="19">
        <v>1.3502619928393893</v>
      </c>
      <c r="AQ494" s="19">
        <v>0</v>
      </c>
      <c r="AR494" s="19">
        <v>16.635466601617861</v>
      </c>
    </row>
    <row r="495" spans="1:44" x14ac:dyDescent="0.25">
      <c r="A495" t="s">
        <v>250</v>
      </c>
      <c r="B495" t="s">
        <v>293</v>
      </c>
      <c r="C495" t="s">
        <v>44</v>
      </c>
      <c r="D495" t="s">
        <v>144</v>
      </c>
      <c r="E495" t="s">
        <v>145</v>
      </c>
      <c r="F495" t="s">
        <v>144</v>
      </c>
      <c r="G495" t="s">
        <v>31</v>
      </c>
      <c r="H495" t="s">
        <v>288</v>
      </c>
      <c r="I495" t="s">
        <v>135</v>
      </c>
      <c r="J495" t="s">
        <v>39</v>
      </c>
      <c r="K495" t="s">
        <v>31</v>
      </c>
      <c r="L495">
        <v>0.80006055422654132</v>
      </c>
      <c r="M495">
        <v>1</v>
      </c>
      <c r="N495" s="2">
        <v>3.6363315675395942</v>
      </c>
      <c r="O495" s="2">
        <v>5.4757113018011117</v>
      </c>
      <c r="P495" s="1">
        <v>-1.5885651785496615</v>
      </c>
      <c r="Q495" s="1">
        <v>0.81564174171185133</v>
      </c>
      <c r="R495" s="1">
        <v>-1.8625523936223525</v>
      </c>
      <c r="S495" s="19">
        <v>109.19379184803849</v>
      </c>
      <c r="T495" s="19">
        <v>159.76827551325476</v>
      </c>
      <c r="U495" s="19">
        <v>217.1750409905664</v>
      </c>
      <c r="V495" s="19">
        <v>283.99626280232945</v>
      </c>
      <c r="W495" s="19">
        <v>356.94086926626971</v>
      </c>
      <c r="X495" s="19">
        <v>431.0323161705557</v>
      </c>
      <c r="Y495" s="19">
        <v>500.35814368929749</v>
      </c>
      <c r="Z495" s="19">
        <v>559.37790762646887</v>
      </c>
      <c r="AA495" s="19">
        <v>604.39285309879097</v>
      </c>
      <c r="AB495" s="19">
        <v>634.5279811240033</v>
      </c>
      <c r="AC495" s="19">
        <v>651.68515317088338</v>
      </c>
      <c r="AD495" s="19">
        <v>658.60605821230945</v>
      </c>
      <c r="AE495" s="19">
        <v>656.63024003767271</v>
      </c>
      <c r="AF495" s="19">
        <v>654.66034931755962</v>
      </c>
      <c r="AG495" s="19">
        <v>652.69636826960675</v>
      </c>
      <c r="AH495" s="19">
        <v>650.73827916479797</v>
      </c>
      <c r="AI495" s="19">
        <v>648.78606432730351</v>
      </c>
      <c r="AJ495" s="19">
        <v>646.83970613432155</v>
      </c>
      <c r="AK495" s="19">
        <v>644.89918701591876</v>
      </c>
      <c r="AL495" s="19">
        <v>642.964489454871</v>
      </c>
      <c r="AM495" s="19">
        <v>641.03559598650634</v>
      </c>
      <c r="AN495" s="19">
        <v>639.112489198547</v>
      </c>
      <c r="AO495" s="19">
        <v>637.19515173095112</v>
      </c>
      <c r="AP495" s="19">
        <v>635.2835662757584</v>
      </c>
      <c r="AQ495" s="19">
        <v>633.37771557693111</v>
      </c>
      <c r="AR495" s="19">
        <v>13551.273856003516</v>
      </c>
    </row>
    <row r="496" spans="1:44" x14ac:dyDescent="0.25">
      <c r="A496" t="s">
        <v>250</v>
      </c>
      <c r="B496" t="s">
        <v>293</v>
      </c>
      <c r="C496" t="s">
        <v>44</v>
      </c>
      <c r="D496" t="s">
        <v>144</v>
      </c>
      <c r="E496" t="s">
        <v>148</v>
      </c>
      <c r="F496" t="s">
        <v>144</v>
      </c>
      <c r="G496" t="s">
        <v>31</v>
      </c>
      <c r="H496" t="s">
        <v>288</v>
      </c>
      <c r="I496" t="s">
        <v>135</v>
      </c>
      <c r="J496" t="s">
        <v>39</v>
      </c>
      <c r="K496" t="s">
        <v>31</v>
      </c>
      <c r="L496">
        <v>0.80006055422654132</v>
      </c>
      <c r="M496">
        <v>1</v>
      </c>
      <c r="N496" s="2">
        <v>3.6363315675395942</v>
      </c>
      <c r="O496" s="2">
        <v>5.4757113018011117</v>
      </c>
      <c r="P496" s="1">
        <v>-1.5885651785496615</v>
      </c>
      <c r="Q496" s="1">
        <v>0.81564174171185133</v>
      </c>
      <c r="R496" s="1">
        <v>-1.8625523936223525</v>
      </c>
      <c r="S496" s="19">
        <v>30.960535196002649</v>
      </c>
      <c r="T496" s="19">
        <v>57.455284579201347</v>
      </c>
      <c r="U496" s="19">
        <v>78.980250199423494</v>
      </c>
      <c r="V496" s="19">
        <v>104.44908933177004</v>
      </c>
      <c r="W496" s="19">
        <v>132.76570626680396</v>
      </c>
      <c r="X496" s="19">
        <v>162.14781767197996</v>
      </c>
      <c r="Y496" s="19">
        <v>190.37407887755353</v>
      </c>
      <c r="Z496" s="19">
        <v>215.26405888243096</v>
      </c>
      <c r="AA496" s="19">
        <v>235.25485499763505</v>
      </c>
      <c r="AB496" s="19">
        <v>249.82545232664165</v>
      </c>
      <c r="AC496" s="19">
        <v>259.53970861564119</v>
      </c>
      <c r="AD496" s="19">
        <v>265.32924609098308</v>
      </c>
      <c r="AE496" s="19">
        <v>267.60049615617368</v>
      </c>
      <c r="AF496" s="19">
        <v>269.89932943602565</v>
      </c>
      <c r="AG496" s="19">
        <v>272.22604891923532</v>
      </c>
      <c r="AH496" s="19">
        <v>274.58096101129536</v>
      </c>
      <c r="AI496" s="19">
        <v>276.96437557282968</v>
      </c>
      <c r="AJ496" s="19">
        <v>279.37660595817925</v>
      </c>
      <c r="AK496" s="19">
        <v>281.81796905462807</v>
      </c>
      <c r="AL496" s="19">
        <v>284.28878532191112</v>
      </c>
      <c r="AM496" s="19">
        <v>286.78937883221198</v>
      </c>
      <c r="AN496" s="19">
        <v>289.32007731064402</v>
      </c>
      <c r="AO496" s="19">
        <v>291.88121217616265</v>
      </c>
      <c r="AP496" s="19">
        <v>294.4731185829101</v>
      </c>
      <c r="AQ496" s="19">
        <v>297.09613546206771</v>
      </c>
      <c r="AR496" s="19">
        <v>5648.6605768303416</v>
      </c>
    </row>
    <row r="497" spans="1:44" x14ac:dyDescent="0.25">
      <c r="A497" t="s">
        <v>250</v>
      </c>
      <c r="B497" t="s">
        <v>293</v>
      </c>
      <c r="C497" t="s">
        <v>44</v>
      </c>
      <c r="D497" t="s">
        <v>144</v>
      </c>
      <c r="E497" t="s">
        <v>145</v>
      </c>
      <c r="F497" t="s">
        <v>144</v>
      </c>
      <c r="G497" t="s">
        <v>31</v>
      </c>
      <c r="H497" t="s">
        <v>289</v>
      </c>
      <c r="I497" t="s">
        <v>135</v>
      </c>
      <c r="J497" t="s">
        <v>39</v>
      </c>
      <c r="K497" t="s">
        <v>31</v>
      </c>
      <c r="L497">
        <v>0.80006055422654132</v>
      </c>
      <c r="M497">
        <v>1</v>
      </c>
      <c r="N497" s="2">
        <v>3.6363315675395942</v>
      </c>
      <c r="O497" s="2">
        <v>5.4757113018011117</v>
      </c>
      <c r="P497" s="1">
        <v>-1.5885651785496615</v>
      </c>
      <c r="Q497" s="1">
        <v>0.81564174171185133</v>
      </c>
      <c r="R497" s="1">
        <v>-1.8625523936223525</v>
      </c>
      <c r="S497" s="19">
        <v>103.78396579872066</v>
      </c>
      <c r="T497" s="19">
        <v>151.85282021036508</v>
      </c>
      <c r="U497" s="19">
        <v>206.41546231738067</v>
      </c>
      <c r="V497" s="19">
        <v>269.92613707068477</v>
      </c>
      <c r="W497" s="19">
        <v>339.25682349826388</v>
      </c>
      <c r="X497" s="19">
        <v>409.67753205093874</v>
      </c>
      <c r="Y497" s="19">
        <v>475.56872595861097</v>
      </c>
      <c r="Z497" s="19">
        <v>531.66445318116553</v>
      </c>
      <c r="AA497" s="19">
        <v>574.44920753636143</v>
      </c>
      <c r="AB497" s="19">
        <v>603.09134042118001</v>
      </c>
      <c r="AC497" s="19">
        <v>619.39848871944776</v>
      </c>
      <c r="AD497" s="19">
        <v>625.97650895264178</v>
      </c>
      <c r="AE497" s="19">
        <v>624.0985794257839</v>
      </c>
      <c r="AF497" s="19">
        <v>622.22628368750645</v>
      </c>
      <c r="AG497" s="19">
        <v>620.35960483644396</v>
      </c>
      <c r="AH497" s="19">
        <v>618.49852602193459</v>
      </c>
      <c r="AI497" s="19">
        <v>616.64303044386884</v>
      </c>
      <c r="AJ497" s="19">
        <v>614.79310135253729</v>
      </c>
      <c r="AK497" s="19">
        <v>612.94872204847957</v>
      </c>
      <c r="AL497" s="19">
        <v>611.10987588233411</v>
      </c>
      <c r="AM497" s="19">
        <v>609.2765462546871</v>
      </c>
      <c r="AN497" s="19">
        <v>607.44871661592322</v>
      </c>
      <c r="AO497" s="19">
        <v>605.6263704660754</v>
      </c>
      <c r="AP497" s="19">
        <v>603.80949135467711</v>
      </c>
      <c r="AQ497" s="19">
        <v>601.99806288061313</v>
      </c>
      <c r="AR497" s="19">
        <v>12879.898376986626</v>
      </c>
    </row>
    <row r="498" spans="1:44" x14ac:dyDescent="0.25">
      <c r="A498" t="s">
        <v>250</v>
      </c>
      <c r="B498" t="s">
        <v>293</v>
      </c>
      <c r="C498" t="s">
        <v>44</v>
      </c>
      <c r="D498" t="s">
        <v>144</v>
      </c>
      <c r="E498" t="s">
        <v>148</v>
      </c>
      <c r="F498" t="s">
        <v>144</v>
      </c>
      <c r="G498" t="s">
        <v>31</v>
      </c>
      <c r="H498" t="s">
        <v>289</v>
      </c>
      <c r="I498" t="s">
        <v>135</v>
      </c>
      <c r="J498" t="s">
        <v>39</v>
      </c>
      <c r="K498" t="s">
        <v>31</v>
      </c>
      <c r="L498">
        <v>0.80006055422654132</v>
      </c>
      <c r="M498">
        <v>1</v>
      </c>
      <c r="N498" s="2">
        <v>3.6363315675395942</v>
      </c>
      <c r="O498" s="2">
        <v>5.4757113018011117</v>
      </c>
      <c r="P498" s="1">
        <v>-1.5885651785496615</v>
      </c>
      <c r="Q498" s="1">
        <v>0.81564174171185133</v>
      </c>
      <c r="R498" s="1">
        <v>-1.8625523936223525</v>
      </c>
      <c r="S498" s="19">
        <v>29.426646620750596</v>
      </c>
      <c r="T498" s="19">
        <v>54.608757410146168</v>
      </c>
      <c r="U498" s="19">
        <v>75.067304163947398</v>
      </c>
      <c r="V498" s="19">
        <v>99.274331731256112</v>
      </c>
      <c r="W498" s="19">
        <v>126.18804865401704</v>
      </c>
      <c r="X498" s="19">
        <v>154.1144718833981</v>
      </c>
      <c r="Y498" s="19">
        <v>180.94230960206141</v>
      </c>
      <c r="Z498" s="19">
        <v>204.59915666120719</v>
      </c>
      <c r="AA498" s="19">
        <v>223.59954180395249</v>
      </c>
      <c r="AB498" s="19">
        <v>237.44826295620479</v>
      </c>
      <c r="AC498" s="19">
        <v>246.68124246350715</v>
      </c>
      <c r="AD498" s="19">
        <v>252.18394686786951</v>
      </c>
      <c r="AE498" s="19">
        <v>254.34267160026275</v>
      </c>
      <c r="AF498" s="19">
        <v>256.52761298250647</v>
      </c>
      <c r="AG498" s="19">
        <v>258.73905899222808</v>
      </c>
      <c r="AH498" s="19">
        <v>260.97730085456521</v>
      </c>
      <c r="AI498" s="19">
        <v>263.24263307859752</v>
      </c>
      <c r="AJ498" s="19">
        <v>265.53535349407093</v>
      </c>
      <c r="AK498" s="19">
        <v>267.85576328857849</v>
      </c>
      <c r="AL498" s="19">
        <v>270.20416704522529</v>
      </c>
      <c r="AM498" s="19">
        <v>272.58087278057423</v>
      </c>
      <c r="AN498" s="19">
        <v>274.98619198313122</v>
      </c>
      <c r="AO498" s="19">
        <v>277.42043965225878</v>
      </c>
      <c r="AP498" s="19">
        <v>279.88393433742965</v>
      </c>
      <c r="AQ498" s="19">
        <v>282.37699817804219</v>
      </c>
      <c r="AR498" s="19">
        <v>5368.8070190857889</v>
      </c>
    </row>
    <row r="499" spans="1:44" x14ac:dyDescent="0.25">
      <c r="A499" t="s">
        <v>250</v>
      </c>
      <c r="B499" t="s">
        <v>293</v>
      </c>
      <c r="C499" t="s">
        <v>44</v>
      </c>
      <c r="D499" t="s">
        <v>144</v>
      </c>
      <c r="E499" t="s">
        <v>145</v>
      </c>
      <c r="F499" t="s">
        <v>144</v>
      </c>
      <c r="G499" t="s">
        <v>31</v>
      </c>
      <c r="H499" t="s">
        <v>290</v>
      </c>
      <c r="I499" t="s">
        <v>135</v>
      </c>
      <c r="J499" t="s">
        <v>39</v>
      </c>
      <c r="K499" t="s">
        <v>31</v>
      </c>
      <c r="L499">
        <v>0.80006055422654132</v>
      </c>
      <c r="M499">
        <v>1</v>
      </c>
      <c r="N499" s="2">
        <v>3.6363315675395942</v>
      </c>
      <c r="O499" s="2">
        <v>5.4757113018011117</v>
      </c>
      <c r="P499" s="1">
        <v>-1.5885651785496615</v>
      </c>
      <c r="Q499" s="1">
        <v>0.81564174171185133</v>
      </c>
      <c r="R499" s="1">
        <v>-1.8625523936223525</v>
      </c>
      <c r="S499" s="19">
        <v>150.28625117070007</v>
      </c>
      <c r="T499" s="19">
        <v>219.8932263137259</v>
      </c>
      <c r="U499" s="19">
        <v>298.90364832954225</v>
      </c>
      <c r="V499" s="19">
        <v>390.87143106494955</v>
      </c>
      <c r="W499" s="19">
        <v>491.26698710392151</v>
      </c>
      <c r="X499" s="19">
        <v>593.24096942110521</v>
      </c>
      <c r="Y499" s="19">
        <v>688.65590602846896</v>
      </c>
      <c r="Z499" s="19">
        <v>769.88633970954356</v>
      </c>
      <c r="AA499" s="19">
        <v>831.84157807239421</v>
      </c>
      <c r="AB499" s="19">
        <v>873.31733729651739</v>
      </c>
      <c r="AC499" s="19">
        <v>896.93119870729004</v>
      </c>
      <c r="AD499" s="19">
        <v>906.45662003190012</v>
      </c>
      <c r="AE499" s="19">
        <v>903.73725017180436</v>
      </c>
      <c r="AF499" s="19">
        <v>901.02603842128894</v>
      </c>
      <c r="AG499" s="19">
        <v>898.32296030602515</v>
      </c>
      <c r="AH499" s="19">
        <v>895.62799142510698</v>
      </c>
      <c r="AI499" s="19">
        <v>892.94110745083162</v>
      </c>
      <c r="AJ499" s="19">
        <v>890.26228412847934</v>
      </c>
      <c r="AK499" s="19">
        <v>887.59149727609372</v>
      </c>
      <c r="AL499" s="19">
        <v>884.92872278426557</v>
      </c>
      <c r="AM499" s="19">
        <v>882.2739366159127</v>
      </c>
      <c r="AN499" s="19">
        <v>879.62711480606492</v>
      </c>
      <c r="AO499" s="19">
        <v>876.98823346164693</v>
      </c>
      <c r="AP499" s="19">
        <v>874.35726876126193</v>
      </c>
      <c r="AQ499" s="19">
        <v>871.73419695497796</v>
      </c>
      <c r="AR499" s="19">
        <v>18650.970095813816</v>
      </c>
    </row>
    <row r="500" spans="1:44" x14ac:dyDescent="0.25">
      <c r="A500" t="s">
        <v>250</v>
      </c>
      <c r="B500" t="s">
        <v>293</v>
      </c>
      <c r="C500" t="s">
        <v>44</v>
      </c>
      <c r="D500" t="s">
        <v>144</v>
      </c>
      <c r="E500" t="s">
        <v>148</v>
      </c>
      <c r="F500" t="s">
        <v>144</v>
      </c>
      <c r="G500" t="s">
        <v>31</v>
      </c>
      <c r="H500" t="s">
        <v>290</v>
      </c>
      <c r="I500" t="s">
        <v>135</v>
      </c>
      <c r="J500" t="s">
        <v>39</v>
      </c>
      <c r="K500" t="s">
        <v>31</v>
      </c>
      <c r="L500">
        <v>0.80006055422654132</v>
      </c>
      <c r="M500">
        <v>1</v>
      </c>
      <c r="N500" s="2">
        <v>3.6363315675395942</v>
      </c>
      <c r="O500" s="2">
        <v>5.4757113018011117</v>
      </c>
      <c r="P500" s="1">
        <v>-1.5885651785496615</v>
      </c>
      <c r="Q500" s="1">
        <v>0.81564174171185133</v>
      </c>
      <c r="R500" s="1">
        <v>-1.8625523936223525</v>
      </c>
      <c r="S500" s="19">
        <v>42.611788546743611</v>
      </c>
      <c r="T500" s="19">
        <v>79.077200115649077</v>
      </c>
      <c r="U500" s="19">
        <v>108.70256924051051</v>
      </c>
      <c r="V500" s="19">
        <v>143.75599389121544</v>
      </c>
      <c r="W500" s="19">
        <v>182.72888908039849</v>
      </c>
      <c r="X500" s="19">
        <v>223.16825197668251</v>
      </c>
      <c r="Y500" s="19">
        <v>262.01678822912032</v>
      </c>
      <c r="Z500" s="19">
        <v>296.27351403138113</v>
      </c>
      <c r="AA500" s="19">
        <v>323.78736582849098</v>
      </c>
      <c r="AB500" s="19">
        <v>343.84125728911584</v>
      </c>
      <c r="AC500" s="19">
        <v>357.21124047109907</v>
      </c>
      <c r="AD500" s="19">
        <v>365.17953123612733</v>
      </c>
      <c r="AE500" s="19">
        <v>368.3055116787142</v>
      </c>
      <c r="AF500" s="19">
        <v>371.4694556158949</v>
      </c>
      <c r="AG500" s="19">
        <v>374.67178005887672</v>
      </c>
      <c r="AH500" s="19">
        <v>377.9129067215116</v>
      </c>
      <c r="AI500" s="19">
        <v>381.1932620730019</v>
      </c>
      <c r="AJ500" s="19">
        <v>384.51327739108257</v>
      </c>
      <c r="AK500" s="19">
        <v>387.87338881593365</v>
      </c>
      <c r="AL500" s="19">
        <v>391.27403740462211</v>
      </c>
      <c r="AM500" s="19">
        <v>394.71566918610455</v>
      </c>
      <c r="AN500" s="19">
        <v>398.19873521696616</v>
      </c>
      <c r="AO500" s="19">
        <v>401.72369163772584</v>
      </c>
      <c r="AP500" s="19">
        <v>405.29099972972369</v>
      </c>
      <c r="AQ500" s="19">
        <v>408.9011259727485</v>
      </c>
      <c r="AR500" s="19">
        <v>7774.3982314394434</v>
      </c>
    </row>
    <row r="501" spans="1:44" x14ac:dyDescent="0.25">
      <c r="A501" t="s">
        <v>250</v>
      </c>
      <c r="B501" t="s">
        <v>293</v>
      </c>
      <c r="C501" t="s">
        <v>44</v>
      </c>
      <c r="D501" t="s">
        <v>144</v>
      </c>
      <c r="E501" t="s">
        <v>145</v>
      </c>
      <c r="F501" t="s">
        <v>144</v>
      </c>
      <c r="G501" t="s">
        <v>31</v>
      </c>
      <c r="H501" t="s">
        <v>288</v>
      </c>
      <c r="I501" t="s">
        <v>135</v>
      </c>
      <c r="J501" t="s">
        <v>39</v>
      </c>
      <c r="K501" t="s">
        <v>33</v>
      </c>
      <c r="L501">
        <v>0.80006055422654132</v>
      </c>
      <c r="M501">
        <v>1</v>
      </c>
      <c r="N501" s="2">
        <v>3.6363315675395942</v>
      </c>
      <c r="O501" s="2">
        <v>5.4757113018011117</v>
      </c>
      <c r="P501" s="1">
        <v>-1.5885651785496615</v>
      </c>
      <c r="Q501" s="1">
        <v>0.81564174171185133</v>
      </c>
      <c r="R501" s="1">
        <v>-1.8625523936223525</v>
      </c>
      <c r="S501" s="19">
        <v>1.0271983798022413</v>
      </c>
      <c r="T501" s="19">
        <v>1.5029582815422804</v>
      </c>
      <c r="U501" s="19">
        <v>2.0429902329012535</v>
      </c>
      <c r="V501" s="19">
        <v>2.6715850423659844</v>
      </c>
      <c r="W501" s="19">
        <v>3.3577832254948121</v>
      </c>
      <c r="X501" s="19">
        <v>4.0547698666694467</v>
      </c>
      <c r="Y501" s="19">
        <v>4.7069257859803519</v>
      </c>
      <c r="Z501" s="19">
        <v>5.2621313967255414</v>
      </c>
      <c r="AA501" s="19">
        <v>5.6855920923702623</v>
      </c>
      <c r="AB501" s="19">
        <v>5.9690766582850534</v>
      </c>
      <c r="AC501" s="19">
        <v>6.1304761209309708</v>
      </c>
      <c r="AD501" s="19">
        <v>6.1955818593159133</v>
      </c>
      <c r="AE501" s="19">
        <v>6.1769951137379637</v>
      </c>
      <c r="AF501" s="19">
        <v>6.1584641283967514</v>
      </c>
      <c r="AG501" s="19">
        <v>6.1399887360115599</v>
      </c>
      <c r="AH501" s="19">
        <v>6.1215687698035266</v>
      </c>
      <c r="AI501" s="19">
        <v>6.1032040634941156</v>
      </c>
      <c r="AJ501" s="19">
        <v>6.0848944513036329</v>
      </c>
      <c r="AK501" s="19">
        <v>6.0666397679497219</v>
      </c>
      <c r="AL501" s="19">
        <v>6.0484398486458746</v>
      </c>
      <c r="AM501" s="19">
        <v>6.0302945290999359</v>
      </c>
      <c r="AN501" s="19">
        <v>6.0122036455126358</v>
      </c>
      <c r="AO501" s="19">
        <v>5.9941670345760985</v>
      </c>
      <c r="AP501" s="19">
        <v>5.9761845334723684</v>
      </c>
      <c r="AQ501" s="19">
        <v>5.9582559798719528</v>
      </c>
      <c r="AR501" s="19">
        <v>127.47836954426026</v>
      </c>
    </row>
    <row r="502" spans="1:44" x14ac:dyDescent="0.25">
      <c r="A502" t="s">
        <v>250</v>
      </c>
      <c r="B502" t="s">
        <v>293</v>
      </c>
      <c r="C502" t="s">
        <v>44</v>
      </c>
      <c r="D502" t="s">
        <v>144</v>
      </c>
      <c r="E502" t="s">
        <v>148</v>
      </c>
      <c r="F502" t="s">
        <v>144</v>
      </c>
      <c r="G502" t="s">
        <v>31</v>
      </c>
      <c r="H502" t="s">
        <v>288</v>
      </c>
      <c r="I502" t="s">
        <v>135</v>
      </c>
      <c r="J502" t="s">
        <v>39</v>
      </c>
      <c r="K502" t="s">
        <v>33</v>
      </c>
      <c r="L502">
        <v>0.80006055422654132</v>
      </c>
      <c r="M502">
        <v>1</v>
      </c>
      <c r="N502" s="2">
        <v>3.6363315675395942</v>
      </c>
      <c r="O502" s="2">
        <v>5.4757113018011117</v>
      </c>
      <c r="P502" s="1">
        <v>-1.5885651785496615</v>
      </c>
      <c r="Q502" s="1">
        <v>0.81564174171185133</v>
      </c>
      <c r="R502" s="1">
        <v>-1.8625523936223525</v>
      </c>
      <c r="S502" s="19">
        <v>0.29124926475126772</v>
      </c>
      <c r="T502" s="19">
        <v>0.54048837605131461</v>
      </c>
      <c r="U502" s="19">
        <v>0.74297616804193234</v>
      </c>
      <c r="V502" s="19">
        <v>0.98256442529924226</v>
      </c>
      <c r="W502" s="19">
        <v>1.2489420512143534</v>
      </c>
      <c r="X502" s="19">
        <v>1.5253429044109226</v>
      </c>
      <c r="Y502" s="19">
        <v>1.7908705437348229</v>
      </c>
      <c r="Z502" s="19">
        <v>2.0250134075517012</v>
      </c>
      <c r="AA502" s="19">
        <v>2.2130690930715535</v>
      </c>
      <c r="AB502" s="19">
        <v>2.3501363540925628</v>
      </c>
      <c r="AC502" s="19">
        <v>2.4415194643606406</v>
      </c>
      <c r="AD502" s="19">
        <v>2.495982299782193</v>
      </c>
      <c r="AE502" s="19">
        <v>2.517348206649324</v>
      </c>
      <c r="AF502" s="19">
        <v>2.5389735919439635</v>
      </c>
      <c r="AG502" s="19">
        <v>2.560861305915227</v>
      </c>
      <c r="AH502" s="19">
        <v>2.583014230954312</v>
      </c>
      <c r="AI502" s="19">
        <v>2.6054352819551521</v>
      </c>
      <c r="AJ502" s="19">
        <v>2.6281274066777489</v>
      </c>
      <c r="AK502" s="19">
        <v>2.6510935861164464</v>
      </c>
      <c r="AL502" s="19">
        <v>2.6743368348725736</v>
      </c>
      <c r="AM502" s="19">
        <v>2.6978602015296631</v>
      </c>
      <c r="AN502" s="19">
        <v>2.7216667690351941</v>
      </c>
      <c r="AO502" s="19">
        <v>2.745759655084786</v>
      </c>
      <c r="AP502" s="19">
        <v>2.7701420125114367</v>
      </c>
      <c r="AQ502" s="19">
        <v>2.7948170296791832</v>
      </c>
      <c r="AR502" s="19">
        <v>53.137590465287524</v>
      </c>
    </row>
    <row r="503" spans="1:44" x14ac:dyDescent="0.25">
      <c r="A503" t="s">
        <v>250</v>
      </c>
      <c r="B503" t="s">
        <v>294</v>
      </c>
      <c r="C503" t="s">
        <v>44</v>
      </c>
      <c r="D503" t="s">
        <v>144</v>
      </c>
      <c r="E503" t="s">
        <v>145</v>
      </c>
      <c r="F503" t="s">
        <v>144</v>
      </c>
      <c r="G503" t="s">
        <v>31</v>
      </c>
      <c r="H503" t="s">
        <v>272</v>
      </c>
      <c r="I503" t="s">
        <v>135</v>
      </c>
      <c r="J503" t="s">
        <v>39</v>
      </c>
      <c r="K503" t="s">
        <v>31</v>
      </c>
      <c r="L503">
        <v>1.192972744211509</v>
      </c>
      <c r="M503">
        <v>1</v>
      </c>
      <c r="N503" s="2">
        <v>4.607753102766619</v>
      </c>
      <c r="O503" s="2">
        <v>5.4674005771508289</v>
      </c>
      <c r="P503" s="1">
        <v>-1.7614983797832529</v>
      </c>
      <c r="Q503" s="1">
        <v>0.64270854047825887</v>
      </c>
      <c r="R503" s="1">
        <v>-1.862552393622352</v>
      </c>
      <c r="S503" s="19">
        <v>0</v>
      </c>
      <c r="T503" s="19">
        <v>0</v>
      </c>
      <c r="U503" s="19">
        <v>0</v>
      </c>
      <c r="V503" s="19">
        <v>0</v>
      </c>
      <c r="W503" s="19">
        <v>0</v>
      </c>
      <c r="X503" s="19">
        <v>0</v>
      </c>
      <c r="Y503" s="19">
        <v>0</v>
      </c>
      <c r="Z503" s="19">
        <v>0</v>
      </c>
      <c r="AA503" s="19">
        <v>0</v>
      </c>
      <c r="AB503" s="19">
        <v>0</v>
      </c>
      <c r="AC503" s="19">
        <v>0</v>
      </c>
      <c r="AD503" s="19">
        <v>0</v>
      </c>
      <c r="AE503" s="19">
        <v>0</v>
      </c>
      <c r="AF503" s="19">
        <v>0</v>
      </c>
      <c r="AG503" s="19">
        <v>0</v>
      </c>
      <c r="AH503" s="19">
        <v>0</v>
      </c>
      <c r="AI503" s="19">
        <v>0</v>
      </c>
      <c r="AJ503" s="19">
        <v>0</v>
      </c>
      <c r="AK503" s="19">
        <v>0</v>
      </c>
      <c r="AL503" s="19">
        <v>0</v>
      </c>
      <c r="AM503" s="19">
        <v>0</v>
      </c>
      <c r="AN503" s="19">
        <v>0</v>
      </c>
      <c r="AO503" s="19">
        <v>0</v>
      </c>
      <c r="AP503" s="19">
        <v>0</v>
      </c>
      <c r="AQ503" s="19">
        <v>0</v>
      </c>
      <c r="AR503" s="19">
        <v>0</v>
      </c>
    </row>
    <row r="504" spans="1:44" x14ac:dyDescent="0.25">
      <c r="A504" t="s">
        <v>250</v>
      </c>
      <c r="B504" t="s">
        <v>294</v>
      </c>
      <c r="C504" t="s">
        <v>44</v>
      </c>
      <c r="D504" t="s">
        <v>144</v>
      </c>
      <c r="E504" t="s">
        <v>148</v>
      </c>
      <c r="F504" t="s">
        <v>144</v>
      </c>
      <c r="G504" t="s">
        <v>31</v>
      </c>
      <c r="H504" t="s">
        <v>272</v>
      </c>
      <c r="I504" t="s">
        <v>135</v>
      </c>
      <c r="J504" t="s">
        <v>39</v>
      </c>
      <c r="K504" t="s">
        <v>31</v>
      </c>
      <c r="L504">
        <v>1.192972744211509</v>
      </c>
      <c r="M504">
        <v>1</v>
      </c>
      <c r="N504" s="2">
        <v>4.607753102766619</v>
      </c>
      <c r="O504" s="2">
        <v>5.4674005771508289</v>
      </c>
      <c r="P504" s="1">
        <v>-1.7614983797832529</v>
      </c>
      <c r="Q504" s="1">
        <v>0.64270854047825887</v>
      </c>
      <c r="R504" s="1">
        <v>-1.862552393622352</v>
      </c>
      <c r="S504" s="19">
        <v>0</v>
      </c>
      <c r="T504" s="19">
        <v>0</v>
      </c>
      <c r="U504" s="19">
        <v>0</v>
      </c>
      <c r="V504" s="19">
        <v>0</v>
      </c>
      <c r="W504" s="19">
        <v>0</v>
      </c>
      <c r="X504" s="19">
        <v>0</v>
      </c>
      <c r="Y504" s="19">
        <v>0</v>
      </c>
      <c r="Z504" s="19">
        <v>0</v>
      </c>
      <c r="AA504" s="19">
        <v>0</v>
      </c>
      <c r="AB504" s="19">
        <v>0</v>
      </c>
      <c r="AC504" s="19">
        <v>0</v>
      </c>
      <c r="AD504" s="19">
        <v>0</v>
      </c>
      <c r="AE504" s="19">
        <v>0</v>
      </c>
      <c r="AF504" s="19">
        <v>0</v>
      </c>
      <c r="AG504" s="19">
        <v>0</v>
      </c>
      <c r="AH504" s="19">
        <v>0</v>
      </c>
      <c r="AI504" s="19">
        <v>0</v>
      </c>
      <c r="AJ504" s="19">
        <v>0</v>
      </c>
      <c r="AK504" s="19">
        <v>0</v>
      </c>
      <c r="AL504" s="19">
        <v>0</v>
      </c>
      <c r="AM504" s="19">
        <v>0</v>
      </c>
      <c r="AN504" s="19">
        <v>0</v>
      </c>
      <c r="AO504" s="19">
        <v>0</v>
      </c>
      <c r="AP504" s="19">
        <v>0</v>
      </c>
      <c r="AQ504" s="19">
        <v>0</v>
      </c>
      <c r="AR504" s="19">
        <v>0</v>
      </c>
    </row>
    <row r="505" spans="1:44" x14ac:dyDescent="0.25">
      <c r="A505" t="s">
        <v>250</v>
      </c>
      <c r="B505" t="s">
        <v>294</v>
      </c>
      <c r="C505" t="s">
        <v>44</v>
      </c>
      <c r="D505" t="s">
        <v>144</v>
      </c>
      <c r="E505" t="s">
        <v>145</v>
      </c>
      <c r="F505" t="s">
        <v>144</v>
      </c>
      <c r="G505" t="s">
        <v>31</v>
      </c>
      <c r="H505" t="s">
        <v>273</v>
      </c>
      <c r="I505" t="s">
        <v>135</v>
      </c>
      <c r="J505" t="s">
        <v>39</v>
      </c>
      <c r="K505" t="s">
        <v>31</v>
      </c>
      <c r="L505">
        <v>1.192972744211509</v>
      </c>
      <c r="M505">
        <v>1</v>
      </c>
      <c r="N505" s="2">
        <v>4.607753102766619</v>
      </c>
      <c r="O505" s="2">
        <v>5.4674005771508289</v>
      </c>
      <c r="P505" s="1">
        <v>-1.7614983797832529</v>
      </c>
      <c r="Q505" s="1">
        <v>0.64270854047825887</v>
      </c>
      <c r="R505" s="1">
        <v>-1.862552393622352</v>
      </c>
      <c r="S505" s="19">
        <v>0</v>
      </c>
      <c r="T505" s="19">
        <v>0</v>
      </c>
      <c r="U505" s="19">
        <v>0</v>
      </c>
      <c r="V505" s="19">
        <v>0</v>
      </c>
      <c r="W505" s="19">
        <v>0</v>
      </c>
      <c r="X505" s="19">
        <v>0</v>
      </c>
      <c r="Y505" s="19">
        <v>0</v>
      </c>
      <c r="Z505" s="19">
        <v>0</v>
      </c>
      <c r="AA505" s="19">
        <v>0</v>
      </c>
      <c r="AB505" s="19">
        <v>0</v>
      </c>
      <c r="AC505" s="19">
        <v>0</v>
      </c>
      <c r="AD505" s="19">
        <v>0</v>
      </c>
      <c r="AE505" s="19">
        <v>0</v>
      </c>
      <c r="AF505" s="19">
        <v>0</v>
      </c>
      <c r="AG505" s="19">
        <v>0</v>
      </c>
      <c r="AH505" s="19">
        <v>0</v>
      </c>
      <c r="AI505" s="19">
        <v>0</v>
      </c>
      <c r="AJ505" s="19">
        <v>0</v>
      </c>
      <c r="AK505" s="19">
        <v>0</v>
      </c>
      <c r="AL505" s="19">
        <v>0</v>
      </c>
      <c r="AM505" s="19">
        <v>0</v>
      </c>
      <c r="AN505" s="19">
        <v>0</v>
      </c>
      <c r="AO505" s="19">
        <v>0</v>
      </c>
      <c r="AP505" s="19">
        <v>0</v>
      </c>
      <c r="AQ505" s="19">
        <v>0</v>
      </c>
      <c r="AR505" s="19">
        <v>0</v>
      </c>
    </row>
    <row r="506" spans="1:44" x14ac:dyDescent="0.25">
      <c r="A506" t="s">
        <v>250</v>
      </c>
      <c r="B506" t="s">
        <v>294</v>
      </c>
      <c r="C506" t="s">
        <v>44</v>
      </c>
      <c r="D506" t="s">
        <v>144</v>
      </c>
      <c r="E506" t="s">
        <v>148</v>
      </c>
      <c r="F506" t="s">
        <v>144</v>
      </c>
      <c r="G506" t="s">
        <v>31</v>
      </c>
      <c r="H506" t="s">
        <v>273</v>
      </c>
      <c r="I506" t="s">
        <v>135</v>
      </c>
      <c r="J506" t="s">
        <v>39</v>
      </c>
      <c r="K506" t="s">
        <v>31</v>
      </c>
      <c r="L506">
        <v>1.192972744211509</v>
      </c>
      <c r="M506">
        <v>1</v>
      </c>
      <c r="N506" s="2">
        <v>4.607753102766619</v>
      </c>
      <c r="O506" s="2">
        <v>5.4674005771508289</v>
      </c>
      <c r="P506" s="1">
        <v>-1.7614983797832529</v>
      </c>
      <c r="Q506" s="1">
        <v>0.64270854047825887</v>
      </c>
      <c r="R506" s="1">
        <v>-1.862552393622352</v>
      </c>
      <c r="S506" s="19">
        <v>0</v>
      </c>
      <c r="T506" s="19">
        <v>0</v>
      </c>
      <c r="U506" s="19">
        <v>0</v>
      </c>
      <c r="V506" s="19">
        <v>0</v>
      </c>
      <c r="W506" s="19">
        <v>0</v>
      </c>
      <c r="X506" s="19">
        <v>0</v>
      </c>
      <c r="Y506" s="19">
        <v>0</v>
      </c>
      <c r="Z506" s="19">
        <v>0</v>
      </c>
      <c r="AA506" s="19">
        <v>0</v>
      </c>
      <c r="AB506" s="19">
        <v>0</v>
      </c>
      <c r="AC506" s="19">
        <v>0</v>
      </c>
      <c r="AD506" s="19">
        <v>0</v>
      </c>
      <c r="AE506" s="19">
        <v>0</v>
      </c>
      <c r="AF506" s="19">
        <v>0</v>
      </c>
      <c r="AG506" s="19">
        <v>0</v>
      </c>
      <c r="AH506" s="19">
        <v>0</v>
      </c>
      <c r="AI506" s="19">
        <v>0</v>
      </c>
      <c r="AJ506" s="19">
        <v>0</v>
      </c>
      <c r="AK506" s="19">
        <v>0</v>
      </c>
      <c r="AL506" s="19">
        <v>0</v>
      </c>
      <c r="AM506" s="19">
        <v>0</v>
      </c>
      <c r="AN506" s="19">
        <v>0</v>
      </c>
      <c r="AO506" s="19">
        <v>0</v>
      </c>
      <c r="AP506" s="19">
        <v>0</v>
      </c>
      <c r="AQ506" s="19">
        <v>0</v>
      </c>
      <c r="AR506" s="19">
        <v>0</v>
      </c>
    </row>
    <row r="507" spans="1:44" x14ac:dyDescent="0.25">
      <c r="A507" t="s">
        <v>250</v>
      </c>
      <c r="B507" t="s">
        <v>294</v>
      </c>
      <c r="C507" t="s">
        <v>44</v>
      </c>
      <c r="D507" t="s">
        <v>144</v>
      </c>
      <c r="E507" t="s">
        <v>145</v>
      </c>
      <c r="F507" t="s">
        <v>144</v>
      </c>
      <c r="G507" t="s">
        <v>31</v>
      </c>
      <c r="H507" t="s">
        <v>274</v>
      </c>
      <c r="I507" t="s">
        <v>135</v>
      </c>
      <c r="J507" t="s">
        <v>39</v>
      </c>
      <c r="K507" t="s">
        <v>31</v>
      </c>
      <c r="L507">
        <v>1.192972744211509</v>
      </c>
      <c r="M507">
        <v>1</v>
      </c>
      <c r="N507" s="2">
        <v>4.607753102766619</v>
      </c>
      <c r="O507" s="2">
        <v>5.4674005771508289</v>
      </c>
      <c r="P507" s="1">
        <v>-1.7614983797832529</v>
      </c>
      <c r="Q507" s="1">
        <v>0.64270854047825887</v>
      </c>
      <c r="R507" s="1">
        <v>-1.862552393622352</v>
      </c>
      <c r="S507" s="19">
        <v>0</v>
      </c>
      <c r="T507" s="19">
        <v>0</v>
      </c>
      <c r="U507" s="19">
        <v>0</v>
      </c>
      <c r="V507" s="19">
        <v>0</v>
      </c>
      <c r="W507" s="19">
        <v>0</v>
      </c>
      <c r="X507" s="19">
        <v>0</v>
      </c>
      <c r="Y507" s="19">
        <v>0</v>
      </c>
      <c r="Z507" s="19">
        <v>0</v>
      </c>
      <c r="AA507" s="19">
        <v>0</v>
      </c>
      <c r="AB507" s="19">
        <v>0</v>
      </c>
      <c r="AC507" s="19">
        <v>0</v>
      </c>
      <c r="AD507" s="19">
        <v>0</v>
      </c>
      <c r="AE507" s="19">
        <v>0</v>
      </c>
      <c r="AF507" s="19">
        <v>0</v>
      </c>
      <c r="AG507" s="19">
        <v>0</v>
      </c>
      <c r="AH507" s="19">
        <v>0</v>
      </c>
      <c r="AI507" s="19">
        <v>0</v>
      </c>
      <c r="AJ507" s="19">
        <v>0</v>
      </c>
      <c r="AK507" s="19">
        <v>0</v>
      </c>
      <c r="AL507" s="19">
        <v>0</v>
      </c>
      <c r="AM507" s="19">
        <v>0</v>
      </c>
      <c r="AN507" s="19">
        <v>0</v>
      </c>
      <c r="AO507" s="19">
        <v>0</v>
      </c>
      <c r="AP507" s="19">
        <v>0</v>
      </c>
      <c r="AQ507" s="19">
        <v>0</v>
      </c>
      <c r="AR507" s="19">
        <v>0</v>
      </c>
    </row>
    <row r="508" spans="1:44" x14ac:dyDescent="0.25">
      <c r="A508" t="s">
        <v>250</v>
      </c>
      <c r="B508" t="s">
        <v>294</v>
      </c>
      <c r="C508" t="s">
        <v>44</v>
      </c>
      <c r="D508" t="s">
        <v>144</v>
      </c>
      <c r="E508" t="s">
        <v>148</v>
      </c>
      <c r="F508" t="s">
        <v>144</v>
      </c>
      <c r="G508" t="s">
        <v>31</v>
      </c>
      <c r="H508" t="s">
        <v>274</v>
      </c>
      <c r="I508" t="s">
        <v>135</v>
      </c>
      <c r="J508" t="s">
        <v>39</v>
      </c>
      <c r="K508" t="s">
        <v>31</v>
      </c>
      <c r="L508">
        <v>1.192972744211509</v>
      </c>
      <c r="M508">
        <v>1</v>
      </c>
      <c r="N508" s="2">
        <v>4.607753102766619</v>
      </c>
      <c r="O508" s="2">
        <v>5.4674005771508289</v>
      </c>
      <c r="P508" s="1">
        <v>-1.7614983797832529</v>
      </c>
      <c r="Q508" s="1">
        <v>0.64270854047825887</v>
      </c>
      <c r="R508" s="1">
        <v>-1.862552393622352</v>
      </c>
      <c r="S508" s="19">
        <v>0</v>
      </c>
      <c r="T508" s="19">
        <v>0</v>
      </c>
      <c r="U508" s="19">
        <v>0</v>
      </c>
      <c r="V508" s="19">
        <v>0</v>
      </c>
      <c r="W508" s="19">
        <v>0</v>
      </c>
      <c r="X508" s="19">
        <v>0</v>
      </c>
      <c r="Y508" s="19">
        <v>0</v>
      </c>
      <c r="Z508" s="19">
        <v>0</v>
      </c>
      <c r="AA508" s="19">
        <v>0</v>
      </c>
      <c r="AB508" s="19">
        <v>0</v>
      </c>
      <c r="AC508" s="19">
        <v>0</v>
      </c>
      <c r="AD508" s="19">
        <v>0</v>
      </c>
      <c r="AE508" s="19">
        <v>0</v>
      </c>
      <c r="AF508" s="19">
        <v>0</v>
      </c>
      <c r="AG508" s="19">
        <v>0</v>
      </c>
      <c r="AH508" s="19">
        <v>0</v>
      </c>
      <c r="AI508" s="19">
        <v>0</v>
      </c>
      <c r="AJ508" s="19">
        <v>0</v>
      </c>
      <c r="AK508" s="19">
        <v>0</v>
      </c>
      <c r="AL508" s="19">
        <v>0</v>
      </c>
      <c r="AM508" s="19">
        <v>0</v>
      </c>
      <c r="AN508" s="19">
        <v>0</v>
      </c>
      <c r="AO508" s="19">
        <v>0</v>
      </c>
      <c r="AP508" s="19">
        <v>0</v>
      </c>
      <c r="AQ508" s="19">
        <v>0</v>
      </c>
      <c r="AR508" s="19">
        <v>0</v>
      </c>
    </row>
    <row r="509" spans="1:44" x14ac:dyDescent="0.25">
      <c r="A509" t="s">
        <v>250</v>
      </c>
      <c r="B509" t="s">
        <v>294</v>
      </c>
      <c r="C509" t="s">
        <v>44</v>
      </c>
      <c r="D509" t="s">
        <v>144</v>
      </c>
      <c r="E509" t="s">
        <v>145</v>
      </c>
      <c r="F509" t="s">
        <v>144</v>
      </c>
      <c r="G509" t="s">
        <v>31</v>
      </c>
      <c r="H509" t="s">
        <v>275</v>
      </c>
      <c r="I509" t="s">
        <v>135</v>
      </c>
      <c r="J509" t="s">
        <v>39</v>
      </c>
      <c r="K509" t="s">
        <v>31</v>
      </c>
      <c r="L509">
        <v>1.192972744211509</v>
      </c>
      <c r="M509">
        <v>1</v>
      </c>
      <c r="N509" s="2">
        <v>4.607753102766619</v>
      </c>
      <c r="O509" s="2">
        <v>5.4674005771508289</v>
      </c>
      <c r="P509" s="1">
        <v>-1.7614983797832529</v>
      </c>
      <c r="Q509" s="1">
        <v>0.64270854047825887</v>
      </c>
      <c r="R509" s="1">
        <v>-1.862552393622352</v>
      </c>
      <c r="S509" s="19">
        <v>0</v>
      </c>
      <c r="T509" s="19">
        <v>0</v>
      </c>
      <c r="U509" s="19">
        <v>0</v>
      </c>
      <c r="V509" s="19">
        <v>0</v>
      </c>
      <c r="W509" s="19">
        <v>0</v>
      </c>
      <c r="X509" s="19">
        <v>0</v>
      </c>
      <c r="Y509" s="19">
        <v>0</v>
      </c>
      <c r="Z509" s="19">
        <v>0</v>
      </c>
      <c r="AA509" s="19">
        <v>0</v>
      </c>
      <c r="AB509" s="19">
        <v>0</v>
      </c>
      <c r="AC509" s="19">
        <v>0</v>
      </c>
      <c r="AD509" s="19">
        <v>0</v>
      </c>
      <c r="AE509" s="19">
        <v>0</v>
      </c>
      <c r="AF509" s="19">
        <v>0</v>
      </c>
      <c r="AG509" s="19">
        <v>0</v>
      </c>
      <c r="AH509" s="19">
        <v>0</v>
      </c>
      <c r="AI509" s="19">
        <v>0</v>
      </c>
      <c r="AJ509" s="19">
        <v>0</v>
      </c>
      <c r="AK509" s="19">
        <v>0</v>
      </c>
      <c r="AL509" s="19">
        <v>0</v>
      </c>
      <c r="AM509" s="19">
        <v>0</v>
      </c>
      <c r="AN509" s="19">
        <v>0</v>
      </c>
      <c r="AO509" s="19">
        <v>0</v>
      </c>
      <c r="AP509" s="19">
        <v>0</v>
      </c>
      <c r="AQ509" s="19">
        <v>0</v>
      </c>
      <c r="AR509" s="19">
        <v>0</v>
      </c>
    </row>
    <row r="510" spans="1:44" x14ac:dyDescent="0.25">
      <c r="A510" t="s">
        <v>250</v>
      </c>
      <c r="B510" t="s">
        <v>294</v>
      </c>
      <c r="C510" t="s">
        <v>44</v>
      </c>
      <c r="D510" t="s">
        <v>144</v>
      </c>
      <c r="E510" t="s">
        <v>148</v>
      </c>
      <c r="F510" t="s">
        <v>144</v>
      </c>
      <c r="G510" t="s">
        <v>31</v>
      </c>
      <c r="H510" t="s">
        <v>275</v>
      </c>
      <c r="I510" t="s">
        <v>135</v>
      </c>
      <c r="J510" t="s">
        <v>39</v>
      </c>
      <c r="K510" t="s">
        <v>31</v>
      </c>
      <c r="L510">
        <v>1.192972744211509</v>
      </c>
      <c r="M510">
        <v>1</v>
      </c>
      <c r="N510" s="2">
        <v>4.607753102766619</v>
      </c>
      <c r="O510" s="2">
        <v>5.4674005771508289</v>
      </c>
      <c r="P510" s="1">
        <v>-1.7614983797832529</v>
      </c>
      <c r="Q510" s="1">
        <v>0.64270854047825887</v>
      </c>
      <c r="R510" s="1">
        <v>-1.862552393622352</v>
      </c>
      <c r="S510" s="19">
        <v>0</v>
      </c>
      <c r="T510" s="19">
        <v>0</v>
      </c>
      <c r="U510" s="19">
        <v>0</v>
      </c>
      <c r="V510" s="19">
        <v>0</v>
      </c>
      <c r="W510" s="19">
        <v>0</v>
      </c>
      <c r="X510" s="19">
        <v>0</v>
      </c>
      <c r="Y510" s="19">
        <v>0</v>
      </c>
      <c r="Z510" s="19">
        <v>0</v>
      </c>
      <c r="AA510" s="19">
        <v>0</v>
      </c>
      <c r="AB510" s="19">
        <v>0</v>
      </c>
      <c r="AC510" s="19">
        <v>0</v>
      </c>
      <c r="AD510" s="19">
        <v>0</v>
      </c>
      <c r="AE510" s="19">
        <v>0</v>
      </c>
      <c r="AF510" s="19">
        <v>0</v>
      </c>
      <c r="AG510" s="19">
        <v>0</v>
      </c>
      <c r="AH510" s="19">
        <v>0</v>
      </c>
      <c r="AI510" s="19">
        <v>0</v>
      </c>
      <c r="AJ510" s="19">
        <v>0</v>
      </c>
      <c r="AK510" s="19">
        <v>0</v>
      </c>
      <c r="AL510" s="19">
        <v>0</v>
      </c>
      <c r="AM510" s="19">
        <v>0</v>
      </c>
      <c r="AN510" s="19">
        <v>0</v>
      </c>
      <c r="AO510" s="19">
        <v>0</v>
      </c>
      <c r="AP510" s="19">
        <v>0</v>
      </c>
      <c r="AQ510" s="19">
        <v>0</v>
      </c>
      <c r="AR510" s="19">
        <v>0</v>
      </c>
    </row>
    <row r="511" spans="1:44" x14ac:dyDescent="0.25">
      <c r="A511" t="s">
        <v>250</v>
      </c>
      <c r="B511" t="s">
        <v>294</v>
      </c>
      <c r="C511" t="s">
        <v>44</v>
      </c>
      <c r="D511" t="s">
        <v>144</v>
      </c>
      <c r="E511" t="s">
        <v>145</v>
      </c>
      <c r="F511" t="s">
        <v>144</v>
      </c>
      <c r="G511" t="s">
        <v>31</v>
      </c>
      <c r="H511" t="s">
        <v>274</v>
      </c>
      <c r="I511" t="s">
        <v>135</v>
      </c>
      <c r="J511" t="s">
        <v>39</v>
      </c>
      <c r="K511" t="s">
        <v>33</v>
      </c>
      <c r="L511">
        <v>1.192972744211509</v>
      </c>
      <c r="M511">
        <v>1</v>
      </c>
      <c r="N511" s="2">
        <v>4.607753102766619</v>
      </c>
      <c r="O511" s="2">
        <v>5.4674005771508289</v>
      </c>
      <c r="P511" s="1">
        <v>-1.7614983797832529</v>
      </c>
      <c r="Q511" s="1">
        <v>0.64270854047825887</v>
      </c>
      <c r="R511" s="1">
        <v>-1.862552393622352</v>
      </c>
      <c r="S511" s="19">
        <v>0</v>
      </c>
      <c r="T511" s="19">
        <v>0</v>
      </c>
      <c r="U511" s="19">
        <v>0</v>
      </c>
      <c r="V511" s="19">
        <v>0</v>
      </c>
      <c r="W511" s="19">
        <v>0</v>
      </c>
      <c r="X511" s="19">
        <v>0</v>
      </c>
      <c r="Y511" s="19">
        <v>0</v>
      </c>
      <c r="Z511" s="19">
        <v>0</v>
      </c>
      <c r="AA511" s="19">
        <v>0</v>
      </c>
      <c r="AB511" s="19">
        <v>0</v>
      </c>
      <c r="AC511" s="19">
        <v>0</v>
      </c>
      <c r="AD511" s="19">
        <v>0</v>
      </c>
      <c r="AE511" s="19">
        <v>0</v>
      </c>
      <c r="AF511" s="19">
        <v>0</v>
      </c>
      <c r="AG511" s="19">
        <v>0</v>
      </c>
      <c r="AH511" s="19">
        <v>0</v>
      </c>
      <c r="AI511" s="19">
        <v>0</v>
      </c>
      <c r="AJ511" s="19">
        <v>0</v>
      </c>
      <c r="AK511" s="19">
        <v>0</v>
      </c>
      <c r="AL511" s="19">
        <v>0</v>
      </c>
      <c r="AM511" s="19">
        <v>0</v>
      </c>
      <c r="AN511" s="19">
        <v>0</v>
      </c>
      <c r="AO511" s="19">
        <v>0</v>
      </c>
      <c r="AP511" s="19">
        <v>0</v>
      </c>
      <c r="AQ511" s="19">
        <v>0</v>
      </c>
      <c r="AR511" s="19">
        <v>0</v>
      </c>
    </row>
    <row r="512" spans="1:44" x14ac:dyDescent="0.25">
      <c r="A512" t="s">
        <v>250</v>
      </c>
      <c r="B512" t="s">
        <v>294</v>
      </c>
      <c r="C512" t="s">
        <v>44</v>
      </c>
      <c r="D512" t="s">
        <v>144</v>
      </c>
      <c r="E512" t="s">
        <v>148</v>
      </c>
      <c r="F512" t="s">
        <v>144</v>
      </c>
      <c r="G512" t="s">
        <v>31</v>
      </c>
      <c r="H512" t="s">
        <v>274</v>
      </c>
      <c r="I512" t="s">
        <v>135</v>
      </c>
      <c r="J512" t="s">
        <v>39</v>
      </c>
      <c r="K512" t="s">
        <v>33</v>
      </c>
      <c r="L512">
        <v>1.192972744211509</v>
      </c>
      <c r="M512">
        <v>1</v>
      </c>
      <c r="N512" s="2">
        <v>4.607753102766619</v>
      </c>
      <c r="O512" s="2">
        <v>5.4674005771508289</v>
      </c>
      <c r="P512" s="1">
        <v>-1.7614983797832529</v>
      </c>
      <c r="Q512" s="1">
        <v>0.64270854047825887</v>
      </c>
      <c r="R512" s="1">
        <v>-1.862552393622352</v>
      </c>
      <c r="S512" s="19">
        <v>0</v>
      </c>
      <c r="T512" s="19">
        <v>0</v>
      </c>
      <c r="U512" s="19">
        <v>0</v>
      </c>
      <c r="V512" s="19">
        <v>0</v>
      </c>
      <c r="W512" s="19">
        <v>0</v>
      </c>
      <c r="X512" s="19">
        <v>0</v>
      </c>
      <c r="Y512" s="19">
        <v>0</v>
      </c>
      <c r="Z512" s="19">
        <v>0</v>
      </c>
      <c r="AA512" s="19">
        <v>0</v>
      </c>
      <c r="AB512" s="19">
        <v>0</v>
      </c>
      <c r="AC512" s="19">
        <v>0</v>
      </c>
      <c r="AD512" s="19">
        <v>0</v>
      </c>
      <c r="AE512" s="19">
        <v>0</v>
      </c>
      <c r="AF512" s="19">
        <v>0</v>
      </c>
      <c r="AG512" s="19">
        <v>0</v>
      </c>
      <c r="AH512" s="19">
        <v>0</v>
      </c>
      <c r="AI512" s="19">
        <v>0</v>
      </c>
      <c r="AJ512" s="19">
        <v>0</v>
      </c>
      <c r="AK512" s="19">
        <v>0</v>
      </c>
      <c r="AL512" s="19">
        <v>0</v>
      </c>
      <c r="AM512" s="19">
        <v>0</v>
      </c>
      <c r="AN512" s="19">
        <v>0</v>
      </c>
      <c r="AO512" s="19">
        <v>0</v>
      </c>
      <c r="AP512" s="19">
        <v>0</v>
      </c>
      <c r="AQ512" s="19">
        <v>0</v>
      </c>
      <c r="AR512" s="19">
        <v>0</v>
      </c>
    </row>
    <row r="513" spans="1:44" x14ac:dyDescent="0.25">
      <c r="A513" t="s">
        <v>250</v>
      </c>
      <c r="B513" t="s">
        <v>294</v>
      </c>
      <c r="C513" t="s">
        <v>44</v>
      </c>
      <c r="D513" t="s">
        <v>144</v>
      </c>
      <c r="E513" t="s">
        <v>145</v>
      </c>
      <c r="F513" t="s">
        <v>144</v>
      </c>
      <c r="G513" t="s">
        <v>31</v>
      </c>
      <c r="H513" t="s">
        <v>272</v>
      </c>
      <c r="I513" t="s">
        <v>135</v>
      </c>
      <c r="J513" t="s">
        <v>40</v>
      </c>
      <c r="K513" t="s">
        <v>31</v>
      </c>
      <c r="L513">
        <v>1.192972744211509</v>
      </c>
      <c r="M513">
        <v>1</v>
      </c>
      <c r="N513" s="2">
        <v>4.607753102766619</v>
      </c>
      <c r="O513" s="2">
        <v>4.1746294160814514</v>
      </c>
      <c r="P513" s="1">
        <v>-1.7614983797832529</v>
      </c>
      <c r="Q513" s="1">
        <v>0.4672931329656026</v>
      </c>
      <c r="R513" s="1">
        <v>-1.7195523936223516</v>
      </c>
      <c r="S513" s="19">
        <v>0</v>
      </c>
      <c r="T513" s="19">
        <v>0</v>
      </c>
      <c r="U513" s="19">
        <v>0</v>
      </c>
      <c r="V513" s="19">
        <v>0</v>
      </c>
      <c r="W513" s="19">
        <v>0</v>
      </c>
      <c r="X513" s="19">
        <v>0</v>
      </c>
      <c r="Y513" s="19">
        <v>0</v>
      </c>
      <c r="Z513" s="19">
        <v>0</v>
      </c>
      <c r="AA513" s="19">
        <v>0</v>
      </c>
      <c r="AB513" s="19">
        <v>0</v>
      </c>
      <c r="AC513" s="19">
        <v>0</v>
      </c>
      <c r="AD513" s="19">
        <v>0</v>
      </c>
      <c r="AE513" s="19">
        <v>0</v>
      </c>
      <c r="AF513" s="19">
        <v>0</v>
      </c>
      <c r="AG513" s="19">
        <v>0</v>
      </c>
      <c r="AH513" s="19">
        <v>0</v>
      </c>
      <c r="AI513" s="19">
        <v>0</v>
      </c>
      <c r="AJ513" s="19">
        <v>0</v>
      </c>
      <c r="AK513" s="19">
        <v>0</v>
      </c>
      <c r="AL513" s="19">
        <v>0</v>
      </c>
      <c r="AM513" s="19">
        <v>0</v>
      </c>
      <c r="AN513" s="19">
        <v>0</v>
      </c>
      <c r="AO513" s="19">
        <v>0</v>
      </c>
      <c r="AP513" s="19">
        <v>0</v>
      </c>
      <c r="AQ513" s="19">
        <v>0</v>
      </c>
      <c r="AR513" s="19">
        <v>0</v>
      </c>
    </row>
    <row r="514" spans="1:44" x14ac:dyDescent="0.25">
      <c r="A514" t="s">
        <v>250</v>
      </c>
      <c r="B514" t="s">
        <v>294</v>
      </c>
      <c r="C514" t="s">
        <v>44</v>
      </c>
      <c r="D514" t="s">
        <v>144</v>
      </c>
      <c r="E514" t="s">
        <v>148</v>
      </c>
      <c r="F514" t="s">
        <v>144</v>
      </c>
      <c r="G514" t="s">
        <v>31</v>
      </c>
      <c r="H514" t="s">
        <v>272</v>
      </c>
      <c r="I514" t="s">
        <v>135</v>
      </c>
      <c r="J514" t="s">
        <v>40</v>
      </c>
      <c r="K514" t="s">
        <v>31</v>
      </c>
      <c r="L514">
        <v>1.192972744211509</v>
      </c>
      <c r="M514">
        <v>1</v>
      </c>
      <c r="N514" s="2">
        <v>4.607753102766619</v>
      </c>
      <c r="O514" s="2">
        <v>4.1746294160814514</v>
      </c>
      <c r="P514" s="1">
        <v>-1.7614983797832529</v>
      </c>
      <c r="Q514" s="1">
        <v>0.4672931329656026</v>
      </c>
      <c r="R514" s="1">
        <v>-1.7195523936223516</v>
      </c>
      <c r="S514" s="19">
        <v>0</v>
      </c>
      <c r="T514" s="19">
        <v>0</v>
      </c>
      <c r="U514" s="19">
        <v>0</v>
      </c>
      <c r="V514" s="19">
        <v>0</v>
      </c>
      <c r="W514" s="19">
        <v>0</v>
      </c>
      <c r="X514" s="19">
        <v>0</v>
      </c>
      <c r="Y514" s="19">
        <v>0</v>
      </c>
      <c r="Z514" s="19">
        <v>0</v>
      </c>
      <c r="AA514" s="19">
        <v>0</v>
      </c>
      <c r="AB514" s="19">
        <v>0</v>
      </c>
      <c r="AC514" s="19">
        <v>0</v>
      </c>
      <c r="AD514" s="19">
        <v>0</v>
      </c>
      <c r="AE514" s="19">
        <v>0</v>
      </c>
      <c r="AF514" s="19">
        <v>0</v>
      </c>
      <c r="AG514" s="19">
        <v>0</v>
      </c>
      <c r="AH514" s="19">
        <v>0</v>
      </c>
      <c r="AI514" s="19">
        <v>0</v>
      </c>
      <c r="AJ514" s="19">
        <v>0</v>
      </c>
      <c r="AK514" s="19">
        <v>0</v>
      </c>
      <c r="AL514" s="19">
        <v>0</v>
      </c>
      <c r="AM514" s="19">
        <v>0</v>
      </c>
      <c r="AN514" s="19">
        <v>0</v>
      </c>
      <c r="AO514" s="19">
        <v>0</v>
      </c>
      <c r="AP514" s="19">
        <v>0</v>
      </c>
      <c r="AQ514" s="19">
        <v>0</v>
      </c>
      <c r="AR514" s="19">
        <v>0</v>
      </c>
    </row>
    <row r="515" spans="1:44" x14ac:dyDescent="0.25">
      <c r="A515" t="s">
        <v>250</v>
      </c>
      <c r="B515" t="s">
        <v>295</v>
      </c>
      <c r="C515" t="s">
        <v>44</v>
      </c>
      <c r="D515" t="s">
        <v>144</v>
      </c>
      <c r="E515" t="s">
        <v>145</v>
      </c>
      <c r="F515" t="s">
        <v>144</v>
      </c>
      <c r="G515" t="s">
        <v>31</v>
      </c>
      <c r="H515" t="s">
        <v>276</v>
      </c>
      <c r="I515" t="s">
        <v>135</v>
      </c>
      <c r="J515" t="s">
        <v>39</v>
      </c>
      <c r="K515" t="s">
        <v>31</v>
      </c>
      <c r="L515">
        <v>0.93349170799660908</v>
      </c>
      <c r="M515">
        <v>1</v>
      </c>
      <c r="N515" s="2">
        <v>3.9962486596992206</v>
      </c>
      <c r="O515" s="2">
        <v>5.463966537645744</v>
      </c>
      <c r="P515" s="1">
        <v>-1.663616816755924</v>
      </c>
      <c r="Q515" s="1">
        <v>0.74059010350558885</v>
      </c>
      <c r="R515" s="1">
        <v>-1.8625523936223525</v>
      </c>
      <c r="S515" s="19">
        <v>1814.492223628278</v>
      </c>
      <c r="T515" s="19">
        <v>2657.2938088814867</v>
      </c>
      <c r="U515" s="19">
        <v>3615.3538051766864</v>
      </c>
      <c r="V515" s="19">
        <v>4732.0070369132955</v>
      </c>
      <c r="W515" s="19">
        <v>5952.7946059268925</v>
      </c>
      <c r="X515" s="19">
        <v>7194.9257667069323</v>
      </c>
      <c r="Y515" s="19">
        <v>8359.6736265867221</v>
      </c>
      <c r="Z515" s="19">
        <v>9354.1757230410312</v>
      </c>
      <c r="AA515" s="19">
        <v>10116.060045254508</v>
      </c>
      <c r="AB515" s="19">
        <v>10630.035644181153</v>
      </c>
      <c r="AC515" s="19">
        <v>10927.319308808836</v>
      </c>
      <c r="AD515" s="19">
        <v>11053.336523635817</v>
      </c>
      <c r="AE515" s="19">
        <v>11030.124516936186</v>
      </c>
      <c r="AF515" s="19">
        <v>11006.96125545062</v>
      </c>
      <c r="AG515" s="19">
        <v>10983.846636814174</v>
      </c>
      <c r="AH515" s="19">
        <v>10960.780558876864</v>
      </c>
      <c r="AI515" s="19">
        <v>10937.76291970322</v>
      </c>
      <c r="AJ515" s="19">
        <v>10914.793617571844</v>
      </c>
      <c r="AK515" s="19">
        <v>10891.872550974946</v>
      </c>
      <c r="AL515" s="19">
        <v>10868.999618617896</v>
      </c>
      <c r="AM515" s="19">
        <v>10846.174719418799</v>
      </c>
      <c r="AN515" s="19">
        <v>10823.397752508021</v>
      </c>
      <c r="AO515" s="19">
        <v>10800.668617227757</v>
      </c>
      <c r="AP515" s="19">
        <v>10777.987213131575</v>
      </c>
      <c r="AQ515" s="19">
        <v>10755.353439983999</v>
      </c>
      <c r="AR515" s="19">
        <v>228006.19153595757</v>
      </c>
    </row>
    <row r="516" spans="1:44" x14ac:dyDescent="0.25">
      <c r="A516" t="s">
        <v>250</v>
      </c>
      <c r="B516" t="s">
        <v>295</v>
      </c>
      <c r="C516" t="s">
        <v>44</v>
      </c>
      <c r="D516" t="s">
        <v>144</v>
      </c>
      <c r="E516" t="s">
        <v>148</v>
      </c>
      <c r="F516" t="s">
        <v>144</v>
      </c>
      <c r="G516" t="s">
        <v>31</v>
      </c>
      <c r="H516" t="s">
        <v>276</v>
      </c>
      <c r="I516" t="s">
        <v>135</v>
      </c>
      <c r="J516" t="s">
        <v>39</v>
      </c>
      <c r="K516" t="s">
        <v>31</v>
      </c>
      <c r="L516">
        <v>0.93349170799660908</v>
      </c>
      <c r="M516">
        <v>1</v>
      </c>
      <c r="N516" s="2">
        <v>3.9962486596992206</v>
      </c>
      <c r="O516" s="2">
        <v>5.463966537645744</v>
      </c>
      <c r="P516" s="1">
        <v>-1.663616816755924</v>
      </c>
      <c r="Q516" s="1">
        <v>0.74059010350558885</v>
      </c>
      <c r="R516" s="1">
        <v>-1.8625523936223525</v>
      </c>
      <c r="S516" s="19">
        <v>514.47659616672206</v>
      </c>
      <c r="T516" s="19">
        <v>894.82952100107889</v>
      </c>
      <c r="U516" s="19">
        <v>1231.1569681113381</v>
      </c>
      <c r="V516" s="19">
        <v>1629.5956839996318</v>
      </c>
      <c r="W516" s="19">
        <v>2073.1805119826713</v>
      </c>
      <c r="X516" s="19">
        <v>2534.1601491672131</v>
      </c>
      <c r="Y516" s="19">
        <v>2977.8188559274763</v>
      </c>
      <c r="Z516" s="19">
        <v>3369.9642589484797</v>
      </c>
      <c r="AA516" s="19">
        <v>3685.9674956935519</v>
      </c>
      <c r="AB516" s="19">
        <v>3917.4600889561289</v>
      </c>
      <c r="AC516" s="19">
        <v>4073.0766918531226</v>
      </c>
      <c r="AD516" s="19">
        <v>4167.2608737047522</v>
      </c>
      <c r="AE516" s="19">
        <v>4206.2512841614916</v>
      </c>
      <c r="AF516" s="19">
        <v>4245.6952046567894</v>
      </c>
      <c r="AG516" s="19">
        <v>4285.5976868495363</v>
      </c>
      <c r="AH516" s="19">
        <v>4325.9638391211156</v>
      </c>
      <c r="AI516" s="19">
        <v>4366.7988272118146</v>
      </c>
      <c r="AJ516" s="19">
        <v>4408.107874862797</v>
      </c>
      <c r="AK516" s="19">
        <v>4449.8962644677567</v>
      </c>
      <c r="AL516" s="19">
        <v>4492.1693377300689</v>
      </c>
      <c r="AM516" s="19">
        <v>4534.9324963268346</v>
      </c>
      <c r="AN516" s="19">
        <v>4578.1912025828042</v>
      </c>
      <c r="AO516" s="19">
        <v>4621.9509801491504</v>
      </c>
      <c r="AP516" s="19">
        <v>4666.2174146916295</v>
      </c>
      <c r="AQ516" s="19">
        <v>4710.9961545860042</v>
      </c>
      <c r="AR516" s="19">
        <v>88961.716262909962</v>
      </c>
    </row>
    <row r="517" spans="1:44" x14ac:dyDescent="0.25">
      <c r="A517" t="s">
        <v>250</v>
      </c>
      <c r="B517" t="s">
        <v>296</v>
      </c>
      <c r="C517" t="s">
        <v>44</v>
      </c>
      <c r="D517" t="s">
        <v>144</v>
      </c>
      <c r="E517" t="s">
        <v>145</v>
      </c>
      <c r="F517" t="s">
        <v>144</v>
      </c>
      <c r="G517" t="s">
        <v>31</v>
      </c>
      <c r="H517" t="s">
        <v>253</v>
      </c>
      <c r="I517" t="s">
        <v>135</v>
      </c>
      <c r="J517" t="s">
        <v>39</v>
      </c>
      <c r="K517" t="s">
        <v>31</v>
      </c>
      <c r="L517">
        <v>2.6708224418090953</v>
      </c>
      <c r="M517">
        <v>1</v>
      </c>
      <c r="N517" s="2">
        <v>6.5014350159184158</v>
      </c>
      <c r="O517" s="2">
        <v>5.375660204303025</v>
      </c>
      <c r="P517" s="1">
        <v>-1.9563441520871856</v>
      </c>
      <c r="Q517" s="1">
        <v>0.44786276817432807</v>
      </c>
      <c r="R517" s="1">
        <v>-1.8625523936223527</v>
      </c>
      <c r="S517" s="19">
        <v>488.45158934827697</v>
      </c>
      <c r="T517" s="19">
        <v>713.89559336504249</v>
      </c>
      <c r="U517" s="19">
        <v>969.33666428313552</v>
      </c>
      <c r="V517" s="19">
        <v>1266.1872231102905</v>
      </c>
      <c r="W517" s="19">
        <v>1589.6523366727488</v>
      </c>
      <c r="X517" s="19">
        <v>1917.5040150813484</v>
      </c>
      <c r="Y517" s="19">
        <v>2223.4532197449075</v>
      </c>
      <c r="Z517" s="19">
        <v>2482.9782087843319</v>
      </c>
      <c r="AA517" s="19">
        <v>2679.8315279290664</v>
      </c>
      <c r="AB517" s="19">
        <v>2810.3442674163689</v>
      </c>
      <c r="AC517" s="19">
        <v>2883.1493979711768</v>
      </c>
      <c r="AD517" s="19">
        <v>2910.5536934324041</v>
      </c>
      <c r="AE517" s="19">
        <v>2898.6204232893315</v>
      </c>
      <c r="AF517" s="19">
        <v>2886.7360795538448</v>
      </c>
      <c r="AG517" s="19">
        <v>2874.9004616276752</v>
      </c>
      <c r="AH517" s="19">
        <v>2863.1133697350015</v>
      </c>
      <c r="AI517" s="19">
        <v>2851.3746049190881</v>
      </c>
      <c r="AJ517" s="19">
        <v>2839.6839690389197</v>
      </c>
      <c r="AK517" s="19">
        <v>2828.04126476586</v>
      </c>
      <c r="AL517" s="19">
        <v>2816.4462955803201</v>
      </c>
      <c r="AM517" s="19">
        <v>2804.8988657684404</v>
      </c>
      <c r="AN517" s="19">
        <v>2793.3987804187896</v>
      </c>
      <c r="AO517" s="19">
        <v>2781.9458454190722</v>
      </c>
      <c r="AP517" s="19">
        <v>2770.5398674528542</v>
      </c>
      <c r="AQ517" s="19">
        <v>2759.1806539962972</v>
      </c>
      <c r="AR517" s="19">
        <v>59704.218218704598</v>
      </c>
    </row>
    <row r="518" spans="1:44" x14ac:dyDescent="0.25">
      <c r="A518" t="s">
        <v>250</v>
      </c>
      <c r="B518" t="s">
        <v>296</v>
      </c>
      <c r="C518" t="s">
        <v>44</v>
      </c>
      <c r="D518" t="s">
        <v>144</v>
      </c>
      <c r="E518" t="s">
        <v>148</v>
      </c>
      <c r="F518" t="s">
        <v>144</v>
      </c>
      <c r="G518" t="s">
        <v>31</v>
      </c>
      <c r="H518" t="s">
        <v>253</v>
      </c>
      <c r="I518" t="s">
        <v>135</v>
      </c>
      <c r="J518" t="s">
        <v>39</v>
      </c>
      <c r="K518" t="s">
        <v>31</v>
      </c>
      <c r="L518">
        <v>2.6708224418090953</v>
      </c>
      <c r="M518">
        <v>1</v>
      </c>
      <c r="N518" s="2">
        <v>6.5014350159184158</v>
      </c>
      <c r="O518" s="2">
        <v>5.375660204303025</v>
      </c>
      <c r="P518" s="1">
        <v>-1.9563441520871856</v>
      </c>
      <c r="Q518" s="1">
        <v>0.44786276817432807</v>
      </c>
      <c r="R518" s="1">
        <v>-1.8625523936223527</v>
      </c>
      <c r="S518" s="19">
        <v>138.49434448257438</v>
      </c>
      <c r="T518" s="19">
        <v>276.72504568691613</v>
      </c>
      <c r="U518" s="19">
        <v>379.98460773361398</v>
      </c>
      <c r="V518" s="19">
        <v>501.98006684390862</v>
      </c>
      <c r="W518" s="19">
        <v>637.39304184258071</v>
      </c>
      <c r="X518" s="19">
        <v>777.63780249792603</v>
      </c>
      <c r="Y518" s="19">
        <v>912.0615533799064</v>
      </c>
      <c r="Z518" s="19">
        <v>1030.2512253862451</v>
      </c>
      <c r="AA518" s="19">
        <v>1124.7879815618908</v>
      </c>
      <c r="AB518" s="19">
        <v>1193.2580186557495</v>
      </c>
      <c r="AC518" s="19">
        <v>1238.4321549608917</v>
      </c>
      <c r="AD518" s="19">
        <v>1264.8218229125866</v>
      </c>
      <c r="AE518" s="19">
        <v>1274.4183759242085</v>
      </c>
      <c r="AF518" s="19">
        <v>1284.1413566600984</v>
      </c>
      <c r="AG518" s="19">
        <v>1293.9921058035886</v>
      </c>
      <c r="AH518" s="19">
        <v>1303.9719793888969</v>
      </c>
      <c r="AI518" s="19">
        <v>1314.0823489723073</v>
      </c>
      <c r="AJ518" s="19">
        <v>1324.3246018045627</v>
      </c>
      <c r="AK518" s="19">
        <v>1334.7001410058365</v>
      </c>
      <c r="AL518" s="19">
        <v>1345.210385742495</v>
      </c>
      <c r="AM518" s="19">
        <v>1355.8567714054241</v>
      </c>
      <c r="AN518" s="19">
        <v>1366.6407497910268</v>
      </c>
      <c r="AO518" s="19">
        <v>1377.5637892838251</v>
      </c>
      <c r="AP518" s="19">
        <v>1388.6273750411249</v>
      </c>
      <c r="AQ518" s="19">
        <v>1399.8330091801199</v>
      </c>
      <c r="AR518" s="19">
        <v>26839.190655948303</v>
      </c>
    </row>
    <row r="519" spans="1:44" x14ac:dyDescent="0.25">
      <c r="A519" t="s">
        <v>250</v>
      </c>
      <c r="B519" t="s">
        <v>296</v>
      </c>
      <c r="C519" t="s">
        <v>44</v>
      </c>
      <c r="D519" t="s">
        <v>144</v>
      </c>
      <c r="E519" t="s">
        <v>145</v>
      </c>
      <c r="F519" t="s">
        <v>144</v>
      </c>
      <c r="G519" t="s">
        <v>31</v>
      </c>
      <c r="H519" t="s">
        <v>253</v>
      </c>
      <c r="I519" t="s">
        <v>256</v>
      </c>
      <c r="J519" t="s">
        <v>39</v>
      </c>
      <c r="K519" t="s">
        <v>31</v>
      </c>
      <c r="L519">
        <v>2.6708224418090953</v>
      </c>
      <c r="M519">
        <v>1</v>
      </c>
      <c r="N519" s="2">
        <v>3.2349501564772121</v>
      </c>
      <c r="O519" s="2">
        <v>2.6747929920855822</v>
      </c>
      <c r="P519" s="1">
        <v>-0.4934072007383169</v>
      </c>
      <c r="Q519" s="1">
        <v>0.4672931329656026</v>
      </c>
      <c r="R519" s="1">
        <v>-0.39961544227348439</v>
      </c>
      <c r="S519" s="19">
        <v>256.22261122430933</v>
      </c>
      <c r="T519" s="19">
        <v>374.48172359839646</v>
      </c>
      <c r="U519" s="19">
        <v>508.47612474651231</v>
      </c>
      <c r="V519" s="19">
        <v>664.19232464172183</v>
      </c>
      <c r="W519" s="19">
        <v>833.86947964396734</v>
      </c>
      <c r="X519" s="19">
        <v>1005.8476551028824</v>
      </c>
      <c r="Y519" s="19">
        <v>1166.3366489568939</v>
      </c>
      <c r="Z519" s="19">
        <v>1302.4733139196694</v>
      </c>
      <c r="AA519" s="19">
        <v>1405.7348705597738</v>
      </c>
      <c r="AB519" s="19">
        <v>1474.1967522256575</v>
      </c>
      <c r="AC519" s="19">
        <v>1512.3874779149107</v>
      </c>
      <c r="AD519" s="19">
        <v>1526.7627001374583</v>
      </c>
      <c r="AE519" s="19">
        <v>1520.502973066895</v>
      </c>
      <c r="AF519" s="19">
        <v>1514.2689108773204</v>
      </c>
      <c r="AG519" s="19">
        <v>1508.0604083427231</v>
      </c>
      <c r="AH519" s="19">
        <v>1501.8773606685183</v>
      </c>
      <c r="AI519" s="19">
        <v>1495.7196634897773</v>
      </c>
      <c r="AJ519" s="19">
        <v>1489.5872128694691</v>
      </c>
      <c r="AK519" s="19">
        <v>1483.4799052967039</v>
      </c>
      <c r="AL519" s="19">
        <v>1477.3976376849878</v>
      </c>
      <c r="AM519" s="19">
        <v>1471.3403073704796</v>
      </c>
      <c r="AN519" s="19">
        <v>1465.3078121102603</v>
      </c>
      <c r="AO519" s="19">
        <v>1459.3000500806086</v>
      </c>
      <c r="AP519" s="19">
        <v>1453.316919875278</v>
      </c>
      <c r="AQ519" s="19">
        <v>1447.3583205037894</v>
      </c>
      <c r="AR519" s="19">
        <v>31318.499164908961</v>
      </c>
    </row>
    <row r="520" spans="1:44" x14ac:dyDescent="0.25">
      <c r="A520" t="s">
        <v>250</v>
      </c>
      <c r="B520" t="s">
        <v>296</v>
      </c>
      <c r="C520" t="s">
        <v>44</v>
      </c>
      <c r="D520" t="s">
        <v>144</v>
      </c>
      <c r="E520" t="s">
        <v>148</v>
      </c>
      <c r="F520" t="s">
        <v>144</v>
      </c>
      <c r="G520" t="s">
        <v>31</v>
      </c>
      <c r="H520" t="s">
        <v>253</v>
      </c>
      <c r="I520" t="s">
        <v>256</v>
      </c>
      <c r="J520" t="s">
        <v>39</v>
      </c>
      <c r="K520" t="s">
        <v>31</v>
      </c>
      <c r="L520">
        <v>2.6708224418090953</v>
      </c>
      <c r="M520">
        <v>1</v>
      </c>
      <c r="N520" s="2">
        <v>3.2349501564772121</v>
      </c>
      <c r="O520" s="2">
        <v>2.6747929920855822</v>
      </c>
      <c r="P520" s="1">
        <v>-0.4934072007383169</v>
      </c>
      <c r="Q520" s="1">
        <v>0.4672931329656026</v>
      </c>
      <c r="R520" s="1">
        <v>-0.39961544227348439</v>
      </c>
      <c r="S520" s="19">
        <v>72.648719662210667</v>
      </c>
      <c r="T520" s="19">
        <v>145.15914236592357</v>
      </c>
      <c r="U520" s="19">
        <v>199.32507241599015</v>
      </c>
      <c r="V520" s="19">
        <v>263.31912171871528</v>
      </c>
      <c r="W520" s="19">
        <v>334.35147539394234</v>
      </c>
      <c r="X520" s="19">
        <v>407.91839496029513</v>
      </c>
      <c r="Y520" s="19">
        <v>478.43184033059583</v>
      </c>
      <c r="Z520" s="19">
        <v>540.4295224788093</v>
      </c>
      <c r="AA520" s="19">
        <v>590.01980952511599</v>
      </c>
      <c r="AB520" s="19">
        <v>625.9365146344611</v>
      </c>
      <c r="AC520" s="19">
        <v>649.63310077792914</v>
      </c>
      <c r="AD520" s="19">
        <v>663.47608906862934</v>
      </c>
      <c r="AE520" s="19">
        <v>668.51006566941419</v>
      </c>
      <c r="AF520" s="19">
        <v>673.61036131254241</v>
      </c>
      <c r="AG520" s="19">
        <v>678.77767926809838</v>
      </c>
      <c r="AH520" s="19">
        <v>684.0127308586392</v>
      </c>
      <c r="AI520" s="19">
        <v>689.31623554895225</v>
      </c>
      <c r="AJ520" s="19">
        <v>694.6889210365772</v>
      </c>
      <c r="AK520" s="19">
        <v>700.13152334351616</v>
      </c>
      <c r="AL520" s="19">
        <v>705.64478690894964</v>
      </c>
      <c r="AM520" s="19">
        <v>711.22946468284272</v>
      </c>
      <c r="AN520" s="19">
        <v>716.88631822084483</v>
      </c>
      <c r="AO520" s="19">
        <v>722.61611778005715</v>
      </c>
      <c r="AP520" s="19">
        <v>728.41964241599771</v>
      </c>
      <c r="AQ520" s="19">
        <v>734.2976800805867</v>
      </c>
      <c r="AR520" s="19">
        <v>14078.790330459637</v>
      </c>
    </row>
    <row r="521" spans="1:44" x14ac:dyDescent="0.25">
      <c r="A521" t="s">
        <v>250</v>
      </c>
      <c r="B521" t="s">
        <v>296</v>
      </c>
      <c r="C521" t="s">
        <v>44</v>
      </c>
      <c r="D521" t="s">
        <v>144</v>
      </c>
      <c r="E521" t="s">
        <v>145</v>
      </c>
      <c r="F521" t="s">
        <v>144</v>
      </c>
      <c r="G521" t="s">
        <v>31</v>
      </c>
      <c r="H521" t="s">
        <v>253</v>
      </c>
      <c r="I521" t="s">
        <v>135</v>
      </c>
      <c r="J521" t="s">
        <v>40</v>
      </c>
      <c r="K521" t="s">
        <v>31</v>
      </c>
      <c r="L521">
        <v>2.6708224418090953</v>
      </c>
      <c r="M521">
        <v>1</v>
      </c>
      <c r="N521" s="2">
        <v>6.5014350159184158</v>
      </c>
      <c r="O521" s="2">
        <v>4.1746294160814506</v>
      </c>
      <c r="P521" s="1">
        <v>-1.9563441520871856</v>
      </c>
      <c r="Q521" s="1">
        <v>0.4672931329656026</v>
      </c>
      <c r="R521" s="1">
        <v>-1.7195523936223529</v>
      </c>
      <c r="S521" s="19">
        <v>256.93568794731124</v>
      </c>
      <c r="T521" s="19">
        <v>375.52391967551745</v>
      </c>
      <c r="U521" s="19">
        <v>509.89123205115806</v>
      </c>
      <c r="V521" s="19">
        <v>666.04079571941259</v>
      </c>
      <c r="W521" s="19">
        <v>836.19016833383205</v>
      </c>
      <c r="X521" s="19">
        <v>1008.6469652274366</v>
      </c>
      <c r="Y521" s="19">
        <v>1169.5826057113782</v>
      </c>
      <c r="Z521" s="19">
        <v>1306.0981438987617</v>
      </c>
      <c r="AA521" s="19">
        <v>1409.6470811571071</v>
      </c>
      <c r="AB521" s="19">
        <v>1478.2994946967999</v>
      </c>
      <c r="AC521" s="19">
        <v>1516.5965065463322</v>
      </c>
      <c r="AD521" s="19">
        <v>1531.0117355282596</v>
      </c>
      <c r="AE521" s="19">
        <v>1524.7345874125936</v>
      </c>
      <c r="AF521" s="19">
        <v>1518.4831756042022</v>
      </c>
      <c r="AG521" s="19">
        <v>1512.257394584225</v>
      </c>
      <c r="AH521" s="19">
        <v>1506.0571392664297</v>
      </c>
      <c r="AI521" s="19">
        <v>1499.8823049954376</v>
      </c>
      <c r="AJ521" s="19">
        <v>1493.7327875449564</v>
      </c>
      <c r="AK521" s="19">
        <v>1487.6084831160219</v>
      </c>
      <c r="AL521" s="19">
        <v>1481.5092883352461</v>
      </c>
      <c r="AM521" s="19">
        <v>1475.4351002530721</v>
      </c>
      <c r="AN521" s="19">
        <v>1469.3858163420346</v>
      </c>
      <c r="AO521" s="19">
        <v>1463.361334495032</v>
      </c>
      <c r="AP521" s="19">
        <v>1457.3615530236025</v>
      </c>
      <c r="AQ521" s="19">
        <v>1451.3863706562056</v>
      </c>
      <c r="AR521" s="19">
        <v>31405.659672122361</v>
      </c>
    </row>
    <row r="522" spans="1:44" x14ac:dyDescent="0.25">
      <c r="A522" t="s">
        <v>250</v>
      </c>
      <c r="B522" t="s">
        <v>296</v>
      </c>
      <c r="C522" t="s">
        <v>44</v>
      </c>
      <c r="D522" t="s">
        <v>144</v>
      </c>
      <c r="E522" t="s">
        <v>148</v>
      </c>
      <c r="F522" t="s">
        <v>144</v>
      </c>
      <c r="G522" t="s">
        <v>31</v>
      </c>
      <c r="H522" t="s">
        <v>253</v>
      </c>
      <c r="I522" t="s">
        <v>135</v>
      </c>
      <c r="J522" t="s">
        <v>40</v>
      </c>
      <c r="K522" t="s">
        <v>31</v>
      </c>
      <c r="L522">
        <v>2.6708224418090953</v>
      </c>
      <c r="M522">
        <v>1</v>
      </c>
      <c r="N522" s="2">
        <v>6.5014350159184158</v>
      </c>
      <c r="O522" s="2">
        <v>4.1746294160814506</v>
      </c>
      <c r="P522" s="1">
        <v>-1.9563441520871856</v>
      </c>
      <c r="Q522" s="1">
        <v>0.4672931329656026</v>
      </c>
      <c r="R522" s="1">
        <v>-1.7195523936223529</v>
      </c>
      <c r="S522" s="19">
        <v>72.850903656431441</v>
      </c>
      <c r="T522" s="19">
        <v>145.56312546896578</v>
      </c>
      <c r="U522" s="19">
        <v>199.87980124640464</v>
      </c>
      <c r="V522" s="19">
        <v>264.05194828512418</v>
      </c>
      <c r="W522" s="19">
        <v>335.28198755001534</v>
      </c>
      <c r="X522" s="19">
        <v>409.05364649387229</v>
      </c>
      <c r="Y522" s="19">
        <v>479.76333331340703</v>
      </c>
      <c r="Z522" s="19">
        <v>541.93355723616855</v>
      </c>
      <c r="AA522" s="19">
        <v>591.66185583113963</v>
      </c>
      <c r="AB522" s="19">
        <v>627.67851841988636</v>
      </c>
      <c r="AC522" s="19">
        <v>651.44105301306126</v>
      </c>
      <c r="AD522" s="19">
        <v>665.32256683701678</v>
      </c>
      <c r="AE522" s="19">
        <v>670.3705531753418</v>
      </c>
      <c r="AF522" s="19">
        <v>675.48504312430794</v>
      </c>
      <c r="AG522" s="19">
        <v>680.66674191118682</v>
      </c>
      <c r="AH522" s="19">
        <v>685.91636283819298</v>
      </c>
      <c r="AI522" s="19">
        <v>691.23462737241334</v>
      </c>
      <c r="AJ522" s="19">
        <v>696.62226523657205</v>
      </c>
      <c r="AK522" s="19">
        <v>702.08001450107031</v>
      </c>
      <c r="AL522" s="19">
        <v>707.60862167687742</v>
      </c>
      <c r="AM522" s="19">
        <v>713.20884180945586</v>
      </c>
      <c r="AN522" s="19">
        <v>718.88143857387536</v>
      </c>
      <c r="AO522" s="19">
        <v>724.62718437092155</v>
      </c>
      <c r="AP522" s="19">
        <v>730.44686042420244</v>
      </c>
      <c r="AQ522" s="19">
        <v>736.34125687857647</v>
      </c>
      <c r="AR522" s="19">
        <v>14117.972109244492</v>
      </c>
    </row>
    <row r="523" spans="1:44" x14ac:dyDescent="0.25">
      <c r="A523" t="s">
        <v>250</v>
      </c>
      <c r="B523" t="s">
        <v>297</v>
      </c>
      <c r="C523" t="s">
        <v>44</v>
      </c>
      <c r="D523" t="s">
        <v>144</v>
      </c>
      <c r="E523" t="s">
        <v>145</v>
      </c>
      <c r="F523" t="s">
        <v>144</v>
      </c>
      <c r="G523" t="s">
        <v>31</v>
      </c>
      <c r="H523" t="s">
        <v>252</v>
      </c>
      <c r="I523" t="s">
        <v>135</v>
      </c>
      <c r="J523" t="s">
        <v>39</v>
      </c>
      <c r="K523" t="s">
        <v>31</v>
      </c>
      <c r="L523">
        <v>1.7838218382297353</v>
      </c>
      <c r="M523">
        <v>1</v>
      </c>
      <c r="N523" s="2">
        <v>5.6033078212052585</v>
      </c>
      <c r="O523" s="2">
        <v>5.4421202420407448</v>
      </c>
      <c r="P523" s="1">
        <v>-1.8781339009530855</v>
      </c>
      <c r="Q523" s="1">
        <v>0.52607301930842676</v>
      </c>
      <c r="R523" s="1">
        <v>-1.862552393622352</v>
      </c>
      <c r="S523" s="19">
        <v>108.63027671516552</v>
      </c>
      <c r="T523" s="19">
        <v>158.83216581103457</v>
      </c>
      <c r="U523" s="19">
        <v>215.75098865053928</v>
      </c>
      <c r="V523" s="19">
        <v>281.93596465726108</v>
      </c>
      <c r="W523" s="19">
        <v>354.10258999106236</v>
      </c>
      <c r="X523" s="19">
        <v>427.30466138818258</v>
      </c>
      <c r="Y523" s="19">
        <v>495.68267864658674</v>
      </c>
      <c r="Z523" s="19">
        <v>553.76187504399138</v>
      </c>
      <c r="AA523" s="19">
        <v>597.90479257091488</v>
      </c>
      <c r="AB523" s="19">
        <v>627.27570115237484</v>
      </c>
      <c r="AC523" s="19">
        <v>643.78445414656278</v>
      </c>
      <c r="AD523" s="19">
        <v>650.16464822483476</v>
      </c>
      <c r="AE523" s="19">
        <v>647.75903902640289</v>
      </c>
      <c r="AF523" s="19">
        <v>645.36233058200514</v>
      </c>
      <c r="AG523" s="19">
        <v>642.97448995885156</v>
      </c>
      <c r="AH523" s="19">
        <v>640.5954843460039</v>
      </c>
      <c r="AI523" s="19">
        <v>638.22528105392371</v>
      </c>
      <c r="AJ523" s="19">
        <v>635.8638475140242</v>
      </c>
      <c r="AK523" s="19">
        <v>633.5111512782222</v>
      </c>
      <c r="AL523" s="19">
        <v>631.16716001849284</v>
      </c>
      <c r="AM523" s="19">
        <v>628.83184152642445</v>
      </c>
      <c r="AN523" s="19">
        <v>626.50516371277661</v>
      </c>
      <c r="AO523" s="19">
        <v>624.18709460703928</v>
      </c>
      <c r="AP523" s="19">
        <v>621.87760235699329</v>
      </c>
      <c r="AQ523" s="19">
        <v>619.57665522827233</v>
      </c>
      <c r="AR523" s="19">
        <v>13351.567938207943</v>
      </c>
    </row>
    <row r="524" spans="1:44" x14ac:dyDescent="0.25">
      <c r="A524" t="s">
        <v>250</v>
      </c>
      <c r="B524" t="s">
        <v>297</v>
      </c>
      <c r="C524" t="s">
        <v>44</v>
      </c>
      <c r="D524" t="s">
        <v>144</v>
      </c>
      <c r="E524" t="s">
        <v>148</v>
      </c>
      <c r="F524" t="s">
        <v>144</v>
      </c>
      <c r="G524" t="s">
        <v>31</v>
      </c>
      <c r="H524" t="s">
        <v>252</v>
      </c>
      <c r="I524" t="s">
        <v>135</v>
      </c>
      <c r="J524" t="s">
        <v>39</v>
      </c>
      <c r="K524" t="s">
        <v>31</v>
      </c>
      <c r="L524">
        <v>1.7838218382297353</v>
      </c>
      <c r="M524">
        <v>1</v>
      </c>
      <c r="N524" s="2">
        <v>5.6033078212052585</v>
      </c>
      <c r="O524" s="2">
        <v>5.4421202420407448</v>
      </c>
      <c r="P524" s="1">
        <v>-1.8781339009530855</v>
      </c>
      <c r="Q524" s="1">
        <v>0.52607301930842676</v>
      </c>
      <c r="R524" s="1">
        <v>-1.862552393622352</v>
      </c>
      <c r="S524" s="19">
        <v>30.800757521745549</v>
      </c>
      <c r="T524" s="19">
        <v>59.948661237605279</v>
      </c>
      <c r="U524" s="19">
        <v>82.35091058462173</v>
      </c>
      <c r="V524" s="19">
        <v>108.83242862153358</v>
      </c>
      <c r="W524" s="19">
        <v>138.24412679380626</v>
      </c>
      <c r="X524" s="19">
        <v>168.72612858319837</v>
      </c>
      <c r="Y524" s="19">
        <v>197.96700983754351</v>
      </c>
      <c r="Z524" s="19">
        <v>223.70392823647023</v>
      </c>
      <c r="AA524" s="19">
        <v>244.32113775895837</v>
      </c>
      <c r="AB524" s="19">
        <v>259.28820288322044</v>
      </c>
      <c r="AC524" s="19">
        <v>269.2010584887127</v>
      </c>
      <c r="AD524" s="19">
        <v>275.03513468892243</v>
      </c>
      <c r="AE524" s="19">
        <v>277.21918352719655</v>
      </c>
      <c r="AF524" s="19">
        <v>279.43105601344888</v>
      </c>
      <c r="AG524" s="19">
        <v>281.67105184594476</v>
      </c>
      <c r="AH524" s="19">
        <v>283.93947412942742</v>
      </c>
      <c r="AI524" s="19">
        <v>286.23662941321794</v>
      </c>
      <c r="AJ524" s="19">
        <v>288.56282772961578</v>
      </c>
      <c r="AK524" s="19">
        <v>290.9183826328204</v>
      </c>
      <c r="AL524" s="19">
        <v>293.30361123828499</v>
      </c>
      <c r="AM524" s="19">
        <v>295.71883426241675</v>
      </c>
      <c r="AN524" s="19">
        <v>298.16437606287479</v>
      </c>
      <c r="AO524" s="19">
        <v>300.64056467916737</v>
      </c>
      <c r="AP524" s="19">
        <v>303.14773187384156</v>
      </c>
      <c r="AQ524" s="19">
        <v>305.68621317400817</v>
      </c>
      <c r="AR524" s="19">
        <v>5843.0594218186043</v>
      </c>
    </row>
    <row r="525" spans="1:44" x14ac:dyDescent="0.25">
      <c r="A525" t="s">
        <v>250</v>
      </c>
      <c r="B525" t="s">
        <v>298</v>
      </c>
      <c r="C525" t="s">
        <v>44</v>
      </c>
      <c r="D525" t="s">
        <v>152</v>
      </c>
      <c r="E525" t="s">
        <v>145</v>
      </c>
      <c r="F525" t="s">
        <v>299</v>
      </c>
      <c r="G525" t="s">
        <v>31</v>
      </c>
      <c r="H525" t="s">
        <v>288</v>
      </c>
      <c r="I525" t="s">
        <v>135</v>
      </c>
      <c r="J525" t="s">
        <v>39</v>
      </c>
      <c r="K525" t="s">
        <v>31</v>
      </c>
      <c r="L525">
        <v>0.82</v>
      </c>
      <c r="M525">
        <v>1</v>
      </c>
      <c r="N525" s="2">
        <v>2.8160822667537615</v>
      </c>
      <c r="O525" s="2">
        <v>5.411417628870181</v>
      </c>
      <c r="P525" s="1">
        <v>-1.3633570527640948</v>
      </c>
      <c r="Q525" s="1">
        <v>1.0408498674974225</v>
      </c>
      <c r="R525" s="1">
        <v>-1.8625523936223551</v>
      </c>
      <c r="S525" s="19">
        <v>4.9954575585716752</v>
      </c>
      <c r="T525" s="19">
        <v>9.3715769931387598</v>
      </c>
      <c r="U525" s="19">
        <v>15.988552305897803</v>
      </c>
      <c r="V525" s="19">
        <v>25.429223932382321</v>
      </c>
      <c r="W525" s="19">
        <v>38.221367294672682</v>
      </c>
      <c r="X525" s="19">
        <v>54.738791159127665</v>
      </c>
      <c r="Y525" s="19">
        <v>75.083888013531535</v>
      </c>
      <c r="Z525" s="19">
        <v>98.971432605299057</v>
      </c>
      <c r="AA525" s="19">
        <v>125.64634969959612</v>
      </c>
      <c r="AB525" s="19">
        <v>153.87628219504472</v>
      </c>
      <c r="AC525" s="19">
        <v>182.05477589750959</v>
      </c>
      <c r="AD525" s="19">
        <v>208.42576269381144</v>
      </c>
      <c r="AE525" s="19">
        <v>231.39568285120799</v>
      </c>
      <c r="AF525" s="19">
        <v>249.85082354336399</v>
      </c>
      <c r="AG525" s="19">
        <v>263.37151691093703</v>
      </c>
      <c r="AH525" s="19">
        <v>273.00532510124202</v>
      </c>
      <c r="AI525" s="19">
        <v>277.85685723272866</v>
      </c>
      <c r="AJ525" s="19">
        <v>281.54611583100655</v>
      </c>
      <c r="AK525" s="19">
        <v>281.82879265413004</v>
      </c>
      <c r="AL525" s="19">
        <v>280.98330627616764</v>
      </c>
      <c r="AM525" s="19">
        <v>346.48691593587239</v>
      </c>
      <c r="AN525" s="19">
        <v>361.93288235477087</v>
      </c>
      <c r="AO525" s="19">
        <v>359.84265303835309</v>
      </c>
      <c r="AP525" s="19">
        <v>356.88880572813724</v>
      </c>
      <c r="AQ525" s="19">
        <v>352.88517714532077</v>
      </c>
      <c r="AR525" s="19">
        <v>4910.6783149518224</v>
      </c>
    </row>
    <row r="526" spans="1:44" x14ac:dyDescent="0.25">
      <c r="A526" t="s">
        <v>250</v>
      </c>
      <c r="B526" t="s">
        <v>298</v>
      </c>
      <c r="C526" t="s">
        <v>44</v>
      </c>
      <c r="D526" t="s">
        <v>152</v>
      </c>
      <c r="E526" t="s">
        <v>148</v>
      </c>
      <c r="F526" t="s">
        <v>299</v>
      </c>
      <c r="G526" t="s">
        <v>31</v>
      </c>
      <c r="H526" t="s">
        <v>288</v>
      </c>
      <c r="I526" t="s">
        <v>135</v>
      </c>
      <c r="J526" t="s">
        <v>39</v>
      </c>
      <c r="K526" t="s">
        <v>31</v>
      </c>
      <c r="L526">
        <v>0.82</v>
      </c>
      <c r="M526">
        <v>1</v>
      </c>
      <c r="N526" s="2">
        <v>2.8160822667537615</v>
      </c>
      <c r="O526" s="2">
        <v>5.411417628870181</v>
      </c>
      <c r="P526" s="1">
        <v>-1.3633570527640948</v>
      </c>
      <c r="Q526" s="1">
        <v>1.0408498674974225</v>
      </c>
      <c r="R526" s="1">
        <v>-1.8625523936223551</v>
      </c>
      <c r="S526" s="19">
        <v>1.1331196541102555</v>
      </c>
      <c r="T526" s="19">
        <v>2.69613787276317</v>
      </c>
      <c r="U526" s="19">
        <v>4.6516574121470269</v>
      </c>
      <c r="V526" s="19">
        <v>7.4819555889710818</v>
      </c>
      <c r="W526" s="19">
        <v>11.37328282702128</v>
      </c>
      <c r="X526" s="19">
        <v>16.473522184712955</v>
      </c>
      <c r="Y526" s="19">
        <v>22.854071547595264</v>
      </c>
      <c r="Z526" s="19">
        <v>30.469551271949481</v>
      </c>
      <c r="AA526" s="19">
        <v>39.125431252879622</v>
      </c>
      <c r="AB526" s="19">
        <v>48.467160403073123</v>
      </c>
      <c r="AC526" s="19">
        <v>58.004014065529113</v>
      </c>
      <c r="AD526" s="19">
        <v>67.173934757411658</v>
      </c>
      <c r="AE526" s="19">
        <v>75.441666574268396</v>
      </c>
      <c r="AF526" s="19">
        <v>82.405564722151055</v>
      </c>
      <c r="AG526" s="19">
        <v>87.877415511421447</v>
      </c>
      <c r="AH526" s="19">
        <v>92.156330036353907</v>
      </c>
      <c r="AI526" s="19">
        <v>94.892853214267745</v>
      </c>
      <c r="AJ526" s="19">
        <v>97.2820901569591</v>
      </c>
      <c r="AK526" s="19">
        <v>98.52630558821815</v>
      </c>
      <c r="AL526" s="19">
        <v>99.390127009610481</v>
      </c>
      <c r="AM526" s="19">
        <v>100.26435884505482</v>
      </c>
      <c r="AN526" s="19">
        <v>101.14911567044128</v>
      </c>
      <c r="AO526" s="19">
        <v>102.04451335306318</v>
      </c>
      <c r="AP526" s="19">
        <v>102.95066906607153</v>
      </c>
      <c r="AQ526" s="19">
        <v>103.86770130310694</v>
      </c>
      <c r="AR526" s="19">
        <v>1548.1525498891519</v>
      </c>
    </row>
    <row r="527" spans="1:44" x14ac:dyDescent="0.25">
      <c r="A527" t="s">
        <v>250</v>
      </c>
      <c r="B527" t="s">
        <v>298</v>
      </c>
      <c r="C527" t="s">
        <v>44</v>
      </c>
      <c r="D527" t="s">
        <v>152</v>
      </c>
      <c r="E527" t="s">
        <v>145</v>
      </c>
      <c r="F527" t="s">
        <v>299</v>
      </c>
      <c r="G527" t="s">
        <v>31</v>
      </c>
      <c r="H527" t="s">
        <v>289</v>
      </c>
      <c r="I527" t="s">
        <v>135</v>
      </c>
      <c r="J527" t="s">
        <v>39</v>
      </c>
      <c r="K527" t="s">
        <v>31</v>
      </c>
      <c r="L527">
        <v>0.82</v>
      </c>
      <c r="M527">
        <v>1</v>
      </c>
      <c r="N527" s="2">
        <v>2.8160822667537615</v>
      </c>
      <c r="O527" s="2">
        <v>5.411417628870181</v>
      </c>
      <c r="P527" s="1">
        <v>-1.3633570527640948</v>
      </c>
      <c r="Q527" s="1">
        <v>1.0408498674974225</v>
      </c>
      <c r="R527" s="1">
        <v>-1.8625523936223551</v>
      </c>
      <c r="S527" s="19">
        <v>4.7479658653971049</v>
      </c>
      <c r="T527" s="19">
        <v>8.907277691112272</v>
      </c>
      <c r="U527" s="19">
        <v>15.196425892010652</v>
      </c>
      <c r="V527" s="19">
        <v>24.169375036991035</v>
      </c>
      <c r="W527" s="19">
        <v>36.327752786633425</v>
      </c>
      <c r="X527" s="19">
        <v>52.026848169429805</v>
      </c>
      <c r="Y527" s="19">
        <v>71.363980806490417</v>
      </c>
      <c r="Z527" s="19">
        <v>94.068056459230476</v>
      </c>
      <c r="AA527" s="19">
        <v>119.42140884808212</v>
      </c>
      <c r="AB527" s="19">
        <v>146.25273596863096</v>
      </c>
      <c r="AC527" s="19">
        <v>173.03517274622698</v>
      </c>
      <c r="AD527" s="19">
        <v>198.09965256166143</v>
      </c>
      <c r="AE527" s="19">
        <v>219.93156596688689</v>
      </c>
      <c r="AF527" s="19">
        <v>237.47237719790283</v>
      </c>
      <c r="AG527" s="19">
        <v>250.32321014624503</v>
      </c>
      <c r="AH527" s="19">
        <v>259.47972722301699</v>
      </c>
      <c r="AI527" s="19">
        <v>264.09089820887601</v>
      </c>
      <c r="AJ527" s="19">
        <v>267.59737858386984</v>
      </c>
      <c r="AK527" s="19">
        <v>267.86605065072109</v>
      </c>
      <c r="AL527" s="19">
        <v>267.06245249876895</v>
      </c>
      <c r="AM527" s="19">
        <v>329.3207940176386</v>
      </c>
      <c r="AN527" s="19">
        <v>344.00151554416971</v>
      </c>
      <c r="AO527" s="19">
        <v>342.01484318656645</v>
      </c>
      <c r="AP527" s="19">
        <v>339.20733936212872</v>
      </c>
      <c r="AQ527" s="19">
        <v>335.40206394419943</v>
      </c>
      <c r="AR527" s="19">
        <v>4667.3868693628874</v>
      </c>
    </row>
    <row r="528" spans="1:44" x14ac:dyDescent="0.25">
      <c r="A528" t="s">
        <v>250</v>
      </c>
      <c r="B528" t="s">
        <v>298</v>
      </c>
      <c r="C528" t="s">
        <v>44</v>
      </c>
      <c r="D528" t="s">
        <v>152</v>
      </c>
      <c r="E528" t="s">
        <v>148</v>
      </c>
      <c r="F528" t="s">
        <v>299</v>
      </c>
      <c r="G528" t="s">
        <v>31</v>
      </c>
      <c r="H528" t="s">
        <v>289</v>
      </c>
      <c r="I528" t="s">
        <v>135</v>
      </c>
      <c r="J528" t="s">
        <v>39</v>
      </c>
      <c r="K528" t="s">
        <v>31</v>
      </c>
      <c r="L528">
        <v>0.82</v>
      </c>
      <c r="M528">
        <v>1</v>
      </c>
      <c r="N528" s="2">
        <v>2.8160822667537615</v>
      </c>
      <c r="O528" s="2">
        <v>5.411417628870181</v>
      </c>
      <c r="P528" s="1">
        <v>-1.3633570527640948</v>
      </c>
      <c r="Q528" s="1">
        <v>1.0408498674974225</v>
      </c>
      <c r="R528" s="1">
        <v>-1.8625523936223551</v>
      </c>
      <c r="S528" s="19">
        <v>1.0769811125498481</v>
      </c>
      <c r="T528" s="19">
        <v>2.5625621753743659</v>
      </c>
      <c r="U528" s="19">
        <v>4.4211987293333523</v>
      </c>
      <c r="V528" s="19">
        <v>7.1112744581116747</v>
      </c>
      <c r="W528" s="19">
        <v>10.80981231589999</v>
      </c>
      <c r="X528" s="19">
        <v>15.65736873925994</v>
      </c>
      <c r="Y528" s="19">
        <v>21.721804323436299</v>
      </c>
      <c r="Z528" s="19">
        <v>28.959987684200811</v>
      </c>
      <c r="AA528" s="19">
        <v>37.1870263893762</v>
      </c>
      <c r="AB528" s="19">
        <v>46.065934999618882</v>
      </c>
      <c r="AC528" s="19">
        <v>55.130301000473438</v>
      </c>
      <c r="AD528" s="19">
        <v>63.845913118676449</v>
      </c>
      <c r="AE528" s="19">
        <v>71.704033819419308</v>
      </c>
      <c r="AF528" s="19">
        <v>78.322917136626387</v>
      </c>
      <c r="AG528" s="19">
        <v>83.523674117020192</v>
      </c>
      <c r="AH528" s="19">
        <v>87.590596889784976</v>
      </c>
      <c r="AI528" s="19">
        <v>90.191543547072783</v>
      </c>
      <c r="AJ528" s="19">
        <v>92.462409692016436</v>
      </c>
      <c r="AK528" s="19">
        <v>93.644982524944197</v>
      </c>
      <c r="AL528" s="19">
        <v>94.466007340885056</v>
      </c>
      <c r="AM528" s="19">
        <v>95.296926804110868</v>
      </c>
      <c r="AN528" s="19">
        <v>96.137849814035775</v>
      </c>
      <c r="AO528" s="19">
        <v>96.988886497503515</v>
      </c>
      <c r="AP528" s="19">
        <v>97.850148222510995</v>
      </c>
      <c r="AQ528" s="19">
        <v>98.721747612128041</v>
      </c>
      <c r="AR528" s="19">
        <v>1471.4518890643697</v>
      </c>
    </row>
    <row r="529" spans="1:44" x14ac:dyDescent="0.25">
      <c r="A529" t="s">
        <v>250</v>
      </c>
      <c r="B529" t="s">
        <v>298</v>
      </c>
      <c r="C529" t="s">
        <v>44</v>
      </c>
      <c r="D529" t="s">
        <v>152</v>
      </c>
      <c r="E529" t="s">
        <v>145</v>
      </c>
      <c r="F529" t="s">
        <v>299</v>
      </c>
      <c r="G529" t="s">
        <v>31</v>
      </c>
      <c r="H529" t="s">
        <v>290</v>
      </c>
      <c r="I529" t="s">
        <v>135</v>
      </c>
      <c r="J529" t="s">
        <v>39</v>
      </c>
      <c r="K529" t="s">
        <v>31</v>
      </c>
      <c r="L529">
        <v>0.82</v>
      </c>
      <c r="M529">
        <v>1</v>
      </c>
      <c r="N529" s="2">
        <v>2.8160822667537615</v>
      </c>
      <c r="O529" s="2">
        <v>5.411417628870181</v>
      </c>
      <c r="P529" s="1">
        <v>-1.3633570527640948</v>
      </c>
      <c r="Q529" s="1">
        <v>1.0408498674974225</v>
      </c>
      <c r="R529" s="1">
        <v>-1.8625523936223551</v>
      </c>
      <c r="S529" s="19">
        <v>6.8753779555972159</v>
      </c>
      <c r="T529" s="19">
        <v>12.898344768688474</v>
      </c>
      <c r="U529" s="19">
        <v>22.00545971554881</v>
      </c>
      <c r="V529" s="19">
        <v>34.998901222300915</v>
      </c>
      <c r="W529" s="19">
        <v>52.605060307171144</v>
      </c>
      <c r="X529" s="19">
        <v>75.338419682042868</v>
      </c>
      <c r="Y529" s="19">
        <v>103.33990478669338</v>
      </c>
      <c r="Z529" s="19">
        <v>136.21695269950621</v>
      </c>
      <c r="AA529" s="19">
        <v>172.93033376763643</v>
      </c>
      <c r="AB529" s="19">
        <v>211.78392291167089</v>
      </c>
      <c r="AC529" s="19">
        <v>250.56671550920345</v>
      </c>
      <c r="AD529" s="19">
        <v>286.86178941600286</v>
      </c>
      <c r="AE529" s="19">
        <v>318.47588699171075</v>
      </c>
      <c r="AF529" s="19">
        <v>343.87617635350728</v>
      </c>
      <c r="AG529" s="19">
        <v>362.48505772900648</v>
      </c>
      <c r="AH529" s="19">
        <v>375.74431810374847</v>
      </c>
      <c r="AI529" s="19">
        <v>382.42160775671721</v>
      </c>
      <c r="AJ529" s="19">
        <v>387.49923016501361</v>
      </c>
      <c r="AK529" s="19">
        <v>387.88828561698642</v>
      </c>
      <c r="AL529" s="19">
        <v>386.72462076013551</v>
      </c>
      <c r="AM529" s="19">
        <v>476.87893967604862</v>
      </c>
      <c r="AN529" s="19">
        <v>498.13762434591706</v>
      </c>
      <c r="AO529" s="19">
        <v>495.26078746045914</v>
      </c>
      <c r="AP529" s="19">
        <v>491.19533070444857</v>
      </c>
      <c r="AQ529" s="19">
        <v>485.68503272314325</v>
      </c>
      <c r="AR529" s="19">
        <v>6758.6940811289051</v>
      </c>
    </row>
    <row r="530" spans="1:44" x14ac:dyDescent="0.25">
      <c r="A530" t="s">
        <v>250</v>
      </c>
      <c r="B530" t="s">
        <v>298</v>
      </c>
      <c r="C530" t="s">
        <v>44</v>
      </c>
      <c r="D530" t="s">
        <v>152</v>
      </c>
      <c r="E530" t="s">
        <v>148</v>
      </c>
      <c r="F530" t="s">
        <v>299</v>
      </c>
      <c r="G530" t="s">
        <v>31</v>
      </c>
      <c r="H530" t="s">
        <v>290</v>
      </c>
      <c r="I530" t="s">
        <v>135</v>
      </c>
      <c r="J530" t="s">
        <v>39</v>
      </c>
      <c r="K530" t="s">
        <v>31</v>
      </c>
      <c r="L530">
        <v>0.82</v>
      </c>
      <c r="M530">
        <v>1</v>
      </c>
      <c r="N530" s="2">
        <v>2.8160822667537615</v>
      </c>
      <c r="O530" s="2">
        <v>5.411417628870181</v>
      </c>
      <c r="P530" s="1">
        <v>-1.3633570527640948</v>
      </c>
      <c r="Q530" s="1">
        <v>1.0408498674974225</v>
      </c>
      <c r="R530" s="1">
        <v>-1.8625523936223551</v>
      </c>
      <c r="S530" s="19">
        <v>1.5595420038261971</v>
      </c>
      <c r="T530" s="19">
        <v>3.7107645652677266</v>
      </c>
      <c r="U530" s="19">
        <v>6.4021968865671814</v>
      </c>
      <c r="V530" s="19">
        <v>10.297609762073019</v>
      </c>
      <c r="W530" s="19">
        <v>15.653344486432347</v>
      </c>
      <c r="X530" s="19">
        <v>22.672936353042179</v>
      </c>
      <c r="Y530" s="19">
        <v>31.454652125780964</v>
      </c>
      <c r="Z530" s="19">
        <v>41.936034622622223</v>
      </c>
      <c r="AA530" s="19">
        <v>53.849347008804394</v>
      </c>
      <c r="AB530" s="19">
        <v>66.706611416184884</v>
      </c>
      <c r="AC530" s="19">
        <v>79.832430756617015</v>
      </c>
      <c r="AD530" s="19">
        <v>92.453230721449017</v>
      </c>
      <c r="AE530" s="19">
        <v>103.83232471032116</v>
      </c>
      <c r="AF530" s="19">
        <v>113.41691856375516</v>
      </c>
      <c r="AG530" s="19">
        <v>120.94796889333004</v>
      </c>
      <c r="AH530" s="19">
        <v>126.83715006515976</v>
      </c>
      <c r="AI530" s="19">
        <v>130.60349797459588</v>
      </c>
      <c r="AJ530" s="19">
        <v>133.89186682046875</v>
      </c>
      <c r="AK530" s="19">
        <v>135.60431282722297</v>
      </c>
      <c r="AL530" s="19">
        <v>136.79321268045524</v>
      </c>
      <c r="AM530" s="19">
        <v>137.99644065687551</v>
      </c>
      <c r="AN530" s="19">
        <v>139.2141544502571</v>
      </c>
      <c r="AO530" s="19">
        <v>140.44651353176616</v>
      </c>
      <c r="AP530" s="19">
        <v>141.69367916984999</v>
      </c>
      <c r="AQ530" s="19">
        <v>142.95581445038411</v>
      </c>
      <c r="AR530" s="19">
        <v>2130.7625555031091</v>
      </c>
    </row>
    <row r="531" spans="1:44" x14ac:dyDescent="0.25">
      <c r="A531" t="s">
        <v>250</v>
      </c>
      <c r="B531" t="s">
        <v>298</v>
      </c>
      <c r="C531" t="s">
        <v>44</v>
      </c>
      <c r="D531" t="s">
        <v>152</v>
      </c>
      <c r="E531" t="s">
        <v>145</v>
      </c>
      <c r="F531" t="s">
        <v>299</v>
      </c>
      <c r="G531" t="s">
        <v>31</v>
      </c>
      <c r="H531" t="s">
        <v>272</v>
      </c>
      <c r="I531" t="s">
        <v>135</v>
      </c>
      <c r="J531" t="s">
        <v>39</v>
      </c>
      <c r="K531" t="s">
        <v>31</v>
      </c>
      <c r="L531">
        <v>0.82</v>
      </c>
      <c r="M531">
        <v>1</v>
      </c>
      <c r="N531" s="2">
        <v>2.8160822667537615</v>
      </c>
      <c r="O531" s="2">
        <v>5.411417628870181</v>
      </c>
      <c r="P531" s="1">
        <v>-1.3633570527640948</v>
      </c>
      <c r="Q531" s="1">
        <v>1.0408498674974225</v>
      </c>
      <c r="R531" s="1">
        <v>-1.8625523936223551</v>
      </c>
      <c r="S531" s="19">
        <v>0.45420473834533137</v>
      </c>
      <c r="T531" s="19">
        <v>0.85072959774179691</v>
      </c>
      <c r="U531" s="19">
        <v>1.4490737365113933</v>
      </c>
      <c r="V531" s="19">
        <v>2.3010016364826611</v>
      </c>
      <c r="W531" s="19">
        <v>3.4529677202618165</v>
      </c>
      <c r="X531" s="19">
        <v>4.9372370546922344</v>
      </c>
      <c r="Y531" s="19">
        <v>6.7614214782463993</v>
      </c>
      <c r="Z531" s="19">
        <v>8.8982292466261814</v>
      </c>
      <c r="AA531" s="19">
        <v>11.278363498590055</v>
      </c>
      <c r="AB531" s="19">
        <v>13.79019396094048</v>
      </c>
      <c r="AC531" s="19">
        <v>16.289330852762689</v>
      </c>
      <c r="AD531" s="19">
        <v>18.618943988274008</v>
      </c>
      <c r="AE531" s="19">
        <v>20.637703857016017</v>
      </c>
      <c r="AF531" s="19">
        <v>22.247918632952135</v>
      </c>
      <c r="AG531" s="19">
        <v>23.414230285511977</v>
      </c>
      <c r="AH531" s="19">
        <v>24.231744251362269</v>
      </c>
      <c r="AI531" s="19">
        <v>24.622784024218628</v>
      </c>
      <c r="AJ531" s="19">
        <v>24.90967463350653</v>
      </c>
      <c r="AK531" s="19">
        <v>24.894668805414049</v>
      </c>
      <c r="AL531" s="19">
        <v>24.78015332890914</v>
      </c>
      <c r="AM531" s="19">
        <v>30.698629393869769</v>
      </c>
      <c r="AN531" s="19">
        <v>32.904195444409957</v>
      </c>
      <c r="AO531" s="19">
        <v>32.651713399853413</v>
      </c>
      <c r="AP531" s="19">
        <v>32.313050435140909</v>
      </c>
      <c r="AQ531" s="19">
        <v>31.869872360730763</v>
      </c>
      <c r="AR531" s="19">
        <v>439.2580363623706</v>
      </c>
    </row>
    <row r="532" spans="1:44" x14ac:dyDescent="0.25">
      <c r="A532" t="s">
        <v>250</v>
      </c>
      <c r="B532" t="s">
        <v>298</v>
      </c>
      <c r="C532" t="s">
        <v>44</v>
      </c>
      <c r="D532" t="s">
        <v>152</v>
      </c>
      <c r="E532" t="s">
        <v>148</v>
      </c>
      <c r="F532" t="s">
        <v>299</v>
      </c>
      <c r="G532" t="s">
        <v>31</v>
      </c>
      <c r="H532" t="s">
        <v>272</v>
      </c>
      <c r="I532" t="s">
        <v>135</v>
      </c>
      <c r="J532" t="s">
        <v>39</v>
      </c>
      <c r="K532" t="s">
        <v>31</v>
      </c>
      <c r="L532">
        <v>0.82</v>
      </c>
      <c r="M532">
        <v>1</v>
      </c>
      <c r="N532" s="2">
        <v>2.8160822667537615</v>
      </c>
      <c r="O532" s="2">
        <v>5.411417628870181</v>
      </c>
      <c r="P532" s="1">
        <v>-1.3633570527640948</v>
      </c>
      <c r="Q532" s="1">
        <v>1.0408498674974225</v>
      </c>
      <c r="R532" s="1">
        <v>-1.8625523936223551</v>
      </c>
      <c r="S532" s="19">
        <v>0.10302726226269</v>
      </c>
      <c r="T532" s="19">
        <v>0.27249158166542325</v>
      </c>
      <c r="U532" s="19">
        <v>0.46938945748619165</v>
      </c>
      <c r="V532" s="19">
        <v>0.7538120496375823</v>
      </c>
      <c r="W532" s="19">
        <v>1.1440995685942754</v>
      </c>
      <c r="X532" s="19">
        <v>1.6546347534650041</v>
      </c>
      <c r="Y532" s="19">
        <v>2.2920526047334882</v>
      </c>
      <c r="Z532" s="19">
        <v>3.0512653040222326</v>
      </c>
      <c r="AA532" s="19">
        <v>3.9123123525028638</v>
      </c>
      <c r="AB532" s="19">
        <v>4.839382507787314</v>
      </c>
      <c r="AC532" s="19">
        <v>5.7833023355673694</v>
      </c>
      <c r="AD532" s="19">
        <v>6.6880814230852916</v>
      </c>
      <c r="AE532" s="19">
        <v>7.5007096865919634</v>
      </c>
      <c r="AF532" s="19">
        <v>8.1817330186988837</v>
      </c>
      <c r="AG532" s="19">
        <v>8.71306674154593</v>
      </c>
      <c r="AH532" s="19">
        <v>9.1249651522176798</v>
      </c>
      <c r="AI532" s="19">
        <v>9.3833747159813594</v>
      </c>
      <c r="AJ532" s="19">
        <v>9.6069415409590384</v>
      </c>
      <c r="AK532" s="19">
        <v>9.7171363506401125</v>
      </c>
      <c r="AL532" s="19">
        <v>9.7897203071325016</v>
      </c>
      <c r="AM532" s="19">
        <v>9.8632856232743098</v>
      </c>
      <c r="AN532" s="19">
        <v>9.9378425343895707</v>
      </c>
      <c r="AO532" s="19">
        <v>10.013401394126918</v>
      </c>
      <c r="AP532" s="19">
        <v>10.089972675768708</v>
      </c>
      <c r="AQ532" s="19">
        <v>10.167566973557864</v>
      </c>
      <c r="AR532" s="19">
        <v>153.05356791569457</v>
      </c>
    </row>
    <row r="533" spans="1:44" x14ac:dyDescent="0.25">
      <c r="A533" t="s">
        <v>250</v>
      </c>
      <c r="B533" t="s">
        <v>298</v>
      </c>
      <c r="C533" t="s">
        <v>44</v>
      </c>
      <c r="D533" t="s">
        <v>152</v>
      </c>
      <c r="E533" t="s">
        <v>145</v>
      </c>
      <c r="F533" t="s">
        <v>299</v>
      </c>
      <c r="G533" t="s">
        <v>31</v>
      </c>
      <c r="H533" t="s">
        <v>273</v>
      </c>
      <c r="I533" t="s">
        <v>135</v>
      </c>
      <c r="J533" t="s">
        <v>39</v>
      </c>
      <c r="K533" t="s">
        <v>31</v>
      </c>
      <c r="L533">
        <v>0.82</v>
      </c>
      <c r="M533">
        <v>1</v>
      </c>
      <c r="N533" s="2">
        <v>2.8160822667537615</v>
      </c>
      <c r="O533" s="2">
        <v>5.411417628870181</v>
      </c>
      <c r="P533" s="1">
        <v>-1.3633570527640948</v>
      </c>
      <c r="Q533" s="1">
        <v>1.0408498674974225</v>
      </c>
      <c r="R533" s="1">
        <v>-1.8625523936223551</v>
      </c>
      <c r="S533" s="19">
        <v>0.13660504895316275</v>
      </c>
      <c r="T533" s="19">
        <v>0.25586249665468092</v>
      </c>
      <c r="U533" s="19">
        <v>0.43581841403508098</v>
      </c>
      <c r="V533" s="19">
        <v>0.69204130793113372</v>
      </c>
      <c r="W533" s="19">
        <v>1.038502650100996</v>
      </c>
      <c r="X533" s="19">
        <v>1.484906370652648</v>
      </c>
      <c r="Y533" s="19">
        <v>2.0335417798450393</v>
      </c>
      <c r="Z533" s="19">
        <v>2.6762007068883933</v>
      </c>
      <c r="AA533" s="19">
        <v>3.3920416670446101</v>
      </c>
      <c r="AB533" s="19">
        <v>4.1474911247526993</v>
      </c>
      <c r="AC533" s="19">
        <v>4.8991229080135437</v>
      </c>
      <c r="AD533" s="19">
        <v>5.5997693116107232</v>
      </c>
      <c r="AE533" s="19">
        <v>6.2069245599219229</v>
      </c>
      <c r="AF533" s="19">
        <v>6.6912071966314945</v>
      </c>
      <c r="AG533" s="19">
        <v>7.0419830625394528</v>
      </c>
      <c r="AH533" s="19">
        <v>7.2878557404241251</v>
      </c>
      <c r="AI533" s="19">
        <v>7.4054635124352206</v>
      </c>
      <c r="AJ533" s="19">
        <v>7.4917477415886786</v>
      </c>
      <c r="AK533" s="19">
        <v>7.4872346405395298</v>
      </c>
      <c r="AL533" s="19">
        <v>7.4527933611930477</v>
      </c>
      <c r="AM533" s="19">
        <v>9.2328137888253323</v>
      </c>
      <c r="AN533" s="19">
        <v>9.8961522194218219</v>
      </c>
      <c r="AO533" s="19">
        <v>9.8202165914006283</v>
      </c>
      <c r="AP533" s="19">
        <v>9.7183614873748798</v>
      </c>
      <c r="AQ533" s="19">
        <v>9.5850727797970343</v>
      </c>
      <c r="AR533" s="19">
        <v>132.10973046857589</v>
      </c>
    </row>
    <row r="534" spans="1:44" x14ac:dyDescent="0.25">
      <c r="A534" t="s">
        <v>250</v>
      </c>
      <c r="B534" t="s">
        <v>298</v>
      </c>
      <c r="C534" t="s">
        <v>44</v>
      </c>
      <c r="D534" t="s">
        <v>152</v>
      </c>
      <c r="E534" t="s">
        <v>148</v>
      </c>
      <c r="F534" t="s">
        <v>299</v>
      </c>
      <c r="G534" t="s">
        <v>31</v>
      </c>
      <c r="H534" t="s">
        <v>273</v>
      </c>
      <c r="I534" t="s">
        <v>135</v>
      </c>
      <c r="J534" t="s">
        <v>39</v>
      </c>
      <c r="K534" t="s">
        <v>31</v>
      </c>
      <c r="L534">
        <v>0.82</v>
      </c>
      <c r="M534">
        <v>1</v>
      </c>
      <c r="N534" s="2">
        <v>2.8160822667537615</v>
      </c>
      <c r="O534" s="2">
        <v>5.411417628870181</v>
      </c>
      <c r="P534" s="1">
        <v>-1.3633570527640948</v>
      </c>
      <c r="Q534" s="1">
        <v>1.0408498674974225</v>
      </c>
      <c r="R534" s="1">
        <v>-1.8625523936223551</v>
      </c>
      <c r="S534" s="19">
        <v>3.098612369429889E-2</v>
      </c>
      <c r="T534" s="19">
        <v>8.1953627318675948E-2</v>
      </c>
      <c r="U534" s="19">
        <v>0.14117195265639881</v>
      </c>
      <c r="V534" s="19">
        <v>0.22671390949676928</v>
      </c>
      <c r="W534" s="19">
        <v>0.34409543622216898</v>
      </c>
      <c r="X534" s="19">
        <v>0.49764223579024131</v>
      </c>
      <c r="Y534" s="19">
        <v>0.68934982803897804</v>
      </c>
      <c r="Z534" s="19">
        <v>0.91768801827895252</v>
      </c>
      <c r="AA534" s="19">
        <v>1.1766535557966498</v>
      </c>
      <c r="AB534" s="19">
        <v>1.4554759749704358</v>
      </c>
      <c r="AC534" s="19">
        <v>1.7393660434701728</v>
      </c>
      <c r="AD534" s="19">
        <v>2.0114842780629085</v>
      </c>
      <c r="AE534" s="19">
        <v>2.2558875489786625</v>
      </c>
      <c r="AF534" s="19">
        <v>2.4607097750955762</v>
      </c>
      <c r="AG534" s="19">
        <v>2.6205118711379556</v>
      </c>
      <c r="AH534" s="19">
        <v>2.7443930150435376</v>
      </c>
      <c r="AI534" s="19">
        <v>2.8221113832765554</v>
      </c>
      <c r="AJ534" s="19">
        <v>2.8893505696875907</v>
      </c>
      <c r="AK534" s="19">
        <v>2.9224923801972893</v>
      </c>
      <c r="AL534" s="19">
        <v>2.9443224803543311</v>
      </c>
      <c r="AM534" s="19">
        <v>2.9664477308512791</v>
      </c>
      <c r="AN534" s="19">
        <v>2.9888712100290085</v>
      </c>
      <c r="AO534" s="19">
        <v>3.0115960318150017</v>
      </c>
      <c r="AP534" s="19">
        <v>3.0346253461176045</v>
      </c>
      <c r="AQ534" s="19">
        <v>3.057962339224686</v>
      </c>
      <c r="AR534" s="19">
        <v>46.031862665605743</v>
      </c>
    </row>
    <row r="535" spans="1:44" x14ac:dyDescent="0.25">
      <c r="A535" t="s">
        <v>250</v>
      </c>
      <c r="B535" t="s">
        <v>298</v>
      </c>
      <c r="C535" t="s">
        <v>44</v>
      </c>
      <c r="D535" t="s">
        <v>152</v>
      </c>
      <c r="E535" t="s">
        <v>145</v>
      </c>
      <c r="F535" t="s">
        <v>299</v>
      </c>
      <c r="G535" t="s">
        <v>31</v>
      </c>
      <c r="H535" t="s">
        <v>274</v>
      </c>
      <c r="I535" t="s">
        <v>135</v>
      </c>
      <c r="J535" t="s">
        <v>39</v>
      </c>
      <c r="K535" t="s">
        <v>31</v>
      </c>
      <c r="L535">
        <v>0.82</v>
      </c>
      <c r="M535">
        <v>1</v>
      </c>
      <c r="N535" s="2">
        <v>2.8160822667537615</v>
      </c>
      <c r="O535" s="2">
        <v>5.411417628870181</v>
      </c>
      <c r="P535" s="1">
        <v>-1.3633570527640948</v>
      </c>
      <c r="Q535" s="1">
        <v>1.0408498674974225</v>
      </c>
      <c r="R535" s="1">
        <v>-1.8625523936223551</v>
      </c>
      <c r="S535" s="19">
        <v>0.21504080897734465</v>
      </c>
      <c r="T535" s="19">
        <v>0.40277338714215838</v>
      </c>
      <c r="U535" s="19">
        <v>0.68605622588269144</v>
      </c>
      <c r="V535" s="19">
        <v>1.0893969428192587</v>
      </c>
      <c r="W535" s="19">
        <v>1.634789136376676</v>
      </c>
      <c r="X535" s="19">
        <v>2.3375085302318559</v>
      </c>
      <c r="Y535" s="19">
        <v>3.2011589086801626</v>
      </c>
      <c r="Z535" s="19">
        <v>4.2128191410577998</v>
      </c>
      <c r="AA535" s="19">
        <v>5.3396809982933338</v>
      </c>
      <c r="AB535" s="19">
        <v>6.5288937233862656</v>
      </c>
      <c r="AC535" s="19">
        <v>7.7120967452666243</v>
      </c>
      <c r="AD535" s="19">
        <v>8.8150396495824328</v>
      </c>
      <c r="AE535" s="19">
        <v>9.7708107339765888</v>
      </c>
      <c r="AF535" s="19">
        <v>10.533158324858196</v>
      </c>
      <c r="AG535" s="19">
        <v>11.085342351383003</v>
      </c>
      <c r="AH535" s="19">
        <v>11.472389974900013</v>
      </c>
      <c r="AI535" s="19">
        <v>11.657525668119961</v>
      </c>
      <c r="AJ535" s="19">
        <v>11.793352495761656</v>
      </c>
      <c r="AK535" s="19">
        <v>11.786248066547341</v>
      </c>
      <c r="AL535" s="19">
        <v>11.73203132544122</v>
      </c>
      <c r="AM535" s="19">
        <v>14.534102227560568</v>
      </c>
      <c r="AN535" s="19">
        <v>15.578315701618488</v>
      </c>
      <c r="AO535" s="19">
        <v>15.458779425287416</v>
      </c>
      <c r="AP535" s="19">
        <v>15.298441252313433</v>
      </c>
      <c r="AQ535" s="19">
        <v>15.088620958519575</v>
      </c>
      <c r="AR535" s="19">
        <v>207.96437270398408</v>
      </c>
    </row>
    <row r="536" spans="1:44" x14ac:dyDescent="0.25">
      <c r="A536" t="s">
        <v>250</v>
      </c>
      <c r="B536" t="s">
        <v>298</v>
      </c>
      <c r="C536" t="s">
        <v>44</v>
      </c>
      <c r="D536" t="s">
        <v>152</v>
      </c>
      <c r="E536" t="s">
        <v>148</v>
      </c>
      <c r="F536" t="s">
        <v>299</v>
      </c>
      <c r="G536" t="s">
        <v>31</v>
      </c>
      <c r="H536" t="s">
        <v>274</v>
      </c>
      <c r="I536" t="s">
        <v>135</v>
      </c>
      <c r="J536" t="s">
        <v>39</v>
      </c>
      <c r="K536" t="s">
        <v>31</v>
      </c>
      <c r="L536">
        <v>0.82</v>
      </c>
      <c r="M536">
        <v>1</v>
      </c>
      <c r="N536" s="2">
        <v>2.8160822667537615</v>
      </c>
      <c r="O536" s="2">
        <v>5.411417628870181</v>
      </c>
      <c r="P536" s="1">
        <v>-1.3633570527640948</v>
      </c>
      <c r="Q536" s="1">
        <v>1.0408498674974225</v>
      </c>
      <c r="R536" s="1">
        <v>-1.8625523936223551</v>
      </c>
      <c r="S536" s="19">
        <v>4.8777707393368133E-2</v>
      </c>
      <c r="T536" s="19">
        <v>0.12900968487100692</v>
      </c>
      <c r="U536" s="19">
        <v>0.22222993320365489</v>
      </c>
      <c r="V536" s="19">
        <v>0.35688829130552091</v>
      </c>
      <c r="W536" s="19">
        <v>0.54166783393195295</v>
      </c>
      <c r="X536" s="19">
        <v>0.78337799214374837</v>
      </c>
      <c r="Y536" s="19">
        <v>1.0851600715045231</v>
      </c>
      <c r="Z536" s="19">
        <v>1.4446052715605384</v>
      </c>
      <c r="AA536" s="19">
        <v>1.8522634006839225</v>
      </c>
      <c r="AB536" s="19">
        <v>2.2911798173144087</v>
      </c>
      <c r="AC536" s="19">
        <v>2.7380736214500505</v>
      </c>
      <c r="AD536" s="19">
        <v>3.1664364510287073</v>
      </c>
      <c r="AE536" s="19">
        <v>3.5511709648493395</v>
      </c>
      <c r="AF536" s="19">
        <v>3.873597826361701</v>
      </c>
      <c r="AG536" s="19">
        <v>4.1251549413628243</v>
      </c>
      <c r="AH536" s="19">
        <v>4.3201660453200077</v>
      </c>
      <c r="AI536" s="19">
        <v>4.4425086739805897</v>
      </c>
      <c r="AJ536" s="19">
        <v>4.5483551939416103</v>
      </c>
      <c r="AK536" s="19">
        <v>4.6005263384022683</v>
      </c>
      <c r="AL536" s="19">
        <v>4.6348908251748551</v>
      </c>
      <c r="AM536" s="19">
        <v>4.6697199314352185</v>
      </c>
      <c r="AN536" s="19">
        <v>4.7050185030430471</v>
      </c>
      <c r="AO536" s="19">
        <v>4.7407914418778523</v>
      </c>
      <c r="AP536" s="19">
        <v>4.7770437064594198</v>
      </c>
      <c r="AQ536" s="19">
        <v>4.8137803125753651</v>
      </c>
      <c r="AR536" s="19">
        <v>72.462394781175504</v>
      </c>
    </row>
    <row r="537" spans="1:44" x14ac:dyDescent="0.25">
      <c r="A537" t="s">
        <v>250</v>
      </c>
      <c r="B537" t="s">
        <v>298</v>
      </c>
      <c r="C537" t="s">
        <v>44</v>
      </c>
      <c r="D537" t="s">
        <v>152</v>
      </c>
      <c r="E537" t="s">
        <v>145</v>
      </c>
      <c r="F537" t="s">
        <v>299</v>
      </c>
      <c r="G537" t="s">
        <v>31</v>
      </c>
      <c r="H537" t="s">
        <v>275</v>
      </c>
      <c r="I537" t="s">
        <v>135</v>
      </c>
      <c r="J537" t="s">
        <v>39</v>
      </c>
      <c r="K537" t="s">
        <v>31</v>
      </c>
      <c r="L537">
        <v>0.82</v>
      </c>
      <c r="M537">
        <v>1</v>
      </c>
      <c r="N537" s="2">
        <v>2.8160822667537615</v>
      </c>
      <c r="O537" s="2">
        <v>5.411417628870181</v>
      </c>
      <c r="P537" s="1">
        <v>-1.3633570527640948</v>
      </c>
      <c r="Q537" s="1">
        <v>1.0408498674974225</v>
      </c>
      <c r="R537" s="1">
        <v>-1.8625523936223551</v>
      </c>
      <c r="S537" s="19">
        <v>0.32851513414097794</v>
      </c>
      <c r="T537" s="19">
        <v>0.61531182818123775</v>
      </c>
      <c r="U537" s="19">
        <v>1.0480794512722007</v>
      </c>
      <c r="V537" s="19">
        <v>1.6642579820314225</v>
      </c>
      <c r="W537" s="19">
        <v>2.4974467636307014</v>
      </c>
      <c r="X537" s="19">
        <v>3.5709823266415461</v>
      </c>
      <c r="Y537" s="19">
        <v>4.8903701269206206</v>
      </c>
      <c r="Z537" s="19">
        <v>6.4358707159722872</v>
      </c>
      <c r="AA537" s="19">
        <v>8.1573633756612853</v>
      </c>
      <c r="AB537" s="19">
        <v>9.9741086704914448</v>
      </c>
      <c r="AC537" s="19">
        <v>11.781673017452151</v>
      </c>
      <c r="AD537" s="19">
        <v>13.46662499416891</v>
      </c>
      <c r="AE537" s="19">
        <v>14.926744436106528</v>
      </c>
      <c r="AF537" s="19">
        <v>16.091373244338495</v>
      </c>
      <c r="AG537" s="19">
        <v>16.934937823578032</v>
      </c>
      <c r="AH537" s="19">
        <v>17.5262256008298</v>
      </c>
      <c r="AI537" s="19">
        <v>17.809055066463191</v>
      </c>
      <c r="AJ537" s="19">
        <v>18.016555999494727</v>
      </c>
      <c r="AK537" s="19">
        <v>18.005702652507075</v>
      </c>
      <c r="AL537" s="19">
        <v>17.922876420305542</v>
      </c>
      <c r="AM537" s="19">
        <v>22.20356482851949</v>
      </c>
      <c r="AN537" s="19">
        <v>23.798796594681971</v>
      </c>
      <c r="AO537" s="19">
        <v>23.616182531610185</v>
      </c>
      <c r="AP537" s="19">
        <v>23.3712359251825</v>
      </c>
      <c r="AQ537" s="19">
        <v>23.050696106303448</v>
      </c>
      <c r="AR537" s="19">
        <v>317.70455161648573</v>
      </c>
    </row>
    <row r="538" spans="1:44" x14ac:dyDescent="0.25">
      <c r="A538" t="s">
        <v>250</v>
      </c>
      <c r="B538" t="s">
        <v>298</v>
      </c>
      <c r="C538" t="s">
        <v>44</v>
      </c>
      <c r="D538" t="s">
        <v>152</v>
      </c>
      <c r="E538" t="s">
        <v>148</v>
      </c>
      <c r="F538" t="s">
        <v>299</v>
      </c>
      <c r="G538" t="s">
        <v>31</v>
      </c>
      <c r="H538" t="s">
        <v>275</v>
      </c>
      <c r="I538" t="s">
        <v>135</v>
      </c>
      <c r="J538" t="s">
        <v>39</v>
      </c>
      <c r="K538" t="s">
        <v>31</v>
      </c>
      <c r="L538">
        <v>0.82</v>
      </c>
      <c r="M538">
        <v>1</v>
      </c>
      <c r="N538" s="2">
        <v>2.8160822667537615</v>
      </c>
      <c r="O538" s="2">
        <v>5.411417628870181</v>
      </c>
      <c r="P538" s="1">
        <v>-1.3633570527640948</v>
      </c>
      <c r="Q538" s="1">
        <v>1.0408498674974225</v>
      </c>
      <c r="R538" s="1">
        <v>-1.8625523936223551</v>
      </c>
      <c r="S538" s="19">
        <v>7.4517088935942E-2</v>
      </c>
      <c r="T538" s="19">
        <v>0.19708646992370965</v>
      </c>
      <c r="U538" s="19">
        <v>0.33949786863120857</v>
      </c>
      <c r="V538" s="19">
        <v>0.5452137454706576</v>
      </c>
      <c r="W538" s="19">
        <v>0.82749912433018402</v>
      </c>
      <c r="X538" s="19">
        <v>1.1967566872356252</v>
      </c>
      <c r="Y538" s="19">
        <v>1.657785367112814</v>
      </c>
      <c r="Z538" s="19">
        <v>2.2069052698619274</v>
      </c>
      <c r="AA538" s="19">
        <v>2.8296794568151542</v>
      </c>
      <c r="AB538" s="19">
        <v>3.500206535706607</v>
      </c>
      <c r="AC538" s="19">
        <v>4.1829205689665194</v>
      </c>
      <c r="AD538" s="19">
        <v>4.8373250659049445</v>
      </c>
      <c r="AE538" s="19">
        <v>5.4250791346210576</v>
      </c>
      <c r="AF538" s="19">
        <v>5.9176465880458977</v>
      </c>
      <c r="AG538" s="19">
        <v>6.3019472227566249</v>
      </c>
      <c r="AH538" s="19">
        <v>6.5998632289330672</v>
      </c>
      <c r="AI538" s="19">
        <v>6.7867645210958383</v>
      </c>
      <c r="AJ538" s="19">
        <v>6.9484649158661806</v>
      </c>
      <c r="AK538" s="19">
        <v>7.028166115848939</v>
      </c>
      <c r="AL538" s="19">
        <v>7.0806643092637724</v>
      </c>
      <c r="AM538" s="19">
        <v>7.1338722960155492</v>
      </c>
      <c r="AN538" s="19">
        <v>7.1877974790626302</v>
      </c>
      <c r="AO538" s="19">
        <v>7.2424473469452044</v>
      </c>
      <c r="AP538" s="19">
        <v>7.2978294747307491</v>
      </c>
      <c r="AQ538" s="19">
        <v>7.3539515249755425</v>
      </c>
      <c r="AR538" s="19">
        <v>110.69988740705632</v>
      </c>
    </row>
    <row r="539" spans="1:44" x14ac:dyDescent="0.25">
      <c r="A539" t="s">
        <v>250</v>
      </c>
      <c r="B539" t="s">
        <v>298</v>
      </c>
      <c r="C539" t="s">
        <v>44</v>
      </c>
      <c r="D539" t="s">
        <v>152</v>
      </c>
      <c r="E539" t="s">
        <v>145</v>
      </c>
      <c r="F539" t="s">
        <v>299</v>
      </c>
      <c r="G539" t="s">
        <v>31</v>
      </c>
      <c r="H539" t="s">
        <v>276</v>
      </c>
      <c r="I539" t="s">
        <v>135</v>
      </c>
      <c r="J539" t="s">
        <v>39</v>
      </c>
      <c r="K539" t="s">
        <v>31</v>
      </c>
      <c r="L539">
        <v>0.82</v>
      </c>
      <c r="M539">
        <v>1</v>
      </c>
      <c r="N539" s="2">
        <v>2.8160822667537615</v>
      </c>
      <c r="O539" s="2">
        <v>5.411417628870181</v>
      </c>
      <c r="P539" s="1">
        <v>-1.3633570527640948</v>
      </c>
      <c r="Q539" s="1">
        <v>1.0408498674974225</v>
      </c>
      <c r="R539" s="1">
        <v>-1.8625523936223551</v>
      </c>
      <c r="S539" s="19">
        <v>20.341605548373259</v>
      </c>
      <c r="T539" s="19">
        <v>38.195702037585299</v>
      </c>
      <c r="U539" s="19">
        <v>65.223308601432166</v>
      </c>
      <c r="V539" s="19">
        <v>103.82899591029256</v>
      </c>
      <c r="W539" s="19">
        <v>156.2009357348123</v>
      </c>
      <c r="X539" s="19">
        <v>223.90535415886535</v>
      </c>
      <c r="Y539" s="19">
        <v>307.40285317215495</v>
      </c>
      <c r="Z539" s="19">
        <v>405.56723491535649</v>
      </c>
      <c r="AA539" s="19">
        <v>515.34105874124668</v>
      </c>
      <c r="AB539" s="19">
        <v>631.69642422410266</v>
      </c>
      <c r="AC539" s="19">
        <v>748.0500813030061</v>
      </c>
      <c r="AD539" s="19">
        <v>857.17966918925265</v>
      </c>
      <c r="AE539" s="19">
        <v>952.50569013116251</v>
      </c>
      <c r="AF539" s="19">
        <v>1029.4019255810558</v>
      </c>
      <c r="AG539" s="19">
        <v>1086.0876127940717</v>
      </c>
      <c r="AH539" s="19">
        <v>1126.8316529118358</v>
      </c>
      <c r="AI539" s="19">
        <v>1147.8916669915698</v>
      </c>
      <c r="AJ539" s="19">
        <v>1164.1828266458408</v>
      </c>
      <c r="AK539" s="19">
        <v>1166.4036573392414</v>
      </c>
      <c r="AL539" s="19">
        <v>1163.9542096588293</v>
      </c>
      <c r="AM539" s="19">
        <v>1431.6744560352531</v>
      </c>
      <c r="AN539" s="19">
        <v>1474.4378145615149</v>
      </c>
      <c r="AO539" s="19">
        <v>1467.4994436142442</v>
      </c>
      <c r="AP539" s="19">
        <v>1457.2435105121981</v>
      </c>
      <c r="AQ539" s="19">
        <v>1442.9492141607809</v>
      </c>
      <c r="AR539" s="19">
        <v>20183.996904474083</v>
      </c>
    </row>
    <row r="540" spans="1:44" x14ac:dyDescent="0.25">
      <c r="A540" t="s">
        <v>250</v>
      </c>
      <c r="B540" t="s">
        <v>298</v>
      </c>
      <c r="C540" t="s">
        <v>44</v>
      </c>
      <c r="D540" t="s">
        <v>152</v>
      </c>
      <c r="E540" t="s">
        <v>148</v>
      </c>
      <c r="F540" t="s">
        <v>299</v>
      </c>
      <c r="G540" t="s">
        <v>31</v>
      </c>
      <c r="H540" t="s">
        <v>276</v>
      </c>
      <c r="I540" t="s">
        <v>135</v>
      </c>
      <c r="J540" t="s">
        <v>39</v>
      </c>
      <c r="K540" t="s">
        <v>31</v>
      </c>
      <c r="L540">
        <v>0.82</v>
      </c>
      <c r="M540">
        <v>1</v>
      </c>
      <c r="N540" s="2">
        <v>2.8160822667537615</v>
      </c>
      <c r="O540" s="2">
        <v>5.411417628870181</v>
      </c>
      <c r="P540" s="1">
        <v>-1.3633570527640948</v>
      </c>
      <c r="Q540" s="1">
        <v>1.0408498674974225</v>
      </c>
      <c r="R540" s="1">
        <v>-1.8625523936223551</v>
      </c>
      <c r="S540" s="19">
        <v>4.6140864520947673</v>
      </c>
      <c r="T540" s="19">
        <v>10.289759196173772</v>
      </c>
      <c r="U540" s="19">
        <v>17.768691020602343</v>
      </c>
      <c r="V540" s="19">
        <v>28.605077260374895</v>
      </c>
      <c r="W540" s="19">
        <v>43.520095330881638</v>
      </c>
      <c r="X540" s="19">
        <v>63.090243773760953</v>
      </c>
      <c r="Y540" s="19">
        <v>87.600550301933666</v>
      </c>
      <c r="Z540" s="19">
        <v>116.88872449969205</v>
      </c>
      <c r="AA540" s="19">
        <v>150.21898907036362</v>
      </c>
      <c r="AB540" s="19">
        <v>186.23798550205879</v>
      </c>
      <c r="AC540" s="19">
        <v>223.06406644769231</v>
      </c>
      <c r="AD540" s="19">
        <v>258.53488054103491</v>
      </c>
      <c r="AE540" s="19">
        <v>290.5844463411878</v>
      </c>
      <c r="AF540" s="19">
        <v>317.65547040076524</v>
      </c>
      <c r="AG540" s="19">
        <v>339.0094355837611</v>
      </c>
      <c r="AH540" s="19">
        <v>355.78728774573165</v>
      </c>
      <c r="AI540" s="19">
        <v>366.62794920561402</v>
      </c>
      <c r="AJ540" s="19">
        <v>376.13856318131366</v>
      </c>
      <c r="AK540" s="19">
        <v>381.22923332890622</v>
      </c>
      <c r="AL540" s="19">
        <v>384.85083040723168</v>
      </c>
      <c r="AM540" s="19">
        <v>388.51441382528623</v>
      </c>
      <c r="AN540" s="19">
        <v>392.22045154855806</v>
      </c>
      <c r="AO540" s="19">
        <v>395.96941679646073</v>
      </c>
      <c r="AP540" s="19">
        <v>399.76178810128994</v>
      </c>
      <c r="AQ540" s="19">
        <v>403.59804936780023</v>
      </c>
      <c r="AR540" s="19">
        <v>5982.3804852305702</v>
      </c>
    </row>
    <row r="541" spans="1:44" x14ac:dyDescent="0.25">
      <c r="A541" t="s">
        <v>250</v>
      </c>
      <c r="B541" t="s">
        <v>298</v>
      </c>
      <c r="C541" t="s">
        <v>44</v>
      </c>
      <c r="D541" t="s">
        <v>152</v>
      </c>
      <c r="E541" t="s">
        <v>145</v>
      </c>
      <c r="F541" t="s">
        <v>299</v>
      </c>
      <c r="G541" t="s">
        <v>31</v>
      </c>
      <c r="H541" t="s">
        <v>277</v>
      </c>
      <c r="I541" t="s">
        <v>135</v>
      </c>
      <c r="J541" t="s">
        <v>39</v>
      </c>
      <c r="K541" t="s">
        <v>31</v>
      </c>
      <c r="L541">
        <v>0.82</v>
      </c>
      <c r="M541">
        <v>1</v>
      </c>
      <c r="N541" s="2">
        <v>2.8160822667537615</v>
      </c>
      <c r="O541" s="2">
        <v>5.411417628870181</v>
      </c>
      <c r="P541" s="1">
        <v>-1.3633570527640948</v>
      </c>
      <c r="Q541" s="1">
        <v>1.0408498674974225</v>
      </c>
      <c r="R541" s="1">
        <v>-1.8625523936223551</v>
      </c>
      <c r="S541" s="19">
        <v>0</v>
      </c>
      <c r="T541" s="19">
        <v>0</v>
      </c>
      <c r="U541" s="19">
        <v>0</v>
      </c>
      <c r="V541" s="19">
        <v>0</v>
      </c>
      <c r="W541" s="19">
        <v>0</v>
      </c>
      <c r="X541" s="19">
        <v>0</v>
      </c>
      <c r="Y541" s="19">
        <v>0</v>
      </c>
      <c r="Z541" s="19">
        <v>0</v>
      </c>
      <c r="AA541" s="19">
        <v>0</v>
      </c>
      <c r="AB541" s="19">
        <v>0</v>
      </c>
      <c r="AC541" s="19">
        <v>0</v>
      </c>
      <c r="AD541" s="19">
        <v>0</v>
      </c>
      <c r="AE541" s="19">
        <v>0</v>
      </c>
      <c r="AF541" s="19">
        <v>0</v>
      </c>
      <c r="AG541" s="19">
        <v>0</v>
      </c>
      <c r="AH541" s="19">
        <v>0</v>
      </c>
      <c r="AI541" s="19">
        <v>0</v>
      </c>
      <c r="AJ541" s="19">
        <v>0</v>
      </c>
      <c r="AK541" s="19">
        <v>0</v>
      </c>
      <c r="AL541" s="19">
        <v>0</v>
      </c>
      <c r="AM541" s="19">
        <v>0</v>
      </c>
      <c r="AN541" s="19">
        <v>0</v>
      </c>
      <c r="AO541" s="19">
        <v>0</v>
      </c>
      <c r="AP541" s="19">
        <v>0</v>
      </c>
      <c r="AQ541" s="19">
        <v>0</v>
      </c>
      <c r="AR541" s="19">
        <v>0</v>
      </c>
    </row>
    <row r="542" spans="1:44" x14ac:dyDescent="0.25">
      <c r="A542" t="s">
        <v>250</v>
      </c>
      <c r="B542" t="s">
        <v>298</v>
      </c>
      <c r="C542" t="s">
        <v>44</v>
      </c>
      <c r="D542" t="s">
        <v>152</v>
      </c>
      <c r="E542" t="s">
        <v>148</v>
      </c>
      <c r="F542" t="s">
        <v>299</v>
      </c>
      <c r="G542" t="s">
        <v>31</v>
      </c>
      <c r="H542" t="s">
        <v>277</v>
      </c>
      <c r="I542" t="s">
        <v>135</v>
      </c>
      <c r="J542" t="s">
        <v>39</v>
      </c>
      <c r="K542" t="s">
        <v>31</v>
      </c>
      <c r="L542">
        <v>0.82</v>
      </c>
      <c r="M542">
        <v>1</v>
      </c>
      <c r="N542" s="2">
        <v>2.8160822667537615</v>
      </c>
      <c r="O542" s="2">
        <v>5.411417628870181</v>
      </c>
      <c r="P542" s="1">
        <v>-1.3633570527640948</v>
      </c>
      <c r="Q542" s="1">
        <v>1.0408498674974225</v>
      </c>
      <c r="R542" s="1">
        <v>-1.8625523936223551</v>
      </c>
      <c r="S542" s="19">
        <v>0</v>
      </c>
      <c r="T542" s="19">
        <v>0</v>
      </c>
      <c r="U542" s="19">
        <v>0</v>
      </c>
      <c r="V542" s="19">
        <v>0</v>
      </c>
      <c r="W542" s="19">
        <v>0</v>
      </c>
      <c r="X542" s="19">
        <v>0</v>
      </c>
      <c r="Y542" s="19">
        <v>0</v>
      </c>
      <c r="Z542" s="19">
        <v>0</v>
      </c>
      <c r="AA542" s="19">
        <v>0</v>
      </c>
      <c r="AB542" s="19">
        <v>0</v>
      </c>
      <c r="AC542" s="19">
        <v>0</v>
      </c>
      <c r="AD542" s="19">
        <v>0</v>
      </c>
      <c r="AE542" s="19">
        <v>0</v>
      </c>
      <c r="AF542" s="19">
        <v>0</v>
      </c>
      <c r="AG542" s="19">
        <v>0</v>
      </c>
      <c r="AH542" s="19">
        <v>0</v>
      </c>
      <c r="AI542" s="19">
        <v>0</v>
      </c>
      <c r="AJ542" s="19">
        <v>0</v>
      </c>
      <c r="AK542" s="19">
        <v>0</v>
      </c>
      <c r="AL542" s="19">
        <v>0</v>
      </c>
      <c r="AM542" s="19">
        <v>0</v>
      </c>
      <c r="AN542" s="19">
        <v>0</v>
      </c>
      <c r="AO542" s="19">
        <v>0</v>
      </c>
      <c r="AP542" s="19">
        <v>0</v>
      </c>
      <c r="AQ542" s="19">
        <v>0</v>
      </c>
      <c r="AR542" s="19">
        <v>0</v>
      </c>
    </row>
    <row r="543" spans="1:44" x14ac:dyDescent="0.25">
      <c r="A543" t="s">
        <v>250</v>
      </c>
      <c r="B543" t="s">
        <v>298</v>
      </c>
      <c r="C543" t="s">
        <v>44</v>
      </c>
      <c r="D543" t="s">
        <v>152</v>
      </c>
      <c r="E543" t="s">
        <v>145</v>
      </c>
      <c r="F543" t="s">
        <v>299</v>
      </c>
      <c r="G543" t="s">
        <v>31</v>
      </c>
      <c r="H543" t="s">
        <v>278</v>
      </c>
      <c r="I543" t="s">
        <v>135</v>
      </c>
      <c r="J543" t="s">
        <v>39</v>
      </c>
      <c r="K543" t="s">
        <v>31</v>
      </c>
      <c r="L543">
        <v>0.82</v>
      </c>
      <c r="M543">
        <v>1</v>
      </c>
      <c r="N543" s="2">
        <v>2.8160822667537615</v>
      </c>
      <c r="O543" s="2">
        <v>5.411417628870181</v>
      </c>
      <c r="P543" s="1">
        <v>-1.3633570527640948</v>
      </c>
      <c r="Q543" s="1">
        <v>1.0408498674974225</v>
      </c>
      <c r="R543" s="1">
        <v>-1.8625523936223551</v>
      </c>
      <c r="S543" s="19">
        <v>1.44937172078709</v>
      </c>
      <c r="T543" s="19">
        <v>2.702686569715675</v>
      </c>
      <c r="U543" s="19">
        <v>4.5832193649993638</v>
      </c>
      <c r="V543" s="19">
        <v>7.2455791435452239</v>
      </c>
      <c r="W543" s="19">
        <v>10.824920451496252</v>
      </c>
      <c r="X543" s="19">
        <v>15.409629360972104</v>
      </c>
      <c r="Y543" s="19">
        <v>21.009815574473674</v>
      </c>
      <c r="Z543" s="19">
        <v>27.527314185134603</v>
      </c>
      <c r="AA543" s="19">
        <v>34.736203878043909</v>
      </c>
      <c r="AB543" s="19">
        <v>42.284642209327416</v>
      </c>
      <c r="AC543" s="19">
        <v>49.72691855220458</v>
      </c>
      <c r="AD543" s="19">
        <v>56.587351412660723</v>
      </c>
      <c r="AE543" s="19">
        <v>62.445581761515065</v>
      </c>
      <c r="AF543" s="19">
        <v>67.020203989996318</v>
      </c>
      <c r="AG543" s="19">
        <v>70.22184912224526</v>
      </c>
      <c r="AH543" s="19">
        <v>72.352421494146128</v>
      </c>
      <c r="AI543" s="19">
        <v>73.195025736130034</v>
      </c>
      <c r="AJ543" s="19">
        <v>73.720536145394732</v>
      </c>
      <c r="AK543" s="19">
        <v>73.350453132616636</v>
      </c>
      <c r="AL543" s="19">
        <v>72.690299054423107</v>
      </c>
      <c r="AM543" s="19">
        <v>91.285739892596496</v>
      </c>
      <c r="AN543" s="19">
        <v>105.39302537218764</v>
      </c>
      <c r="AO543" s="19">
        <v>104.03686298169175</v>
      </c>
      <c r="AP543" s="19">
        <v>102.34369385506808</v>
      </c>
      <c r="AQ543" s="19">
        <v>100.24411047279985</v>
      </c>
      <c r="AR543" s="19">
        <v>1342.3874554341714</v>
      </c>
    </row>
    <row r="544" spans="1:44" x14ac:dyDescent="0.25">
      <c r="A544" t="s">
        <v>250</v>
      </c>
      <c r="B544" t="s">
        <v>298</v>
      </c>
      <c r="C544" t="s">
        <v>44</v>
      </c>
      <c r="D544" t="s">
        <v>152</v>
      </c>
      <c r="E544" t="s">
        <v>148</v>
      </c>
      <c r="F544" t="s">
        <v>299</v>
      </c>
      <c r="G544" t="s">
        <v>31</v>
      </c>
      <c r="H544" t="s">
        <v>278</v>
      </c>
      <c r="I544" t="s">
        <v>135</v>
      </c>
      <c r="J544" t="s">
        <v>39</v>
      </c>
      <c r="K544" t="s">
        <v>31</v>
      </c>
      <c r="L544">
        <v>0.82</v>
      </c>
      <c r="M544">
        <v>1</v>
      </c>
      <c r="N544" s="2">
        <v>2.8160822667537615</v>
      </c>
      <c r="O544" s="2">
        <v>5.411417628870181</v>
      </c>
      <c r="P544" s="1">
        <v>-1.3633570527640948</v>
      </c>
      <c r="Q544" s="1">
        <v>1.0408498674974225</v>
      </c>
      <c r="R544" s="1">
        <v>-1.8625523936223551</v>
      </c>
      <c r="S544" s="19">
        <v>0.32876099209719462</v>
      </c>
      <c r="T544" s="19">
        <v>1.1095196628331965</v>
      </c>
      <c r="U544" s="19">
        <v>1.9029233477509284</v>
      </c>
      <c r="V544" s="19">
        <v>3.0428368207680356</v>
      </c>
      <c r="W544" s="19">
        <v>4.5986318455623101</v>
      </c>
      <c r="X544" s="19">
        <v>6.6227419385670983</v>
      </c>
      <c r="Y544" s="19">
        <v>9.1359307672900254</v>
      </c>
      <c r="Z544" s="19">
        <v>12.112182041704925</v>
      </c>
      <c r="AA544" s="19">
        <v>15.467204156901596</v>
      </c>
      <c r="AB544" s="19">
        <v>19.055739358523105</v>
      </c>
      <c r="AC544" s="19">
        <v>22.682503035363855</v>
      </c>
      <c r="AD544" s="19">
        <v>26.128682825310804</v>
      </c>
      <c r="AE544" s="19">
        <v>29.190453497516373</v>
      </c>
      <c r="AF544" s="19">
        <v>31.719615794209279</v>
      </c>
      <c r="AG544" s="19">
        <v>33.652656953547528</v>
      </c>
      <c r="AH544" s="19">
        <v>35.112905632591314</v>
      </c>
      <c r="AI544" s="19">
        <v>35.975210042386252</v>
      </c>
      <c r="AJ544" s="19">
        <v>36.699452355770518</v>
      </c>
      <c r="AK544" s="19">
        <v>36.988290801917906</v>
      </c>
      <c r="AL544" s="19">
        <v>37.133774014145736</v>
      </c>
      <c r="AM544" s="19">
        <v>37.283312556188051</v>
      </c>
      <c r="AN544" s="19">
        <v>37.436930091263427</v>
      </c>
      <c r="AO544" s="19">
        <v>37.594650744288167</v>
      </c>
      <c r="AP544" s="19">
        <v>37.756499105284753</v>
      </c>
      <c r="AQ544" s="19">
        <v>37.922500232851249</v>
      </c>
      <c r="AR544" s="19">
        <v>586.65390861463368</v>
      </c>
    </row>
    <row r="545" spans="1:44" x14ac:dyDescent="0.25">
      <c r="A545" t="s">
        <v>250</v>
      </c>
      <c r="B545" t="s">
        <v>298</v>
      </c>
      <c r="C545" t="s">
        <v>44</v>
      </c>
      <c r="D545" t="s">
        <v>152</v>
      </c>
      <c r="E545" t="s">
        <v>145</v>
      </c>
      <c r="F545" t="s">
        <v>299</v>
      </c>
      <c r="G545" t="s">
        <v>31</v>
      </c>
      <c r="H545" t="s">
        <v>252</v>
      </c>
      <c r="I545" t="s">
        <v>135</v>
      </c>
      <c r="J545" t="s">
        <v>39</v>
      </c>
      <c r="K545" t="s">
        <v>31</v>
      </c>
      <c r="L545">
        <v>0.82</v>
      </c>
      <c r="M545">
        <v>1</v>
      </c>
      <c r="N545" s="2">
        <v>2.8160822667537615</v>
      </c>
      <c r="O545" s="2">
        <v>5.411417628870181</v>
      </c>
      <c r="P545" s="1">
        <v>-1.3633570527640948</v>
      </c>
      <c r="Q545" s="1">
        <v>1.0408498674974225</v>
      </c>
      <c r="R545" s="1">
        <v>-1.8625523936223551</v>
      </c>
      <c r="S545" s="19">
        <v>0.46345831936929793</v>
      </c>
      <c r="T545" s="19">
        <v>0.86884650485257597</v>
      </c>
      <c r="U545" s="19">
        <v>1.4812709131245947</v>
      </c>
      <c r="V545" s="19">
        <v>2.3542546188963303</v>
      </c>
      <c r="W545" s="19">
        <v>3.5360753918102263</v>
      </c>
      <c r="X545" s="19">
        <v>5.0606403182593391</v>
      </c>
      <c r="Y545" s="19">
        <v>6.9366853334427505</v>
      </c>
      <c r="Z545" s="19">
        <v>9.1371355892086061</v>
      </c>
      <c r="AA545" s="19">
        <v>11.591644697126013</v>
      </c>
      <c r="AB545" s="19">
        <v>14.186061611424028</v>
      </c>
      <c r="AC545" s="19">
        <v>16.772090816525761</v>
      </c>
      <c r="AD545" s="19">
        <v>19.188079109563908</v>
      </c>
      <c r="AE545" s="19">
        <v>21.287777631756992</v>
      </c>
      <c r="AF545" s="19">
        <v>22.969462377376225</v>
      </c>
      <c r="AG545" s="19">
        <v>24.195456591015542</v>
      </c>
      <c r="AH545" s="19">
        <v>25.062887645610171</v>
      </c>
      <c r="AI545" s="19">
        <v>25.490366523015609</v>
      </c>
      <c r="AJ545" s="19">
        <v>25.810681590013189</v>
      </c>
      <c r="AK545" s="19">
        <v>25.818455891696921</v>
      </c>
      <c r="AL545" s="19">
        <v>25.722927604897645</v>
      </c>
      <c r="AM545" s="19">
        <v>31.783117849466109</v>
      </c>
      <c r="AN545" s="19">
        <v>33.573470172294691</v>
      </c>
      <c r="AO545" s="19">
        <v>33.351680291387758</v>
      </c>
      <c r="AP545" s="19">
        <v>33.046309391311901</v>
      </c>
      <c r="AQ545" s="19">
        <v>32.63944625430296</v>
      </c>
      <c r="AR545" s="19">
        <v>452.3282830377492</v>
      </c>
    </row>
    <row r="546" spans="1:44" x14ac:dyDescent="0.25">
      <c r="A546" t="s">
        <v>250</v>
      </c>
      <c r="B546" t="s">
        <v>298</v>
      </c>
      <c r="C546" t="s">
        <v>44</v>
      </c>
      <c r="D546" t="s">
        <v>152</v>
      </c>
      <c r="E546" t="s">
        <v>148</v>
      </c>
      <c r="F546" t="s">
        <v>299</v>
      </c>
      <c r="G546" t="s">
        <v>31</v>
      </c>
      <c r="H546" t="s">
        <v>252</v>
      </c>
      <c r="I546" t="s">
        <v>135</v>
      </c>
      <c r="J546" t="s">
        <v>39</v>
      </c>
      <c r="K546" t="s">
        <v>31</v>
      </c>
      <c r="L546">
        <v>0.82</v>
      </c>
      <c r="M546">
        <v>1</v>
      </c>
      <c r="N546" s="2">
        <v>2.8160822667537615</v>
      </c>
      <c r="O546" s="2">
        <v>5.411417628870181</v>
      </c>
      <c r="P546" s="1">
        <v>-1.3633570527640948</v>
      </c>
      <c r="Q546" s="1">
        <v>1.0408498674974225</v>
      </c>
      <c r="R546" s="1">
        <v>-1.8625523936223551</v>
      </c>
      <c r="S546" s="19">
        <v>0.10512625207617891</v>
      </c>
      <c r="T546" s="19">
        <v>0.26234577622697558</v>
      </c>
      <c r="U546" s="19">
        <v>0.45231406551154019</v>
      </c>
      <c r="V546" s="19">
        <v>0.72702820466179707</v>
      </c>
      <c r="W546" s="19">
        <v>1.1044068439718775</v>
      </c>
      <c r="X546" s="19">
        <v>1.5986013282008298</v>
      </c>
      <c r="Y546" s="19">
        <v>2.2163128352922699</v>
      </c>
      <c r="Z546" s="19">
        <v>2.9529127464368576</v>
      </c>
      <c r="AA546" s="19">
        <v>3.7893441980577833</v>
      </c>
      <c r="AB546" s="19">
        <v>4.6911154561981281</v>
      </c>
      <c r="AC546" s="19">
        <v>5.6106537792845321</v>
      </c>
      <c r="AD546" s="19">
        <v>6.4936116557301595</v>
      </c>
      <c r="AE546" s="19">
        <v>7.2883649365098542</v>
      </c>
      <c r="AF546" s="19">
        <v>7.9563133130291668</v>
      </c>
      <c r="AG546" s="19">
        <v>8.4795397818291587</v>
      </c>
      <c r="AH546" s="19">
        <v>8.8871599156209289</v>
      </c>
      <c r="AI546" s="19">
        <v>9.1457067748954319</v>
      </c>
      <c r="AJ546" s="19">
        <v>9.3705635813222408</v>
      </c>
      <c r="AK546" s="19">
        <v>9.4849960130101785</v>
      </c>
      <c r="AL546" s="19">
        <v>9.5627631297121312</v>
      </c>
      <c r="AM546" s="19">
        <v>9.6415081734151027</v>
      </c>
      <c r="AN546" s="19">
        <v>9.7212417193569944</v>
      </c>
      <c r="AO546" s="19">
        <v>9.8019744628173466</v>
      </c>
      <c r="AP546" s="19">
        <v>9.8837172204603014</v>
      </c>
      <c r="AQ546" s="19">
        <v>9.9664809316884426</v>
      </c>
      <c r="AR546" s="19">
        <v>149.19410309531622</v>
      </c>
    </row>
    <row r="547" spans="1:44" x14ac:dyDescent="0.25">
      <c r="A547" t="s">
        <v>250</v>
      </c>
      <c r="B547" t="s">
        <v>298</v>
      </c>
      <c r="C547" t="s">
        <v>44</v>
      </c>
      <c r="D547" t="s">
        <v>152</v>
      </c>
      <c r="E547" t="s">
        <v>145</v>
      </c>
      <c r="F547" t="s">
        <v>299</v>
      </c>
      <c r="G547" t="s">
        <v>31</v>
      </c>
      <c r="H547" t="s">
        <v>253</v>
      </c>
      <c r="I547" t="s">
        <v>135</v>
      </c>
      <c r="J547" t="s">
        <v>39</v>
      </c>
      <c r="K547" t="s">
        <v>31</v>
      </c>
      <c r="L547">
        <v>0.82</v>
      </c>
      <c r="M547">
        <v>1</v>
      </c>
      <c r="N547" s="2">
        <v>2.8160822667537615</v>
      </c>
      <c r="O547" s="2">
        <v>5.411417628870181</v>
      </c>
      <c r="P547" s="1">
        <v>-1.3633570527640948</v>
      </c>
      <c r="Q547" s="1">
        <v>1.0408498674974225</v>
      </c>
      <c r="R547" s="1">
        <v>-1.8625523936223551</v>
      </c>
      <c r="S547" s="19">
        <v>5.8002166502171262E-4</v>
      </c>
      <c r="T547" s="19">
        <v>1.086931546604414E-3</v>
      </c>
      <c r="U547" s="19">
        <v>1.8523337181096944E-3</v>
      </c>
      <c r="V547" s="19">
        <v>2.9428204853277681E-3</v>
      </c>
      <c r="W547" s="19">
        <v>4.4183229566696694E-3</v>
      </c>
      <c r="X547" s="19">
        <v>6.3207267336668109E-3</v>
      </c>
      <c r="Y547" s="19">
        <v>8.6604236984781004E-3</v>
      </c>
      <c r="Z547" s="19">
        <v>1.1403096962738028E-2</v>
      </c>
      <c r="AA547" s="19">
        <v>1.4460503353123093E-2</v>
      </c>
      <c r="AB547" s="19">
        <v>1.768991692634508E-2</v>
      </c>
      <c r="AC547" s="19">
        <v>2.0906279829433685E-2</v>
      </c>
      <c r="AD547" s="19">
        <v>2.3908187666703343E-2</v>
      </c>
      <c r="AE547" s="19">
        <v>2.651374547720451E-2</v>
      </c>
      <c r="AF547" s="19">
        <v>2.8596783679534849E-2</v>
      </c>
      <c r="AG547" s="19">
        <v>3.0111041959506792E-2</v>
      </c>
      <c r="AH547" s="19">
        <v>3.1178030047172699E-2</v>
      </c>
      <c r="AI547" s="19">
        <v>3.1697079293228854E-2</v>
      </c>
      <c r="AJ547" s="19">
        <v>3.2082502839851139E-2</v>
      </c>
      <c r="AK547" s="19">
        <v>3.2079281705027857E-2</v>
      </c>
      <c r="AL547" s="19">
        <v>3.1947756650037247E-2</v>
      </c>
      <c r="AM547" s="19">
        <v>3.952025776643709E-2</v>
      </c>
      <c r="AN547" s="19">
        <v>4.2016720998398947E-2</v>
      </c>
      <c r="AO547" s="19">
        <v>4.1719219032940125E-2</v>
      </c>
      <c r="AP547" s="19">
        <v>4.1314676325841342E-2</v>
      </c>
      <c r="AQ547" s="19">
        <v>4.0780229320648967E-2</v>
      </c>
      <c r="AR547" s="19">
        <v>0.56378689063805176</v>
      </c>
    </row>
    <row r="548" spans="1:44" x14ac:dyDescent="0.25">
      <c r="A548" t="s">
        <v>250</v>
      </c>
      <c r="B548" t="s">
        <v>298</v>
      </c>
      <c r="C548" t="s">
        <v>44</v>
      </c>
      <c r="D548" t="s">
        <v>152</v>
      </c>
      <c r="E548" t="s">
        <v>148</v>
      </c>
      <c r="F548" t="s">
        <v>299</v>
      </c>
      <c r="G548" t="s">
        <v>31</v>
      </c>
      <c r="H548" t="s">
        <v>253</v>
      </c>
      <c r="I548" t="s">
        <v>135</v>
      </c>
      <c r="J548" t="s">
        <v>39</v>
      </c>
      <c r="K548" t="s">
        <v>31</v>
      </c>
      <c r="L548">
        <v>0.82</v>
      </c>
      <c r="M548">
        <v>1</v>
      </c>
      <c r="N548" s="2">
        <v>2.8160822667537615</v>
      </c>
      <c r="O548" s="2">
        <v>5.411417628870181</v>
      </c>
      <c r="P548" s="1">
        <v>-1.3633570527640948</v>
      </c>
      <c r="Q548" s="1">
        <v>1.0408498674974225</v>
      </c>
      <c r="R548" s="1">
        <v>-1.8625523936223551</v>
      </c>
      <c r="S548" s="19">
        <v>1.3156631614617844E-4</v>
      </c>
      <c r="T548" s="19">
        <v>3.370590150023305E-4</v>
      </c>
      <c r="U548" s="19">
        <v>5.8089894023615949E-4</v>
      </c>
      <c r="V548" s="19">
        <v>9.3334520960067073E-4</v>
      </c>
      <c r="W548" s="19">
        <v>1.4172700504257942E-3</v>
      </c>
      <c r="X548" s="19">
        <v>2.0506808887803146E-3</v>
      </c>
      <c r="Y548" s="19">
        <v>2.8420078897880515E-3</v>
      </c>
      <c r="Z548" s="19">
        <v>3.7851494878195905E-3</v>
      </c>
      <c r="AA548" s="19">
        <v>4.8555292254502651E-3</v>
      </c>
      <c r="AB548" s="19">
        <v>6.0088396902692968E-3</v>
      </c>
      <c r="AC548" s="19">
        <v>7.1840908971557375E-3</v>
      </c>
      <c r="AD548" s="19">
        <v>8.3117099197643086E-3</v>
      </c>
      <c r="AE548" s="19">
        <v>9.3257065821354054E-3</v>
      </c>
      <c r="AF548" s="19">
        <v>1.0176839608012604E-2</v>
      </c>
      <c r="AG548" s="19">
        <v>1.0842379028611676E-2</v>
      </c>
      <c r="AH548" s="19">
        <v>1.1359739501428457E-2</v>
      </c>
      <c r="AI548" s="19">
        <v>1.1686313637317288E-2</v>
      </c>
      <c r="AJ548" s="19">
        <v>1.196968346098299E-2</v>
      </c>
      <c r="AK548" s="19">
        <v>1.2111908648153756E-2</v>
      </c>
      <c r="AL548" s="19">
        <v>1.2207285220171058E-2</v>
      </c>
      <c r="AM548" s="19">
        <v>1.2303897220590301E-2</v>
      </c>
      <c r="AN548" s="19">
        <v>1.2401757823925252E-2</v>
      </c>
      <c r="AO548" s="19">
        <v>1.2500880355220748E-2</v>
      </c>
      <c r="AP548" s="19">
        <v>1.2601278291728373E-2</v>
      </c>
      <c r="AQ548" s="19">
        <v>1.2702965264604446E-2</v>
      </c>
      <c r="AR548" s="19">
        <v>0.19062878217332105</v>
      </c>
    </row>
    <row r="549" spans="1:44" x14ac:dyDescent="0.25">
      <c r="A549" t="s">
        <v>250</v>
      </c>
      <c r="B549" t="s">
        <v>298</v>
      </c>
      <c r="C549" t="s">
        <v>44</v>
      </c>
      <c r="D549" t="s">
        <v>152</v>
      </c>
      <c r="E549" t="s">
        <v>145</v>
      </c>
      <c r="F549" t="s">
        <v>299</v>
      </c>
      <c r="G549" t="s">
        <v>31</v>
      </c>
      <c r="H549" t="s">
        <v>254</v>
      </c>
      <c r="I549" t="s">
        <v>135</v>
      </c>
      <c r="J549" t="s">
        <v>39</v>
      </c>
      <c r="K549" t="s">
        <v>31</v>
      </c>
      <c r="L549">
        <v>0.82</v>
      </c>
      <c r="M549">
        <v>1</v>
      </c>
      <c r="N549" s="2">
        <v>2.8160822667537615</v>
      </c>
      <c r="O549" s="2">
        <v>5.411417628870181</v>
      </c>
      <c r="P549" s="1">
        <v>-1.3633570527640948</v>
      </c>
      <c r="Q549" s="1">
        <v>1.0408498674974225</v>
      </c>
      <c r="R549" s="1">
        <v>-1.8625523936223551</v>
      </c>
      <c r="S549" s="19">
        <v>0.78309345542077868</v>
      </c>
      <c r="T549" s="19">
        <v>1.4669081490087439</v>
      </c>
      <c r="U549" s="19">
        <v>2.4989139903661997</v>
      </c>
      <c r="V549" s="19">
        <v>3.9685074093488519</v>
      </c>
      <c r="W549" s="19">
        <v>5.955966290025362</v>
      </c>
      <c r="X549" s="19">
        <v>8.5171272740837782</v>
      </c>
      <c r="Y549" s="19">
        <v>11.66531876723729</v>
      </c>
      <c r="Z549" s="19">
        <v>15.353650027855226</v>
      </c>
      <c r="AA549" s="19">
        <v>19.462721986161796</v>
      </c>
      <c r="AB549" s="19">
        <v>23.800019379370752</v>
      </c>
      <c r="AC549" s="19">
        <v>28.116394295081584</v>
      </c>
      <c r="AD549" s="19">
        <v>32.141109979736669</v>
      </c>
      <c r="AE549" s="19">
        <v>35.630067599108514</v>
      </c>
      <c r="AF549" s="19">
        <v>38.414404249682711</v>
      </c>
      <c r="AG549" s="19">
        <v>40.432821166512035</v>
      </c>
      <c r="AH549" s="19">
        <v>41.849307975347671</v>
      </c>
      <c r="AI549" s="19">
        <v>42.529492915236439</v>
      </c>
      <c r="AJ549" s="19">
        <v>43.029920967342157</v>
      </c>
      <c r="AK549" s="19">
        <v>43.008895637819968</v>
      </c>
      <c r="AL549" s="19">
        <v>42.815929059391614</v>
      </c>
      <c r="AM549" s="19">
        <v>53.024388363826105</v>
      </c>
      <c r="AN549" s="19">
        <v>56.729019268962048</v>
      </c>
      <c r="AO549" s="19">
        <v>56.301342384821808</v>
      </c>
      <c r="AP549" s="19">
        <v>55.725998470697483</v>
      </c>
      <c r="AQ549" s="19">
        <v>54.971544360971905</v>
      </c>
      <c r="AR549" s="19">
        <v>758.19286342341763</v>
      </c>
    </row>
    <row r="550" spans="1:44" x14ac:dyDescent="0.25">
      <c r="A550" t="s">
        <v>250</v>
      </c>
      <c r="B550" t="s">
        <v>298</v>
      </c>
      <c r="C550" t="s">
        <v>44</v>
      </c>
      <c r="D550" t="s">
        <v>152</v>
      </c>
      <c r="E550" t="s">
        <v>148</v>
      </c>
      <c r="F550" t="s">
        <v>299</v>
      </c>
      <c r="G550" t="s">
        <v>31</v>
      </c>
      <c r="H550" t="s">
        <v>254</v>
      </c>
      <c r="I550" t="s">
        <v>135</v>
      </c>
      <c r="J550" t="s">
        <v>39</v>
      </c>
      <c r="K550" t="s">
        <v>31</v>
      </c>
      <c r="L550">
        <v>0.82</v>
      </c>
      <c r="M550">
        <v>1</v>
      </c>
      <c r="N550" s="2">
        <v>2.8160822667537615</v>
      </c>
      <c r="O550" s="2">
        <v>5.411417628870181</v>
      </c>
      <c r="P550" s="1">
        <v>-1.3633570527640948</v>
      </c>
      <c r="Q550" s="1">
        <v>1.0408498674974225</v>
      </c>
      <c r="R550" s="1">
        <v>-1.8625523936223551</v>
      </c>
      <c r="S550" s="19">
        <v>0.17762909101686175</v>
      </c>
      <c r="T550" s="19">
        <v>0.46646219846874609</v>
      </c>
      <c r="U550" s="19">
        <v>0.80360995621719045</v>
      </c>
      <c r="V550" s="19">
        <v>1.2906934800435752</v>
      </c>
      <c r="W550" s="19">
        <v>1.9591666438562363</v>
      </c>
      <c r="X550" s="19">
        <v>2.8337182488277639</v>
      </c>
      <c r="Y550" s="19">
        <v>3.9257761315495072</v>
      </c>
      <c r="Z550" s="19">
        <v>5.2266907088324208</v>
      </c>
      <c r="AA550" s="19">
        <v>6.7023282183130641</v>
      </c>
      <c r="AB550" s="19">
        <v>8.2913819641026247</v>
      </c>
      <c r="AC550" s="19">
        <v>9.9096230112490815</v>
      </c>
      <c r="AD550" s="19">
        <v>11.461105695451884</v>
      </c>
      <c r="AE550" s="19">
        <v>12.85495378073786</v>
      </c>
      <c r="AF550" s="19">
        <v>14.023490793795483</v>
      </c>
      <c r="AG550" s="19">
        <v>14.935645948789343</v>
      </c>
      <c r="AH550" s="19">
        <v>15.643207219903982</v>
      </c>
      <c r="AI550" s="19">
        <v>16.087728762450507</v>
      </c>
      <c r="AJ550" s="19">
        <v>16.472571300435252</v>
      </c>
      <c r="AK550" s="19">
        <v>16.663053948313287</v>
      </c>
      <c r="AL550" s="19">
        <v>16.789050268557183</v>
      </c>
      <c r="AM550" s="19">
        <v>16.91673264711994</v>
      </c>
      <c r="AN550" s="19">
        <v>17.046118766696818</v>
      </c>
      <c r="AO550" s="19">
        <v>17.177226513779011</v>
      </c>
      <c r="AP550" s="19">
        <v>17.310073980914492</v>
      </c>
      <c r="AQ550" s="19">
        <v>17.444679468996267</v>
      </c>
      <c r="AR550" s="19">
        <v>262.4127187484184</v>
      </c>
    </row>
    <row r="551" spans="1:44" x14ac:dyDescent="0.25">
      <c r="A551" t="s">
        <v>250</v>
      </c>
      <c r="B551" t="s">
        <v>298</v>
      </c>
      <c r="C551" t="s">
        <v>44</v>
      </c>
      <c r="D551" t="s">
        <v>152</v>
      </c>
      <c r="E551" t="s">
        <v>145</v>
      </c>
      <c r="F551" t="s">
        <v>299</v>
      </c>
      <c r="G551" t="s">
        <v>31</v>
      </c>
      <c r="H551" t="s">
        <v>255</v>
      </c>
      <c r="I551" t="s">
        <v>135</v>
      </c>
      <c r="J551" t="s">
        <v>39</v>
      </c>
      <c r="K551" t="s">
        <v>31</v>
      </c>
      <c r="L551">
        <v>0.82</v>
      </c>
      <c r="M551">
        <v>1</v>
      </c>
      <c r="N551" s="2">
        <v>2.8160822667537615</v>
      </c>
      <c r="O551" s="2">
        <v>5.411417628870181</v>
      </c>
      <c r="P551" s="1">
        <v>-1.3633570527640948</v>
      </c>
      <c r="Q551" s="1">
        <v>1.0408498674974225</v>
      </c>
      <c r="R551" s="1">
        <v>-1.8625523936223551</v>
      </c>
      <c r="S551" s="19">
        <v>0.1641667161833141</v>
      </c>
      <c r="T551" s="19">
        <v>0.30612655998422472</v>
      </c>
      <c r="U551" s="19">
        <v>0.51912981460071406</v>
      </c>
      <c r="V551" s="19">
        <v>0.82068865963258453</v>
      </c>
      <c r="W551" s="19">
        <v>1.2261117130826027</v>
      </c>
      <c r="X551" s="19">
        <v>1.7454102446672397</v>
      </c>
      <c r="Y551" s="19">
        <v>2.3797293551479894</v>
      </c>
      <c r="Z551" s="19">
        <v>3.1179501506113305</v>
      </c>
      <c r="AA551" s="19">
        <v>3.9344830877725272</v>
      </c>
      <c r="AB551" s="19">
        <v>4.7894758514550642</v>
      </c>
      <c r="AC551" s="19">
        <v>5.6324439117642706</v>
      </c>
      <c r="AD551" s="19">
        <v>6.4095080135017932</v>
      </c>
      <c r="AE551" s="19">
        <v>7.0730551389380292</v>
      </c>
      <c r="AF551" s="19">
        <v>7.591211177349714</v>
      </c>
      <c r="AG551" s="19">
        <v>7.9538535279677918</v>
      </c>
      <c r="AH551" s="19">
        <v>8.1951781411566813</v>
      </c>
      <c r="AI551" s="19">
        <v>8.2906178199255702</v>
      </c>
      <c r="AJ551" s="19">
        <v>8.3501410719469931</v>
      </c>
      <c r="AK551" s="19">
        <v>8.3082226930717553</v>
      </c>
      <c r="AL551" s="19">
        <v>8.2334486888341125</v>
      </c>
      <c r="AM551" s="19">
        <v>10.33970784554389</v>
      </c>
      <c r="AN551" s="19">
        <v>11.937604850314557</v>
      </c>
      <c r="AO551" s="19">
        <v>11.783995722258648</v>
      </c>
      <c r="AP551" s="19">
        <v>11.592214682602499</v>
      </c>
      <c r="AQ551" s="19">
        <v>11.354400114899429</v>
      </c>
      <c r="AR551" s="19">
        <v>152.04887555321332</v>
      </c>
    </row>
    <row r="552" spans="1:44" x14ac:dyDescent="0.25">
      <c r="A552" t="s">
        <v>250</v>
      </c>
      <c r="B552" t="s">
        <v>298</v>
      </c>
      <c r="C552" t="s">
        <v>44</v>
      </c>
      <c r="D552" t="s">
        <v>152</v>
      </c>
      <c r="E552" t="s">
        <v>148</v>
      </c>
      <c r="F552" t="s">
        <v>299</v>
      </c>
      <c r="G552" t="s">
        <v>31</v>
      </c>
      <c r="H552" t="s">
        <v>255</v>
      </c>
      <c r="I552" t="s">
        <v>135</v>
      </c>
      <c r="J552" t="s">
        <v>39</v>
      </c>
      <c r="K552" t="s">
        <v>31</v>
      </c>
      <c r="L552">
        <v>0.82</v>
      </c>
      <c r="M552">
        <v>1</v>
      </c>
      <c r="N552" s="2">
        <v>2.8160822667537615</v>
      </c>
      <c r="O552" s="2">
        <v>5.411417628870181</v>
      </c>
      <c r="P552" s="1">
        <v>-1.3633570527640948</v>
      </c>
      <c r="Q552" s="1">
        <v>1.0408498674974225</v>
      </c>
      <c r="R552" s="1">
        <v>-1.8625523936223551</v>
      </c>
      <c r="S552" s="19">
        <v>3.7237936760940331E-2</v>
      </c>
      <c r="T552" s="19">
        <v>0.1256725220837252</v>
      </c>
      <c r="U552" s="19">
        <v>0.21553937659221001</v>
      </c>
      <c r="V552" s="19">
        <v>0.34465452967158089</v>
      </c>
      <c r="W552" s="19">
        <v>0.52087554779390921</v>
      </c>
      <c r="X552" s="19">
        <v>0.7501414444554303</v>
      </c>
      <c r="Y552" s="19">
        <v>1.0348040684343074</v>
      </c>
      <c r="Z552" s="19">
        <v>1.371916619513857</v>
      </c>
      <c r="AA552" s="19">
        <v>1.7519315980558303</v>
      </c>
      <c r="AB552" s="19">
        <v>2.1583960208876065</v>
      </c>
      <c r="AC552" s="19">
        <v>2.5691904876628335</v>
      </c>
      <c r="AD552" s="19">
        <v>2.9595306684314369</v>
      </c>
      <c r="AE552" s="19">
        <v>3.3063297881834153</v>
      </c>
      <c r="AF552" s="19">
        <v>3.5928016869984529</v>
      </c>
      <c r="AG552" s="19">
        <v>3.8117524329143793</v>
      </c>
      <c r="AH552" s="19">
        <v>3.9771511550030345</v>
      </c>
      <c r="AI552" s="19">
        <v>4.0748222225947002</v>
      </c>
      <c r="AJ552" s="19">
        <v>4.1568553412239746</v>
      </c>
      <c r="AK552" s="19">
        <v>4.1895713508793646</v>
      </c>
      <c r="AL552" s="19">
        <v>4.206049871102107</v>
      </c>
      <c r="AM552" s="19">
        <v>4.2229877284080608</v>
      </c>
      <c r="AN552" s="19">
        <v>4.240387603070868</v>
      </c>
      <c r="AO552" s="19">
        <v>4.2582522276595265</v>
      </c>
      <c r="AP552" s="19">
        <v>4.2765843874246139</v>
      </c>
      <c r="AQ552" s="19">
        <v>4.2953869206908921</v>
      </c>
      <c r="AR552" s="19">
        <v>66.448823536497059</v>
      </c>
    </row>
    <row r="553" spans="1:44" x14ac:dyDescent="0.25">
      <c r="A553" t="s">
        <v>250</v>
      </c>
      <c r="B553" t="s">
        <v>298</v>
      </c>
      <c r="C553" t="s">
        <v>44</v>
      </c>
      <c r="D553" t="s">
        <v>152</v>
      </c>
      <c r="E553" t="s">
        <v>145</v>
      </c>
      <c r="F553" t="s">
        <v>299</v>
      </c>
      <c r="G553" t="s">
        <v>31</v>
      </c>
      <c r="H553" t="s">
        <v>288</v>
      </c>
      <c r="I553" t="s">
        <v>135</v>
      </c>
      <c r="J553" t="s">
        <v>39</v>
      </c>
      <c r="K553" t="s">
        <v>33</v>
      </c>
      <c r="L553">
        <v>0.82</v>
      </c>
      <c r="M553">
        <v>1</v>
      </c>
      <c r="N553" s="2">
        <v>2.8160822667537615</v>
      </c>
      <c r="O553" s="2">
        <v>5.411417628870181</v>
      </c>
      <c r="P553" s="1">
        <v>-1.3633570527640948</v>
      </c>
      <c r="Q553" s="1">
        <v>1.0408498674974225</v>
      </c>
      <c r="R553" s="1">
        <v>-1.8625523936223551</v>
      </c>
      <c r="S553" s="19">
        <v>4.6992835615387245E-2</v>
      </c>
      <c r="T553" s="19">
        <v>8.8159487280567578E-2</v>
      </c>
      <c r="U553" s="19">
        <v>0.15040612424978844</v>
      </c>
      <c r="V553" s="19">
        <v>0.23921559257986999</v>
      </c>
      <c r="W553" s="19">
        <v>0.35955273550306172</v>
      </c>
      <c r="X553" s="19">
        <v>0.51493401446521192</v>
      </c>
      <c r="Y553" s="19">
        <v>0.70632264720769455</v>
      </c>
      <c r="Z553" s="19">
        <v>0.93103548744191877</v>
      </c>
      <c r="AA553" s="19">
        <v>1.1819694568268575</v>
      </c>
      <c r="AB553" s="19">
        <v>1.4475316323908922</v>
      </c>
      <c r="AC553" s="19">
        <v>1.7126099173974365</v>
      </c>
      <c r="AD553" s="19">
        <v>1.9606847800109208</v>
      </c>
      <c r="AE553" s="19">
        <v>2.1767654231549978</v>
      </c>
      <c r="AF553" s="19">
        <v>2.3503750240047143</v>
      </c>
      <c r="AG553" s="19">
        <v>2.4775657194272349</v>
      </c>
      <c r="AH553" s="19">
        <v>2.568192045310107</v>
      </c>
      <c r="AI553" s="19">
        <v>2.613830958115305</v>
      </c>
      <c r="AJ553" s="19">
        <v>2.6485362320204033</v>
      </c>
      <c r="AK553" s="19">
        <v>2.6511954049441191</v>
      </c>
      <c r="AL553" s="19">
        <v>2.6432418187292863</v>
      </c>
      <c r="AM553" s="19">
        <v>3.2594417012948251</v>
      </c>
      <c r="AN553" s="19">
        <v>3.4047436585897199</v>
      </c>
      <c r="AO553" s="19">
        <v>3.3850806344296478</v>
      </c>
      <c r="AP553" s="19">
        <v>3.357293457888872</v>
      </c>
      <c r="AQ553" s="19">
        <v>3.3196308698974133</v>
      </c>
      <c r="AR553" s="19">
        <v>46.195307658776258</v>
      </c>
    </row>
    <row r="554" spans="1:44" x14ac:dyDescent="0.25">
      <c r="A554" t="s">
        <v>250</v>
      </c>
      <c r="B554" t="s">
        <v>298</v>
      </c>
      <c r="C554" t="s">
        <v>44</v>
      </c>
      <c r="D554" t="s">
        <v>152</v>
      </c>
      <c r="E554" t="s">
        <v>148</v>
      </c>
      <c r="F554" t="s">
        <v>299</v>
      </c>
      <c r="G554" t="s">
        <v>31</v>
      </c>
      <c r="H554" t="s">
        <v>288</v>
      </c>
      <c r="I554" t="s">
        <v>135</v>
      </c>
      <c r="J554" t="s">
        <v>39</v>
      </c>
      <c r="K554" t="s">
        <v>33</v>
      </c>
      <c r="L554">
        <v>0.82</v>
      </c>
      <c r="M554">
        <v>1</v>
      </c>
      <c r="N554" s="2">
        <v>2.8160822667537615</v>
      </c>
      <c r="O554" s="2">
        <v>5.411417628870181</v>
      </c>
      <c r="P554" s="1">
        <v>-1.3633570527640948</v>
      </c>
      <c r="Q554" s="1">
        <v>1.0408498674974225</v>
      </c>
      <c r="R554" s="1">
        <v>-1.8625523936223551</v>
      </c>
      <c r="S554" s="19">
        <v>1.065938505408757E-2</v>
      </c>
      <c r="T554" s="19">
        <v>2.5362874644741129E-2</v>
      </c>
      <c r="U554" s="19">
        <v>4.3758668659498311E-2</v>
      </c>
      <c r="V554" s="19">
        <v>7.0383604495015323E-2</v>
      </c>
      <c r="W554" s="19">
        <v>0.10698976100406266</v>
      </c>
      <c r="X554" s="19">
        <v>0.15496829088344888</v>
      </c>
      <c r="Y554" s="19">
        <v>0.21499084213729192</v>
      </c>
      <c r="Z554" s="19">
        <v>0.28663052331221056</v>
      </c>
      <c r="AA554" s="19">
        <v>0.36805736765651098</v>
      </c>
      <c r="AB554" s="19">
        <v>0.45593607289448623</v>
      </c>
      <c r="AC554" s="19">
        <v>0.54565033654161643</v>
      </c>
      <c r="AD554" s="19">
        <v>0.63191282013340477</v>
      </c>
      <c r="AE554" s="19">
        <v>0.70968831069183125</v>
      </c>
      <c r="AF554" s="19">
        <v>0.77519849010356101</v>
      </c>
      <c r="AG554" s="19">
        <v>0.82667281085139532</v>
      </c>
      <c r="AH554" s="19">
        <v>0.8669250449110063</v>
      </c>
      <c r="AI554" s="19">
        <v>0.89266782869998273</v>
      </c>
      <c r="AJ554" s="19">
        <v>0.91514365150055499</v>
      </c>
      <c r="AK554" s="19">
        <v>0.92684812712578379</v>
      </c>
      <c r="AL554" s="19">
        <v>0.93497419317292507</v>
      </c>
      <c r="AM554" s="19">
        <v>0.94319819116529879</v>
      </c>
      <c r="AN554" s="19">
        <v>0.95152119893135723</v>
      </c>
      <c r="AO554" s="19">
        <v>0.95994430644784112</v>
      </c>
      <c r="AP554" s="19">
        <v>0.9684686159758602</v>
      </c>
      <c r="AQ554" s="19">
        <v>0.97709524219852195</v>
      </c>
      <c r="AR554" s="19">
        <v>14.563646559192296</v>
      </c>
    </row>
    <row r="555" spans="1:44" x14ac:dyDescent="0.25">
      <c r="A555" t="s">
        <v>250</v>
      </c>
      <c r="B555" t="s">
        <v>298</v>
      </c>
      <c r="C555" t="s">
        <v>44</v>
      </c>
      <c r="D555" t="s">
        <v>152</v>
      </c>
      <c r="E555" t="s">
        <v>145</v>
      </c>
      <c r="F555" t="s">
        <v>299</v>
      </c>
      <c r="G555" t="s">
        <v>31</v>
      </c>
      <c r="H555" t="s">
        <v>274</v>
      </c>
      <c r="I555" t="s">
        <v>135</v>
      </c>
      <c r="J555" t="s">
        <v>39</v>
      </c>
      <c r="K555" t="s">
        <v>33</v>
      </c>
      <c r="L555">
        <v>0.82</v>
      </c>
      <c r="M555">
        <v>1</v>
      </c>
      <c r="N555" s="2">
        <v>2.8160822667537615</v>
      </c>
      <c r="O555" s="2">
        <v>5.411417628870181</v>
      </c>
      <c r="P555" s="1">
        <v>-1.3633570527640948</v>
      </c>
      <c r="Q555" s="1">
        <v>1.0408498674974225</v>
      </c>
      <c r="R555" s="1">
        <v>-1.8625523936223551</v>
      </c>
      <c r="S555" s="19">
        <v>6.9189006626541624E-4</v>
      </c>
      <c r="T555" s="19">
        <v>1.2959163744082345E-3</v>
      </c>
      <c r="U555" s="19">
        <v>2.2073739856409563E-3</v>
      </c>
      <c r="V555" s="19">
        <v>3.5051157338045931E-3</v>
      </c>
      <c r="W555" s="19">
        <v>5.2599056396630556E-3</v>
      </c>
      <c r="X555" s="19">
        <v>7.5208930787108563E-3</v>
      </c>
      <c r="Y555" s="19">
        <v>1.0299673164297791E-2</v>
      </c>
      <c r="Z555" s="19">
        <v>1.3554672383034889E-2</v>
      </c>
      <c r="AA555" s="19">
        <v>1.7180330827971282E-2</v>
      </c>
      <c r="AB555" s="19">
        <v>2.1006602106809852E-2</v>
      </c>
      <c r="AC555" s="19">
        <v>2.4813537269988525E-2</v>
      </c>
      <c r="AD555" s="19">
        <v>2.8362236899529224E-2</v>
      </c>
      <c r="AE555" s="19">
        <v>3.1437413755777514E-2</v>
      </c>
      <c r="AF555" s="19">
        <v>3.389025388263886E-2</v>
      </c>
      <c r="AG555" s="19">
        <v>3.5666896393052809E-2</v>
      </c>
      <c r="AH555" s="19">
        <v>3.6912215396253119E-2</v>
      </c>
      <c r="AI555" s="19">
        <v>3.7507886272210141E-2</v>
      </c>
      <c r="AJ555" s="19">
        <v>3.7944906729976073E-2</v>
      </c>
      <c r="AK555" s="19">
        <v>3.7922048352427885E-2</v>
      </c>
      <c r="AL555" s="19">
        <v>3.7747606930006727E-2</v>
      </c>
      <c r="AM555" s="19">
        <v>4.6763221367878374E-2</v>
      </c>
      <c r="AN555" s="19">
        <v>5.0122960076065946E-2</v>
      </c>
      <c r="AO555" s="19">
        <v>4.973835418407218E-2</v>
      </c>
      <c r="AP555" s="19">
        <v>4.92224688986167E-2</v>
      </c>
      <c r="AQ555" s="19">
        <v>4.8547375749240645E-2</v>
      </c>
      <c r="AR555" s="19">
        <v>0.66912175551834163</v>
      </c>
    </row>
    <row r="556" spans="1:44" x14ac:dyDescent="0.25">
      <c r="A556" t="s">
        <v>250</v>
      </c>
      <c r="B556" t="s">
        <v>298</v>
      </c>
      <c r="C556" t="s">
        <v>44</v>
      </c>
      <c r="D556" t="s">
        <v>152</v>
      </c>
      <c r="E556" t="s">
        <v>148</v>
      </c>
      <c r="F556" t="s">
        <v>299</v>
      </c>
      <c r="G556" t="s">
        <v>31</v>
      </c>
      <c r="H556" t="s">
        <v>274</v>
      </c>
      <c r="I556" t="s">
        <v>135</v>
      </c>
      <c r="J556" t="s">
        <v>39</v>
      </c>
      <c r="K556" t="s">
        <v>33</v>
      </c>
      <c r="L556">
        <v>0.82</v>
      </c>
      <c r="M556">
        <v>1</v>
      </c>
      <c r="N556" s="2">
        <v>2.8160822667537615</v>
      </c>
      <c r="O556" s="2">
        <v>5.411417628870181</v>
      </c>
      <c r="P556" s="1">
        <v>-1.3633570527640948</v>
      </c>
      <c r="Q556" s="1">
        <v>1.0408498674974225</v>
      </c>
      <c r="R556" s="1">
        <v>-1.8625523936223551</v>
      </c>
      <c r="S556" s="19">
        <v>1.5694142596081904E-4</v>
      </c>
      <c r="T556" s="19">
        <v>4.1508641935812614E-4</v>
      </c>
      <c r="U556" s="19">
        <v>7.1502094854300642E-4</v>
      </c>
      <c r="V556" s="19">
        <v>1.1482818758682359E-3</v>
      </c>
      <c r="W556" s="19">
        <v>1.7428068434791988E-3</v>
      </c>
      <c r="X556" s="19">
        <v>2.5205050774912041E-3</v>
      </c>
      <c r="Y556" s="19">
        <v>3.4914836739706884E-3</v>
      </c>
      <c r="Z556" s="19">
        <v>4.6479923593139667E-3</v>
      </c>
      <c r="AA556" s="19">
        <v>5.9596253061679066E-3</v>
      </c>
      <c r="AB556" s="19">
        <v>7.3718312499217523E-3</v>
      </c>
      <c r="AC556" s="19">
        <v>8.8097042993558368E-3</v>
      </c>
      <c r="AD556" s="19">
        <v>1.0187954260153001E-2</v>
      </c>
      <c r="AE556" s="19">
        <v>1.1425830873098564E-2</v>
      </c>
      <c r="AF556" s="19">
        <v>1.246323369742037E-2</v>
      </c>
      <c r="AG556" s="19">
        <v>1.3272614343797928E-2</v>
      </c>
      <c r="AH556" s="19">
        <v>1.3900059182203653E-2</v>
      </c>
      <c r="AI556" s="19">
        <v>1.4293694464053763E-2</v>
      </c>
      <c r="AJ556" s="19">
        <v>1.4634253802804706E-2</v>
      </c>
      <c r="AK556" s="19">
        <v>1.4802113553564093E-2</v>
      </c>
      <c r="AL556" s="19">
        <v>1.4912680692626284E-2</v>
      </c>
      <c r="AM556" s="19">
        <v>1.5024742736817134E-2</v>
      </c>
      <c r="AN556" s="19">
        <v>1.513831527760596E-2</v>
      </c>
      <c r="AO556" s="19">
        <v>1.5253414086704616E-2</v>
      </c>
      <c r="AP556" s="19">
        <v>1.5370055118064496E-2</v>
      </c>
      <c r="AQ556" s="19">
        <v>1.5488254509895535E-2</v>
      </c>
      <c r="AR556" s="19">
        <v>0.23314649607824084</v>
      </c>
    </row>
    <row r="557" spans="1:44" x14ac:dyDescent="0.25">
      <c r="A557" t="s">
        <v>250</v>
      </c>
      <c r="B557" t="s">
        <v>298</v>
      </c>
      <c r="C557" t="s">
        <v>44</v>
      </c>
      <c r="D557" t="s">
        <v>152</v>
      </c>
      <c r="E557" t="s">
        <v>145</v>
      </c>
      <c r="F557" t="s">
        <v>299</v>
      </c>
      <c r="G557" t="s">
        <v>31</v>
      </c>
      <c r="H557" t="s">
        <v>253</v>
      </c>
      <c r="I557" t="s">
        <v>256</v>
      </c>
      <c r="J557" t="s">
        <v>39</v>
      </c>
      <c r="K557" t="s">
        <v>31</v>
      </c>
      <c r="L557">
        <v>0.82</v>
      </c>
      <c r="M557">
        <v>1</v>
      </c>
      <c r="N557" s="2">
        <v>1.4105606857535178</v>
      </c>
      <c r="O557" s="2">
        <v>2.7105504166527385</v>
      </c>
      <c r="P557" s="1">
        <v>9.9579898584776755E-2</v>
      </c>
      <c r="Q557" s="1">
        <v>0.4672931329656026</v>
      </c>
      <c r="R557" s="1">
        <v>-0.39961544227348367</v>
      </c>
      <c r="S557" s="19">
        <v>3.0425669364046081E-4</v>
      </c>
      <c r="T557" s="19">
        <v>5.7016180347503349E-4</v>
      </c>
      <c r="U557" s="19">
        <v>9.7166186468172603E-4</v>
      </c>
      <c r="V557" s="19">
        <v>1.5436885979245717E-3</v>
      </c>
      <c r="W557" s="19">
        <v>2.3176795200947112E-3</v>
      </c>
      <c r="X557" s="19">
        <v>3.315606180535243E-3</v>
      </c>
      <c r="Y557" s="19">
        <v>4.54291975442986E-3</v>
      </c>
      <c r="Z557" s="19">
        <v>5.9816189435171795E-3</v>
      </c>
      <c r="AA557" s="19">
        <v>7.585414828312197E-3</v>
      </c>
      <c r="AB557" s="19">
        <v>9.2794389578235714E-3</v>
      </c>
      <c r="AC557" s="19">
        <v>1.0966617215906293E-2</v>
      </c>
      <c r="AD557" s="19">
        <v>1.2541300729058966E-2</v>
      </c>
      <c r="AE557" s="19">
        <v>1.3908074510659842E-2</v>
      </c>
      <c r="AF557" s="19">
        <v>1.5000754930009476E-2</v>
      </c>
      <c r="AG557" s="19">
        <v>1.5795075634503684E-2</v>
      </c>
      <c r="AH557" s="19">
        <v>1.6354775878967547E-2</v>
      </c>
      <c r="AI557" s="19">
        <v>1.6627048824902606E-2</v>
      </c>
      <c r="AJ557" s="19">
        <v>1.6829226952062886E-2</v>
      </c>
      <c r="AK557" s="19">
        <v>1.6827537270641995E-2</v>
      </c>
      <c r="AL557" s="19">
        <v>1.6758544367832362E-2</v>
      </c>
      <c r="AM557" s="19">
        <v>2.0730782460315116E-2</v>
      </c>
      <c r="AN557" s="19">
        <v>2.2040329490292467E-2</v>
      </c>
      <c r="AO557" s="19">
        <v>2.1884271587940343E-2</v>
      </c>
      <c r="AP557" s="19">
        <v>2.1672064296521975E-2</v>
      </c>
      <c r="AQ557" s="19">
        <v>2.1391714288010216E-2</v>
      </c>
      <c r="AR557" s="19">
        <v>0.2957405655820603</v>
      </c>
    </row>
    <row r="558" spans="1:44" x14ac:dyDescent="0.25">
      <c r="A558" t="s">
        <v>250</v>
      </c>
      <c r="B558" t="s">
        <v>298</v>
      </c>
      <c r="C558" t="s">
        <v>44</v>
      </c>
      <c r="D558" t="s">
        <v>152</v>
      </c>
      <c r="E558" t="s">
        <v>148</v>
      </c>
      <c r="F558" t="s">
        <v>299</v>
      </c>
      <c r="G558" t="s">
        <v>31</v>
      </c>
      <c r="H558" t="s">
        <v>253</v>
      </c>
      <c r="I558" t="s">
        <v>256</v>
      </c>
      <c r="J558" t="s">
        <v>39</v>
      </c>
      <c r="K558" t="s">
        <v>31</v>
      </c>
      <c r="L558">
        <v>0.82</v>
      </c>
      <c r="M558">
        <v>1</v>
      </c>
      <c r="N558" s="2">
        <v>1.4105606857535178</v>
      </c>
      <c r="O558" s="2">
        <v>2.7105504166527385</v>
      </c>
      <c r="P558" s="1">
        <v>9.9579898584776755E-2</v>
      </c>
      <c r="Q558" s="1">
        <v>0.4672931329656026</v>
      </c>
      <c r="R558" s="1">
        <v>-0.39961544227348367</v>
      </c>
      <c r="S558" s="19">
        <v>6.9014546799029192E-5</v>
      </c>
      <c r="T558" s="19">
        <v>1.7680798434051756E-4</v>
      </c>
      <c r="U558" s="19">
        <v>3.0471687792710982E-4</v>
      </c>
      <c r="V558" s="19">
        <v>4.8959641445053749E-4</v>
      </c>
      <c r="W558" s="19">
        <v>7.4344447034070996E-4</v>
      </c>
      <c r="X558" s="19">
        <v>1.0757070374407991E-3</v>
      </c>
      <c r="Y558" s="19">
        <v>1.4908062508572854E-3</v>
      </c>
      <c r="Z558" s="19">
        <v>1.9855414677583572E-3</v>
      </c>
      <c r="AA558" s="19">
        <v>2.5470208392213011E-3</v>
      </c>
      <c r="AB558" s="19">
        <v>3.1520024285790751E-3</v>
      </c>
      <c r="AC558" s="19">
        <v>3.7684932736078377E-3</v>
      </c>
      <c r="AD558" s="19">
        <v>4.3599981366065311E-3</v>
      </c>
      <c r="AE558" s="19">
        <v>4.8919011506844386E-3</v>
      </c>
      <c r="AF558" s="19">
        <v>5.3383722670553952E-3</v>
      </c>
      <c r="AG558" s="19">
        <v>5.6874882325620782E-3</v>
      </c>
      <c r="AH558" s="19">
        <v>5.9588753140664271E-3</v>
      </c>
      <c r="AI558" s="19">
        <v>6.1301833406558438E-3</v>
      </c>
      <c r="AJ558" s="19">
        <v>6.278828073818985E-3</v>
      </c>
      <c r="AK558" s="19">
        <v>6.3534338477246903E-3</v>
      </c>
      <c r="AL558" s="19">
        <v>6.4034646693348542E-3</v>
      </c>
      <c r="AM558" s="19">
        <v>6.4541435483943792E-3</v>
      </c>
      <c r="AN558" s="19">
        <v>6.5054773957382737E-3</v>
      </c>
      <c r="AO558" s="19">
        <v>6.5574732011639877E-3</v>
      </c>
      <c r="AP558" s="19">
        <v>6.6101380343113417E-3</v>
      </c>
      <c r="AQ558" s="19">
        <v>6.6634790455517056E-3</v>
      </c>
      <c r="AR558" s="19">
        <v>9.9996407848991484E-2</v>
      </c>
    </row>
    <row r="559" spans="1:44" x14ac:dyDescent="0.25">
      <c r="A559" t="s">
        <v>250</v>
      </c>
      <c r="B559" t="s">
        <v>298</v>
      </c>
      <c r="C559" t="s">
        <v>44</v>
      </c>
      <c r="D559" t="s">
        <v>152</v>
      </c>
      <c r="E559" t="s">
        <v>145</v>
      </c>
      <c r="F559" t="s">
        <v>299</v>
      </c>
      <c r="G559" t="s">
        <v>31</v>
      </c>
      <c r="H559" t="s">
        <v>272</v>
      </c>
      <c r="I559" t="s">
        <v>135</v>
      </c>
      <c r="J559" t="s">
        <v>40</v>
      </c>
      <c r="K559" t="s">
        <v>31</v>
      </c>
      <c r="L559">
        <v>0.82</v>
      </c>
      <c r="M559">
        <v>1</v>
      </c>
      <c r="N559" s="2">
        <v>2.8160822667537615</v>
      </c>
      <c r="O559" s="2">
        <v>4.1746294160814488</v>
      </c>
      <c r="P559" s="1">
        <v>-1.3633570527640948</v>
      </c>
      <c r="Q559" s="1">
        <v>0.4672931329656026</v>
      </c>
      <c r="R559" s="1">
        <v>-1.7195523936223556</v>
      </c>
      <c r="S559" s="19">
        <v>4.4928044016872205E-2</v>
      </c>
      <c r="T559" s="19">
        <v>8.4150634255910323E-2</v>
      </c>
      <c r="U559" s="19">
        <v>0.14333634839401169</v>
      </c>
      <c r="V559" s="19">
        <v>0.22760551372361212</v>
      </c>
      <c r="W559" s="19">
        <v>0.34155320855946841</v>
      </c>
      <c r="X559" s="19">
        <v>0.48837095914727185</v>
      </c>
      <c r="Y559" s="19">
        <v>0.6688116968967367</v>
      </c>
      <c r="Z559" s="19">
        <v>0.88017583594799109</v>
      </c>
      <c r="AA559" s="19">
        <v>1.1156088189412154</v>
      </c>
      <c r="AB559" s="19">
        <v>1.3640686434391256</v>
      </c>
      <c r="AC559" s="19">
        <v>1.611272872723519</v>
      </c>
      <c r="AD559" s="19">
        <v>1.8417085169570664</v>
      </c>
      <c r="AE559" s="19">
        <v>2.0413958486497132</v>
      </c>
      <c r="AF559" s="19">
        <v>2.2006715985976868</v>
      </c>
      <c r="AG559" s="19">
        <v>2.3160382974447602</v>
      </c>
      <c r="AH559" s="19">
        <v>2.3969033795131125</v>
      </c>
      <c r="AI559" s="19">
        <v>2.4355834078000056</v>
      </c>
      <c r="AJ559" s="19">
        <v>2.4639614339057436</v>
      </c>
      <c r="AK559" s="19">
        <v>2.4624771197889324</v>
      </c>
      <c r="AL559" s="19">
        <v>2.4511497250379031</v>
      </c>
      <c r="AM559" s="19">
        <v>3.0365807668364764</v>
      </c>
      <c r="AN559" s="19">
        <v>3.2547461892443974</v>
      </c>
      <c r="AO559" s="19">
        <v>3.2297717152822041</v>
      </c>
      <c r="AP559" s="19">
        <v>3.1962725830606695</v>
      </c>
      <c r="AQ559" s="19">
        <v>3.1524352507885425</v>
      </c>
      <c r="AR559" s="19">
        <v>43.449578408952952</v>
      </c>
    </row>
    <row r="560" spans="1:44" x14ac:dyDescent="0.25">
      <c r="A560" t="s">
        <v>250</v>
      </c>
      <c r="B560" t="s">
        <v>298</v>
      </c>
      <c r="C560" t="s">
        <v>44</v>
      </c>
      <c r="D560" t="s">
        <v>152</v>
      </c>
      <c r="E560" t="s">
        <v>148</v>
      </c>
      <c r="F560" t="s">
        <v>299</v>
      </c>
      <c r="G560" t="s">
        <v>31</v>
      </c>
      <c r="H560" t="s">
        <v>272</v>
      </c>
      <c r="I560" t="s">
        <v>135</v>
      </c>
      <c r="J560" t="s">
        <v>40</v>
      </c>
      <c r="K560" t="s">
        <v>31</v>
      </c>
      <c r="L560">
        <v>0.82</v>
      </c>
      <c r="M560">
        <v>1</v>
      </c>
      <c r="N560" s="2">
        <v>2.8160822667537615</v>
      </c>
      <c r="O560" s="2">
        <v>4.1746294160814488</v>
      </c>
      <c r="P560" s="1">
        <v>-1.3633570527640948</v>
      </c>
      <c r="Q560" s="1">
        <v>0.4672931329656026</v>
      </c>
      <c r="R560" s="1">
        <v>-1.7195523936223556</v>
      </c>
      <c r="S560" s="19">
        <v>1.019102836914196E-2</v>
      </c>
      <c r="T560" s="19">
        <v>2.6953734168187575E-2</v>
      </c>
      <c r="U560" s="19">
        <v>4.6430053292313742E-2</v>
      </c>
      <c r="V560" s="19">
        <v>7.4563953405561378E-2</v>
      </c>
      <c r="W560" s="19">
        <v>0.11316957186476304</v>
      </c>
      <c r="X560" s="19">
        <v>0.1636695894154285</v>
      </c>
      <c r="Y560" s="19">
        <v>0.22672031271536044</v>
      </c>
      <c r="Z560" s="19">
        <v>0.30181847592711952</v>
      </c>
      <c r="AA560" s="19">
        <v>0.38698966950750974</v>
      </c>
      <c r="AB560" s="19">
        <v>0.47869159427183539</v>
      </c>
      <c r="AC560" s="19">
        <v>0.57206021857415867</v>
      </c>
      <c r="AD560" s="19">
        <v>0.66155720360704084</v>
      </c>
      <c r="AE560" s="19">
        <v>0.74193901231556048</v>
      </c>
      <c r="AF560" s="19">
        <v>0.80930300845721503</v>
      </c>
      <c r="AG560" s="19">
        <v>0.86186033089882019</v>
      </c>
      <c r="AH560" s="19">
        <v>0.90260360890283775</v>
      </c>
      <c r="AI560" s="19">
        <v>0.92816440841683168</v>
      </c>
      <c r="AJ560" s="19">
        <v>0.95027870909520096</v>
      </c>
      <c r="AK560" s="19">
        <v>0.96117872145046201</v>
      </c>
      <c r="AL560" s="19">
        <v>0.96835842460391319</v>
      </c>
      <c r="AM560" s="19">
        <v>0.97563519977313173</v>
      </c>
      <c r="AN560" s="19">
        <v>0.98301005939382036</v>
      </c>
      <c r="AO560" s="19">
        <v>0.99048402760584997</v>
      </c>
      <c r="AP560" s="19">
        <v>0.99805814038274965</v>
      </c>
      <c r="AQ560" s="19">
        <v>1.0057334456629774</v>
      </c>
      <c r="AR560" s="19">
        <v>15.139422502077792</v>
      </c>
    </row>
    <row r="561" spans="1:44" x14ac:dyDescent="0.25">
      <c r="A561" t="s">
        <v>250</v>
      </c>
      <c r="B561" t="s">
        <v>298</v>
      </c>
      <c r="C561" t="s">
        <v>44</v>
      </c>
      <c r="D561" t="s">
        <v>152</v>
      </c>
      <c r="E561" t="s">
        <v>145</v>
      </c>
      <c r="F561" t="s">
        <v>299</v>
      </c>
      <c r="G561" t="s">
        <v>31</v>
      </c>
      <c r="H561" t="s">
        <v>277</v>
      </c>
      <c r="I561" t="s">
        <v>135</v>
      </c>
      <c r="J561" t="s">
        <v>40</v>
      </c>
      <c r="K561" t="s">
        <v>31</v>
      </c>
      <c r="L561">
        <v>0.82</v>
      </c>
      <c r="M561">
        <v>1</v>
      </c>
      <c r="N561" s="2">
        <v>2.8160822667537615</v>
      </c>
      <c r="O561" s="2">
        <v>4.1746294160814488</v>
      </c>
      <c r="P561" s="1">
        <v>-1.3633570527640948</v>
      </c>
      <c r="Q561" s="1">
        <v>0.4672931329656026</v>
      </c>
      <c r="R561" s="1">
        <v>-1.7195523936223556</v>
      </c>
      <c r="S561" s="19">
        <v>0</v>
      </c>
      <c r="T561" s="19">
        <v>0</v>
      </c>
      <c r="U561" s="19">
        <v>0</v>
      </c>
      <c r="V561" s="19">
        <v>0</v>
      </c>
      <c r="W561" s="19">
        <v>0</v>
      </c>
      <c r="X561" s="19">
        <v>0</v>
      </c>
      <c r="Y561" s="19">
        <v>0</v>
      </c>
      <c r="Z561" s="19">
        <v>0</v>
      </c>
      <c r="AA561" s="19">
        <v>0</v>
      </c>
      <c r="AB561" s="19">
        <v>0</v>
      </c>
      <c r="AC561" s="19">
        <v>0</v>
      </c>
      <c r="AD561" s="19">
        <v>0</v>
      </c>
      <c r="AE561" s="19">
        <v>0</v>
      </c>
      <c r="AF561" s="19">
        <v>0</v>
      </c>
      <c r="AG561" s="19">
        <v>0</v>
      </c>
      <c r="AH561" s="19">
        <v>0</v>
      </c>
      <c r="AI561" s="19">
        <v>0</v>
      </c>
      <c r="AJ561" s="19">
        <v>0</v>
      </c>
      <c r="AK561" s="19">
        <v>0</v>
      </c>
      <c r="AL561" s="19">
        <v>0</v>
      </c>
      <c r="AM561" s="19">
        <v>0</v>
      </c>
      <c r="AN561" s="19">
        <v>0</v>
      </c>
      <c r="AO561" s="19">
        <v>0</v>
      </c>
      <c r="AP561" s="19">
        <v>0</v>
      </c>
      <c r="AQ561" s="19">
        <v>0</v>
      </c>
      <c r="AR561" s="19">
        <v>0</v>
      </c>
    </row>
    <row r="562" spans="1:44" x14ac:dyDescent="0.25">
      <c r="A562" t="s">
        <v>250</v>
      </c>
      <c r="B562" t="s">
        <v>298</v>
      </c>
      <c r="C562" t="s">
        <v>44</v>
      </c>
      <c r="D562" t="s">
        <v>152</v>
      </c>
      <c r="E562" t="s">
        <v>148</v>
      </c>
      <c r="F562" t="s">
        <v>299</v>
      </c>
      <c r="G562" t="s">
        <v>31</v>
      </c>
      <c r="H562" t="s">
        <v>277</v>
      </c>
      <c r="I562" t="s">
        <v>135</v>
      </c>
      <c r="J562" t="s">
        <v>40</v>
      </c>
      <c r="K562" t="s">
        <v>31</v>
      </c>
      <c r="L562">
        <v>0.82</v>
      </c>
      <c r="M562">
        <v>1</v>
      </c>
      <c r="N562" s="2">
        <v>2.8160822667537615</v>
      </c>
      <c r="O562" s="2">
        <v>4.1746294160814488</v>
      </c>
      <c r="P562" s="1">
        <v>-1.3633570527640948</v>
      </c>
      <c r="Q562" s="1">
        <v>0.4672931329656026</v>
      </c>
      <c r="R562" s="1">
        <v>-1.7195523936223556</v>
      </c>
      <c r="S562" s="19">
        <v>0</v>
      </c>
      <c r="T562" s="19">
        <v>0</v>
      </c>
      <c r="U562" s="19">
        <v>0</v>
      </c>
      <c r="V562" s="19">
        <v>0</v>
      </c>
      <c r="W562" s="19">
        <v>0</v>
      </c>
      <c r="X562" s="19">
        <v>0</v>
      </c>
      <c r="Y562" s="19">
        <v>0</v>
      </c>
      <c r="Z562" s="19">
        <v>0</v>
      </c>
      <c r="AA562" s="19">
        <v>0</v>
      </c>
      <c r="AB562" s="19">
        <v>0</v>
      </c>
      <c r="AC562" s="19">
        <v>0</v>
      </c>
      <c r="AD562" s="19">
        <v>0</v>
      </c>
      <c r="AE562" s="19">
        <v>0</v>
      </c>
      <c r="AF562" s="19">
        <v>0</v>
      </c>
      <c r="AG562" s="19">
        <v>0</v>
      </c>
      <c r="AH562" s="19">
        <v>0</v>
      </c>
      <c r="AI562" s="19">
        <v>0</v>
      </c>
      <c r="AJ562" s="19">
        <v>0</v>
      </c>
      <c r="AK562" s="19">
        <v>0</v>
      </c>
      <c r="AL562" s="19">
        <v>0</v>
      </c>
      <c r="AM562" s="19">
        <v>0</v>
      </c>
      <c r="AN562" s="19">
        <v>0</v>
      </c>
      <c r="AO562" s="19">
        <v>0</v>
      </c>
      <c r="AP562" s="19">
        <v>0</v>
      </c>
      <c r="AQ562" s="19">
        <v>0</v>
      </c>
      <c r="AR562" s="19">
        <v>0</v>
      </c>
    </row>
    <row r="563" spans="1:44" x14ac:dyDescent="0.25">
      <c r="A563" t="s">
        <v>250</v>
      </c>
      <c r="B563" t="s">
        <v>298</v>
      </c>
      <c r="C563" t="s">
        <v>44</v>
      </c>
      <c r="D563" t="s">
        <v>152</v>
      </c>
      <c r="E563" t="s">
        <v>145</v>
      </c>
      <c r="F563" t="s">
        <v>299</v>
      </c>
      <c r="G563" t="s">
        <v>31</v>
      </c>
      <c r="H563" t="s">
        <v>253</v>
      </c>
      <c r="I563" t="s">
        <v>135</v>
      </c>
      <c r="J563" t="s">
        <v>40</v>
      </c>
      <c r="K563" t="s">
        <v>31</v>
      </c>
      <c r="L563">
        <v>0.82</v>
      </c>
      <c r="M563">
        <v>1</v>
      </c>
      <c r="N563" s="2">
        <v>2.8160822667537615</v>
      </c>
      <c r="O563" s="2">
        <v>4.1746294160814488</v>
      </c>
      <c r="P563" s="1">
        <v>-1.3633570527640948</v>
      </c>
      <c r="Q563" s="1">
        <v>0.4672931329656026</v>
      </c>
      <c r="R563" s="1">
        <v>-1.7195523936223556</v>
      </c>
      <c r="S563" s="19">
        <v>3.0510345093879546E-4</v>
      </c>
      <c r="T563" s="19">
        <v>5.7174858423751228E-4</v>
      </c>
      <c r="U563" s="19">
        <v>9.7436603452459212E-4</v>
      </c>
      <c r="V563" s="19">
        <v>1.5479847386963928E-3</v>
      </c>
      <c r="W563" s="19">
        <v>2.3241297053818747E-3</v>
      </c>
      <c r="X563" s="19">
        <v>3.3248336315345262E-3</v>
      </c>
      <c r="Y563" s="19">
        <v>4.5555628631542234E-3</v>
      </c>
      <c r="Z563" s="19">
        <v>5.9982660037204453E-3</v>
      </c>
      <c r="AA563" s="19">
        <v>7.6065253100239261E-3</v>
      </c>
      <c r="AB563" s="19">
        <v>9.3052639694871514E-3</v>
      </c>
      <c r="AC563" s="19">
        <v>1.0997137705215838E-2</v>
      </c>
      <c r="AD563" s="19">
        <v>1.257620361910184E-2</v>
      </c>
      <c r="AE563" s="19">
        <v>1.394678118119114E-2</v>
      </c>
      <c r="AF563" s="19">
        <v>1.5042502569364702E-2</v>
      </c>
      <c r="AG563" s="19">
        <v>1.5839033896888115E-2</v>
      </c>
      <c r="AH563" s="19">
        <v>1.6400291807220253E-2</v>
      </c>
      <c r="AI563" s="19">
        <v>1.667332249853587E-2</v>
      </c>
      <c r="AJ563" s="19">
        <v>1.6876063294680319E-2</v>
      </c>
      <c r="AK563" s="19">
        <v>1.6874368910815386E-2</v>
      </c>
      <c r="AL563" s="19">
        <v>1.6805183998281042E-2</v>
      </c>
      <c r="AM563" s="19">
        <v>2.0788476971940893E-2</v>
      </c>
      <c r="AN563" s="19">
        <v>2.2101668518302992E-2</v>
      </c>
      <c r="AO563" s="19">
        <v>2.1945176301207608E-2</v>
      </c>
      <c r="AP563" s="19">
        <v>2.173237842928109E-2</v>
      </c>
      <c r="AQ563" s="19">
        <v>2.145124819663367E-2</v>
      </c>
      <c r="AR563" s="19">
        <v>0.29656362219036025</v>
      </c>
    </row>
    <row r="564" spans="1:44" x14ac:dyDescent="0.25">
      <c r="A564" t="s">
        <v>250</v>
      </c>
      <c r="B564" t="s">
        <v>298</v>
      </c>
      <c r="C564" t="s">
        <v>44</v>
      </c>
      <c r="D564" t="s">
        <v>152</v>
      </c>
      <c r="E564" t="s">
        <v>148</v>
      </c>
      <c r="F564" t="s">
        <v>299</v>
      </c>
      <c r="G564" t="s">
        <v>31</v>
      </c>
      <c r="H564" t="s">
        <v>253</v>
      </c>
      <c r="I564" t="s">
        <v>135</v>
      </c>
      <c r="J564" t="s">
        <v>40</v>
      </c>
      <c r="K564" t="s">
        <v>31</v>
      </c>
      <c r="L564">
        <v>0.82</v>
      </c>
      <c r="M564">
        <v>1</v>
      </c>
      <c r="N564" s="2">
        <v>2.8160822667537615</v>
      </c>
      <c r="O564" s="2">
        <v>4.1746294160814488</v>
      </c>
      <c r="P564" s="1">
        <v>-1.3633570527640948</v>
      </c>
      <c r="Q564" s="1">
        <v>0.4672931329656026</v>
      </c>
      <c r="R564" s="1">
        <v>-1.7195523936223556</v>
      </c>
      <c r="S564" s="19">
        <v>6.9206616759739351E-5</v>
      </c>
      <c r="T564" s="19">
        <v>1.7730004730666859E-4</v>
      </c>
      <c r="U564" s="19">
        <v>3.0556491593482866E-4</v>
      </c>
      <c r="V564" s="19">
        <v>4.9095897884383368E-4</v>
      </c>
      <c r="W564" s="19">
        <v>7.4551350298428395E-4</v>
      </c>
      <c r="X564" s="19">
        <v>1.0787007687336806E-3</v>
      </c>
      <c r="Y564" s="19">
        <v>1.4949552181592446E-3</v>
      </c>
      <c r="Z564" s="19">
        <v>1.9910673009252595E-3</v>
      </c>
      <c r="AA564" s="19">
        <v>2.5541092896307458E-3</v>
      </c>
      <c r="AB564" s="19">
        <v>3.1607745644648701E-3</v>
      </c>
      <c r="AC564" s="19">
        <v>3.7789811256414545E-3</v>
      </c>
      <c r="AD564" s="19">
        <v>4.3721321679033569E-3</v>
      </c>
      <c r="AE564" s="19">
        <v>4.9055154871596391E-3</v>
      </c>
      <c r="AF564" s="19">
        <v>5.3532291486716194E-3</v>
      </c>
      <c r="AG564" s="19">
        <v>5.7033167164402187E-3</v>
      </c>
      <c r="AH564" s="19">
        <v>5.9754590779326211E-3</v>
      </c>
      <c r="AI564" s="19">
        <v>6.147243860908448E-3</v>
      </c>
      <c r="AJ564" s="19">
        <v>6.296302277698858E-3</v>
      </c>
      <c r="AK564" s="19">
        <v>6.3711156821509947E-3</v>
      </c>
      <c r="AL564" s="19">
        <v>6.4212857413333078E-3</v>
      </c>
      <c r="AM564" s="19">
        <v>6.4721056615321803E-3</v>
      </c>
      <c r="AN564" s="19">
        <v>6.5235823728155718E-3</v>
      </c>
      <c r="AO564" s="19">
        <v>6.5757228844340789E-3</v>
      </c>
      <c r="AP564" s="19">
        <v>6.6285342857021331E-3</v>
      </c>
      <c r="AQ564" s="19">
        <v>6.6820237468912047E-3</v>
      </c>
      <c r="AR564" s="19">
        <v>0.10027470144095885</v>
      </c>
    </row>
    <row r="565" spans="1:44" x14ac:dyDescent="0.25">
      <c r="A565" t="s">
        <v>250</v>
      </c>
      <c r="B565" t="s">
        <v>300</v>
      </c>
      <c r="C565" t="s">
        <v>44</v>
      </c>
      <c r="D565" t="s">
        <v>152</v>
      </c>
      <c r="E565" t="s">
        <v>145</v>
      </c>
      <c r="F565" t="s">
        <v>301</v>
      </c>
      <c r="G565" t="s">
        <v>31</v>
      </c>
      <c r="H565" t="s">
        <v>288</v>
      </c>
      <c r="I565" t="s">
        <v>135</v>
      </c>
      <c r="J565" t="s">
        <v>39</v>
      </c>
      <c r="K565" t="s">
        <v>31</v>
      </c>
      <c r="L565">
        <v>2.46</v>
      </c>
      <c r="M565">
        <v>1</v>
      </c>
      <c r="N565" s="2">
        <v>1.9257476908385505</v>
      </c>
      <c r="O565" s="2">
        <v>5.411417628870181</v>
      </c>
      <c r="P565" s="1">
        <v>-0.88213896288743165</v>
      </c>
      <c r="Q565" s="1">
        <v>1.5220679573740847</v>
      </c>
      <c r="R565" s="1">
        <v>-1.8625523936223547</v>
      </c>
      <c r="S565" s="19">
        <v>0</v>
      </c>
      <c r="T565" s="19">
        <v>0</v>
      </c>
      <c r="U565" s="19">
        <v>5.9586357268059285</v>
      </c>
      <c r="V565" s="19">
        <v>11.178518250447439</v>
      </c>
      <c r="W565" s="19">
        <v>19.071317866839809</v>
      </c>
      <c r="X565" s="19">
        <v>30.332252942164121</v>
      </c>
      <c r="Y565" s="19">
        <v>45.590859699852373</v>
      </c>
      <c r="Z565" s="19">
        <v>65.293021273552014</v>
      </c>
      <c r="AA565" s="19">
        <v>89.560872528530979</v>
      </c>
      <c r="AB565" s="19">
        <v>118.05419370307293</v>
      </c>
      <c r="AC565" s="19">
        <v>149.87232290225509</v>
      </c>
      <c r="AD565" s="19">
        <v>183.54529126609711</v>
      </c>
      <c r="AE565" s="19">
        <v>217.15690288212923</v>
      </c>
      <c r="AF565" s="19">
        <v>248.61250073941557</v>
      </c>
      <c r="AG565" s="19">
        <v>276.01126957829581</v>
      </c>
      <c r="AH565" s="19">
        <v>298.02476071141893</v>
      </c>
      <c r="AI565" s="19">
        <v>314.1523897837485</v>
      </c>
      <c r="AJ565" s="19">
        <v>325.64370023827263</v>
      </c>
      <c r="AK565" s="19">
        <v>331.43066016125698</v>
      </c>
      <c r="AL565" s="19">
        <v>335.83124766127571</v>
      </c>
      <c r="AM565" s="19">
        <v>336.16842762880714</v>
      </c>
      <c r="AN565" s="19">
        <v>335.15992234592068</v>
      </c>
      <c r="AO565" s="19">
        <v>435.65958644008418</v>
      </c>
      <c r="AP565" s="19">
        <v>433.95589550735775</v>
      </c>
      <c r="AQ565" s="19">
        <v>99.282701058301996</v>
      </c>
      <c r="AR565" s="19">
        <v>4705.5472508959028</v>
      </c>
    </row>
    <row r="566" spans="1:44" x14ac:dyDescent="0.25">
      <c r="A566" t="s">
        <v>250</v>
      </c>
      <c r="B566" t="s">
        <v>300</v>
      </c>
      <c r="C566" t="s">
        <v>44</v>
      </c>
      <c r="D566" t="s">
        <v>152</v>
      </c>
      <c r="E566" t="s">
        <v>148</v>
      </c>
      <c r="F566" t="s">
        <v>301</v>
      </c>
      <c r="G566" t="s">
        <v>31</v>
      </c>
      <c r="H566" t="s">
        <v>288</v>
      </c>
      <c r="I566" t="s">
        <v>135</v>
      </c>
      <c r="J566" t="s">
        <v>39</v>
      </c>
      <c r="K566" t="s">
        <v>31</v>
      </c>
      <c r="L566">
        <v>2.46</v>
      </c>
      <c r="M566">
        <v>1</v>
      </c>
      <c r="N566" s="2">
        <v>1.9257476908385505</v>
      </c>
      <c r="O566" s="2">
        <v>5.411417628870181</v>
      </c>
      <c r="P566" s="1">
        <v>-0.88213896288743165</v>
      </c>
      <c r="Q566" s="1">
        <v>1.5220679573740847</v>
      </c>
      <c r="R566" s="1">
        <v>-1.8625523936223547</v>
      </c>
      <c r="S566" s="19">
        <v>0</v>
      </c>
      <c r="T566" s="19">
        <v>0</v>
      </c>
      <c r="U566" s="19">
        <v>1.7335861005162136</v>
      </c>
      <c r="V566" s="19">
        <v>3.2890180731722758</v>
      </c>
      <c r="W566" s="19">
        <v>5.6749275951157676</v>
      </c>
      <c r="X566" s="19">
        <v>9.128426681957226</v>
      </c>
      <c r="Y566" s="19">
        <v>13.876968775365324</v>
      </c>
      <c r="Z566" s="19">
        <v>20.10124545058332</v>
      </c>
      <c r="AA566" s="19">
        <v>27.888655495689399</v>
      </c>
      <c r="AB566" s="19">
        <v>37.18410310440003</v>
      </c>
      <c r="AC566" s="19">
        <v>47.750443693660031</v>
      </c>
      <c r="AD566" s="19">
        <v>59.155160385098647</v>
      </c>
      <c r="AE566" s="19">
        <v>70.799413626349974</v>
      </c>
      <c r="AF566" s="19">
        <v>81.997142254213969</v>
      </c>
      <c r="AG566" s="19">
        <v>92.094837388088123</v>
      </c>
      <c r="AH566" s="19">
        <v>100.60195051851748</v>
      </c>
      <c r="AI566" s="19">
        <v>107.2883962899342</v>
      </c>
      <c r="AJ566" s="19">
        <v>112.51904403696476</v>
      </c>
      <c r="AK566" s="19">
        <v>115.8669353717446</v>
      </c>
      <c r="AL566" s="19">
        <v>118.79107980188653</v>
      </c>
      <c r="AM566" s="19">
        <v>120.31723061406581</v>
      </c>
      <c r="AN566" s="19">
        <v>121.37893880452958</v>
      </c>
      <c r="AO566" s="19">
        <v>122.4534160236759</v>
      </c>
      <c r="AP566" s="19">
        <v>123.54080287928588</v>
      </c>
      <c r="AQ566" s="19">
        <v>0</v>
      </c>
      <c r="AR566" s="19">
        <v>1513.4317229648148</v>
      </c>
    </row>
    <row r="567" spans="1:44" x14ac:dyDescent="0.25">
      <c r="A567" t="s">
        <v>250</v>
      </c>
      <c r="B567" t="s">
        <v>300</v>
      </c>
      <c r="C567" t="s">
        <v>44</v>
      </c>
      <c r="D567" t="s">
        <v>152</v>
      </c>
      <c r="E567" t="s">
        <v>145</v>
      </c>
      <c r="F567" t="s">
        <v>301</v>
      </c>
      <c r="G567" t="s">
        <v>31</v>
      </c>
      <c r="H567" t="s">
        <v>289</v>
      </c>
      <c r="I567" t="s">
        <v>135</v>
      </c>
      <c r="J567" t="s">
        <v>39</v>
      </c>
      <c r="K567" t="s">
        <v>31</v>
      </c>
      <c r="L567">
        <v>2.46</v>
      </c>
      <c r="M567">
        <v>1</v>
      </c>
      <c r="N567" s="2">
        <v>1.9257476908385505</v>
      </c>
      <c r="O567" s="2">
        <v>5.411417628870181</v>
      </c>
      <c r="P567" s="1">
        <v>-0.88213896288743165</v>
      </c>
      <c r="Q567" s="1">
        <v>1.5220679573740847</v>
      </c>
      <c r="R567" s="1">
        <v>-1.8625523936223547</v>
      </c>
      <c r="S567" s="19">
        <v>0</v>
      </c>
      <c r="T567" s="19">
        <v>0</v>
      </c>
      <c r="U567" s="19">
        <v>5.6634249622770154</v>
      </c>
      <c r="V567" s="19">
        <v>10.624697028557788</v>
      </c>
      <c r="W567" s="19">
        <v>18.126460925389949</v>
      </c>
      <c r="X567" s="19">
        <v>28.829491573373321</v>
      </c>
      <c r="Y567" s="19">
        <v>43.332135863626483</v>
      </c>
      <c r="Z567" s="19">
        <v>62.058186386456129</v>
      </c>
      <c r="AA567" s="19">
        <v>85.123727036974515</v>
      </c>
      <c r="AB567" s="19">
        <v>112.20539367957996</v>
      </c>
      <c r="AC567" s="19">
        <v>142.447146225208</v>
      </c>
      <c r="AD567" s="19">
        <v>174.45184299293149</v>
      </c>
      <c r="AE567" s="19">
        <v>206.39822283156539</v>
      </c>
      <c r="AF567" s="19">
        <v>236.2954050517975</v>
      </c>
      <c r="AG567" s="19">
        <v>262.3367471462152</v>
      </c>
      <c r="AH567" s="19">
        <v>283.25961622333239</v>
      </c>
      <c r="AI567" s="19">
        <v>298.58822855311081</v>
      </c>
      <c r="AJ567" s="19">
        <v>309.51022101266886</v>
      </c>
      <c r="AK567" s="19">
        <v>315.0104755652481</v>
      </c>
      <c r="AL567" s="19">
        <v>319.19304322652869</v>
      </c>
      <c r="AM567" s="19">
        <v>319.51351816952723</v>
      </c>
      <c r="AN567" s="19">
        <v>318.55497761501869</v>
      </c>
      <c r="AO567" s="19">
        <v>414.07555185835258</v>
      </c>
      <c r="AP567" s="19">
        <v>412.45626747870671</v>
      </c>
      <c r="AQ567" s="19">
        <v>94.363903630886298</v>
      </c>
      <c r="AR567" s="19">
        <v>4472.4186850373326</v>
      </c>
    </row>
    <row r="568" spans="1:44" x14ac:dyDescent="0.25">
      <c r="A568" t="s">
        <v>250</v>
      </c>
      <c r="B568" t="s">
        <v>300</v>
      </c>
      <c r="C568" t="s">
        <v>44</v>
      </c>
      <c r="D568" t="s">
        <v>152</v>
      </c>
      <c r="E568" t="s">
        <v>148</v>
      </c>
      <c r="F568" t="s">
        <v>301</v>
      </c>
      <c r="G568" t="s">
        <v>31</v>
      </c>
      <c r="H568" t="s">
        <v>289</v>
      </c>
      <c r="I568" t="s">
        <v>135</v>
      </c>
      <c r="J568" t="s">
        <v>39</v>
      </c>
      <c r="K568" t="s">
        <v>31</v>
      </c>
      <c r="L568">
        <v>2.46</v>
      </c>
      <c r="M568">
        <v>1</v>
      </c>
      <c r="N568" s="2">
        <v>1.9257476908385505</v>
      </c>
      <c r="O568" s="2">
        <v>5.411417628870181</v>
      </c>
      <c r="P568" s="1">
        <v>-0.88213896288743165</v>
      </c>
      <c r="Q568" s="1">
        <v>1.5220679573740847</v>
      </c>
      <c r="R568" s="1">
        <v>-1.8625523936223547</v>
      </c>
      <c r="S568" s="19">
        <v>0</v>
      </c>
      <c r="T568" s="19">
        <v>0</v>
      </c>
      <c r="U568" s="19">
        <v>1.6476984407273001</v>
      </c>
      <c r="V568" s="19">
        <v>3.1260691055818146</v>
      </c>
      <c r="W568" s="19">
        <v>5.3937726813384526</v>
      </c>
      <c r="X568" s="19">
        <v>8.6761738604593308</v>
      </c>
      <c r="Y568" s="19">
        <v>13.189457279555867</v>
      </c>
      <c r="Z568" s="19">
        <v>19.105362448245369</v>
      </c>
      <c r="AA568" s="19">
        <v>26.506958126016649</v>
      </c>
      <c r="AB568" s="19">
        <v>35.341878137300746</v>
      </c>
      <c r="AC568" s="19">
        <v>45.384726835691303</v>
      </c>
      <c r="AD568" s="19">
        <v>56.224415677118913</v>
      </c>
      <c r="AE568" s="19">
        <v>67.291773625668853</v>
      </c>
      <c r="AF568" s="19">
        <v>77.934729285225458</v>
      </c>
      <c r="AG568" s="19">
        <v>87.532150793202362</v>
      </c>
      <c r="AH568" s="19">
        <v>95.617793055750781</v>
      </c>
      <c r="AI568" s="19">
        <v>101.97296991618208</v>
      </c>
      <c r="AJ568" s="19">
        <v>106.94447386064552</v>
      </c>
      <c r="AK568" s="19">
        <v>110.1264994493344</v>
      </c>
      <c r="AL568" s="19">
        <v>112.90577197382586</v>
      </c>
      <c r="AM568" s="19">
        <v>114.35631216493309</v>
      </c>
      <c r="AN568" s="19">
        <v>115.36541977684298</v>
      </c>
      <c r="AO568" s="19">
        <v>116.38666379700426</v>
      </c>
      <c r="AP568" s="19">
        <v>117.42017786701324</v>
      </c>
      <c r="AQ568" s="19">
        <v>0</v>
      </c>
      <c r="AR568" s="19">
        <v>1438.4512481576646</v>
      </c>
    </row>
    <row r="569" spans="1:44" x14ac:dyDescent="0.25">
      <c r="A569" t="s">
        <v>250</v>
      </c>
      <c r="B569" t="s">
        <v>300</v>
      </c>
      <c r="C569" t="s">
        <v>44</v>
      </c>
      <c r="D569" t="s">
        <v>152</v>
      </c>
      <c r="E569" t="s">
        <v>145</v>
      </c>
      <c r="F569" t="s">
        <v>301</v>
      </c>
      <c r="G569" t="s">
        <v>31</v>
      </c>
      <c r="H569" t="s">
        <v>290</v>
      </c>
      <c r="I569" t="s">
        <v>135</v>
      </c>
      <c r="J569" t="s">
        <v>39</v>
      </c>
      <c r="K569" t="s">
        <v>31</v>
      </c>
      <c r="L569">
        <v>2.46</v>
      </c>
      <c r="M569">
        <v>1</v>
      </c>
      <c r="N569" s="2">
        <v>1.9257476908385505</v>
      </c>
      <c r="O569" s="2">
        <v>5.411417628870181</v>
      </c>
      <c r="P569" s="1">
        <v>-0.88213896288743165</v>
      </c>
      <c r="Q569" s="1">
        <v>1.5220679573740847</v>
      </c>
      <c r="R569" s="1">
        <v>-1.8625523936223547</v>
      </c>
      <c r="S569" s="19">
        <v>0</v>
      </c>
      <c r="T569" s="19">
        <v>0</v>
      </c>
      <c r="U569" s="19">
        <v>8.2010250795182831</v>
      </c>
      <c r="V569" s="19">
        <v>15.385284942215112</v>
      </c>
      <c r="W569" s="19">
        <v>26.248350007671551</v>
      </c>
      <c r="X569" s="19">
        <v>41.747067366093759</v>
      </c>
      <c r="Y569" s="19">
        <v>62.747884069045107</v>
      </c>
      <c r="Z569" s="19">
        <v>89.864480651673333</v>
      </c>
      <c r="AA569" s="19">
        <v>123.26495450053956</v>
      </c>
      <c r="AB569" s="19">
        <v>162.4810523230602</v>
      </c>
      <c r="AC569" s="19">
        <v>206.27316976564151</v>
      </c>
      <c r="AD569" s="19">
        <v>252.61815051540839</v>
      </c>
      <c r="AE569" s="19">
        <v>298.87868437990539</v>
      </c>
      <c r="AF569" s="19">
        <v>342.17184052273416</v>
      </c>
      <c r="AG569" s="19">
        <v>379.88147754329214</v>
      </c>
      <c r="AH569" s="19">
        <v>410.17921701716818</v>
      </c>
      <c r="AI569" s="19">
        <v>432.37609169778261</v>
      </c>
      <c r="AJ569" s="19">
        <v>448.19188067278691</v>
      </c>
      <c r="AK569" s="19">
        <v>456.15662388557627</v>
      </c>
      <c r="AL569" s="19">
        <v>462.21326673251417</v>
      </c>
      <c r="AM569" s="19">
        <v>462.67733627742638</v>
      </c>
      <c r="AN569" s="19">
        <v>461.28930426859398</v>
      </c>
      <c r="AO569" s="19">
        <v>599.60960165002211</v>
      </c>
      <c r="AP569" s="19">
        <v>597.26476757933347</v>
      </c>
      <c r="AQ569" s="19">
        <v>136.64535955412543</v>
      </c>
      <c r="AR569" s="19">
        <v>6476.3668710021275</v>
      </c>
    </row>
    <row r="570" spans="1:44" x14ac:dyDescent="0.25">
      <c r="A570" t="s">
        <v>250</v>
      </c>
      <c r="B570" t="s">
        <v>300</v>
      </c>
      <c r="C570" t="s">
        <v>44</v>
      </c>
      <c r="D570" t="s">
        <v>152</v>
      </c>
      <c r="E570" t="s">
        <v>148</v>
      </c>
      <c r="F570" t="s">
        <v>301</v>
      </c>
      <c r="G570" t="s">
        <v>31</v>
      </c>
      <c r="H570" t="s">
        <v>290</v>
      </c>
      <c r="I570" t="s">
        <v>135</v>
      </c>
      <c r="J570" t="s">
        <v>39</v>
      </c>
      <c r="K570" t="s">
        <v>31</v>
      </c>
      <c r="L570">
        <v>2.46</v>
      </c>
      <c r="M570">
        <v>1</v>
      </c>
      <c r="N570" s="2">
        <v>1.9257476908385505</v>
      </c>
      <c r="O570" s="2">
        <v>5.411417628870181</v>
      </c>
      <c r="P570" s="1">
        <v>-0.88213896288743165</v>
      </c>
      <c r="Q570" s="1">
        <v>1.5220679573740847</v>
      </c>
      <c r="R570" s="1">
        <v>-1.8625523936223547</v>
      </c>
      <c r="S570" s="19">
        <v>0</v>
      </c>
      <c r="T570" s="19">
        <v>0</v>
      </c>
      <c r="U570" s="19">
        <v>2.385979566409703</v>
      </c>
      <c r="V570" s="19">
        <v>4.5267609804926829</v>
      </c>
      <c r="W570" s="19">
        <v>7.8105502107849745</v>
      </c>
      <c r="X570" s="19">
        <v>12.5636906814919</v>
      </c>
      <c r="Y570" s="19">
        <v>19.099232470695998</v>
      </c>
      <c r="Z570" s="19">
        <v>27.665866085449423</v>
      </c>
      <c r="AA570" s="19">
        <v>38.383880747278589</v>
      </c>
      <c r="AB570" s="19">
        <v>51.177446667316886</v>
      </c>
      <c r="AC570" s="19">
        <v>65.720175597938237</v>
      </c>
      <c r="AD570" s="19">
        <v>81.416783328215175</v>
      </c>
      <c r="AE570" s="19">
        <v>97.44307143207881</v>
      </c>
      <c r="AF570" s="19">
        <v>112.85479611557084</v>
      </c>
      <c r="AG570" s="19">
        <v>126.75251613656155</v>
      </c>
      <c r="AH570" s="19">
        <v>138.46107684335277</v>
      </c>
      <c r="AI570" s="19">
        <v>147.66380578641127</v>
      </c>
      <c r="AJ570" s="19">
        <v>154.86288210560244</v>
      </c>
      <c r="AK570" s="19">
        <v>159.47067188481429</v>
      </c>
      <c r="AL570" s="19">
        <v>163.49524779568017</v>
      </c>
      <c r="AM570" s="19">
        <v>165.59572878825068</v>
      </c>
      <c r="AN570" s="19">
        <v>167.05698534030859</v>
      </c>
      <c r="AO570" s="19">
        <v>168.53581623811951</v>
      </c>
      <c r="AP570" s="19">
        <v>170.03241500382006</v>
      </c>
      <c r="AQ570" s="19">
        <v>0</v>
      </c>
      <c r="AR570" s="19">
        <v>2082.9753798066445</v>
      </c>
    </row>
    <row r="571" spans="1:44" x14ac:dyDescent="0.25">
      <c r="A571" t="s">
        <v>250</v>
      </c>
      <c r="B571" t="s">
        <v>300</v>
      </c>
      <c r="C571" t="s">
        <v>44</v>
      </c>
      <c r="D571" t="s">
        <v>152</v>
      </c>
      <c r="E571" t="s">
        <v>145</v>
      </c>
      <c r="F571" t="s">
        <v>301</v>
      </c>
      <c r="G571" t="s">
        <v>31</v>
      </c>
      <c r="H571" t="s">
        <v>272</v>
      </c>
      <c r="I571" t="s">
        <v>135</v>
      </c>
      <c r="J571" t="s">
        <v>39</v>
      </c>
      <c r="K571" t="s">
        <v>31</v>
      </c>
      <c r="L571">
        <v>2.46</v>
      </c>
      <c r="M571">
        <v>1</v>
      </c>
      <c r="N571" s="2">
        <v>1.9257476908385505</v>
      </c>
      <c r="O571" s="2">
        <v>5.411417628870181</v>
      </c>
      <c r="P571" s="1">
        <v>-0.88213896288743165</v>
      </c>
      <c r="Q571" s="1">
        <v>1.5220679573740847</v>
      </c>
      <c r="R571" s="1">
        <v>-1.8625523936223547</v>
      </c>
      <c r="S571" s="19">
        <v>0</v>
      </c>
      <c r="T571" s="19">
        <v>0</v>
      </c>
      <c r="U571" s="19">
        <v>0.54004279886978146</v>
      </c>
      <c r="V571" s="19">
        <v>1.0115050642570329</v>
      </c>
      <c r="W571" s="19">
        <v>1.7229275046429036</v>
      </c>
      <c r="X571" s="19">
        <v>2.7358573327459794</v>
      </c>
      <c r="Y571" s="19">
        <v>4.105528178438842</v>
      </c>
      <c r="Z571" s="19">
        <v>5.8703027348701724</v>
      </c>
      <c r="AA571" s="19">
        <v>8.0392313667900179</v>
      </c>
      <c r="AB571" s="19">
        <v>10.579864588905696</v>
      </c>
      <c r="AC571" s="19">
        <v>13.409809445489596</v>
      </c>
      <c r="AD571" s="19">
        <v>16.396339172404858</v>
      </c>
      <c r="AE571" s="19">
        <v>19.367776429389743</v>
      </c>
      <c r="AF571" s="19">
        <v>22.137652416524016</v>
      </c>
      <c r="AG571" s="19">
        <v>24.537928410414121</v>
      </c>
      <c r="AH571" s="19">
        <v>26.452450256984701</v>
      </c>
      <c r="AI571" s="19">
        <v>27.839177774397733</v>
      </c>
      <c r="AJ571" s="19">
        <v>28.811189937549724</v>
      </c>
      <c r="AK571" s="19">
        <v>29.276130515166933</v>
      </c>
      <c r="AL571" s="19">
        <v>29.617239258712218</v>
      </c>
      <c r="AM571" s="19">
        <v>29.599397548315402</v>
      </c>
      <c r="AN571" s="19">
        <v>29.463240319593151</v>
      </c>
      <c r="AO571" s="19">
        <v>39.570390718349969</v>
      </c>
      <c r="AP571" s="19">
        <v>39.348864202323576</v>
      </c>
      <c r="AQ571" s="19">
        <v>9.987379824917916</v>
      </c>
      <c r="AR571" s="19">
        <v>420.42022580005403</v>
      </c>
    </row>
    <row r="572" spans="1:44" x14ac:dyDescent="0.25">
      <c r="A572" t="s">
        <v>250</v>
      </c>
      <c r="B572" t="s">
        <v>300</v>
      </c>
      <c r="C572" t="s">
        <v>44</v>
      </c>
      <c r="D572" t="s">
        <v>152</v>
      </c>
      <c r="E572" t="s">
        <v>148</v>
      </c>
      <c r="F572" t="s">
        <v>301</v>
      </c>
      <c r="G572" t="s">
        <v>31</v>
      </c>
      <c r="H572" t="s">
        <v>272</v>
      </c>
      <c r="I572" t="s">
        <v>135</v>
      </c>
      <c r="J572" t="s">
        <v>39</v>
      </c>
      <c r="K572" t="s">
        <v>31</v>
      </c>
      <c r="L572">
        <v>2.46</v>
      </c>
      <c r="M572">
        <v>1</v>
      </c>
      <c r="N572" s="2">
        <v>1.9257476908385505</v>
      </c>
      <c r="O572" s="2">
        <v>5.411417628870181</v>
      </c>
      <c r="P572" s="1">
        <v>-0.88213896288743165</v>
      </c>
      <c r="Q572" s="1">
        <v>1.5220679573740847</v>
      </c>
      <c r="R572" s="1">
        <v>-1.8625523936223547</v>
      </c>
      <c r="S572" s="19">
        <v>0</v>
      </c>
      <c r="T572" s="19">
        <v>0</v>
      </c>
      <c r="U572" s="19">
        <v>0.17493271045756631</v>
      </c>
      <c r="V572" s="19">
        <v>0.33137077941062726</v>
      </c>
      <c r="W572" s="19">
        <v>0.57087142842786087</v>
      </c>
      <c r="X572" s="19">
        <v>0.91687811890283077</v>
      </c>
      <c r="Y572" s="19">
        <v>1.3917319879366583</v>
      </c>
      <c r="Z572" s="19">
        <v>2.0129680369616878</v>
      </c>
      <c r="AA572" s="19">
        <v>2.7887010544440227</v>
      </c>
      <c r="AB572" s="19">
        <v>3.7127840095163425</v>
      </c>
      <c r="AC572" s="19">
        <v>4.7609679603542636</v>
      </c>
      <c r="AD572" s="19">
        <v>5.8897030623556992</v>
      </c>
      <c r="AE572" s="19">
        <v>7.0391584876960165</v>
      </c>
      <c r="AF572" s="19">
        <v>8.1411823155665637</v>
      </c>
      <c r="AG572" s="19">
        <v>9.1312251281438712</v>
      </c>
      <c r="AH572" s="19">
        <v>9.9612179908256984</v>
      </c>
      <c r="AI572" s="19">
        <v>10.609094267531091</v>
      </c>
      <c r="AJ572" s="19">
        <v>11.111643228097206</v>
      </c>
      <c r="AK572" s="19">
        <v>11.427352348352777</v>
      </c>
      <c r="AL572" s="19">
        <v>11.700673711084768</v>
      </c>
      <c r="AM572" s="19">
        <v>11.835942747929176</v>
      </c>
      <c r="AN572" s="19">
        <v>11.925411041267491</v>
      </c>
      <c r="AO572" s="19">
        <v>12.016081672952303</v>
      </c>
      <c r="AP572" s="19">
        <v>12.107967210922457</v>
      </c>
      <c r="AQ572" s="19">
        <v>0</v>
      </c>
      <c r="AR572" s="19">
        <v>149.55785929913699</v>
      </c>
    </row>
    <row r="573" spans="1:44" x14ac:dyDescent="0.25">
      <c r="A573" t="s">
        <v>250</v>
      </c>
      <c r="B573" t="s">
        <v>300</v>
      </c>
      <c r="C573" t="s">
        <v>44</v>
      </c>
      <c r="D573" t="s">
        <v>152</v>
      </c>
      <c r="E573" t="s">
        <v>145</v>
      </c>
      <c r="F573" t="s">
        <v>301</v>
      </c>
      <c r="G573" t="s">
        <v>31</v>
      </c>
      <c r="H573" t="s">
        <v>273</v>
      </c>
      <c r="I573" t="s">
        <v>135</v>
      </c>
      <c r="J573" t="s">
        <v>39</v>
      </c>
      <c r="K573" t="s">
        <v>31</v>
      </c>
      <c r="L573">
        <v>2.46</v>
      </c>
      <c r="M573">
        <v>1</v>
      </c>
      <c r="N573" s="2">
        <v>1.9257476908385505</v>
      </c>
      <c r="O573" s="2">
        <v>5.411417628870181</v>
      </c>
      <c r="P573" s="1">
        <v>-0.88213896288743165</v>
      </c>
      <c r="Q573" s="1">
        <v>1.5220679573740847</v>
      </c>
      <c r="R573" s="1">
        <v>-1.8625523936223547</v>
      </c>
      <c r="S573" s="19">
        <v>0</v>
      </c>
      <c r="T573" s="19">
        <v>0</v>
      </c>
      <c r="U573" s="19">
        <v>0.16242140767875543</v>
      </c>
      <c r="V573" s="19">
        <v>0.30421677088306454</v>
      </c>
      <c r="W573" s="19">
        <v>0.51818172785231931</v>
      </c>
      <c r="X573" s="19">
        <v>0.82282700579069201</v>
      </c>
      <c r="Y573" s="19">
        <v>1.2347644805233715</v>
      </c>
      <c r="Z573" s="19">
        <v>1.7655319831937362</v>
      </c>
      <c r="AA573" s="19">
        <v>2.4178514702574327</v>
      </c>
      <c r="AB573" s="19">
        <v>3.1819635465503744</v>
      </c>
      <c r="AC573" s="19">
        <v>4.03308799117137</v>
      </c>
      <c r="AD573" s="19">
        <v>4.9313063607806091</v>
      </c>
      <c r="AE573" s="19">
        <v>5.824985571240668</v>
      </c>
      <c r="AF573" s="19">
        <v>6.6580439100750484</v>
      </c>
      <c r="AG573" s="19">
        <v>7.379942630993197</v>
      </c>
      <c r="AH573" s="19">
        <v>7.9557476116401187</v>
      </c>
      <c r="AI573" s="19">
        <v>8.3728149920708344</v>
      </c>
      <c r="AJ573" s="19">
        <v>8.6651540143676318</v>
      </c>
      <c r="AK573" s="19">
        <v>8.8049879372744879</v>
      </c>
      <c r="AL573" s="19">
        <v>8.9075786252979352</v>
      </c>
      <c r="AM573" s="19">
        <v>8.9022126140778735</v>
      </c>
      <c r="AN573" s="19">
        <v>8.8612624360531118</v>
      </c>
      <c r="AO573" s="19">
        <v>11.901054094830144</v>
      </c>
      <c r="AP573" s="19">
        <v>11.834428544695148</v>
      </c>
      <c r="AQ573" s="19">
        <v>3.0037698744997279</v>
      </c>
      <c r="AR573" s="19">
        <v>126.44413560179764</v>
      </c>
    </row>
    <row r="574" spans="1:44" x14ac:dyDescent="0.25">
      <c r="A574" t="s">
        <v>250</v>
      </c>
      <c r="B574" t="s">
        <v>300</v>
      </c>
      <c r="C574" t="s">
        <v>44</v>
      </c>
      <c r="D574" t="s">
        <v>152</v>
      </c>
      <c r="E574" t="s">
        <v>148</v>
      </c>
      <c r="F574" t="s">
        <v>301</v>
      </c>
      <c r="G574" t="s">
        <v>31</v>
      </c>
      <c r="H574" t="s">
        <v>273</v>
      </c>
      <c r="I574" t="s">
        <v>135</v>
      </c>
      <c r="J574" t="s">
        <v>39</v>
      </c>
      <c r="K574" t="s">
        <v>31</v>
      </c>
      <c r="L574">
        <v>2.46</v>
      </c>
      <c r="M574">
        <v>1</v>
      </c>
      <c r="N574" s="2">
        <v>1.9257476908385505</v>
      </c>
      <c r="O574" s="2">
        <v>5.411417628870181</v>
      </c>
      <c r="P574" s="1">
        <v>-0.88213896288743165</v>
      </c>
      <c r="Q574" s="1">
        <v>1.5220679573740847</v>
      </c>
      <c r="R574" s="1">
        <v>-1.8625523936223547</v>
      </c>
      <c r="S574" s="19">
        <v>0</v>
      </c>
      <c r="T574" s="19">
        <v>0</v>
      </c>
      <c r="U574" s="19">
        <v>5.2612158038290738E-2</v>
      </c>
      <c r="V574" s="19">
        <v>9.9661931550834262E-2</v>
      </c>
      <c r="W574" s="19">
        <v>0.17169331986813963</v>
      </c>
      <c r="X574" s="19">
        <v>0.27575709749988986</v>
      </c>
      <c r="Y574" s="19">
        <v>0.4185725077073591</v>
      </c>
      <c r="Z574" s="19">
        <v>0.60541331698136203</v>
      </c>
      <c r="AA574" s="19">
        <v>0.83872010108452155</v>
      </c>
      <c r="AB574" s="19">
        <v>1.116644100235884</v>
      </c>
      <c r="AC574" s="19">
        <v>1.4318922864123862</v>
      </c>
      <c r="AD574" s="19">
        <v>1.7713667587082498</v>
      </c>
      <c r="AE574" s="19">
        <v>2.1170730039141112</v>
      </c>
      <c r="AF574" s="19">
        <v>2.4485138856236692</v>
      </c>
      <c r="AG574" s="19">
        <v>2.746275743790374</v>
      </c>
      <c r="AH574" s="19">
        <v>2.9959015316024655</v>
      </c>
      <c r="AI574" s="19">
        <v>3.1907545637776717</v>
      </c>
      <c r="AJ574" s="19">
        <v>3.3418994540964921</v>
      </c>
      <c r="AK574" s="19">
        <v>3.4368510391120135</v>
      </c>
      <c r="AL574" s="19">
        <v>3.5190542285194981</v>
      </c>
      <c r="AM574" s="19">
        <v>3.5597372770215365</v>
      </c>
      <c r="AN574" s="19">
        <v>3.5866454520348121</v>
      </c>
      <c r="AO574" s="19">
        <v>3.613915238178004</v>
      </c>
      <c r="AP574" s="19">
        <v>3.6415504153411273</v>
      </c>
      <c r="AQ574" s="19">
        <v>0</v>
      </c>
      <c r="AR574" s="19">
        <v>44.980505411098697</v>
      </c>
    </row>
    <row r="575" spans="1:44" x14ac:dyDescent="0.25">
      <c r="A575" t="s">
        <v>250</v>
      </c>
      <c r="B575" t="s">
        <v>300</v>
      </c>
      <c r="C575" t="s">
        <v>44</v>
      </c>
      <c r="D575" t="s">
        <v>152</v>
      </c>
      <c r="E575" t="s">
        <v>145</v>
      </c>
      <c r="F575" t="s">
        <v>301</v>
      </c>
      <c r="G575" t="s">
        <v>31</v>
      </c>
      <c r="H575" t="s">
        <v>274</v>
      </c>
      <c r="I575" t="s">
        <v>135</v>
      </c>
      <c r="J575" t="s">
        <v>39</v>
      </c>
      <c r="K575" t="s">
        <v>31</v>
      </c>
      <c r="L575">
        <v>2.46</v>
      </c>
      <c r="M575">
        <v>1</v>
      </c>
      <c r="N575" s="2">
        <v>1.9257476908385505</v>
      </c>
      <c r="O575" s="2">
        <v>5.411417628870181</v>
      </c>
      <c r="P575" s="1">
        <v>-0.88213896288743165</v>
      </c>
      <c r="Q575" s="1">
        <v>1.5220679573740847</v>
      </c>
      <c r="R575" s="1">
        <v>-1.8625523936223547</v>
      </c>
      <c r="S575" s="19">
        <v>0</v>
      </c>
      <c r="T575" s="19">
        <v>0</v>
      </c>
      <c r="U575" s="19">
        <v>0.2556803805579253</v>
      </c>
      <c r="V575" s="19">
        <v>0.47889167359838719</v>
      </c>
      <c r="W575" s="19">
        <v>0.8157108306651728</v>
      </c>
      <c r="X575" s="19">
        <v>1.2952770511015581</v>
      </c>
      <c r="Y575" s="19">
        <v>1.943740402152164</v>
      </c>
      <c r="Z575" s="19">
        <v>2.779263496121068</v>
      </c>
      <c r="AA575" s="19">
        <v>3.8061311798913762</v>
      </c>
      <c r="AB575" s="19">
        <v>5.0089804178557138</v>
      </c>
      <c r="AC575" s="19">
        <v>6.3488027049107529</v>
      </c>
      <c r="AD575" s="19">
        <v>7.7627592630267603</v>
      </c>
      <c r="AE575" s="19">
        <v>9.1695703718127621</v>
      </c>
      <c r="AF575" s="19">
        <v>10.480953373254316</v>
      </c>
      <c r="AG575" s="19">
        <v>11.617351230694965</v>
      </c>
      <c r="AH575" s="19">
        <v>12.523771379879593</v>
      </c>
      <c r="AI575" s="19">
        <v>13.180310121113328</v>
      </c>
      <c r="AJ575" s="19">
        <v>13.640504091483368</v>
      </c>
      <c r="AK575" s="19">
        <v>13.860627726259674</v>
      </c>
      <c r="AL575" s="19">
        <v>14.022123840167357</v>
      </c>
      <c r="AM575" s="19">
        <v>14.013676777613036</v>
      </c>
      <c r="AN575" s="19">
        <v>13.949213864436013</v>
      </c>
      <c r="AO575" s="19">
        <v>18.734390272155181</v>
      </c>
      <c r="AP575" s="19">
        <v>18.629509725576643</v>
      </c>
      <c r="AQ575" s="19">
        <v>4.7284716688302781</v>
      </c>
      <c r="AR575" s="19">
        <v>199.04571184315739</v>
      </c>
    </row>
    <row r="576" spans="1:44" x14ac:dyDescent="0.25">
      <c r="A576" t="s">
        <v>250</v>
      </c>
      <c r="B576" t="s">
        <v>300</v>
      </c>
      <c r="C576" t="s">
        <v>44</v>
      </c>
      <c r="D576" t="s">
        <v>152</v>
      </c>
      <c r="E576" t="s">
        <v>148</v>
      </c>
      <c r="F576" t="s">
        <v>301</v>
      </c>
      <c r="G576" t="s">
        <v>31</v>
      </c>
      <c r="H576" t="s">
        <v>274</v>
      </c>
      <c r="I576" t="s">
        <v>135</v>
      </c>
      <c r="J576" t="s">
        <v>39</v>
      </c>
      <c r="K576" t="s">
        <v>31</v>
      </c>
      <c r="L576">
        <v>2.46</v>
      </c>
      <c r="M576">
        <v>1</v>
      </c>
      <c r="N576" s="2">
        <v>1.9257476908385505</v>
      </c>
      <c r="O576" s="2">
        <v>5.411417628870181</v>
      </c>
      <c r="P576" s="1">
        <v>-0.88213896288743165</v>
      </c>
      <c r="Q576" s="1">
        <v>1.5220679573740847</v>
      </c>
      <c r="R576" s="1">
        <v>-1.8625523936223547</v>
      </c>
      <c r="S576" s="19">
        <v>0</v>
      </c>
      <c r="T576" s="19">
        <v>0</v>
      </c>
      <c r="U576" s="19">
        <v>8.2820958034113684E-2</v>
      </c>
      <c r="V576" s="19">
        <v>0.15688572676610246</v>
      </c>
      <c r="W576" s="19">
        <v>0.27027603066933498</v>
      </c>
      <c r="X576" s="19">
        <v>0.43409105140727217</v>
      </c>
      <c r="Y576" s="19">
        <v>0.65890808109095855</v>
      </c>
      <c r="Z576" s="19">
        <v>0.95302897255260577</v>
      </c>
      <c r="AA576" s="19">
        <v>1.3202956290774703</v>
      </c>
      <c r="AB576" s="19">
        <v>1.7577977717121938</v>
      </c>
      <c r="AC576" s="19">
        <v>2.2540548683827333</v>
      </c>
      <c r="AD576" s="19">
        <v>2.788448477616666</v>
      </c>
      <c r="AE576" s="19">
        <v>3.3326520133372468</v>
      </c>
      <c r="AF576" s="19">
        <v>3.8543993124097295</v>
      </c>
      <c r="AG576" s="19">
        <v>4.323129797508682</v>
      </c>
      <c r="AH576" s="19">
        <v>4.7160854881223528</v>
      </c>
      <c r="AI576" s="19">
        <v>5.0228190531827677</v>
      </c>
      <c r="AJ576" s="19">
        <v>5.2607481761252366</v>
      </c>
      <c r="AK576" s="19">
        <v>5.4102189739610695</v>
      </c>
      <c r="AL576" s="19">
        <v>5.5396215142489886</v>
      </c>
      <c r="AM576" s="19">
        <v>5.6036639177222662</v>
      </c>
      <c r="AN576" s="19">
        <v>5.6460222036516594</v>
      </c>
      <c r="AO576" s="19">
        <v>5.688949730253424</v>
      </c>
      <c r="AP576" s="19">
        <v>5.7324524477513066</v>
      </c>
      <c r="AQ576" s="19">
        <v>0</v>
      </c>
      <c r="AR576" s="19">
        <v>70.807370195584184</v>
      </c>
    </row>
    <row r="577" spans="1:44" x14ac:dyDescent="0.25">
      <c r="A577" t="s">
        <v>250</v>
      </c>
      <c r="B577" t="s">
        <v>300</v>
      </c>
      <c r="C577" t="s">
        <v>44</v>
      </c>
      <c r="D577" t="s">
        <v>152</v>
      </c>
      <c r="E577" t="s">
        <v>145</v>
      </c>
      <c r="F577" t="s">
        <v>301</v>
      </c>
      <c r="G577" t="s">
        <v>31</v>
      </c>
      <c r="H577" t="s">
        <v>275</v>
      </c>
      <c r="I577" t="s">
        <v>135</v>
      </c>
      <c r="J577" t="s">
        <v>39</v>
      </c>
      <c r="K577" t="s">
        <v>31</v>
      </c>
      <c r="L577">
        <v>2.46</v>
      </c>
      <c r="M577">
        <v>1</v>
      </c>
      <c r="N577" s="2">
        <v>1.9257476908385505</v>
      </c>
      <c r="O577" s="2">
        <v>5.411417628870181</v>
      </c>
      <c r="P577" s="1">
        <v>-0.88213896288743165</v>
      </c>
      <c r="Q577" s="1">
        <v>1.5220679573740847</v>
      </c>
      <c r="R577" s="1">
        <v>-1.8625523936223547</v>
      </c>
      <c r="S577" s="19">
        <v>0</v>
      </c>
      <c r="T577" s="19">
        <v>0</v>
      </c>
      <c r="U577" s="19">
        <v>0.39059969554454338</v>
      </c>
      <c r="V577" s="19">
        <v>0.73159677523230571</v>
      </c>
      <c r="W577" s="19">
        <v>1.2461511572180228</v>
      </c>
      <c r="X577" s="19">
        <v>1.9787784291547601</v>
      </c>
      <c r="Y577" s="19">
        <v>2.9694277192545817</v>
      </c>
      <c r="Z577" s="19">
        <v>4.2458458214669728</v>
      </c>
      <c r="AA577" s="19">
        <v>5.8145786423818056</v>
      </c>
      <c r="AB577" s="19">
        <v>7.652156266091632</v>
      </c>
      <c r="AC577" s="19">
        <v>9.6989858908970792</v>
      </c>
      <c r="AD577" s="19">
        <v>11.859069507434874</v>
      </c>
      <c r="AE577" s="19">
        <v>14.008237111071177</v>
      </c>
      <c r="AF577" s="19">
        <v>16.011620397608926</v>
      </c>
      <c r="AG577" s="19">
        <v>17.747681084647944</v>
      </c>
      <c r="AH577" s="19">
        <v>19.13240772473813</v>
      </c>
      <c r="AI577" s="19">
        <v>20.135393686662557</v>
      </c>
      <c r="AJ577" s="19">
        <v>20.838426216283061</v>
      </c>
      <c r="AK577" s="19">
        <v>21.174706319348324</v>
      </c>
      <c r="AL577" s="19">
        <v>21.421421897549195</v>
      </c>
      <c r="AM577" s="19">
        <v>21.408517426526576</v>
      </c>
      <c r="AN577" s="19">
        <v>21.310038246364549</v>
      </c>
      <c r="AO577" s="19">
        <v>28.620291946329587</v>
      </c>
      <c r="AP577" s="19">
        <v>28.460067256923537</v>
      </c>
      <c r="AQ577" s="19">
        <v>7.2236265849020045</v>
      </c>
      <c r="AR577" s="19">
        <v>304.0796258036321</v>
      </c>
    </row>
    <row r="578" spans="1:44" x14ac:dyDescent="0.25">
      <c r="A578" t="s">
        <v>250</v>
      </c>
      <c r="B578" t="s">
        <v>300</v>
      </c>
      <c r="C578" t="s">
        <v>44</v>
      </c>
      <c r="D578" t="s">
        <v>152</v>
      </c>
      <c r="E578" t="s">
        <v>148</v>
      </c>
      <c r="F578" t="s">
        <v>301</v>
      </c>
      <c r="G578" t="s">
        <v>31</v>
      </c>
      <c r="H578" t="s">
        <v>275</v>
      </c>
      <c r="I578" t="s">
        <v>135</v>
      </c>
      <c r="J578" t="s">
        <v>39</v>
      </c>
      <c r="K578" t="s">
        <v>31</v>
      </c>
      <c r="L578">
        <v>2.46</v>
      </c>
      <c r="M578">
        <v>1</v>
      </c>
      <c r="N578" s="2">
        <v>1.9257476908385505</v>
      </c>
      <c r="O578" s="2">
        <v>5.411417628870181</v>
      </c>
      <c r="P578" s="1">
        <v>-0.88213896288743165</v>
      </c>
      <c r="Q578" s="1">
        <v>1.5220679573740847</v>
      </c>
      <c r="R578" s="1">
        <v>-1.8625523936223547</v>
      </c>
      <c r="S578" s="19">
        <v>0</v>
      </c>
      <c r="T578" s="19">
        <v>0</v>
      </c>
      <c r="U578" s="19">
        <v>0.12652453396009897</v>
      </c>
      <c r="V578" s="19">
        <v>0.23967234786026648</v>
      </c>
      <c r="W578" s="19">
        <v>0.41289728629964978</v>
      </c>
      <c r="X578" s="19">
        <v>0.66315542924451887</v>
      </c>
      <c r="Y578" s="19">
        <v>1.0066055725682144</v>
      </c>
      <c r="Z578" s="19">
        <v>1.4559303522306879</v>
      </c>
      <c r="AA578" s="19">
        <v>2.016998995468942</v>
      </c>
      <c r="AB578" s="19">
        <v>2.6853655057983734</v>
      </c>
      <c r="AC578" s="19">
        <v>3.4434912190359643</v>
      </c>
      <c r="AD578" s="19">
        <v>4.2598776019576876</v>
      </c>
      <c r="AE578" s="19">
        <v>5.0912504859578895</v>
      </c>
      <c r="AF578" s="19">
        <v>5.8883172602023448</v>
      </c>
      <c r="AG578" s="19">
        <v>6.6043909158053626</v>
      </c>
      <c r="AH578" s="19">
        <v>7.2047043727130653</v>
      </c>
      <c r="AI578" s="19">
        <v>7.6732973748998319</v>
      </c>
      <c r="AJ578" s="19">
        <v>8.0367786978693196</v>
      </c>
      <c r="AK578" s="19">
        <v>8.2651233522383567</v>
      </c>
      <c r="AL578" s="19">
        <v>8.4628099824320628</v>
      </c>
      <c r="AM578" s="19">
        <v>8.5606467552186629</v>
      </c>
      <c r="AN578" s="19">
        <v>8.6253569748751602</v>
      </c>
      <c r="AO578" s="19">
        <v>8.6909368163342471</v>
      </c>
      <c r="AP578" s="19">
        <v>8.7573953696769014</v>
      </c>
      <c r="AQ578" s="19">
        <v>0</v>
      </c>
      <c r="AR578" s="19">
        <v>108.17152720264762</v>
      </c>
    </row>
    <row r="579" spans="1:44" x14ac:dyDescent="0.25">
      <c r="A579" t="s">
        <v>250</v>
      </c>
      <c r="B579" t="s">
        <v>300</v>
      </c>
      <c r="C579" t="s">
        <v>44</v>
      </c>
      <c r="D579" t="s">
        <v>152</v>
      </c>
      <c r="E579" t="s">
        <v>145</v>
      </c>
      <c r="F579" t="s">
        <v>301</v>
      </c>
      <c r="G579" t="s">
        <v>31</v>
      </c>
      <c r="H579" t="s">
        <v>276</v>
      </c>
      <c r="I579" t="s">
        <v>135</v>
      </c>
      <c r="J579" t="s">
        <v>39</v>
      </c>
      <c r="K579" t="s">
        <v>31</v>
      </c>
      <c r="L579">
        <v>2.46</v>
      </c>
      <c r="M579">
        <v>1</v>
      </c>
      <c r="N579" s="2">
        <v>1.9257476908385505</v>
      </c>
      <c r="O579" s="2">
        <v>5.411417628870181</v>
      </c>
      <c r="P579" s="1">
        <v>-0.88213896288743165</v>
      </c>
      <c r="Q579" s="1">
        <v>1.5220679573740847</v>
      </c>
      <c r="R579" s="1">
        <v>-1.8625523936223547</v>
      </c>
      <c r="S579" s="19">
        <v>0</v>
      </c>
      <c r="T579" s="19">
        <v>0</v>
      </c>
      <c r="U579" s="19">
        <v>24.307512613860681</v>
      </c>
      <c r="V579" s="19">
        <v>45.642538238488129</v>
      </c>
      <c r="W579" s="19">
        <v>77.939590008116511</v>
      </c>
      <c r="X579" s="19">
        <v>124.07204641600958</v>
      </c>
      <c r="Y579" s="19">
        <v>186.65469678102329</v>
      </c>
      <c r="Z579" s="19">
        <v>267.55912691281202</v>
      </c>
      <c r="AA579" s="19">
        <v>367.33574020249733</v>
      </c>
      <c r="AB579" s="19">
        <v>484.63876929626161</v>
      </c>
      <c r="AC579" s="19">
        <v>615.81467873832332</v>
      </c>
      <c r="AD579" s="19">
        <v>754.85530202831092</v>
      </c>
      <c r="AE579" s="19">
        <v>893.89388383487073</v>
      </c>
      <c r="AF579" s="19">
        <v>1024.2999536891991</v>
      </c>
      <c r="AG579" s="19">
        <v>1138.2112401392469</v>
      </c>
      <c r="AH579" s="19">
        <v>1230.099572587329</v>
      </c>
      <c r="AI579" s="19">
        <v>1297.8370013600511</v>
      </c>
      <c r="AJ579" s="19">
        <v>1346.5247151566357</v>
      </c>
      <c r="AK579" s="19">
        <v>1371.6907010309485</v>
      </c>
      <c r="AL579" s="19">
        <v>1391.1580713842327</v>
      </c>
      <c r="AM579" s="19">
        <v>1393.8118869822547</v>
      </c>
      <c r="AN579" s="19">
        <v>1390.8848820195926</v>
      </c>
      <c r="AO579" s="19">
        <v>1775.6997012834213</v>
      </c>
      <c r="AP579" s="19">
        <v>1770.4437030088725</v>
      </c>
      <c r="AQ579" s="19">
        <v>379.90725109720705</v>
      </c>
      <c r="AR579" s="19">
        <v>19353.282564809568</v>
      </c>
    </row>
    <row r="580" spans="1:44" x14ac:dyDescent="0.25">
      <c r="A580" t="s">
        <v>250</v>
      </c>
      <c r="B580" t="s">
        <v>300</v>
      </c>
      <c r="C580" t="s">
        <v>44</v>
      </c>
      <c r="D580" t="s">
        <v>152</v>
      </c>
      <c r="E580" t="s">
        <v>148</v>
      </c>
      <c r="F580" t="s">
        <v>301</v>
      </c>
      <c r="G580" t="s">
        <v>31</v>
      </c>
      <c r="H580" t="s">
        <v>276</v>
      </c>
      <c r="I580" t="s">
        <v>135</v>
      </c>
      <c r="J580" t="s">
        <v>39</v>
      </c>
      <c r="K580" t="s">
        <v>31</v>
      </c>
      <c r="L580">
        <v>2.46</v>
      </c>
      <c r="M580">
        <v>1</v>
      </c>
      <c r="N580" s="2">
        <v>1.9257476908385505</v>
      </c>
      <c r="O580" s="2">
        <v>5.411417628870181</v>
      </c>
      <c r="P580" s="1">
        <v>-0.88213896288743165</v>
      </c>
      <c r="Q580" s="1">
        <v>1.5220679573740847</v>
      </c>
      <c r="R580" s="1">
        <v>-1.8625523936223547</v>
      </c>
      <c r="S580" s="19">
        <v>0</v>
      </c>
      <c r="T580" s="19">
        <v>0</v>
      </c>
      <c r="U580" s="19">
        <v>6.6220602783956384</v>
      </c>
      <c r="V580" s="19">
        <v>12.574602318215661</v>
      </c>
      <c r="W580" s="19">
        <v>21.715224503915081</v>
      </c>
      <c r="X580" s="19">
        <v>34.960019974964474</v>
      </c>
      <c r="Y580" s="19">
        <v>53.190964188289826</v>
      </c>
      <c r="Z580" s="19">
        <v>77.113342451386572</v>
      </c>
      <c r="AA580" s="19">
        <v>107.07628008025505</v>
      </c>
      <c r="AB580" s="19">
        <v>142.88215767691682</v>
      </c>
      <c r="AC580" s="19">
        <v>183.63225919082271</v>
      </c>
      <c r="AD580" s="19">
        <v>227.67271827648605</v>
      </c>
      <c r="AE580" s="19">
        <v>272.70352504262894</v>
      </c>
      <c r="AF580" s="19">
        <v>316.08109090816373</v>
      </c>
      <c r="AG580" s="19">
        <v>355.27921094875876</v>
      </c>
      <c r="AH580" s="19">
        <v>388.39323465674056</v>
      </c>
      <c r="AI580" s="19">
        <v>414.51935918208358</v>
      </c>
      <c r="AJ580" s="19">
        <v>435.05183211332695</v>
      </c>
      <c r="AK580" s="19">
        <v>448.32557839479387</v>
      </c>
      <c r="AL580" s="19">
        <v>459.9737125027234</v>
      </c>
      <c r="AM580" s="19">
        <v>466.21729659034366</v>
      </c>
      <c r="AN580" s="19">
        <v>470.66454185826979</v>
      </c>
      <c r="AO580" s="19">
        <v>475.16330015575318</v>
      </c>
      <c r="AP580" s="19">
        <v>479.71414572154799</v>
      </c>
      <c r="AQ580" s="19">
        <v>0</v>
      </c>
      <c r="AR580" s="19">
        <v>5849.526457014781</v>
      </c>
    </row>
    <row r="581" spans="1:44" x14ac:dyDescent="0.25">
      <c r="A581" t="s">
        <v>250</v>
      </c>
      <c r="B581" t="s">
        <v>300</v>
      </c>
      <c r="C581" t="s">
        <v>44</v>
      </c>
      <c r="D581" t="s">
        <v>152</v>
      </c>
      <c r="E581" t="s">
        <v>145</v>
      </c>
      <c r="F581" t="s">
        <v>301</v>
      </c>
      <c r="G581" t="s">
        <v>31</v>
      </c>
      <c r="H581" t="s">
        <v>277</v>
      </c>
      <c r="I581" t="s">
        <v>135</v>
      </c>
      <c r="J581" t="s">
        <v>39</v>
      </c>
      <c r="K581" t="s">
        <v>31</v>
      </c>
      <c r="L581">
        <v>2.46</v>
      </c>
      <c r="M581">
        <v>1</v>
      </c>
      <c r="N581" s="2">
        <v>1.9257476908385505</v>
      </c>
      <c r="O581" s="2">
        <v>5.411417628870181</v>
      </c>
      <c r="P581" s="1">
        <v>-0.88213896288743165</v>
      </c>
      <c r="Q581" s="1">
        <v>1.5220679573740847</v>
      </c>
      <c r="R581" s="1">
        <v>-1.8625523936223547</v>
      </c>
      <c r="S581" s="19">
        <v>0</v>
      </c>
      <c r="T581" s="19">
        <v>0</v>
      </c>
      <c r="U581" s="19">
        <v>0</v>
      </c>
      <c r="V581" s="19">
        <v>0</v>
      </c>
      <c r="W581" s="19">
        <v>0</v>
      </c>
      <c r="X581" s="19">
        <v>0</v>
      </c>
      <c r="Y581" s="19">
        <v>0</v>
      </c>
      <c r="Z581" s="19">
        <v>0</v>
      </c>
      <c r="AA581" s="19">
        <v>0</v>
      </c>
      <c r="AB581" s="19">
        <v>0</v>
      </c>
      <c r="AC581" s="19">
        <v>0</v>
      </c>
      <c r="AD581" s="19">
        <v>0</v>
      </c>
      <c r="AE581" s="19">
        <v>0</v>
      </c>
      <c r="AF581" s="19">
        <v>0</v>
      </c>
      <c r="AG581" s="19">
        <v>0</v>
      </c>
      <c r="AH581" s="19">
        <v>0</v>
      </c>
      <c r="AI581" s="19">
        <v>0</v>
      </c>
      <c r="AJ581" s="19">
        <v>0</v>
      </c>
      <c r="AK581" s="19">
        <v>0</v>
      </c>
      <c r="AL581" s="19">
        <v>0</v>
      </c>
      <c r="AM581" s="19">
        <v>0</v>
      </c>
      <c r="AN581" s="19">
        <v>0</v>
      </c>
      <c r="AO581" s="19">
        <v>0</v>
      </c>
      <c r="AP581" s="19">
        <v>0</v>
      </c>
      <c r="AQ581" s="19">
        <v>0</v>
      </c>
      <c r="AR581" s="19">
        <v>0</v>
      </c>
    </row>
    <row r="582" spans="1:44" x14ac:dyDescent="0.25">
      <c r="A582" t="s">
        <v>250</v>
      </c>
      <c r="B582" t="s">
        <v>300</v>
      </c>
      <c r="C582" t="s">
        <v>44</v>
      </c>
      <c r="D582" t="s">
        <v>152</v>
      </c>
      <c r="E582" t="s">
        <v>148</v>
      </c>
      <c r="F582" t="s">
        <v>301</v>
      </c>
      <c r="G582" t="s">
        <v>31</v>
      </c>
      <c r="H582" t="s">
        <v>277</v>
      </c>
      <c r="I582" t="s">
        <v>135</v>
      </c>
      <c r="J582" t="s">
        <v>39</v>
      </c>
      <c r="K582" t="s">
        <v>31</v>
      </c>
      <c r="L582">
        <v>2.46</v>
      </c>
      <c r="M582">
        <v>1</v>
      </c>
      <c r="N582" s="2">
        <v>1.9257476908385505</v>
      </c>
      <c r="O582" s="2">
        <v>5.411417628870181</v>
      </c>
      <c r="P582" s="1">
        <v>-0.88213896288743165</v>
      </c>
      <c r="Q582" s="1">
        <v>1.5220679573740847</v>
      </c>
      <c r="R582" s="1">
        <v>-1.8625523936223547</v>
      </c>
      <c r="S582" s="19">
        <v>0</v>
      </c>
      <c r="T582" s="19">
        <v>0</v>
      </c>
      <c r="U582" s="19">
        <v>0</v>
      </c>
      <c r="V582" s="19">
        <v>0</v>
      </c>
      <c r="W582" s="19">
        <v>0</v>
      </c>
      <c r="X582" s="19">
        <v>0</v>
      </c>
      <c r="Y582" s="19">
        <v>0</v>
      </c>
      <c r="Z582" s="19">
        <v>0</v>
      </c>
      <c r="AA582" s="19">
        <v>0</v>
      </c>
      <c r="AB582" s="19">
        <v>0</v>
      </c>
      <c r="AC582" s="19">
        <v>0</v>
      </c>
      <c r="AD582" s="19">
        <v>0</v>
      </c>
      <c r="AE582" s="19">
        <v>0</v>
      </c>
      <c r="AF582" s="19">
        <v>0</v>
      </c>
      <c r="AG582" s="19">
        <v>0</v>
      </c>
      <c r="AH582" s="19">
        <v>0</v>
      </c>
      <c r="AI582" s="19">
        <v>0</v>
      </c>
      <c r="AJ582" s="19">
        <v>0</v>
      </c>
      <c r="AK582" s="19">
        <v>0</v>
      </c>
      <c r="AL582" s="19">
        <v>0</v>
      </c>
      <c r="AM582" s="19">
        <v>0</v>
      </c>
      <c r="AN582" s="19">
        <v>0</v>
      </c>
      <c r="AO582" s="19">
        <v>0</v>
      </c>
      <c r="AP582" s="19">
        <v>0</v>
      </c>
      <c r="AQ582" s="19">
        <v>0</v>
      </c>
      <c r="AR582" s="19">
        <v>0</v>
      </c>
    </row>
    <row r="583" spans="1:44" x14ac:dyDescent="0.25">
      <c r="A583" t="s">
        <v>250</v>
      </c>
      <c r="B583" t="s">
        <v>300</v>
      </c>
      <c r="C583" t="s">
        <v>44</v>
      </c>
      <c r="D583" t="s">
        <v>152</v>
      </c>
      <c r="E583" t="s">
        <v>145</v>
      </c>
      <c r="F583" t="s">
        <v>301</v>
      </c>
      <c r="G583" t="s">
        <v>31</v>
      </c>
      <c r="H583" t="s">
        <v>278</v>
      </c>
      <c r="I583" t="s">
        <v>135</v>
      </c>
      <c r="J583" t="s">
        <v>39</v>
      </c>
      <c r="K583" t="s">
        <v>31</v>
      </c>
      <c r="L583">
        <v>2.46</v>
      </c>
      <c r="M583">
        <v>1</v>
      </c>
      <c r="N583" s="2">
        <v>1.9257476908385505</v>
      </c>
      <c r="O583" s="2">
        <v>5.411417628870181</v>
      </c>
      <c r="P583" s="1">
        <v>-0.88213896288743165</v>
      </c>
      <c r="Q583" s="1">
        <v>1.5220679573740847</v>
      </c>
      <c r="R583" s="1">
        <v>-1.8625523936223547</v>
      </c>
      <c r="S583" s="19">
        <v>0</v>
      </c>
      <c r="T583" s="19">
        <v>0</v>
      </c>
      <c r="U583" s="19">
        <v>1.7080805147067677</v>
      </c>
      <c r="V583" s="19">
        <v>3.1851085548875284</v>
      </c>
      <c r="W583" s="19">
        <v>5.4013111886375293</v>
      </c>
      <c r="X583" s="19">
        <v>8.5388947330464493</v>
      </c>
      <c r="Y583" s="19">
        <v>12.757138442311073</v>
      </c>
      <c r="Z583" s="19">
        <v>18.160205054943425</v>
      </c>
      <c r="AA583" s="19">
        <v>24.760008827033623</v>
      </c>
      <c r="AB583" s="19">
        <v>32.440862690701415</v>
      </c>
      <c r="AC583" s="19">
        <v>40.936519008903907</v>
      </c>
      <c r="AD583" s="19">
        <v>49.832332446694195</v>
      </c>
      <c r="AE583" s="19">
        <v>58.603034278401161</v>
      </c>
      <c r="AF583" s="19">
        <v>66.688035195236736</v>
      </c>
      <c r="AG583" s="19">
        <v>73.59194325831659</v>
      </c>
      <c r="AH583" s="19">
        <v>78.983122745639506</v>
      </c>
      <c r="AI583" s="19">
        <v>82.75625256938855</v>
      </c>
      <c r="AJ583" s="19">
        <v>85.267126144071042</v>
      </c>
      <c r="AK583" s="19">
        <v>86.260132883957183</v>
      </c>
      <c r="AL583" s="19">
        <v>86.879445429846513</v>
      </c>
      <c r="AM583" s="19">
        <v>86.443303635519968</v>
      </c>
      <c r="AN583" s="19">
        <v>85.665313902800293</v>
      </c>
      <c r="AO583" s="19">
        <v>126.41855949733768</v>
      </c>
      <c r="AP583" s="19">
        <v>125.12622591794052</v>
      </c>
      <c r="AQ583" s="19">
        <v>40.143606533323762</v>
      </c>
      <c r="AR583" s="19">
        <v>1280.5465634536454</v>
      </c>
    </row>
    <row r="584" spans="1:44" x14ac:dyDescent="0.25">
      <c r="A584" t="s">
        <v>250</v>
      </c>
      <c r="B584" t="s">
        <v>300</v>
      </c>
      <c r="C584" t="s">
        <v>44</v>
      </c>
      <c r="D584" t="s">
        <v>152</v>
      </c>
      <c r="E584" t="s">
        <v>148</v>
      </c>
      <c r="F584" t="s">
        <v>301</v>
      </c>
      <c r="G584" t="s">
        <v>31</v>
      </c>
      <c r="H584" t="s">
        <v>278</v>
      </c>
      <c r="I584" t="s">
        <v>135</v>
      </c>
      <c r="J584" t="s">
        <v>39</v>
      </c>
      <c r="K584" t="s">
        <v>31</v>
      </c>
      <c r="L584">
        <v>2.46</v>
      </c>
      <c r="M584">
        <v>1</v>
      </c>
      <c r="N584" s="2">
        <v>1.9257476908385505</v>
      </c>
      <c r="O584" s="2">
        <v>5.411417628870181</v>
      </c>
      <c r="P584" s="1">
        <v>-0.88213896288743165</v>
      </c>
      <c r="Q584" s="1">
        <v>1.5220679573740847</v>
      </c>
      <c r="R584" s="1">
        <v>-1.8625523936223547</v>
      </c>
      <c r="S584" s="19">
        <v>0</v>
      </c>
      <c r="T584" s="19">
        <v>0</v>
      </c>
      <c r="U584" s="19">
        <v>0.70918409799361248</v>
      </c>
      <c r="V584" s="19">
        <v>1.3376108930628434</v>
      </c>
      <c r="W584" s="19">
        <v>2.2945796000216601</v>
      </c>
      <c r="X584" s="19">
        <v>3.6698414305007634</v>
      </c>
      <c r="Y584" s="19">
        <v>5.5473277804156931</v>
      </c>
      <c r="Z584" s="19">
        <v>7.990598285790921</v>
      </c>
      <c r="AA584" s="19">
        <v>11.025042137563036</v>
      </c>
      <c r="AB584" s="19">
        <v>14.619601626031496</v>
      </c>
      <c r="AC584" s="19">
        <v>18.67283844869425</v>
      </c>
      <c r="AD584" s="19">
        <v>23.009615690438523</v>
      </c>
      <c r="AE584" s="19">
        <v>27.394238289750263</v>
      </c>
      <c r="AF584" s="19">
        <v>31.562405491623917</v>
      </c>
      <c r="AG584" s="19">
        <v>35.267718694017184</v>
      </c>
      <c r="AH584" s="19">
        <v>38.330810196302849</v>
      </c>
      <c r="AI584" s="19">
        <v>40.674534076090197</v>
      </c>
      <c r="AJ584" s="19">
        <v>42.447559351252664</v>
      </c>
      <c r="AK584" s="19">
        <v>43.498229983055467</v>
      </c>
      <c r="AL584" s="19">
        <v>44.382286701706995</v>
      </c>
      <c r="AM584" s="19">
        <v>44.739975067425682</v>
      </c>
      <c r="AN584" s="19">
        <v>44.924316109516127</v>
      </c>
      <c r="AO584" s="19">
        <v>45.113580893145816</v>
      </c>
      <c r="AP584" s="19">
        <v>45.307798926341718</v>
      </c>
      <c r="AQ584" s="19">
        <v>0</v>
      </c>
      <c r="AR584" s="19">
        <v>572.5196937707417</v>
      </c>
    </row>
    <row r="585" spans="1:44" x14ac:dyDescent="0.25">
      <c r="A585" t="s">
        <v>250</v>
      </c>
      <c r="B585" t="s">
        <v>300</v>
      </c>
      <c r="C585" t="s">
        <v>44</v>
      </c>
      <c r="D585" t="s">
        <v>152</v>
      </c>
      <c r="E585" t="s">
        <v>145</v>
      </c>
      <c r="F585" t="s">
        <v>301</v>
      </c>
      <c r="G585" t="s">
        <v>31</v>
      </c>
      <c r="H585" t="s">
        <v>252</v>
      </c>
      <c r="I585" t="s">
        <v>135</v>
      </c>
      <c r="J585" t="s">
        <v>39</v>
      </c>
      <c r="K585" t="s">
        <v>31</v>
      </c>
      <c r="L585">
        <v>2.46</v>
      </c>
      <c r="M585">
        <v>1</v>
      </c>
      <c r="N585" s="2">
        <v>1.9257476908385505</v>
      </c>
      <c r="O585" s="2">
        <v>5.411417628870181</v>
      </c>
      <c r="P585" s="1">
        <v>-0.88213896288743165</v>
      </c>
      <c r="Q585" s="1">
        <v>1.5220679573740847</v>
      </c>
      <c r="R585" s="1">
        <v>-1.8625523936223547</v>
      </c>
      <c r="S585" s="19">
        <v>0</v>
      </c>
      <c r="T585" s="19">
        <v>0</v>
      </c>
      <c r="U585" s="19">
        <v>0.55204208706042857</v>
      </c>
      <c r="V585" s="19">
        <v>1.0349147222703825</v>
      </c>
      <c r="W585" s="19">
        <v>1.7643957443595284</v>
      </c>
      <c r="X585" s="19">
        <v>2.8042384373546767</v>
      </c>
      <c r="Y585" s="19">
        <v>4.2119482113395357</v>
      </c>
      <c r="Z585" s="19">
        <v>6.0279130320842151</v>
      </c>
      <c r="AA585" s="19">
        <v>8.2625385902369857</v>
      </c>
      <c r="AB585" s="19">
        <v>10.883575047881614</v>
      </c>
      <c r="AC585" s="19">
        <v>13.807230259179819</v>
      </c>
      <c r="AD585" s="19">
        <v>16.897534755219546</v>
      </c>
      <c r="AE585" s="19">
        <v>19.977848345288105</v>
      </c>
      <c r="AF585" s="19">
        <v>22.855620010747383</v>
      </c>
      <c r="AG585" s="19">
        <v>25.356647408349335</v>
      </c>
      <c r="AH585" s="19">
        <v>27.359763369268315</v>
      </c>
      <c r="AI585" s="19">
        <v>28.82008973765133</v>
      </c>
      <c r="AJ585" s="19">
        <v>29.853318465557436</v>
      </c>
      <c r="AK585" s="19">
        <v>30.362504128635596</v>
      </c>
      <c r="AL585" s="19">
        <v>30.744043073373678</v>
      </c>
      <c r="AM585" s="19">
        <v>30.753303327311446</v>
      </c>
      <c r="AN585" s="19">
        <v>30.639516105000393</v>
      </c>
      <c r="AO585" s="19">
        <v>40.396224198455279</v>
      </c>
      <c r="AP585" s="19">
        <v>40.208408336438112</v>
      </c>
      <c r="AQ585" s="19">
        <v>9.6408834814424651</v>
      </c>
      <c r="AR585" s="19">
        <v>433.21450087450557</v>
      </c>
    </row>
    <row r="586" spans="1:44" x14ac:dyDescent="0.25">
      <c r="A586" t="s">
        <v>250</v>
      </c>
      <c r="B586" t="s">
        <v>300</v>
      </c>
      <c r="C586" t="s">
        <v>44</v>
      </c>
      <c r="D586" t="s">
        <v>152</v>
      </c>
      <c r="E586" t="s">
        <v>148</v>
      </c>
      <c r="F586" t="s">
        <v>301</v>
      </c>
      <c r="G586" t="s">
        <v>31</v>
      </c>
      <c r="H586" t="s">
        <v>252</v>
      </c>
      <c r="I586" t="s">
        <v>135</v>
      </c>
      <c r="J586" t="s">
        <v>39</v>
      </c>
      <c r="K586" t="s">
        <v>31</v>
      </c>
      <c r="L586">
        <v>2.46</v>
      </c>
      <c r="M586">
        <v>1</v>
      </c>
      <c r="N586" s="2">
        <v>1.9257476908385505</v>
      </c>
      <c r="O586" s="2">
        <v>5.411417628870181</v>
      </c>
      <c r="P586" s="1">
        <v>-0.88213896288743165</v>
      </c>
      <c r="Q586" s="1">
        <v>1.5220679573740847</v>
      </c>
      <c r="R586" s="1">
        <v>-1.8625523936223547</v>
      </c>
      <c r="S586" s="19">
        <v>0</v>
      </c>
      <c r="T586" s="19">
        <v>0</v>
      </c>
      <c r="U586" s="19">
        <v>0.16856902982390182</v>
      </c>
      <c r="V586" s="19">
        <v>0.31959677873034303</v>
      </c>
      <c r="W586" s="19">
        <v>0.5510659473094448</v>
      </c>
      <c r="X586" s="19">
        <v>0.885828473992187</v>
      </c>
      <c r="Y586" s="19">
        <v>1.3457428777074243</v>
      </c>
      <c r="Z586" s="19">
        <v>1.9480832973384847</v>
      </c>
      <c r="AA586" s="19">
        <v>2.7010492027853346</v>
      </c>
      <c r="AB586" s="19">
        <v>3.5990332288345805</v>
      </c>
      <c r="AC586" s="19">
        <v>4.6188390870617742</v>
      </c>
      <c r="AD586" s="19">
        <v>5.7184477931878259</v>
      </c>
      <c r="AE586" s="19">
        <v>6.8398802310625042</v>
      </c>
      <c r="AF586" s="19">
        <v>7.9168798460061005</v>
      </c>
      <c r="AG586" s="19">
        <v>8.8864907187886537</v>
      </c>
      <c r="AH586" s="19">
        <v>9.7016192130128971</v>
      </c>
      <c r="AI586" s="19">
        <v>10.340380540575667</v>
      </c>
      <c r="AJ586" s="19">
        <v>10.838242214541392</v>
      </c>
      <c r="AK586" s="19">
        <v>11.154355311299971</v>
      </c>
      <c r="AL586" s="19">
        <v>11.42941449263194</v>
      </c>
      <c r="AM586" s="19">
        <v>11.569809808098128</v>
      </c>
      <c r="AN586" s="19">
        <v>11.665490063228397</v>
      </c>
      <c r="AO586" s="19">
        <v>11.76236935538082</v>
      </c>
      <c r="AP586" s="19">
        <v>11.860460664552363</v>
      </c>
      <c r="AQ586" s="19">
        <v>0</v>
      </c>
      <c r="AR586" s="19">
        <v>145.82164817595014</v>
      </c>
    </row>
    <row r="587" spans="1:44" x14ac:dyDescent="0.25">
      <c r="A587" t="s">
        <v>250</v>
      </c>
      <c r="B587" t="s">
        <v>300</v>
      </c>
      <c r="C587" t="s">
        <v>44</v>
      </c>
      <c r="D587" t="s">
        <v>152</v>
      </c>
      <c r="E587" t="s">
        <v>145</v>
      </c>
      <c r="F587" t="s">
        <v>301</v>
      </c>
      <c r="G587" t="s">
        <v>31</v>
      </c>
      <c r="H587" t="s">
        <v>253</v>
      </c>
      <c r="I587" t="s">
        <v>135</v>
      </c>
      <c r="J587" t="s">
        <v>39</v>
      </c>
      <c r="K587" t="s">
        <v>31</v>
      </c>
      <c r="L587">
        <v>2.46</v>
      </c>
      <c r="M587">
        <v>1</v>
      </c>
      <c r="N587" s="2">
        <v>1.9257476908385505</v>
      </c>
      <c r="O587" s="2">
        <v>5.411417628870181</v>
      </c>
      <c r="P587" s="1">
        <v>-0.88213896288743165</v>
      </c>
      <c r="Q587" s="1">
        <v>1.5220679573740847</v>
      </c>
      <c r="R587" s="1">
        <v>-1.8625523936223547</v>
      </c>
      <c r="S587" s="19">
        <v>0</v>
      </c>
      <c r="T587" s="19">
        <v>0</v>
      </c>
      <c r="U587" s="19">
        <v>6.9033028503926873E-4</v>
      </c>
      <c r="V587" s="19">
        <v>1.2936443750898678E-3</v>
      </c>
      <c r="W587" s="19">
        <v>2.2046108632211969E-3</v>
      </c>
      <c r="X587" s="19">
        <v>3.5024865913925278E-3</v>
      </c>
      <c r="Y587" s="19">
        <v>5.2586003765206571E-3</v>
      </c>
      <c r="Z587" s="19">
        <v>7.5228036310405668E-3</v>
      </c>
      <c r="AA587" s="19">
        <v>1.0307464567047548E-2</v>
      </c>
      <c r="AB587" s="19">
        <v>1.3571739904444227E-2</v>
      </c>
      <c r="AC587" s="19">
        <v>1.7210604368026627E-2</v>
      </c>
      <c r="AD587" s="19">
        <v>2.10541883700631E-2</v>
      </c>
      <c r="AE587" s="19">
        <v>2.4882239723275527E-2</v>
      </c>
      <c r="AF587" s="19">
        <v>2.845505090936528E-2</v>
      </c>
      <c r="AG587" s="19">
        <v>3.1556134152423504E-2</v>
      </c>
      <c r="AH587" s="19">
        <v>3.4035324918355599E-2</v>
      </c>
      <c r="AI587" s="19">
        <v>3.5837565098465023E-2</v>
      </c>
      <c r="AJ587" s="19">
        <v>3.7107473164165176E-2</v>
      </c>
      <c r="AK587" s="19">
        <v>3.7725235285112776E-2</v>
      </c>
      <c r="AL587" s="19">
        <v>3.8183958748124525E-2</v>
      </c>
      <c r="AM587" s="19">
        <v>3.8180125017326517E-2</v>
      </c>
      <c r="AN587" s="19">
        <v>3.8023586504755479E-2</v>
      </c>
      <c r="AO587" s="19">
        <v>5.0543651349514683E-2</v>
      </c>
      <c r="AP587" s="19">
        <v>5.0287333476265871E-2</v>
      </c>
      <c r="AQ587" s="19">
        <v>1.2372012626029235E-2</v>
      </c>
      <c r="AR587" s="19">
        <v>0.53980616430506478</v>
      </c>
    </row>
    <row r="588" spans="1:44" x14ac:dyDescent="0.25">
      <c r="A588" t="s">
        <v>250</v>
      </c>
      <c r="B588" t="s">
        <v>300</v>
      </c>
      <c r="C588" t="s">
        <v>44</v>
      </c>
      <c r="D588" t="s">
        <v>152</v>
      </c>
      <c r="E588" t="s">
        <v>148</v>
      </c>
      <c r="F588" t="s">
        <v>301</v>
      </c>
      <c r="G588" t="s">
        <v>31</v>
      </c>
      <c r="H588" t="s">
        <v>253</v>
      </c>
      <c r="I588" t="s">
        <v>135</v>
      </c>
      <c r="J588" t="s">
        <v>39</v>
      </c>
      <c r="K588" t="s">
        <v>31</v>
      </c>
      <c r="L588">
        <v>2.46</v>
      </c>
      <c r="M588">
        <v>1</v>
      </c>
      <c r="N588" s="2">
        <v>1.9257476908385505</v>
      </c>
      <c r="O588" s="2">
        <v>5.411417628870181</v>
      </c>
      <c r="P588" s="1">
        <v>-0.88213896288743165</v>
      </c>
      <c r="Q588" s="1">
        <v>1.5220679573740847</v>
      </c>
      <c r="R588" s="1">
        <v>-1.8625523936223547</v>
      </c>
      <c r="S588" s="19">
        <v>0</v>
      </c>
      <c r="T588" s="19">
        <v>0</v>
      </c>
      <c r="U588" s="19">
        <v>2.1649021829687887E-4</v>
      </c>
      <c r="V588" s="19">
        <v>4.1029236626457041E-4</v>
      </c>
      <c r="W588" s="19">
        <v>7.0717531966968004E-4</v>
      </c>
      <c r="X588" s="19">
        <v>1.136338053964758E-3</v>
      </c>
      <c r="Y588" s="19">
        <v>1.7256642722850166E-3</v>
      </c>
      <c r="Z588" s="19">
        <v>2.4971230538553065E-3</v>
      </c>
      <c r="AA588" s="19">
        <v>3.4610272010194799E-3</v>
      </c>
      <c r="AB588" s="19">
        <v>4.6099939159344201E-3</v>
      </c>
      <c r="AC588" s="19">
        <v>5.9141342784867013E-3</v>
      </c>
      <c r="AD588" s="19">
        <v>7.3195136648419026E-3</v>
      </c>
      <c r="AE588" s="19">
        <v>8.7518554089283402E-3</v>
      </c>
      <c r="AF588" s="19">
        <v>1.0126400660563865E-2</v>
      </c>
      <c r="AG588" s="19">
        <v>1.1362727587388261E-2</v>
      </c>
      <c r="AH588" s="19">
        <v>1.2400797110465839E-2</v>
      </c>
      <c r="AI588" s="19">
        <v>1.321285856857808E-2</v>
      </c>
      <c r="AJ588" s="19">
        <v>1.3844453159691171E-2</v>
      </c>
      <c r="AK588" s="19">
        <v>1.4243604570228826E-2</v>
      </c>
      <c r="AL588" s="19">
        <v>1.4590147295148454E-2</v>
      </c>
      <c r="AM588" s="19">
        <v>1.4764676664708364E-2</v>
      </c>
      <c r="AN588" s="19">
        <v>1.4882109388710308E-2</v>
      </c>
      <c r="AO588" s="19">
        <v>1.5001056426264904E-2</v>
      </c>
      <c r="AP588" s="19">
        <v>1.5121533950074055E-2</v>
      </c>
      <c r="AQ588" s="19">
        <v>0</v>
      </c>
      <c r="AR588" s="19">
        <v>0.1862999731353692</v>
      </c>
    </row>
    <row r="589" spans="1:44" x14ac:dyDescent="0.25">
      <c r="A589" t="s">
        <v>250</v>
      </c>
      <c r="B589" t="s">
        <v>300</v>
      </c>
      <c r="C589" t="s">
        <v>44</v>
      </c>
      <c r="D589" t="s">
        <v>152</v>
      </c>
      <c r="E589" t="s">
        <v>145</v>
      </c>
      <c r="F589" t="s">
        <v>301</v>
      </c>
      <c r="G589" t="s">
        <v>31</v>
      </c>
      <c r="H589" t="s">
        <v>254</v>
      </c>
      <c r="I589" t="s">
        <v>135</v>
      </c>
      <c r="J589" t="s">
        <v>39</v>
      </c>
      <c r="K589" t="s">
        <v>31</v>
      </c>
      <c r="L589">
        <v>2.46</v>
      </c>
      <c r="M589">
        <v>1</v>
      </c>
      <c r="N589" s="2">
        <v>1.9257476908385505</v>
      </c>
      <c r="O589" s="2">
        <v>5.411417628870181</v>
      </c>
      <c r="P589" s="1">
        <v>-0.88213896288743165</v>
      </c>
      <c r="Q589" s="1">
        <v>1.5220679573740847</v>
      </c>
      <c r="R589" s="1">
        <v>-1.8625523936223547</v>
      </c>
      <c r="S589" s="19">
        <v>0</v>
      </c>
      <c r="T589" s="19">
        <v>0</v>
      </c>
      <c r="U589" s="19">
        <v>0.93129871274953313</v>
      </c>
      <c r="V589" s="19">
        <v>1.7445295468081556</v>
      </c>
      <c r="W589" s="19">
        <v>2.9718488468906306</v>
      </c>
      <c r="X589" s="19">
        <v>4.7195718675463523</v>
      </c>
      <c r="Y589" s="19">
        <v>7.0831695766117519</v>
      </c>
      <c r="Z589" s="19">
        <v>10.129046043956624</v>
      </c>
      <c r="AA589" s="19">
        <v>13.873052158127887</v>
      </c>
      <c r="AB589" s="19">
        <v>18.259422815971856</v>
      </c>
      <c r="AC589" s="19">
        <v>23.146161938711515</v>
      </c>
      <c r="AD589" s="19">
        <v>28.304319564913317</v>
      </c>
      <c r="AE589" s="19">
        <v>33.437595005947244</v>
      </c>
      <c r="AF589" s="19">
        <v>38.224012910931656</v>
      </c>
      <c r="AG589" s="19">
        <v>42.373277238537021</v>
      </c>
      <c r="AH589" s="19">
        <v>45.684566741202829</v>
      </c>
      <c r="AI589" s="19">
        <v>48.084981485347235</v>
      </c>
      <c r="AJ589" s="19">
        <v>49.769547142949975</v>
      </c>
      <c r="AK589" s="19">
        <v>50.578461270076303</v>
      </c>
      <c r="AL589" s="19">
        <v>51.17359841178488</v>
      </c>
      <c r="AM589" s="19">
        <v>51.148593909214206</v>
      </c>
      <c r="AN589" s="19">
        <v>50.919107217874867</v>
      </c>
      <c r="AO589" s="19">
        <v>68.226452342322801</v>
      </c>
      <c r="AP589" s="19">
        <v>67.852650044079397</v>
      </c>
      <c r="AQ589" s="19">
        <v>17.102481243431722</v>
      </c>
      <c r="AR589" s="19">
        <v>725.7377460359877</v>
      </c>
    </row>
    <row r="590" spans="1:44" x14ac:dyDescent="0.25">
      <c r="A590" t="s">
        <v>250</v>
      </c>
      <c r="B590" t="s">
        <v>300</v>
      </c>
      <c r="C590" t="s">
        <v>44</v>
      </c>
      <c r="D590" t="s">
        <v>152</v>
      </c>
      <c r="E590" t="s">
        <v>148</v>
      </c>
      <c r="F590" t="s">
        <v>301</v>
      </c>
      <c r="G590" t="s">
        <v>31</v>
      </c>
      <c r="H590" t="s">
        <v>254</v>
      </c>
      <c r="I590" t="s">
        <v>135</v>
      </c>
      <c r="J590" t="s">
        <v>39</v>
      </c>
      <c r="K590" t="s">
        <v>31</v>
      </c>
      <c r="L590">
        <v>2.46</v>
      </c>
      <c r="M590">
        <v>1</v>
      </c>
      <c r="N590" s="2">
        <v>1.9257476908385505</v>
      </c>
      <c r="O590" s="2">
        <v>5.411417628870181</v>
      </c>
      <c r="P590" s="1">
        <v>-0.88213896288743165</v>
      </c>
      <c r="Q590" s="1">
        <v>1.5220679573740847</v>
      </c>
      <c r="R590" s="1">
        <v>-1.8625523936223547</v>
      </c>
      <c r="S590" s="19">
        <v>0</v>
      </c>
      <c r="T590" s="19">
        <v>0</v>
      </c>
      <c r="U590" s="19">
        <v>0.29949046692403569</v>
      </c>
      <c r="V590" s="19">
        <v>0.56738029680990498</v>
      </c>
      <c r="W590" s="19">
        <v>0.97756549447930996</v>
      </c>
      <c r="X590" s="19">
        <v>1.5702403518631127</v>
      </c>
      <c r="Y590" s="19">
        <v>2.3837272357852242</v>
      </c>
      <c r="Z590" s="19">
        <v>3.4481306237432405</v>
      </c>
      <c r="AA590" s="19">
        <v>4.7774277934844118</v>
      </c>
      <c r="AB590" s="19">
        <v>6.3611649468865172</v>
      </c>
      <c r="AC590" s="19">
        <v>8.1578646451859225</v>
      </c>
      <c r="AD590" s="19">
        <v>10.092955668794112</v>
      </c>
      <c r="AE590" s="19">
        <v>12.063932720443052</v>
      </c>
      <c r="AF590" s="19">
        <v>13.953986886645447</v>
      </c>
      <c r="AG590" s="19">
        <v>15.652438990550866</v>
      </c>
      <c r="AH590" s="19">
        <v>17.076821072051004</v>
      </c>
      <c r="AI590" s="19">
        <v>18.189216157020812</v>
      </c>
      <c r="AJ590" s="19">
        <v>19.052612588455233</v>
      </c>
      <c r="AK590" s="19">
        <v>19.595751443216439</v>
      </c>
      <c r="AL590" s="19">
        <v>20.066272880979561</v>
      </c>
      <c r="AM590" s="19">
        <v>20.300079176543939</v>
      </c>
      <c r="AN590" s="19">
        <v>20.455342520036183</v>
      </c>
      <c r="AO590" s="19">
        <v>20.612671816534821</v>
      </c>
      <c r="AP590" s="19">
        <v>20.772088777097402</v>
      </c>
      <c r="AQ590" s="19">
        <v>0</v>
      </c>
      <c r="AR590" s="19">
        <v>256.42716255353054</v>
      </c>
    </row>
    <row r="591" spans="1:44" x14ac:dyDescent="0.25">
      <c r="A591" t="s">
        <v>250</v>
      </c>
      <c r="B591" t="s">
        <v>300</v>
      </c>
      <c r="C591" t="s">
        <v>44</v>
      </c>
      <c r="D591" t="s">
        <v>152</v>
      </c>
      <c r="E591" t="s">
        <v>145</v>
      </c>
      <c r="F591" t="s">
        <v>301</v>
      </c>
      <c r="G591" t="s">
        <v>31</v>
      </c>
      <c r="H591" t="s">
        <v>255</v>
      </c>
      <c r="I591" t="s">
        <v>135</v>
      </c>
      <c r="J591" t="s">
        <v>39</v>
      </c>
      <c r="K591" t="s">
        <v>31</v>
      </c>
      <c r="L591">
        <v>2.46</v>
      </c>
      <c r="M591">
        <v>1</v>
      </c>
      <c r="N591" s="2">
        <v>1.9257476908385505</v>
      </c>
      <c r="O591" s="2">
        <v>5.411417628870181</v>
      </c>
      <c r="P591" s="1">
        <v>-0.88213896288743165</v>
      </c>
      <c r="Q591" s="1">
        <v>1.5220679573740847</v>
      </c>
      <c r="R591" s="1">
        <v>-1.8625523936223547</v>
      </c>
      <c r="S591" s="19">
        <v>0</v>
      </c>
      <c r="T591" s="19">
        <v>0</v>
      </c>
      <c r="U591" s="19">
        <v>0.1934700153552304</v>
      </c>
      <c r="V591" s="19">
        <v>0.36076929378704115</v>
      </c>
      <c r="W591" s="19">
        <v>0.61179303294346077</v>
      </c>
      <c r="X591" s="19">
        <v>0.96717928744875437</v>
      </c>
      <c r="Y591" s="19">
        <v>1.4449692207550513</v>
      </c>
      <c r="Z591" s="19">
        <v>2.0569610861916572</v>
      </c>
      <c r="AA591" s="19">
        <v>2.804504381799712</v>
      </c>
      <c r="AB591" s="19">
        <v>3.6744955222350328</v>
      </c>
      <c r="AC591" s="19">
        <v>4.63677730238728</v>
      </c>
      <c r="AD591" s="19">
        <v>5.6443838804074122</v>
      </c>
      <c r="AE591" s="19">
        <v>6.6378193791712388</v>
      </c>
      <c r="AF591" s="19">
        <v>7.5535872472894274</v>
      </c>
      <c r="AG591" s="19">
        <v>8.3355756766840834</v>
      </c>
      <c r="AH591" s="19">
        <v>8.9462211171153427</v>
      </c>
      <c r="AI591" s="19">
        <v>9.373594111920168</v>
      </c>
      <c r="AJ591" s="19">
        <v>9.6579944928543586</v>
      </c>
      <c r="AK591" s="19">
        <v>9.7704698870523909</v>
      </c>
      <c r="AL591" s="19">
        <v>9.8406178728945353</v>
      </c>
      <c r="AM591" s="19">
        <v>9.7912171807615263</v>
      </c>
      <c r="AN591" s="19">
        <v>9.703096226134674</v>
      </c>
      <c r="AO591" s="19">
        <v>14.319114606453343</v>
      </c>
      <c r="AP591" s="19">
        <v>14.172735208469897</v>
      </c>
      <c r="AQ591" s="19">
        <v>4.5469660859340575</v>
      </c>
      <c r="AR591" s="19">
        <v>145.04431211604566</v>
      </c>
    </row>
    <row r="592" spans="1:44" x14ac:dyDescent="0.25">
      <c r="A592" t="s">
        <v>250</v>
      </c>
      <c r="B592" t="s">
        <v>300</v>
      </c>
      <c r="C592" t="s">
        <v>44</v>
      </c>
      <c r="D592" t="s">
        <v>152</v>
      </c>
      <c r="E592" t="s">
        <v>148</v>
      </c>
      <c r="F592" t="s">
        <v>301</v>
      </c>
      <c r="G592" t="s">
        <v>31</v>
      </c>
      <c r="H592" t="s">
        <v>255</v>
      </c>
      <c r="I592" t="s">
        <v>135</v>
      </c>
      <c r="J592" t="s">
        <v>39</v>
      </c>
      <c r="K592" t="s">
        <v>31</v>
      </c>
      <c r="L592">
        <v>2.46</v>
      </c>
      <c r="M592">
        <v>1</v>
      </c>
      <c r="N592" s="2">
        <v>1.9257476908385505</v>
      </c>
      <c r="O592" s="2">
        <v>5.411417628870181</v>
      </c>
      <c r="P592" s="1">
        <v>-0.88213896288743165</v>
      </c>
      <c r="Q592" s="1">
        <v>1.5220679573740847</v>
      </c>
      <c r="R592" s="1">
        <v>-1.8625523936223547</v>
      </c>
      <c r="S592" s="19">
        <v>0</v>
      </c>
      <c r="T592" s="19">
        <v>0</v>
      </c>
      <c r="U592" s="19">
        <v>8.0327512167694154E-2</v>
      </c>
      <c r="V592" s="19">
        <v>0.15150784625900318</v>
      </c>
      <c r="W592" s="19">
        <v>0.25990130244311088</v>
      </c>
      <c r="X592" s="19">
        <v>0.41567377638057934</v>
      </c>
      <c r="Y592" s="19">
        <v>0.62833196773617606</v>
      </c>
      <c r="Z592" s="19">
        <v>0.90507511779375616</v>
      </c>
      <c r="AA592" s="19">
        <v>1.2487789968218084</v>
      </c>
      <c r="AB592" s="19">
        <v>1.65592577558397</v>
      </c>
      <c r="AC592" s="19">
        <v>2.1150257908157055</v>
      </c>
      <c r="AD592" s="19">
        <v>2.6062417214046456</v>
      </c>
      <c r="AE592" s="19">
        <v>3.1028769761902608</v>
      </c>
      <c r="AF592" s="19">
        <v>3.5749948685298221</v>
      </c>
      <c r="AG592" s="19">
        <v>3.9946864439507106</v>
      </c>
      <c r="AH592" s="19">
        <v>4.3416351708281393</v>
      </c>
      <c r="AI592" s="19">
        <v>4.6071029231423486</v>
      </c>
      <c r="AJ592" s="19">
        <v>4.8079290693674892</v>
      </c>
      <c r="AK592" s="19">
        <v>4.9269359086341353</v>
      </c>
      <c r="AL592" s="19">
        <v>5.0270708059412401</v>
      </c>
      <c r="AM592" s="19">
        <v>5.0675852740896739</v>
      </c>
      <c r="AN592" s="19">
        <v>5.0884651236850429</v>
      </c>
      <c r="AO592" s="19">
        <v>5.1099026731914341</v>
      </c>
      <c r="AP592" s="19">
        <v>5.1319012649095379</v>
      </c>
      <c r="AQ592" s="19">
        <v>0</v>
      </c>
      <c r="AR592" s="19">
        <v>64.847876309866294</v>
      </c>
    </row>
    <row r="593" spans="1:44" x14ac:dyDescent="0.25">
      <c r="A593" t="s">
        <v>250</v>
      </c>
      <c r="B593" t="s">
        <v>300</v>
      </c>
      <c r="C593" t="s">
        <v>44</v>
      </c>
      <c r="D593" t="s">
        <v>152</v>
      </c>
      <c r="E593" t="s">
        <v>145</v>
      </c>
      <c r="F593" t="s">
        <v>301</v>
      </c>
      <c r="G593" t="s">
        <v>31</v>
      </c>
      <c r="H593" t="s">
        <v>288</v>
      </c>
      <c r="I593" t="s">
        <v>135</v>
      </c>
      <c r="J593" t="s">
        <v>39</v>
      </c>
      <c r="K593" t="s">
        <v>33</v>
      </c>
      <c r="L593">
        <v>2.46</v>
      </c>
      <c r="M593">
        <v>1</v>
      </c>
      <c r="N593" s="2">
        <v>1.9257476908385505</v>
      </c>
      <c r="O593" s="2">
        <v>5.411417628870181</v>
      </c>
      <c r="P593" s="1">
        <v>-0.88213896288743165</v>
      </c>
      <c r="Q593" s="1">
        <v>1.5220679573740847</v>
      </c>
      <c r="R593" s="1">
        <v>-1.8625523936223547</v>
      </c>
      <c r="S593" s="19">
        <v>0</v>
      </c>
      <c r="T593" s="19">
        <v>0</v>
      </c>
      <c r="U593" s="19">
        <v>5.6053561844658581E-2</v>
      </c>
      <c r="V593" s="19">
        <v>0.1051575885507237</v>
      </c>
      <c r="W593" s="19">
        <v>0.1794060493912896</v>
      </c>
      <c r="X593" s="19">
        <v>0.28533894235766888</v>
      </c>
      <c r="Y593" s="19">
        <v>0.42887838607759565</v>
      </c>
      <c r="Z593" s="19">
        <v>0.61421885374146135</v>
      </c>
      <c r="AA593" s="19">
        <v>0.84250928187392815</v>
      </c>
      <c r="AB593" s="19">
        <v>1.1105491846039857</v>
      </c>
      <c r="AC593" s="19">
        <v>1.4098659333732102</v>
      </c>
      <c r="AD593" s="19">
        <v>1.7266313644574869</v>
      </c>
      <c r="AE593" s="19">
        <v>2.0428196056587704</v>
      </c>
      <c r="AF593" s="19">
        <v>2.3387259809926517</v>
      </c>
      <c r="AG593" s="19">
        <v>2.5964693058058517</v>
      </c>
      <c r="AH593" s="19">
        <v>2.8035527126830835</v>
      </c>
      <c r="AI593" s="19">
        <v>2.9552671478425769</v>
      </c>
      <c r="AJ593" s="19">
        <v>3.0633672081199856</v>
      </c>
      <c r="AK593" s="19">
        <v>3.1178057962142849</v>
      </c>
      <c r="AL593" s="19">
        <v>3.1592026217452447</v>
      </c>
      <c r="AM593" s="19">
        <v>3.1623745119277196</v>
      </c>
      <c r="AN593" s="19">
        <v>3.1528873883919371</v>
      </c>
      <c r="AO593" s="19">
        <v>4.0982991227134367</v>
      </c>
      <c r="AP593" s="19">
        <v>4.0822723089526578</v>
      </c>
      <c r="AQ593" s="19">
        <v>0.93396362506950381</v>
      </c>
      <c r="AR593" s="19">
        <v>44.26561648238971</v>
      </c>
    </row>
    <row r="594" spans="1:44" x14ac:dyDescent="0.25">
      <c r="A594" t="s">
        <v>250</v>
      </c>
      <c r="B594" t="s">
        <v>300</v>
      </c>
      <c r="C594" t="s">
        <v>44</v>
      </c>
      <c r="D594" t="s">
        <v>152</v>
      </c>
      <c r="E594" t="s">
        <v>148</v>
      </c>
      <c r="F594" t="s">
        <v>301</v>
      </c>
      <c r="G594" t="s">
        <v>31</v>
      </c>
      <c r="H594" t="s">
        <v>288</v>
      </c>
      <c r="I594" t="s">
        <v>135</v>
      </c>
      <c r="J594" t="s">
        <v>39</v>
      </c>
      <c r="K594" t="s">
        <v>33</v>
      </c>
      <c r="L594">
        <v>2.46</v>
      </c>
      <c r="M594">
        <v>1</v>
      </c>
      <c r="N594" s="2">
        <v>1.9257476908385505</v>
      </c>
      <c r="O594" s="2">
        <v>5.411417628870181</v>
      </c>
      <c r="P594" s="1">
        <v>-0.88213896288743165</v>
      </c>
      <c r="Q594" s="1">
        <v>1.5220679573740847</v>
      </c>
      <c r="R594" s="1">
        <v>-1.8625523936223547</v>
      </c>
      <c r="S594" s="19">
        <v>0</v>
      </c>
      <c r="T594" s="19">
        <v>0</v>
      </c>
      <c r="U594" s="19">
        <v>1.630804099354061E-2</v>
      </c>
      <c r="V594" s="19">
        <v>3.0940165908008258E-2</v>
      </c>
      <c r="W594" s="19">
        <v>5.3384687284332134E-2</v>
      </c>
      <c r="X594" s="19">
        <v>8.5872144736024655E-2</v>
      </c>
      <c r="Y594" s="19">
        <v>0.13054221857648013</v>
      </c>
      <c r="Z594" s="19">
        <v>0.18909469493999712</v>
      </c>
      <c r="AA594" s="19">
        <v>0.2623517441348906</v>
      </c>
      <c r="AB594" s="19">
        <v>0.34979507366494828</v>
      </c>
      <c r="AC594" s="19">
        <v>0.44919383755099818</v>
      </c>
      <c r="AD594" s="19">
        <v>0.55647930048145844</v>
      </c>
      <c r="AE594" s="19">
        <v>0.66601811089356633</v>
      </c>
      <c r="AF594" s="19">
        <v>0.77135641364262397</v>
      </c>
      <c r="AG594" s="19">
        <v>0.86634657659701086</v>
      </c>
      <c r="AH594" s="19">
        <v>0.94637395431215843</v>
      </c>
      <c r="AI594" s="19">
        <v>1.0092741077621934</v>
      </c>
      <c r="AJ594" s="19">
        <v>1.0584794041452208</v>
      </c>
      <c r="AK594" s="19">
        <v>1.0899733974999222</v>
      </c>
      <c r="AL594" s="19">
        <v>1.1174811556802804</v>
      </c>
      <c r="AM594" s="19">
        <v>1.1318378293983593</v>
      </c>
      <c r="AN594" s="19">
        <v>1.1418254387176292</v>
      </c>
      <c r="AO594" s="19">
        <v>1.1519331677374098</v>
      </c>
      <c r="AP594" s="19">
        <v>1.1621623391710325</v>
      </c>
      <c r="AQ594" s="19">
        <v>0</v>
      </c>
      <c r="AR594" s="19">
        <v>14.237023803828086</v>
      </c>
    </row>
    <row r="595" spans="1:44" x14ac:dyDescent="0.25">
      <c r="A595" t="s">
        <v>250</v>
      </c>
      <c r="B595" t="s">
        <v>300</v>
      </c>
      <c r="C595" t="s">
        <v>44</v>
      </c>
      <c r="D595" t="s">
        <v>152</v>
      </c>
      <c r="E595" t="s">
        <v>145</v>
      </c>
      <c r="F595" t="s">
        <v>301</v>
      </c>
      <c r="G595" t="s">
        <v>31</v>
      </c>
      <c r="H595" t="s">
        <v>274</v>
      </c>
      <c r="I595" t="s">
        <v>135</v>
      </c>
      <c r="J595" t="s">
        <v>39</v>
      </c>
      <c r="K595" t="s">
        <v>33</v>
      </c>
      <c r="L595">
        <v>2.46</v>
      </c>
      <c r="M595">
        <v>1</v>
      </c>
      <c r="N595" s="2">
        <v>1.9257476908385505</v>
      </c>
      <c r="O595" s="2">
        <v>5.411417628870181</v>
      </c>
      <c r="P595" s="1">
        <v>-0.88213896288743165</v>
      </c>
      <c r="Q595" s="1">
        <v>1.5220679573740847</v>
      </c>
      <c r="R595" s="1">
        <v>-1.8625523936223547</v>
      </c>
      <c r="S595" s="19">
        <v>0</v>
      </c>
      <c r="T595" s="19">
        <v>0</v>
      </c>
      <c r="U595" s="19">
        <v>8.2264718165949195E-4</v>
      </c>
      <c r="V595" s="19">
        <v>1.5408256384249934E-3</v>
      </c>
      <c r="W595" s="19">
        <v>2.624535423607916E-3</v>
      </c>
      <c r="X595" s="19">
        <v>4.1675314047630238E-3</v>
      </c>
      <c r="Y595" s="19">
        <v>6.2539509688577894E-3</v>
      </c>
      <c r="Z595" s="19">
        <v>8.9422320053811136E-3</v>
      </c>
      <c r="AA595" s="19">
        <v>1.2246160934724491E-2</v>
      </c>
      <c r="AB595" s="19">
        <v>1.611630745677432E-2</v>
      </c>
      <c r="AC595" s="19">
        <v>2.0427162384185123E-2</v>
      </c>
      <c r="AD595" s="19">
        <v>2.4976543040553342E-2</v>
      </c>
      <c r="AE595" s="19">
        <v>2.9502933337863926E-2</v>
      </c>
      <c r="AF595" s="19">
        <v>3.3722285357983627E-2</v>
      </c>
      <c r="AG595" s="19">
        <v>3.7378625717879352E-2</v>
      </c>
      <c r="AH595" s="19">
        <v>4.029501679762891E-2</v>
      </c>
      <c r="AI595" s="19">
        <v>4.2407418789317294E-2</v>
      </c>
      <c r="AJ595" s="19">
        <v>4.3888084892502462E-2</v>
      </c>
      <c r="AK595" s="19">
        <v>4.4596328862455216E-2</v>
      </c>
      <c r="AL595" s="19">
        <v>4.5115939802744046E-2</v>
      </c>
      <c r="AM595" s="19">
        <v>4.5088761525754438E-2</v>
      </c>
      <c r="AN595" s="19">
        <v>4.4881353222735967E-2</v>
      </c>
      <c r="AO595" s="19">
        <v>6.0277575165787446E-2</v>
      </c>
      <c r="AP595" s="19">
        <v>5.9940123829609539E-2</v>
      </c>
      <c r="AQ595" s="19">
        <v>1.5213775430996279E-2</v>
      </c>
      <c r="AR595" s="19">
        <v>0.64042611917219028</v>
      </c>
    </row>
    <row r="596" spans="1:44" x14ac:dyDescent="0.25">
      <c r="A596" t="s">
        <v>250</v>
      </c>
      <c r="B596" t="s">
        <v>300</v>
      </c>
      <c r="C596" t="s">
        <v>44</v>
      </c>
      <c r="D596" t="s">
        <v>152</v>
      </c>
      <c r="E596" t="s">
        <v>148</v>
      </c>
      <c r="F596" t="s">
        <v>301</v>
      </c>
      <c r="G596" t="s">
        <v>31</v>
      </c>
      <c r="H596" t="s">
        <v>274</v>
      </c>
      <c r="I596" t="s">
        <v>135</v>
      </c>
      <c r="J596" t="s">
        <v>39</v>
      </c>
      <c r="K596" t="s">
        <v>33</v>
      </c>
      <c r="L596">
        <v>2.46</v>
      </c>
      <c r="M596">
        <v>1</v>
      </c>
      <c r="N596" s="2">
        <v>1.9257476908385505</v>
      </c>
      <c r="O596" s="2">
        <v>5.411417628870181</v>
      </c>
      <c r="P596" s="1">
        <v>-0.88213896288743165</v>
      </c>
      <c r="Q596" s="1">
        <v>1.5220679573740847</v>
      </c>
      <c r="R596" s="1">
        <v>-1.8625523936223547</v>
      </c>
      <c r="S596" s="19">
        <v>0</v>
      </c>
      <c r="T596" s="19">
        <v>0</v>
      </c>
      <c r="U596" s="19">
        <v>2.6647499335079913E-4</v>
      </c>
      <c r="V596" s="19">
        <v>5.0477709977240972E-4</v>
      </c>
      <c r="W596" s="19">
        <v>8.6960843227416971E-4</v>
      </c>
      <c r="X596" s="19">
        <v>1.3966804149953124E-3</v>
      </c>
      <c r="Y596" s="19">
        <v>2.1200253015085688E-3</v>
      </c>
      <c r="Z596" s="19">
        <v>3.0663541590459434E-3</v>
      </c>
      <c r="AA596" s="19">
        <v>4.2480282446695442E-3</v>
      </c>
      <c r="AB596" s="19">
        <v>5.6556837864169167E-3</v>
      </c>
      <c r="AC596" s="19">
        <v>7.252382371829358E-3</v>
      </c>
      <c r="AD596" s="19">
        <v>8.9717845237419856E-3</v>
      </c>
      <c r="AE596" s="19">
        <v>1.0722749943664933E-2</v>
      </c>
      <c r="AF596" s="19">
        <v>1.2401462812379541E-2</v>
      </c>
      <c r="AG596" s="19">
        <v>1.3909595003371586E-2</v>
      </c>
      <c r="AH596" s="19">
        <v>1.5173923109794896E-2</v>
      </c>
      <c r="AI596" s="19">
        <v>1.6160833025474466E-2</v>
      </c>
      <c r="AJ596" s="19">
        <v>1.6926365844207859E-2</v>
      </c>
      <c r="AK596" s="19">
        <v>1.7407285538991377E-2</v>
      </c>
      <c r="AL596" s="19">
        <v>1.7823635963826936E-2</v>
      </c>
      <c r="AM596" s="19">
        <v>1.8029691284180565E-2</v>
      </c>
      <c r="AN596" s="19">
        <v>1.8165978333127157E-2</v>
      </c>
      <c r="AO596" s="19">
        <v>1.8304096904045549E-2</v>
      </c>
      <c r="AP596" s="19">
        <v>1.8444066141677404E-2</v>
      </c>
      <c r="AQ596" s="19">
        <v>0</v>
      </c>
      <c r="AR596" s="19">
        <v>0.2278214832323473</v>
      </c>
    </row>
    <row r="597" spans="1:44" x14ac:dyDescent="0.25">
      <c r="A597" t="s">
        <v>250</v>
      </c>
      <c r="B597" t="s">
        <v>300</v>
      </c>
      <c r="C597" t="s">
        <v>44</v>
      </c>
      <c r="D597" t="s">
        <v>152</v>
      </c>
      <c r="E597" t="s">
        <v>145</v>
      </c>
      <c r="F597" t="s">
        <v>301</v>
      </c>
      <c r="G597" t="s">
        <v>31</v>
      </c>
      <c r="H597" t="s">
        <v>253</v>
      </c>
      <c r="I597" t="s">
        <v>256</v>
      </c>
      <c r="J597" t="s">
        <v>39</v>
      </c>
      <c r="K597" t="s">
        <v>31</v>
      </c>
      <c r="L597">
        <v>2.46</v>
      </c>
      <c r="M597">
        <v>0</v>
      </c>
      <c r="N597" s="2">
        <v>0.96459681432133348</v>
      </c>
      <c r="O597" s="2">
        <v>2.7105504166527381</v>
      </c>
      <c r="P597" s="1">
        <v>0.5807979884614396</v>
      </c>
      <c r="Q597" s="1">
        <v>0.4672931329656026</v>
      </c>
      <c r="R597" s="1">
        <v>-0.39961544227348333</v>
      </c>
      <c r="S597" s="19">
        <v>0</v>
      </c>
      <c r="T597" s="19">
        <v>0</v>
      </c>
      <c r="U597" s="19">
        <v>3.6212028396915511E-4</v>
      </c>
      <c r="V597" s="19">
        <v>6.785952733277459E-4</v>
      </c>
      <c r="W597" s="19">
        <v>1.1564526852327385E-3</v>
      </c>
      <c r="X597" s="19">
        <v>1.8372675609923056E-3</v>
      </c>
      <c r="Y597" s="19">
        <v>2.7584562098672007E-3</v>
      </c>
      <c r="Z597" s="19">
        <v>3.9461687342337006E-3</v>
      </c>
      <c r="AA597" s="19">
        <v>5.4068930147095316E-3</v>
      </c>
      <c r="AB597" s="19">
        <v>7.1192042630337368E-3</v>
      </c>
      <c r="AC597" s="19">
        <v>9.0280103250519623E-3</v>
      </c>
      <c r="AD597" s="19">
        <v>1.1044204254885963E-2</v>
      </c>
      <c r="AE597" s="19">
        <v>1.3052250364285523E-2</v>
      </c>
      <c r="AF597" s="19">
        <v>1.4926407458815133E-2</v>
      </c>
      <c r="AG597" s="19">
        <v>1.6553114513285953E-2</v>
      </c>
      <c r="AH597" s="19">
        <v>1.7853601082728533E-2</v>
      </c>
      <c r="AI597" s="19">
        <v>1.8798985835426611E-2</v>
      </c>
      <c r="AJ597" s="19">
        <v>1.946512996865106E-2</v>
      </c>
      <c r="AK597" s="19">
        <v>1.978918383027499E-2</v>
      </c>
      <c r="AL597" s="19">
        <v>2.0029812228433249E-2</v>
      </c>
      <c r="AM597" s="19">
        <v>2.0027801203109107E-2</v>
      </c>
      <c r="AN597" s="19">
        <v>1.9945687218176359E-2</v>
      </c>
      <c r="AO597" s="19">
        <v>2.6513223852670829E-2</v>
      </c>
      <c r="AP597" s="19">
        <v>2.6378769515292385E-2</v>
      </c>
      <c r="AQ597" s="19">
        <v>6.4898742275994103E-3</v>
      </c>
      <c r="AR597" s="19">
        <v>0.28316121390405319</v>
      </c>
    </row>
    <row r="598" spans="1:44" x14ac:dyDescent="0.25">
      <c r="A598" t="s">
        <v>250</v>
      </c>
      <c r="B598" t="s">
        <v>300</v>
      </c>
      <c r="C598" t="s">
        <v>44</v>
      </c>
      <c r="D598" t="s">
        <v>152</v>
      </c>
      <c r="E598" t="s">
        <v>148</v>
      </c>
      <c r="F598" t="s">
        <v>301</v>
      </c>
      <c r="G598" t="s">
        <v>31</v>
      </c>
      <c r="H598" t="s">
        <v>253</v>
      </c>
      <c r="I598" t="s">
        <v>256</v>
      </c>
      <c r="J598" t="s">
        <v>39</v>
      </c>
      <c r="K598" t="s">
        <v>31</v>
      </c>
      <c r="L598">
        <v>2.46</v>
      </c>
      <c r="M598">
        <v>0</v>
      </c>
      <c r="N598" s="2">
        <v>0.96459681432133348</v>
      </c>
      <c r="O598" s="2">
        <v>2.7105504166527381</v>
      </c>
      <c r="P598" s="1">
        <v>0.5807979884614396</v>
      </c>
      <c r="Q598" s="1">
        <v>0.4672931329656026</v>
      </c>
      <c r="R598" s="1">
        <v>-0.39961544227348333</v>
      </c>
      <c r="S598" s="19">
        <v>0</v>
      </c>
      <c r="T598" s="19">
        <v>0</v>
      </c>
      <c r="U598" s="19">
        <v>1.1356230637013148E-4</v>
      </c>
      <c r="V598" s="19">
        <v>2.1522333787463849E-4</v>
      </c>
      <c r="W598" s="19">
        <v>3.7095653069921025E-4</v>
      </c>
      <c r="X598" s="19">
        <v>5.9607852603956401E-4</v>
      </c>
      <c r="Y598" s="19">
        <v>9.0521602464497413E-4</v>
      </c>
      <c r="Z598" s="19">
        <v>1.3098931467515698E-3</v>
      </c>
      <c r="AA598" s="19">
        <v>1.8155195853632039E-3</v>
      </c>
      <c r="AB598" s="19">
        <v>2.4182226133093649E-3</v>
      </c>
      <c r="AC598" s="19">
        <v>3.1023236713937589E-3</v>
      </c>
      <c r="AD598" s="19">
        <v>3.8395307641440985E-3</v>
      </c>
      <c r="AE598" s="19">
        <v>4.5908812558583621E-3</v>
      </c>
      <c r="AF598" s="19">
        <v>5.3119139667764156E-3</v>
      </c>
      <c r="AG598" s="19">
        <v>5.9604427471628653E-3</v>
      </c>
      <c r="AH598" s="19">
        <v>6.5049734430097711E-3</v>
      </c>
      <c r="AI598" s="19">
        <v>6.9309491421567669E-3</v>
      </c>
      <c r="AJ598" s="19">
        <v>7.2622589769472641E-3</v>
      </c>
      <c r="AK598" s="19">
        <v>7.4716382049242382E-3</v>
      </c>
      <c r="AL598" s="19">
        <v>7.6534209727890205E-3</v>
      </c>
      <c r="AM598" s="19">
        <v>7.7449722580732591E-3</v>
      </c>
      <c r="AN598" s="19">
        <v>7.8065728748859314E-3</v>
      </c>
      <c r="AO598" s="19">
        <v>7.8689678413967866E-3</v>
      </c>
      <c r="AP598" s="19">
        <v>7.9321656411736122E-3</v>
      </c>
      <c r="AQ598" s="19">
        <v>0</v>
      </c>
      <c r="AR598" s="19">
        <v>9.7725683831744806E-2</v>
      </c>
    </row>
    <row r="599" spans="1:44" x14ac:dyDescent="0.25">
      <c r="A599" t="s">
        <v>250</v>
      </c>
      <c r="B599" t="s">
        <v>300</v>
      </c>
      <c r="C599" t="s">
        <v>44</v>
      </c>
      <c r="D599" t="s">
        <v>152</v>
      </c>
      <c r="E599" t="s">
        <v>145</v>
      </c>
      <c r="F599" t="s">
        <v>301</v>
      </c>
      <c r="G599" t="s">
        <v>31</v>
      </c>
      <c r="H599" t="s">
        <v>272</v>
      </c>
      <c r="I599" t="s">
        <v>135</v>
      </c>
      <c r="J599" t="s">
        <v>40</v>
      </c>
      <c r="K599" t="s">
        <v>31</v>
      </c>
      <c r="L599">
        <v>2.46</v>
      </c>
      <c r="M599">
        <v>1</v>
      </c>
      <c r="N599" s="2">
        <v>1.9257476908385505</v>
      </c>
      <c r="O599" s="2">
        <v>4.174629416081447</v>
      </c>
      <c r="P599" s="1">
        <v>-0.88213896288743165</v>
      </c>
      <c r="Q599" s="1">
        <v>0.4672931329656026</v>
      </c>
      <c r="R599" s="1">
        <v>-1.7195523936223542</v>
      </c>
      <c r="S599" s="19">
        <v>0</v>
      </c>
      <c r="T599" s="19">
        <v>0</v>
      </c>
      <c r="U599" s="19">
        <v>5.3418788027194061E-2</v>
      </c>
      <c r="V599" s="19">
        <v>0.10005387485781214</v>
      </c>
      <c r="W599" s="19">
        <v>0.17042482438310258</v>
      </c>
      <c r="X599" s="19">
        <v>0.27061963095603042</v>
      </c>
      <c r="Y599" s="19">
        <v>0.40610177556793736</v>
      </c>
      <c r="Z599" s="19">
        <v>0.58066593630313501</v>
      </c>
      <c r="AA599" s="19">
        <v>0.7952073376089519</v>
      </c>
      <c r="AB599" s="19">
        <v>1.0465162113335502</v>
      </c>
      <c r="AC599" s="19">
        <v>1.3264425889074789</v>
      </c>
      <c r="AD599" s="19">
        <v>1.6218576907343776</v>
      </c>
      <c r="AE599" s="19">
        <v>1.91577990819414</v>
      </c>
      <c r="AF599" s="19">
        <v>2.1897645229839364</v>
      </c>
      <c r="AG599" s="19">
        <v>2.4271898433339532</v>
      </c>
      <c r="AH599" s="19">
        <v>2.6165663833219379</v>
      </c>
      <c r="AI599" s="19">
        <v>2.753735702974371</v>
      </c>
      <c r="AJ599" s="19">
        <v>2.8498831042765236</v>
      </c>
      <c r="AK599" s="19">
        <v>2.8958730928717857</v>
      </c>
      <c r="AL599" s="19">
        <v>2.9296141513653033</v>
      </c>
      <c r="AM599" s="19">
        <v>2.9278493235632759</v>
      </c>
      <c r="AN599" s="19">
        <v>2.9143812166748848</v>
      </c>
      <c r="AO599" s="19">
        <v>3.9141385059862119</v>
      </c>
      <c r="AP599" s="19">
        <v>3.8922260241851983</v>
      </c>
      <c r="AQ599" s="19">
        <v>0.98791008218407261</v>
      </c>
      <c r="AR599" s="19">
        <v>41.586220520595162</v>
      </c>
    </row>
    <row r="600" spans="1:44" x14ac:dyDescent="0.25">
      <c r="A600" t="s">
        <v>250</v>
      </c>
      <c r="B600" t="s">
        <v>300</v>
      </c>
      <c r="C600" t="s">
        <v>44</v>
      </c>
      <c r="D600" t="s">
        <v>152</v>
      </c>
      <c r="E600" t="s">
        <v>148</v>
      </c>
      <c r="F600" t="s">
        <v>301</v>
      </c>
      <c r="G600" t="s">
        <v>31</v>
      </c>
      <c r="H600" t="s">
        <v>272</v>
      </c>
      <c r="I600" t="s">
        <v>135</v>
      </c>
      <c r="J600" t="s">
        <v>40</v>
      </c>
      <c r="K600" t="s">
        <v>31</v>
      </c>
      <c r="L600">
        <v>2.46</v>
      </c>
      <c r="M600">
        <v>1</v>
      </c>
      <c r="N600" s="2">
        <v>1.9257476908385505</v>
      </c>
      <c r="O600" s="2">
        <v>4.174629416081447</v>
      </c>
      <c r="P600" s="1">
        <v>-0.88213896288743165</v>
      </c>
      <c r="Q600" s="1">
        <v>0.4672931329656026</v>
      </c>
      <c r="R600" s="1">
        <v>-1.7195523936223542</v>
      </c>
      <c r="S600" s="19">
        <v>0</v>
      </c>
      <c r="T600" s="19">
        <v>0</v>
      </c>
      <c r="U600" s="19">
        <v>1.730361630321155E-2</v>
      </c>
      <c r="V600" s="19">
        <v>3.2777819574279596E-2</v>
      </c>
      <c r="W600" s="19">
        <v>5.6468227869699766E-2</v>
      </c>
      <c r="X600" s="19">
        <v>9.0693770906577667E-2</v>
      </c>
      <c r="Y600" s="19">
        <v>0.13766434106675254</v>
      </c>
      <c r="Z600" s="19">
        <v>0.19911442777686281</v>
      </c>
      <c r="AA600" s="19">
        <v>0.27584671216860523</v>
      </c>
      <c r="AB600" s="19">
        <v>0.36725315550949711</v>
      </c>
      <c r="AC600" s="19">
        <v>0.47093515330763558</v>
      </c>
      <c r="AD600" s="19">
        <v>0.582584936026454</v>
      </c>
      <c r="AE600" s="19">
        <v>0.69628428696949629</v>
      </c>
      <c r="AF600" s="19">
        <v>0.80529190152363028</v>
      </c>
      <c r="AG600" s="19">
        <v>0.90322281969085205</v>
      </c>
      <c r="AH600" s="19">
        <v>0.98532226234332754</v>
      </c>
      <c r="AI600" s="19">
        <v>1.0494074895986445</v>
      </c>
      <c r="AJ600" s="19">
        <v>1.0991175430498714</v>
      </c>
      <c r="AK600" s="19">
        <v>1.1303461764257436</v>
      </c>
      <c r="AL600" s="19">
        <v>1.1573819890865975</v>
      </c>
      <c r="AM600" s="19">
        <v>1.1707622397277586</v>
      </c>
      <c r="AN600" s="19">
        <v>1.1796120712725846</v>
      </c>
      <c r="AO600" s="19">
        <v>1.1885808331270205</v>
      </c>
      <c r="AP600" s="19">
        <v>1.1976697684593001</v>
      </c>
      <c r="AQ600" s="19">
        <v>0</v>
      </c>
      <c r="AR600" s="19">
        <v>14.793641541784403</v>
      </c>
    </row>
    <row r="601" spans="1:44" x14ac:dyDescent="0.25">
      <c r="A601" t="s">
        <v>250</v>
      </c>
      <c r="B601" t="s">
        <v>300</v>
      </c>
      <c r="C601" t="s">
        <v>44</v>
      </c>
      <c r="D601" t="s">
        <v>152</v>
      </c>
      <c r="E601" t="s">
        <v>145</v>
      </c>
      <c r="F601" t="s">
        <v>301</v>
      </c>
      <c r="G601" t="s">
        <v>31</v>
      </c>
      <c r="H601" t="s">
        <v>277</v>
      </c>
      <c r="I601" t="s">
        <v>135</v>
      </c>
      <c r="J601" t="s">
        <v>40</v>
      </c>
      <c r="K601" t="s">
        <v>31</v>
      </c>
      <c r="L601">
        <v>2.46</v>
      </c>
      <c r="M601">
        <v>1</v>
      </c>
      <c r="N601" s="2">
        <v>1.9257476908385505</v>
      </c>
      <c r="O601" s="2">
        <v>4.174629416081447</v>
      </c>
      <c r="P601" s="1">
        <v>-0.88213896288743165</v>
      </c>
      <c r="Q601" s="1">
        <v>0.4672931329656026</v>
      </c>
      <c r="R601" s="1">
        <v>-1.7195523936223542</v>
      </c>
      <c r="S601" s="19">
        <v>0</v>
      </c>
      <c r="T601" s="19">
        <v>0</v>
      </c>
      <c r="U601" s="19">
        <v>0</v>
      </c>
      <c r="V601" s="19">
        <v>0</v>
      </c>
      <c r="W601" s="19">
        <v>0</v>
      </c>
      <c r="X601" s="19">
        <v>0</v>
      </c>
      <c r="Y601" s="19">
        <v>0</v>
      </c>
      <c r="Z601" s="19">
        <v>0</v>
      </c>
      <c r="AA601" s="19">
        <v>0</v>
      </c>
      <c r="AB601" s="19">
        <v>0</v>
      </c>
      <c r="AC601" s="19">
        <v>0</v>
      </c>
      <c r="AD601" s="19">
        <v>0</v>
      </c>
      <c r="AE601" s="19">
        <v>0</v>
      </c>
      <c r="AF601" s="19">
        <v>0</v>
      </c>
      <c r="AG601" s="19">
        <v>0</v>
      </c>
      <c r="AH601" s="19">
        <v>0</v>
      </c>
      <c r="AI601" s="19">
        <v>0</v>
      </c>
      <c r="AJ601" s="19">
        <v>0</v>
      </c>
      <c r="AK601" s="19">
        <v>0</v>
      </c>
      <c r="AL601" s="19">
        <v>0</v>
      </c>
      <c r="AM601" s="19">
        <v>0</v>
      </c>
      <c r="AN601" s="19">
        <v>0</v>
      </c>
      <c r="AO601" s="19">
        <v>0</v>
      </c>
      <c r="AP601" s="19">
        <v>0</v>
      </c>
      <c r="AQ601" s="19">
        <v>0</v>
      </c>
      <c r="AR601" s="19">
        <v>0</v>
      </c>
    </row>
    <row r="602" spans="1:44" x14ac:dyDescent="0.25">
      <c r="A602" t="s">
        <v>250</v>
      </c>
      <c r="B602" t="s">
        <v>300</v>
      </c>
      <c r="C602" t="s">
        <v>44</v>
      </c>
      <c r="D602" t="s">
        <v>152</v>
      </c>
      <c r="E602" t="s">
        <v>148</v>
      </c>
      <c r="F602" t="s">
        <v>301</v>
      </c>
      <c r="G602" t="s">
        <v>31</v>
      </c>
      <c r="H602" t="s">
        <v>277</v>
      </c>
      <c r="I602" t="s">
        <v>135</v>
      </c>
      <c r="J602" t="s">
        <v>40</v>
      </c>
      <c r="K602" t="s">
        <v>31</v>
      </c>
      <c r="L602">
        <v>2.46</v>
      </c>
      <c r="M602">
        <v>1</v>
      </c>
      <c r="N602" s="2">
        <v>1.9257476908385505</v>
      </c>
      <c r="O602" s="2">
        <v>4.174629416081447</v>
      </c>
      <c r="P602" s="1">
        <v>-0.88213896288743165</v>
      </c>
      <c r="Q602" s="1">
        <v>0.4672931329656026</v>
      </c>
      <c r="R602" s="1">
        <v>-1.7195523936223542</v>
      </c>
      <c r="S602" s="19">
        <v>0</v>
      </c>
      <c r="T602" s="19">
        <v>0</v>
      </c>
      <c r="U602" s="19">
        <v>0</v>
      </c>
      <c r="V602" s="19">
        <v>0</v>
      </c>
      <c r="W602" s="19">
        <v>0</v>
      </c>
      <c r="X602" s="19">
        <v>0</v>
      </c>
      <c r="Y602" s="19">
        <v>0</v>
      </c>
      <c r="Z602" s="19">
        <v>0</v>
      </c>
      <c r="AA602" s="19">
        <v>0</v>
      </c>
      <c r="AB602" s="19">
        <v>0</v>
      </c>
      <c r="AC602" s="19">
        <v>0</v>
      </c>
      <c r="AD602" s="19">
        <v>0</v>
      </c>
      <c r="AE602" s="19">
        <v>0</v>
      </c>
      <c r="AF602" s="19">
        <v>0</v>
      </c>
      <c r="AG602" s="19">
        <v>0</v>
      </c>
      <c r="AH602" s="19">
        <v>0</v>
      </c>
      <c r="AI602" s="19">
        <v>0</v>
      </c>
      <c r="AJ602" s="19">
        <v>0</v>
      </c>
      <c r="AK602" s="19">
        <v>0</v>
      </c>
      <c r="AL602" s="19">
        <v>0</v>
      </c>
      <c r="AM602" s="19">
        <v>0</v>
      </c>
      <c r="AN602" s="19">
        <v>0</v>
      </c>
      <c r="AO602" s="19">
        <v>0</v>
      </c>
      <c r="AP602" s="19">
        <v>0</v>
      </c>
      <c r="AQ602" s="19">
        <v>0</v>
      </c>
      <c r="AR602" s="19">
        <v>0</v>
      </c>
    </row>
    <row r="603" spans="1:44" x14ac:dyDescent="0.25">
      <c r="A603" t="s">
        <v>250</v>
      </c>
      <c r="B603" t="s">
        <v>300</v>
      </c>
      <c r="C603" t="s">
        <v>44</v>
      </c>
      <c r="D603" t="s">
        <v>152</v>
      </c>
      <c r="E603" t="s">
        <v>145</v>
      </c>
      <c r="F603" t="s">
        <v>301</v>
      </c>
      <c r="G603" t="s">
        <v>31</v>
      </c>
      <c r="H603" t="s">
        <v>253</v>
      </c>
      <c r="I603" t="s">
        <v>135</v>
      </c>
      <c r="J603" t="s">
        <v>40</v>
      </c>
      <c r="K603" t="s">
        <v>31</v>
      </c>
      <c r="L603">
        <v>2.46</v>
      </c>
      <c r="M603">
        <v>1</v>
      </c>
      <c r="N603" s="2">
        <v>1.9257476908385505</v>
      </c>
      <c r="O603" s="2">
        <v>4.174629416081447</v>
      </c>
      <c r="P603" s="1">
        <v>-0.88213896288743165</v>
      </c>
      <c r="Q603" s="1">
        <v>0.4672931329656026</v>
      </c>
      <c r="R603" s="1">
        <v>-1.7195523936223542</v>
      </c>
      <c r="S603" s="19">
        <v>0</v>
      </c>
      <c r="T603" s="19">
        <v>0</v>
      </c>
      <c r="U603" s="19">
        <v>3.631280777161291E-4</v>
      </c>
      <c r="V603" s="19">
        <v>6.8048382832855913E-4</v>
      </c>
      <c r="W603" s="19">
        <v>1.1596711345614374E-3</v>
      </c>
      <c r="X603" s="19">
        <v>1.8423807425550485E-3</v>
      </c>
      <c r="Y603" s="19">
        <v>2.7661330925017099E-3</v>
      </c>
      <c r="Z603" s="19">
        <v>3.9571510634511496E-3</v>
      </c>
      <c r="AA603" s="19">
        <v>5.4219405920257089E-3</v>
      </c>
      <c r="AB603" s="19">
        <v>7.1390172640097543E-3</v>
      </c>
      <c r="AC603" s="19">
        <v>9.0531356018066344E-3</v>
      </c>
      <c r="AD603" s="19">
        <v>1.1074940671709627E-2</v>
      </c>
      <c r="AE603" s="19">
        <v>1.3088575245501478E-2</v>
      </c>
      <c r="AF603" s="19">
        <v>1.4967948186489655E-2</v>
      </c>
      <c r="AG603" s="19">
        <v>1.659918242507644E-2</v>
      </c>
      <c r="AH603" s="19">
        <v>1.7903288295316934E-2</v>
      </c>
      <c r="AI603" s="19">
        <v>1.8851304087712132E-2</v>
      </c>
      <c r="AJ603" s="19">
        <v>1.9519302123967599E-2</v>
      </c>
      <c r="AK603" s="19">
        <v>1.9844257839118896E-2</v>
      </c>
      <c r="AL603" s="19">
        <v>2.008555591474551E-2</v>
      </c>
      <c r="AM603" s="19">
        <v>2.0083539292665719E-2</v>
      </c>
      <c r="AN603" s="19">
        <v>2.000119678156579E-2</v>
      </c>
      <c r="AO603" s="19">
        <v>2.6587011106226369E-2</v>
      </c>
      <c r="AP603" s="19">
        <v>2.6452182577601496E-2</v>
      </c>
      <c r="AQ603" s="19">
        <v>6.507935780499843E-3</v>
      </c>
      <c r="AR603" s="19">
        <v>0.28394926172515361</v>
      </c>
    </row>
    <row r="604" spans="1:44" x14ac:dyDescent="0.25">
      <c r="A604" t="s">
        <v>250</v>
      </c>
      <c r="B604" t="s">
        <v>300</v>
      </c>
      <c r="C604" t="s">
        <v>44</v>
      </c>
      <c r="D604" t="s">
        <v>152</v>
      </c>
      <c r="E604" t="s">
        <v>148</v>
      </c>
      <c r="F604" t="s">
        <v>301</v>
      </c>
      <c r="G604" t="s">
        <v>31</v>
      </c>
      <c r="H604" t="s">
        <v>253</v>
      </c>
      <c r="I604" t="s">
        <v>135</v>
      </c>
      <c r="J604" t="s">
        <v>40</v>
      </c>
      <c r="K604" t="s">
        <v>31</v>
      </c>
      <c r="L604">
        <v>2.46</v>
      </c>
      <c r="M604">
        <v>1</v>
      </c>
      <c r="N604" s="2">
        <v>1.9257476908385505</v>
      </c>
      <c r="O604" s="2">
        <v>4.174629416081447</v>
      </c>
      <c r="P604" s="1">
        <v>-0.88213896288743165</v>
      </c>
      <c r="Q604" s="1">
        <v>0.4672931329656026</v>
      </c>
      <c r="R604" s="1">
        <v>-1.7195523936223542</v>
      </c>
      <c r="S604" s="19">
        <v>0</v>
      </c>
      <c r="T604" s="19">
        <v>0</v>
      </c>
      <c r="U604" s="19">
        <v>1.1387835434456992E-4</v>
      </c>
      <c r="V604" s="19">
        <v>2.1582231214842561E-4</v>
      </c>
      <c r="W604" s="19">
        <v>3.7198891603797254E-4</v>
      </c>
      <c r="X604" s="19">
        <v>5.9773743397109928E-4</v>
      </c>
      <c r="Y604" s="19">
        <v>9.0773527333024213E-4</v>
      </c>
      <c r="Z604" s="19">
        <v>1.3135386263917362E-3</v>
      </c>
      <c r="AA604" s="19">
        <v>1.8205722415292043E-3</v>
      </c>
      <c r="AB604" s="19">
        <v>2.4249526136335127E-3</v>
      </c>
      <c r="AC604" s="19">
        <v>3.1109575495152446E-3</v>
      </c>
      <c r="AD604" s="19">
        <v>3.8502163160635114E-3</v>
      </c>
      <c r="AE604" s="19">
        <v>4.6036578431625013E-3</v>
      </c>
      <c r="AF604" s="19">
        <v>5.3266972139933613E-3</v>
      </c>
      <c r="AG604" s="19">
        <v>5.9770308732516198E-3</v>
      </c>
      <c r="AH604" s="19">
        <v>6.5230770175685624E-3</v>
      </c>
      <c r="AI604" s="19">
        <v>6.9502382223748599E-3</v>
      </c>
      <c r="AJ604" s="19">
        <v>7.282470104326394E-3</v>
      </c>
      <c r="AK604" s="19">
        <v>7.4924320422095712E-3</v>
      </c>
      <c r="AL604" s="19">
        <v>7.674720718041571E-3</v>
      </c>
      <c r="AM604" s="19">
        <v>7.7665267938386191E-3</v>
      </c>
      <c r="AN604" s="19">
        <v>7.8282988473786907E-3</v>
      </c>
      <c r="AO604" s="19">
        <v>7.8908674613208975E-3</v>
      </c>
      <c r="AP604" s="19">
        <v>7.9542411428425632E-3</v>
      </c>
      <c r="AQ604" s="19">
        <v>0</v>
      </c>
      <c r="AR604" s="19">
        <v>9.7997657917274716E-2</v>
      </c>
    </row>
    <row r="605" spans="1:44" x14ac:dyDescent="0.25">
      <c r="A605" t="s">
        <v>250</v>
      </c>
      <c r="B605" t="s">
        <v>302</v>
      </c>
      <c r="C605" t="s">
        <v>44</v>
      </c>
      <c r="D605" t="s">
        <v>303</v>
      </c>
      <c r="E605" t="s">
        <v>145</v>
      </c>
      <c r="F605" t="s">
        <v>303</v>
      </c>
      <c r="G605" t="s">
        <v>31</v>
      </c>
      <c r="H605" t="s">
        <v>288</v>
      </c>
      <c r="I605" t="s">
        <v>135</v>
      </c>
      <c r="J605" t="s">
        <v>39</v>
      </c>
      <c r="K605" t="s">
        <v>31</v>
      </c>
      <c r="L605">
        <v>3.1011093749999996E-2</v>
      </c>
      <c r="M605">
        <v>0</v>
      </c>
      <c r="N605" s="2">
        <v>2.0541092474113277E-2</v>
      </c>
      <c r="O605" s="2">
        <v>5.4757113018011117</v>
      </c>
      <c r="P605" s="1">
        <v>141.98654624574391</v>
      </c>
      <c r="Q605" s="1">
        <v>144.39075316600542</v>
      </c>
      <c r="R605" s="1">
        <v>-1.8625523936223527</v>
      </c>
      <c r="S605" s="19">
        <v>2.4062095511241948</v>
      </c>
      <c r="T605" s="19">
        <v>3.5206758919192276</v>
      </c>
      <c r="U605" s="19">
        <v>4.785699342912566</v>
      </c>
      <c r="V605" s="19">
        <v>6.2581810602341257</v>
      </c>
      <c r="W605" s="19">
        <v>7.8655985315569836</v>
      </c>
      <c r="X605" s="19">
        <v>9.4982879379823064</v>
      </c>
      <c r="Y605" s="19">
        <v>11.025961494253092</v>
      </c>
      <c r="Z605" s="19">
        <v>12.326529203160511</v>
      </c>
      <c r="AA605" s="19">
        <v>13.318484788781852</v>
      </c>
      <c r="AB605" s="19">
        <v>13.982546652111305</v>
      </c>
      <c r="AC605" s="19">
        <v>14.360624476415977</v>
      </c>
      <c r="AD605" s="19">
        <v>14.513134500394983</v>
      </c>
      <c r="AE605" s="19">
        <v>14.4695950968938</v>
      </c>
      <c r="AF605" s="19">
        <v>14.426186311603123</v>
      </c>
      <c r="AG605" s="19">
        <v>14.382907752668308</v>
      </c>
      <c r="AH605" s="19">
        <v>16.482382613505582</v>
      </c>
      <c r="AI605" s="19">
        <v>16.764094241739784</v>
      </c>
      <c r="AJ605" s="19">
        <v>16.463201271409417</v>
      </c>
      <c r="AK605" s="19">
        <v>11.226549060915069</v>
      </c>
      <c r="AL605" s="19">
        <v>1.5523891490623101</v>
      </c>
      <c r="AM605" s="19">
        <v>1.1914935290427056</v>
      </c>
      <c r="AN605" s="19">
        <v>0.84621807225556034</v>
      </c>
      <c r="AO605" s="19">
        <v>0.54539545027325775</v>
      </c>
      <c r="AP605" s="19">
        <v>0.30969361270542428</v>
      </c>
      <c r="AQ605" s="19">
        <v>0.14600504102505757</v>
      </c>
      <c r="AR605" s="19">
        <v>222.66804463394655</v>
      </c>
    </row>
    <row r="606" spans="1:44" x14ac:dyDescent="0.25">
      <c r="A606" t="s">
        <v>250</v>
      </c>
      <c r="B606" t="s">
        <v>302</v>
      </c>
      <c r="C606" t="s">
        <v>44</v>
      </c>
      <c r="D606" t="s">
        <v>303</v>
      </c>
      <c r="E606" t="s">
        <v>148</v>
      </c>
      <c r="F606" t="s">
        <v>303</v>
      </c>
      <c r="G606" t="s">
        <v>31</v>
      </c>
      <c r="H606" t="s">
        <v>288</v>
      </c>
      <c r="I606" t="s">
        <v>135</v>
      </c>
      <c r="J606" t="s">
        <v>39</v>
      </c>
      <c r="K606" t="s">
        <v>31</v>
      </c>
      <c r="L606">
        <v>3.1011093749999996E-2</v>
      </c>
      <c r="M606">
        <v>0</v>
      </c>
      <c r="N606" s="2">
        <v>2.0541092474113277E-2</v>
      </c>
      <c r="O606" s="2">
        <v>5.4757113018011117</v>
      </c>
      <c r="P606" s="1">
        <v>141.98654624574391</v>
      </c>
      <c r="Q606" s="1">
        <v>144.39075316600542</v>
      </c>
      <c r="R606" s="1">
        <v>-1.8625523936223527</v>
      </c>
      <c r="S606" s="19">
        <v>0.40935039017720454</v>
      </c>
      <c r="T606" s="19">
        <v>0.7596555747936492</v>
      </c>
      <c r="U606" s="19">
        <v>1.0442518525843021</v>
      </c>
      <c r="V606" s="19">
        <v>1.3809927768023234</v>
      </c>
      <c r="W606" s="19">
        <v>1.755386117145844</v>
      </c>
      <c r="X606" s="19">
        <v>2.1438670878976605</v>
      </c>
      <c r="Y606" s="19">
        <v>2.5170657734047843</v>
      </c>
      <c r="Z606" s="19">
        <v>2.8461532055824716</v>
      </c>
      <c r="AA606" s="19">
        <v>3.1104651800979597</v>
      </c>
      <c r="AB606" s="19">
        <v>3.303113003011366</v>
      </c>
      <c r="AC606" s="19">
        <v>3.4315518228511706</v>
      </c>
      <c r="AD606" s="19">
        <v>3.5080992536198341</v>
      </c>
      <c r="AE606" s="19">
        <v>3.5381290026047871</v>
      </c>
      <c r="AF606" s="19">
        <v>3.5685234481175128</v>
      </c>
      <c r="AG606" s="19">
        <v>3.5992865961785889</v>
      </c>
      <c r="AH606" s="19">
        <v>3.6304224979843895</v>
      </c>
      <c r="AI606" s="19">
        <v>3.661935250413944</v>
      </c>
      <c r="AJ606" s="19">
        <v>3.6938289965390969</v>
      </c>
      <c r="AK606" s="19">
        <v>3.7261079261431478</v>
      </c>
      <c r="AL606" s="19">
        <v>3.7587762762432169</v>
      </c>
      <c r="AM606" s="19">
        <v>3.7918383316190689</v>
      </c>
      <c r="AN606" s="19">
        <v>3.8252984253483513</v>
      </c>
      <c r="AO606" s="19">
        <v>3.859160939347523</v>
      </c>
      <c r="AP606" s="19">
        <v>3.8934303049184993</v>
      </c>
      <c r="AQ606" s="19">
        <v>3.928111003302007</v>
      </c>
      <c r="AR606" s="19">
        <v>74.6848010367287</v>
      </c>
    </row>
    <row r="607" spans="1:44" x14ac:dyDescent="0.25">
      <c r="A607" t="s">
        <v>250</v>
      </c>
      <c r="B607" t="s">
        <v>302</v>
      </c>
      <c r="C607" t="s">
        <v>44</v>
      </c>
      <c r="D607" t="s">
        <v>303</v>
      </c>
      <c r="E607" t="s">
        <v>145</v>
      </c>
      <c r="F607" t="s">
        <v>303</v>
      </c>
      <c r="G607" t="s">
        <v>31</v>
      </c>
      <c r="H607" t="s">
        <v>289</v>
      </c>
      <c r="I607" t="s">
        <v>135</v>
      </c>
      <c r="J607" t="s">
        <v>39</v>
      </c>
      <c r="K607" t="s">
        <v>31</v>
      </c>
      <c r="L607">
        <v>3.1011093749999996E-2</v>
      </c>
      <c r="M607">
        <v>0</v>
      </c>
      <c r="N607" s="2">
        <v>2.0541092474113277E-2</v>
      </c>
      <c r="O607" s="2">
        <v>5.4757113018011117</v>
      </c>
      <c r="P607" s="1">
        <v>141.98654624574391</v>
      </c>
      <c r="Q607" s="1">
        <v>144.39075316600542</v>
      </c>
      <c r="R607" s="1">
        <v>-1.8625523936223527</v>
      </c>
      <c r="S607" s="19">
        <v>2.2869978735234704</v>
      </c>
      <c r="T607" s="19">
        <v>3.3462498203545006</v>
      </c>
      <c r="U607" s="19">
        <v>4.5485997740513469</v>
      </c>
      <c r="V607" s="19">
        <v>5.9481298169535757</v>
      </c>
      <c r="W607" s="19">
        <v>7.4759104448138274</v>
      </c>
      <c r="X607" s="19">
        <v>9.0277109514964149</v>
      </c>
      <c r="Y607" s="19">
        <v>10.479698444853762</v>
      </c>
      <c r="Z607" s="19">
        <v>11.715831674918824</v>
      </c>
      <c r="AA607" s="19">
        <v>12.65864245957631</v>
      </c>
      <c r="AB607" s="19">
        <v>13.289804474793538</v>
      </c>
      <c r="AC607" s="19">
        <v>13.649151057807137</v>
      </c>
      <c r="AD607" s="19">
        <v>13.794105224566245</v>
      </c>
      <c r="AE607" s="19">
        <v>13.752722908892542</v>
      </c>
      <c r="AF607" s="19">
        <v>13.711464740165864</v>
      </c>
      <c r="AG607" s="19">
        <v>13.670330345945366</v>
      </c>
      <c r="AH607" s="19">
        <v>15.665790192743639</v>
      </c>
      <c r="AI607" s="19">
        <v>15.933544883692065</v>
      </c>
      <c r="AJ607" s="19">
        <v>15.64755915855765</v>
      </c>
      <c r="AK607" s="19">
        <v>10.670348231858668</v>
      </c>
      <c r="AL607" s="19">
        <v>1.4754785929295582</v>
      </c>
      <c r="AM607" s="19">
        <v>1.132462950271544</v>
      </c>
      <c r="AN607" s="19">
        <v>0.80429359566019532</v>
      </c>
      <c r="AO607" s="19">
        <v>0.51837473358110708</v>
      </c>
      <c r="AP607" s="19">
        <v>0.29435035422006361</v>
      </c>
      <c r="AQ607" s="19">
        <v>0.1387714624405875</v>
      </c>
      <c r="AR607" s="19">
        <v>211.63632416866776</v>
      </c>
    </row>
    <row r="608" spans="1:44" x14ac:dyDescent="0.25">
      <c r="A608" t="s">
        <v>250</v>
      </c>
      <c r="B608" t="s">
        <v>302</v>
      </c>
      <c r="C608" t="s">
        <v>44</v>
      </c>
      <c r="D608" t="s">
        <v>303</v>
      </c>
      <c r="E608" t="s">
        <v>148</v>
      </c>
      <c r="F608" t="s">
        <v>303</v>
      </c>
      <c r="G608" t="s">
        <v>31</v>
      </c>
      <c r="H608" t="s">
        <v>289</v>
      </c>
      <c r="I608" t="s">
        <v>135</v>
      </c>
      <c r="J608" t="s">
        <v>39</v>
      </c>
      <c r="K608" t="s">
        <v>31</v>
      </c>
      <c r="L608">
        <v>3.1011093749999996E-2</v>
      </c>
      <c r="M608">
        <v>0</v>
      </c>
      <c r="N608" s="2">
        <v>2.0541092474113277E-2</v>
      </c>
      <c r="O608" s="2">
        <v>5.4757113018011117</v>
      </c>
      <c r="P608" s="1">
        <v>141.98654624574391</v>
      </c>
      <c r="Q608" s="1">
        <v>144.39075316600542</v>
      </c>
      <c r="R608" s="1">
        <v>-1.8625523936223527</v>
      </c>
      <c r="S608" s="19">
        <v>0.38906980126642737</v>
      </c>
      <c r="T608" s="19">
        <v>0.7220196941499194</v>
      </c>
      <c r="U608" s="19">
        <v>0.99251611945746354</v>
      </c>
      <c r="V608" s="19">
        <v>1.3125737708183338</v>
      </c>
      <c r="W608" s="19">
        <v>1.6684184115425502</v>
      </c>
      <c r="X608" s="19">
        <v>2.0376527342966626</v>
      </c>
      <c r="Y608" s="19">
        <v>2.39236190738497</v>
      </c>
      <c r="Z608" s="19">
        <v>2.7051452463265431</v>
      </c>
      <c r="AA608" s="19">
        <v>2.9563623206587764</v>
      </c>
      <c r="AB608" s="19">
        <v>3.1394657254042384</v>
      </c>
      <c r="AC608" s="19">
        <v>3.2615412560720789</v>
      </c>
      <c r="AD608" s="19">
        <v>3.3342962708253885</v>
      </c>
      <c r="AE608" s="19">
        <v>3.3628382455004409</v>
      </c>
      <c r="AF608" s="19">
        <v>3.3917268484161704</v>
      </c>
      <c r="AG608" s="19">
        <v>3.4209658871215547</v>
      </c>
      <c r="AH608" s="19">
        <v>3.4505592121031259</v>
      </c>
      <c r="AI608" s="19">
        <v>3.4805107172666516</v>
      </c>
      <c r="AJ608" s="19">
        <v>3.5108243404227029</v>
      </c>
      <c r="AK608" s="19">
        <v>3.5415040637782393</v>
      </c>
      <c r="AL608" s="19">
        <v>3.5725539144346032</v>
      </c>
      <c r="AM608" s="19">
        <v>3.6039779648892321</v>
      </c>
      <c r="AN608" s="19">
        <v>3.6357803335444911</v>
      </c>
      <c r="AO608" s="19">
        <v>3.6679651852221831</v>
      </c>
      <c r="AP608" s="19">
        <v>3.7005367316825426</v>
      </c>
      <c r="AQ608" s="19">
        <v>3.7334992321506602</v>
      </c>
      <c r="AR608" s="19">
        <v>70.984665934735943</v>
      </c>
    </row>
    <row r="609" spans="1:44" x14ac:dyDescent="0.25">
      <c r="A609" t="s">
        <v>250</v>
      </c>
      <c r="B609" t="s">
        <v>302</v>
      </c>
      <c r="C609" t="s">
        <v>44</v>
      </c>
      <c r="D609" t="s">
        <v>303</v>
      </c>
      <c r="E609" t="s">
        <v>145</v>
      </c>
      <c r="F609" t="s">
        <v>303</v>
      </c>
      <c r="G609" t="s">
        <v>31</v>
      </c>
      <c r="H609" t="s">
        <v>290</v>
      </c>
      <c r="I609" t="s">
        <v>135</v>
      </c>
      <c r="J609" t="s">
        <v>39</v>
      </c>
      <c r="K609" t="s">
        <v>31</v>
      </c>
      <c r="L609">
        <v>3.1011093749999996E-2</v>
      </c>
      <c r="M609">
        <v>0</v>
      </c>
      <c r="N609" s="2">
        <v>2.0541092474113277E-2</v>
      </c>
      <c r="O609" s="2">
        <v>5.4757113018011117</v>
      </c>
      <c r="P609" s="1">
        <v>141.98654624574391</v>
      </c>
      <c r="Q609" s="1">
        <v>144.39075316600542</v>
      </c>
      <c r="R609" s="1">
        <v>-1.8625523936223527</v>
      </c>
      <c r="S609" s="19">
        <v>3.3117286875873253</v>
      </c>
      <c r="T609" s="19">
        <v>4.8455976519246242</v>
      </c>
      <c r="U609" s="19">
        <v>6.5866822765650834</v>
      </c>
      <c r="V609" s="19">
        <v>8.6132971002504721</v>
      </c>
      <c r="W609" s="19">
        <v>10.825627506063176</v>
      </c>
      <c r="X609" s="19">
        <v>13.07274033239722</v>
      </c>
      <c r="Y609" s="19">
        <v>15.175317117202519</v>
      </c>
      <c r="Z609" s="19">
        <v>16.965322226992779</v>
      </c>
      <c r="AA609" s="19">
        <v>18.330576457730853</v>
      </c>
      <c r="AB609" s="19">
        <v>19.244542044017123</v>
      </c>
      <c r="AC609" s="19">
        <v>19.764900371206625</v>
      </c>
      <c r="AD609" s="19">
        <v>19.974803877457745</v>
      </c>
      <c r="AE609" s="19">
        <v>19.914879465825365</v>
      </c>
      <c r="AF609" s="19">
        <v>19.855134827427893</v>
      </c>
      <c r="AG609" s="19">
        <v>19.795569422945611</v>
      </c>
      <c r="AH609" s="19">
        <v>22.685131191269058</v>
      </c>
      <c r="AI609" s="19">
        <v>23.072858220452471</v>
      </c>
      <c r="AJ609" s="19">
        <v>22.658731412057556</v>
      </c>
      <c r="AK609" s="19">
        <v>15.451390993884161</v>
      </c>
      <c r="AL609" s="19">
        <v>2.1365934969574858</v>
      </c>
      <c r="AM609" s="19">
        <v>1.6398834836982132</v>
      </c>
      <c r="AN609" s="19">
        <v>1.1646719067066349</v>
      </c>
      <c r="AO609" s="19">
        <v>0.7506419205699254</v>
      </c>
      <c r="AP609" s="19">
        <v>0.42623936102320298</v>
      </c>
      <c r="AQ609" s="19">
        <v>0.20095052929581372</v>
      </c>
      <c r="AR609" s="19">
        <v>306.46381188150889</v>
      </c>
    </row>
    <row r="610" spans="1:44" x14ac:dyDescent="0.25">
      <c r="A610" t="s">
        <v>250</v>
      </c>
      <c r="B610" t="s">
        <v>302</v>
      </c>
      <c r="C610" t="s">
        <v>44</v>
      </c>
      <c r="D610" t="s">
        <v>303</v>
      </c>
      <c r="E610" t="s">
        <v>148</v>
      </c>
      <c r="F610" t="s">
        <v>303</v>
      </c>
      <c r="G610" t="s">
        <v>31</v>
      </c>
      <c r="H610" t="s">
        <v>290</v>
      </c>
      <c r="I610" t="s">
        <v>135</v>
      </c>
      <c r="J610" t="s">
        <v>39</v>
      </c>
      <c r="K610" t="s">
        <v>31</v>
      </c>
      <c r="L610">
        <v>3.1011093749999996E-2</v>
      </c>
      <c r="M610">
        <v>0</v>
      </c>
      <c r="N610" s="2">
        <v>2.0541092474113277E-2</v>
      </c>
      <c r="O610" s="2">
        <v>5.4757113018011117</v>
      </c>
      <c r="P610" s="1">
        <v>141.98654624574391</v>
      </c>
      <c r="Q610" s="1">
        <v>144.39075316600542</v>
      </c>
      <c r="R610" s="1">
        <v>-1.8625523936223527</v>
      </c>
      <c r="S610" s="19">
        <v>0.56339957165889498</v>
      </c>
      <c r="T610" s="19">
        <v>1.0455336936695203</v>
      </c>
      <c r="U610" s="19">
        <v>1.437230940943576</v>
      </c>
      <c r="V610" s="19">
        <v>1.9006962191428345</v>
      </c>
      <c r="W610" s="19">
        <v>2.415983495381107</v>
      </c>
      <c r="X610" s="19">
        <v>2.9506599431657925</v>
      </c>
      <c r="Y610" s="19">
        <v>3.4643029849308427</v>
      </c>
      <c r="Z610" s="19">
        <v>3.917234563295791</v>
      </c>
      <c r="AA610" s="19">
        <v>4.2810139972468821</v>
      </c>
      <c r="AB610" s="19">
        <v>4.5461601984352242</v>
      </c>
      <c r="AC610" s="19">
        <v>4.7229338813693023</v>
      </c>
      <c r="AD610" s="19">
        <v>4.8282880980538661</v>
      </c>
      <c r="AE610" s="19">
        <v>4.8696188213685092</v>
      </c>
      <c r="AF610" s="19">
        <v>4.9114514859844274</v>
      </c>
      <c r="AG610" s="19">
        <v>4.9537916054917241</v>
      </c>
      <c r="AH610" s="19">
        <v>4.9966447556573783</v>
      </c>
      <c r="AI610" s="19">
        <v>5.0400165751221095</v>
      </c>
      <c r="AJ610" s="19">
        <v>5.0839127661035253</v>
      </c>
      <c r="AK610" s="19">
        <v>5.1283390951089496</v>
      </c>
      <c r="AL610" s="19">
        <v>5.173301393655227</v>
      </c>
      <c r="AM610" s="19">
        <v>5.2188055589959488</v>
      </c>
      <c r="AN610" s="19">
        <v>5.264857554858418</v>
      </c>
      <c r="AO610" s="19">
        <v>5.3114634121881021</v>
      </c>
      <c r="AP610" s="19">
        <v>5.3586292299007807</v>
      </c>
      <c r="AQ610" s="19">
        <v>5.4063611756444709</v>
      </c>
      <c r="AR610" s="19">
        <v>102.79063101737324</v>
      </c>
    </row>
    <row r="611" spans="1:44" x14ac:dyDescent="0.25">
      <c r="A611" t="s">
        <v>250</v>
      </c>
      <c r="B611" t="s">
        <v>302</v>
      </c>
      <c r="C611" t="s">
        <v>44</v>
      </c>
      <c r="D611" t="s">
        <v>303</v>
      </c>
      <c r="E611" t="s">
        <v>145</v>
      </c>
      <c r="F611" t="s">
        <v>303</v>
      </c>
      <c r="G611" t="s">
        <v>31</v>
      </c>
      <c r="H611" t="s">
        <v>288</v>
      </c>
      <c r="I611" t="s">
        <v>135</v>
      </c>
      <c r="J611" t="s">
        <v>39</v>
      </c>
      <c r="K611" t="s">
        <v>33</v>
      </c>
      <c r="L611">
        <v>3.1011093749999996E-2</v>
      </c>
      <c r="M611">
        <v>0</v>
      </c>
      <c r="N611" s="2">
        <v>2.0541092474113277E-2</v>
      </c>
      <c r="O611" s="2">
        <v>5.4757113018011117</v>
      </c>
      <c r="P611" s="1">
        <v>141.98654624574391</v>
      </c>
      <c r="Q611" s="1">
        <v>144.39075316600542</v>
      </c>
      <c r="R611" s="1">
        <v>-1.8625523936223527</v>
      </c>
      <c r="S611" s="19">
        <v>2.2635486052349697E-2</v>
      </c>
      <c r="T611" s="19">
        <v>3.3119397273254463E-2</v>
      </c>
      <c r="U611" s="19">
        <v>4.501961629926441E-2</v>
      </c>
      <c r="V611" s="19">
        <v>5.8871418757283904E-2</v>
      </c>
      <c r="W611" s="19">
        <v>7.3992577151586122E-2</v>
      </c>
      <c r="X611" s="19">
        <v>8.9351471504612492E-2</v>
      </c>
      <c r="Y611" s="19">
        <v>0.10372246984902316</v>
      </c>
      <c r="Z611" s="19">
        <v>0.1159570577390746</v>
      </c>
      <c r="AA611" s="19">
        <v>0.12528849639635692</v>
      </c>
      <c r="AB611" s="19">
        <v>0.13153540163296373</v>
      </c>
      <c r="AC611" s="19">
        <v>0.13509202259091516</v>
      </c>
      <c r="AD611" s="19">
        <v>0.1365267016773678</v>
      </c>
      <c r="AE611" s="19">
        <v>0.13611712157233566</v>
      </c>
      <c r="AF611" s="19">
        <v>0.13570877020761865</v>
      </c>
      <c r="AG611" s="19">
        <v>0.13530164389699581</v>
      </c>
      <c r="AH611" s="19">
        <v>0.15505164194165408</v>
      </c>
      <c r="AI611" s="19">
        <v>0.15770173516761615</v>
      </c>
      <c r="AJ611" s="19">
        <v>0.15487120088186362</v>
      </c>
      <c r="AK611" s="19">
        <v>0.10560941983030318</v>
      </c>
      <c r="AL611" s="19">
        <v>1.4603500727940352E-2</v>
      </c>
      <c r="AM611" s="19">
        <v>1.1208514713737548E-2</v>
      </c>
      <c r="AN611" s="19">
        <v>7.9604693460041918E-3</v>
      </c>
      <c r="AO611" s="19">
        <v>5.1305968351374586E-3</v>
      </c>
      <c r="AP611" s="19">
        <v>2.9133229263512382E-3</v>
      </c>
      <c r="AQ611" s="19">
        <v>1.373485974299873E-3</v>
      </c>
      <c r="AR611" s="19">
        <v>2.0946635409459105</v>
      </c>
    </row>
    <row r="612" spans="1:44" x14ac:dyDescent="0.25">
      <c r="A612" t="s">
        <v>250</v>
      </c>
      <c r="B612" t="s">
        <v>302</v>
      </c>
      <c r="C612" t="s">
        <v>44</v>
      </c>
      <c r="D612" t="s">
        <v>303</v>
      </c>
      <c r="E612" t="s">
        <v>148</v>
      </c>
      <c r="F612" t="s">
        <v>303</v>
      </c>
      <c r="G612" t="s">
        <v>31</v>
      </c>
      <c r="H612" t="s">
        <v>288</v>
      </c>
      <c r="I612" t="s">
        <v>135</v>
      </c>
      <c r="J612" t="s">
        <v>39</v>
      </c>
      <c r="K612" t="s">
        <v>33</v>
      </c>
      <c r="L612">
        <v>3.1011093749999996E-2</v>
      </c>
      <c r="M612">
        <v>0</v>
      </c>
      <c r="N612" s="2">
        <v>2.0541092474113277E-2</v>
      </c>
      <c r="O612" s="2">
        <v>5.4757113018011117</v>
      </c>
      <c r="P612" s="1">
        <v>141.98654624574391</v>
      </c>
      <c r="Q612" s="1">
        <v>144.39075316600542</v>
      </c>
      <c r="R612" s="1">
        <v>-1.8625523936223527</v>
      </c>
      <c r="S612" s="19">
        <v>3.8508055306533729E-3</v>
      </c>
      <c r="T612" s="19">
        <v>7.1461661183239199E-3</v>
      </c>
      <c r="U612" s="19">
        <v>9.8233955697121424E-3</v>
      </c>
      <c r="V612" s="19">
        <v>1.2991155621961467E-2</v>
      </c>
      <c r="W612" s="19">
        <v>1.651311622156075E-2</v>
      </c>
      <c r="X612" s="19">
        <v>2.0167600757601201E-2</v>
      </c>
      <c r="Y612" s="19">
        <v>2.367832310370923E-2</v>
      </c>
      <c r="Z612" s="19">
        <v>2.6774085888618133E-2</v>
      </c>
      <c r="AA612" s="19">
        <v>2.9260498599356172E-2</v>
      </c>
      <c r="AB612" s="19">
        <v>3.1072758511023181E-2</v>
      </c>
      <c r="AC612" s="19">
        <v>3.2280997051055707E-2</v>
      </c>
      <c r="AD612" s="19">
        <v>3.300108741089057E-2</v>
      </c>
      <c r="AE612" s="19">
        <v>3.3283580664226806E-2</v>
      </c>
      <c r="AF612" s="19">
        <v>3.3569504659146508E-2</v>
      </c>
      <c r="AG612" s="19">
        <v>3.3858897080740712E-2</v>
      </c>
      <c r="AH612" s="19">
        <v>3.4151796039072882E-2</v>
      </c>
      <c r="AI612" s="19">
        <v>3.4448240073947374E-2</v>
      </c>
      <c r="AJ612" s="19">
        <v>3.474826815971329E-2</v>
      </c>
      <c r="AK612" s="19">
        <v>3.5051919710133654E-2</v>
      </c>
      <c r="AL612" s="19">
        <v>3.5359234583312422E-2</v>
      </c>
      <c r="AM612" s="19">
        <v>3.5670253086655494E-2</v>
      </c>
      <c r="AN612" s="19">
        <v>3.5985015981917952E-2</v>
      </c>
      <c r="AO612" s="19">
        <v>3.6303564490283817E-2</v>
      </c>
      <c r="AP612" s="19">
        <v>3.6625940297512365E-2</v>
      </c>
      <c r="AQ612" s="19">
        <v>3.6952185559143071E-2</v>
      </c>
      <c r="AR612" s="19">
        <v>0.70256839077027222</v>
      </c>
    </row>
    <row r="613" spans="1:44" x14ac:dyDescent="0.25">
      <c r="A613" t="s">
        <v>250</v>
      </c>
      <c r="B613" t="s">
        <v>304</v>
      </c>
      <c r="C613" t="s">
        <v>44</v>
      </c>
      <c r="D613" t="s">
        <v>303</v>
      </c>
      <c r="E613" t="s">
        <v>145</v>
      </c>
      <c r="F613" t="s">
        <v>303</v>
      </c>
      <c r="G613" t="s">
        <v>31</v>
      </c>
      <c r="H613" t="s">
        <v>278</v>
      </c>
      <c r="I613" t="s">
        <v>135</v>
      </c>
      <c r="J613" t="s">
        <v>39</v>
      </c>
      <c r="K613" t="s">
        <v>31</v>
      </c>
      <c r="L613">
        <v>5.0291718749999999E-2</v>
      </c>
      <c r="M613">
        <v>0</v>
      </c>
      <c r="N613" s="2">
        <v>3.3209192641195158E-2</v>
      </c>
      <c r="O613" s="2">
        <v>5.4656142296399581</v>
      </c>
      <c r="P613" s="1">
        <v>86.742034011699559</v>
      </c>
      <c r="Q613" s="1">
        <v>89.14624093196106</v>
      </c>
      <c r="R613" s="1">
        <v>-1.8625523936223536</v>
      </c>
      <c r="S613" s="19">
        <v>1.1321848792015341</v>
      </c>
      <c r="T613" s="19">
        <v>1.6466012723579888</v>
      </c>
      <c r="U613" s="19">
        <v>2.2247760846360087</v>
      </c>
      <c r="V613" s="19">
        <v>2.8917950932823242</v>
      </c>
      <c r="W613" s="19">
        <v>3.6126814120097785</v>
      </c>
      <c r="X613" s="19">
        <v>4.3363239170180146</v>
      </c>
      <c r="Y613" s="19">
        <v>5.0034706038167194</v>
      </c>
      <c r="Z613" s="19">
        <v>5.5599922500901444</v>
      </c>
      <c r="AA613" s="19">
        <v>5.971269774266915</v>
      </c>
      <c r="AB613" s="19">
        <v>6.231271105668128</v>
      </c>
      <c r="AC613" s="19">
        <v>6.3612460112142566</v>
      </c>
      <c r="AD613" s="19">
        <v>6.3901136471010309</v>
      </c>
      <c r="AE613" s="19">
        <v>6.3326026242771229</v>
      </c>
      <c r="AF613" s="19">
        <v>6.2756092006586286</v>
      </c>
      <c r="AG613" s="19">
        <v>6.2191287178527013</v>
      </c>
      <c r="AH613" s="19">
        <v>7.1713173085669686</v>
      </c>
      <c r="AI613" s="19">
        <v>7.7543478256117213</v>
      </c>
      <c r="AJ613" s="19">
        <v>4.2289359746868307</v>
      </c>
      <c r="AK613" s="19">
        <v>1.2528220767801517</v>
      </c>
      <c r="AL613" s="19">
        <v>1.0179414430461176</v>
      </c>
      <c r="AM613" s="19">
        <v>0.77682366948489534</v>
      </c>
      <c r="AN613" s="19">
        <v>0.5485938156834852</v>
      </c>
      <c r="AO613" s="19">
        <v>0.35159868009836492</v>
      </c>
      <c r="AP613" s="19">
        <v>0.19854745426875395</v>
      </c>
      <c r="AQ613" s="19">
        <v>9.3094810634168745E-2</v>
      </c>
      <c r="AR613" s="19">
        <v>93.583089652312751</v>
      </c>
    </row>
    <row r="614" spans="1:44" x14ac:dyDescent="0.25">
      <c r="A614" t="s">
        <v>250</v>
      </c>
      <c r="B614" t="s">
        <v>304</v>
      </c>
      <c r="C614" t="s">
        <v>44</v>
      </c>
      <c r="D614" t="s">
        <v>303</v>
      </c>
      <c r="E614" t="s">
        <v>148</v>
      </c>
      <c r="F614" t="s">
        <v>303</v>
      </c>
      <c r="G614" t="s">
        <v>31</v>
      </c>
      <c r="H614" t="s">
        <v>278</v>
      </c>
      <c r="I614" t="s">
        <v>135</v>
      </c>
      <c r="J614" t="s">
        <v>39</v>
      </c>
      <c r="K614" t="s">
        <v>31</v>
      </c>
      <c r="L614">
        <v>5.0291718749999999E-2</v>
      </c>
      <c r="M614">
        <v>0</v>
      </c>
      <c r="N614" s="2">
        <v>3.3209192641195158E-2</v>
      </c>
      <c r="O614" s="2">
        <v>5.4656142296399581</v>
      </c>
      <c r="P614" s="1">
        <v>86.742034011699559</v>
      </c>
      <c r="Q614" s="1">
        <v>89.14624093196106</v>
      </c>
      <c r="R614" s="1">
        <v>-1.8625523936223536</v>
      </c>
      <c r="S614" s="19">
        <v>0.192610124848581</v>
      </c>
      <c r="T614" s="19">
        <v>0.50697790182146674</v>
      </c>
      <c r="U614" s="19">
        <v>0.69278459383304181</v>
      </c>
      <c r="V614" s="19">
        <v>0.91082373268201844</v>
      </c>
      <c r="W614" s="19">
        <v>1.1510517696351403</v>
      </c>
      <c r="X614" s="19">
        <v>1.3977471614525787</v>
      </c>
      <c r="Y614" s="19">
        <v>1.6317858980225299</v>
      </c>
      <c r="Z614" s="19">
        <v>1.8348222559230152</v>
      </c>
      <c r="AA614" s="19">
        <v>1.9941481443709292</v>
      </c>
      <c r="AB614" s="19">
        <v>2.1061100175700762</v>
      </c>
      <c r="AC614" s="19">
        <v>2.1762204379291874</v>
      </c>
      <c r="AD614" s="19">
        <v>2.212931625194908</v>
      </c>
      <c r="AE614" s="19">
        <v>2.2201515768742661</v>
      </c>
      <c r="AF614" s="19">
        <v>2.2276108643582559</v>
      </c>
      <c r="AG614" s="19">
        <v>2.2353107463124968</v>
      </c>
      <c r="AH614" s="19">
        <v>2.2432525083454946</v>
      </c>
      <c r="AI614" s="19">
        <v>2.2514374631954519</v>
      </c>
      <c r="AJ614" s="19">
        <v>2.2598669509200655</v>
      </c>
      <c r="AK614" s="19">
        <v>2.2685423390893504</v>
      </c>
      <c r="AL614" s="19">
        <v>2.2774650229822875</v>
      </c>
      <c r="AM614" s="19">
        <v>2.2866364257855523</v>
      </c>
      <c r="AN614" s="19">
        <v>2.2960579987966248</v>
      </c>
      <c r="AO614" s="19">
        <v>2.3057312216295349</v>
      </c>
      <c r="AP614" s="19">
        <v>2.3156576024239115</v>
      </c>
      <c r="AQ614" s="19">
        <v>2.3258386780577616</v>
      </c>
      <c r="AR614" s="19">
        <v>46.321573062054526</v>
      </c>
    </row>
    <row r="615" spans="1:44" x14ac:dyDescent="0.25">
      <c r="A615" t="s">
        <v>250</v>
      </c>
      <c r="B615" t="s">
        <v>305</v>
      </c>
      <c r="C615" t="s">
        <v>44</v>
      </c>
      <c r="D615" t="s">
        <v>303</v>
      </c>
      <c r="E615" t="s">
        <v>145</v>
      </c>
      <c r="F615" t="s">
        <v>303</v>
      </c>
      <c r="G615" t="s">
        <v>31</v>
      </c>
      <c r="H615" t="s">
        <v>272</v>
      </c>
      <c r="I615" t="s">
        <v>135</v>
      </c>
      <c r="J615" t="s">
        <v>39</v>
      </c>
      <c r="K615" t="s">
        <v>31</v>
      </c>
      <c r="L615">
        <v>4.4454921874999997E-2</v>
      </c>
      <c r="M615">
        <v>0</v>
      </c>
      <c r="N615" s="2">
        <v>2.9375680356684666E-2</v>
      </c>
      <c r="O615" s="2">
        <v>5.4674005771508316</v>
      </c>
      <c r="P615" s="1">
        <v>98.408514201596844</v>
      </c>
      <c r="Q615" s="1">
        <v>100.81272112185832</v>
      </c>
      <c r="R615" s="1">
        <v>-1.8625523936223527</v>
      </c>
      <c r="S615" s="19">
        <v>0.31362639117830821</v>
      </c>
      <c r="T615" s="19">
        <v>0.45814998738571</v>
      </c>
      <c r="U615" s="19">
        <v>0.62176965328362033</v>
      </c>
      <c r="V615" s="19">
        <v>0.81177320609273573</v>
      </c>
      <c r="W615" s="19">
        <v>1.018640273332911</v>
      </c>
      <c r="X615" s="19">
        <v>1.2281088920851908</v>
      </c>
      <c r="Y615" s="19">
        <v>1.4233460303811758</v>
      </c>
      <c r="Z615" s="19">
        <v>1.5886832258179815</v>
      </c>
      <c r="AA615" s="19">
        <v>1.7137749804161535</v>
      </c>
      <c r="AB615" s="19">
        <v>1.7963366647419059</v>
      </c>
      <c r="AC615" s="19">
        <v>1.8419475575131012</v>
      </c>
      <c r="AD615" s="19">
        <v>1.8585216885713616</v>
      </c>
      <c r="AE615" s="19">
        <v>1.8499724888039335</v>
      </c>
      <c r="AF615" s="19">
        <v>1.8414626153554357</v>
      </c>
      <c r="AG615" s="19">
        <v>1.8329918873248008</v>
      </c>
      <c r="AH615" s="19">
        <v>2.1038306071409334</v>
      </c>
      <c r="AI615" s="19">
        <v>2.1736418478206181</v>
      </c>
      <c r="AJ615" s="19">
        <v>2.1274028216138063</v>
      </c>
      <c r="AK615" s="19">
        <v>0.88267544319237179</v>
      </c>
      <c r="AL615" s="19">
        <v>0.22386249952459636</v>
      </c>
      <c r="AM615" s="19">
        <v>0.17155766723860513</v>
      </c>
      <c r="AN615" s="19">
        <v>0.12165950966404419</v>
      </c>
      <c r="AO615" s="19">
        <v>7.8293947530103575E-2</v>
      </c>
      <c r="AP615" s="19">
        <v>4.4392479119705806E-2</v>
      </c>
      <c r="AQ615" s="19">
        <v>2.089839783725099E-2</v>
      </c>
      <c r="AR615" s="19">
        <v>28.14732076296637</v>
      </c>
    </row>
    <row r="616" spans="1:44" x14ac:dyDescent="0.25">
      <c r="A616" t="s">
        <v>250</v>
      </c>
      <c r="B616" t="s">
        <v>305</v>
      </c>
      <c r="C616" t="s">
        <v>44</v>
      </c>
      <c r="D616" t="s">
        <v>303</v>
      </c>
      <c r="E616" t="s">
        <v>148</v>
      </c>
      <c r="F616" t="s">
        <v>303</v>
      </c>
      <c r="G616" t="s">
        <v>31</v>
      </c>
      <c r="H616" t="s">
        <v>272</v>
      </c>
      <c r="I616" t="s">
        <v>135</v>
      </c>
      <c r="J616" t="s">
        <v>39</v>
      </c>
      <c r="K616" t="s">
        <v>31</v>
      </c>
      <c r="L616">
        <v>4.4454921874999997E-2</v>
      </c>
      <c r="M616">
        <v>0</v>
      </c>
      <c r="N616" s="2">
        <v>2.9375680356684666E-2</v>
      </c>
      <c r="O616" s="2">
        <v>5.4674005771508316</v>
      </c>
      <c r="P616" s="1">
        <v>98.408514201596844</v>
      </c>
      <c r="Q616" s="1">
        <v>100.81272112185832</v>
      </c>
      <c r="R616" s="1">
        <v>-1.8625523936223527</v>
      </c>
      <c r="S616" s="19">
        <v>5.3354906491301958E-2</v>
      </c>
      <c r="T616" s="19">
        <v>0.11006024860964378</v>
      </c>
      <c r="U616" s="19">
        <v>0.15105448719545617</v>
      </c>
      <c r="V616" s="19">
        <v>0.199453712230198</v>
      </c>
      <c r="W616" s="19">
        <v>0.2531357063738866</v>
      </c>
      <c r="X616" s="19">
        <v>0.30868555095288458</v>
      </c>
      <c r="Y616" s="19">
        <v>0.36187479070063339</v>
      </c>
      <c r="Z616" s="19">
        <v>0.40857797700524096</v>
      </c>
      <c r="AA616" s="19">
        <v>0.44586408920035225</v>
      </c>
      <c r="AB616" s="19">
        <v>0.47279031705817193</v>
      </c>
      <c r="AC616" s="19">
        <v>0.49046856379392584</v>
      </c>
      <c r="AD616" s="19">
        <v>0.5006974772936964</v>
      </c>
      <c r="AE616" s="19">
        <v>0.50427508782607255</v>
      </c>
      <c r="AF616" s="19">
        <v>0.50790219069429798</v>
      </c>
      <c r="AG616" s="19">
        <v>0.51157929781025913</v>
      </c>
      <c r="AH616" s="19">
        <v>0.51530692702481518</v>
      </c>
      <c r="AI616" s="19">
        <v>0.51908560219363076</v>
      </c>
      <c r="AJ616" s="19">
        <v>0.52291585324349366</v>
      </c>
      <c r="AK616" s="19">
        <v>0.52679821623954737</v>
      </c>
      <c r="AL616" s="19">
        <v>0.53073323345326384</v>
      </c>
      <c r="AM616" s="19">
        <v>0.53472145343106114</v>
      </c>
      <c r="AN616" s="19">
        <v>0.53876343106382973</v>
      </c>
      <c r="AO616" s="19">
        <v>0.54285972765722956</v>
      </c>
      <c r="AP616" s="19">
        <v>0.54701091100266175</v>
      </c>
      <c r="AQ616" s="19">
        <v>0.55121755544920126</v>
      </c>
      <c r="AR616" s="19">
        <v>10.609187313994754</v>
      </c>
    </row>
    <row r="617" spans="1:44" x14ac:dyDescent="0.25">
      <c r="A617" t="s">
        <v>250</v>
      </c>
      <c r="B617" t="s">
        <v>305</v>
      </c>
      <c r="C617" t="s">
        <v>44</v>
      </c>
      <c r="D617" t="s">
        <v>303</v>
      </c>
      <c r="E617" t="s">
        <v>145</v>
      </c>
      <c r="F617" t="s">
        <v>303</v>
      </c>
      <c r="G617" t="s">
        <v>31</v>
      </c>
      <c r="H617" t="s">
        <v>273</v>
      </c>
      <c r="I617" t="s">
        <v>135</v>
      </c>
      <c r="J617" t="s">
        <v>39</v>
      </c>
      <c r="K617" t="s">
        <v>31</v>
      </c>
      <c r="L617">
        <v>4.4454921874999997E-2</v>
      </c>
      <c r="M617">
        <v>0</v>
      </c>
      <c r="N617" s="2">
        <v>2.9375680356684666E-2</v>
      </c>
      <c r="O617" s="2">
        <v>5.4674005771508316</v>
      </c>
      <c r="P617" s="1">
        <v>98.408514201596844</v>
      </c>
      <c r="Q617" s="1">
        <v>100.81272112185832</v>
      </c>
      <c r="R617" s="1">
        <v>-1.8625523936223527</v>
      </c>
      <c r="S617" s="19">
        <v>9.4325190608960829E-2</v>
      </c>
      <c r="T617" s="19">
        <v>0.13779160843349025</v>
      </c>
      <c r="U617" s="19">
        <v>0.18700129424854775</v>
      </c>
      <c r="V617" s="19">
        <v>0.24414610680008517</v>
      </c>
      <c r="W617" s="19">
        <v>0.30636273173026363</v>
      </c>
      <c r="X617" s="19">
        <v>0.3693617903113105</v>
      </c>
      <c r="Y617" s="19">
        <v>0.42808063796481288</v>
      </c>
      <c r="Z617" s="19">
        <v>0.47780688203418104</v>
      </c>
      <c r="AA617" s="19">
        <v>0.51542904626516772</v>
      </c>
      <c r="AB617" s="19">
        <v>0.54026001339699892</v>
      </c>
      <c r="AC617" s="19">
        <v>0.55397778803428022</v>
      </c>
      <c r="AD617" s="19">
        <v>0.55896256646882048</v>
      </c>
      <c r="AE617" s="19">
        <v>0.55639133866306401</v>
      </c>
      <c r="AF617" s="19">
        <v>0.55383193850521384</v>
      </c>
      <c r="AG617" s="19">
        <v>0.55128431158808977</v>
      </c>
      <c r="AH617" s="19">
        <v>0.63274082988351388</v>
      </c>
      <c r="AI617" s="19">
        <v>0.65373701760553371</v>
      </c>
      <c r="AJ617" s="19">
        <v>0.6398303277247992</v>
      </c>
      <c r="AK617" s="19">
        <v>0.26547041883867811</v>
      </c>
      <c r="AL617" s="19">
        <v>6.7328112466947157E-2</v>
      </c>
      <c r="AM617" s="19">
        <v>5.1597091692165642E-2</v>
      </c>
      <c r="AN617" s="19">
        <v>3.6589894094497415E-2</v>
      </c>
      <c r="AO617" s="19">
        <v>2.3547417347624226E-2</v>
      </c>
      <c r="AP617" s="19">
        <v>1.3351328754058658E-2</v>
      </c>
      <c r="AQ617" s="19">
        <v>6.2853299813658238E-3</v>
      </c>
      <c r="AR617" s="19">
        <v>8.4654910134424703</v>
      </c>
    </row>
    <row r="618" spans="1:44" x14ac:dyDescent="0.25">
      <c r="A618" t="s">
        <v>250</v>
      </c>
      <c r="B618" t="s">
        <v>305</v>
      </c>
      <c r="C618" t="s">
        <v>44</v>
      </c>
      <c r="D618" t="s">
        <v>303</v>
      </c>
      <c r="E618" t="s">
        <v>148</v>
      </c>
      <c r="F618" t="s">
        <v>303</v>
      </c>
      <c r="G618" t="s">
        <v>31</v>
      </c>
      <c r="H618" t="s">
        <v>273</v>
      </c>
      <c r="I618" t="s">
        <v>135</v>
      </c>
      <c r="J618" t="s">
        <v>39</v>
      </c>
      <c r="K618" t="s">
        <v>31</v>
      </c>
      <c r="L618">
        <v>4.4454921874999997E-2</v>
      </c>
      <c r="M618">
        <v>0</v>
      </c>
      <c r="N618" s="2">
        <v>2.9375680356684666E-2</v>
      </c>
      <c r="O618" s="2">
        <v>5.4674005771508316</v>
      </c>
      <c r="P618" s="1">
        <v>98.408514201596844</v>
      </c>
      <c r="Q618" s="1">
        <v>100.81272112185832</v>
      </c>
      <c r="R618" s="1">
        <v>-1.8625523936223527</v>
      </c>
      <c r="S618" s="19">
        <v>1.6046837467367518E-2</v>
      </c>
      <c r="T618" s="19">
        <v>3.3101340386472951E-2</v>
      </c>
      <c r="U618" s="19">
        <v>4.5430626050055371E-2</v>
      </c>
      <c r="V618" s="19">
        <v>5.9987009872145343E-2</v>
      </c>
      <c r="W618" s="19">
        <v>7.6132221092566565E-2</v>
      </c>
      <c r="X618" s="19">
        <v>9.2839200561119439E-2</v>
      </c>
      <c r="Y618" s="19">
        <v>0.10883621267066376</v>
      </c>
      <c r="Z618" s="19">
        <v>0.12288250173988503</v>
      </c>
      <c r="AA618" s="19">
        <v>0.13409654411258948</v>
      </c>
      <c r="AB618" s="19">
        <v>0.14219478343972783</v>
      </c>
      <c r="AC618" s="19">
        <v>0.14751163189344918</v>
      </c>
      <c r="AD618" s="19">
        <v>0.1505880446020979</v>
      </c>
      <c r="AE618" s="19">
        <v>0.15166403439403547</v>
      </c>
      <c r="AF618" s="19">
        <v>0.1527549093300368</v>
      </c>
      <c r="AG618" s="19">
        <v>0.15386082337093923</v>
      </c>
      <c r="AH618" s="19">
        <v>0.15498193226379087</v>
      </c>
      <c r="AI618" s="19">
        <v>0.15611839356160706</v>
      </c>
      <c r="AJ618" s="19">
        <v>0.15727036664333993</v>
      </c>
      <c r="AK618" s="19">
        <v>0.15843801273408939</v>
      </c>
      <c r="AL618" s="19">
        <v>0.15962149492555855</v>
      </c>
      <c r="AM618" s="19">
        <v>0.16082097819666419</v>
      </c>
      <c r="AN618" s="19">
        <v>0.1620366294344833</v>
      </c>
      <c r="AO618" s="19">
        <v>0.16326861745536089</v>
      </c>
      <c r="AP618" s="19">
        <v>0.16451711302628408</v>
      </c>
      <c r="AQ618" s="19">
        <v>0.16578228888649471</v>
      </c>
      <c r="AR618" s="19">
        <v>3.1907825481108252</v>
      </c>
    </row>
    <row r="619" spans="1:44" x14ac:dyDescent="0.25">
      <c r="A619" t="s">
        <v>250</v>
      </c>
      <c r="B619" t="s">
        <v>305</v>
      </c>
      <c r="C619" t="s">
        <v>44</v>
      </c>
      <c r="D619" t="s">
        <v>303</v>
      </c>
      <c r="E619" t="s">
        <v>145</v>
      </c>
      <c r="F619" t="s">
        <v>303</v>
      </c>
      <c r="G619" t="s">
        <v>31</v>
      </c>
      <c r="H619" t="s">
        <v>274</v>
      </c>
      <c r="I619" t="s">
        <v>135</v>
      </c>
      <c r="J619" t="s">
        <v>39</v>
      </c>
      <c r="K619" t="s">
        <v>31</v>
      </c>
      <c r="L619">
        <v>4.4454921874999997E-2</v>
      </c>
      <c r="M619">
        <v>0</v>
      </c>
      <c r="N619" s="2">
        <v>2.9375680356684666E-2</v>
      </c>
      <c r="O619" s="2">
        <v>5.4674005771508316</v>
      </c>
      <c r="P619" s="1">
        <v>98.408514201596844</v>
      </c>
      <c r="Q619" s="1">
        <v>100.81272112185832</v>
      </c>
      <c r="R619" s="1">
        <v>-1.8625523936223527</v>
      </c>
      <c r="S619" s="19">
        <v>0.14848474087109173</v>
      </c>
      <c r="T619" s="19">
        <v>0.21690866607709833</v>
      </c>
      <c r="U619" s="19">
        <v>0.29437352354967378</v>
      </c>
      <c r="V619" s="19">
        <v>0.38432969145203738</v>
      </c>
      <c r="W619" s="19">
        <v>0.48226980025001343</v>
      </c>
      <c r="X619" s="19">
        <v>0.58144159972518794</v>
      </c>
      <c r="Y619" s="19">
        <v>0.67387558074118947</v>
      </c>
      <c r="Z619" s="19">
        <v>0.75215359340635934</v>
      </c>
      <c r="AA619" s="19">
        <v>0.81137761692311694</v>
      </c>
      <c r="AB619" s="19">
        <v>0.85046600568061892</v>
      </c>
      <c r="AC619" s="19">
        <v>0.87206023940752397</v>
      </c>
      <c r="AD619" s="19">
        <v>0.87990717328991597</v>
      </c>
      <c r="AE619" s="19">
        <v>0.87585960029278209</v>
      </c>
      <c r="AF619" s="19">
        <v>0.87183064613143557</v>
      </c>
      <c r="AG619" s="19">
        <v>0.86782022515923041</v>
      </c>
      <c r="AH619" s="19">
        <v>0.99604737141011102</v>
      </c>
      <c r="AI619" s="19">
        <v>1.0290991306809674</v>
      </c>
      <c r="AJ619" s="19">
        <v>1.007207510531732</v>
      </c>
      <c r="AK619" s="19">
        <v>0.41789797715454136</v>
      </c>
      <c r="AL619" s="19">
        <v>0.10598650549712976</v>
      </c>
      <c r="AM619" s="19">
        <v>8.1223061836943514E-2</v>
      </c>
      <c r="AN619" s="19">
        <v>5.75990454728635E-2</v>
      </c>
      <c r="AO619" s="19">
        <v>3.7067851551347009E-2</v>
      </c>
      <c r="AP619" s="19">
        <v>2.1017382287089797E-2</v>
      </c>
      <c r="AQ619" s="19">
        <v>9.8942349074219761E-3</v>
      </c>
      <c r="AR619" s="19">
        <v>13.326198774287423</v>
      </c>
    </row>
    <row r="620" spans="1:44" x14ac:dyDescent="0.25">
      <c r="A620" t="s">
        <v>250</v>
      </c>
      <c r="B620" t="s">
        <v>305</v>
      </c>
      <c r="C620" t="s">
        <v>44</v>
      </c>
      <c r="D620" t="s">
        <v>303</v>
      </c>
      <c r="E620" t="s">
        <v>148</v>
      </c>
      <c r="F620" t="s">
        <v>303</v>
      </c>
      <c r="G620" t="s">
        <v>31</v>
      </c>
      <c r="H620" t="s">
        <v>274</v>
      </c>
      <c r="I620" t="s">
        <v>135</v>
      </c>
      <c r="J620" t="s">
        <v>39</v>
      </c>
      <c r="K620" t="s">
        <v>31</v>
      </c>
      <c r="L620">
        <v>4.4454921874999997E-2</v>
      </c>
      <c r="M620">
        <v>0</v>
      </c>
      <c r="N620" s="2">
        <v>2.9375680356684666E-2</v>
      </c>
      <c r="O620" s="2">
        <v>5.4674005771508316</v>
      </c>
      <c r="P620" s="1">
        <v>98.408514201596844</v>
      </c>
      <c r="Q620" s="1">
        <v>100.81272112185832</v>
      </c>
      <c r="R620" s="1">
        <v>-1.8625523936223527</v>
      </c>
      <c r="S620" s="19">
        <v>2.52605956877466E-2</v>
      </c>
      <c r="T620" s="19">
        <v>5.2107437239616285E-2</v>
      </c>
      <c r="U620" s="19">
        <v>7.1515940684598975E-2</v>
      </c>
      <c r="V620" s="19">
        <v>9.4430295438500428E-2</v>
      </c>
      <c r="W620" s="19">
        <v>0.11984574902938572</v>
      </c>
      <c r="X620" s="19">
        <v>0.14614552643890899</v>
      </c>
      <c r="Y620" s="19">
        <v>0.17132768809119214</v>
      </c>
      <c r="Z620" s="19">
        <v>0.19343906236119637</v>
      </c>
      <c r="AA620" s="19">
        <v>0.21109197315923656</v>
      </c>
      <c r="AB620" s="19">
        <v>0.22384005201536572</v>
      </c>
      <c r="AC620" s="19">
        <v>0.23220972357186831</v>
      </c>
      <c r="AD620" s="19">
        <v>0.23705254806983231</v>
      </c>
      <c r="AE620" s="19">
        <v>0.23874634868030145</v>
      </c>
      <c r="AF620" s="19">
        <v>0.24046358117300795</v>
      </c>
      <c r="AG620" s="19">
        <v>0.24220448790990015</v>
      </c>
      <c r="AH620" s="19">
        <v>0.24396931406469599</v>
      </c>
      <c r="AI620" s="19">
        <v>0.24575830765407783</v>
      </c>
      <c r="AJ620" s="19">
        <v>0.24757171956903803</v>
      </c>
      <c r="AK620" s="19">
        <v>0.24940980360677151</v>
      </c>
      <c r="AL620" s="19">
        <v>0.25127281650280786</v>
      </c>
      <c r="AM620" s="19">
        <v>0.25316101796351587</v>
      </c>
      <c r="AN620" s="19">
        <v>0.25507467069903428</v>
      </c>
      <c r="AO620" s="19">
        <v>0.2570140404565226</v>
      </c>
      <c r="AP620" s="19">
        <v>0.25897939605379749</v>
      </c>
      <c r="AQ620" s="19">
        <v>0.26097100941335483</v>
      </c>
      <c r="AR620" s="19">
        <v>5.0228631055342747</v>
      </c>
    </row>
    <row r="621" spans="1:44" x14ac:dyDescent="0.25">
      <c r="A621" t="s">
        <v>250</v>
      </c>
      <c r="B621" t="s">
        <v>305</v>
      </c>
      <c r="C621" t="s">
        <v>44</v>
      </c>
      <c r="D621" t="s">
        <v>303</v>
      </c>
      <c r="E621" t="s">
        <v>145</v>
      </c>
      <c r="F621" t="s">
        <v>303</v>
      </c>
      <c r="G621" t="s">
        <v>31</v>
      </c>
      <c r="H621" t="s">
        <v>275</v>
      </c>
      <c r="I621" t="s">
        <v>135</v>
      </c>
      <c r="J621" t="s">
        <v>39</v>
      </c>
      <c r="K621" t="s">
        <v>31</v>
      </c>
      <c r="L621">
        <v>4.4454921874999997E-2</v>
      </c>
      <c r="M621">
        <v>0</v>
      </c>
      <c r="N621" s="2">
        <v>2.9375680356684666E-2</v>
      </c>
      <c r="O621" s="2">
        <v>5.4674005771508316</v>
      </c>
      <c r="P621" s="1">
        <v>98.408514201596844</v>
      </c>
      <c r="Q621" s="1">
        <v>100.81272112185832</v>
      </c>
      <c r="R621" s="1">
        <v>-1.8625523936223527</v>
      </c>
      <c r="S621" s="19">
        <v>0.22683826756945535</v>
      </c>
      <c r="T621" s="19">
        <v>0.33136863589536553</v>
      </c>
      <c r="U621" s="19">
        <v>0.44971072251993693</v>
      </c>
      <c r="V621" s="19">
        <v>0.58713562668483299</v>
      </c>
      <c r="W621" s="19">
        <v>0.73675749675015101</v>
      </c>
      <c r="X621" s="19">
        <v>0.88826100514246464</v>
      </c>
      <c r="Y621" s="19">
        <v>1.0294712331780909</v>
      </c>
      <c r="Z621" s="19">
        <v>1.1490555667438034</v>
      </c>
      <c r="AA621" s="19">
        <v>1.2395313611872003</v>
      </c>
      <c r="AB621" s="19">
        <v>1.2992462001384355</v>
      </c>
      <c r="AC621" s="19">
        <v>1.3322354388936395</v>
      </c>
      <c r="AD621" s="19">
        <v>1.3442231009063923</v>
      </c>
      <c r="AE621" s="19">
        <v>1.3380396746422232</v>
      </c>
      <c r="AF621" s="19">
        <v>1.3318846921388687</v>
      </c>
      <c r="AG621" s="19">
        <v>1.3257580225550296</v>
      </c>
      <c r="AH621" s="19">
        <v>1.5216490180895601</v>
      </c>
      <c r="AI621" s="19">
        <v>1.5721417742417374</v>
      </c>
      <c r="AJ621" s="19">
        <v>1.5386982219965148</v>
      </c>
      <c r="AK621" s="19">
        <v>0.63841747375788371</v>
      </c>
      <c r="AL621" s="19">
        <v>0.16191424890980127</v>
      </c>
      <c r="AM621" s="19">
        <v>0.12408344807480635</v>
      </c>
      <c r="AN621" s="19">
        <v>8.7993335962122818E-2</v>
      </c>
      <c r="AO621" s="19">
        <v>5.6628089722223565E-2</v>
      </c>
      <c r="AP621" s="19">
        <v>3.2107990079515328E-2</v>
      </c>
      <c r="AQ621" s="19">
        <v>1.5115297990608338E-2</v>
      </c>
      <c r="AR621" s="19">
        <v>20.358265943770665</v>
      </c>
    </row>
    <row r="622" spans="1:44" x14ac:dyDescent="0.25">
      <c r="A622" t="s">
        <v>250</v>
      </c>
      <c r="B622" t="s">
        <v>305</v>
      </c>
      <c r="C622" t="s">
        <v>44</v>
      </c>
      <c r="D622" t="s">
        <v>303</v>
      </c>
      <c r="E622" t="s">
        <v>148</v>
      </c>
      <c r="F622" t="s">
        <v>303</v>
      </c>
      <c r="G622" t="s">
        <v>31</v>
      </c>
      <c r="H622" t="s">
        <v>275</v>
      </c>
      <c r="I622" t="s">
        <v>135</v>
      </c>
      <c r="J622" t="s">
        <v>39</v>
      </c>
      <c r="K622" t="s">
        <v>31</v>
      </c>
      <c r="L622">
        <v>4.4454921874999997E-2</v>
      </c>
      <c r="M622">
        <v>0</v>
      </c>
      <c r="N622" s="2">
        <v>2.9375680356684666E-2</v>
      </c>
      <c r="O622" s="2">
        <v>5.4674005771508316</v>
      </c>
      <c r="P622" s="1">
        <v>98.408514201596844</v>
      </c>
      <c r="Q622" s="1">
        <v>100.81272112185832</v>
      </c>
      <c r="R622" s="1">
        <v>-1.8625523936223527</v>
      </c>
      <c r="S622" s="19">
        <v>3.8590293722878248E-2</v>
      </c>
      <c r="T622" s="19">
        <v>7.960387526405921E-2</v>
      </c>
      <c r="U622" s="19">
        <v>0.10925400141000435</v>
      </c>
      <c r="V622" s="19">
        <v>0.1442599724232789</v>
      </c>
      <c r="W622" s="19">
        <v>0.18308684061341221</v>
      </c>
      <c r="X622" s="19">
        <v>0.22326467915790177</v>
      </c>
      <c r="Y622" s="19">
        <v>0.26173515019315091</v>
      </c>
      <c r="Z622" s="19">
        <v>0.29551441803954698</v>
      </c>
      <c r="AA622" s="19">
        <v>0.32248254742101728</v>
      </c>
      <c r="AB622" s="19">
        <v>0.34195762685071507</v>
      </c>
      <c r="AC622" s="19">
        <v>0.35474386862118079</v>
      </c>
      <c r="AD622" s="19">
        <v>0.36214219058219155</v>
      </c>
      <c r="AE622" s="19">
        <v>0.36472978843118514</v>
      </c>
      <c r="AF622" s="19">
        <v>0.36735318287141056</v>
      </c>
      <c r="AG622" s="19">
        <v>0.37001274415615598</v>
      </c>
      <c r="AH622" s="19">
        <v>0.37270884683422861</v>
      </c>
      <c r="AI622" s="19">
        <v>0.37544186979758237</v>
      </c>
      <c r="AJ622" s="19">
        <v>0.37821219632923087</v>
      </c>
      <c r="AK622" s="19">
        <v>0.3810202141519351</v>
      </c>
      <c r="AL622" s="19">
        <v>0.38386631547734373</v>
      </c>
      <c r="AM622" s="19">
        <v>0.38675089705560745</v>
      </c>
      <c r="AN622" s="19">
        <v>0.3896743602256722</v>
      </c>
      <c r="AO622" s="19">
        <v>0.39263711096615866</v>
      </c>
      <c r="AP622" s="19">
        <v>0.39563955994661915</v>
      </c>
      <c r="AQ622" s="19">
        <v>0.39868212257966446</v>
      </c>
      <c r="AR622" s="19">
        <v>7.6733646731221308</v>
      </c>
    </row>
    <row r="623" spans="1:44" x14ac:dyDescent="0.25">
      <c r="A623" t="s">
        <v>250</v>
      </c>
      <c r="B623" t="s">
        <v>305</v>
      </c>
      <c r="C623" t="s">
        <v>44</v>
      </c>
      <c r="D623" t="s">
        <v>303</v>
      </c>
      <c r="E623" t="s">
        <v>145</v>
      </c>
      <c r="F623" t="s">
        <v>303</v>
      </c>
      <c r="G623" t="s">
        <v>31</v>
      </c>
      <c r="H623" t="s">
        <v>274</v>
      </c>
      <c r="I623" t="s">
        <v>135</v>
      </c>
      <c r="J623" t="s">
        <v>39</v>
      </c>
      <c r="K623" t="s">
        <v>33</v>
      </c>
      <c r="L623">
        <v>4.4454921874999997E-2</v>
      </c>
      <c r="M623">
        <v>0</v>
      </c>
      <c r="N623" s="2">
        <v>2.9375680356684666E-2</v>
      </c>
      <c r="O623" s="2">
        <v>5.4674005771508316</v>
      </c>
      <c r="P623" s="1">
        <v>98.408514201596844</v>
      </c>
      <c r="Q623" s="1">
        <v>100.81272112185832</v>
      </c>
      <c r="R623" s="1">
        <v>-1.8625523936223527</v>
      </c>
      <c r="S623" s="19">
        <v>4.7774707363348098E-4</v>
      </c>
      <c r="T623" s="19">
        <v>6.9789986402737979E-4</v>
      </c>
      <c r="U623" s="19">
        <v>9.4714169689077792E-4</v>
      </c>
      <c r="V623" s="19">
        <v>1.2365741040089378E-3</v>
      </c>
      <c r="W623" s="19">
        <v>1.5516947022271718E-3</v>
      </c>
      <c r="X623" s="19">
        <v>1.8707782437970321E-3</v>
      </c>
      <c r="Y623" s="19">
        <v>2.168182971553034E-3</v>
      </c>
      <c r="Z623" s="19">
        <v>2.4200411171189547E-3</v>
      </c>
      <c r="AA623" s="19">
        <v>2.610593383688185E-3</v>
      </c>
      <c r="AB623" s="19">
        <v>2.7363595953028637E-3</v>
      </c>
      <c r="AC623" s="19">
        <v>2.8058386670907374E-3</v>
      </c>
      <c r="AD623" s="19">
        <v>2.8310860405064515E-3</v>
      </c>
      <c r="AE623" s="19">
        <v>2.8180630447201208E-3</v>
      </c>
      <c r="AF623" s="19">
        <v>2.8050999547144088E-3</v>
      </c>
      <c r="AG623" s="19">
        <v>2.7921964949227224E-3</v>
      </c>
      <c r="AH623" s="19">
        <v>3.2047651098682409E-3</v>
      </c>
      <c r="AI623" s="19">
        <v>3.3111085710040744E-3</v>
      </c>
      <c r="AJ623" s="19">
        <v>3.2406726635698427E-3</v>
      </c>
      <c r="AK623" s="19">
        <v>1.3445794799632634E-3</v>
      </c>
      <c r="AL623" s="19">
        <v>3.4100973978094524E-4</v>
      </c>
      <c r="AM623" s="19">
        <v>2.6133379010197146E-4</v>
      </c>
      <c r="AN623" s="19">
        <v>1.8532392794914956E-4</v>
      </c>
      <c r="AO623" s="19">
        <v>1.1926516826338824E-4</v>
      </c>
      <c r="AP623" s="19">
        <v>6.7623062303825984E-5</v>
      </c>
      <c r="AQ623" s="19">
        <v>3.1834528889179252E-5</v>
      </c>
      <c r="AR623" s="19">
        <v>4.2876812995896151E-2</v>
      </c>
    </row>
    <row r="624" spans="1:44" x14ac:dyDescent="0.25">
      <c r="A624" t="s">
        <v>250</v>
      </c>
      <c r="B624" t="s">
        <v>305</v>
      </c>
      <c r="C624" t="s">
        <v>44</v>
      </c>
      <c r="D624" t="s">
        <v>303</v>
      </c>
      <c r="E624" t="s">
        <v>148</v>
      </c>
      <c r="F624" t="s">
        <v>303</v>
      </c>
      <c r="G624" t="s">
        <v>31</v>
      </c>
      <c r="H624" t="s">
        <v>274</v>
      </c>
      <c r="I624" t="s">
        <v>135</v>
      </c>
      <c r="J624" t="s">
        <v>39</v>
      </c>
      <c r="K624" t="s">
        <v>33</v>
      </c>
      <c r="L624">
        <v>4.4454921874999997E-2</v>
      </c>
      <c r="M624">
        <v>0</v>
      </c>
      <c r="N624" s="2">
        <v>2.9375680356684666E-2</v>
      </c>
      <c r="O624" s="2">
        <v>5.4674005771508316</v>
      </c>
      <c r="P624" s="1">
        <v>98.408514201596844</v>
      </c>
      <c r="Q624" s="1">
        <v>100.81272112185832</v>
      </c>
      <c r="R624" s="1">
        <v>-1.8625523936223527</v>
      </c>
      <c r="S624" s="19">
        <v>8.1275527688980223E-5</v>
      </c>
      <c r="T624" s="19">
        <v>1.6765477388265009E-4</v>
      </c>
      <c r="U624" s="19">
        <v>2.3010129646840183E-4</v>
      </c>
      <c r="V624" s="19">
        <v>3.038278347217821E-4</v>
      </c>
      <c r="W624" s="19">
        <v>3.8560161502324518E-4</v>
      </c>
      <c r="X624" s="19">
        <v>4.7022069184489131E-4</v>
      </c>
      <c r="Y624" s="19">
        <v>5.5124385938765759E-4</v>
      </c>
      <c r="Z624" s="19">
        <v>6.2238682188695059E-4</v>
      </c>
      <c r="AA624" s="19">
        <v>6.7918475563691057E-4</v>
      </c>
      <c r="AB624" s="19">
        <v>7.2020147784173066E-4</v>
      </c>
      <c r="AC624" s="19">
        <v>7.4713075064064256E-4</v>
      </c>
      <c r="AD624" s="19">
        <v>7.6271245431234341E-4</v>
      </c>
      <c r="AE624" s="19">
        <v>7.6816222834449627E-4</v>
      </c>
      <c r="AF624" s="19">
        <v>7.7368739405058926E-4</v>
      </c>
      <c r="AG624" s="19">
        <v>7.7928873122596915E-4</v>
      </c>
      <c r="AH624" s="19">
        <v>7.8496702871282988E-4</v>
      </c>
      <c r="AI624" s="19">
        <v>7.9072308450053516E-4</v>
      </c>
      <c r="AJ624" s="19">
        <v>7.9655770582648259E-4</v>
      </c>
      <c r="AK624" s="19">
        <v>8.0247170927874416E-4</v>
      </c>
      <c r="AL624" s="19">
        <v>8.0846592089941745E-4</v>
      </c>
      <c r="AM624" s="19">
        <v>8.1454117628924319E-4</v>
      </c>
      <c r="AN624" s="19">
        <v>8.2069832071352672E-4</v>
      </c>
      <c r="AO624" s="19">
        <v>8.2693820920911969E-4</v>
      </c>
      <c r="AP624" s="19">
        <v>8.3326170669268437E-4</v>
      </c>
      <c r="AQ624" s="19">
        <v>8.396696880701495E-4</v>
      </c>
      <c r="AR624" s="19">
        <v>1.6160974763149972E-2</v>
      </c>
    </row>
    <row r="625" spans="1:44" x14ac:dyDescent="0.25">
      <c r="A625" t="s">
        <v>250</v>
      </c>
      <c r="B625" t="s">
        <v>305</v>
      </c>
      <c r="C625" t="s">
        <v>44</v>
      </c>
      <c r="D625" t="s">
        <v>303</v>
      </c>
      <c r="E625" t="s">
        <v>145</v>
      </c>
      <c r="F625" t="s">
        <v>303</v>
      </c>
      <c r="G625" t="s">
        <v>31</v>
      </c>
      <c r="H625" t="s">
        <v>272</v>
      </c>
      <c r="I625" t="s">
        <v>135</v>
      </c>
      <c r="J625" t="s">
        <v>40</v>
      </c>
      <c r="K625" t="s">
        <v>31</v>
      </c>
      <c r="L625">
        <v>4.4454921874999997E-2</v>
      </c>
      <c r="M625">
        <v>0</v>
      </c>
      <c r="N625" s="2">
        <v>2.9375680356684666E-2</v>
      </c>
      <c r="O625" s="2">
        <v>4.1746294160814541</v>
      </c>
      <c r="P625" s="1">
        <v>98.408514201596844</v>
      </c>
      <c r="Q625" s="1">
        <v>0.4672931329656026</v>
      </c>
      <c r="R625" s="1">
        <v>-1.7195523936223525</v>
      </c>
      <c r="S625" s="19">
        <v>3.1022618476073068E-2</v>
      </c>
      <c r="T625" s="19">
        <v>4.5318291646585129E-2</v>
      </c>
      <c r="U625" s="19">
        <v>6.1502868624507816E-2</v>
      </c>
      <c r="V625" s="19">
        <v>8.0297229984691937E-2</v>
      </c>
      <c r="W625" s="19">
        <v>0.10075966006956157</v>
      </c>
      <c r="X625" s="19">
        <v>0.12147942481208758</v>
      </c>
      <c r="Y625" s="19">
        <v>0.1407914706860369</v>
      </c>
      <c r="Z625" s="19">
        <v>0.15714593854401707</v>
      </c>
      <c r="AA625" s="19">
        <v>0.16951949474514477</v>
      </c>
      <c r="AB625" s="19">
        <v>0.17768615324590722</v>
      </c>
      <c r="AC625" s="19">
        <v>0.18219779309699816</v>
      </c>
      <c r="AD625" s="19">
        <v>0.18383723722177689</v>
      </c>
      <c r="AE625" s="19">
        <v>0.1829915859305567</v>
      </c>
      <c r="AF625" s="19">
        <v>0.1821498246352761</v>
      </c>
      <c r="AG625" s="19">
        <v>0.18131193544195384</v>
      </c>
      <c r="AH625" s="19">
        <v>0.20810217538903483</v>
      </c>
      <c r="AI625" s="19">
        <v>0.21500761302395585</v>
      </c>
      <c r="AJ625" s="19">
        <v>0.21043384082535405</v>
      </c>
      <c r="AK625" s="19">
        <v>8.7310584448829651E-2</v>
      </c>
      <c r="AL625" s="19">
        <v>2.2143547575061165E-2</v>
      </c>
      <c r="AM625" s="19">
        <v>1.6969771062290872E-2</v>
      </c>
      <c r="AN625" s="19">
        <v>1.2034052804401818E-2</v>
      </c>
      <c r="AO625" s="19">
        <v>7.7445117232852545E-3</v>
      </c>
      <c r="AP625" s="19">
        <v>4.391119439163288E-3</v>
      </c>
      <c r="AQ625" s="19">
        <v>2.0671826131418527E-3</v>
      </c>
      <c r="AR625" s="19">
        <v>2.7842159260656936</v>
      </c>
    </row>
    <row r="626" spans="1:44" x14ac:dyDescent="0.25">
      <c r="A626" t="s">
        <v>250</v>
      </c>
      <c r="B626" t="s">
        <v>305</v>
      </c>
      <c r="C626" t="s">
        <v>44</v>
      </c>
      <c r="D626" t="s">
        <v>303</v>
      </c>
      <c r="E626" t="s">
        <v>148</v>
      </c>
      <c r="F626" t="s">
        <v>303</v>
      </c>
      <c r="G626" t="s">
        <v>31</v>
      </c>
      <c r="H626" t="s">
        <v>272</v>
      </c>
      <c r="I626" t="s">
        <v>135</v>
      </c>
      <c r="J626" t="s">
        <v>40</v>
      </c>
      <c r="K626" t="s">
        <v>31</v>
      </c>
      <c r="L626">
        <v>4.4454921874999997E-2</v>
      </c>
      <c r="M626">
        <v>0</v>
      </c>
      <c r="N626" s="2">
        <v>2.9375680356684666E-2</v>
      </c>
      <c r="O626" s="2">
        <v>4.1746294160814541</v>
      </c>
      <c r="P626" s="1">
        <v>98.408514201596844</v>
      </c>
      <c r="Q626" s="1">
        <v>0.4672931329656026</v>
      </c>
      <c r="R626" s="1">
        <v>-1.7195523936223525</v>
      </c>
      <c r="S626" s="19">
        <v>5.2776454866808944E-3</v>
      </c>
      <c r="T626" s="19">
        <v>1.0886702133614579E-2</v>
      </c>
      <c r="U626" s="19">
        <v>1.4941681749923993E-2</v>
      </c>
      <c r="V626" s="19">
        <v>1.972913183392189E-2</v>
      </c>
      <c r="W626" s="19">
        <v>2.5039131471061772E-2</v>
      </c>
      <c r="X626" s="19">
        <v>3.0533891106260095E-2</v>
      </c>
      <c r="Y626" s="19">
        <v>3.5795149527553291E-2</v>
      </c>
      <c r="Z626" s="19">
        <v>4.0414834512931277E-2</v>
      </c>
      <c r="AA626" s="19">
        <v>4.4103021686018339E-2</v>
      </c>
      <c r="AB626" s="19">
        <v>4.6766452179524513E-2</v>
      </c>
      <c r="AC626" s="19">
        <v>4.8515110835923608E-2</v>
      </c>
      <c r="AD626" s="19">
        <v>4.9526912424865864E-2</v>
      </c>
      <c r="AE626" s="19">
        <v>4.9880794782102063E-2</v>
      </c>
      <c r="AF626" s="19">
        <v>5.0239572715399229E-2</v>
      </c>
      <c r="AG626" s="19">
        <v>5.0603296860951955E-2</v>
      </c>
      <c r="AH626" s="19">
        <v>5.0972018442414509E-2</v>
      </c>
      <c r="AI626" s="19">
        <v>5.1345789277408967E-2</v>
      </c>
      <c r="AJ626" s="19">
        <v>5.1724661784091262E-2</v>
      </c>
      <c r="AK626" s="19">
        <v>5.2108688987795942E-2</v>
      </c>
      <c r="AL626" s="19">
        <v>5.2497924527762259E-2</v>
      </c>
      <c r="AM626" s="19">
        <v>5.2892422663920226E-2</v>
      </c>
      <c r="AN626" s="19">
        <v>5.3292238283769992E-2</v>
      </c>
      <c r="AO626" s="19">
        <v>5.3697426909333414E-2</v>
      </c>
      <c r="AP626" s="19">
        <v>5.4108044704174289E-2</v>
      </c>
      <c r="AQ626" s="19">
        <v>5.45241484805149E-2</v>
      </c>
      <c r="AR626" s="19">
        <v>1.0494166933679192</v>
      </c>
    </row>
    <row r="627" spans="1:44" x14ac:dyDescent="0.25">
      <c r="A627" t="s">
        <v>250</v>
      </c>
      <c r="B627" t="s">
        <v>306</v>
      </c>
      <c r="C627" t="s">
        <v>44</v>
      </c>
      <c r="D627" t="s">
        <v>303</v>
      </c>
      <c r="E627" t="s">
        <v>145</v>
      </c>
      <c r="F627" t="s">
        <v>303</v>
      </c>
      <c r="G627" t="s">
        <v>31</v>
      </c>
      <c r="H627" t="s">
        <v>277</v>
      </c>
      <c r="I627" t="s">
        <v>135</v>
      </c>
      <c r="J627" t="s">
        <v>39</v>
      </c>
      <c r="K627" t="s">
        <v>31</v>
      </c>
      <c r="L627">
        <v>6.0953750000000001E-2</v>
      </c>
      <c r="M627">
        <v>0</v>
      </c>
      <c r="N627" s="2">
        <v>4.0238957028394744E-2</v>
      </c>
      <c r="O627" s="2">
        <v>5.4679361121017198</v>
      </c>
      <c r="P627" s="1">
        <v>71.19939926673959</v>
      </c>
      <c r="Q627" s="1">
        <v>73.603606187001091</v>
      </c>
      <c r="R627" s="1">
        <v>-1.8625523936223525</v>
      </c>
      <c r="S627" s="19">
        <v>0</v>
      </c>
      <c r="T627" s="19">
        <v>0</v>
      </c>
      <c r="U627" s="19">
        <v>0</v>
      </c>
      <c r="V627" s="19">
        <v>0</v>
      </c>
      <c r="W627" s="19">
        <v>0</v>
      </c>
      <c r="X627" s="19">
        <v>0</v>
      </c>
      <c r="Y627" s="19">
        <v>0</v>
      </c>
      <c r="Z627" s="19">
        <v>0</v>
      </c>
      <c r="AA627" s="19">
        <v>0</v>
      </c>
      <c r="AB627" s="19">
        <v>0</v>
      </c>
      <c r="AC627" s="19">
        <v>0</v>
      </c>
      <c r="AD627" s="19">
        <v>0</v>
      </c>
      <c r="AE627" s="19">
        <v>0</v>
      </c>
      <c r="AF627" s="19">
        <v>0</v>
      </c>
      <c r="AG627" s="19">
        <v>0</v>
      </c>
      <c r="AH627" s="19">
        <v>0</v>
      </c>
      <c r="AI627" s="19">
        <v>0</v>
      </c>
      <c r="AJ627" s="19">
        <v>0</v>
      </c>
      <c r="AK627" s="19">
        <v>0</v>
      </c>
      <c r="AL627" s="19">
        <v>0</v>
      </c>
      <c r="AM627" s="19">
        <v>0</v>
      </c>
      <c r="AN627" s="19">
        <v>0</v>
      </c>
      <c r="AO627" s="19">
        <v>0</v>
      </c>
      <c r="AP627" s="19">
        <v>0</v>
      </c>
      <c r="AQ627" s="19">
        <v>0</v>
      </c>
      <c r="AR627" s="19">
        <v>0</v>
      </c>
    </row>
    <row r="628" spans="1:44" x14ac:dyDescent="0.25">
      <c r="A628" t="s">
        <v>250</v>
      </c>
      <c r="B628" t="s">
        <v>306</v>
      </c>
      <c r="C628" t="s">
        <v>44</v>
      </c>
      <c r="D628" t="s">
        <v>303</v>
      </c>
      <c r="E628" t="s">
        <v>148</v>
      </c>
      <c r="F628" t="s">
        <v>303</v>
      </c>
      <c r="G628" t="s">
        <v>31</v>
      </c>
      <c r="H628" t="s">
        <v>277</v>
      </c>
      <c r="I628" t="s">
        <v>135</v>
      </c>
      <c r="J628" t="s">
        <v>39</v>
      </c>
      <c r="K628" t="s">
        <v>31</v>
      </c>
      <c r="L628">
        <v>6.0953750000000001E-2</v>
      </c>
      <c r="M628">
        <v>0</v>
      </c>
      <c r="N628" s="2">
        <v>4.0238957028394744E-2</v>
      </c>
      <c r="O628" s="2">
        <v>5.4679361121017198</v>
      </c>
      <c r="P628" s="1">
        <v>71.19939926673959</v>
      </c>
      <c r="Q628" s="1">
        <v>73.603606187001091</v>
      </c>
      <c r="R628" s="1">
        <v>-1.8625523936223525</v>
      </c>
      <c r="S628" s="19">
        <v>0</v>
      </c>
      <c r="T628" s="19">
        <v>0</v>
      </c>
      <c r="U628" s="19">
        <v>0</v>
      </c>
      <c r="V628" s="19">
        <v>0</v>
      </c>
      <c r="W628" s="19">
        <v>0</v>
      </c>
      <c r="X628" s="19">
        <v>0</v>
      </c>
      <c r="Y628" s="19">
        <v>0</v>
      </c>
      <c r="Z628" s="19">
        <v>0</v>
      </c>
      <c r="AA628" s="19">
        <v>0</v>
      </c>
      <c r="AB628" s="19">
        <v>0</v>
      </c>
      <c r="AC628" s="19">
        <v>0</v>
      </c>
      <c r="AD628" s="19">
        <v>0</v>
      </c>
      <c r="AE628" s="19">
        <v>0</v>
      </c>
      <c r="AF628" s="19">
        <v>0</v>
      </c>
      <c r="AG628" s="19">
        <v>0</v>
      </c>
      <c r="AH628" s="19">
        <v>0</v>
      </c>
      <c r="AI628" s="19">
        <v>0</v>
      </c>
      <c r="AJ628" s="19">
        <v>0</v>
      </c>
      <c r="AK628" s="19">
        <v>0</v>
      </c>
      <c r="AL628" s="19">
        <v>0</v>
      </c>
      <c r="AM628" s="19">
        <v>0</v>
      </c>
      <c r="AN628" s="19">
        <v>0</v>
      </c>
      <c r="AO628" s="19">
        <v>0</v>
      </c>
      <c r="AP628" s="19">
        <v>0</v>
      </c>
      <c r="AQ628" s="19">
        <v>0</v>
      </c>
      <c r="AR628" s="19">
        <v>0</v>
      </c>
    </row>
    <row r="629" spans="1:44" x14ac:dyDescent="0.25">
      <c r="A629" t="s">
        <v>250</v>
      </c>
      <c r="B629" t="s">
        <v>306</v>
      </c>
      <c r="C629" t="s">
        <v>44</v>
      </c>
      <c r="D629" t="s">
        <v>303</v>
      </c>
      <c r="E629" t="s">
        <v>145</v>
      </c>
      <c r="F629" t="s">
        <v>303</v>
      </c>
      <c r="G629" t="s">
        <v>31</v>
      </c>
      <c r="H629" t="s">
        <v>277</v>
      </c>
      <c r="I629" t="s">
        <v>135</v>
      </c>
      <c r="J629" t="s">
        <v>40</v>
      </c>
      <c r="K629" t="s">
        <v>31</v>
      </c>
      <c r="L629">
        <v>6.0953750000000001E-2</v>
      </c>
      <c r="M629">
        <v>0</v>
      </c>
      <c r="N629" s="2">
        <v>4.0238957028394744E-2</v>
      </c>
      <c r="O629" s="2">
        <v>4.1746294160814523</v>
      </c>
      <c r="P629" s="1">
        <v>71.19939926673959</v>
      </c>
      <c r="Q629" s="1">
        <v>0.4672931329656026</v>
      </c>
      <c r="R629" s="1">
        <v>-1.7195523936223529</v>
      </c>
      <c r="S629" s="19">
        <v>0</v>
      </c>
      <c r="T629" s="19">
        <v>0</v>
      </c>
      <c r="U629" s="19">
        <v>0</v>
      </c>
      <c r="V629" s="19">
        <v>0</v>
      </c>
      <c r="W629" s="19">
        <v>0</v>
      </c>
      <c r="X629" s="19">
        <v>0</v>
      </c>
      <c r="Y629" s="19">
        <v>0</v>
      </c>
      <c r="Z629" s="19">
        <v>0</v>
      </c>
      <c r="AA629" s="19">
        <v>0</v>
      </c>
      <c r="AB629" s="19">
        <v>0</v>
      </c>
      <c r="AC629" s="19">
        <v>0</v>
      </c>
      <c r="AD629" s="19">
        <v>0</v>
      </c>
      <c r="AE629" s="19">
        <v>0</v>
      </c>
      <c r="AF629" s="19">
        <v>0</v>
      </c>
      <c r="AG629" s="19">
        <v>0</v>
      </c>
      <c r="AH629" s="19">
        <v>0</v>
      </c>
      <c r="AI629" s="19">
        <v>0</v>
      </c>
      <c r="AJ629" s="19">
        <v>0</v>
      </c>
      <c r="AK629" s="19">
        <v>0</v>
      </c>
      <c r="AL629" s="19">
        <v>0</v>
      </c>
      <c r="AM629" s="19">
        <v>0</v>
      </c>
      <c r="AN629" s="19">
        <v>0</v>
      </c>
      <c r="AO629" s="19">
        <v>0</v>
      </c>
      <c r="AP629" s="19">
        <v>0</v>
      </c>
      <c r="AQ629" s="19">
        <v>0</v>
      </c>
      <c r="AR629" s="19">
        <v>0</v>
      </c>
    </row>
    <row r="630" spans="1:44" x14ac:dyDescent="0.25">
      <c r="A630" t="s">
        <v>250</v>
      </c>
      <c r="B630" t="s">
        <v>306</v>
      </c>
      <c r="C630" t="s">
        <v>44</v>
      </c>
      <c r="D630" t="s">
        <v>303</v>
      </c>
      <c r="E630" t="s">
        <v>148</v>
      </c>
      <c r="F630" t="s">
        <v>303</v>
      </c>
      <c r="G630" t="s">
        <v>31</v>
      </c>
      <c r="H630" t="s">
        <v>277</v>
      </c>
      <c r="I630" t="s">
        <v>135</v>
      </c>
      <c r="J630" t="s">
        <v>40</v>
      </c>
      <c r="K630" t="s">
        <v>31</v>
      </c>
      <c r="L630">
        <v>6.0953750000000001E-2</v>
      </c>
      <c r="M630">
        <v>0</v>
      </c>
      <c r="N630" s="2">
        <v>4.0238957028394744E-2</v>
      </c>
      <c r="O630" s="2">
        <v>4.1746294160814523</v>
      </c>
      <c r="P630" s="1">
        <v>71.19939926673959</v>
      </c>
      <c r="Q630" s="1">
        <v>0.4672931329656026</v>
      </c>
      <c r="R630" s="1">
        <v>-1.7195523936223529</v>
      </c>
      <c r="S630" s="19">
        <v>0</v>
      </c>
      <c r="T630" s="19">
        <v>0</v>
      </c>
      <c r="U630" s="19">
        <v>0</v>
      </c>
      <c r="V630" s="19">
        <v>0</v>
      </c>
      <c r="W630" s="19">
        <v>0</v>
      </c>
      <c r="X630" s="19">
        <v>0</v>
      </c>
      <c r="Y630" s="19">
        <v>0</v>
      </c>
      <c r="Z630" s="19">
        <v>0</v>
      </c>
      <c r="AA630" s="19">
        <v>0</v>
      </c>
      <c r="AB630" s="19">
        <v>0</v>
      </c>
      <c r="AC630" s="19">
        <v>0</v>
      </c>
      <c r="AD630" s="19">
        <v>0</v>
      </c>
      <c r="AE630" s="19">
        <v>0</v>
      </c>
      <c r="AF630" s="19">
        <v>0</v>
      </c>
      <c r="AG630" s="19">
        <v>0</v>
      </c>
      <c r="AH630" s="19">
        <v>0</v>
      </c>
      <c r="AI630" s="19">
        <v>0</v>
      </c>
      <c r="AJ630" s="19">
        <v>0</v>
      </c>
      <c r="AK630" s="19">
        <v>0</v>
      </c>
      <c r="AL630" s="19">
        <v>0</v>
      </c>
      <c r="AM630" s="19">
        <v>0</v>
      </c>
      <c r="AN630" s="19">
        <v>0</v>
      </c>
      <c r="AO630" s="19">
        <v>0</v>
      </c>
      <c r="AP630" s="19">
        <v>0</v>
      </c>
      <c r="AQ630" s="19">
        <v>0</v>
      </c>
      <c r="AR630" s="19">
        <v>0</v>
      </c>
    </row>
    <row r="631" spans="1:44" x14ac:dyDescent="0.25">
      <c r="A631" t="s">
        <v>250</v>
      </c>
      <c r="B631" t="s">
        <v>307</v>
      </c>
      <c r="C631" t="s">
        <v>44</v>
      </c>
      <c r="D631" t="s">
        <v>303</v>
      </c>
      <c r="E631" t="s">
        <v>145</v>
      </c>
      <c r="F631" t="s">
        <v>303</v>
      </c>
      <c r="G631" t="s">
        <v>31</v>
      </c>
      <c r="H631" t="s">
        <v>276</v>
      </c>
      <c r="I631" t="s">
        <v>135</v>
      </c>
      <c r="J631" t="s">
        <v>39</v>
      </c>
      <c r="K631" t="s">
        <v>31</v>
      </c>
      <c r="L631">
        <v>2.4563229166666669E-2</v>
      </c>
      <c r="M631">
        <v>0</v>
      </c>
      <c r="N631" s="2">
        <v>1.6242061884047983E-2</v>
      </c>
      <c r="O631" s="2">
        <v>5.4639665376457422</v>
      </c>
      <c r="P631" s="1">
        <v>179.81294196447735</v>
      </c>
      <c r="Q631" s="1">
        <v>182.21714888473889</v>
      </c>
      <c r="R631" s="1">
        <v>-1.8625523936223511</v>
      </c>
      <c r="S631" s="19">
        <v>7.7608944581673809</v>
      </c>
      <c r="T631" s="19">
        <v>11.36570139376674</v>
      </c>
      <c r="U631" s="19">
        <v>15.463488322261464</v>
      </c>
      <c r="V631" s="19">
        <v>20.239605720301487</v>
      </c>
      <c r="W631" s="19">
        <v>25.461123539767328</v>
      </c>
      <c r="X631" s="19">
        <v>30.773931562024103</v>
      </c>
      <c r="Y631" s="19">
        <v>35.755757933717184</v>
      </c>
      <c r="Z631" s="19">
        <v>40.009413975061136</v>
      </c>
      <c r="AA631" s="19">
        <v>43.268123897888863</v>
      </c>
      <c r="AB631" s="19">
        <v>45.466485690460658</v>
      </c>
      <c r="AC631" s="19">
        <v>46.738018913512576</v>
      </c>
      <c r="AD631" s="19">
        <v>47.277016155522674</v>
      </c>
      <c r="AE631" s="19">
        <v>47.177734421596071</v>
      </c>
      <c r="AF631" s="19">
        <v>47.078661179310728</v>
      </c>
      <c r="AG631" s="19">
        <v>46.979795990834184</v>
      </c>
      <c r="AH631" s="19">
        <v>53.79187297766908</v>
      </c>
      <c r="AI631" s="19">
        <v>54.241386326335686</v>
      </c>
      <c r="AJ631" s="19">
        <v>53.369129468773885</v>
      </c>
      <c r="AK631" s="19">
        <v>44.625664380005489</v>
      </c>
      <c r="AL631" s="19">
        <v>4.7051445846827802</v>
      </c>
      <c r="AM631" s="19">
        <v>3.6143965961665359</v>
      </c>
      <c r="AN631" s="19">
        <v>2.5691763998821799</v>
      </c>
      <c r="AO631" s="19">
        <v>1.6572439723085453</v>
      </c>
      <c r="AP631" s="19">
        <v>0.94181655901640715</v>
      </c>
      <c r="AQ631" s="19">
        <v>0.44438246752289162</v>
      </c>
      <c r="AR631" s="19">
        <v>730.77596688655603</v>
      </c>
    </row>
    <row r="632" spans="1:44" x14ac:dyDescent="0.25">
      <c r="A632" t="s">
        <v>250</v>
      </c>
      <c r="B632" t="s">
        <v>307</v>
      </c>
      <c r="C632" t="s">
        <v>44</v>
      </c>
      <c r="D632" t="s">
        <v>303</v>
      </c>
      <c r="E632" t="s">
        <v>148</v>
      </c>
      <c r="F632" t="s">
        <v>303</v>
      </c>
      <c r="G632" t="s">
        <v>31</v>
      </c>
      <c r="H632" t="s">
        <v>276</v>
      </c>
      <c r="I632" t="s">
        <v>135</v>
      </c>
      <c r="J632" t="s">
        <v>39</v>
      </c>
      <c r="K632" t="s">
        <v>31</v>
      </c>
      <c r="L632">
        <v>2.4563229166666669E-2</v>
      </c>
      <c r="M632">
        <v>0</v>
      </c>
      <c r="N632" s="2">
        <v>1.6242061884047983E-2</v>
      </c>
      <c r="O632" s="2">
        <v>5.4639665376457422</v>
      </c>
      <c r="P632" s="1">
        <v>179.81294196447735</v>
      </c>
      <c r="Q632" s="1">
        <v>182.21714888473889</v>
      </c>
      <c r="R632" s="1">
        <v>-1.8625523936223511</v>
      </c>
      <c r="S632" s="19">
        <v>1.3203027862185344</v>
      </c>
      <c r="T632" s="19">
        <v>2.2964036043059579</v>
      </c>
      <c r="U632" s="19">
        <v>3.1595217107660249</v>
      </c>
      <c r="V632" s="19">
        <v>4.1820361470770866</v>
      </c>
      <c r="W632" s="19">
        <v>5.3204091822627033</v>
      </c>
      <c r="X632" s="19">
        <v>6.5034225669328309</v>
      </c>
      <c r="Y632" s="19">
        <v>7.6419851974394737</v>
      </c>
      <c r="Z632" s="19">
        <v>8.6483490866213995</v>
      </c>
      <c r="AA632" s="19">
        <v>9.4593091128640499</v>
      </c>
      <c r="AB632" s="19">
        <v>10.053389228754272</v>
      </c>
      <c r="AC632" s="19">
        <v>10.452748569718702</v>
      </c>
      <c r="AD632" s="19">
        <v>10.694453709744394</v>
      </c>
      <c r="AE632" s="19">
        <v>10.794514913588063</v>
      </c>
      <c r="AF632" s="19">
        <v>10.895739961563716</v>
      </c>
      <c r="AG632" s="19">
        <v>10.998141817758247</v>
      </c>
      <c r="AH632" s="19">
        <v>11.10173359182569</v>
      </c>
      <c r="AI632" s="19">
        <v>11.206528540620363</v>
      </c>
      <c r="AJ632" s="19">
        <v>11.312540069844426</v>
      </c>
      <c r="AK632" s="19">
        <v>11.419781735720198</v>
      </c>
      <c r="AL632" s="19">
        <v>11.528267246676586</v>
      </c>
      <c r="AM632" s="19">
        <v>11.638010465053265</v>
      </c>
      <c r="AN632" s="19">
        <v>11.749025408830136</v>
      </c>
      <c r="AO632" s="19">
        <v>11.861326253369288</v>
      </c>
      <c r="AP632" s="19">
        <v>11.974927333181006</v>
      </c>
      <c r="AQ632" s="19">
        <v>12.089843143708446</v>
      </c>
      <c r="AR632" s="19">
        <v>228.30271138444488</v>
      </c>
    </row>
    <row r="633" spans="1:44" x14ac:dyDescent="0.25">
      <c r="A633" t="s">
        <v>250</v>
      </c>
      <c r="B633" t="s">
        <v>308</v>
      </c>
      <c r="C633" t="s">
        <v>44</v>
      </c>
      <c r="D633" t="s">
        <v>303</v>
      </c>
      <c r="E633" t="s">
        <v>145</v>
      </c>
      <c r="F633" t="s">
        <v>303</v>
      </c>
      <c r="G633" t="s">
        <v>31</v>
      </c>
      <c r="H633" t="s">
        <v>253</v>
      </c>
      <c r="I633" t="s">
        <v>135</v>
      </c>
      <c r="J633" t="s">
        <v>39</v>
      </c>
      <c r="K633" t="s">
        <v>31</v>
      </c>
      <c r="L633">
        <v>0.101725</v>
      </c>
      <c r="M633">
        <v>0</v>
      </c>
      <c r="N633" s="2">
        <v>6.5847159258737936E-2</v>
      </c>
      <c r="O633" s="2">
        <v>5.3756602043030259</v>
      </c>
      <c r="P633" s="1">
        <v>41.815630596090237</v>
      </c>
      <c r="Q633" s="1">
        <v>44.21983751635176</v>
      </c>
      <c r="R633" s="1">
        <v>-1.8625523936223536</v>
      </c>
      <c r="S633" s="19">
        <v>9.1645892094656227E-4</v>
      </c>
      <c r="T633" s="19">
        <v>1.3394489841598886E-3</v>
      </c>
      <c r="U633" s="19">
        <v>1.818721144030189E-3</v>
      </c>
      <c r="V633" s="19">
        <v>2.3756879934739728E-3</v>
      </c>
      <c r="W633" s="19">
        <v>2.9825904898602373E-3</v>
      </c>
      <c r="X633" s="19">
        <v>3.5977232931453298E-3</v>
      </c>
      <c r="Y633" s="19">
        <v>4.1717615071360722E-3</v>
      </c>
      <c r="Z633" s="19">
        <v>4.6586961319800314E-3</v>
      </c>
      <c r="AA633" s="19">
        <v>5.0280428275017823E-3</v>
      </c>
      <c r="AB633" s="19">
        <v>5.2729177895423458E-3</v>
      </c>
      <c r="AC633" s="19">
        <v>5.409518658170207E-3</v>
      </c>
      <c r="AD633" s="19">
        <v>5.4609360587793586E-3</v>
      </c>
      <c r="AE633" s="19">
        <v>5.4385462209383612E-3</v>
      </c>
      <c r="AF633" s="19">
        <v>5.4162481814325151E-3</v>
      </c>
      <c r="AG633" s="19">
        <v>5.3940415638886428E-3</v>
      </c>
      <c r="AH633" s="19">
        <v>6.1879922820329879E-3</v>
      </c>
      <c r="AI633" s="19">
        <v>6.3617275159762662E-3</v>
      </c>
      <c r="AJ633" s="19">
        <v>6.2330076809221742E-3</v>
      </c>
      <c r="AK633" s="19">
        <v>3.0999870922920622E-3</v>
      </c>
      <c r="AL633" s="19">
        <v>6.3456773103935573E-4</v>
      </c>
      <c r="AM633" s="19">
        <v>4.8653481395041586E-4</v>
      </c>
      <c r="AN633" s="19">
        <v>3.4518713973553998E-4</v>
      </c>
      <c r="AO633" s="19">
        <v>2.2224863525609255E-4</v>
      </c>
      <c r="AP633" s="19">
        <v>1.2607248054526433E-4</v>
      </c>
      <c r="AQ633" s="19">
        <v>5.9377445116127534E-5</v>
      </c>
      <c r="AR633" s="19">
        <v>8.3038042581851781E-2</v>
      </c>
    </row>
    <row r="634" spans="1:44" x14ac:dyDescent="0.25">
      <c r="A634" t="s">
        <v>250</v>
      </c>
      <c r="B634" t="s">
        <v>308</v>
      </c>
      <c r="C634" t="s">
        <v>44</v>
      </c>
      <c r="D634" t="s">
        <v>303</v>
      </c>
      <c r="E634" t="s">
        <v>148</v>
      </c>
      <c r="F634" t="s">
        <v>303</v>
      </c>
      <c r="G634" t="s">
        <v>31</v>
      </c>
      <c r="H634" t="s">
        <v>253</v>
      </c>
      <c r="I634" t="s">
        <v>135</v>
      </c>
      <c r="J634" t="s">
        <v>39</v>
      </c>
      <c r="K634" t="s">
        <v>31</v>
      </c>
      <c r="L634">
        <v>0.101725</v>
      </c>
      <c r="M634">
        <v>0</v>
      </c>
      <c r="N634" s="2">
        <v>6.5847159258737936E-2</v>
      </c>
      <c r="O634" s="2">
        <v>5.3756602043030259</v>
      </c>
      <c r="P634" s="1">
        <v>41.815630596090237</v>
      </c>
      <c r="Q634" s="1">
        <v>44.21983751635176</v>
      </c>
      <c r="R634" s="1">
        <v>-1.8625523936223536</v>
      </c>
      <c r="S634" s="19">
        <v>1.5591028499391572E-4</v>
      </c>
      <c r="T634" s="19">
        <v>3.1152377304063809E-4</v>
      </c>
      <c r="U634" s="19">
        <v>4.277684313131153E-4</v>
      </c>
      <c r="V634" s="19">
        <v>5.6510506313668261E-4</v>
      </c>
      <c r="W634" s="19">
        <v>7.1754649027794281E-4</v>
      </c>
      <c r="X634" s="19">
        <v>8.754273097754462E-4</v>
      </c>
      <c r="Y634" s="19">
        <v>1.0267551158910067E-3</v>
      </c>
      <c r="Z634" s="19">
        <v>1.1598073752788567E-3</v>
      </c>
      <c r="AA634" s="19">
        <v>1.2662323174150298E-3</v>
      </c>
      <c r="AB634" s="19">
        <v>1.3433125984671616E-3</v>
      </c>
      <c r="AC634" s="19">
        <v>1.3941674726643876E-3</v>
      </c>
      <c r="AD634" s="19">
        <v>1.4238756940839366E-3</v>
      </c>
      <c r="AE634" s="19">
        <v>1.4346790328093632E-3</v>
      </c>
      <c r="AF634" s="19">
        <v>1.44562469779797E-3</v>
      </c>
      <c r="AG634" s="19">
        <v>1.4567141983266969E-3</v>
      </c>
      <c r="AH634" s="19">
        <v>1.4679490609537727E-3</v>
      </c>
      <c r="AI634" s="19">
        <v>1.4793308297114253E-3</v>
      </c>
      <c r="AJ634" s="19">
        <v>1.4908610662999493E-3</v>
      </c>
      <c r="AK634" s="19">
        <v>1.5025413502846841E-3</v>
      </c>
      <c r="AL634" s="19">
        <v>1.5143732792950013E-3</v>
      </c>
      <c r="AM634" s="19">
        <v>1.5263584692250588E-3</v>
      </c>
      <c r="AN634" s="19">
        <v>1.5384985544375563E-3</v>
      </c>
      <c r="AO634" s="19">
        <v>1.5507951879693057E-3</v>
      </c>
      <c r="AP634" s="19">
        <v>1.5632500417391082E-3</v>
      </c>
      <c r="AQ634" s="19">
        <v>1.5758648067583992E-3</v>
      </c>
      <c r="AR634" s="19">
        <v>3.0214272501946405E-2</v>
      </c>
    </row>
    <row r="635" spans="1:44" x14ac:dyDescent="0.25">
      <c r="A635" t="s">
        <v>250</v>
      </c>
      <c r="B635" t="s">
        <v>308</v>
      </c>
      <c r="C635" t="s">
        <v>44</v>
      </c>
      <c r="D635" t="s">
        <v>303</v>
      </c>
      <c r="E635" t="s">
        <v>145</v>
      </c>
      <c r="F635" t="s">
        <v>303</v>
      </c>
      <c r="G635" t="s">
        <v>31</v>
      </c>
      <c r="H635" t="s">
        <v>253</v>
      </c>
      <c r="I635" t="s">
        <v>256</v>
      </c>
      <c r="J635" t="s">
        <v>39</v>
      </c>
      <c r="K635" t="s">
        <v>31</v>
      </c>
      <c r="L635">
        <v>0.101725</v>
      </c>
      <c r="M635">
        <v>0</v>
      </c>
      <c r="N635" s="2">
        <v>3.2763886376789897E-2</v>
      </c>
      <c r="O635" s="2">
        <v>2.6747929920855822</v>
      </c>
      <c r="P635" s="1">
        <v>43.27856754743911</v>
      </c>
      <c r="Q635" s="1">
        <v>0.4672931329656026</v>
      </c>
      <c r="R635" s="1">
        <v>-0.3996154422734845</v>
      </c>
      <c r="S635" s="19">
        <v>4.8073852747218922E-4</v>
      </c>
      <c r="T635" s="19">
        <v>7.0262258083981372E-4</v>
      </c>
      <c r="U635" s="19">
        <v>9.5403002216461533E-4</v>
      </c>
      <c r="V635" s="19">
        <v>1.2461930607172635E-3</v>
      </c>
      <c r="W635" s="19">
        <v>1.564550387776269E-3</v>
      </c>
      <c r="X635" s="19">
        <v>1.8872250121289721E-3</v>
      </c>
      <c r="Y635" s="19">
        <v>2.1883430212391321E-3</v>
      </c>
      <c r="Z635" s="19">
        <v>2.4437698921794359E-3</v>
      </c>
      <c r="AA635" s="19">
        <v>2.6375147316627526E-3</v>
      </c>
      <c r="AB635" s="19">
        <v>2.7659665651007435E-3</v>
      </c>
      <c r="AC635" s="19">
        <v>2.8376220413415701E-3</v>
      </c>
      <c r="AD635" s="19">
        <v>2.8645935999028205E-3</v>
      </c>
      <c r="AE635" s="19">
        <v>2.8528487661432195E-3</v>
      </c>
      <c r="AF635" s="19">
        <v>2.8411520862020312E-3</v>
      </c>
      <c r="AG635" s="19">
        <v>2.8295033626486031E-3</v>
      </c>
      <c r="AH635" s="19">
        <v>3.2459788755193606E-3</v>
      </c>
      <c r="AI635" s="19">
        <v>3.337113588300228E-3</v>
      </c>
      <c r="AJ635" s="19">
        <v>3.269592194219129E-3</v>
      </c>
      <c r="AK635" s="19">
        <v>1.6261320566251141E-3</v>
      </c>
      <c r="AL635" s="19">
        <v>3.3286942778204195E-4</v>
      </c>
      <c r="AM635" s="19">
        <v>2.5521714577332258E-4</v>
      </c>
      <c r="AN635" s="19">
        <v>1.8107168086421753E-4</v>
      </c>
      <c r="AO635" s="19">
        <v>1.1658294682249716E-4</v>
      </c>
      <c r="AP635" s="19">
        <v>6.6132695385297166E-5</v>
      </c>
      <c r="AQ635" s="19">
        <v>3.1147086768172188E-5</v>
      </c>
      <c r="AR635" s="19">
        <v>4.3558511355578818E-2</v>
      </c>
    </row>
    <row r="636" spans="1:44" x14ac:dyDescent="0.25">
      <c r="A636" t="s">
        <v>250</v>
      </c>
      <c r="B636" t="s">
        <v>308</v>
      </c>
      <c r="C636" t="s">
        <v>44</v>
      </c>
      <c r="D636" t="s">
        <v>303</v>
      </c>
      <c r="E636" t="s">
        <v>148</v>
      </c>
      <c r="F636" t="s">
        <v>303</v>
      </c>
      <c r="G636" t="s">
        <v>31</v>
      </c>
      <c r="H636" t="s">
        <v>253</v>
      </c>
      <c r="I636" t="s">
        <v>256</v>
      </c>
      <c r="J636" t="s">
        <v>39</v>
      </c>
      <c r="K636" t="s">
        <v>31</v>
      </c>
      <c r="L636">
        <v>0.101725</v>
      </c>
      <c r="M636">
        <v>0</v>
      </c>
      <c r="N636" s="2">
        <v>3.2763886376789897E-2</v>
      </c>
      <c r="O636" s="2">
        <v>2.6747929920855822</v>
      </c>
      <c r="P636" s="1">
        <v>43.27856754743911</v>
      </c>
      <c r="Q636" s="1">
        <v>0.4672931329656026</v>
      </c>
      <c r="R636" s="1">
        <v>-0.3996154422734845</v>
      </c>
      <c r="S636" s="19">
        <v>8.1784441301886515E-5</v>
      </c>
      <c r="T636" s="19">
        <v>1.6341319452644592E-4</v>
      </c>
      <c r="U636" s="19">
        <v>2.2439059849638888E-4</v>
      </c>
      <c r="V636" s="19">
        <v>2.9643202735024317E-4</v>
      </c>
      <c r="W636" s="19">
        <v>3.7639684141300593E-4</v>
      </c>
      <c r="X636" s="19">
        <v>4.5921494809141755E-4</v>
      </c>
      <c r="Y636" s="19">
        <v>5.3859560009320191E-4</v>
      </c>
      <c r="Z636" s="19">
        <v>6.0838961463439783E-4</v>
      </c>
      <c r="AA636" s="19">
        <v>6.6421597935135241E-4</v>
      </c>
      <c r="AB636" s="19">
        <v>7.0464928188483601E-4</v>
      </c>
      <c r="AC636" s="19">
        <v>7.3132576107836635E-4</v>
      </c>
      <c r="AD636" s="19">
        <v>7.469095328030091E-4</v>
      </c>
      <c r="AE636" s="19">
        <v>7.5257654201853587E-4</v>
      </c>
      <c r="AF636" s="19">
        <v>7.5831821002847661E-4</v>
      </c>
      <c r="AG636" s="19">
        <v>7.6413532854053483E-4</v>
      </c>
      <c r="AH636" s="19">
        <v>7.7002869832749909E-4</v>
      </c>
      <c r="AI636" s="19">
        <v>7.7599912932829231E-4</v>
      </c>
      <c r="AJ636" s="19">
        <v>7.8204744074987292E-4</v>
      </c>
      <c r="AK636" s="19">
        <v>7.881744611704807E-4</v>
      </c>
      <c r="AL636" s="19">
        <v>7.9438102864400994E-4</v>
      </c>
      <c r="AM636" s="19">
        <v>8.0066799080538795E-4</v>
      </c>
      <c r="AN636" s="19">
        <v>8.0703620497740963E-4</v>
      </c>
      <c r="AO636" s="19">
        <v>8.1348653827854466E-4</v>
      </c>
      <c r="AP636" s="19">
        <v>8.2001986773209924E-4</v>
      </c>
      <c r="AQ636" s="19">
        <v>8.2663708037652116E-4</v>
      </c>
      <c r="AR636" s="19">
        <v>1.5849226342002216E-2</v>
      </c>
    </row>
    <row r="637" spans="1:44" x14ac:dyDescent="0.25">
      <c r="A637" t="s">
        <v>250</v>
      </c>
      <c r="B637" t="s">
        <v>308</v>
      </c>
      <c r="C637" t="s">
        <v>44</v>
      </c>
      <c r="D637" t="s">
        <v>303</v>
      </c>
      <c r="E637" t="s">
        <v>145</v>
      </c>
      <c r="F637" t="s">
        <v>303</v>
      </c>
      <c r="G637" t="s">
        <v>31</v>
      </c>
      <c r="H637" t="s">
        <v>253</v>
      </c>
      <c r="I637" t="s">
        <v>135</v>
      </c>
      <c r="J637" t="s">
        <v>40</v>
      </c>
      <c r="K637" t="s">
        <v>31</v>
      </c>
      <c r="L637">
        <v>0.101725</v>
      </c>
      <c r="M637">
        <v>0</v>
      </c>
      <c r="N637" s="2">
        <v>6.5847159258737936E-2</v>
      </c>
      <c r="O637" s="2">
        <v>4.1746294160814506</v>
      </c>
      <c r="P637" s="1">
        <v>41.815630596090237</v>
      </c>
      <c r="Q637" s="1">
        <v>0.4672931329656026</v>
      </c>
      <c r="R637" s="1">
        <v>-1.7195523936223531</v>
      </c>
      <c r="S637" s="19">
        <v>4.8207644004810354E-4</v>
      </c>
      <c r="T637" s="19">
        <v>7.04578004699786E-4</v>
      </c>
      <c r="U637" s="19">
        <v>9.5668512195694019E-4</v>
      </c>
      <c r="V637" s="19">
        <v>1.2496612607317656E-3</v>
      </c>
      <c r="W637" s="19">
        <v>1.5689045876579892E-3</v>
      </c>
      <c r="X637" s="19">
        <v>1.8924772270712275E-3</v>
      </c>
      <c r="Y637" s="19">
        <v>2.1944332584080254E-3</v>
      </c>
      <c r="Z637" s="19">
        <v>2.450570991497562E-3</v>
      </c>
      <c r="AA637" s="19">
        <v>2.6448550298227647E-3</v>
      </c>
      <c r="AB637" s="19">
        <v>2.7736643493234173E-3</v>
      </c>
      <c r="AC637" s="19">
        <v>2.845519245326375E-3</v>
      </c>
      <c r="AD637" s="19">
        <v>2.872565866703126E-3</v>
      </c>
      <c r="AE637" s="19">
        <v>2.860788346649643E-3</v>
      </c>
      <c r="AF637" s="19">
        <v>2.8490591144283792E-3</v>
      </c>
      <c r="AG637" s="19">
        <v>2.8373779720592229E-3</v>
      </c>
      <c r="AH637" s="19">
        <v>3.2550125512298255E-3</v>
      </c>
      <c r="AI637" s="19">
        <v>3.346400895187234E-3</v>
      </c>
      <c r="AJ637" s="19">
        <v>3.2786915866430278E-3</v>
      </c>
      <c r="AK637" s="19">
        <v>1.6306576405014689E-3</v>
      </c>
      <c r="AL637" s="19">
        <v>3.3379581534641957E-4</v>
      </c>
      <c r="AM637" s="19">
        <v>2.5592742424988542E-4</v>
      </c>
      <c r="AN637" s="19">
        <v>1.8157560985082087E-4</v>
      </c>
      <c r="AO637" s="19">
        <v>1.1690740134772765E-4</v>
      </c>
      <c r="AP637" s="19">
        <v>6.6316745050090992E-5</v>
      </c>
      <c r="AQ637" s="19">
        <v>3.1233770228533674E-5</v>
      </c>
      <c r="AR637" s="19">
        <v>4.3679736256019355E-2</v>
      </c>
    </row>
    <row r="638" spans="1:44" x14ac:dyDescent="0.25">
      <c r="A638" t="s">
        <v>250</v>
      </c>
      <c r="B638" t="s">
        <v>308</v>
      </c>
      <c r="C638" t="s">
        <v>44</v>
      </c>
      <c r="D638" t="s">
        <v>303</v>
      </c>
      <c r="E638" t="s">
        <v>148</v>
      </c>
      <c r="F638" t="s">
        <v>303</v>
      </c>
      <c r="G638" t="s">
        <v>31</v>
      </c>
      <c r="H638" t="s">
        <v>253</v>
      </c>
      <c r="I638" t="s">
        <v>135</v>
      </c>
      <c r="J638" t="s">
        <v>40</v>
      </c>
      <c r="K638" t="s">
        <v>31</v>
      </c>
      <c r="L638">
        <v>0.101725</v>
      </c>
      <c r="M638">
        <v>0</v>
      </c>
      <c r="N638" s="2">
        <v>6.5847159258737936E-2</v>
      </c>
      <c r="O638" s="2">
        <v>4.1746294160814506</v>
      </c>
      <c r="P638" s="1">
        <v>41.815630596090237</v>
      </c>
      <c r="Q638" s="1">
        <v>0.4672931329656026</v>
      </c>
      <c r="R638" s="1">
        <v>-1.7195523936223531</v>
      </c>
      <c r="S638" s="19">
        <v>8.2012050337316374E-5</v>
      </c>
      <c r="T638" s="19">
        <v>1.6386797931179832E-4</v>
      </c>
      <c r="U638" s="19">
        <v>2.2501508558549991E-4</v>
      </c>
      <c r="V638" s="19">
        <v>2.9725700832146482E-4</v>
      </c>
      <c r="W638" s="19">
        <v>3.7744436733174049E-4</v>
      </c>
      <c r="X638" s="19">
        <v>4.6049295977341857E-4</v>
      </c>
      <c r="Y638" s="19">
        <v>5.4009453097874174E-4</v>
      </c>
      <c r="Z638" s="19">
        <v>6.1008278476734948E-4</v>
      </c>
      <c r="AA638" s="19">
        <v>6.6606451626094151E-4</v>
      </c>
      <c r="AB638" s="19">
        <v>7.0661034612656262E-4</v>
      </c>
      <c r="AC638" s="19">
        <v>7.3336106691910608E-4</v>
      </c>
      <c r="AD638" s="19">
        <v>7.489882088397798E-4</v>
      </c>
      <c r="AE638" s="19">
        <v>7.54670989545332E-4</v>
      </c>
      <c r="AF638" s="19">
        <v>7.6042863682342814E-4</v>
      </c>
      <c r="AG638" s="19">
        <v>7.6626194458507884E-4</v>
      </c>
      <c r="AH638" s="19">
        <v>7.7217171583167669E-4</v>
      </c>
      <c r="AI638" s="19">
        <v>7.7815876275623668E-4</v>
      </c>
      <c r="AJ638" s="19">
        <v>7.8422390684557315E-4</v>
      </c>
      <c r="AK638" s="19">
        <v>7.903679789839146E-4</v>
      </c>
      <c r="AL638" s="19">
        <v>7.9659181955747649E-4</v>
      </c>
      <c r="AM638" s="19">
        <v>8.0289627856019628E-4</v>
      </c>
      <c r="AN638" s="19">
        <v>8.092822157008099E-4</v>
      </c>
      <c r="AO638" s="19">
        <v>8.1575050051104479E-4</v>
      </c>
      <c r="AP638" s="19">
        <v>8.2230201245493835E-4</v>
      </c>
      <c r="AQ638" s="19">
        <v>8.2893764103964364E-4</v>
      </c>
      <c r="AR638" s="19">
        <v>1.5893335307749071E-2</v>
      </c>
    </row>
    <row r="639" spans="1:44" x14ac:dyDescent="0.25">
      <c r="A639" t="s">
        <v>250</v>
      </c>
      <c r="B639" t="s">
        <v>309</v>
      </c>
      <c r="C639" t="s">
        <v>44</v>
      </c>
      <c r="D639" t="s">
        <v>303</v>
      </c>
      <c r="E639" t="s">
        <v>145</v>
      </c>
      <c r="F639" t="s">
        <v>303</v>
      </c>
      <c r="G639" t="s">
        <v>31</v>
      </c>
      <c r="H639" t="s">
        <v>252</v>
      </c>
      <c r="I639" t="s">
        <v>135</v>
      </c>
      <c r="J639" t="s">
        <v>39</v>
      </c>
      <c r="K639" t="s">
        <v>31</v>
      </c>
      <c r="L639">
        <v>0.11927500000000001</v>
      </c>
      <c r="M639">
        <v>0</v>
      </c>
      <c r="N639" s="2">
        <v>7.8073386904782285E-2</v>
      </c>
      <c r="O639" s="2">
        <v>5.4421202420407457</v>
      </c>
      <c r="P639" s="1">
        <v>35.351924592401389</v>
      </c>
      <c r="Q639" s="1">
        <v>37.756131512662904</v>
      </c>
      <c r="R639" s="1">
        <v>-1.8625523936223527</v>
      </c>
      <c r="S639" s="19">
        <v>0.85862038780415983</v>
      </c>
      <c r="T639" s="19">
        <v>1.2554192065811618</v>
      </c>
      <c r="U639" s="19">
        <v>1.7053090827522033</v>
      </c>
      <c r="V639" s="19">
        <v>2.2284392034155807</v>
      </c>
      <c r="W639" s="19">
        <v>2.7988486482253196</v>
      </c>
      <c r="X639" s="19">
        <v>3.3774423223983741</v>
      </c>
      <c r="Y639" s="19">
        <v>3.9179063759847734</v>
      </c>
      <c r="Z639" s="19">
        <v>4.376967916119205</v>
      </c>
      <c r="AA639" s="19">
        <v>4.7258762509948973</v>
      </c>
      <c r="AB639" s="19">
        <v>4.9580257187026717</v>
      </c>
      <c r="AC639" s="19">
        <v>5.0885119176396367</v>
      </c>
      <c r="AD639" s="19">
        <v>5.138941364009507</v>
      </c>
      <c r="AE639" s="19">
        <v>5.1199272809626715</v>
      </c>
      <c r="AF639" s="19">
        <v>5.10098355002311</v>
      </c>
      <c r="AG639" s="19">
        <v>5.0821099108880246</v>
      </c>
      <c r="AH639" s="19">
        <v>5.8278697274627342</v>
      </c>
      <c r="AI639" s="19">
        <v>5.9679846298201644</v>
      </c>
      <c r="AJ639" s="19">
        <v>5.8521913971985331</v>
      </c>
      <c r="AK639" s="19">
        <v>3.3003947650613985</v>
      </c>
      <c r="AL639" s="19">
        <v>0.57979730168196242</v>
      </c>
      <c r="AM639" s="19">
        <v>0.44471085849462383</v>
      </c>
      <c r="AN639" s="19">
        <v>0.31563279153277662</v>
      </c>
      <c r="AO639" s="19">
        <v>0.20329580081270271</v>
      </c>
      <c r="AP639" s="19">
        <v>0.11536378793061217</v>
      </c>
      <c r="AQ639" s="19">
        <v>5.4353653038126663E-2</v>
      </c>
      <c r="AR639" s="19">
        <v>78.394923849534933</v>
      </c>
    </row>
    <row r="640" spans="1:44" x14ac:dyDescent="0.25">
      <c r="A640" t="s">
        <v>250</v>
      </c>
      <c r="B640" t="s">
        <v>309</v>
      </c>
      <c r="C640" t="s">
        <v>44</v>
      </c>
      <c r="D640" t="s">
        <v>303</v>
      </c>
      <c r="E640" t="s">
        <v>148</v>
      </c>
      <c r="F640" t="s">
        <v>303</v>
      </c>
      <c r="G640" t="s">
        <v>31</v>
      </c>
      <c r="H640" t="s">
        <v>252</v>
      </c>
      <c r="I640" t="s">
        <v>135</v>
      </c>
      <c r="J640" t="s">
        <v>39</v>
      </c>
      <c r="K640" t="s">
        <v>31</v>
      </c>
      <c r="L640">
        <v>0.11927500000000001</v>
      </c>
      <c r="M640">
        <v>0</v>
      </c>
      <c r="N640" s="2">
        <v>7.8073386904782285E-2</v>
      </c>
      <c r="O640" s="2">
        <v>5.4421202420407457</v>
      </c>
      <c r="P640" s="1">
        <v>35.351924592401389</v>
      </c>
      <c r="Q640" s="1">
        <v>37.756131512662904</v>
      </c>
      <c r="R640" s="1">
        <v>-1.8625523936223527</v>
      </c>
      <c r="S640" s="19">
        <v>0.14607064899959515</v>
      </c>
      <c r="T640" s="19">
        <v>0.28430274312089754</v>
      </c>
      <c r="U640" s="19">
        <v>0.39054399705301834</v>
      </c>
      <c r="V640" s="19">
        <v>0.51613092534253335</v>
      </c>
      <c r="W640" s="19">
        <v>0.65561404802777723</v>
      </c>
      <c r="X640" s="19">
        <v>0.80017301808037444</v>
      </c>
      <c r="Y640" s="19">
        <v>0.9388460523110026</v>
      </c>
      <c r="Z640" s="19">
        <v>1.0609017638020817</v>
      </c>
      <c r="AA640" s="19">
        <v>1.1586775790035184</v>
      </c>
      <c r="AB640" s="19">
        <v>1.2296579409240549</v>
      </c>
      <c r="AC640" s="19">
        <v>1.2766690331256425</v>
      </c>
      <c r="AD640" s="19">
        <v>1.3043367713712384</v>
      </c>
      <c r="AE640" s="19">
        <v>1.3146944851718898</v>
      </c>
      <c r="AF640" s="19">
        <v>1.3251841508673885</v>
      </c>
      <c r="AG640" s="19">
        <v>1.3358071897578463</v>
      </c>
      <c r="AH640" s="19">
        <v>1.3465650392983819</v>
      </c>
      <c r="AI640" s="19">
        <v>1.357459153279807</v>
      </c>
      <c r="AJ640" s="19">
        <v>1.3684910020107386</v>
      </c>
      <c r="AK640" s="19">
        <v>1.379662072502182</v>
      </c>
      <c r="AL640" s="19">
        <v>1.3909738686541639</v>
      </c>
      <c r="AM640" s="19">
        <v>1.4024279114440079</v>
      </c>
      <c r="AN640" s="19">
        <v>1.414025739117446</v>
      </c>
      <c r="AO640" s="19">
        <v>1.4257689073811457</v>
      </c>
      <c r="AP640" s="19">
        <v>1.4376589895980521</v>
      </c>
      <c r="AQ640" s="19">
        <v>1.4496975769843159</v>
      </c>
      <c r="AR640" s="19">
        <v>27.710340607229096</v>
      </c>
    </row>
    <row r="641" spans="1:44" x14ac:dyDescent="0.25">
      <c r="A641" t="s">
        <v>250</v>
      </c>
      <c r="B641" t="s">
        <v>310</v>
      </c>
      <c r="C641" t="s">
        <v>44</v>
      </c>
      <c r="D641" t="s">
        <v>303</v>
      </c>
      <c r="E641" t="s">
        <v>145</v>
      </c>
      <c r="F641" t="s">
        <v>303</v>
      </c>
      <c r="G641" t="s">
        <v>31</v>
      </c>
      <c r="H641" t="s">
        <v>254</v>
      </c>
      <c r="I641" t="s">
        <v>135</v>
      </c>
      <c r="J641" t="s">
        <v>39</v>
      </c>
      <c r="K641" t="s">
        <v>31</v>
      </c>
      <c r="L641">
        <v>4.0841666666666672E-2</v>
      </c>
      <c r="M641">
        <v>0</v>
      </c>
      <c r="N641" s="2">
        <v>2.6717969674169617E-2</v>
      </c>
      <c r="O641" s="2">
        <v>5.4114176288701836</v>
      </c>
      <c r="P641" s="1">
        <v>107.30169101876636</v>
      </c>
      <c r="Q641" s="1">
        <v>109.70589793902788</v>
      </c>
      <c r="R641" s="1">
        <v>-1.8625523936223551</v>
      </c>
      <c r="S641" s="19">
        <v>0.49677317866866433</v>
      </c>
      <c r="T641" s="19">
        <v>0.72577609993752235</v>
      </c>
      <c r="U641" s="19">
        <v>0.98508555325171587</v>
      </c>
      <c r="V641" s="19">
        <v>1.2862594712595277</v>
      </c>
      <c r="W641" s="19">
        <v>1.6142253392342238</v>
      </c>
      <c r="X641" s="19">
        <v>1.9463889855726089</v>
      </c>
      <c r="Y641" s="19">
        <v>2.2560706806929542</v>
      </c>
      <c r="Z641" s="19">
        <v>2.5184246519157476</v>
      </c>
      <c r="AA641" s="19">
        <v>2.7170328842187441</v>
      </c>
      <c r="AB641" s="19">
        <v>2.8482511110855833</v>
      </c>
      <c r="AC641" s="19">
        <v>2.9209037548098893</v>
      </c>
      <c r="AD641" s="19">
        <v>2.9475220598467384</v>
      </c>
      <c r="AE641" s="19">
        <v>2.9342975108715601</v>
      </c>
      <c r="AF641" s="19">
        <v>2.9211322960394495</v>
      </c>
      <c r="AG641" s="19">
        <v>2.9080261491378865</v>
      </c>
      <c r="AH641" s="19">
        <v>3.3373334321861896</v>
      </c>
      <c r="AI641" s="19">
        <v>3.4441918629880242</v>
      </c>
      <c r="AJ641" s="19">
        <v>3.3717362491112626</v>
      </c>
      <c r="AK641" s="19">
        <v>1.4616970938537477</v>
      </c>
      <c r="AL641" s="19">
        <v>0.35218634206310923</v>
      </c>
      <c r="AM641" s="19">
        <v>0.26992820239570303</v>
      </c>
      <c r="AN641" s="19">
        <v>0.19143908779458277</v>
      </c>
      <c r="AO641" s="19">
        <v>0.12321359416649838</v>
      </c>
      <c r="AP641" s="19">
        <v>6.9869104194902401E-2</v>
      </c>
      <c r="AQ641" s="19">
        <v>3.2895278660858139E-2</v>
      </c>
      <c r="AR641" s="19">
        <v>44.680659973957695</v>
      </c>
    </row>
    <row r="642" spans="1:44" x14ac:dyDescent="0.25">
      <c r="A642" t="s">
        <v>250</v>
      </c>
      <c r="B642" t="s">
        <v>310</v>
      </c>
      <c r="C642" t="s">
        <v>44</v>
      </c>
      <c r="D642" t="s">
        <v>303</v>
      </c>
      <c r="E642" t="s">
        <v>148</v>
      </c>
      <c r="F642" t="s">
        <v>303</v>
      </c>
      <c r="G642" t="s">
        <v>31</v>
      </c>
      <c r="H642" t="s">
        <v>254</v>
      </c>
      <c r="I642" t="s">
        <v>135</v>
      </c>
      <c r="J642" t="s">
        <v>39</v>
      </c>
      <c r="K642" t="s">
        <v>31</v>
      </c>
      <c r="L642">
        <v>4.0841666666666672E-2</v>
      </c>
      <c r="M642">
        <v>0</v>
      </c>
      <c r="N642" s="2">
        <v>2.6717969674169617E-2</v>
      </c>
      <c r="O642" s="2">
        <v>5.4114176288701836</v>
      </c>
      <c r="P642" s="1">
        <v>107.30169101876636</v>
      </c>
      <c r="Q642" s="1">
        <v>109.70589793902788</v>
      </c>
      <c r="R642" s="1">
        <v>-1.8625523936223551</v>
      </c>
      <c r="S642" s="19">
        <v>8.451229628881643E-2</v>
      </c>
      <c r="T642" s="19">
        <v>0.17309218477740099</v>
      </c>
      <c r="U642" s="19">
        <v>0.23759057775817771</v>
      </c>
      <c r="V642" s="19">
        <v>0.31375147038052914</v>
      </c>
      <c r="W642" s="19">
        <v>0.39823971707054562</v>
      </c>
      <c r="X642" s="19">
        <v>0.48568471007683056</v>
      </c>
      <c r="Y642" s="19">
        <v>0.56943333093228155</v>
      </c>
      <c r="Z642" s="19">
        <v>0.64299173348918603</v>
      </c>
      <c r="AA642" s="19">
        <v>0.70174329352280418</v>
      </c>
      <c r="AB642" s="19">
        <v>0.7441991175066005</v>
      </c>
      <c r="AC642" s="19">
        <v>0.77210438397246672</v>
      </c>
      <c r="AD642" s="19">
        <v>0.78828629181313148</v>
      </c>
      <c r="AE642" s="19">
        <v>0.7939977683791678</v>
      </c>
      <c r="AF642" s="19">
        <v>0.79978733227340559</v>
      </c>
      <c r="AG642" s="19">
        <v>0.80565579621212147</v>
      </c>
      <c r="AH642" s="19">
        <v>0.81160398230806907</v>
      </c>
      <c r="AI642" s="19">
        <v>0.8176327221748998</v>
      </c>
      <c r="AJ642" s="19">
        <v>0.82374285703212413</v>
      </c>
      <c r="AK642" s="19">
        <v>0.82993523781182355</v>
      </c>
      <c r="AL642" s="19">
        <v>0.83621072526624773</v>
      </c>
      <c r="AM642" s="19">
        <v>0.84257019007657341</v>
      </c>
      <c r="AN642" s="19">
        <v>0.84901451296322272</v>
      </c>
      <c r="AO642" s="19">
        <v>0.85554458479706252</v>
      </c>
      <c r="AP642" s="19">
        <v>0.86216130671201163</v>
      </c>
      <c r="AQ642" s="19">
        <v>0.86886559021901133</v>
      </c>
      <c r="AR642" s="19">
        <v>16.708351713814512</v>
      </c>
    </row>
    <row r="643" spans="1:44" x14ac:dyDescent="0.25">
      <c r="A643" t="s">
        <v>250</v>
      </c>
      <c r="B643" t="s">
        <v>310</v>
      </c>
      <c r="C643" t="s">
        <v>44</v>
      </c>
      <c r="D643" t="s">
        <v>303</v>
      </c>
      <c r="E643" t="s">
        <v>145</v>
      </c>
      <c r="F643" t="s">
        <v>303</v>
      </c>
      <c r="G643" t="s">
        <v>31</v>
      </c>
      <c r="H643" t="s">
        <v>255</v>
      </c>
      <c r="I643" t="s">
        <v>135</v>
      </c>
      <c r="J643" t="s">
        <v>39</v>
      </c>
      <c r="K643" t="s">
        <v>31</v>
      </c>
      <c r="L643">
        <v>4.0841666666666672E-2</v>
      </c>
      <c r="M643">
        <v>0</v>
      </c>
      <c r="N643" s="2">
        <v>2.6717969674169617E-2</v>
      </c>
      <c r="O643" s="2">
        <v>5.4114176288701836</v>
      </c>
      <c r="P643" s="1">
        <v>107.30169101876636</v>
      </c>
      <c r="Q643" s="1">
        <v>109.70589793902788</v>
      </c>
      <c r="R643" s="1">
        <v>-1.8625523936223551</v>
      </c>
      <c r="S643" s="19">
        <v>0.10414289746063617</v>
      </c>
      <c r="T643" s="19">
        <v>0.15146097657360297</v>
      </c>
      <c r="U643" s="19">
        <v>0.20464381030995973</v>
      </c>
      <c r="V643" s="19">
        <v>0.26599888888223183</v>
      </c>
      <c r="W643" s="19">
        <v>0.3323088982730612</v>
      </c>
      <c r="X643" s="19">
        <v>0.39887243271134082</v>
      </c>
      <c r="Y643" s="19">
        <v>0.46023925563118034</v>
      </c>
      <c r="Z643" s="19">
        <v>0.51143034447821756</v>
      </c>
      <c r="AA643" s="19">
        <v>0.54926129754518682</v>
      </c>
      <c r="AB643" s="19">
        <v>0.57317726082394183</v>
      </c>
      <c r="AC643" s="19">
        <v>0.58513287294118921</v>
      </c>
      <c r="AD643" s="19">
        <v>0.58778823365065913</v>
      </c>
      <c r="AE643" s="19">
        <v>0.58249813954780316</v>
      </c>
      <c r="AF643" s="19">
        <v>0.57725565629187292</v>
      </c>
      <c r="AG643" s="19">
        <v>0.57206035538524602</v>
      </c>
      <c r="AH643" s="19">
        <v>0.65964647368412166</v>
      </c>
      <c r="AI643" s="19">
        <v>0.71327595458288895</v>
      </c>
      <c r="AJ643" s="19">
        <v>0.38899445988892462</v>
      </c>
      <c r="AK643" s="19">
        <v>0.11523958981906872</v>
      </c>
      <c r="AL643" s="19">
        <v>9.3634328872902295E-2</v>
      </c>
      <c r="AM643" s="19">
        <v>7.1455350837414042E-2</v>
      </c>
      <c r="AN643" s="19">
        <v>5.0461855253319247E-2</v>
      </c>
      <c r="AO643" s="19">
        <v>3.2341454087076831E-2</v>
      </c>
      <c r="AP643" s="19">
        <v>1.8263189652880586E-2</v>
      </c>
      <c r="AQ643" s="19">
        <v>8.5632333518082769E-3</v>
      </c>
      <c r="AR643" s="19">
        <v>8.6081472105365346</v>
      </c>
    </row>
    <row r="644" spans="1:44" x14ac:dyDescent="0.25">
      <c r="A644" t="s">
        <v>250</v>
      </c>
      <c r="B644" t="s">
        <v>310</v>
      </c>
      <c r="C644" t="s">
        <v>44</v>
      </c>
      <c r="D644" t="s">
        <v>303</v>
      </c>
      <c r="E644" t="s">
        <v>148</v>
      </c>
      <c r="F644" t="s">
        <v>303</v>
      </c>
      <c r="G644" t="s">
        <v>31</v>
      </c>
      <c r="H644" t="s">
        <v>255</v>
      </c>
      <c r="I644" t="s">
        <v>135</v>
      </c>
      <c r="J644" t="s">
        <v>39</v>
      </c>
      <c r="K644" t="s">
        <v>31</v>
      </c>
      <c r="L644">
        <v>4.0841666666666672E-2</v>
      </c>
      <c r="M644">
        <v>0</v>
      </c>
      <c r="N644" s="2">
        <v>2.6717969674169617E-2</v>
      </c>
      <c r="O644" s="2">
        <v>5.4114176288701836</v>
      </c>
      <c r="P644" s="1">
        <v>107.30169101876636</v>
      </c>
      <c r="Q644" s="1">
        <v>109.70589793902788</v>
      </c>
      <c r="R644" s="1">
        <v>-1.8625523936223551</v>
      </c>
      <c r="S644" s="19">
        <v>1.7717050324972155E-2</v>
      </c>
      <c r="T644" s="19">
        <v>4.6633856902802515E-2</v>
      </c>
      <c r="U644" s="19">
        <v>6.3725100240470553E-2</v>
      </c>
      <c r="V644" s="19">
        <v>8.3781213068588087E-2</v>
      </c>
      <c r="W644" s="19">
        <v>0.10587834956914124</v>
      </c>
      <c r="X644" s="19">
        <v>0.12857037925971129</v>
      </c>
      <c r="Y644" s="19">
        <v>0.15009819913451003</v>
      </c>
      <c r="Z644" s="19">
        <v>0.16877429611305553</v>
      </c>
      <c r="AA644" s="19">
        <v>0.18342972913311045</v>
      </c>
      <c r="AB644" s="19">
        <v>0.19372843042675603</v>
      </c>
      <c r="AC644" s="19">
        <v>0.20017746755179489</v>
      </c>
      <c r="AD644" s="19">
        <v>0.20355430951577777</v>
      </c>
      <c r="AE644" s="19">
        <v>0.20421842957357672</v>
      </c>
      <c r="AF644" s="19">
        <v>0.20490456469677423</v>
      </c>
      <c r="AG644" s="19">
        <v>0.2056128306624764</v>
      </c>
      <c r="AH644" s="19">
        <v>0.20634334572609539</v>
      </c>
      <c r="AI644" s="19">
        <v>0.20709623063854979</v>
      </c>
      <c r="AJ644" s="19">
        <v>0.20787160866370663</v>
      </c>
      <c r="AK644" s="19">
        <v>0.2086696055961359</v>
      </c>
      <c r="AL644" s="19">
        <v>0.20949034977918121</v>
      </c>
      <c r="AM644" s="19">
        <v>0.21033397212325111</v>
      </c>
      <c r="AN644" s="19">
        <v>0.21120060612449523</v>
      </c>
      <c r="AO644" s="19">
        <v>0.21209038788373316</v>
      </c>
      <c r="AP644" s="19">
        <v>0.21300345612569141</v>
      </c>
      <c r="AQ644" s="19">
        <v>0.21393995221855761</v>
      </c>
      <c r="AR644" s="19">
        <v>4.2608437210529146</v>
      </c>
    </row>
    <row r="645" spans="1:44" x14ac:dyDescent="0.25">
      <c r="A645" t="s">
        <v>250</v>
      </c>
      <c r="B645" t="s">
        <v>311</v>
      </c>
      <c r="C645" t="s">
        <v>44</v>
      </c>
      <c r="D645" t="s">
        <v>312</v>
      </c>
      <c r="E645" t="s">
        <v>134</v>
      </c>
      <c r="F645" t="s">
        <v>312</v>
      </c>
      <c r="G645" t="s">
        <v>31</v>
      </c>
      <c r="H645" t="s">
        <v>272</v>
      </c>
      <c r="I645" t="s">
        <v>135</v>
      </c>
      <c r="J645" t="s">
        <v>39</v>
      </c>
      <c r="K645" t="s">
        <v>31</v>
      </c>
      <c r="L645">
        <v>142</v>
      </c>
      <c r="M645">
        <v>1</v>
      </c>
      <c r="N645" s="2">
        <v>2.0197569684597156</v>
      </c>
      <c r="O645" s="2">
        <v>6.2295157602477964</v>
      </c>
      <c r="P645" s="1">
        <v>-1.1767139597520102</v>
      </c>
      <c r="Q645" s="1">
        <v>1.6706195166052316</v>
      </c>
      <c r="R645" s="1">
        <v>-2.3056789497180801</v>
      </c>
      <c r="S645" s="19">
        <v>9.3769587019452185</v>
      </c>
      <c r="T645" s="19">
        <v>18.657703335904248</v>
      </c>
      <c r="U645" s="19">
        <v>32.975210227989969</v>
      </c>
      <c r="V645" s="19">
        <v>53.39196104124499</v>
      </c>
      <c r="W645" s="19">
        <v>80.668748402084418</v>
      </c>
      <c r="X645" s="19">
        <v>115.0034243513342</v>
      </c>
      <c r="Y645" s="19">
        <v>155.71663285700117</v>
      </c>
      <c r="Z645" s="19">
        <v>200.93641807472341</v>
      </c>
      <c r="AA645" s="19">
        <v>247.3805090595084</v>
      </c>
      <c r="AB645" s="19">
        <v>290.37847200494514</v>
      </c>
      <c r="AC645" s="19">
        <v>324.28715998981431</v>
      </c>
      <c r="AD645" s="19">
        <v>343.39357183769738</v>
      </c>
      <c r="AE645" s="19">
        <v>343.2409895321245</v>
      </c>
      <c r="AF645" s="19">
        <v>322.07413145915831</v>
      </c>
      <c r="AG645" s="19">
        <v>281.87258962351217</v>
      </c>
      <c r="AH645" s="19">
        <v>232.03323177620351</v>
      </c>
      <c r="AI645" s="19">
        <v>176.62096622531931</v>
      </c>
      <c r="AJ645" s="19">
        <v>45.549049293177283</v>
      </c>
      <c r="AK645" s="19">
        <v>0</v>
      </c>
      <c r="AL645" s="19">
        <v>0</v>
      </c>
      <c r="AM645" s="19">
        <v>0</v>
      </c>
      <c r="AN645" s="19">
        <v>0</v>
      </c>
      <c r="AO645" s="19">
        <v>0</v>
      </c>
      <c r="AP645" s="19">
        <v>0</v>
      </c>
      <c r="AQ645" s="19">
        <v>0</v>
      </c>
      <c r="AR645" s="19">
        <v>3273.5577277936877</v>
      </c>
    </row>
    <row r="646" spans="1:44" x14ac:dyDescent="0.25">
      <c r="A646" t="s">
        <v>250</v>
      </c>
      <c r="B646" t="s">
        <v>311</v>
      </c>
      <c r="C646" t="s">
        <v>44</v>
      </c>
      <c r="D646" t="s">
        <v>312</v>
      </c>
      <c r="E646" t="s">
        <v>134</v>
      </c>
      <c r="F646" t="s">
        <v>312</v>
      </c>
      <c r="G646" t="s">
        <v>31</v>
      </c>
      <c r="H646" t="s">
        <v>273</v>
      </c>
      <c r="I646" t="s">
        <v>135</v>
      </c>
      <c r="J646" t="s">
        <v>39</v>
      </c>
      <c r="K646" t="s">
        <v>31</v>
      </c>
      <c r="L646">
        <v>142</v>
      </c>
      <c r="M646">
        <v>1</v>
      </c>
      <c r="N646" s="2">
        <v>2.0197569684597156</v>
      </c>
      <c r="O646" s="2">
        <v>6.2295157602477964</v>
      </c>
      <c r="P646" s="1">
        <v>-1.1767139597520102</v>
      </c>
      <c r="Q646" s="1">
        <v>1.6706195166052316</v>
      </c>
      <c r="R646" s="1">
        <v>-2.3056789497180801</v>
      </c>
      <c r="S646" s="19">
        <v>2.8201817250464578</v>
      </c>
      <c r="T646" s="19">
        <v>5.6114264391865181</v>
      </c>
      <c r="U646" s="19">
        <v>9.9175103805512776</v>
      </c>
      <c r="V646" s="19">
        <v>16.057981865876755</v>
      </c>
      <c r="W646" s="19">
        <v>24.261654258830735</v>
      </c>
      <c r="X646" s="19">
        <v>34.588032856123611</v>
      </c>
      <c r="Y646" s="19">
        <v>46.832796883064383</v>
      </c>
      <c r="Z646" s="19">
        <v>60.432943362870361</v>
      </c>
      <c r="AA646" s="19">
        <v>74.401307818236262</v>
      </c>
      <c r="AB646" s="19">
        <v>87.333226702318598</v>
      </c>
      <c r="AC646" s="19">
        <v>97.531486630176943</v>
      </c>
      <c r="AD646" s="19">
        <v>103.27786509225048</v>
      </c>
      <c r="AE646" s="19">
        <v>103.23197496482004</v>
      </c>
      <c r="AF646" s="19">
        <v>96.865903809825141</v>
      </c>
      <c r="AG646" s="19">
        <v>84.775026884019724</v>
      </c>
      <c r="AH646" s="19">
        <v>69.785513689312722</v>
      </c>
      <c r="AI646" s="19">
        <v>53.119912014261438</v>
      </c>
      <c r="AJ646" s="19">
        <v>13.699174806348166</v>
      </c>
      <c r="AK646" s="19">
        <v>0</v>
      </c>
      <c r="AL646" s="19">
        <v>0</v>
      </c>
      <c r="AM646" s="19">
        <v>0</v>
      </c>
      <c r="AN646" s="19">
        <v>0</v>
      </c>
      <c r="AO646" s="19">
        <v>0</v>
      </c>
      <c r="AP646" s="19">
        <v>0</v>
      </c>
      <c r="AQ646" s="19">
        <v>0</v>
      </c>
      <c r="AR646" s="19">
        <v>984.54392018311933</v>
      </c>
    </row>
    <row r="647" spans="1:44" x14ac:dyDescent="0.25">
      <c r="A647" t="s">
        <v>250</v>
      </c>
      <c r="B647" t="s">
        <v>311</v>
      </c>
      <c r="C647" t="s">
        <v>44</v>
      </c>
      <c r="D647" t="s">
        <v>312</v>
      </c>
      <c r="E647" t="s">
        <v>134</v>
      </c>
      <c r="F647" t="s">
        <v>312</v>
      </c>
      <c r="G647" t="s">
        <v>31</v>
      </c>
      <c r="H647" t="s">
        <v>274</v>
      </c>
      <c r="I647" t="s">
        <v>135</v>
      </c>
      <c r="J647" t="s">
        <v>39</v>
      </c>
      <c r="K647" t="s">
        <v>31</v>
      </c>
      <c r="L647">
        <v>142</v>
      </c>
      <c r="M647">
        <v>1</v>
      </c>
      <c r="N647" s="2">
        <v>2.0197569684597156</v>
      </c>
      <c r="O647" s="2">
        <v>6.2295157602477964</v>
      </c>
      <c r="P647" s="1">
        <v>-1.1767139597520102</v>
      </c>
      <c r="Q647" s="1">
        <v>1.6706195166052316</v>
      </c>
      <c r="R647" s="1">
        <v>-2.3056789497180801</v>
      </c>
      <c r="S647" s="19">
        <v>4.439471046381648</v>
      </c>
      <c r="T647" s="19">
        <v>8.8333900558335969</v>
      </c>
      <c r="U647" s="19">
        <v>15.611937271851357</v>
      </c>
      <c r="V647" s="19">
        <v>25.27813896663239</v>
      </c>
      <c r="W647" s="19">
        <v>38.192188348297563</v>
      </c>
      <c r="X647" s="19">
        <v>54.447757409508213</v>
      </c>
      <c r="Y647" s="19">
        <v>73.723208663091398</v>
      </c>
      <c r="Z647" s="19">
        <v>95.132274606405147</v>
      </c>
      <c r="AA647" s="19">
        <v>117.120981580202</v>
      </c>
      <c r="AB647" s="19">
        <v>137.47813762804282</v>
      </c>
      <c r="AC647" s="19">
        <v>153.53202496129811</v>
      </c>
      <c r="AD647" s="19">
        <v>162.57785366707284</v>
      </c>
      <c r="AE647" s="19">
        <v>162.5056143889324</v>
      </c>
      <c r="AF647" s="19">
        <v>152.48427841586152</v>
      </c>
      <c r="AG647" s="19">
        <v>133.45107301609497</v>
      </c>
      <c r="AH647" s="19">
        <v>109.85489506902982</v>
      </c>
      <c r="AI647" s="19">
        <v>83.620253716015242</v>
      </c>
      <c r="AJ647" s="19">
        <v>21.564954262336485</v>
      </c>
      <c r="AK647" s="19">
        <v>0</v>
      </c>
      <c r="AL647" s="19">
        <v>0</v>
      </c>
      <c r="AM647" s="19">
        <v>0</v>
      </c>
      <c r="AN647" s="19">
        <v>0</v>
      </c>
      <c r="AO647" s="19">
        <v>0</v>
      </c>
      <c r="AP647" s="19">
        <v>0</v>
      </c>
      <c r="AQ647" s="19">
        <v>0</v>
      </c>
      <c r="AR647" s="19">
        <v>1549.8484330728877</v>
      </c>
    </row>
    <row r="648" spans="1:44" x14ac:dyDescent="0.25">
      <c r="A648" t="s">
        <v>250</v>
      </c>
      <c r="B648" t="s">
        <v>311</v>
      </c>
      <c r="C648" t="s">
        <v>44</v>
      </c>
      <c r="D648" t="s">
        <v>312</v>
      </c>
      <c r="E648" t="s">
        <v>134</v>
      </c>
      <c r="F648" t="s">
        <v>312</v>
      </c>
      <c r="G648" t="s">
        <v>31</v>
      </c>
      <c r="H648" t="s">
        <v>275</v>
      </c>
      <c r="I648" t="s">
        <v>135</v>
      </c>
      <c r="J648" t="s">
        <v>39</v>
      </c>
      <c r="K648" t="s">
        <v>31</v>
      </c>
      <c r="L648">
        <v>142</v>
      </c>
      <c r="M648">
        <v>1</v>
      </c>
      <c r="N648" s="2">
        <v>2.0197569684597156</v>
      </c>
      <c r="O648" s="2">
        <v>6.2295157602477964</v>
      </c>
      <c r="P648" s="1">
        <v>-1.1767139597520102</v>
      </c>
      <c r="Q648" s="1">
        <v>1.6706195166052316</v>
      </c>
      <c r="R648" s="1">
        <v>-2.3056789497180801</v>
      </c>
      <c r="S648" s="19">
        <v>6.7821239756901495</v>
      </c>
      <c r="T648" s="19">
        <v>13.494658678564964</v>
      </c>
      <c r="U648" s="19">
        <v>23.850159843860691</v>
      </c>
      <c r="V648" s="19">
        <v>38.617094368968857</v>
      </c>
      <c r="W648" s="19">
        <v>58.345724879133584</v>
      </c>
      <c r="X648" s="19">
        <v>83.179152897180884</v>
      </c>
      <c r="Y648" s="19">
        <v>112.62601688691733</v>
      </c>
      <c r="Z648" s="19">
        <v>145.332377152432</v>
      </c>
      <c r="AA648" s="19">
        <v>178.92424771614699</v>
      </c>
      <c r="AB648" s="19">
        <v>210.02361848948621</v>
      </c>
      <c r="AC648" s="19">
        <v>234.54893987313173</v>
      </c>
      <c r="AD648" s="19">
        <v>248.36813840026787</v>
      </c>
      <c r="AE648" s="19">
        <v>248.25777936534143</v>
      </c>
      <c r="AF648" s="19">
        <v>232.94831067834431</v>
      </c>
      <c r="AG648" s="19">
        <v>203.87152262693851</v>
      </c>
      <c r="AH648" s="19">
        <v>167.82393891313671</v>
      </c>
      <c r="AI648" s="19">
        <v>127.74560790139827</v>
      </c>
      <c r="AJ648" s="19">
        <v>32.944508886134415</v>
      </c>
      <c r="AK648" s="19">
        <v>0</v>
      </c>
      <c r="AL648" s="19">
        <v>0</v>
      </c>
      <c r="AM648" s="19">
        <v>0</v>
      </c>
      <c r="AN648" s="19">
        <v>0</v>
      </c>
      <c r="AO648" s="19">
        <v>0</v>
      </c>
      <c r="AP648" s="19">
        <v>0</v>
      </c>
      <c r="AQ648" s="19">
        <v>0</v>
      </c>
      <c r="AR648" s="19">
        <v>2367.6839215330747</v>
      </c>
    </row>
    <row r="649" spans="1:44" x14ac:dyDescent="0.25">
      <c r="A649" t="s">
        <v>250</v>
      </c>
      <c r="B649" t="s">
        <v>311</v>
      </c>
      <c r="C649" t="s">
        <v>44</v>
      </c>
      <c r="D649" t="s">
        <v>312</v>
      </c>
      <c r="E649" t="s">
        <v>134</v>
      </c>
      <c r="F649" t="s">
        <v>312</v>
      </c>
      <c r="G649" t="s">
        <v>31</v>
      </c>
      <c r="H649" t="s">
        <v>276</v>
      </c>
      <c r="I649" t="s">
        <v>135</v>
      </c>
      <c r="J649" t="s">
        <v>39</v>
      </c>
      <c r="K649" t="s">
        <v>31</v>
      </c>
      <c r="L649">
        <v>142</v>
      </c>
      <c r="M649">
        <v>1</v>
      </c>
      <c r="N649" s="2">
        <v>2.0197569684597156</v>
      </c>
      <c r="O649" s="2">
        <v>6.2295157602477964</v>
      </c>
      <c r="P649" s="1">
        <v>-1.1767139597520102</v>
      </c>
      <c r="Q649" s="1">
        <v>1.6706195166052316</v>
      </c>
      <c r="R649" s="1">
        <v>-2.3056789497180801</v>
      </c>
      <c r="S649" s="19">
        <v>32.018609668840618</v>
      </c>
      <c r="T649" s="19">
        <v>63.868694055582537</v>
      </c>
      <c r="U649" s="19">
        <v>113.16361485547198</v>
      </c>
      <c r="V649" s="19">
        <v>183.68957002772672</v>
      </c>
      <c r="W649" s="19">
        <v>278.22959922812242</v>
      </c>
      <c r="X649" s="19">
        <v>397.64742064668559</v>
      </c>
      <c r="Y649" s="19">
        <v>539.77378434943989</v>
      </c>
      <c r="Z649" s="19">
        <v>698.27231931700794</v>
      </c>
      <c r="AA649" s="19">
        <v>861.8288638604264</v>
      </c>
      <c r="AB649" s="19">
        <v>1014.1667271725128</v>
      </c>
      <c r="AC649" s="19">
        <v>1135.439718262475</v>
      </c>
      <c r="AD649" s="19">
        <v>1205.3575042138405</v>
      </c>
      <c r="AE649" s="19">
        <v>1207.8478941333249</v>
      </c>
      <c r="AF649" s="19">
        <v>1136.2092789019639</v>
      </c>
      <c r="AG649" s="19">
        <v>996.88421437486511</v>
      </c>
      <c r="AH649" s="19">
        <v>822.68096484177522</v>
      </c>
      <c r="AI649" s="19">
        <v>627.78784427075868</v>
      </c>
      <c r="AJ649" s="19">
        <v>433.7096467830853</v>
      </c>
      <c r="AK649" s="19">
        <v>122.92763492869427</v>
      </c>
      <c r="AL649" s="19">
        <v>0</v>
      </c>
      <c r="AM649" s="19">
        <v>0</v>
      </c>
      <c r="AN649" s="19">
        <v>0</v>
      </c>
      <c r="AO649" s="19">
        <v>0</v>
      </c>
      <c r="AP649" s="19">
        <v>0</v>
      </c>
      <c r="AQ649" s="19">
        <v>0</v>
      </c>
      <c r="AR649" s="19">
        <v>11871.503903892601</v>
      </c>
    </row>
    <row r="650" spans="1:44" x14ac:dyDescent="0.25">
      <c r="A650" t="s">
        <v>250</v>
      </c>
      <c r="B650" t="s">
        <v>311</v>
      </c>
      <c r="C650" t="s">
        <v>44</v>
      </c>
      <c r="D650" t="s">
        <v>312</v>
      </c>
      <c r="E650" t="s">
        <v>134</v>
      </c>
      <c r="F650" t="s">
        <v>312</v>
      </c>
      <c r="G650" t="s">
        <v>31</v>
      </c>
      <c r="H650" t="s">
        <v>277</v>
      </c>
      <c r="I650" t="s">
        <v>135</v>
      </c>
      <c r="J650" t="s">
        <v>39</v>
      </c>
      <c r="K650" t="s">
        <v>31</v>
      </c>
      <c r="L650">
        <v>142</v>
      </c>
      <c r="M650">
        <v>1</v>
      </c>
      <c r="N650" s="2">
        <v>2.0197569684597156</v>
      </c>
      <c r="O650" s="2">
        <v>6.2295157602477964</v>
      </c>
      <c r="P650" s="1">
        <v>-1.1767139597520102</v>
      </c>
      <c r="Q650" s="1">
        <v>1.6706195166052316</v>
      </c>
      <c r="R650" s="1">
        <v>-2.3056789497180801</v>
      </c>
      <c r="S650" s="19">
        <v>84.656809536127028</v>
      </c>
      <c r="T650" s="19">
        <v>168.42467496960973</v>
      </c>
      <c r="U650" s="19">
        <v>297.63414200305266</v>
      </c>
      <c r="V650" s="19">
        <v>481.85757238640906</v>
      </c>
      <c r="W650" s="19">
        <v>727.94032017136715</v>
      </c>
      <c r="X650" s="19">
        <v>1037.645171160548</v>
      </c>
      <c r="Y650" s="19">
        <v>1404.8201958131017</v>
      </c>
      <c r="Z650" s="19">
        <v>1812.558510444713</v>
      </c>
      <c r="AA650" s="19">
        <v>2231.2410843990615</v>
      </c>
      <c r="AB650" s="19">
        <v>2618.7441824102243</v>
      </c>
      <c r="AC650" s="19">
        <v>2924.1931395209663</v>
      </c>
      <c r="AD650" s="19">
        <v>3096.108005657281</v>
      </c>
      <c r="AE650" s="19">
        <v>3094.3592077309399</v>
      </c>
      <c r="AF650" s="19">
        <v>2903.1873768098362</v>
      </c>
      <c r="AG650" s="19">
        <v>2540.5029801006235</v>
      </c>
      <c r="AH650" s="19">
        <v>2091.0513255856413</v>
      </c>
      <c r="AI650" s="19">
        <v>1591.4917837220823</v>
      </c>
      <c r="AJ650" s="19">
        <v>362.43933080942259</v>
      </c>
      <c r="AK650" s="19">
        <v>0</v>
      </c>
      <c r="AL650" s="19">
        <v>0</v>
      </c>
      <c r="AM650" s="19">
        <v>0</v>
      </c>
      <c r="AN650" s="19">
        <v>0</v>
      </c>
      <c r="AO650" s="19">
        <v>0</v>
      </c>
      <c r="AP650" s="19">
        <v>0</v>
      </c>
      <c r="AQ650" s="19">
        <v>0</v>
      </c>
      <c r="AR650" s="19">
        <v>29468.85581323101</v>
      </c>
    </row>
    <row r="651" spans="1:44" x14ac:dyDescent="0.25">
      <c r="A651" t="s">
        <v>250</v>
      </c>
      <c r="B651" t="s">
        <v>311</v>
      </c>
      <c r="C651" t="s">
        <v>44</v>
      </c>
      <c r="D651" t="s">
        <v>312</v>
      </c>
      <c r="E651" t="s">
        <v>134</v>
      </c>
      <c r="F651" t="s">
        <v>312</v>
      </c>
      <c r="G651" t="s">
        <v>31</v>
      </c>
      <c r="H651" t="s">
        <v>278</v>
      </c>
      <c r="I651" t="s">
        <v>135</v>
      </c>
      <c r="J651" t="s">
        <v>39</v>
      </c>
      <c r="K651" t="s">
        <v>31</v>
      </c>
      <c r="L651">
        <v>142</v>
      </c>
      <c r="M651">
        <v>1</v>
      </c>
      <c r="N651" s="2">
        <v>2.0197569684597156</v>
      </c>
      <c r="O651" s="2">
        <v>6.2295157602477964</v>
      </c>
      <c r="P651" s="1">
        <v>-1.1767139597520102</v>
      </c>
      <c r="Q651" s="1">
        <v>1.6706195166052316</v>
      </c>
      <c r="R651" s="1">
        <v>-2.3056789497180801</v>
      </c>
      <c r="S651" s="19">
        <v>144.93370943731753</v>
      </c>
      <c r="T651" s="19">
        <v>287.10556188054596</v>
      </c>
      <c r="U651" s="19">
        <v>505.18100617105705</v>
      </c>
      <c r="V651" s="19">
        <v>814.35043191468628</v>
      </c>
      <c r="W651" s="19">
        <v>1224.9455815442468</v>
      </c>
      <c r="X651" s="19">
        <v>1738.5943619353959</v>
      </c>
      <c r="Y651" s="19">
        <v>2343.6810959584368</v>
      </c>
      <c r="Z651" s="19">
        <v>3010.912863628871</v>
      </c>
      <c r="AA651" s="19">
        <v>3690.4644648281674</v>
      </c>
      <c r="AB651" s="19">
        <v>4312.7668707004295</v>
      </c>
      <c r="AC651" s="19">
        <v>4795.0963546428738</v>
      </c>
      <c r="AD651" s="19">
        <v>5055.1699922678281</v>
      </c>
      <c r="AE651" s="19">
        <v>5030.5881871128222</v>
      </c>
      <c r="AF651" s="19">
        <v>4699.4981579355172</v>
      </c>
      <c r="AG651" s="19">
        <v>4094.7227645093249</v>
      </c>
      <c r="AH651" s="19">
        <v>3355.8138685373765</v>
      </c>
      <c r="AI651" s="19">
        <v>389.93577396840323</v>
      </c>
      <c r="AJ651" s="19">
        <v>0</v>
      </c>
      <c r="AK651" s="19">
        <v>0</v>
      </c>
      <c r="AL651" s="19">
        <v>0</v>
      </c>
      <c r="AM651" s="19">
        <v>0</v>
      </c>
      <c r="AN651" s="19">
        <v>0</v>
      </c>
      <c r="AO651" s="19">
        <v>0</v>
      </c>
      <c r="AP651" s="19">
        <v>0</v>
      </c>
      <c r="AQ651" s="19">
        <v>0</v>
      </c>
      <c r="AR651" s="19">
        <v>45493.761046973304</v>
      </c>
    </row>
    <row r="652" spans="1:44" x14ac:dyDescent="0.25">
      <c r="A652" t="s">
        <v>250</v>
      </c>
      <c r="B652" t="s">
        <v>311</v>
      </c>
      <c r="C652" t="s">
        <v>44</v>
      </c>
      <c r="D652" t="s">
        <v>312</v>
      </c>
      <c r="E652" t="s">
        <v>134</v>
      </c>
      <c r="F652" t="s">
        <v>312</v>
      </c>
      <c r="G652" t="s">
        <v>31</v>
      </c>
      <c r="H652" t="s">
        <v>253</v>
      </c>
      <c r="I652" t="s">
        <v>135</v>
      </c>
      <c r="J652" t="s">
        <v>39</v>
      </c>
      <c r="K652" t="s">
        <v>31</v>
      </c>
      <c r="L652">
        <v>142</v>
      </c>
      <c r="M652">
        <v>1</v>
      </c>
      <c r="N652" s="2">
        <v>2.0197569684597156</v>
      </c>
      <c r="O652" s="2">
        <v>6.2295157602477964</v>
      </c>
      <c r="P652" s="1">
        <v>-1.1767139597520102</v>
      </c>
      <c r="Q652" s="1">
        <v>1.6706195166052316</v>
      </c>
      <c r="R652" s="1">
        <v>-2.3056789497180801</v>
      </c>
      <c r="S652" s="19">
        <v>7.870609162584226</v>
      </c>
      <c r="T652" s="19">
        <v>15.668326858828683</v>
      </c>
      <c r="U652" s="19">
        <v>27.705762590097347</v>
      </c>
      <c r="V652" s="19">
        <v>44.882444634213677</v>
      </c>
      <c r="W652" s="19">
        <v>67.845968464691467</v>
      </c>
      <c r="X652" s="19">
        <v>96.771527321062564</v>
      </c>
      <c r="Y652" s="19">
        <v>131.09614572625114</v>
      </c>
      <c r="Z652" s="19">
        <v>169.25116683824947</v>
      </c>
      <c r="AA652" s="19">
        <v>208.47625172867836</v>
      </c>
      <c r="AB652" s="19">
        <v>244.83506822282536</v>
      </c>
      <c r="AC652" s="19">
        <v>273.56281022688557</v>
      </c>
      <c r="AD652" s="19">
        <v>289.82614496297873</v>
      </c>
      <c r="AE652" s="19">
        <v>289.84288268699652</v>
      </c>
      <c r="AF652" s="19">
        <v>272.10557216656906</v>
      </c>
      <c r="AG652" s="19">
        <v>238.26076532200429</v>
      </c>
      <c r="AH652" s="19">
        <v>196.23116034969556</v>
      </c>
      <c r="AI652" s="19">
        <v>149.44388021761193</v>
      </c>
      <c r="AJ652" s="19">
        <v>57.321346142361953</v>
      </c>
      <c r="AK652" s="19">
        <v>0</v>
      </c>
      <c r="AL652" s="19">
        <v>0</v>
      </c>
      <c r="AM652" s="19">
        <v>0</v>
      </c>
      <c r="AN652" s="19">
        <v>0</v>
      </c>
      <c r="AO652" s="19">
        <v>0</v>
      </c>
      <c r="AP652" s="19">
        <v>0</v>
      </c>
      <c r="AQ652" s="19">
        <v>0</v>
      </c>
      <c r="AR652" s="19">
        <v>2780.9978336225859</v>
      </c>
    </row>
    <row r="653" spans="1:44" x14ac:dyDescent="0.25">
      <c r="A653" t="s">
        <v>250</v>
      </c>
      <c r="B653" t="s">
        <v>311</v>
      </c>
      <c r="C653" t="s">
        <v>44</v>
      </c>
      <c r="D653" t="s">
        <v>312</v>
      </c>
      <c r="E653" t="s">
        <v>134</v>
      </c>
      <c r="F653" t="s">
        <v>312</v>
      </c>
      <c r="G653" t="s">
        <v>31</v>
      </c>
      <c r="H653" t="s">
        <v>274</v>
      </c>
      <c r="I653" t="s">
        <v>135</v>
      </c>
      <c r="J653" t="s">
        <v>39</v>
      </c>
      <c r="K653" t="s">
        <v>33</v>
      </c>
      <c r="L653">
        <v>142</v>
      </c>
      <c r="M653">
        <v>1</v>
      </c>
      <c r="N653" s="2">
        <v>2.0197569684597156</v>
      </c>
      <c r="O653" s="2">
        <v>6.2295157602477964</v>
      </c>
      <c r="P653" s="1">
        <v>-1.1767139597520102</v>
      </c>
      <c r="Q653" s="1">
        <v>1.6706195166052316</v>
      </c>
      <c r="R653" s="1">
        <v>-2.3056789497180801</v>
      </c>
      <c r="S653" s="19">
        <v>1.4283920950036989E-2</v>
      </c>
      <c r="T653" s="19">
        <v>2.8421279012779709E-2</v>
      </c>
      <c r="U653" s="19">
        <v>5.0231136894070931E-2</v>
      </c>
      <c r="V653" s="19">
        <v>8.1331972883957493E-2</v>
      </c>
      <c r="W653" s="19">
        <v>0.1228827023707338</v>
      </c>
      <c r="X653" s="19">
        <v>0.17518471336311245</v>
      </c>
      <c r="Y653" s="19">
        <v>0.23720314283499253</v>
      </c>
      <c r="Z653" s="19">
        <v>0.30608644049669625</v>
      </c>
      <c r="AA653" s="19">
        <v>0.37683472310194782</v>
      </c>
      <c r="AB653" s="19">
        <v>0.44233351895329681</v>
      </c>
      <c r="AC653" s="19">
        <v>0.49398662249046638</v>
      </c>
      <c r="AD653" s="19">
        <v>0.52309141916802837</v>
      </c>
      <c r="AE653" s="19">
        <v>0.52285899054586482</v>
      </c>
      <c r="AF653" s="19">
        <v>0.49061551618650984</v>
      </c>
      <c r="AG653" s="19">
        <v>0.42937650853994203</v>
      </c>
      <c r="AH653" s="19">
        <v>0.35345621601013905</v>
      </c>
      <c r="AI653" s="19">
        <v>0.26904671331849417</v>
      </c>
      <c r="AJ653" s="19">
        <v>6.9384865619393207E-2</v>
      </c>
      <c r="AK653" s="19">
        <v>0</v>
      </c>
      <c r="AL653" s="19">
        <v>0</v>
      </c>
      <c r="AM653" s="19">
        <v>0</v>
      </c>
      <c r="AN653" s="19">
        <v>0</v>
      </c>
      <c r="AO653" s="19">
        <v>0</v>
      </c>
      <c r="AP653" s="19">
        <v>0</v>
      </c>
      <c r="AQ653" s="19">
        <v>0</v>
      </c>
      <c r="AR653" s="19">
        <v>4.986610402740463</v>
      </c>
    </row>
    <row r="654" spans="1:44" x14ac:dyDescent="0.25">
      <c r="A654" t="s">
        <v>250</v>
      </c>
      <c r="B654" t="s">
        <v>311</v>
      </c>
      <c r="C654" t="s">
        <v>44</v>
      </c>
      <c r="D654" t="s">
        <v>312</v>
      </c>
      <c r="E654" t="s">
        <v>134</v>
      </c>
      <c r="F654" t="s">
        <v>312</v>
      </c>
      <c r="G654" t="s">
        <v>31</v>
      </c>
      <c r="H654" t="s">
        <v>253</v>
      </c>
      <c r="I654" t="s">
        <v>256</v>
      </c>
      <c r="J654" t="s">
        <v>39</v>
      </c>
      <c r="K654" t="s">
        <v>31</v>
      </c>
      <c r="L654">
        <v>142</v>
      </c>
      <c r="M654">
        <v>1</v>
      </c>
      <c r="N654" s="2">
        <v>1.1440716691992232</v>
      </c>
      <c r="O654" s="2">
        <v>3.5286485480303535</v>
      </c>
      <c r="P654" s="1">
        <v>0.2862229915968616</v>
      </c>
      <c r="Q654" s="1">
        <v>0.4672931329656026</v>
      </c>
      <c r="R654" s="1">
        <v>-0.84274199836920816</v>
      </c>
      <c r="S654" s="19">
        <v>4.1286139210930157</v>
      </c>
      <c r="T654" s="19">
        <v>8.2189918281186731</v>
      </c>
      <c r="U654" s="19">
        <v>14.533360094635482</v>
      </c>
      <c r="V654" s="19">
        <v>23.543576094516578</v>
      </c>
      <c r="W654" s="19">
        <v>35.589343100018951</v>
      </c>
      <c r="X654" s="19">
        <v>50.76256063666488</v>
      </c>
      <c r="Y654" s="19">
        <v>68.767913774710564</v>
      </c>
      <c r="Z654" s="19">
        <v>88.782546450343503</v>
      </c>
      <c r="AA654" s="19">
        <v>109.35849275759308</v>
      </c>
      <c r="AB654" s="19">
        <v>128.43090670057111</v>
      </c>
      <c r="AC654" s="19">
        <v>143.50035724874041</v>
      </c>
      <c r="AD654" s="19">
        <v>152.03146695166254</v>
      </c>
      <c r="AE654" s="19">
        <v>152.04024690743972</v>
      </c>
      <c r="AF654" s="19">
        <v>142.73594712267669</v>
      </c>
      <c r="AG654" s="19">
        <v>124.98228437450705</v>
      </c>
      <c r="AH654" s="19">
        <v>102.93519645510899</v>
      </c>
      <c r="AI654" s="19">
        <v>78.392418114432928</v>
      </c>
      <c r="AJ654" s="19">
        <v>30.068537615129166</v>
      </c>
      <c r="AK654" s="19">
        <v>0</v>
      </c>
      <c r="AL654" s="19">
        <v>0</v>
      </c>
      <c r="AM654" s="19">
        <v>0</v>
      </c>
      <c r="AN654" s="19">
        <v>0</v>
      </c>
      <c r="AO654" s="19">
        <v>0</v>
      </c>
      <c r="AP654" s="19">
        <v>0</v>
      </c>
      <c r="AQ654" s="19">
        <v>0</v>
      </c>
      <c r="AR654" s="19">
        <v>1458.8027601479637</v>
      </c>
    </row>
    <row r="655" spans="1:44" x14ac:dyDescent="0.25">
      <c r="A655" t="s">
        <v>250</v>
      </c>
      <c r="B655" t="s">
        <v>311</v>
      </c>
      <c r="C655" t="s">
        <v>44</v>
      </c>
      <c r="D655" t="s">
        <v>312</v>
      </c>
      <c r="E655" t="s">
        <v>134</v>
      </c>
      <c r="F655" t="s">
        <v>312</v>
      </c>
      <c r="G655" t="s">
        <v>31</v>
      </c>
      <c r="H655" t="s">
        <v>272</v>
      </c>
      <c r="I655" t="s">
        <v>135</v>
      </c>
      <c r="J655" t="s">
        <v>40</v>
      </c>
      <c r="K655" t="s">
        <v>31</v>
      </c>
      <c r="L655">
        <v>142</v>
      </c>
      <c r="M655">
        <v>1</v>
      </c>
      <c r="N655" s="2">
        <v>2.0197569684597156</v>
      </c>
      <c r="O655" s="2">
        <v>4.9927275474590633</v>
      </c>
      <c r="P655" s="1">
        <v>-1.1767139597520102</v>
      </c>
      <c r="Q655" s="1">
        <v>0.4672931329656026</v>
      </c>
      <c r="R655" s="1">
        <v>-2.1626789497180798</v>
      </c>
      <c r="S655" s="19">
        <v>0.9275297629878142</v>
      </c>
      <c r="T655" s="19">
        <v>1.8455424304533028</v>
      </c>
      <c r="U655" s="19">
        <v>3.261770676338378</v>
      </c>
      <c r="V655" s="19">
        <v>5.2813107686788978</v>
      </c>
      <c r="W655" s="19">
        <v>7.9794171505082225</v>
      </c>
      <c r="X655" s="19">
        <v>11.375660522985124</v>
      </c>
      <c r="Y655" s="19">
        <v>15.402841812362142</v>
      </c>
      <c r="Z655" s="19">
        <v>19.875794930589365</v>
      </c>
      <c r="AA655" s="19">
        <v>24.469851284315837</v>
      </c>
      <c r="AB655" s="19">
        <v>28.723030982277653</v>
      </c>
      <c r="AC655" s="19">
        <v>32.077137396685664</v>
      </c>
      <c r="AD655" s="19">
        <v>33.967064207298385</v>
      </c>
      <c r="AE655" s="19">
        <v>33.951971400107624</v>
      </c>
      <c r="AF655" s="19">
        <v>31.858233816775588</v>
      </c>
      <c r="AG655" s="19">
        <v>27.881664466755279</v>
      </c>
      <c r="AH655" s="19">
        <v>22.951762433381788</v>
      </c>
      <c r="AI655" s="19">
        <v>17.470611543555698</v>
      </c>
      <c r="AJ655" s="19">
        <v>4.5055225514063952</v>
      </c>
      <c r="AK655" s="19">
        <v>0</v>
      </c>
      <c r="AL655" s="19">
        <v>0</v>
      </c>
      <c r="AM655" s="19">
        <v>0</v>
      </c>
      <c r="AN655" s="19">
        <v>0</v>
      </c>
      <c r="AO655" s="19">
        <v>0</v>
      </c>
      <c r="AP655" s="19">
        <v>0</v>
      </c>
      <c r="AQ655" s="19">
        <v>0</v>
      </c>
      <c r="AR655" s="19">
        <v>323.80671813746318</v>
      </c>
    </row>
    <row r="656" spans="1:44" x14ac:dyDescent="0.25">
      <c r="A656" t="s">
        <v>250</v>
      </c>
      <c r="B656" t="s">
        <v>311</v>
      </c>
      <c r="C656" t="s">
        <v>44</v>
      </c>
      <c r="D656" t="s">
        <v>312</v>
      </c>
      <c r="E656" t="s">
        <v>134</v>
      </c>
      <c r="F656" t="s">
        <v>312</v>
      </c>
      <c r="G656" t="s">
        <v>31</v>
      </c>
      <c r="H656" t="s">
        <v>277</v>
      </c>
      <c r="I656" t="s">
        <v>135</v>
      </c>
      <c r="J656" t="s">
        <v>40</v>
      </c>
      <c r="K656" t="s">
        <v>31</v>
      </c>
      <c r="L656">
        <v>142</v>
      </c>
      <c r="M656">
        <v>1</v>
      </c>
      <c r="N656" s="2">
        <v>2.0197569684597156</v>
      </c>
      <c r="O656" s="2">
        <v>4.9927275474590633</v>
      </c>
      <c r="P656" s="1">
        <v>-1.1767139597520102</v>
      </c>
      <c r="Q656" s="1">
        <v>0.4672931329656026</v>
      </c>
      <c r="R656" s="1">
        <v>-2.1626789497180798</v>
      </c>
      <c r="S656" s="19">
        <v>13.35422143822646</v>
      </c>
      <c r="T656" s="19">
        <v>26.568216042274251</v>
      </c>
      <c r="U656" s="19">
        <v>46.950413813895565</v>
      </c>
      <c r="V656" s="19">
        <v>76.010810690760763</v>
      </c>
      <c r="W656" s="19">
        <v>114.82922971758656</v>
      </c>
      <c r="X656" s="19">
        <v>163.68374222833134</v>
      </c>
      <c r="Y656" s="19">
        <v>221.60390969819065</v>
      </c>
      <c r="Z656" s="19">
        <v>285.92274916633932</v>
      </c>
      <c r="AA656" s="19">
        <v>351.96799508984611</v>
      </c>
      <c r="AB656" s="19">
        <v>413.09482242003889</v>
      </c>
      <c r="AC656" s="19">
        <v>461.27798729104035</v>
      </c>
      <c r="AD656" s="19">
        <v>488.39676490015478</v>
      </c>
      <c r="AE656" s="19">
        <v>488.12090008919608</v>
      </c>
      <c r="AF656" s="19">
        <v>457.96442505948039</v>
      </c>
      <c r="AG656" s="19">
        <v>400.75263344598346</v>
      </c>
      <c r="AH656" s="19">
        <v>329.85370690884588</v>
      </c>
      <c r="AI656" s="19">
        <v>251.05049213876876</v>
      </c>
      <c r="AJ656" s="19">
        <v>57.173133597553942</v>
      </c>
      <c r="AK656" s="19">
        <v>0</v>
      </c>
      <c r="AL656" s="19">
        <v>0</v>
      </c>
      <c r="AM656" s="19">
        <v>0</v>
      </c>
      <c r="AN656" s="19">
        <v>0</v>
      </c>
      <c r="AO656" s="19">
        <v>0</v>
      </c>
      <c r="AP656" s="19">
        <v>0</v>
      </c>
      <c r="AQ656" s="19">
        <v>0</v>
      </c>
      <c r="AR656" s="19">
        <v>4648.5761537365133</v>
      </c>
    </row>
    <row r="657" spans="1:44" x14ac:dyDescent="0.25">
      <c r="A657" t="s">
        <v>250</v>
      </c>
      <c r="B657" t="s">
        <v>311</v>
      </c>
      <c r="C657" t="s">
        <v>44</v>
      </c>
      <c r="D657" t="s">
        <v>312</v>
      </c>
      <c r="E657" t="s">
        <v>134</v>
      </c>
      <c r="F657" t="s">
        <v>312</v>
      </c>
      <c r="G657" t="s">
        <v>31</v>
      </c>
      <c r="H657" t="s">
        <v>253</v>
      </c>
      <c r="I657" t="s">
        <v>135</v>
      </c>
      <c r="J657" t="s">
        <v>40</v>
      </c>
      <c r="K657" t="s">
        <v>31</v>
      </c>
      <c r="L657">
        <v>142</v>
      </c>
      <c r="M657">
        <v>1</v>
      </c>
      <c r="N657" s="2">
        <v>2.0197569684597156</v>
      </c>
      <c r="O657" s="2">
        <v>4.9927275474590633</v>
      </c>
      <c r="P657" s="1">
        <v>-1.1767139597520102</v>
      </c>
      <c r="Q657" s="1">
        <v>0.4672931329656026</v>
      </c>
      <c r="R657" s="1">
        <v>-2.1626789497180798</v>
      </c>
      <c r="S657" s="19">
        <v>4.1401040018135484</v>
      </c>
      <c r="T657" s="19">
        <v>8.2418655773602776</v>
      </c>
      <c r="U657" s="19">
        <v>14.573806957388811</v>
      </c>
      <c r="V657" s="19">
        <v>23.609098711778977</v>
      </c>
      <c r="W657" s="19">
        <v>35.688389519186593</v>
      </c>
      <c r="X657" s="19">
        <v>50.903834664811789</v>
      </c>
      <c r="Y657" s="19">
        <v>68.959297346862272</v>
      </c>
      <c r="Z657" s="19">
        <v>89.029631463567213</v>
      </c>
      <c r="AA657" s="19">
        <v>109.66284136787144</v>
      </c>
      <c r="AB657" s="19">
        <v>128.78833452337176</v>
      </c>
      <c r="AC657" s="19">
        <v>143.89972389326715</v>
      </c>
      <c r="AD657" s="19">
        <v>152.45457598067853</v>
      </c>
      <c r="AE657" s="19">
        <v>152.46338037138781</v>
      </c>
      <c r="AF657" s="19">
        <v>143.13318638638756</v>
      </c>
      <c r="AG657" s="19">
        <v>125.33011455760143</v>
      </c>
      <c r="AH657" s="19">
        <v>103.2216688012421</v>
      </c>
      <c r="AI657" s="19">
        <v>78.610587027590654</v>
      </c>
      <c r="AJ657" s="19">
        <v>30.152219434489112</v>
      </c>
      <c r="AK657" s="19">
        <v>0</v>
      </c>
      <c r="AL657" s="19">
        <v>0</v>
      </c>
      <c r="AM657" s="19">
        <v>0</v>
      </c>
      <c r="AN657" s="19">
        <v>0</v>
      </c>
      <c r="AO657" s="19">
        <v>0</v>
      </c>
      <c r="AP657" s="19">
        <v>0</v>
      </c>
      <c r="AQ657" s="19">
        <v>0</v>
      </c>
      <c r="AR657" s="19">
        <v>1462.8626605866568</v>
      </c>
    </row>
    <row r="658" spans="1:44" x14ac:dyDescent="0.25">
      <c r="A658" t="s">
        <v>250</v>
      </c>
      <c r="B658" t="s">
        <v>313</v>
      </c>
      <c r="C658" t="s">
        <v>44</v>
      </c>
      <c r="D658" t="s">
        <v>314</v>
      </c>
      <c r="E658" t="s">
        <v>134</v>
      </c>
      <c r="F658" t="s">
        <v>314</v>
      </c>
      <c r="G658" t="s">
        <v>31</v>
      </c>
      <c r="H658" t="s">
        <v>288</v>
      </c>
      <c r="I658" t="s">
        <v>135</v>
      </c>
      <c r="J658" t="s">
        <v>39</v>
      </c>
      <c r="K658" t="s">
        <v>31</v>
      </c>
      <c r="L658">
        <v>0.87</v>
      </c>
      <c r="M658">
        <v>1</v>
      </c>
      <c r="N658" s="2">
        <v>2.120451684454824</v>
      </c>
      <c r="O658" s="2">
        <v>5.4114176288701819</v>
      </c>
      <c r="P658" s="1">
        <v>-1.0218982000484012</v>
      </c>
      <c r="Q658" s="1">
        <v>1.3823087202131159</v>
      </c>
      <c r="R658" s="1">
        <v>-1.8625523936223551</v>
      </c>
      <c r="S658" s="19">
        <v>63.182143073400312</v>
      </c>
      <c r="T658" s="19">
        <v>125.91806888801732</v>
      </c>
      <c r="U658" s="19">
        <v>222.90251372915915</v>
      </c>
      <c r="V658" s="19">
        <v>361.49374539148079</v>
      </c>
      <c r="W658" s="19">
        <v>547.05092380431256</v>
      </c>
      <c r="X658" s="19">
        <v>781.1433340049897</v>
      </c>
      <c r="Y658" s="19">
        <v>1059.381744833242</v>
      </c>
      <c r="Z658" s="19">
        <v>1369.2213388972468</v>
      </c>
      <c r="AA658" s="19">
        <v>1688.4103411776175</v>
      </c>
      <c r="AB658" s="19">
        <v>1985.0637659416768</v>
      </c>
      <c r="AC658" s="19">
        <v>2220.4312029831531</v>
      </c>
      <c r="AD658" s="19">
        <v>2355.034379156697</v>
      </c>
      <c r="AE658" s="19">
        <v>2357.7717375086295</v>
      </c>
      <c r="AF658" s="19">
        <v>2215.9297002207759</v>
      </c>
      <c r="AG658" s="19">
        <v>1942.4529201160519</v>
      </c>
      <c r="AH658" s="19">
        <v>1601.5679410992436</v>
      </c>
      <c r="AI658" s="19">
        <v>1221.0542402698404</v>
      </c>
      <c r="AJ658" s="19">
        <v>806.12082130230829</v>
      </c>
      <c r="AK658" s="19">
        <v>0</v>
      </c>
      <c r="AL658" s="19">
        <v>0</v>
      </c>
      <c r="AM658" s="19">
        <v>0</v>
      </c>
      <c r="AN658" s="19">
        <v>0</v>
      </c>
      <c r="AO658" s="19">
        <v>0</v>
      </c>
      <c r="AP658" s="19">
        <v>0</v>
      </c>
      <c r="AQ658" s="19">
        <v>0</v>
      </c>
      <c r="AR658" s="19">
        <v>22924.130862397844</v>
      </c>
    </row>
    <row r="659" spans="1:44" x14ac:dyDescent="0.25">
      <c r="A659" t="s">
        <v>250</v>
      </c>
      <c r="B659" t="s">
        <v>313</v>
      </c>
      <c r="C659" t="s">
        <v>44</v>
      </c>
      <c r="D659" t="s">
        <v>314</v>
      </c>
      <c r="E659" t="s">
        <v>134</v>
      </c>
      <c r="F659" t="s">
        <v>314</v>
      </c>
      <c r="G659" t="s">
        <v>31</v>
      </c>
      <c r="H659" t="s">
        <v>289</v>
      </c>
      <c r="I659" t="s">
        <v>135</v>
      </c>
      <c r="J659" t="s">
        <v>39</v>
      </c>
      <c r="K659" t="s">
        <v>31</v>
      </c>
      <c r="L659">
        <v>0.87</v>
      </c>
      <c r="M659">
        <v>1</v>
      </c>
      <c r="N659" s="2">
        <v>2.120451684454824</v>
      </c>
      <c r="O659" s="2">
        <v>5.4114176288701819</v>
      </c>
      <c r="P659" s="1">
        <v>-1.0218982000484012</v>
      </c>
      <c r="Q659" s="1">
        <v>1.3823087202131159</v>
      </c>
      <c r="R659" s="1">
        <v>-1.8625523936223551</v>
      </c>
      <c r="S659" s="19">
        <v>60.051888159953542</v>
      </c>
      <c r="T659" s="19">
        <v>119.6796661581425</v>
      </c>
      <c r="U659" s="19">
        <v>211.85917687985744</v>
      </c>
      <c r="V659" s="19">
        <v>343.58413489635421</v>
      </c>
      <c r="W659" s="19">
        <v>519.94818941059816</v>
      </c>
      <c r="X659" s="19">
        <v>742.44287782491563</v>
      </c>
      <c r="Y659" s="19">
        <v>1006.8964261866802</v>
      </c>
      <c r="Z659" s="19">
        <v>1301.3855293600473</v>
      </c>
      <c r="AA659" s="19">
        <v>1604.7608397631802</v>
      </c>
      <c r="AB659" s="19">
        <v>1886.7170606134732</v>
      </c>
      <c r="AC659" s="19">
        <v>2110.4236067698698</v>
      </c>
      <c r="AD659" s="19">
        <v>2238.3580909192556</v>
      </c>
      <c r="AE659" s="19">
        <v>2240.9598313732481</v>
      </c>
      <c r="AF659" s="19">
        <v>2106.1451235262111</v>
      </c>
      <c r="AG659" s="19">
        <v>1846.2172987591041</v>
      </c>
      <c r="AH659" s="19">
        <v>1522.2209029492296</v>
      </c>
      <c r="AI659" s="19">
        <v>1160.5591248897038</v>
      </c>
      <c r="AJ659" s="19">
        <v>766.18289677224163</v>
      </c>
      <c r="AK659" s="19">
        <v>0</v>
      </c>
      <c r="AL659" s="19">
        <v>0</v>
      </c>
      <c r="AM659" s="19">
        <v>0</v>
      </c>
      <c r="AN659" s="19">
        <v>0</v>
      </c>
      <c r="AO659" s="19">
        <v>0</v>
      </c>
      <c r="AP659" s="19">
        <v>0</v>
      </c>
      <c r="AQ659" s="19">
        <v>0</v>
      </c>
      <c r="AR659" s="19">
        <v>21788.392665212064</v>
      </c>
    </row>
    <row r="660" spans="1:44" x14ac:dyDescent="0.25">
      <c r="A660" t="s">
        <v>250</v>
      </c>
      <c r="B660" t="s">
        <v>313</v>
      </c>
      <c r="C660" t="s">
        <v>44</v>
      </c>
      <c r="D660" t="s">
        <v>314</v>
      </c>
      <c r="E660" t="s">
        <v>134</v>
      </c>
      <c r="F660" t="s">
        <v>314</v>
      </c>
      <c r="G660" t="s">
        <v>31</v>
      </c>
      <c r="H660" t="s">
        <v>290</v>
      </c>
      <c r="I660" t="s">
        <v>135</v>
      </c>
      <c r="J660" t="s">
        <v>39</v>
      </c>
      <c r="K660" t="s">
        <v>31</v>
      </c>
      <c r="L660">
        <v>0.87</v>
      </c>
      <c r="M660">
        <v>1</v>
      </c>
      <c r="N660" s="2">
        <v>2.120451684454824</v>
      </c>
      <c r="O660" s="2">
        <v>5.4114176288701819</v>
      </c>
      <c r="P660" s="1">
        <v>-1.0218982000484012</v>
      </c>
      <c r="Q660" s="1">
        <v>1.3823087202131159</v>
      </c>
      <c r="R660" s="1">
        <v>-1.8625523936223551</v>
      </c>
      <c r="S660" s="19">
        <v>86.959224171339329</v>
      </c>
      <c r="T660" s="19">
        <v>173.3043079424302</v>
      </c>
      <c r="U660" s="19">
        <v>306.78651778574164</v>
      </c>
      <c r="V660" s="19">
        <v>497.53322874021137</v>
      </c>
      <c r="W660" s="19">
        <v>752.92039177862171</v>
      </c>
      <c r="X660" s="19">
        <v>1075.1078546476981</v>
      </c>
      <c r="Y660" s="19">
        <v>1458.0546045257884</v>
      </c>
      <c r="Z660" s="19">
        <v>1884.4948834835272</v>
      </c>
      <c r="AA660" s="19">
        <v>2323.8029957468225</v>
      </c>
      <c r="AB660" s="19">
        <v>2732.0948074899702</v>
      </c>
      <c r="AC660" s="19">
        <v>3056.037122908835</v>
      </c>
      <c r="AD660" s="19">
        <v>3241.2949695357129</v>
      </c>
      <c r="AE660" s="19">
        <v>3245.0624669168401</v>
      </c>
      <c r="AF660" s="19">
        <v>3049.8415877658335</v>
      </c>
      <c r="AG660" s="19">
        <v>2673.4483938984545</v>
      </c>
      <c r="AH660" s="19">
        <v>2204.2795454703819</v>
      </c>
      <c r="AI660" s="19">
        <v>1680.5686581671539</v>
      </c>
      <c r="AJ660" s="19">
        <v>1109.4850190088389</v>
      </c>
      <c r="AK660" s="19">
        <v>0</v>
      </c>
      <c r="AL660" s="19">
        <v>0</v>
      </c>
      <c r="AM660" s="19">
        <v>0</v>
      </c>
      <c r="AN660" s="19">
        <v>0</v>
      </c>
      <c r="AO660" s="19">
        <v>0</v>
      </c>
      <c r="AP660" s="19">
        <v>0</v>
      </c>
      <c r="AQ660" s="19">
        <v>0</v>
      </c>
      <c r="AR660" s="19">
        <v>31551.076579984201</v>
      </c>
    </row>
    <row r="661" spans="1:44" x14ac:dyDescent="0.25">
      <c r="A661" t="s">
        <v>250</v>
      </c>
      <c r="B661" t="s">
        <v>313</v>
      </c>
      <c r="C661" t="s">
        <v>44</v>
      </c>
      <c r="D661" t="s">
        <v>314</v>
      </c>
      <c r="E661" t="s">
        <v>134</v>
      </c>
      <c r="F661" t="s">
        <v>314</v>
      </c>
      <c r="G661" t="s">
        <v>31</v>
      </c>
      <c r="H661" t="s">
        <v>272</v>
      </c>
      <c r="I661" t="s">
        <v>135</v>
      </c>
      <c r="J661" t="s">
        <v>39</v>
      </c>
      <c r="K661" t="s">
        <v>31</v>
      </c>
      <c r="L661">
        <v>0.87</v>
      </c>
      <c r="M661">
        <v>1</v>
      </c>
      <c r="N661" s="2">
        <v>2.120451684454824</v>
      </c>
      <c r="O661" s="2">
        <v>5.4114176288701819</v>
      </c>
      <c r="P661" s="1">
        <v>-1.0218982000484012</v>
      </c>
      <c r="Q661" s="1">
        <v>1.3823087202131159</v>
      </c>
      <c r="R661" s="1">
        <v>-1.8625523936223551</v>
      </c>
      <c r="S661" s="19">
        <v>0</v>
      </c>
      <c r="T661" s="19">
        <v>0</v>
      </c>
      <c r="U661" s="19">
        <v>0</v>
      </c>
      <c r="V661" s="19">
        <v>0</v>
      </c>
      <c r="W661" s="19">
        <v>0</v>
      </c>
      <c r="X661" s="19">
        <v>0</v>
      </c>
      <c r="Y661" s="19">
        <v>0</v>
      </c>
      <c r="Z661" s="19">
        <v>0</v>
      </c>
      <c r="AA661" s="19">
        <v>0</v>
      </c>
      <c r="AB661" s="19">
        <v>0</v>
      </c>
      <c r="AC661" s="19">
        <v>0</v>
      </c>
      <c r="AD661" s="19">
        <v>0</v>
      </c>
      <c r="AE661" s="19">
        <v>0</v>
      </c>
      <c r="AF661" s="19">
        <v>0</v>
      </c>
      <c r="AG661" s="19">
        <v>0</v>
      </c>
      <c r="AH661" s="19">
        <v>0</v>
      </c>
      <c r="AI661" s="19">
        <v>0</v>
      </c>
      <c r="AJ661" s="19">
        <v>0</v>
      </c>
      <c r="AK661" s="19">
        <v>0</v>
      </c>
      <c r="AL661" s="19">
        <v>0</v>
      </c>
      <c r="AM661" s="19">
        <v>0</v>
      </c>
      <c r="AN661" s="19">
        <v>0</v>
      </c>
      <c r="AO661" s="19">
        <v>0</v>
      </c>
      <c r="AP661" s="19">
        <v>0</v>
      </c>
      <c r="AQ661" s="19">
        <v>0</v>
      </c>
      <c r="AR661" s="19">
        <v>0</v>
      </c>
    </row>
    <row r="662" spans="1:44" x14ac:dyDescent="0.25">
      <c r="A662" t="s">
        <v>250</v>
      </c>
      <c r="B662" t="s">
        <v>313</v>
      </c>
      <c r="C662" t="s">
        <v>44</v>
      </c>
      <c r="D662" t="s">
        <v>314</v>
      </c>
      <c r="E662" t="s">
        <v>134</v>
      </c>
      <c r="F662" t="s">
        <v>314</v>
      </c>
      <c r="G662" t="s">
        <v>31</v>
      </c>
      <c r="H662" t="s">
        <v>273</v>
      </c>
      <c r="I662" t="s">
        <v>135</v>
      </c>
      <c r="J662" t="s">
        <v>39</v>
      </c>
      <c r="K662" t="s">
        <v>31</v>
      </c>
      <c r="L662">
        <v>0.87</v>
      </c>
      <c r="M662">
        <v>1</v>
      </c>
      <c r="N662" s="2">
        <v>2.120451684454824</v>
      </c>
      <c r="O662" s="2">
        <v>5.4114176288701819</v>
      </c>
      <c r="P662" s="1">
        <v>-1.0218982000484012</v>
      </c>
      <c r="Q662" s="1">
        <v>1.3823087202131159</v>
      </c>
      <c r="R662" s="1">
        <v>-1.8625523936223551</v>
      </c>
      <c r="S662" s="19">
        <v>0</v>
      </c>
      <c r="T662" s="19">
        <v>0</v>
      </c>
      <c r="U662" s="19">
        <v>0</v>
      </c>
      <c r="V662" s="19">
        <v>0</v>
      </c>
      <c r="W662" s="19">
        <v>0</v>
      </c>
      <c r="X662" s="19">
        <v>0</v>
      </c>
      <c r="Y662" s="19">
        <v>0</v>
      </c>
      <c r="Z662" s="19">
        <v>0</v>
      </c>
      <c r="AA662" s="19">
        <v>0</v>
      </c>
      <c r="AB662" s="19">
        <v>0</v>
      </c>
      <c r="AC662" s="19">
        <v>0</v>
      </c>
      <c r="AD662" s="19">
        <v>0</v>
      </c>
      <c r="AE662" s="19">
        <v>0</v>
      </c>
      <c r="AF662" s="19">
        <v>0</v>
      </c>
      <c r="AG662" s="19">
        <v>0</v>
      </c>
      <c r="AH662" s="19">
        <v>0</v>
      </c>
      <c r="AI662" s="19">
        <v>0</v>
      </c>
      <c r="AJ662" s="19">
        <v>0</v>
      </c>
      <c r="AK662" s="19">
        <v>0</v>
      </c>
      <c r="AL662" s="19">
        <v>0</v>
      </c>
      <c r="AM662" s="19">
        <v>0</v>
      </c>
      <c r="AN662" s="19">
        <v>0</v>
      </c>
      <c r="AO662" s="19">
        <v>0</v>
      </c>
      <c r="AP662" s="19">
        <v>0</v>
      </c>
      <c r="AQ662" s="19">
        <v>0</v>
      </c>
      <c r="AR662" s="19">
        <v>0</v>
      </c>
    </row>
    <row r="663" spans="1:44" x14ac:dyDescent="0.25">
      <c r="A663" t="s">
        <v>250</v>
      </c>
      <c r="B663" t="s">
        <v>313</v>
      </c>
      <c r="C663" t="s">
        <v>44</v>
      </c>
      <c r="D663" t="s">
        <v>314</v>
      </c>
      <c r="E663" t="s">
        <v>134</v>
      </c>
      <c r="F663" t="s">
        <v>314</v>
      </c>
      <c r="G663" t="s">
        <v>31</v>
      </c>
      <c r="H663" t="s">
        <v>274</v>
      </c>
      <c r="I663" t="s">
        <v>135</v>
      </c>
      <c r="J663" t="s">
        <v>39</v>
      </c>
      <c r="K663" t="s">
        <v>31</v>
      </c>
      <c r="L663">
        <v>0.87</v>
      </c>
      <c r="M663">
        <v>1</v>
      </c>
      <c r="N663" s="2">
        <v>2.120451684454824</v>
      </c>
      <c r="O663" s="2">
        <v>5.4114176288701819</v>
      </c>
      <c r="P663" s="1">
        <v>-1.0218982000484012</v>
      </c>
      <c r="Q663" s="1">
        <v>1.3823087202131159</v>
      </c>
      <c r="R663" s="1">
        <v>-1.8625523936223551</v>
      </c>
      <c r="S663" s="19">
        <v>0</v>
      </c>
      <c r="T663" s="19">
        <v>0</v>
      </c>
      <c r="U663" s="19">
        <v>0</v>
      </c>
      <c r="V663" s="19">
        <v>0</v>
      </c>
      <c r="W663" s="19">
        <v>0</v>
      </c>
      <c r="X663" s="19">
        <v>0</v>
      </c>
      <c r="Y663" s="19">
        <v>0</v>
      </c>
      <c r="Z663" s="19">
        <v>0</v>
      </c>
      <c r="AA663" s="19">
        <v>0</v>
      </c>
      <c r="AB663" s="19">
        <v>0</v>
      </c>
      <c r="AC663" s="19">
        <v>0</v>
      </c>
      <c r="AD663" s="19">
        <v>0</v>
      </c>
      <c r="AE663" s="19">
        <v>0</v>
      </c>
      <c r="AF663" s="19">
        <v>0</v>
      </c>
      <c r="AG663" s="19">
        <v>0</v>
      </c>
      <c r="AH663" s="19">
        <v>0</v>
      </c>
      <c r="AI663" s="19">
        <v>0</v>
      </c>
      <c r="AJ663" s="19">
        <v>0</v>
      </c>
      <c r="AK663" s="19">
        <v>0</v>
      </c>
      <c r="AL663" s="19">
        <v>0</v>
      </c>
      <c r="AM663" s="19">
        <v>0</v>
      </c>
      <c r="AN663" s="19">
        <v>0</v>
      </c>
      <c r="AO663" s="19">
        <v>0</v>
      </c>
      <c r="AP663" s="19">
        <v>0</v>
      </c>
      <c r="AQ663" s="19">
        <v>0</v>
      </c>
      <c r="AR663" s="19">
        <v>0</v>
      </c>
    </row>
    <row r="664" spans="1:44" x14ac:dyDescent="0.25">
      <c r="A664" t="s">
        <v>250</v>
      </c>
      <c r="B664" t="s">
        <v>313</v>
      </c>
      <c r="C664" t="s">
        <v>44</v>
      </c>
      <c r="D664" t="s">
        <v>314</v>
      </c>
      <c r="E664" t="s">
        <v>134</v>
      </c>
      <c r="F664" t="s">
        <v>314</v>
      </c>
      <c r="G664" t="s">
        <v>31</v>
      </c>
      <c r="H664" t="s">
        <v>275</v>
      </c>
      <c r="I664" t="s">
        <v>135</v>
      </c>
      <c r="J664" t="s">
        <v>39</v>
      </c>
      <c r="K664" t="s">
        <v>31</v>
      </c>
      <c r="L664">
        <v>0.87</v>
      </c>
      <c r="M664">
        <v>1</v>
      </c>
      <c r="N664" s="2">
        <v>2.120451684454824</v>
      </c>
      <c r="O664" s="2">
        <v>5.4114176288701819</v>
      </c>
      <c r="P664" s="1">
        <v>-1.0218982000484012</v>
      </c>
      <c r="Q664" s="1">
        <v>1.3823087202131159</v>
      </c>
      <c r="R664" s="1">
        <v>-1.8625523936223551</v>
      </c>
      <c r="S664" s="19">
        <v>0</v>
      </c>
      <c r="T664" s="19">
        <v>0</v>
      </c>
      <c r="U664" s="19">
        <v>0</v>
      </c>
      <c r="V664" s="19">
        <v>0</v>
      </c>
      <c r="W664" s="19">
        <v>0</v>
      </c>
      <c r="X664" s="19">
        <v>0</v>
      </c>
      <c r="Y664" s="19">
        <v>0</v>
      </c>
      <c r="Z664" s="19">
        <v>0</v>
      </c>
      <c r="AA664" s="19">
        <v>0</v>
      </c>
      <c r="AB664" s="19">
        <v>0</v>
      </c>
      <c r="AC664" s="19">
        <v>0</v>
      </c>
      <c r="AD664" s="19">
        <v>0</v>
      </c>
      <c r="AE664" s="19">
        <v>0</v>
      </c>
      <c r="AF664" s="19">
        <v>0</v>
      </c>
      <c r="AG664" s="19">
        <v>0</v>
      </c>
      <c r="AH664" s="19">
        <v>0</v>
      </c>
      <c r="AI664" s="19">
        <v>0</v>
      </c>
      <c r="AJ664" s="19">
        <v>0</v>
      </c>
      <c r="AK664" s="19">
        <v>0</v>
      </c>
      <c r="AL664" s="19">
        <v>0</v>
      </c>
      <c r="AM664" s="19">
        <v>0</v>
      </c>
      <c r="AN664" s="19">
        <v>0</v>
      </c>
      <c r="AO664" s="19">
        <v>0</v>
      </c>
      <c r="AP664" s="19">
        <v>0</v>
      </c>
      <c r="AQ664" s="19">
        <v>0</v>
      </c>
      <c r="AR664" s="19">
        <v>0</v>
      </c>
    </row>
    <row r="665" spans="1:44" x14ac:dyDescent="0.25">
      <c r="A665" t="s">
        <v>250</v>
      </c>
      <c r="B665" t="s">
        <v>313</v>
      </c>
      <c r="C665" t="s">
        <v>44</v>
      </c>
      <c r="D665" t="s">
        <v>314</v>
      </c>
      <c r="E665" t="s">
        <v>134</v>
      </c>
      <c r="F665" t="s">
        <v>314</v>
      </c>
      <c r="G665" t="s">
        <v>31</v>
      </c>
      <c r="H665" t="s">
        <v>276</v>
      </c>
      <c r="I665" t="s">
        <v>135</v>
      </c>
      <c r="J665" t="s">
        <v>39</v>
      </c>
      <c r="K665" t="s">
        <v>31</v>
      </c>
      <c r="L665">
        <v>0.87</v>
      </c>
      <c r="M665">
        <v>1</v>
      </c>
      <c r="N665" s="2">
        <v>2.120451684454824</v>
      </c>
      <c r="O665" s="2">
        <v>5.4114176288701819</v>
      </c>
      <c r="P665" s="1">
        <v>-1.0218982000484012</v>
      </c>
      <c r="Q665" s="1">
        <v>1.3823087202131159</v>
      </c>
      <c r="R665" s="1">
        <v>-1.8625523936223551</v>
      </c>
      <c r="S665" s="19">
        <v>400.88565074440038</v>
      </c>
      <c r="T665" s="19">
        <v>799.66129833501691</v>
      </c>
      <c r="U665" s="19">
        <v>1416.8531941620447</v>
      </c>
      <c r="V665" s="19">
        <v>2299.8660334457536</v>
      </c>
      <c r="W665" s="19">
        <v>3483.5445728758382</v>
      </c>
      <c r="X665" s="19">
        <v>4978.7029056390329</v>
      </c>
      <c r="Y665" s="19">
        <v>6758.1811650077225</v>
      </c>
      <c r="Z665" s="19">
        <v>8742.6454809065544</v>
      </c>
      <c r="AA665" s="19">
        <v>10790.438076242192</v>
      </c>
      <c r="AB665" s="19">
        <v>12697.76834755964</v>
      </c>
      <c r="AC665" s="19">
        <v>14216.154137999863</v>
      </c>
      <c r="AD665" s="19">
        <v>15091.552458214795</v>
      </c>
      <c r="AE665" s="19">
        <v>15122.73312451498</v>
      </c>
      <c r="AF665" s="19">
        <v>14225.789341431228</v>
      </c>
      <c r="AG665" s="19">
        <v>12481.384455159534</v>
      </c>
      <c r="AH665" s="19">
        <v>10300.290904466628</v>
      </c>
      <c r="AI665" s="19">
        <v>7860.1519891984817</v>
      </c>
      <c r="AJ665" s="19">
        <v>5430.2162330915762</v>
      </c>
      <c r="AK665" s="19">
        <v>1539.1025854197453</v>
      </c>
      <c r="AL665" s="19">
        <v>0</v>
      </c>
      <c r="AM665" s="19">
        <v>0</v>
      </c>
      <c r="AN665" s="19">
        <v>0</v>
      </c>
      <c r="AO665" s="19">
        <v>0</v>
      </c>
      <c r="AP665" s="19">
        <v>0</v>
      </c>
      <c r="AQ665" s="19">
        <v>0</v>
      </c>
      <c r="AR665" s="19">
        <v>148635.92195441504</v>
      </c>
    </row>
    <row r="666" spans="1:44" x14ac:dyDescent="0.25">
      <c r="A666" t="s">
        <v>250</v>
      </c>
      <c r="B666" t="s">
        <v>313</v>
      </c>
      <c r="C666" t="s">
        <v>44</v>
      </c>
      <c r="D666" t="s">
        <v>314</v>
      </c>
      <c r="E666" t="s">
        <v>134</v>
      </c>
      <c r="F666" t="s">
        <v>314</v>
      </c>
      <c r="G666" t="s">
        <v>31</v>
      </c>
      <c r="H666" t="s">
        <v>277</v>
      </c>
      <c r="I666" t="s">
        <v>135</v>
      </c>
      <c r="J666" t="s">
        <v>39</v>
      </c>
      <c r="K666" t="s">
        <v>31</v>
      </c>
      <c r="L666">
        <v>0.87</v>
      </c>
      <c r="M666">
        <v>1</v>
      </c>
      <c r="N666" s="2">
        <v>2.120451684454824</v>
      </c>
      <c r="O666" s="2">
        <v>5.4114176288701819</v>
      </c>
      <c r="P666" s="1">
        <v>-1.0218982000484012</v>
      </c>
      <c r="Q666" s="1">
        <v>1.3823087202131159</v>
      </c>
      <c r="R666" s="1">
        <v>-1.8625523936223551</v>
      </c>
      <c r="S666" s="19">
        <v>0</v>
      </c>
      <c r="T666" s="19">
        <v>0</v>
      </c>
      <c r="U666" s="19">
        <v>0</v>
      </c>
      <c r="V666" s="19">
        <v>0</v>
      </c>
      <c r="W666" s="19">
        <v>0</v>
      </c>
      <c r="X666" s="19">
        <v>0</v>
      </c>
      <c r="Y666" s="19">
        <v>0</v>
      </c>
      <c r="Z666" s="19">
        <v>0</v>
      </c>
      <c r="AA666" s="19">
        <v>0</v>
      </c>
      <c r="AB666" s="19">
        <v>0</v>
      </c>
      <c r="AC666" s="19">
        <v>0</v>
      </c>
      <c r="AD666" s="19">
        <v>0</v>
      </c>
      <c r="AE666" s="19">
        <v>0</v>
      </c>
      <c r="AF666" s="19">
        <v>0</v>
      </c>
      <c r="AG666" s="19">
        <v>0</v>
      </c>
      <c r="AH666" s="19">
        <v>0</v>
      </c>
      <c r="AI666" s="19">
        <v>0</v>
      </c>
      <c r="AJ666" s="19">
        <v>0</v>
      </c>
      <c r="AK666" s="19">
        <v>0</v>
      </c>
      <c r="AL666" s="19">
        <v>0</v>
      </c>
      <c r="AM666" s="19">
        <v>0</v>
      </c>
      <c r="AN666" s="19">
        <v>0</v>
      </c>
      <c r="AO666" s="19">
        <v>0</v>
      </c>
      <c r="AP666" s="19">
        <v>0</v>
      </c>
      <c r="AQ666" s="19">
        <v>0</v>
      </c>
      <c r="AR666" s="19">
        <v>0</v>
      </c>
    </row>
    <row r="667" spans="1:44" x14ac:dyDescent="0.25">
      <c r="A667" t="s">
        <v>250</v>
      </c>
      <c r="B667" t="s">
        <v>313</v>
      </c>
      <c r="C667" t="s">
        <v>44</v>
      </c>
      <c r="D667" t="s">
        <v>314</v>
      </c>
      <c r="E667" t="s">
        <v>134</v>
      </c>
      <c r="F667" t="s">
        <v>314</v>
      </c>
      <c r="G667" t="s">
        <v>31</v>
      </c>
      <c r="H667" t="s">
        <v>278</v>
      </c>
      <c r="I667" t="s">
        <v>135</v>
      </c>
      <c r="J667" t="s">
        <v>39</v>
      </c>
      <c r="K667" t="s">
        <v>31</v>
      </c>
      <c r="L667">
        <v>0.87</v>
      </c>
      <c r="M667">
        <v>1</v>
      </c>
      <c r="N667" s="2">
        <v>2.120451684454824</v>
      </c>
      <c r="O667" s="2">
        <v>5.4114176288701819</v>
      </c>
      <c r="P667" s="1">
        <v>-1.0218982000484012</v>
      </c>
      <c r="Q667" s="1">
        <v>1.3823087202131159</v>
      </c>
      <c r="R667" s="1">
        <v>-1.8625523936223551</v>
      </c>
      <c r="S667" s="19">
        <v>0</v>
      </c>
      <c r="T667" s="19">
        <v>0</v>
      </c>
      <c r="U667" s="19">
        <v>0</v>
      </c>
      <c r="V667" s="19">
        <v>0</v>
      </c>
      <c r="W667" s="19">
        <v>0</v>
      </c>
      <c r="X667" s="19">
        <v>0</v>
      </c>
      <c r="Y667" s="19">
        <v>0</v>
      </c>
      <c r="Z667" s="19">
        <v>0</v>
      </c>
      <c r="AA667" s="19">
        <v>0</v>
      </c>
      <c r="AB667" s="19">
        <v>0</v>
      </c>
      <c r="AC667" s="19">
        <v>0</v>
      </c>
      <c r="AD667" s="19">
        <v>0</v>
      </c>
      <c r="AE667" s="19">
        <v>0</v>
      </c>
      <c r="AF667" s="19">
        <v>0</v>
      </c>
      <c r="AG667" s="19">
        <v>0</v>
      </c>
      <c r="AH667" s="19">
        <v>0</v>
      </c>
      <c r="AI667" s="19">
        <v>0</v>
      </c>
      <c r="AJ667" s="19">
        <v>0</v>
      </c>
      <c r="AK667" s="19">
        <v>0</v>
      </c>
      <c r="AL667" s="19">
        <v>0</v>
      </c>
      <c r="AM667" s="19">
        <v>0</v>
      </c>
      <c r="AN667" s="19">
        <v>0</v>
      </c>
      <c r="AO667" s="19">
        <v>0</v>
      </c>
      <c r="AP667" s="19">
        <v>0</v>
      </c>
      <c r="AQ667" s="19">
        <v>0</v>
      </c>
      <c r="AR667" s="19">
        <v>0</v>
      </c>
    </row>
    <row r="668" spans="1:44" x14ac:dyDescent="0.25">
      <c r="A668" t="s">
        <v>250</v>
      </c>
      <c r="B668" t="s">
        <v>313</v>
      </c>
      <c r="C668" t="s">
        <v>44</v>
      </c>
      <c r="D668" t="s">
        <v>314</v>
      </c>
      <c r="E668" t="s">
        <v>134</v>
      </c>
      <c r="F668" t="s">
        <v>314</v>
      </c>
      <c r="G668" t="s">
        <v>31</v>
      </c>
      <c r="H668" t="s">
        <v>252</v>
      </c>
      <c r="I668" t="s">
        <v>135</v>
      </c>
      <c r="J668" t="s">
        <v>39</v>
      </c>
      <c r="K668" t="s">
        <v>31</v>
      </c>
      <c r="L668">
        <v>0.87</v>
      </c>
      <c r="M668">
        <v>1</v>
      </c>
      <c r="N668" s="2">
        <v>2.120451684454824</v>
      </c>
      <c r="O668" s="2">
        <v>5.4114176288701819</v>
      </c>
      <c r="P668" s="1">
        <v>-1.0218982000484012</v>
      </c>
      <c r="Q668" s="1">
        <v>1.3823087202131159</v>
      </c>
      <c r="R668" s="1">
        <v>-1.8625523936223551</v>
      </c>
      <c r="S668" s="19">
        <v>3.2526712755259863</v>
      </c>
      <c r="T668" s="19">
        <v>6.4778195877437614</v>
      </c>
      <c r="U668" s="19">
        <v>11.459105872452094</v>
      </c>
      <c r="V668" s="19">
        <v>18.57083901675583</v>
      </c>
      <c r="W668" s="19">
        <v>28.083644418774188</v>
      </c>
      <c r="X668" s="19">
        <v>40.07295907050046</v>
      </c>
      <c r="Y668" s="19">
        <v>54.308541393661457</v>
      </c>
      <c r="Z668" s="19">
        <v>70.142991614322241</v>
      </c>
      <c r="AA668" s="19">
        <v>86.433798891649403</v>
      </c>
      <c r="AB668" s="19">
        <v>101.54885523636068</v>
      </c>
      <c r="AC668" s="19">
        <v>113.50967064620131</v>
      </c>
      <c r="AD668" s="19">
        <v>120.30613238388098</v>
      </c>
      <c r="AE668" s="19">
        <v>120.36140353050877</v>
      </c>
      <c r="AF668" s="19">
        <v>113.04111595533256</v>
      </c>
      <c r="AG668" s="19">
        <v>99.020686137927157</v>
      </c>
      <c r="AH668" s="19">
        <v>81.586023988436125</v>
      </c>
      <c r="AI668" s="19">
        <v>62.158472005636803</v>
      </c>
      <c r="AJ668" s="19">
        <v>30.092813514370427</v>
      </c>
      <c r="AK668" s="19">
        <v>0</v>
      </c>
      <c r="AL668" s="19">
        <v>0</v>
      </c>
      <c r="AM668" s="19">
        <v>0</v>
      </c>
      <c r="AN668" s="19">
        <v>0</v>
      </c>
      <c r="AO668" s="19">
        <v>0</v>
      </c>
      <c r="AP668" s="19">
        <v>0</v>
      </c>
      <c r="AQ668" s="19">
        <v>0</v>
      </c>
      <c r="AR668" s="19">
        <v>1160.4275445400403</v>
      </c>
    </row>
    <row r="669" spans="1:44" x14ac:dyDescent="0.25">
      <c r="A669" t="s">
        <v>250</v>
      </c>
      <c r="B669" t="s">
        <v>313</v>
      </c>
      <c r="C669" t="s">
        <v>44</v>
      </c>
      <c r="D669" t="s">
        <v>314</v>
      </c>
      <c r="E669" t="s">
        <v>134</v>
      </c>
      <c r="F669" t="s">
        <v>314</v>
      </c>
      <c r="G669" t="s">
        <v>31</v>
      </c>
      <c r="H669" t="s">
        <v>253</v>
      </c>
      <c r="I669" t="s">
        <v>135</v>
      </c>
      <c r="J669" t="s">
        <v>39</v>
      </c>
      <c r="K669" t="s">
        <v>31</v>
      </c>
      <c r="L669">
        <v>0.87</v>
      </c>
      <c r="M669">
        <v>1</v>
      </c>
      <c r="N669" s="2">
        <v>2.120451684454824</v>
      </c>
      <c r="O669" s="2">
        <v>5.4114176288701819</v>
      </c>
      <c r="P669" s="1">
        <v>-1.0218982000484012</v>
      </c>
      <c r="Q669" s="1">
        <v>1.3823087202131159</v>
      </c>
      <c r="R669" s="1">
        <v>-1.8625523936223551</v>
      </c>
      <c r="S669" s="19">
        <v>28.271854146510591</v>
      </c>
      <c r="T669" s="19">
        <v>56.281876348083578</v>
      </c>
      <c r="U669" s="19">
        <v>99.521302962005535</v>
      </c>
      <c r="V669" s="19">
        <v>161.22131111141258</v>
      </c>
      <c r="W669" s="19">
        <v>243.70811524742476</v>
      </c>
      <c r="X669" s="19">
        <v>347.61102342145011</v>
      </c>
      <c r="Y669" s="19">
        <v>470.90778294031526</v>
      </c>
      <c r="Z669" s="19">
        <v>607.96365365531676</v>
      </c>
      <c r="AA669" s="19">
        <v>748.86327857616402</v>
      </c>
      <c r="AB669" s="19">
        <v>879.46703943230079</v>
      </c>
      <c r="AC669" s="19">
        <v>982.65937373831548</v>
      </c>
      <c r="AD669" s="19">
        <v>1041.0785657089325</v>
      </c>
      <c r="AE669" s="19">
        <v>1041.1386889449359</v>
      </c>
      <c r="AF669" s="19">
        <v>977.42485871578549</v>
      </c>
      <c r="AG669" s="19">
        <v>855.85162048727364</v>
      </c>
      <c r="AH669" s="19">
        <v>704.87793635855758</v>
      </c>
      <c r="AI669" s="19">
        <v>536.81430462666685</v>
      </c>
      <c r="AJ669" s="19">
        <v>205.90283472879275</v>
      </c>
      <c r="AK669" s="19">
        <v>0</v>
      </c>
      <c r="AL669" s="19">
        <v>0</v>
      </c>
      <c r="AM669" s="19">
        <v>0</v>
      </c>
      <c r="AN669" s="19">
        <v>0</v>
      </c>
      <c r="AO669" s="19">
        <v>0</v>
      </c>
      <c r="AP669" s="19">
        <v>0</v>
      </c>
      <c r="AQ669" s="19">
        <v>0</v>
      </c>
      <c r="AR669" s="19">
        <v>9989.5654211502442</v>
      </c>
    </row>
    <row r="670" spans="1:44" x14ac:dyDescent="0.25">
      <c r="A670" t="s">
        <v>250</v>
      </c>
      <c r="B670" t="s">
        <v>313</v>
      </c>
      <c r="C670" t="s">
        <v>44</v>
      </c>
      <c r="D670" t="s">
        <v>314</v>
      </c>
      <c r="E670" t="s">
        <v>134</v>
      </c>
      <c r="F670" t="s">
        <v>314</v>
      </c>
      <c r="G670" t="s">
        <v>31</v>
      </c>
      <c r="H670" t="s">
        <v>254</v>
      </c>
      <c r="I670" t="s">
        <v>135</v>
      </c>
      <c r="J670" t="s">
        <v>39</v>
      </c>
      <c r="K670" t="s">
        <v>31</v>
      </c>
      <c r="L670">
        <v>0.87</v>
      </c>
      <c r="M670">
        <v>1</v>
      </c>
      <c r="N670" s="2">
        <v>2.120451684454824</v>
      </c>
      <c r="O670" s="2">
        <v>5.4114176288701819</v>
      </c>
      <c r="P670" s="1">
        <v>-1.0218982000484012</v>
      </c>
      <c r="Q670" s="1">
        <v>1.3823087202131159</v>
      </c>
      <c r="R670" s="1">
        <v>-1.8625523936223551</v>
      </c>
      <c r="S670" s="19">
        <v>22.032815321691725</v>
      </c>
      <c r="T670" s="19">
        <v>43.844550195741888</v>
      </c>
      <c r="U670" s="19">
        <v>77.498706388372284</v>
      </c>
      <c r="V670" s="19">
        <v>125.49666862871608</v>
      </c>
      <c r="W670" s="19">
        <v>189.6317655259104</v>
      </c>
      <c r="X670" s="19">
        <v>270.37466011121074</v>
      </c>
      <c r="Y670" s="19">
        <v>366.1336652479431</v>
      </c>
      <c r="Z670" s="19">
        <v>472.51191025390477</v>
      </c>
      <c r="AA670" s="19">
        <v>581.79371761464472</v>
      </c>
      <c r="AB670" s="19">
        <v>682.99481815272861</v>
      </c>
      <c r="AC670" s="19">
        <v>762.83777559882333</v>
      </c>
      <c r="AD670" s="19">
        <v>807.87476683762452</v>
      </c>
      <c r="AE670" s="19">
        <v>807.60773996063472</v>
      </c>
      <c r="AF670" s="19">
        <v>757.89076670646068</v>
      </c>
      <c r="AG670" s="19">
        <v>663.3657761547903</v>
      </c>
      <c r="AH670" s="19">
        <v>546.13479908919464</v>
      </c>
      <c r="AI670" s="19">
        <v>415.75871563399937</v>
      </c>
      <c r="AJ670" s="19">
        <v>119.06251174791603</v>
      </c>
      <c r="AK670" s="19">
        <v>0</v>
      </c>
      <c r="AL670" s="19">
        <v>0</v>
      </c>
      <c r="AM670" s="19">
        <v>0</v>
      </c>
      <c r="AN670" s="19">
        <v>0</v>
      </c>
      <c r="AO670" s="19">
        <v>0</v>
      </c>
      <c r="AP670" s="19">
        <v>0</v>
      </c>
      <c r="AQ670" s="19">
        <v>0</v>
      </c>
      <c r="AR670" s="19">
        <v>7712.846129170307</v>
      </c>
    </row>
    <row r="671" spans="1:44" x14ac:dyDescent="0.25">
      <c r="A671" t="s">
        <v>250</v>
      </c>
      <c r="B671" t="s">
        <v>313</v>
      </c>
      <c r="C671" t="s">
        <v>44</v>
      </c>
      <c r="D671" t="s">
        <v>314</v>
      </c>
      <c r="E671" t="s">
        <v>134</v>
      </c>
      <c r="F671" t="s">
        <v>314</v>
      </c>
      <c r="G671" t="s">
        <v>31</v>
      </c>
      <c r="H671" t="s">
        <v>255</v>
      </c>
      <c r="I671" t="s">
        <v>135</v>
      </c>
      <c r="J671" t="s">
        <v>39</v>
      </c>
      <c r="K671" t="s">
        <v>31</v>
      </c>
      <c r="L671">
        <v>0.87</v>
      </c>
      <c r="M671">
        <v>1</v>
      </c>
      <c r="N671" s="2">
        <v>2.120451684454824</v>
      </c>
      <c r="O671" s="2">
        <v>5.4114176288701819</v>
      </c>
      <c r="P671" s="1">
        <v>-1.0218982000484012</v>
      </c>
      <c r="Q671" s="1">
        <v>1.3823087202131159</v>
      </c>
      <c r="R671" s="1">
        <v>-1.8625523936223551</v>
      </c>
      <c r="S671" s="19">
        <v>4.6189313862826129</v>
      </c>
      <c r="T671" s="19">
        <v>9.1498444088322568</v>
      </c>
      <c r="U671" s="19">
        <v>16.099749424867216</v>
      </c>
      <c r="V671" s="19">
        <v>25.95275304831916</v>
      </c>
      <c r="W671" s="19">
        <v>39.038120358948902</v>
      </c>
      <c r="X671" s="19">
        <v>55.40773155903036</v>
      </c>
      <c r="Y671" s="19">
        <v>74.691403508453618</v>
      </c>
      <c r="Z671" s="19">
        <v>95.955592257798315</v>
      </c>
      <c r="AA671" s="19">
        <v>117.61240509701932</v>
      </c>
      <c r="AB671" s="19">
        <v>137.44472792517217</v>
      </c>
      <c r="AC671" s="19">
        <v>152.81621603901755</v>
      </c>
      <c r="AD671" s="19">
        <v>161.10457277972549</v>
      </c>
      <c r="AE671" s="19">
        <v>160.32116861652045</v>
      </c>
      <c r="AF671" s="19">
        <v>149.7695713836236</v>
      </c>
      <c r="AG671" s="19">
        <v>130.4958216314599</v>
      </c>
      <c r="AH671" s="19">
        <v>106.9473351926695</v>
      </c>
      <c r="AI671" s="19">
        <v>12.426968108451224</v>
      </c>
      <c r="AJ671" s="19">
        <v>0</v>
      </c>
      <c r="AK671" s="19">
        <v>0</v>
      </c>
      <c r="AL671" s="19">
        <v>0</v>
      </c>
      <c r="AM671" s="19">
        <v>0</v>
      </c>
      <c r="AN671" s="19">
        <v>0</v>
      </c>
      <c r="AO671" s="19">
        <v>0</v>
      </c>
      <c r="AP671" s="19">
        <v>0</v>
      </c>
      <c r="AQ671" s="19">
        <v>0</v>
      </c>
      <c r="AR671" s="19">
        <v>1449.8529127261916</v>
      </c>
    </row>
    <row r="672" spans="1:44" x14ac:dyDescent="0.25">
      <c r="A672" t="s">
        <v>250</v>
      </c>
      <c r="B672" t="s">
        <v>313</v>
      </c>
      <c r="C672" t="s">
        <v>44</v>
      </c>
      <c r="D672" t="s">
        <v>314</v>
      </c>
      <c r="E672" t="s">
        <v>134</v>
      </c>
      <c r="F672" t="s">
        <v>314</v>
      </c>
      <c r="G672" t="s">
        <v>31</v>
      </c>
      <c r="H672" t="s">
        <v>288</v>
      </c>
      <c r="I672" t="s">
        <v>135</v>
      </c>
      <c r="J672" t="s">
        <v>39</v>
      </c>
      <c r="K672" t="s">
        <v>33</v>
      </c>
      <c r="L672">
        <v>0.87</v>
      </c>
      <c r="M672">
        <v>1</v>
      </c>
      <c r="N672" s="2">
        <v>2.120451684454824</v>
      </c>
      <c r="O672" s="2">
        <v>5.4114176288701819</v>
      </c>
      <c r="P672" s="1">
        <v>-1.0218982000484012</v>
      </c>
      <c r="Q672" s="1">
        <v>1.3823087202131159</v>
      </c>
      <c r="R672" s="1">
        <v>-1.8625523936223551</v>
      </c>
      <c r="S672" s="19">
        <v>0.59436158319101395</v>
      </c>
      <c r="T672" s="19">
        <v>1.1845255500386025</v>
      </c>
      <c r="U672" s="19">
        <v>2.096869218307599</v>
      </c>
      <c r="V672" s="19">
        <v>3.4006126473887379</v>
      </c>
      <c r="W672" s="19">
        <v>5.1461700623340301</v>
      </c>
      <c r="X672" s="19">
        <v>7.348303905407974</v>
      </c>
      <c r="Y672" s="19">
        <v>9.9657241814551512</v>
      </c>
      <c r="Z672" s="19">
        <v>12.880420370997244</v>
      </c>
      <c r="AA672" s="19">
        <v>15.883067503623408</v>
      </c>
      <c r="AB672" s="19">
        <v>18.673719903573939</v>
      </c>
      <c r="AC672" s="19">
        <v>20.887848068695934</v>
      </c>
      <c r="AD672" s="19">
        <v>22.154075407646836</v>
      </c>
      <c r="AE672" s="19">
        <v>22.179826048012508</v>
      </c>
      <c r="AF672" s="19">
        <v>20.845501921850673</v>
      </c>
      <c r="AG672" s="19">
        <v>18.272874845871417</v>
      </c>
      <c r="AH672" s="19">
        <v>15.066131200295954</v>
      </c>
      <c r="AI672" s="19">
        <v>11.486595675707989</v>
      </c>
      <c r="AJ672" s="19">
        <v>7.5832699602459108</v>
      </c>
      <c r="AK672" s="19">
        <v>0</v>
      </c>
      <c r="AL672" s="19">
        <v>0</v>
      </c>
      <c r="AM672" s="19">
        <v>0</v>
      </c>
      <c r="AN672" s="19">
        <v>0</v>
      </c>
      <c r="AO672" s="19">
        <v>0</v>
      </c>
      <c r="AP672" s="19">
        <v>0</v>
      </c>
      <c r="AQ672" s="19">
        <v>0</v>
      </c>
      <c r="AR672" s="19">
        <v>215.64989805464489</v>
      </c>
    </row>
    <row r="673" spans="1:44" x14ac:dyDescent="0.25">
      <c r="A673" t="s">
        <v>250</v>
      </c>
      <c r="B673" t="s">
        <v>313</v>
      </c>
      <c r="C673" t="s">
        <v>44</v>
      </c>
      <c r="D673" t="s">
        <v>314</v>
      </c>
      <c r="E673" t="s">
        <v>134</v>
      </c>
      <c r="F673" t="s">
        <v>314</v>
      </c>
      <c r="G673" t="s">
        <v>31</v>
      </c>
      <c r="H673" t="s">
        <v>274</v>
      </c>
      <c r="I673" t="s">
        <v>135</v>
      </c>
      <c r="J673" t="s">
        <v>39</v>
      </c>
      <c r="K673" t="s">
        <v>33</v>
      </c>
      <c r="L673">
        <v>0.87</v>
      </c>
      <c r="M673">
        <v>1</v>
      </c>
      <c r="N673" s="2">
        <v>2.120451684454824</v>
      </c>
      <c r="O673" s="2">
        <v>5.4114176288701819</v>
      </c>
      <c r="P673" s="1">
        <v>-1.0218982000484012</v>
      </c>
      <c r="Q673" s="1">
        <v>1.3823087202131159</v>
      </c>
      <c r="R673" s="1">
        <v>-1.8625523936223551</v>
      </c>
      <c r="S673" s="19">
        <v>0</v>
      </c>
      <c r="T673" s="19">
        <v>0</v>
      </c>
      <c r="U673" s="19">
        <v>0</v>
      </c>
      <c r="V673" s="19">
        <v>0</v>
      </c>
      <c r="W673" s="19">
        <v>0</v>
      </c>
      <c r="X673" s="19">
        <v>0</v>
      </c>
      <c r="Y673" s="19">
        <v>0</v>
      </c>
      <c r="Z673" s="19">
        <v>0</v>
      </c>
      <c r="AA673" s="19">
        <v>0</v>
      </c>
      <c r="AB673" s="19">
        <v>0</v>
      </c>
      <c r="AC673" s="19">
        <v>0</v>
      </c>
      <c r="AD673" s="19">
        <v>0</v>
      </c>
      <c r="AE673" s="19">
        <v>0</v>
      </c>
      <c r="AF673" s="19">
        <v>0</v>
      </c>
      <c r="AG673" s="19">
        <v>0</v>
      </c>
      <c r="AH673" s="19">
        <v>0</v>
      </c>
      <c r="AI673" s="19">
        <v>0</v>
      </c>
      <c r="AJ673" s="19">
        <v>0</v>
      </c>
      <c r="AK673" s="19">
        <v>0</v>
      </c>
      <c r="AL673" s="19">
        <v>0</v>
      </c>
      <c r="AM673" s="19">
        <v>0</v>
      </c>
      <c r="AN673" s="19">
        <v>0</v>
      </c>
      <c r="AO673" s="19">
        <v>0</v>
      </c>
      <c r="AP673" s="19">
        <v>0</v>
      </c>
      <c r="AQ673" s="19">
        <v>0</v>
      </c>
      <c r="AR673" s="19">
        <v>0</v>
      </c>
    </row>
    <row r="674" spans="1:44" x14ac:dyDescent="0.25">
      <c r="A674" t="s">
        <v>250</v>
      </c>
      <c r="B674" t="s">
        <v>313</v>
      </c>
      <c r="C674" t="s">
        <v>44</v>
      </c>
      <c r="D674" t="s">
        <v>314</v>
      </c>
      <c r="E674" t="s">
        <v>134</v>
      </c>
      <c r="F674" t="s">
        <v>314</v>
      </c>
      <c r="G674" t="s">
        <v>31</v>
      </c>
      <c r="H674" t="s">
        <v>253</v>
      </c>
      <c r="I674" t="s">
        <v>256</v>
      </c>
      <c r="J674" t="s">
        <v>39</v>
      </c>
      <c r="K674" t="s">
        <v>31</v>
      </c>
      <c r="L674">
        <v>0.87</v>
      </c>
      <c r="M674">
        <v>1</v>
      </c>
      <c r="N674" s="2">
        <v>1.0621230130395669</v>
      </c>
      <c r="O674" s="2">
        <v>2.710550416652739</v>
      </c>
      <c r="P674" s="1">
        <v>0.44103875130047027</v>
      </c>
      <c r="Q674" s="1">
        <v>0.4672931329656026</v>
      </c>
      <c r="R674" s="1">
        <v>-0.39961544227348395</v>
      </c>
      <c r="S674" s="19">
        <v>14.830309597798657</v>
      </c>
      <c r="T674" s="19">
        <v>29.523272391744424</v>
      </c>
      <c r="U674" s="19">
        <v>52.204985454943127</v>
      </c>
      <c r="V674" s="19">
        <v>84.570398006257619</v>
      </c>
      <c r="W674" s="19">
        <v>127.83975121990328</v>
      </c>
      <c r="X674" s="19">
        <v>182.34315550131743</v>
      </c>
      <c r="Y674" s="19">
        <v>247.01981613327601</v>
      </c>
      <c r="Z674" s="19">
        <v>318.91396868393946</v>
      </c>
      <c r="AA674" s="19">
        <v>392.82440444670232</v>
      </c>
      <c r="AB674" s="19">
        <v>461.3340323648423</v>
      </c>
      <c r="AC674" s="19">
        <v>515.46469736993959</v>
      </c>
      <c r="AD674" s="19">
        <v>546.10912199408187</v>
      </c>
      <c r="AE674" s="19">
        <v>546.14066029359822</v>
      </c>
      <c r="AF674" s="19">
        <v>512.71887539532975</v>
      </c>
      <c r="AG674" s="19">
        <v>448.94630666345938</v>
      </c>
      <c r="AH674" s="19">
        <v>369.75141321408654</v>
      </c>
      <c r="AI674" s="19">
        <v>281.59180126228313</v>
      </c>
      <c r="AJ674" s="19">
        <v>108.00857878892576</v>
      </c>
      <c r="AK674" s="19">
        <v>0</v>
      </c>
      <c r="AL674" s="19">
        <v>0</v>
      </c>
      <c r="AM674" s="19">
        <v>0</v>
      </c>
      <c r="AN674" s="19">
        <v>0</v>
      </c>
      <c r="AO674" s="19">
        <v>0</v>
      </c>
      <c r="AP674" s="19">
        <v>0</v>
      </c>
      <c r="AQ674" s="19">
        <v>0</v>
      </c>
      <c r="AR674" s="19">
        <v>5240.1355487824294</v>
      </c>
    </row>
    <row r="675" spans="1:44" x14ac:dyDescent="0.25">
      <c r="A675" t="s">
        <v>250</v>
      </c>
      <c r="B675" t="s">
        <v>313</v>
      </c>
      <c r="C675" t="s">
        <v>44</v>
      </c>
      <c r="D675" t="s">
        <v>314</v>
      </c>
      <c r="E675" t="s">
        <v>134</v>
      </c>
      <c r="F675" t="s">
        <v>314</v>
      </c>
      <c r="G675" t="s">
        <v>31</v>
      </c>
      <c r="H675" t="s">
        <v>272</v>
      </c>
      <c r="I675" t="s">
        <v>135</v>
      </c>
      <c r="J675" t="s">
        <v>40</v>
      </c>
      <c r="K675" t="s">
        <v>31</v>
      </c>
      <c r="L675">
        <v>0.87</v>
      </c>
      <c r="M675">
        <v>1</v>
      </c>
      <c r="N675" s="2">
        <v>2.120451684454824</v>
      </c>
      <c r="O675" s="2">
        <v>4.1746294160814479</v>
      </c>
      <c r="P675" s="1">
        <v>-1.0218982000484012</v>
      </c>
      <c r="Q675" s="1">
        <v>0.4672931329656026</v>
      </c>
      <c r="R675" s="1">
        <v>-1.7195523936223551</v>
      </c>
      <c r="S675" s="19">
        <v>0</v>
      </c>
      <c r="T675" s="19">
        <v>0</v>
      </c>
      <c r="U675" s="19">
        <v>0</v>
      </c>
      <c r="V675" s="19">
        <v>0</v>
      </c>
      <c r="W675" s="19">
        <v>0</v>
      </c>
      <c r="X675" s="19">
        <v>0</v>
      </c>
      <c r="Y675" s="19">
        <v>0</v>
      </c>
      <c r="Z675" s="19">
        <v>0</v>
      </c>
      <c r="AA675" s="19">
        <v>0</v>
      </c>
      <c r="AB675" s="19">
        <v>0</v>
      </c>
      <c r="AC675" s="19">
        <v>0</v>
      </c>
      <c r="AD675" s="19">
        <v>0</v>
      </c>
      <c r="AE675" s="19">
        <v>0</v>
      </c>
      <c r="AF675" s="19">
        <v>0</v>
      </c>
      <c r="AG675" s="19">
        <v>0</v>
      </c>
      <c r="AH675" s="19">
        <v>0</v>
      </c>
      <c r="AI675" s="19">
        <v>0</v>
      </c>
      <c r="AJ675" s="19">
        <v>0</v>
      </c>
      <c r="AK675" s="19">
        <v>0</v>
      </c>
      <c r="AL675" s="19">
        <v>0</v>
      </c>
      <c r="AM675" s="19">
        <v>0</v>
      </c>
      <c r="AN675" s="19">
        <v>0</v>
      </c>
      <c r="AO675" s="19">
        <v>0</v>
      </c>
      <c r="AP675" s="19">
        <v>0</v>
      </c>
      <c r="AQ675" s="19">
        <v>0</v>
      </c>
      <c r="AR675" s="19">
        <v>0</v>
      </c>
    </row>
    <row r="676" spans="1:44" x14ac:dyDescent="0.25">
      <c r="A676" t="s">
        <v>250</v>
      </c>
      <c r="B676" t="s">
        <v>313</v>
      </c>
      <c r="C676" t="s">
        <v>44</v>
      </c>
      <c r="D676" t="s">
        <v>314</v>
      </c>
      <c r="E676" t="s">
        <v>134</v>
      </c>
      <c r="F676" t="s">
        <v>314</v>
      </c>
      <c r="G676" t="s">
        <v>31</v>
      </c>
      <c r="H676" t="s">
        <v>277</v>
      </c>
      <c r="I676" t="s">
        <v>135</v>
      </c>
      <c r="J676" t="s">
        <v>40</v>
      </c>
      <c r="K676" t="s">
        <v>31</v>
      </c>
      <c r="L676">
        <v>0.87</v>
      </c>
      <c r="M676">
        <v>1</v>
      </c>
      <c r="N676" s="2">
        <v>2.120451684454824</v>
      </c>
      <c r="O676" s="2">
        <v>4.1746294160814479</v>
      </c>
      <c r="P676" s="1">
        <v>-1.0218982000484012</v>
      </c>
      <c r="Q676" s="1">
        <v>0.4672931329656026</v>
      </c>
      <c r="R676" s="1">
        <v>-1.7195523936223551</v>
      </c>
      <c r="S676" s="19">
        <v>0</v>
      </c>
      <c r="T676" s="19">
        <v>0</v>
      </c>
      <c r="U676" s="19">
        <v>0</v>
      </c>
      <c r="V676" s="19">
        <v>0</v>
      </c>
      <c r="W676" s="19">
        <v>0</v>
      </c>
      <c r="X676" s="19">
        <v>0</v>
      </c>
      <c r="Y676" s="19">
        <v>0</v>
      </c>
      <c r="Z676" s="19">
        <v>0</v>
      </c>
      <c r="AA676" s="19">
        <v>0</v>
      </c>
      <c r="AB676" s="19">
        <v>0</v>
      </c>
      <c r="AC676" s="19">
        <v>0</v>
      </c>
      <c r="AD676" s="19">
        <v>0</v>
      </c>
      <c r="AE676" s="19">
        <v>0</v>
      </c>
      <c r="AF676" s="19">
        <v>0</v>
      </c>
      <c r="AG676" s="19">
        <v>0</v>
      </c>
      <c r="AH676" s="19">
        <v>0</v>
      </c>
      <c r="AI676" s="19">
        <v>0</v>
      </c>
      <c r="AJ676" s="19">
        <v>0</v>
      </c>
      <c r="AK676" s="19">
        <v>0</v>
      </c>
      <c r="AL676" s="19">
        <v>0</v>
      </c>
      <c r="AM676" s="19">
        <v>0</v>
      </c>
      <c r="AN676" s="19">
        <v>0</v>
      </c>
      <c r="AO676" s="19">
        <v>0</v>
      </c>
      <c r="AP676" s="19">
        <v>0</v>
      </c>
      <c r="AQ676" s="19">
        <v>0</v>
      </c>
      <c r="AR676" s="19">
        <v>0</v>
      </c>
    </row>
    <row r="677" spans="1:44" x14ac:dyDescent="0.25">
      <c r="A677" t="s">
        <v>250</v>
      </c>
      <c r="B677" t="s">
        <v>313</v>
      </c>
      <c r="C677" t="s">
        <v>44</v>
      </c>
      <c r="D677" t="s">
        <v>314</v>
      </c>
      <c r="E677" t="s">
        <v>134</v>
      </c>
      <c r="F677" t="s">
        <v>314</v>
      </c>
      <c r="G677" t="s">
        <v>31</v>
      </c>
      <c r="H677" t="s">
        <v>253</v>
      </c>
      <c r="I677" t="s">
        <v>135</v>
      </c>
      <c r="J677" t="s">
        <v>40</v>
      </c>
      <c r="K677" t="s">
        <v>31</v>
      </c>
      <c r="L677">
        <v>0.87</v>
      </c>
      <c r="M677">
        <v>1</v>
      </c>
      <c r="N677" s="2">
        <v>2.120451684454824</v>
      </c>
      <c r="O677" s="2">
        <v>4.1746294160814479</v>
      </c>
      <c r="P677" s="1">
        <v>-1.0218982000484012</v>
      </c>
      <c r="Q677" s="1">
        <v>0.4672931329656026</v>
      </c>
      <c r="R677" s="1">
        <v>-1.7195523936223551</v>
      </c>
      <c r="S677" s="19">
        <v>14.871582881676964</v>
      </c>
      <c r="T677" s="19">
        <v>29.605436718416456</v>
      </c>
      <c r="U677" s="19">
        <v>52.350273803128687</v>
      </c>
      <c r="V677" s="19">
        <v>84.805760459185223</v>
      </c>
      <c r="W677" s="19">
        <v>128.19553383578435</v>
      </c>
      <c r="X677" s="19">
        <v>182.85062304746961</v>
      </c>
      <c r="Y677" s="19">
        <v>247.70728114724639</v>
      </c>
      <c r="Z677" s="19">
        <v>319.80151770477732</v>
      </c>
      <c r="AA677" s="19">
        <v>393.91764886295249</v>
      </c>
      <c r="AB677" s="19">
        <v>462.61794153443537</v>
      </c>
      <c r="AC677" s="19">
        <v>516.89925412302011</v>
      </c>
      <c r="AD677" s="19">
        <v>547.62896328073589</v>
      </c>
      <c r="AE677" s="19">
        <v>547.66058935247167</v>
      </c>
      <c r="AF677" s="19">
        <v>514.145790427306</v>
      </c>
      <c r="AG677" s="19">
        <v>450.19574034782374</v>
      </c>
      <c r="AH677" s="19">
        <v>370.78044466763464</v>
      </c>
      <c r="AI677" s="19">
        <v>282.37548135167441</v>
      </c>
      <c r="AJ677" s="19">
        <v>108.30917054018283</v>
      </c>
      <c r="AK677" s="19">
        <v>0</v>
      </c>
      <c r="AL677" s="19">
        <v>0</v>
      </c>
      <c r="AM677" s="19">
        <v>0</v>
      </c>
      <c r="AN677" s="19">
        <v>0</v>
      </c>
      <c r="AO677" s="19">
        <v>0</v>
      </c>
      <c r="AP677" s="19">
        <v>0</v>
      </c>
      <c r="AQ677" s="19">
        <v>0</v>
      </c>
      <c r="AR677" s="19">
        <v>5254.7190340859215</v>
      </c>
    </row>
    <row r="678" spans="1:44" x14ac:dyDescent="0.25">
      <c r="A678" t="s">
        <v>250</v>
      </c>
      <c r="B678" t="s">
        <v>315</v>
      </c>
      <c r="C678" t="s">
        <v>44</v>
      </c>
      <c r="D678" t="s">
        <v>187</v>
      </c>
      <c r="E678" t="s">
        <v>134</v>
      </c>
      <c r="F678" t="s">
        <v>187</v>
      </c>
      <c r="G678" t="s">
        <v>31</v>
      </c>
      <c r="H678" t="s">
        <v>288</v>
      </c>
      <c r="I678" t="s">
        <v>135</v>
      </c>
      <c r="J678" t="s">
        <v>39</v>
      </c>
      <c r="K678" t="s">
        <v>31</v>
      </c>
      <c r="L678">
        <v>8.1058333333333348</v>
      </c>
      <c r="M678">
        <v>1</v>
      </c>
      <c r="N678" s="2">
        <v>3.857794741759645</v>
      </c>
      <c r="O678" s="2">
        <v>5.4757113018011117</v>
      </c>
      <c r="P678" s="1">
        <v>-1.6353884600453192</v>
      </c>
      <c r="Q678" s="1">
        <v>0.7688184602161946</v>
      </c>
      <c r="R678" s="1">
        <v>-1.8625523936223536</v>
      </c>
      <c r="S678" s="19">
        <v>27.839851642736761</v>
      </c>
      <c r="T678" s="19">
        <v>55.483087253147374</v>
      </c>
      <c r="U678" s="19">
        <v>98.217195732087021</v>
      </c>
      <c r="V678" s="19">
        <v>159.28443943068774</v>
      </c>
      <c r="W678" s="19">
        <v>241.04621684075025</v>
      </c>
      <c r="X678" s="19">
        <v>344.19399964239483</v>
      </c>
      <c r="Y678" s="19">
        <v>466.7937675826895</v>
      </c>
      <c r="Z678" s="19">
        <v>603.31791684693303</v>
      </c>
      <c r="AA678" s="19">
        <v>743.9616816390735</v>
      </c>
      <c r="AB678" s="19">
        <v>874.67562917242549</v>
      </c>
      <c r="AC678" s="19">
        <v>978.38522511242979</v>
      </c>
      <c r="AD678" s="19">
        <v>1037.6952179842961</v>
      </c>
      <c r="AE678" s="19">
        <v>1038.9013760331345</v>
      </c>
      <c r="AF678" s="19">
        <v>976.401734794155</v>
      </c>
      <c r="AG678" s="19">
        <v>855.90007696016846</v>
      </c>
      <c r="AH678" s="19">
        <v>705.69644692437817</v>
      </c>
      <c r="AI678" s="19">
        <v>538.03127344628604</v>
      </c>
      <c r="AJ678" s="19">
        <v>355.19979189540163</v>
      </c>
      <c r="AK678" s="19">
        <v>0</v>
      </c>
      <c r="AL678" s="19">
        <v>0</v>
      </c>
      <c r="AM678" s="19">
        <v>0</v>
      </c>
      <c r="AN678" s="19">
        <v>0</v>
      </c>
      <c r="AO678" s="19">
        <v>0</v>
      </c>
      <c r="AP678" s="19">
        <v>0</v>
      </c>
      <c r="AQ678" s="19">
        <v>0</v>
      </c>
      <c r="AR678" s="19">
        <v>10101.024928933177</v>
      </c>
    </row>
    <row r="679" spans="1:44" x14ac:dyDescent="0.25">
      <c r="A679" t="s">
        <v>250</v>
      </c>
      <c r="B679" t="s">
        <v>315</v>
      </c>
      <c r="C679" t="s">
        <v>44</v>
      </c>
      <c r="D679" t="s">
        <v>187</v>
      </c>
      <c r="E679" t="s">
        <v>134</v>
      </c>
      <c r="F679" t="s">
        <v>187</v>
      </c>
      <c r="G679" t="s">
        <v>31</v>
      </c>
      <c r="H679" t="s">
        <v>289</v>
      </c>
      <c r="I679" t="s">
        <v>135</v>
      </c>
      <c r="J679" t="s">
        <v>39</v>
      </c>
      <c r="K679" t="s">
        <v>31</v>
      </c>
      <c r="L679">
        <v>8.1058333333333348</v>
      </c>
      <c r="M679">
        <v>1</v>
      </c>
      <c r="N679" s="2">
        <v>3.857794741759645</v>
      </c>
      <c r="O679" s="2">
        <v>5.4757113018011117</v>
      </c>
      <c r="P679" s="1">
        <v>-1.6353884600453192</v>
      </c>
      <c r="Q679" s="1">
        <v>0.7688184602161946</v>
      </c>
      <c r="R679" s="1">
        <v>-1.8625523936223536</v>
      </c>
      <c r="S679" s="19">
        <v>26.460572179343657</v>
      </c>
      <c r="T679" s="19">
        <v>52.734269342909734</v>
      </c>
      <c r="U679" s="19">
        <v>93.35118700604302</v>
      </c>
      <c r="V679" s="19">
        <v>151.39295498730181</v>
      </c>
      <c r="W679" s="19">
        <v>229.1039801908008</v>
      </c>
      <c r="X679" s="19">
        <v>327.14147647445111</v>
      </c>
      <c r="Y679" s="19">
        <v>443.66724142411101</v>
      </c>
      <c r="Z679" s="19">
        <v>573.42752722550745</v>
      </c>
      <c r="AA679" s="19">
        <v>707.10332900830872</v>
      </c>
      <c r="AB679" s="19">
        <v>831.34126992619997</v>
      </c>
      <c r="AC679" s="19">
        <v>929.91274524428059</v>
      </c>
      <c r="AD679" s="19">
        <v>986.28432248836498</v>
      </c>
      <c r="AE679" s="19">
        <v>987.43072342902144</v>
      </c>
      <c r="AF679" s="19">
        <v>928.02752367746859</v>
      </c>
      <c r="AG679" s="19">
        <v>813.49592143458676</v>
      </c>
      <c r="AH679" s="19">
        <v>670.73388214051658</v>
      </c>
      <c r="AI679" s="19">
        <v>511.37540273077866</v>
      </c>
      <c r="AJ679" s="19">
        <v>337.6020049298026</v>
      </c>
      <c r="AK679" s="19">
        <v>0</v>
      </c>
      <c r="AL679" s="19">
        <v>0</v>
      </c>
      <c r="AM679" s="19">
        <v>0</v>
      </c>
      <c r="AN679" s="19">
        <v>0</v>
      </c>
      <c r="AO679" s="19">
        <v>0</v>
      </c>
      <c r="AP679" s="19">
        <v>0</v>
      </c>
      <c r="AQ679" s="19">
        <v>0</v>
      </c>
      <c r="AR679" s="19">
        <v>9600.5863338397976</v>
      </c>
    </row>
    <row r="680" spans="1:44" x14ac:dyDescent="0.25">
      <c r="A680" t="s">
        <v>250</v>
      </c>
      <c r="B680" t="s">
        <v>315</v>
      </c>
      <c r="C680" t="s">
        <v>44</v>
      </c>
      <c r="D680" t="s">
        <v>187</v>
      </c>
      <c r="E680" t="s">
        <v>134</v>
      </c>
      <c r="F680" t="s">
        <v>187</v>
      </c>
      <c r="G680" t="s">
        <v>31</v>
      </c>
      <c r="H680" t="s">
        <v>290</v>
      </c>
      <c r="I680" t="s">
        <v>135</v>
      </c>
      <c r="J680" t="s">
        <v>39</v>
      </c>
      <c r="K680" t="s">
        <v>31</v>
      </c>
      <c r="L680">
        <v>8.1058333333333348</v>
      </c>
      <c r="M680">
        <v>1</v>
      </c>
      <c r="N680" s="2">
        <v>3.857794741759645</v>
      </c>
      <c r="O680" s="2">
        <v>5.4757113018011117</v>
      </c>
      <c r="P680" s="1">
        <v>-1.6353884600453192</v>
      </c>
      <c r="Q680" s="1">
        <v>0.7688184602161946</v>
      </c>
      <c r="R680" s="1">
        <v>-1.8625523936223536</v>
      </c>
      <c r="S680" s="19">
        <v>38.316710737163774</v>
      </c>
      <c r="T680" s="19">
        <v>76.362813723481466</v>
      </c>
      <c r="U680" s="19">
        <v>135.17887690553167</v>
      </c>
      <c r="V680" s="19">
        <v>219.22731014945069</v>
      </c>
      <c r="W680" s="19">
        <v>331.75816751826397</v>
      </c>
      <c r="X680" s="19">
        <v>473.72313944086193</v>
      </c>
      <c r="Y680" s="19">
        <v>642.46038362216336</v>
      </c>
      <c r="Z680" s="19">
        <v>830.36211539594467</v>
      </c>
      <c r="AA680" s="19">
        <v>1023.933780995395</v>
      </c>
      <c r="AB680" s="19">
        <v>1203.838781252641</v>
      </c>
      <c r="AC680" s="19">
        <v>1346.5769911862424</v>
      </c>
      <c r="AD680" s="19">
        <v>1428.2068744865526</v>
      </c>
      <c r="AE680" s="19">
        <v>1429.8669411296405</v>
      </c>
      <c r="AF680" s="19">
        <v>1343.847061955634</v>
      </c>
      <c r="AG680" s="19">
        <v>1177.9975011955587</v>
      </c>
      <c r="AH680" s="19">
        <v>971.26834481893491</v>
      </c>
      <c r="AI680" s="19">
        <v>740.50641277636555</v>
      </c>
      <c r="AJ680" s="19">
        <v>488.8706971075967</v>
      </c>
      <c r="AK680" s="19">
        <v>0</v>
      </c>
      <c r="AL680" s="19">
        <v>0</v>
      </c>
      <c r="AM680" s="19">
        <v>0</v>
      </c>
      <c r="AN680" s="19">
        <v>0</v>
      </c>
      <c r="AO680" s="19">
        <v>0</v>
      </c>
      <c r="AP680" s="19">
        <v>0</v>
      </c>
      <c r="AQ680" s="19">
        <v>0</v>
      </c>
      <c r="AR680" s="19">
        <v>13902.302904397424</v>
      </c>
    </row>
    <row r="681" spans="1:44" x14ac:dyDescent="0.25">
      <c r="A681" t="s">
        <v>250</v>
      </c>
      <c r="B681" t="s">
        <v>315</v>
      </c>
      <c r="C681" t="s">
        <v>44</v>
      </c>
      <c r="D681" t="s">
        <v>187</v>
      </c>
      <c r="E681" t="s">
        <v>134</v>
      </c>
      <c r="F681" t="s">
        <v>187</v>
      </c>
      <c r="G681" t="s">
        <v>31</v>
      </c>
      <c r="H681" t="s">
        <v>288</v>
      </c>
      <c r="I681" t="s">
        <v>135</v>
      </c>
      <c r="J681" t="s">
        <v>39</v>
      </c>
      <c r="K681" t="s">
        <v>33</v>
      </c>
      <c r="L681">
        <v>8.1058333333333348</v>
      </c>
      <c r="M681">
        <v>1</v>
      </c>
      <c r="N681" s="2">
        <v>3.857794741759645</v>
      </c>
      <c r="O681" s="2">
        <v>5.4757113018011117</v>
      </c>
      <c r="P681" s="1">
        <v>-1.6353884600453192</v>
      </c>
      <c r="Q681" s="1">
        <v>0.7688184602161946</v>
      </c>
      <c r="R681" s="1">
        <v>-1.8625523936223536</v>
      </c>
      <c r="S681" s="19">
        <v>0.26189264075700908</v>
      </c>
      <c r="T681" s="19">
        <v>0.52193569220650848</v>
      </c>
      <c r="U681" s="19">
        <v>0.92394029566372027</v>
      </c>
      <c r="V681" s="19">
        <v>1.4984067806584729</v>
      </c>
      <c r="W681" s="19">
        <v>2.2675490905275875</v>
      </c>
      <c r="X681" s="19">
        <v>3.2378719777618241</v>
      </c>
      <c r="Y681" s="19">
        <v>4.3911818945715666</v>
      </c>
      <c r="Z681" s="19">
        <v>5.6754800451777294</v>
      </c>
      <c r="AA681" s="19">
        <v>6.9985318861177994</v>
      </c>
      <c r="AB681" s="19">
        <v>8.2281728103076333</v>
      </c>
      <c r="AC681" s="19">
        <v>9.2037807374301952</v>
      </c>
      <c r="AD681" s="19">
        <v>9.7617165646688768</v>
      </c>
      <c r="AE681" s="19">
        <v>9.7730630301829251</v>
      </c>
      <c r="AF681" s="19">
        <v>9.1851218191272164</v>
      </c>
      <c r="AG681" s="19">
        <v>8.0515490619615484</v>
      </c>
      <c r="AH681" s="19">
        <v>6.6385664848211015</v>
      </c>
      <c r="AI681" s="19">
        <v>5.0613211888097807</v>
      </c>
      <c r="AJ681" s="19">
        <v>3.3414047132717331</v>
      </c>
      <c r="AK681" s="19">
        <v>0</v>
      </c>
      <c r="AL681" s="19">
        <v>0</v>
      </c>
      <c r="AM681" s="19">
        <v>0</v>
      </c>
      <c r="AN681" s="19">
        <v>0</v>
      </c>
      <c r="AO681" s="19">
        <v>0</v>
      </c>
      <c r="AP681" s="19">
        <v>0</v>
      </c>
      <c r="AQ681" s="19">
        <v>0</v>
      </c>
      <c r="AR681" s="19">
        <v>95.021486714023226</v>
      </c>
    </row>
    <row r="682" spans="1:44" x14ac:dyDescent="0.25">
      <c r="A682" t="s">
        <v>250</v>
      </c>
      <c r="B682" t="s">
        <v>316</v>
      </c>
      <c r="C682" t="s">
        <v>44</v>
      </c>
      <c r="D682" t="s">
        <v>187</v>
      </c>
      <c r="E682" t="s">
        <v>134</v>
      </c>
      <c r="F682" t="s">
        <v>187</v>
      </c>
      <c r="G682" t="s">
        <v>31</v>
      </c>
      <c r="H682" t="s">
        <v>278</v>
      </c>
      <c r="I682" t="s">
        <v>135</v>
      </c>
      <c r="J682" t="s">
        <v>39</v>
      </c>
      <c r="K682" t="s">
        <v>31</v>
      </c>
      <c r="L682">
        <v>5.53</v>
      </c>
      <c r="M682">
        <v>1</v>
      </c>
      <c r="N682" s="2">
        <v>2.9856131888145994</v>
      </c>
      <c r="O682" s="2">
        <v>5.465614229639959</v>
      </c>
      <c r="P682" s="1">
        <v>-1.4126267988180818</v>
      </c>
      <c r="Q682" s="1">
        <v>0.99158012144343133</v>
      </c>
      <c r="R682" s="1">
        <v>-1.8625523936223527</v>
      </c>
      <c r="S682" s="19">
        <v>0</v>
      </c>
      <c r="T682" s="19">
        <v>0</v>
      </c>
      <c r="U682" s="19">
        <v>0</v>
      </c>
      <c r="V682" s="19">
        <v>0</v>
      </c>
      <c r="W682" s="19">
        <v>0</v>
      </c>
      <c r="X682" s="19">
        <v>0</v>
      </c>
      <c r="Y682" s="19">
        <v>0</v>
      </c>
      <c r="Z682" s="19">
        <v>0</v>
      </c>
      <c r="AA682" s="19">
        <v>0</v>
      </c>
      <c r="AB682" s="19">
        <v>0</v>
      </c>
      <c r="AC682" s="19">
        <v>0</v>
      </c>
      <c r="AD682" s="19">
        <v>0</v>
      </c>
      <c r="AE682" s="19">
        <v>0</v>
      </c>
      <c r="AF682" s="19">
        <v>0</v>
      </c>
      <c r="AG682" s="19">
        <v>0</v>
      </c>
      <c r="AH682" s="19">
        <v>0</v>
      </c>
      <c r="AI682" s="19">
        <v>0</v>
      </c>
      <c r="AJ682" s="19">
        <v>0</v>
      </c>
      <c r="AK682" s="19">
        <v>0</v>
      </c>
      <c r="AL682" s="19">
        <v>0</v>
      </c>
      <c r="AM682" s="19">
        <v>0</v>
      </c>
      <c r="AN682" s="19">
        <v>0</v>
      </c>
      <c r="AO682" s="19">
        <v>0</v>
      </c>
      <c r="AP682" s="19">
        <v>0</v>
      </c>
      <c r="AQ682" s="19">
        <v>0</v>
      </c>
      <c r="AR682" s="19">
        <v>0</v>
      </c>
    </row>
    <row r="683" spans="1:44" x14ac:dyDescent="0.25">
      <c r="A683" t="s">
        <v>250</v>
      </c>
      <c r="B683" t="s">
        <v>317</v>
      </c>
      <c r="C683" t="s">
        <v>44</v>
      </c>
      <c r="D683" t="s">
        <v>187</v>
      </c>
      <c r="E683" t="s">
        <v>134</v>
      </c>
      <c r="F683" t="s">
        <v>187</v>
      </c>
      <c r="G683" t="s">
        <v>31</v>
      </c>
      <c r="H683" t="s">
        <v>272</v>
      </c>
      <c r="I683" t="s">
        <v>135</v>
      </c>
      <c r="J683" t="s">
        <v>39</v>
      </c>
      <c r="K683" t="s">
        <v>31</v>
      </c>
      <c r="L683">
        <v>5.53</v>
      </c>
      <c r="M683">
        <v>1</v>
      </c>
      <c r="N683" s="2">
        <v>2.9865889881418424</v>
      </c>
      <c r="O683" s="2">
        <v>5.4674005771508298</v>
      </c>
      <c r="P683" s="1">
        <v>-1.412626798818081</v>
      </c>
      <c r="Q683" s="1">
        <v>0.99158012144343122</v>
      </c>
      <c r="R683" s="1">
        <v>-1.862552393622352</v>
      </c>
      <c r="S683" s="19">
        <v>0</v>
      </c>
      <c r="T683" s="19">
        <v>0</v>
      </c>
      <c r="U683" s="19">
        <v>0</v>
      </c>
      <c r="V683" s="19">
        <v>0</v>
      </c>
      <c r="W683" s="19">
        <v>0</v>
      </c>
      <c r="X683" s="19">
        <v>0</v>
      </c>
      <c r="Y683" s="19">
        <v>0</v>
      </c>
      <c r="Z683" s="19">
        <v>0</v>
      </c>
      <c r="AA683" s="19">
        <v>0</v>
      </c>
      <c r="AB683" s="19">
        <v>0</v>
      </c>
      <c r="AC683" s="19">
        <v>0</v>
      </c>
      <c r="AD683" s="19">
        <v>0</v>
      </c>
      <c r="AE683" s="19">
        <v>0</v>
      </c>
      <c r="AF683" s="19">
        <v>0</v>
      </c>
      <c r="AG683" s="19">
        <v>0</v>
      </c>
      <c r="AH683" s="19">
        <v>0</v>
      </c>
      <c r="AI683" s="19">
        <v>0</v>
      </c>
      <c r="AJ683" s="19">
        <v>0</v>
      </c>
      <c r="AK683" s="19">
        <v>0</v>
      </c>
      <c r="AL683" s="19">
        <v>0</v>
      </c>
      <c r="AM683" s="19">
        <v>0</v>
      </c>
      <c r="AN683" s="19">
        <v>0</v>
      </c>
      <c r="AO683" s="19">
        <v>0</v>
      </c>
      <c r="AP683" s="19">
        <v>0</v>
      </c>
      <c r="AQ683" s="19">
        <v>0</v>
      </c>
      <c r="AR683" s="19">
        <v>0</v>
      </c>
    </row>
    <row r="684" spans="1:44" x14ac:dyDescent="0.25">
      <c r="A684" t="s">
        <v>250</v>
      </c>
      <c r="B684" t="s">
        <v>317</v>
      </c>
      <c r="C684" t="s">
        <v>44</v>
      </c>
      <c r="D684" t="s">
        <v>187</v>
      </c>
      <c r="E684" t="s">
        <v>134</v>
      </c>
      <c r="F684" t="s">
        <v>187</v>
      </c>
      <c r="G684" t="s">
        <v>31</v>
      </c>
      <c r="H684" t="s">
        <v>273</v>
      </c>
      <c r="I684" t="s">
        <v>135</v>
      </c>
      <c r="J684" t="s">
        <v>39</v>
      </c>
      <c r="K684" t="s">
        <v>31</v>
      </c>
      <c r="L684">
        <v>5.53</v>
      </c>
      <c r="M684">
        <v>1</v>
      </c>
      <c r="N684" s="2">
        <v>2.9865889881418424</v>
      </c>
      <c r="O684" s="2">
        <v>5.4674005771508298</v>
      </c>
      <c r="P684" s="1">
        <v>-1.412626798818081</v>
      </c>
      <c r="Q684" s="1">
        <v>0.99158012144343122</v>
      </c>
      <c r="R684" s="1">
        <v>-1.862552393622352</v>
      </c>
      <c r="S684" s="19">
        <v>0</v>
      </c>
      <c r="T684" s="19">
        <v>0</v>
      </c>
      <c r="U684" s="19">
        <v>0</v>
      </c>
      <c r="V684" s="19">
        <v>0</v>
      </c>
      <c r="W684" s="19">
        <v>0</v>
      </c>
      <c r="X684" s="19">
        <v>0</v>
      </c>
      <c r="Y684" s="19">
        <v>0</v>
      </c>
      <c r="Z684" s="19">
        <v>0</v>
      </c>
      <c r="AA684" s="19">
        <v>0</v>
      </c>
      <c r="AB684" s="19">
        <v>0</v>
      </c>
      <c r="AC684" s="19">
        <v>0</v>
      </c>
      <c r="AD684" s="19">
        <v>0</v>
      </c>
      <c r="AE684" s="19">
        <v>0</v>
      </c>
      <c r="AF684" s="19">
        <v>0</v>
      </c>
      <c r="AG684" s="19">
        <v>0</v>
      </c>
      <c r="AH684" s="19">
        <v>0</v>
      </c>
      <c r="AI684" s="19">
        <v>0</v>
      </c>
      <c r="AJ684" s="19">
        <v>0</v>
      </c>
      <c r="AK684" s="19">
        <v>0</v>
      </c>
      <c r="AL684" s="19">
        <v>0</v>
      </c>
      <c r="AM684" s="19">
        <v>0</v>
      </c>
      <c r="AN684" s="19">
        <v>0</v>
      </c>
      <c r="AO684" s="19">
        <v>0</v>
      </c>
      <c r="AP684" s="19">
        <v>0</v>
      </c>
      <c r="AQ684" s="19">
        <v>0</v>
      </c>
      <c r="AR684" s="19">
        <v>0</v>
      </c>
    </row>
    <row r="685" spans="1:44" x14ac:dyDescent="0.25">
      <c r="A685" t="s">
        <v>250</v>
      </c>
      <c r="B685" t="s">
        <v>317</v>
      </c>
      <c r="C685" t="s">
        <v>44</v>
      </c>
      <c r="D685" t="s">
        <v>187</v>
      </c>
      <c r="E685" t="s">
        <v>134</v>
      </c>
      <c r="F685" t="s">
        <v>187</v>
      </c>
      <c r="G685" t="s">
        <v>31</v>
      </c>
      <c r="H685" t="s">
        <v>274</v>
      </c>
      <c r="I685" t="s">
        <v>135</v>
      </c>
      <c r="J685" t="s">
        <v>39</v>
      </c>
      <c r="K685" t="s">
        <v>31</v>
      </c>
      <c r="L685">
        <v>5.53</v>
      </c>
      <c r="M685">
        <v>1</v>
      </c>
      <c r="N685" s="2">
        <v>2.9865889881418424</v>
      </c>
      <c r="O685" s="2">
        <v>5.4674005771508298</v>
      </c>
      <c r="P685" s="1">
        <v>-1.412626798818081</v>
      </c>
      <c r="Q685" s="1">
        <v>0.99158012144343122</v>
      </c>
      <c r="R685" s="1">
        <v>-1.862552393622352</v>
      </c>
      <c r="S685" s="19">
        <v>0</v>
      </c>
      <c r="T685" s="19">
        <v>0</v>
      </c>
      <c r="U685" s="19">
        <v>0</v>
      </c>
      <c r="V685" s="19">
        <v>0</v>
      </c>
      <c r="W685" s="19">
        <v>0</v>
      </c>
      <c r="X685" s="19">
        <v>0</v>
      </c>
      <c r="Y685" s="19">
        <v>0</v>
      </c>
      <c r="Z685" s="19">
        <v>0</v>
      </c>
      <c r="AA685" s="19">
        <v>0</v>
      </c>
      <c r="AB685" s="19">
        <v>0</v>
      </c>
      <c r="AC685" s="19">
        <v>0</v>
      </c>
      <c r="AD685" s="19">
        <v>0</v>
      </c>
      <c r="AE685" s="19">
        <v>0</v>
      </c>
      <c r="AF685" s="19">
        <v>0</v>
      </c>
      <c r="AG685" s="19">
        <v>0</v>
      </c>
      <c r="AH685" s="19">
        <v>0</v>
      </c>
      <c r="AI685" s="19">
        <v>0</v>
      </c>
      <c r="AJ685" s="19">
        <v>0</v>
      </c>
      <c r="AK685" s="19">
        <v>0</v>
      </c>
      <c r="AL685" s="19">
        <v>0</v>
      </c>
      <c r="AM685" s="19">
        <v>0</v>
      </c>
      <c r="AN685" s="19">
        <v>0</v>
      </c>
      <c r="AO685" s="19">
        <v>0</v>
      </c>
      <c r="AP685" s="19">
        <v>0</v>
      </c>
      <c r="AQ685" s="19">
        <v>0</v>
      </c>
      <c r="AR685" s="19">
        <v>0</v>
      </c>
    </row>
    <row r="686" spans="1:44" x14ac:dyDescent="0.25">
      <c r="A686" t="s">
        <v>250</v>
      </c>
      <c r="B686" t="s">
        <v>317</v>
      </c>
      <c r="C686" t="s">
        <v>44</v>
      </c>
      <c r="D686" t="s">
        <v>187</v>
      </c>
      <c r="E686" t="s">
        <v>134</v>
      </c>
      <c r="F686" t="s">
        <v>187</v>
      </c>
      <c r="G686" t="s">
        <v>31</v>
      </c>
      <c r="H686" t="s">
        <v>275</v>
      </c>
      <c r="I686" t="s">
        <v>135</v>
      </c>
      <c r="J686" t="s">
        <v>39</v>
      </c>
      <c r="K686" t="s">
        <v>31</v>
      </c>
      <c r="L686">
        <v>5.53</v>
      </c>
      <c r="M686">
        <v>1</v>
      </c>
      <c r="N686" s="2">
        <v>2.9865889881418424</v>
      </c>
      <c r="O686" s="2">
        <v>5.4674005771508298</v>
      </c>
      <c r="P686" s="1">
        <v>-1.412626798818081</v>
      </c>
      <c r="Q686" s="1">
        <v>0.99158012144343122</v>
      </c>
      <c r="R686" s="1">
        <v>-1.862552393622352</v>
      </c>
      <c r="S686" s="19">
        <v>0</v>
      </c>
      <c r="T686" s="19">
        <v>0</v>
      </c>
      <c r="U686" s="19">
        <v>0</v>
      </c>
      <c r="V686" s="19">
        <v>0</v>
      </c>
      <c r="W686" s="19">
        <v>0</v>
      </c>
      <c r="X686" s="19">
        <v>0</v>
      </c>
      <c r="Y686" s="19">
        <v>0</v>
      </c>
      <c r="Z686" s="19">
        <v>0</v>
      </c>
      <c r="AA686" s="19">
        <v>0</v>
      </c>
      <c r="AB686" s="19">
        <v>0</v>
      </c>
      <c r="AC686" s="19">
        <v>0</v>
      </c>
      <c r="AD686" s="19">
        <v>0</v>
      </c>
      <c r="AE686" s="19">
        <v>0</v>
      </c>
      <c r="AF686" s="19">
        <v>0</v>
      </c>
      <c r="AG686" s="19">
        <v>0</v>
      </c>
      <c r="AH686" s="19">
        <v>0</v>
      </c>
      <c r="AI686" s="19">
        <v>0</v>
      </c>
      <c r="AJ686" s="19">
        <v>0</v>
      </c>
      <c r="AK686" s="19">
        <v>0</v>
      </c>
      <c r="AL686" s="19">
        <v>0</v>
      </c>
      <c r="AM686" s="19">
        <v>0</v>
      </c>
      <c r="AN686" s="19">
        <v>0</v>
      </c>
      <c r="AO686" s="19">
        <v>0</v>
      </c>
      <c r="AP686" s="19">
        <v>0</v>
      </c>
      <c r="AQ686" s="19">
        <v>0</v>
      </c>
      <c r="AR686" s="19">
        <v>0</v>
      </c>
    </row>
    <row r="687" spans="1:44" x14ac:dyDescent="0.25">
      <c r="A687" t="s">
        <v>250</v>
      </c>
      <c r="B687" t="s">
        <v>317</v>
      </c>
      <c r="C687" t="s">
        <v>44</v>
      </c>
      <c r="D687" t="s">
        <v>187</v>
      </c>
      <c r="E687" t="s">
        <v>134</v>
      </c>
      <c r="F687" t="s">
        <v>187</v>
      </c>
      <c r="G687" t="s">
        <v>31</v>
      </c>
      <c r="H687" t="s">
        <v>274</v>
      </c>
      <c r="I687" t="s">
        <v>135</v>
      </c>
      <c r="J687" t="s">
        <v>39</v>
      </c>
      <c r="K687" t="s">
        <v>33</v>
      </c>
      <c r="L687">
        <v>5.53</v>
      </c>
      <c r="M687">
        <v>1</v>
      </c>
      <c r="N687" s="2">
        <v>2.9865889881418424</v>
      </c>
      <c r="O687" s="2">
        <v>5.4674005771508298</v>
      </c>
      <c r="P687" s="1">
        <v>-1.412626798818081</v>
      </c>
      <c r="Q687" s="1">
        <v>0.99158012144343122</v>
      </c>
      <c r="R687" s="1">
        <v>-1.862552393622352</v>
      </c>
      <c r="S687" s="19">
        <v>0</v>
      </c>
      <c r="T687" s="19">
        <v>0</v>
      </c>
      <c r="U687" s="19">
        <v>0</v>
      </c>
      <c r="V687" s="19">
        <v>0</v>
      </c>
      <c r="W687" s="19">
        <v>0</v>
      </c>
      <c r="X687" s="19">
        <v>0</v>
      </c>
      <c r="Y687" s="19">
        <v>0</v>
      </c>
      <c r="Z687" s="19">
        <v>0</v>
      </c>
      <c r="AA687" s="19">
        <v>0</v>
      </c>
      <c r="AB687" s="19">
        <v>0</v>
      </c>
      <c r="AC687" s="19">
        <v>0</v>
      </c>
      <c r="AD687" s="19">
        <v>0</v>
      </c>
      <c r="AE687" s="19">
        <v>0</v>
      </c>
      <c r="AF687" s="19">
        <v>0</v>
      </c>
      <c r="AG687" s="19">
        <v>0</v>
      </c>
      <c r="AH687" s="19">
        <v>0</v>
      </c>
      <c r="AI687" s="19">
        <v>0</v>
      </c>
      <c r="AJ687" s="19">
        <v>0</v>
      </c>
      <c r="AK687" s="19">
        <v>0</v>
      </c>
      <c r="AL687" s="19">
        <v>0</v>
      </c>
      <c r="AM687" s="19">
        <v>0</v>
      </c>
      <c r="AN687" s="19">
        <v>0</v>
      </c>
      <c r="AO687" s="19">
        <v>0</v>
      </c>
      <c r="AP687" s="19">
        <v>0</v>
      </c>
      <c r="AQ687" s="19">
        <v>0</v>
      </c>
      <c r="AR687" s="19">
        <v>0</v>
      </c>
    </row>
    <row r="688" spans="1:44" x14ac:dyDescent="0.25">
      <c r="A688" t="s">
        <v>250</v>
      </c>
      <c r="B688" t="s">
        <v>317</v>
      </c>
      <c r="C688" t="s">
        <v>44</v>
      </c>
      <c r="D688" t="s">
        <v>187</v>
      </c>
      <c r="E688" t="s">
        <v>134</v>
      </c>
      <c r="F688" t="s">
        <v>187</v>
      </c>
      <c r="G688" t="s">
        <v>31</v>
      </c>
      <c r="H688" t="s">
        <v>272</v>
      </c>
      <c r="I688" t="s">
        <v>135</v>
      </c>
      <c r="J688" t="s">
        <v>40</v>
      </c>
      <c r="K688" t="s">
        <v>31</v>
      </c>
      <c r="L688">
        <v>5.53</v>
      </c>
      <c r="M688">
        <v>1</v>
      </c>
      <c r="N688" s="2">
        <v>2.9865889881418424</v>
      </c>
      <c r="O688" s="2">
        <v>4.1746294160814532</v>
      </c>
      <c r="P688" s="1">
        <v>-1.412626798818081</v>
      </c>
      <c r="Q688" s="1">
        <v>0.4672931329656026</v>
      </c>
      <c r="R688" s="1">
        <v>-1.7195523936223518</v>
      </c>
      <c r="S688" s="19">
        <v>0</v>
      </c>
      <c r="T688" s="19">
        <v>0</v>
      </c>
      <c r="U688" s="19">
        <v>0</v>
      </c>
      <c r="V688" s="19">
        <v>0</v>
      </c>
      <c r="W688" s="19">
        <v>0</v>
      </c>
      <c r="X688" s="19">
        <v>0</v>
      </c>
      <c r="Y688" s="19">
        <v>0</v>
      </c>
      <c r="Z688" s="19">
        <v>0</v>
      </c>
      <c r="AA688" s="19">
        <v>0</v>
      </c>
      <c r="AB688" s="19">
        <v>0</v>
      </c>
      <c r="AC688" s="19">
        <v>0</v>
      </c>
      <c r="AD688" s="19">
        <v>0</v>
      </c>
      <c r="AE688" s="19">
        <v>0</v>
      </c>
      <c r="AF688" s="19">
        <v>0</v>
      </c>
      <c r="AG688" s="19">
        <v>0</v>
      </c>
      <c r="AH688" s="19">
        <v>0</v>
      </c>
      <c r="AI688" s="19">
        <v>0</v>
      </c>
      <c r="AJ688" s="19">
        <v>0</v>
      </c>
      <c r="AK688" s="19">
        <v>0</v>
      </c>
      <c r="AL688" s="19">
        <v>0</v>
      </c>
      <c r="AM688" s="19">
        <v>0</v>
      </c>
      <c r="AN688" s="19">
        <v>0</v>
      </c>
      <c r="AO688" s="19">
        <v>0</v>
      </c>
      <c r="AP688" s="19">
        <v>0</v>
      </c>
      <c r="AQ688" s="19">
        <v>0</v>
      </c>
      <c r="AR688" s="19">
        <v>0</v>
      </c>
    </row>
    <row r="689" spans="1:44" x14ac:dyDescent="0.25">
      <c r="A689" t="s">
        <v>250</v>
      </c>
      <c r="B689" t="s">
        <v>318</v>
      </c>
      <c r="C689" t="s">
        <v>44</v>
      </c>
      <c r="D689" t="s">
        <v>187</v>
      </c>
      <c r="E689" t="s">
        <v>134</v>
      </c>
      <c r="F689" t="s">
        <v>187</v>
      </c>
      <c r="G689" t="s">
        <v>31</v>
      </c>
      <c r="H689" t="s">
        <v>277</v>
      </c>
      <c r="I689" t="s">
        <v>135</v>
      </c>
      <c r="J689" t="s">
        <v>39</v>
      </c>
      <c r="K689" t="s">
        <v>31</v>
      </c>
      <c r="L689">
        <v>5.53</v>
      </c>
      <c r="M689">
        <v>1</v>
      </c>
      <c r="N689" s="2">
        <v>2.9868815262071493</v>
      </c>
      <c r="O689" s="2">
        <v>5.4679361121017198</v>
      </c>
      <c r="P689" s="1">
        <v>-1.412626798818081</v>
      </c>
      <c r="Q689" s="1">
        <v>0.99158012144343122</v>
      </c>
      <c r="R689" s="1">
        <v>-1.862552393622352</v>
      </c>
      <c r="S689" s="19">
        <v>0</v>
      </c>
      <c r="T689" s="19">
        <v>0</v>
      </c>
      <c r="U689" s="19">
        <v>0</v>
      </c>
      <c r="V689" s="19">
        <v>0</v>
      </c>
      <c r="W689" s="19">
        <v>0</v>
      </c>
      <c r="X689" s="19">
        <v>0</v>
      </c>
      <c r="Y689" s="19">
        <v>0</v>
      </c>
      <c r="Z689" s="19">
        <v>0</v>
      </c>
      <c r="AA689" s="19">
        <v>0</v>
      </c>
      <c r="AB689" s="19">
        <v>0</v>
      </c>
      <c r="AC689" s="19">
        <v>0</v>
      </c>
      <c r="AD689" s="19">
        <v>0</v>
      </c>
      <c r="AE689" s="19">
        <v>0</v>
      </c>
      <c r="AF689" s="19">
        <v>0</v>
      </c>
      <c r="AG689" s="19">
        <v>0</v>
      </c>
      <c r="AH689" s="19">
        <v>0</v>
      </c>
      <c r="AI689" s="19">
        <v>0</v>
      </c>
      <c r="AJ689" s="19">
        <v>0</v>
      </c>
      <c r="AK689" s="19">
        <v>0</v>
      </c>
      <c r="AL689" s="19">
        <v>0</v>
      </c>
      <c r="AM689" s="19">
        <v>0</v>
      </c>
      <c r="AN689" s="19">
        <v>0</v>
      </c>
      <c r="AO689" s="19">
        <v>0</v>
      </c>
      <c r="AP689" s="19">
        <v>0</v>
      </c>
      <c r="AQ689" s="19">
        <v>0</v>
      </c>
      <c r="AR689" s="19">
        <v>0</v>
      </c>
    </row>
    <row r="690" spans="1:44" x14ac:dyDescent="0.25">
      <c r="A690" t="s">
        <v>250</v>
      </c>
      <c r="B690" t="s">
        <v>318</v>
      </c>
      <c r="C690" t="s">
        <v>44</v>
      </c>
      <c r="D690" t="s">
        <v>187</v>
      </c>
      <c r="E690" t="s">
        <v>134</v>
      </c>
      <c r="F690" t="s">
        <v>187</v>
      </c>
      <c r="G690" t="s">
        <v>31</v>
      </c>
      <c r="H690" t="s">
        <v>277</v>
      </c>
      <c r="I690" t="s">
        <v>135</v>
      </c>
      <c r="J690" t="s">
        <v>40</v>
      </c>
      <c r="K690" t="s">
        <v>31</v>
      </c>
      <c r="L690">
        <v>5.53</v>
      </c>
      <c r="M690">
        <v>1</v>
      </c>
      <c r="N690" s="2">
        <v>2.9868815262071493</v>
      </c>
      <c r="O690" s="2">
        <v>4.1746294160814514</v>
      </c>
      <c r="P690" s="1">
        <v>-1.412626798818081</v>
      </c>
      <c r="Q690" s="1">
        <v>0.4672931329656026</v>
      </c>
      <c r="R690" s="1">
        <v>-1.7195523936223518</v>
      </c>
      <c r="S690" s="19">
        <v>0</v>
      </c>
      <c r="T690" s="19">
        <v>0</v>
      </c>
      <c r="U690" s="19">
        <v>0</v>
      </c>
      <c r="V690" s="19">
        <v>0</v>
      </c>
      <c r="W690" s="19">
        <v>0</v>
      </c>
      <c r="X690" s="19">
        <v>0</v>
      </c>
      <c r="Y690" s="19">
        <v>0</v>
      </c>
      <c r="Z690" s="19">
        <v>0</v>
      </c>
      <c r="AA690" s="19">
        <v>0</v>
      </c>
      <c r="AB690" s="19">
        <v>0</v>
      </c>
      <c r="AC690" s="19">
        <v>0</v>
      </c>
      <c r="AD690" s="19">
        <v>0</v>
      </c>
      <c r="AE690" s="19">
        <v>0</v>
      </c>
      <c r="AF690" s="19">
        <v>0</v>
      </c>
      <c r="AG690" s="19">
        <v>0</v>
      </c>
      <c r="AH690" s="19">
        <v>0</v>
      </c>
      <c r="AI690" s="19">
        <v>0</v>
      </c>
      <c r="AJ690" s="19">
        <v>0</v>
      </c>
      <c r="AK690" s="19">
        <v>0</v>
      </c>
      <c r="AL690" s="19">
        <v>0</v>
      </c>
      <c r="AM690" s="19">
        <v>0</v>
      </c>
      <c r="AN690" s="19">
        <v>0</v>
      </c>
      <c r="AO690" s="19">
        <v>0</v>
      </c>
      <c r="AP690" s="19">
        <v>0</v>
      </c>
      <c r="AQ690" s="19">
        <v>0</v>
      </c>
      <c r="AR690" s="19">
        <v>0</v>
      </c>
    </row>
    <row r="691" spans="1:44" x14ac:dyDescent="0.25">
      <c r="A691" t="s">
        <v>250</v>
      </c>
      <c r="B691" t="s">
        <v>319</v>
      </c>
      <c r="C691" t="s">
        <v>44</v>
      </c>
      <c r="D691" t="s">
        <v>187</v>
      </c>
      <c r="E691" t="s">
        <v>134</v>
      </c>
      <c r="F691" t="s">
        <v>187</v>
      </c>
      <c r="G691" t="s">
        <v>31</v>
      </c>
      <c r="H691" t="s">
        <v>276</v>
      </c>
      <c r="I691" t="s">
        <v>135</v>
      </c>
      <c r="J691" t="s">
        <v>39</v>
      </c>
      <c r="K691" t="s">
        <v>31</v>
      </c>
      <c r="L691">
        <v>8.1058333333333348</v>
      </c>
      <c r="M691">
        <v>1</v>
      </c>
      <c r="N691" s="2">
        <v>3.8495202205322574</v>
      </c>
      <c r="O691" s="2">
        <v>5.463966537645744</v>
      </c>
      <c r="P691" s="1">
        <v>-1.6353884600453179</v>
      </c>
      <c r="Q691" s="1">
        <v>0.76881846021619438</v>
      </c>
      <c r="R691" s="1">
        <v>-1.8625523936223525</v>
      </c>
      <c r="S691" s="19">
        <v>314.9263514027881</v>
      </c>
      <c r="T691" s="19">
        <v>628.19513388676978</v>
      </c>
      <c r="U691" s="19">
        <v>1113.0465909225909</v>
      </c>
      <c r="V691" s="19">
        <v>1806.7207376551153</v>
      </c>
      <c r="W691" s="19">
        <v>2736.590796521783</v>
      </c>
      <c r="X691" s="19">
        <v>3911.1520651335313</v>
      </c>
      <c r="Y691" s="19">
        <v>5309.0683901078874</v>
      </c>
      <c r="Z691" s="19">
        <v>6868.0169464719474</v>
      </c>
      <c r="AA691" s="19">
        <v>8476.7147117353907</v>
      </c>
      <c r="AB691" s="19">
        <v>9975.0685743660924</v>
      </c>
      <c r="AC691" s="19">
        <v>11167.87678817282</v>
      </c>
      <c r="AD691" s="19">
        <v>11855.569147571319</v>
      </c>
      <c r="AE691" s="19">
        <v>11880.063946659264</v>
      </c>
      <c r="AF691" s="19">
        <v>11175.445977681176</v>
      </c>
      <c r="AG691" s="19">
        <v>9805.0824708241926</v>
      </c>
      <c r="AH691" s="19">
        <v>8091.6666059450108</v>
      </c>
      <c r="AI691" s="19">
        <v>6174.7507869966385</v>
      </c>
      <c r="AJ691" s="19">
        <v>4265.850330238115</v>
      </c>
      <c r="AK691" s="19">
        <v>1209.0828413559182</v>
      </c>
      <c r="AL691" s="19">
        <v>0</v>
      </c>
      <c r="AM691" s="19">
        <v>0</v>
      </c>
      <c r="AN691" s="19">
        <v>0</v>
      </c>
      <c r="AO691" s="19">
        <v>0</v>
      </c>
      <c r="AP691" s="19">
        <v>0</v>
      </c>
      <c r="AQ691" s="19">
        <v>0</v>
      </c>
      <c r="AR691" s="19">
        <v>116764.88919364836</v>
      </c>
    </row>
    <row r="692" spans="1:44" x14ac:dyDescent="0.25">
      <c r="A692" t="s">
        <v>250</v>
      </c>
      <c r="B692" t="s">
        <v>320</v>
      </c>
      <c r="C692" t="s">
        <v>44</v>
      </c>
      <c r="D692" t="s">
        <v>187</v>
      </c>
      <c r="E692" t="s">
        <v>134</v>
      </c>
      <c r="F692" t="s">
        <v>187</v>
      </c>
      <c r="G692" t="s">
        <v>31</v>
      </c>
      <c r="H692" t="s">
        <v>253</v>
      </c>
      <c r="I692" t="s">
        <v>135</v>
      </c>
      <c r="J692" t="s">
        <v>39</v>
      </c>
      <c r="K692" t="s">
        <v>31</v>
      </c>
      <c r="L692">
        <v>8.1058333333333348</v>
      </c>
      <c r="M692">
        <v>1</v>
      </c>
      <c r="N692" s="2">
        <v>3.7873058908027946</v>
      </c>
      <c r="O692" s="2">
        <v>5.375660204303025</v>
      </c>
      <c r="P692" s="1">
        <v>-1.6353884600453192</v>
      </c>
      <c r="Q692" s="1">
        <v>0.76881846021619471</v>
      </c>
      <c r="R692" s="1">
        <v>-1.8625523936223536</v>
      </c>
      <c r="S692" s="19">
        <v>40.348394946624872</v>
      </c>
      <c r="T692" s="19">
        <v>80.323114411293801</v>
      </c>
      <c r="U692" s="19">
        <v>142.03259597706</v>
      </c>
      <c r="V692" s="19">
        <v>230.08823902477681</v>
      </c>
      <c r="W692" s="19">
        <v>347.80991847025064</v>
      </c>
      <c r="X692" s="19">
        <v>496.09575615825753</v>
      </c>
      <c r="Y692" s="19">
        <v>672.05967854288861</v>
      </c>
      <c r="Z692" s="19">
        <v>867.66002271221373</v>
      </c>
      <c r="AA692" s="19">
        <v>1068.7460103760022</v>
      </c>
      <c r="AB692" s="19">
        <v>1255.1381761402115</v>
      </c>
      <c r="AC692" s="19">
        <v>1402.4099128457833</v>
      </c>
      <c r="AD692" s="19">
        <v>1485.7833137510816</v>
      </c>
      <c r="AE692" s="19">
        <v>1485.8691190915863</v>
      </c>
      <c r="AF692" s="19">
        <v>1394.9394343130136</v>
      </c>
      <c r="AG692" s="19">
        <v>1221.4352486460991</v>
      </c>
      <c r="AH692" s="19">
        <v>1005.9719895968424</v>
      </c>
      <c r="AI692" s="19">
        <v>766.11867986549612</v>
      </c>
      <c r="AJ692" s="19">
        <v>293.8558204641987</v>
      </c>
      <c r="AK692" s="19">
        <v>0</v>
      </c>
      <c r="AL692" s="19">
        <v>0</v>
      </c>
      <c r="AM692" s="19">
        <v>0</v>
      </c>
      <c r="AN692" s="19">
        <v>0</v>
      </c>
      <c r="AO692" s="19">
        <v>0</v>
      </c>
      <c r="AP692" s="19">
        <v>0</v>
      </c>
      <c r="AQ692" s="19">
        <v>0</v>
      </c>
      <c r="AR692" s="19">
        <v>14256.685425333682</v>
      </c>
    </row>
    <row r="693" spans="1:44" x14ac:dyDescent="0.25">
      <c r="A693" t="s">
        <v>250</v>
      </c>
      <c r="B693" t="s">
        <v>320</v>
      </c>
      <c r="C693" t="s">
        <v>44</v>
      </c>
      <c r="D693" t="s">
        <v>187</v>
      </c>
      <c r="E693" t="s">
        <v>134</v>
      </c>
      <c r="F693" t="s">
        <v>187</v>
      </c>
      <c r="G693" t="s">
        <v>31</v>
      </c>
      <c r="H693" t="s">
        <v>253</v>
      </c>
      <c r="I693" t="s">
        <v>256</v>
      </c>
      <c r="J693" t="s">
        <v>39</v>
      </c>
      <c r="K693" t="s">
        <v>31</v>
      </c>
      <c r="L693">
        <v>8.1058333333333348</v>
      </c>
      <c r="M693">
        <v>1</v>
      </c>
      <c r="N693" s="2">
        <v>1.8844679296312008</v>
      </c>
      <c r="O693" s="2">
        <v>2.6747929920855817</v>
      </c>
      <c r="P693" s="1">
        <v>-0.17245150869645037</v>
      </c>
      <c r="Q693" s="1">
        <v>0.4672931329656026</v>
      </c>
      <c r="R693" s="1">
        <v>-0.3996154422734845</v>
      </c>
      <c r="S693" s="19">
        <v>21.165190854896785</v>
      </c>
      <c r="T693" s="19">
        <v>42.134366158150058</v>
      </c>
      <c r="U693" s="19">
        <v>74.504748093390617</v>
      </c>
      <c r="V693" s="19">
        <v>120.69529652588756</v>
      </c>
      <c r="W693" s="19">
        <v>182.44748806952796</v>
      </c>
      <c r="X693" s="19">
        <v>260.2324423383829</v>
      </c>
      <c r="Y693" s="19">
        <v>352.53623796082798</v>
      </c>
      <c r="Z693" s="19">
        <v>455.14053290499584</v>
      </c>
      <c r="AA693" s="19">
        <v>560.62238200406409</v>
      </c>
      <c r="AB693" s="19">
        <v>658.39642648528195</v>
      </c>
      <c r="AC693" s="19">
        <v>735.64942301783117</v>
      </c>
      <c r="AD693" s="19">
        <v>779.3838502414369</v>
      </c>
      <c r="AE693" s="19">
        <v>779.42886036911489</v>
      </c>
      <c r="AF693" s="19">
        <v>731.73070198487221</v>
      </c>
      <c r="AG693" s="19">
        <v>640.71718809859362</v>
      </c>
      <c r="AH693" s="19">
        <v>527.69358440808139</v>
      </c>
      <c r="AI693" s="19">
        <v>401.87591348565337</v>
      </c>
      <c r="AJ693" s="19">
        <v>154.14527720804159</v>
      </c>
      <c r="AK693" s="19">
        <v>0</v>
      </c>
      <c r="AL693" s="19">
        <v>0</v>
      </c>
      <c r="AM693" s="19">
        <v>0</v>
      </c>
      <c r="AN693" s="19">
        <v>0</v>
      </c>
      <c r="AO693" s="19">
        <v>0</v>
      </c>
      <c r="AP693" s="19">
        <v>0</v>
      </c>
      <c r="AQ693" s="19">
        <v>0</v>
      </c>
      <c r="AR693" s="19">
        <v>7478.4999102090324</v>
      </c>
    </row>
    <row r="694" spans="1:44" x14ac:dyDescent="0.25">
      <c r="A694" t="s">
        <v>250</v>
      </c>
      <c r="B694" t="s">
        <v>320</v>
      </c>
      <c r="C694" t="s">
        <v>44</v>
      </c>
      <c r="D694" t="s">
        <v>187</v>
      </c>
      <c r="E694" t="s">
        <v>134</v>
      </c>
      <c r="F694" t="s">
        <v>187</v>
      </c>
      <c r="G694" t="s">
        <v>31</v>
      </c>
      <c r="H694" t="s">
        <v>253</v>
      </c>
      <c r="I694" t="s">
        <v>135</v>
      </c>
      <c r="J694" t="s">
        <v>40</v>
      </c>
      <c r="K694" t="s">
        <v>31</v>
      </c>
      <c r="L694">
        <v>8.1058333333333348</v>
      </c>
      <c r="M694">
        <v>1</v>
      </c>
      <c r="N694" s="2">
        <v>3.7873058908027946</v>
      </c>
      <c r="O694" s="2">
        <v>4.1746294160814506</v>
      </c>
      <c r="P694" s="1">
        <v>-1.6353884600453192</v>
      </c>
      <c r="Q694" s="1">
        <v>0.4672931329656026</v>
      </c>
      <c r="R694" s="1">
        <v>-1.7195523936223529</v>
      </c>
      <c r="S694" s="19">
        <v>21.224094340675823</v>
      </c>
      <c r="T694" s="19">
        <v>42.251627611392806</v>
      </c>
      <c r="U694" s="19">
        <v>74.71209748134919</v>
      </c>
      <c r="V694" s="19">
        <v>121.03119586793692</v>
      </c>
      <c r="W694" s="19">
        <v>182.955245976962</v>
      </c>
      <c r="X694" s="19">
        <v>260.95667856529013</v>
      </c>
      <c r="Y694" s="19">
        <v>353.51735896378455</v>
      </c>
      <c r="Z694" s="19">
        <v>456.40720534330416</v>
      </c>
      <c r="AA694" s="19">
        <v>562.18261421421437</v>
      </c>
      <c r="AB694" s="19">
        <v>660.22876737038553</v>
      </c>
      <c r="AC694" s="19">
        <v>737.69676176493556</v>
      </c>
      <c r="AD694" s="19">
        <v>781.55290346915638</v>
      </c>
      <c r="AE694" s="19">
        <v>781.59803886163525</v>
      </c>
      <c r="AF694" s="19">
        <v>733.76713479069713</v>
      </c>
      <c r="AG694" s="19">
        <v>642.50032702874989</v>
      </c>
      <c r="AH694" s="19">
        <v>529.16217459269035</v>
      </c>
      <c r="AI694" s="19">
        <v>402.99434857642257</v>
      </c>
      <c r="AJ694" s="19">
        <v>154.57426904686889</v>
      </c>
      <c r="AK694" s="19">
        <v>0</v>
      </c>
      <c r="AL694" s="19">
        <v>0</v>
      </c>
      <c r="AM694" s="19">
        <v>0</v>
      </c>
      <c r="AN694" s="19">
        <v>0</v>
      </c>
      <c r="AO694" s="19">
        <v>0</v>
      </c>
      <c r="AP694" s="19">
        <v>0</v>
      </c>
      <c r="AQ694" s="19">
        <v>0</v>
      </c>
      <c r="AR694" s="19">
        <v>7499.3128438664507</v>
      </c>
    </row>
    <row r="695" spans="1:44" x14ac:dyDescent="0.25">
      <c r="A695" t="s">
        <v>250</v>
      </c>
      <c r="B695" t="s">
        <v>321</v>
      </c>
      <c r="C695" t="s">
        <v>44</v>
      </c>
      <c r="D695" t="s">
        <v>187</v>
      </c>
      <c r="E695" t="s">
        <v>134</v>
      </c>
      <c r="F695" t="s">
        <v>187</v>
      </c>
      <c r="G695" t="s">
        <v>31</v>
      </c>
      <c r="H695" t="s">
        <v>252</v>
      </c>
      <c r="I695" t="s">
        <v>135</v>
      </c>
      <c r="J695" t="s">
        <v>39</v>
      </c>
      <c r="K695" t="s">
        <v>31</v>
      </c>
      <c r="L695">
        <v>5.53</v>
      </c>
      <c r="M695">
        <v>1</v>
      </c>
      <c r="N695" s="2">
        <v>2.9727795060322202</v>
      </c>
      <c r="O695" s="2">
        <v>5.4421202420407457</v>
      </c>
      <c r="P695" s="1">
        <v>-1.4126267988180814</v>
      </c>
      <c r="Q695" s="1">
        <v>0.99158012144343133</v>
      </c>
      <c r="R695" s="1">
        <v>-1.8625523936223525</v>
      </c>
      <c r="S695" s="19">
        <v>2.199263017459093</v>
      </c>
      <c r="T695" s="19">
        <v>4.379916642757939</v>
      </c>
      <c r="U695" s="19">
        <v>7.7479664016637795</v>
      </c>
      <c r="V695" s="19">
        <v>12.556497719288569</v>
      </c>
      <c r="W695" s="19">
        <v>18.988491407172361</v>
      </c>
      <c r="X695" s="19">
        <v>27.094953476247618</v>
      </c>
      <c r="Y695" s="19">
        <v>36.720208254033182</v>
      </c>
      <c r="Z695" s="19">
        <v>47.426522486929315</v>
      </c>
      <c r="AA695" s="19">
        <v>58.44139824125385</v>
      </c>
      <c r="AB695" s="19">
        <v>68.661301087218035</v>
      </c>
      <c r="AC695" s="19">
        <v>76.748493662577062</v>
      </c>
      <c r="AD695" s="19">
        <v>81.343857190924254</v>
      </c>
      <c r="AE695" s="19">
        <v>81.381228255632095</v>
      </c>
      <c r="AF695" s="19">
        <v>76.431684825779371</v>
      </c>
      <c r="AG695" s="19">
        <v>66.951903386348732</v>
      </c>
      <c r="AH695" s="19">
        <v>55.163620944229194</v>
      </c>
      <c r="AI695" s="19">
        <v>42.027864829856597</v>
      </c>
      <c r="AJ695" s="19">
        <v>20.34697214914414</v>
      </c>
      <c r="AK695" s="19">
        <v>0</v>
      </c>
      <c r="AL695" s="19">
        <v>0</v>
      </c>
      <c r="AM695" s="19">
        <v>0</v>
      </c>
      <c r="AN695" s="19">
        <v>0</v>
      </c>
      <c r="AO695" s="19">
        <v>0</v>
      </c>
      <c r="AP695" s="19">
        <v>0</v>
      </c>
      <c r="AQ695" s="19">
        <v>0</v>
      </c>
      <c r="AR695" s="19">
        <v>784.61214397851518</v>
      </c>
    </row>
    <row r="696" spans="1:44" x14ac:dyDescent="0.25">
      <c r="A696" t="s">
        <v>250</v>
      </c>
      <c r="B696" t="s">
        <v>322</v>
      </c>
      <c r="C696" t="s">
        <v>44</v>
      </c>
      <c r="D696" t="s">
        <v>187</v>
      </c>
      <c r="E696" t="s">
        <v>134</v>
      </c>
      <c r="F696" t="s">
        <v>187</v>
      </c>
      <c r="G696" t="s">
        <v>31</v>
      </c>
      <c r="H696" t="s">
        <v>254</v>
      </c>
      <c r="I696" t="s">
        <v>135</v>
      </c>
      <c r="J696" t="s">
        <v>39</v>
      </c>
      <c r="K696" t="s">
        <v>31</v>
      </c>
      <c r="L696">
        <v>5.53</v>
      </c>
      <c r="M696">
        <v>1</v>
      </c>
      <c r="N696" s="2">
        <v>2.9560080832859934</v>
      </c>
      <c r="O696" s="2">
        <v>5.411417628870181</v>
      </c>
      <c r="P696" s="1">
        <v>-1.4126267988180841</v>
      </c>
      <c r="Q696" s="1">
        <v>0.99158012144343211</v>
      </c>
      <c r="R696" s="1">
        <v>-1.8625523936223547</v>
      </c>
      <c r="S696" s="19">
        <v>11.48824975444462</v>
      </c>
      <c r="T696" s="19">
        <v>22.861224753428001</v>
      </c>
      <c r="U696" s="19">
        <v>40.409020891644865</v>
      </c>
      <c r="V696" s="19">
        <v>65.435898749536932</v>
      </c>
      <c r="W696" s="19">
        <v>98.876927525150592</v>
      </c>
      <c r="X696" s="19">
        <v>140.97751818273625</v>
      </c>
      <c r="Y696" s="19">
        <v>190.90774049821377</v>
      </c>
      <c r="Z696" s="19">
        <v>246.37499827824016</v>
      </c>
      <c r="AA696" s="19">
        <v>303.35621825611844</v>
      </c>
      <c r="AB696" s="19">
        <v>356.12403305559826</v>
      </c>
      <c r="AC696" s="19">
        <v>397.75538260769889</v>
      </c>
      <c r="AD696" s="19">
        <v>421.23836451381504</v>
      </c>
      <c r="AE696" s="19">
        <v>421.09913258138977</v>
      </c>
      <c r="AF696" s="19">
        <v>395.17593586595802</v>
      </c>
      <c r="AG696" s="19">
        <v>345.88914778922071</v>
      </c>
      <c r="AH696" s="19">
        <v>284.76310811506238</v>
      </c>
      <c r="AI696" s="19">
        <v>216.78300721234237</v>
      </c>
      <c r="AJ696" s="19">
        <v>62.08103010807276</v>
      </c>
      <c r="AK696" s="19">
        <v>0</v>
      </c>
      <c r="AL696" s="19">
        <v>0</v>
      </c>
      <c r="AM696" s="19">
        <v>0</v>
      </c>
      <c r="AN696" s="19">
        <v>0</v>
      </c>
      <c r="AO696" s="19">
        <v>0</v>
      </c>
      <c r="AP696" s="19">
        <v>0</v>
      </c>
      <c r="AQ696" s="19">
        <v>0</v>
      </c>
      <c r="AR696" s="19">
        <v>4021.5969387386722</v>
      </c>
    </row>
    <row r="697" spans="1:44" x14ac:dyDescent="0.25">
      <c r="A697" t="s">
        <v>250</v>
      </c>
      <c r="B697" t="s">
        <v>322</v>
      </c>
      <c r="C697" t="s">
        <v>44</v>
      </c>
      <c r="D697" t="s">
        <v>187</v>
      </c>
      <c r="E697" t="s">
        <v>134</v>
      </c>
      <c r="F697" t="s">
        <v>187</v>
      </c>
      <c r="G697" t="s">
        <v>31</v>
      </c>
      <c r="H697" t="s">
        <v>255</v>
      </c>
      <c r="I697" t="s">
        <v>135</v>
      </c>
      <c r="J697" t="s">
        <v>39</v>
      </c>
      <c r="K697" t="s">
        <v>31</v>
      </c>
      <c r="L697">
        <v>5.53</v>
      </c>
      <c r="M697">
        <v>1</v>
      </c>
      <c r="N697" s="2">
        <v>2.9560080832859934</v>
      </c>
      <c r="O697" s="2">
        <v>5.411417628870181</v>
      </c>
      <c r="P697" s="1">
        <v>-1.4126267988180841</v>
      </c>
      <c r="Q697" s="1">
        <v>0.99158012144343211</v>
      </c>
      <c r="R697" s="1">
        <v>-1.8625523936223547</v>
      </c>
      <c r="S697" s="19">
        <v>2.4083820696311933</v>
      </c>
      <c r="T697" s="19">
        <v>4.7708700067705481</v>
      </c>
      <c r="U697" s="19">
        <v>8.3946576811160476</v>
      </c>
      <c r="V697" s="19">
        <v>13.53216574828631</v>
      </c>
      <c r="W697" s="19">
        <v>20.35507809962613</v>
      </c>
      <c r="X697" s="19">
        <v>28.890445872828629</v>
      </c>
      <c r="Y697" s="19">
        <v>38.945249868741321</v>
      </c>
      <c r="Z697" s="19">
        <v>50.03272587266428</v>
      </c>
      <c r="AA697" s="19">
        <v>61.324922133088933</v>
      </c>
      <c r="AB697" s="19">
        <v>71.665801159850503</v>
      </c>
      <c r="AC697" s="19">
        <v>79.680732160314861</v>
      </c>
      <c r="AD697" s="19">
        <v>84.00240920888713</v>
      </c>
      <c r="AE697" s="19">
        <v>83.593930194554815</v>
      </c>
      <c r="AF697" s="19">
        <v>78.092164643945239</v>
      </c>
      <c r="AG697" s="19">
        <v>68.04253423472889</v>
      </c>
      <c r="AH697" s="19">
        <v>55.763990181321731</v>
      </c>
      <c r="AI697" s="19">
        <v>6.4796128518290015</v>
      </c>
      <c r="AJ697" s="19">
        <v>0</v>
      </c>
      <c r="AK697" s="19">
        <v>0</v>
      </c>
      <c r="AL697" s="19">
        <v>0</v>
      </c>
      <c r="AM697" s="19">
        <v>0</v>
      </c>
      <c r="AN697" s="19">
        <v>0</v>
      </c>
      <c r="AO697" s="19">
        <v>0</v>
      </c>
      <c r="AP697" s="19">
        <v>0</v>
      </c>
      <c r="AQ697" s="19">
        <v>0</v>
      </c>
      <c r="AR697" s="19">
        <v>755.97567198818547</v>
      </c>
    </row>
    <row r="698" spans="1:44" x14ac:dyDescent="0.25">
      <c r="A698" t="s">
        <v>250</v>
      </c>
      <c r="B698" t="s">
        <v>323</v>
      </c>
      <c r="C698" t="s">
        <v>44</v>
      </c>
      <c r="D698" t="s">
        <v>324</v>
      </c>
      <c r="E698" t="s">
        <v>145</v>
      </c>
      <c r="F698" t="s">
        <v>324</v>
      </c>
      <c r="G698" t="s">
        <v>31</v>
      </c>
      <c r="H698" t="s">
        <v>288</v>
      </c>
      <c r="I698" t="s">
        <v>135</v>
      </c>
      <c r="J698" t="s">
        <v>39</v>
      </c>
      <c r="K698" t="s">
        <v>31</v>
      </c>
      <c r="L698">
        <v>2.5658823529411769</v>
      </c>
      <c r="M698">
        <v>1</v>
      </c>
      <c r="N698" s="2">
        <v>7.7071005546982621</v>
      </c>
      <c r="O698" s="2">
        <v>5.4757113018011117</v>
      </c>
      <c r="P698" s="1">
        <v>-2.0193742854541559</v>
      </c>
      <c r="Q698" s="1">
        <v>0.38483263480735791</v>
      </c>
      <c r="R698" s="1">
        <v>-1.8625523936223527</v>
      </c>
      <c r="S698" s="19">
        <v>7.0501498723294329</v>
      </c>
      <c r="T698" s="19">
        <v>7.3543291873106753</v>
      </c>
      <c r="U698" s="19">
        <v>7.5593138424618482</v>
      </c>
      <c r="V698" s="19">
        <v>7.6875469007911068</v>
      </c>
      <c r="W698" s="19">
        <v>7.760230429906871</v>
      </c>
      <c r="X698" s="19">
        <v>7.7950551750659134</v>
      </c>
      <c r="Y698" s="19">
        <v>7.805463162955375</v>
      </c>
      <c r="Z698" s="19">
        <v>7.8213089043030637</v>
      </c>
      <c r="AA698" s="19">
        <v>7.7978449775901533</v>
      </c>
      <c r="AB698" s="19">
        <v>7.7744514426573836</v>
      </c>
      <c r="AC698" s="19">
        <v>7.7511280883294109</v>
      </c>
      <c r="AD698" s="19">
        <v>7.7278747040644236</v>
      </c>
      <c r="AE698" s="19">
        <v>7.7046910799522301</v>
      </c>
      <c r="AF698" s="19">
        <v>7.6815770067123745</v>
      </c>
      <c r="AG698" s="19">
        <v>4.2068351628554357</v>
      </c>
      <c r="AH698" s="19">
        <v>0.15947204464582049</v>
      </c>
      <c r="AI698" s="19">
        <v>0.13145849381410107</v>
      </c>
      <c r="AJ698" s="19">
        <v>8.2999455439968353E-2</v>
      </c>
      <c r="AK698" s="19">
        <v>5.038466922737949E-2</v>
      </c>
      <c r="AL698" s="19">
        <v>2.9435289751343685E-2</v>
      </c>
      <c r="AM698" s="19">
        <v>1.6565736598408029E-2</v>
      </c>
      <c r="AN698" s="19">
        <v>8.989940149261199E-3</v>
      </c>
      <c r="AO698" s="19">
        <v>0</v>
      </c>
      <c r="AP698" s="19">
        <v>0</v>
      </c>
      <c r="AQ698" s="19">
        <v>0</v>
      </c>
      <c r="AR698" s="19">
        <v>111.95710556691201</v>
      </c>
    </row>
    <row r="699" spans="1:44" x14ac:dyDescent="0.25">
      <c r="A699" t="s">
        <v>250</v>
      </c>
      <c r="B699" t="s">
        <v>323</v>
      </c>
      <c r="C699" t="s">
        <v>44</v>
      </c>
      <c r="D699" t="s">
        <v>324</v>
      </c>
      <c r="E699" t="s">
        <v>148</v>
      </c>
      <c r="F699" t="s">
        <v>324</v>
      </c>
      <c r="G699" t="s">
        <v>31</v>
      </c>
      <c r="H699" t="s">
        <v>288</v>
      </c>
      <c r="I699" t="s">
        <v>135</v>
      </c>
      <c r="J699" t="s">
        <v>39</v>
      </c>
      <c r="K699" t="s">
        <v>31</v>
      </c>
      <c r="L699">
        <v>2.5658823529411769</v>
      </c>
      <c r="M699">
        <v>1</v>
      </c>
      <c r="N699" s="2">
        <v>7.7071005546982621</v>
      </c>
      <c r="O699" s="2">
        <v>5.4757113018011117</v>
      </c>
      <c r="P699" s="1">
        <v>-2.0193742854541559</v>
      </c>
      <c r="Q699" s="1">
        <v>0.38483263480735791</v>
      </c>
      <c r="R699" s="1">
        <v>-1.8625523936223527</v>
      </c>
      <c r="S699" s="19">
        <v>1.1993891386963689</v>
      </c>
      <c r="T699" s="19">
        <v>1.5868422250486376</v>
      </c>
      <c r="U699" s="19">
        <v>1.6494616394879458</v>
      </c>
      <c r="V699" s="19">
        <v>1.6964109282137698</v>
      </c>
      <c r="W699" s="19">
        <v>1.7318708433768428</v>
      </c>
      <c r="X699" s="19">
        <v>1.7594288936370299</v>
      </c>
      <c r="Y699" s="19">
        <v>1.7818730986215661</v>
      </c>
      <c r="Z699" s="19">
        <v>1.8059133307472539</v>
      </c>
      <c r="AA699" s="19">
        <v>1.8211475004293156</v>
      </c>
      <c r="AB699" s="19">
        <v>1.8365675645819877</v>
      </c>
      <c r="AC699" s="19">
        <v>1.8521755627230181</v>
      </c>
      <c r="AD699" s="19">
        <v>1.8679735573771592</v>
      </c>
      <c r="AE699" s="19">
        <v>1.8839636343342707</v>
      </c>
      <c r="AF699" s="19">
        <v>1.9001479029094337</v>
      </c>
      <c r="AG699" s="19">
        <v>1.9165284962066371</v>
      </c>
      <c r="AH699" s="19">
        <v>1.9331075713848307</v>
      </c>
      <c r="AI699" s="19">
        <v>1.9498873099278149</v>
      </c>
      <c r="AJ699" s="19">
        <v>1.9668699179158904</v>
      </c>
      <c r="AK699" s="19">
        <v>1.9840576263020171</v>
      </c>
      <c r="AL699" s="19">
        <v>2.0014526911899626</v>
      </c>
      <c r="AM699" s="19">
        <v>2.0190573941158858</v>
      </c>
      <c r="AN699" s="19">
        <v>2.0368740423333409</v>
      </c>
      <c r="AO699" s="19">
        <v>2.0549049691013042</v>
      </c>
      <c r="AP699" s="19">
        <v>2.0731525339752515</v>
      </c>
      <c r="AQ699" s="19">
        <v>2.0916191231018044</v>
      </c>
      <c r="AR699" s="19">
        <v>46.400677495739338</v>
      </c>
    </row>
    <row r="700" spans="1:44" x14ac:dyDescent="0.25">
      <c r="A700" t="s">
        <v>250</v>
      </c>
      <c r="B700" t="s">
        <v>323</v>
      </c>
      <c r="C700" t="s">
        <v>44</v>
      </c>
      <c r="D700" t="s">
        <v>324</v>
      </c>
      <c r="E700" t="s">
        <v>145</v>
      </c>
      <c r="F700" t="s">
        <v>324</v>
      </c>
      <c r="G700" t="s">
        <v>31</v>
      </c>
      <c r="H700" t="s">
        <v>289</v>
      </c>
      <c r="I700" t="s">
        <v>135</v>
      </c>
      <c r="J700" t="s">
        <v>39</v>
      </c>
      <c r="K700" t="s">
        <v>31</v>
      </c>
      <c r="L700">
        <v>2.5658823529411769</v>
      </c>
      <c r="M700">
        <v>1</v>
      </c>
      <c r="N700" s="2">
        <v>7.7071005546982621</v>
      </c>
      <c r="O700" s="2">
        <v>5.4757113018011117</v>
      </c>
      <c r="P700" s="1">
        <v>-2.0193742854541559</v>
      </c>
      <c r="Q700" s="1">
        <v>0.38483263480735791</v>
      </c>
      <c r="R700" s="1">
        <v>-1.8625523936223527</v>
      </c>
      <c r="S700" s="19">
        <v>6.7008618424384956</v>
      </c>
      <c r="T700" s="19">
        <v>6.9899710957065304</v>
      </c>
      <c r="U700" s="19">
        <v>7.1848001247146831</v>
      </c>
      <c r="V700" s="19">
        <v>7.3066800879861331</v>
      </c>
      <c r="W700" s="19">
        <v>7.3757626317115008</v>
      </c>
      <c r="X700" s="19">
        <v>7.4088620423956284</v>
      </c>
      <c r="Y700" s="19">
        <v>7.4187543837171619</v>
      </c>
      <c r="Z700" s="19">
        <v>7.4338150739839906</v>
      </c>
      <c r="AA700" s="19">
        <v>7.4115136287620365</v>
      </c>
      <c r="AB700" s="19">
        <v>7.389279087875753</v>
      </c>
      <c r="AC700" s="19">
        <v>7.3671112506121252</v>
      </c>
      <c r="AD700" s="19">
        <v>7.3450099168602883</v>
      </c>
      <c r="AE700" s="19">
        <v>7.3229748871097069</v>
      </c>
      <c r="AF700" s="19">
        <v>7.3010059624483796</v>
      </c>
      <c r="AG700" s="19">
        <v>3.9984144636194161</v>
      </c>
      <c r="AH700" s="19">
        <v>0.15157126561193957</v>
      </c>
      <c r="AI700" s="19">
        <v>0.12494559988301138</v>
      </c>
      <c r="AJ700" s="19">
        <v>7.8887384519827519E-2</v>
      </c>
      <c r="AK700" s="19">
        <v>4.7888444016591973E-2</v>
      </c>
      <c r="AL700" s="19">
        <v>2.797696694222588E-2</v>
      </c>
      <c r="AM700" s="19">
        <v>1.5745014542149514E-2</v>
      </c>
      <c r="AN700" s="19">
        <v>8.5445484142716299E-3</v>
      </c>
      <c r="AO700" s="19">
        <v>0</v>
      </c>
      <c r="AP700" s="19">
        <v>0</v>
      </c>
      <c r="AQ700" s="19">
        <v>0</v>
      </c>
      <c r="AR700" s="19">
        <v>106.41037570387184</v>
      </c>
    </row>
    <row r="701" spans="1:44" x14ac:dyDescent="0.25">
      <c r="A701" t="s">
        <v>250</v>
      </c>
      <c r="B701" t="s">
        <v>323</v>
      </c>
      <c r="C701" t="s">
        <v>44</v>
      </c>
      <c r="D701" t="s">
        <v>324</v>
      </c>
      <c r="E701" t="s">
        <v>148</v>
      </c>
      <c r="F701" t="s">
        <v>324</v>
      </c>
      <c r="G701" t="s">
        <v>31</v>
      </c>
      <c r="H701" t="s">
        <v>289</v>
      </c>
      <c r="I701" t="s">
        <v>135</v>
      </c>
      <c r="J701" t="s">
        <v>39</v>
      </c>
      <c r="K701" t="s">
        <v>31</v>
      </c>
      <c r="L701">
        <v>2.5658823529411769</v>
      </c>
      <c r="M701">
        <v>1</v>
      </c>
      <c r="N701" s="2">
        <v>7.7071005546982621</v>
      </c>
      <c r="O701" s="2">
        <v>5.4757113018011117</v>
      </c>
      <c r="P701" s="1">
        <v>-2.0193742854541559</v>
      </c>
      <c r="Q701" s="1">
        <v>0.38483263480735791</v>
      </c>
      <c r="R701" s="1">
        <v>-1.8625523936223527</v>
      </c>
      <c r="S701" s="19">
        <v>1.1399673849869787</v>
      </c>
      <c r="T701" s="19">
        <v>1.5082247481761957</v>
      </c>
      <c r="U701" s="19">
        <v>1.5677417871627459</v>
      </c>
      <c r="V701" s="19">
        <v>1.6123650509300995</v>
      </c>
      <c r="W701" s="19">
        <v>1.6460681631695842</v>
      </c>
      <c r="X701" s="19">
        <v>1.6722608953504223</v>
      </c>
      <c r="Y701" s="19">
        <v>1.6935931392726131</v>
      </c>
      <c r="Z701" s="19">
        <v>1.7164423378076341</v>
      </c>
      <c r="AA701" s="19">
        <v>1.7309217557168033</v>
      </c>
      <c r="AB701" s="19">
        <v>1.7455778582621038</v>
      </c>
      <c r="AC701" s="19">
        <v>1.7604125839167439</v>
      </c>
      <c r="AD701" s="19">
        <v>1.7754278930210836</v>
      </c>
      <c r="AE701" s="19">
        <v>1.7906257680279871</v>
      </c>
      <c r="AF701" s="19">
        <v>1.8060082137499744</v>
      </c>
      <c r="AG701" s="19">
        <v>1.8215772576099587</v>
      </c>
      <c r="AH701" s="19">
        <v>1.8373349498940077</v>
      </c>
      <c r="AI701" s="19">
        <v>1.8532833640078279</v>
      </c>
      <c r="AJ701" s="19">
        <v>1.8694245967353145</v>
      </c>
      <c r="AK701" s="19">
        <v>1.8857607685003104</v>
      </c>
      <c r="AL701" s="19">
        <v>1.9022940236317751</v>
      </c>
      <c r="AM701" s="19">
        <v>1.9190265306309329</v>
      </c>
      <c r="AN701" s="19">
        <v>1.9359604824422127</v>
      </c>
      <c r="AO701" s="19">
        <v>1.9530980967272125</v>
      </c>
      <c r="AP701" s="19">
        <v>1.9704416161410525</v>
      </c>
      <c r="AQ701" s="19">
        <v>1.9879933086126784</v>
      </c>
      <c r="AR701" s="19">
        <v>44.101832574484249</v>
      </c>
    </row>
    <row r="702" spans="1:44" x14ac:dyDescent="0.25">
      <c r="A702" t="s">
        <v>250</v>
      </c>
      <c r="B702" t="s">
        <v>323</v>
      </c>
      <c r="C702" t="s">
        <v>44</v>
      </c>
      <c r="D702" t="s">
        <v>324</v>
      </c>
      <c r="E702" t="s">
        <v>145</v>
      </c>
      <c r="F702" t="s">
        <v>324</v>
      </c>
      <c r="G702" t="s">
        <v>31</v>
      </c>
      <c r="H702" t="s">
        <v>290</v>
      </c>
      <c r="I702" t="s">
        <v>135</v>
      </c>
      <c r="J702" t="s">
        <v>39</v>
      </c>
      <c r="K702" t="s">
        <v>31</v>
      </c>
      <c r="L702">
        <v>2.5658823529411769</v>
      </c>
      <c r="M702">
        <v>1</v>
      </c>
      <c r="N702" s="2">
        <v>7.7071005546982621</v>
      </c>
      <c r="O702" s="2">
        <v>5.4757113018011117</v>
      </c>
      <c r="P702" s="1">
        <v>-2.0193742854541559</v>
      </c>
      <c r="Q702" s="1">
        <v>0.38483263480735791</v>
      </c>
      <c r="R702" s="1">
        <v>-1.8625523936223527</v>
      </c>
      <c r="S702" s="19">
        <v>9.7033043415005569</v>
      </c>
      <c r="T702" s="19">
        <v>10.121954231375442</v>
      </c>
      <c r="U702" s="19">
        <v>10.404079935124797</v>
      </c>
      <c r="V702" s="19">
        <v>10.580570423148856</v>
      </c>
      <c r="W702" s="19">
        <v>10.680606651654104</v>
      </c>
      <c r="X702" s="19">
        <v>10.728536852715452</v>
      </c>
      <c r="Y702" s="19">
        <v>10.742861636713377</v>
      </c>
      <c r="Z702" s="19">
        <v>10.764670541998749</v>
      </c>
      <c r="AA702" s="19">
        <v>10.732376530372752</v>
      </c>
      <c r="AB702" s="19">
        <v>10.700179400781632</v>
      </c>
      <c r="AC702" s="19">
        <v>10.668078862579288</v>
      </c>
      <c r="AD702" s="19">
        <v>10.636074625991553</v>
      </c>
      <c r="AE702" s="19">
        <v>10.604166402113576</v>
      </c>
      <c r="AF702" s="19">
        <v>10.572353902907237</v>
      </c>
      <c r="AG702" s="19">
        <v>5.7899764741064601</v>
      </c>
      <c r="AH702" s="19">
        <v>0.21948551607860833</v>
      </c>
      <c r="AI702" s="19">
        <v>0.18092973863717632</v>
      </c>
      <c r="AJ702" s="19">
        <v>0.11423430578032892</v>
      </c>
      <c r="AK702" s="19">
        <v>6.9345728603293438E-2</v>
      </c>
      <c r="AL702" s="19">
        <v>4.0512553635000885E-2</v>
      </c>
      <c r="AM702" s="19">
        <v>2.2799853445155106E-2</v>
      </c>
      <c r="AN702" s="19">
        <v>1.2373088070443032E-2</v>
      </c>
      <c r="AO702" s="19">
        <v>0</v>
      </c>
      <c r="AP702" s="19">
        <v>0</v>
      </c>
      <c r="AQ702" s="19">
        <v>0</v>
      </c>
      <c r="AR702" s="19">
        <v>154.08947159733381</v>
      </c>
    </row>
    <row r="703" spans="1:44" x14ac:dyDescent="0.25">
      <c r="A703" t="s">
        <v>250</v>
      </c>
      <c r="B703" t="s">
        <v>323</v>
      </c>
      <c r="C703" t="s">
        <v>44</v>
      </c>
      <c r="D703" t="s">
        <v>324</v>
      </c>
      <c r="E703" t="s">
        <v>148</v>
      </c>
      <c r="F703" t="s">
        <v>324</v>
      </c>
      <c r="G703" t="s">
        <v>31</v>
      </c>
      <c r="H703" t="s">
        <v>290</v>
      </c>
      <c r="I703" t="s">
        <v>135</v>
      </c>
      <c r="J703" t="s">
        <v>39</v>
      </c>
      <c r="K703" t="s">
        <v>31</v>
      </c>
      <c r="L703">
        <v>2.5658823529411769</v>
      </c>
      <c r="M703">
        <v>1</v>
      </c>
      <c r="N703" s="2">
        <v>7.7071005546982621</v>
      </c>
      <c r="O703" s="2">
        <v>5.4757113018011117</v>
      </c>
      <c r="P703" s="1">
        <v>-2.0193742854541559</v>
      </c>
      <c r="Q703" s="1">
        <v>0.38483263480735791</v>
      </c>
      <c r="R703" s="1">
        <v>-1.8625523936223527</v>
      </c>
      <c r="S703" s="19">
        <v>1.6507504162909057</v>
      </c>
      <c r="T703" s="19">
        <v>2.1840121600852269</v>
      </c>
      <c r="U703" s="19">
        <v>2.2701968862250226</v>
      </c>
      <c r="V703" s="19">
        <v>2.3348144114370246</v>
      </c>
      <c r="W703" s="19">
        <v>2.3836188134684746</v>
      </c>
      <c r="X703" s="19">
        <v>2.4215476736452946</v>
      </c>
      <c r="Y703" s="19">
        <v>2.4524382157771898</v>
      </c>
      <c r="Z703" s="19">
        <v>2.4855254115078518</v>
      </c>
      <c r="AA703" s="19">
        <v>2.5064925948290275</v>
      </c>
      <c r="AB703" s="19">
        <v>2.5277156295373095</v>
      </c>
      <c r="AC703" s="19">
        <v>2.549197322673856</v>
      </c>
      <c r="AD703" s="19">
        <v>2.5709405129450378</v>
      </c>
      <c r="AE703" s="19">
        <v>2.5929480710776533</v>
      </c>
      <c r="AF703" s="19">
        <v>2.6152229001767817</v>
      </c>
      <c r="AG703" s="19">
        <v>2.6377679360888102</v>
      </c>
      <c r="AH703" s="19">
        <v>2.6605861477677295</v>
      </c>
      <c r="AI703" s="19">
        <v>2.6836805376461954</v>
      </c>
      <c r="AJ703" s="19">
        <v>2.7070541420099414</v>
      </c>
      <c r="AK703" s="19">
        <v>2.7307100313773365</v>
      </c>
      <c r="AL703" s="19">
        <v>2.7546513108826645</v>
      </c>
      <c r="AM703" s="19">
        <v>2.7788811206633532</v>
      </c>
      <c r="AN703" s="19">
        <v>2.8034026362523918</v>
      </c>
      <c r="AO703" s="19">
        <v>2.8282190689747311</v>
      </c>
      <c r="AP703" s="19">
        <v>2.8533336663477797</v>
      </c>
      <c r="AQ703" s="19">
        <v>2.8787497124871164</v>
      </c>
      <c r="AR703" s="19">
        <v>63.862457330174706</v>
      </c>
    </row>
    <row r="704" spans="1:44" x14ac:dyDescent="0.25">
      <c r="A704" t="s">
        <v>250</v>
      </c>
      <c r="B704" t="s">
        <v>323</v>
      </c>
      <c r="C704" t="s">
        <v>44</v>
      </c>
      <c r="D704" t="s">
        <v>324</v>
      </c>
      <c r="E704" t="s">
        <v>145</v>
      </c>
      <c r="F704" t="s">
        <v>324</v>
      </c>
      <c r="G704" t="s">
        <v>31</v>
      </c>
      <c r="H704" t="s">
        <v>288</v>
      </c>
      <c r="I704" t="s">
        <v>135</v>
      </c>
      <c r="J704" t="s">
        <v>39</v>
      </c>
      <c r="K704" t="s">
        <v>33</v>
      </c>
      <c r="L704">
        <v>2.5658823529411769</v>
      </c>
      <c r="M704">
        <v>1</v>
      </c>
      <c r="N704" s="2">
        <v>7.7071005546982621</v>
      </c>
      <c r="O704" s="2">
        <v>5.4757113018011117</v>
      </c>
      <c r="P704" s="1">
        <v>-2.0193742854541559</v>
      </c>
      <c r="Q704" s="1">
        <v>0.38483263480735791</v>
      </c>
      <c r="R704" s="1">
        <v>-1.8625523936223527</v>
      </c>
      <c r="S704" s="19">
        <v>6.6321559162430183E-2</v>
      </c>
      <c r="T704" s="19">
        <v>6.9183008464904452E-2</v>
      </c>
      <c r="U704" s="19">
        <v>7.1111322356124884E-2</v>
      </c>
      <c r="V704" s="19">
        <v>7.2317625274300051E-2</v>
      </c>
      <c r="W704" s="19">
        <v>7.3001367473214826E-2</v>
      </c>
      <c r="X704" s="19">
        <v>7.3328967799194719E-2</v>
      </c>
      <c r="Y704" s="19">
        <v>7.3426876921280484E-2</v>
      </c>
      <c r="Z704" s="19">
        <v>7.3575939606655122E-2</v>
      </c>
      <c r="AA704" s="19">
        <v>7.3355211787835162E-2</v>
      </c>
      <c r="AB704" s="19">
        <v>7.3135146152471686E-2</v>
      </c>
      <c r="AC704" s="19">
        <v>7.2915740714014243E-2</v>
      </c>
      <c r="AD704" s="19">
        <v>7.2696993491872211E-2</v>
      </c>
      <c r="AE704" s="19">
        <v>7.2478902511396603E-2</v>
      </c>
      <c r="AF704" s="19">
        <v>7.226146580386239E-2</v>
      </c>
      <c r="AG704" s="19">
        <v>3.9574175328520089E-2</v>
      </c>
      <c r="AH704" s="19">
        <v>1.5001716041870383E-3</v>
      </c>
      <c r="AI704" s="19">
        <v>1.2366449554660432E-3</v>
      </c>
      <c r="AJ704" s="19">
        <v>7.8078528741866307E-4</v>
      </c>
      <c r="AK704" s="19">
        <v>4.7397429580302102E-4</v>
      </c>
      <c r="AL704" s="19">
        <v>2.7690110792807969E-4</v>
      </c>
      <c r="AM704" s="19">
        <v>1.5583576232792274E-4</v>
      </c>
      <c r="AN704" s="19">
        <v>8.4569386221987412E-5</v>
      </c>
      <c r="AO704" s="19">
        <v>0</v>
      </c>
      <c r="AP704" s="19">
        <v>0</v>
      </c>
      <c r="AQ704" s="19">
        <v>0</v>
      </c>
      <c r="AR704" s="19">
        <v>1.0531931852474297</v>
      </c>
    </row>
    <row r="705" spans="1:44" x14ac:dyDescent="0.25">
      <c r="A705" t="s">
        <v>250</v>
      </c>
      <c r="B705" t="s">
        <v>323</v>
      </c>
      <c r="C705" t="s">
        <v>44</v>
      </c>
      <c r="D705" t="s">
        <v>324</v>
      </c>
      <c r="E705" t="s">
        <v>148</v>
      </c>
      <c r="F705" t="s">
        <v>324</v>
      </c>
      <c r="G705" t="s">
        <v>31</v>
      </c>
      <c r="H705" t="s">
        <v>288</v>
      </c>
      <c r="I705" t="s">
        <v>135</v>
      </c>
      <c r="J705" t="s">
        <v>39</v>
      </c>
      <c r="K705" t="s">
        <v>33</v>
      </c>
      <c r="L705">
        <v>2.5658823529411769</v>
      </c>
      <c r="M705">
        <v>1</v>
      </c>
      <c r="N705" s="2">
        <v>7.7071005546982621</v>
      </c>
      <c r="O705" s="2">
        <v>5.4757113018011117</v>
      </c>
      <c r="P705" s="1">
        <v>-2.0193742854541559</v>
      </c>
      <c r="Q705" s="1">
        <v>0.38483263480735791</v>
      </c>
      <c r="R705" s="1">
        <v>-1.8625523936223527</v>
      </c>
      <c r="S705" s="19">
        <v>1.1282789608917192E-2</v>
      </c>
      <c r="T705" s="19">
        <v>1.4927604719874052E-2</v>
      </c>
      <c r="U705" s="19">
        <v>1.5516672651004875E-2</v>
      </c>
      <c r="V705" s="19">
        <v>1.5958329932941984E-2</v>
      </c>
      <c r="W705" s="19">
        <v>1.6291905375162626E-2</v>
      </c>
      <c r="X705" s="19">
        <v>1.6551147078364699E-2</v>
      </c>
      <c r="Y705" s="19">
        <v>1.6762282259274071E-2</v>
      </c>
      <c r="Z705" s="19">
        <v>1.6988431448451188E-2</v>
      </c>
      <c r="AA705" s="19">
        <v>1.713174100983016E-2</v>
      </c>
      <c r="AB705" s="19">
        <v>1.7276799301570157E-2</v>
      </c>
      <c r="AC705" s="19">
        <v>1.7423625509645213E-2</v>
      </c>
      <c r="AD705" s="19">
        <v>1.7572239036460345E-2</v>
      </c>
      <c r="AE705" s="19">
        <v>1.7722659503277248E-2</v>
      </c>
      <c r="AF705" s="19">
        <v>1.7874906752661242E-2</v>
      </c>
      <c r="AG705" s="19">
        <v>1.8029000850964049E-2</v>
      </c>
      <c r="AH705" s="19">
        <v>1.8184962090824427E-2</v>
      </c>
      <c r="AI705" s="19">
        <v>1.8342810993707191E-2</v>
      </c>
      <c r="AJ705" s="19">
        <v>1.85025683124612E-2</v>
      </c>
      <c r="AK705" s="19">
        <v>1.866425503391201E-2</v>
      </c>
      <c r="AL705" s="19">
        <v>1.8827892381485429E-2</v>
      </c>
      <c r="AM705" s="19">
        <v>1.8993501817849121E-2</v>
      </c>
      <c r="AN705" s="19">
        <v>1.9161105047600116E-2</v>
      </c>
      <c r="AO705" s="19">
        <v>1.9330724019969665E-2</v>
      </c>
      <c r="AP705" s="19">
        <v>1.9502380931563514E-2</v>
      </c>
      <c r="AQ705" s="19">
        <v>1.9676098229133385E-2</v>
      </c>
      <c r="AR705" s="19">
        <v>0.43649643389690518</v>
      </c>
    </row>
    <row r="706" spans="1:44" x14ac:dyDescent="0.25">
      <c r="A706" t="s">
        <v>250</v>
      </c>
      <c r="B706" t="s">
        <v>325</v>
      </c>
      <c r="C706" t="s">
        <v>44</v>
      </c>
      <c r="D706" t="s">
        <v>324</v>
      </c>
      <c r="E706" t="s">
        <v>145</v>
      </c>
      <c r="F706" t="s">
        <v>324</v>
      </c>
      <c r="G706" t="s">
        <v>31</v>
      </c>
      <c r="H706" t="s">
        <v>278</v>
      </c>
      <c r="I706" t="s">
        <v>135</v>
      </c>
      <c r="J706" t="s">
        <v>39</v>
      </c>
      <c r="K706" t="s">
        <v>31</v>
      </c>
      <c r="L706">
        <v>2.080588235294119</v>
      </c>
      <c r="M706">
        <v>1</v>
      </c>
      <c r="N706" s="2">
        <v>7.2771517636398224</v>
      </c>
      <c r="O706" s="2">
        <v>5.4656142296399581</v>
      </c>
      <c r="P706" s="1">
        <v>-1.9973891453265649</v>
      </c>
      <c r="Q706" s="1">
        <v>0.40681777493494881</v>
      </c>
      <c r="R706" s="1">
        <v>-1.8625523936223536</v>
      </c>
      <c r="S706" s="19">
        <v>3.3849182070010317</v>
      </c>
      <c r="T706" s="19">
        <v>3.509711277226061</v>
      </c>
      <c r="U706" s="19">
        <v>3.5858258883878986</v>
      </c>
      <c r="V706" s="19">
        <v>3.6247085850877152</v>
      </c>
      <c r="W706" s="19">
        <v>3.6369592200670473</v>
      </c>
      <c r="X706" s="19">
        <v>3.6312947684729151</v>
      </c>
      <c r="Y706" s="19">
        <v>3.6142607800798214</v>
      </c>
      <c r="Z706" s="19">
        <v>3.5998030578576796</v>
      </c>
      <c r="AA706" s="19">
        <v>3.5674048303369608</v>
      </c>
      <c r="AB706" s="19">
        <v>3.5352981868639284</v>
      </c>
      <c r="AC706" s="19">
        <v>3.5034805031821534</v>
      </c>
      <c r="AD706" s="19">
        <v>3.4719491786535133</v>
      </c>
      <c r="AE706" s="19">
        <v>3.440701636045632</v>
      </c>
      <c r="AF706" s="19">
        <v>0.19806956602886505</v>
      </c>
      <c r="AG706" s="19">
        <v>0</v>
      </c>
      <c r="AH706" s="19">
        <v>7.6565723737013883E-2</v>
      </c>
      <c r="AI706" s="19">
        <v>8.952140258387345E-2</v>
      </c>
      <c r="AJ706" s="19">
        <v>5.6186778888607181E-2</v>
      </c>
      <c r="AK706" s="19">
        <v>3.3908397716252099E-2</v>
      </c>
      <c r="AL706" s="19">
        <v>1.9695020547715523E-2</v>
      </c>
      <c r="AM706" s="19">
        <v>1.1020655807932454E-2</v>
      </c>
      <c r="AN706" s="19">
        <v>5.9469096068416631E-3</v>
      </c>
      <c r="AO706" s="19">
        <v>0</v>
      </c>
      <c r="AP706" s="19">
        <v>0</v>
      </c>
      <c r="AQ706" s="19">
        <v>0</v>
      </c>
      <c r="AR706" s="19">
        <v>46.597230574179456</v>
      </c>
    </row>
    <row r="707" spans="1:44" x14ac:dyDescent="0.25">
      <c r="A707" t="s">
        <v>250</v>
      </c>
      <c r="B707" t="s">
        <v>325</v>
      </c>
      <c r="C707" t="s">
        <v>44</v>
      </c>
      <c r="D707" t="s">
        <v>324</v>
      </c>
      <c r="E707" t="s">
        <v>148</v>
      </c>
      <c r="F707" t="s">
        <v>324</v>
      </c>
      <c r="G707" t="s">
        <v>31</v>
      </c>
      <c r="H707" t="s">
        <v>278</v>
      </c>
      <c r="I707" t="s">
        <v>135</v>
      </c>
      <c r="J707" t="s">
        <v>39</v>
      </c>
      <c r="K707" t="s">
        <v>31</v>
      </c>
      <c r="L707">
        <v>2.080588235294119</v>
      </c>
      <c r="M707">
        <v>1</v>
      </c>
      <c r="N707" s="2">
        <v>7.2771517636398224</v>
      </c>
      <c r="O707" s="2">
        <v>5.4656142296399581</v>
      </c>
      <c r="P707" s="1">
        <v>-1.9973891453265649</v>
      </c>
      <c r="Q707" s="1">
        <v>0.40681777493494881</v>
      </c>
      <c r="R707" s="1">
        <v>-1.8625523936223536</v>
      </c>
      <c r="S707" s="19">
        <v>0.57585075585226064</v>
      </c>
      <c r="T707" s="19">
        <v>1.0806174446708194</v>
      </c>
      <c r="U707" s="19">
        <v>1.1166089696839103</v>
      </c>
      <c r="V707" s="19">
        <v>1.1416682361151755</v>
      </c>
      <c r="W707" s="19">
        <v>1.1587870251808641</v>
      </c>
      <c r="X707" s="19">
        <v>1.1704918848684638</v>
      </c>
      <c r="Y707" s="19">
        <v>1.1787217792808282</v>
      </c>
      <c r="Z707" s="19">
        <v>1.1879510744623627</v>
      </c>
      <c r="AA707" s="19">
        <v>1.1913602954757998</v>
      </c>
      <c r="AB707" s="19">
        <v>1.194896964068634</v>
      </c>
      <c r="AC707" s="19">
        <v>1.1985617065383825</v>
      </c>
      <c r="AD707" s="19">
        <v>1.2023551634324121</v>
      </c>
      <c r="AE707" s="19">
        <v>1.2062779896429348</v>
      </c>
      <c r="AF707" s="19">
        <v>1.2103308545031906</v>
      </c>
      <c r="AG707" s="19">
        <v>1.2145144418856908</v>
      </c>
      <c r="AH707" s="19">
        <v>1.2188294503018615</v>
      </c>
      <c r="AI707" s="19">
        <v>1.2232765930035441</v>
      </c>
      <c r="AJ707" s="19">
        <v>1.2278565980861167</v>
      </c>
      <c r="AK707" s="19">
        <v>1.2325702085932655</v>
      </c>
      <c r="AL707" s="19">
        <v>1.2374181826238253</v>
      </c>
      <c r="AM707" s="19">
        <v>1.2424012934397559</v>
      </c>
      <c r="AN707" s="19">
        <v>1.2475203295765005</v>
      </c>
      <c r="AO707" s="19">
        <v>1.2527760949547724</v>
      </c>
      <c r="AP707" s="19">
        <v>1.2581694089941358</v>
      </c>
      <c r="AQ707" s="19">
        <v>1.2637011067286184</v>
      </c>
      <c r="AR707" s="19">
        <v>29.433513851964118</v>
      </c>
    </row>
    <row r="708" spans="1:44" x14ac:dyDescent="0.25">
      <c r="A708" t="s">
        <v>250</v>
      </c>
      <c r="B708" t="s">
        <v>326</v>
      </c>
      <c r="C708" t="s">
        <v>44</v>
      </c>
      <c r="D708" t="s">
        <v>324</v>
      </c>
      <c r="E708" t="s">
        <v>145</v>
      </c>
      <c r="F708" t="s">
        <v>324</v>
      </c>
      <c r="G708" t="s">
        <v>31</v>
      </c>
      <c r="H708" t="s">
        <v>272</v>
      </c>
      <c r="I708" t="s">
        <v>135</v>
      </c>
      <c r="J708" t="s">
        <v>39</v>
      </c>
      <c r="K708" t="s">
        <v>31</v>
      </c>
      <c r="L708">
        <v>2.0876470588235296</v>
      </c>
      <c r="M708">
        <v>1</v>
      </c>
      <c r="N708" s="2">
        <v>7.2865699682034801</v>
      </c>
      <c r="O708" s="2">
        <v>5.4674005771508289</v>
      </c>
      <c r="P708" s="1">
        <v>-1.9977821848254711</v>
      </c>
      <c r="Q708" s="1">
        <v>0.40642473543604118</v>
      </c>
      <c r="R708" s="1">
        <v>-1.8625523936223525</v>
      </c>
      <c r="S708" s="19">
        <v>7.544359847026354</v>
      </c>
      <c r="T708" s="19">
        <v>7.8572322253036324</v>
      </c>
      <c r="U708" s="19">
        <v>8.0632732644526435</v>
      </c>
      <c r="V708" s="19">
        <v>8.186895713817119</v>
      </c>
      <c r="W708" s="19">
        <v>8.2510377726027642</v>
      </c>
      <c r="X708" s="19">
        <v>8.2747642541703925</v>
      </c>
      <c r="Y708" s="19">
        <v>8.2725155595036934</v>
      </c>
      <c r="Z708" s="19">
        <v>8.2760066526370881</v>
      </c>
      <c r="AA708" s="19">
        <v>8.2379370220349557</v>
      </c>
      <c r="AB708" s="19">
        <v>8.2000425117335958</v>
      </c>
      <c r="AC708" s="19">
        <v>8.1623223161796208</v>
      </c>
      <c r="AD708" s="19">
        <v>8.1247756335251946</v>
      </c>
      <c r="AE708" s="19">
        <v>8.0874016656109777</v>
      </c>
      <c r="AF708" s="19">
        <v>8.0501996179491684</v>
      </c>
      <c r="AG708" s="19">
        <v>1.1927394187878</v>
      </c>
      <c r="AH708" s="19">
        <v>0.17065090985811932</v>
      </c>
      <c r="AI708" s="19">
        <v>0.15636779189905195</v>
      </c>
      <c r="AJ708" s="19">
        <v>9.8570852055113248E-2</v>
      </c>
      <c r="AK708" s="19">
        <v>5.974396196370451E-2</v>
      </c>
      <c r="AL708" s="19">
        <v>3.4849291773056727E-2</v>
      </c>
      <c r="AM708" s="19">
        <v>1.9582768372978503E-2</v>
      </c>
      <c r="AN708" s="19">
        <v>1.0611223384595116E-2</v>
      </c>
      <c r="AO708" s="19">
        <v>0</v>
      </c>
      <c r="AP708" s="19">
        <v>0</v>
      </c>
      <c r="AQ708" s="19">
        <v>0</v>
      </c>
      <c r="AR708" s="19">
        <v>115.33188027464163</v>
      </c>
    </row>
    <row r="709" spans="1:44" x14ac:dyDescent="0.25">
      <c r="A709" t="s">
        <v>250</v>
      </c>
      <c r="B709" t="s">
        <v>326</v>
      </c>
      <c r="C709" t="s">
        <v>44</v>
      </c>
      <c r="D709" t="s">
        <v>324</v>
      </c>
      <c r="E709" t="s">
        <v>148</v>
      </c>
      <c r="F709" t="s">
        <v>324</v>
      </c>
      <c r="G709" t="s">
        <v>31</v>
      </c>
      <c r="H709" t="s">
        <v>272</v>
      </c>
      <c r="I709" t="s">
        <v>135</v>
      </c>
      <c r="J709" t="s">
        <v>39</v>
      </c>
      <c r="K709" t="s">
        <v>31</v>
      </c>
      <c r="L709">
        <v>2.0876470588235296</v>
      </c>
      <c r="M709">
        <v>1</v>
      </c>
      <c r="N709" s="2">
        <v>7.2865699682034801</v>
      </c>
      <c r="O709" s="2">
        <v>5.4674005771508289</v>
      </c>
      <c r="P709" s="1">
        <v>-1.9977821848254711</v>
      </c>
      <c r="Q709" s="1">
        <v>0.40642473543604118</v>
      </c>
      <c r="R709" s="1">
        <v>-1.8625523936223525</v>
      </c>
      <c r="S709" s="19">
        <v>1.283465376311306</v>
      </c>
      <c r="T709" s="19">
        <v>1.8875236405334337</v>
      </c>
      <c r="U709" s="19">
        <v>1.9589145299169788</v>
      </c>
      <c r="V709" s="19">
        <v>2.0115307200417512</v>
      </c>
      <c r="W709" s="19">
        <v>2.0504120341242547</v>
      </c>
      <c r="X709" s="19">
        <v>2.0798645619012728</v>
      </c>
      <c r="Y709" s="19">
        <v>2.1032235118971276</v>
      </c>
      <c r="Z709" s="19">
        <v>2.1284256048435104</v>
      </c>
      <c r="AA709" s="19">
        <v>2.1432220269241928</v>
      </c>
      <c r="AB709" s="19">
        <v>2.1582261137947878</v>
      </c>
      <c r="AC709" s="19">
        <v>2.1734400023010712</v>
      </c>
      <c r="AD709" s="19">
        <v>2.1888658541350976</v>
      </c>
      <c r="AE709" s="19">
        <v>2.2045058561100199</v>
      </c>
      <c r="AF709" s="19">
        <v>2.2203622204372508</v>
      </c>
      <c r="AG709" s="19">
        <v>2.2364371850079299</v>
      </c>
      <c r="AH709" s="19">
        <v>2.2527330136762105</v>
      </c>
      <c r="AI709" s="19">
        <v>2.269251996547053</v>
      </c>
      <c r="AJ709" s="19">
        <v>2.2859964502661438</v>
      </c>
      <c r="AK709" s="19">
        <v>2.302968718313811</v>
      </c>
      <c r="AL709" s="19">
        <v>2.3201711713021766</v>
      </c>
      <c r="AM709" s="19">
        <v>2.3376062072751251</v>
      </c>
      <c r="AN709" s="19">
        <v>2.3552762520122497</v>
      </c>
      <c r="AO709" s="19">
        <v>2.3731837593361642</v>
      </c>
      <c r="AP709" s="19">
        <v>2.3913312114227687</v>
      </c>
      <c r="AQ709" s="19">
        <v>2.4097211191157055</v>
      </c>
      <c r="AR709" s="19">
        <v>54.126659137547406</v>
      </c>
    </row>
    <row r="710" spans="1:44" x14ac:dyDescent="0.25">
      <c r="A710" t="s">
        <v>250</v>
      </c>
      <c r="B710" t="s">
        <v>326</v>
      </c>
      <c r="C710" t="s">
        <v>44</v>
      </c>
      <c r="D710" t="s">
        <v>324</v>
      </c>
      <c r="E710" t="s">
        <v>145</v>
      </c>
      <c r="F710" t="s">
        <v>324</v>
      </c>
      <c r="G710" t="s">
        <v>31</v>
      </c>
      <c r="H710" t="s">
        <v>273</v>
      </c>
      <c r="I710" t="s">
        <v>135</v>
      </c>
      <c r="J710" t="s">
        <v>39</v>
      </c>
      <c r="K710" t="s">
        <v>31</v>
      </c>
      <c r="L710">
        <v>2.0876470588235296</v>
      </c>
      <c r="M710">
        <v>1</v>
      </c>
      <c r="N710" s="2">
        <v>7.2865699682034801</v>
      </c>
      <c r="O710" s="2">
        <v>5.4674005771508289</v>
      </c>
      <c r="P710" s="1">
        <v>-1.9977821848254711</v>
      </c>
      <c r="Q710" s="1">
        <v>0.40642473543604118</v>
      </c>
      <c r="R710" s="1">
        <v>-1.8625523936223525</v>
      </c>
      <c r="S710" s="19">
        <v>2.2690156205278238</v>
      </c>
      <c r="T710" s="19">
        <v>2.3631140368199164</v>
      </c>
      <c r="U710" s="19">
        <v>2.4250822283932778</v>
      </c>
      <c r="V710" s="19">
        <v>2.4622624894549845</v>
      </c>
      <c r="W710" s="19">
        <v>2.4815536336035251</v>
      </c>
      <c r="X710" s="19">
        <v>2.488689528283619</v>
      </c>
      <c r="Y710" s="19">
        <v>2.4880132186393293</v>
      </c>
      <c r="Z710" s="19">
        <v>2.4890631877570555</v>
      </c>
      <c r="AA710" s="19">
        <v>2.477613497093373</v>
      </c>
      <c r="AB710" s="19">
        <v>2.4662164750067435</v>
      </c>
      <c r="AC710" s="19">
        <v>2.4548718792217121</v>
      </c>
      <c r="AD710" s="19">
        <v>2.4435794685772914</v>
      </c>
      <c r="AE710" s="19">
        <v>2.4323390030218364</v>
      </c>
      <c r="AF710" s="19">
        <v>2.421150243607936</v>
      </c>
      <c r="AG710" s="19">
        <v>0.35872418963622588</v>
      </c>
      <c r="AH710" s="19">
        <v>5.1324378473009725E-2</v>
      </c>
      <c r="AI710" s="19">
        <v>4.7028637228411226E-2</v>
      </c>
      <c r="AJ710" s="19">
        <v>2.9645829146119441E-2</v>
      </c>
      <c r="AK710" s="19">
        <v>1.7968387732896801E-2</v>
      </c>
      <c r="AL710" s="19">
        <v>1.0481152675738887E-2</v>
      </c>
      <c r="AM710" s="19">
        <v>5.8896458059301618E-3</v>
      </c>
      <c r="AN710" s="19">
        <v>3.1913949096750208E-3</v>
      </c>
      <c r="AO710" s="19">
        <v>0</v>
      </c>
      <c r="AP710" s="19">
        <v>0</v>
      </c>
      <c r="AQ710" s="19">
        <v>0</v>
      </c>
      <c r="AR710" s="19">
        <v>34.686818125616433</v>
      </c>
    </row>
    <row r="711" spans="1:44" x14ac:dyDescent="0.25">
      <c r="A711" t="s">
        <v>250</v>
      </c>
      <c r="B711" t="s">
        <v>326</v>
      </c>
      <c r="C711" t="s">
        <v>44</v>
      </c>
      <c r="D711" t="s">
        <v>324</v>
      </c>
      <c r="E711" t="s">
        <v>148</v>
      </c>
      <c r="F711" t="s">
        <v>324</v>
      </c>
      <c r="G711" t="s">
        <v>31</v>
      </c>
      <c r="H711" t="s">
        <v>273</v>
      </c>
      <c r="I711" t="s">
        <v>135</v>
      </c>
      <c r="J711" t="s">
        <v>39</v>
      </c>
      <c r="K711" t="s">
        <v>31</v>
      </c>
      <c r="L711">
        <v>2.0876470588235296</v>
      </c>
      <c r="M711">
        <v>1</v>
      </c>
      <c r="N711" s="2">
        <v>7.2865699682034801</v>
      </c>
      <c r="O711" s="2">
        <v>5.4674005771508289</v>
      </c>
      <c r="P711" s="1">
        <v>-1.9977821848254711</v>
      </c>
      <c r="Q711" s="1">
        <v>0.40642473543604118</v>
      </c>
      <c r="R711" s="1">
        <v>-1.8625523936223525</v>
      </c>
      <c r="S711" s="19">
        <v>0.38601061538771031</v>
      </c>
      <c r="T711" s="19">
        <v>0.56768509341107543</v>
      </c>
      <c r="U711" s="19">
        <v>0.58915637082348971</v>
      </c>
      <c r="V711" s="19">
        <v>0.60498103450690721</v>
      </c>
      <c r="W711" s="19">
        <v>0.61667484429178232</v>
      </c>
      <c r="X711" s="19">
        <v>0.62553288486052039</v>
      </c>
      <c r="Y711" s="19">
        <v>0.63255824201399791</v>
      </c>
      <c r="Z711" s="19">
        <v>0.64013793647777462</v>
      </c>
      <c r="AA711" s="19">
        <v>0.6445880572978121</v>
      </c>
      <c r="AB711" s="19">
        <v>0.64910063466307388</v>
      </c>
      <c r="AC711" s="19">
        <v>0.65367631124395331</v>
      </c>
      <c r="AD711" s="19">
        <v>0.65831573718347347</v>
      </c>
      <c r="AE711" s="19">
        <v>0.6630195701799968</v>
      </c>
      <c r="AF711" s="19">
        <v>0.66778847557063559</v>
      </c>
      <c r="AG711" s="19">
        <v>0.67262312641574062</v>
      </c>
      <c r="AH711" s="19">
        <v>0.67752420358432164</v>
      </c>
      <c r="AI711" s="19">
        <v>0.68249239584041466</v>
      </c>
      <c r="AJ711" s="19">
        <v>0.68752839993038295</v>
      </c>
      <c r="AK711" s="19">
        <v>0.69263292067127058</v>
      </c>
      <c r="AL711" s="19">
        <v>0.69780667104022698</v>
      </c>
      <c r="AM711" s="19">
        <v>0.70305037226460798</v>
      </c>
      <c r="AN711" s="19">
        <v>0.70836475391354614</v>
      </c>
      <c r="AO711" s="19">
        <v>0.71375055399022735</v>
      </c>
      <c r="AP711" s="19">
        <v>0.71920851902532912</v>
      </c>
      <c r="AQ711" s="19">
        <v>0.72473940417150429</v>
      </c>
      <c r="AR711" s="19">
        <v>16.278947128759775</v>
      </c>
    </row>
    <row r="712" spans="1:44" x14ac:dyDescent="0.25">
      <c r="A712" t="s">
        <v>250</v>
      </c>
      <c r="B712" t="s">
        <v>326</v>
      </c>
      <c r="C712" t="s">
        <v>44</v>
      </c>
      <c r="D712" t="s">
        <v>324</v>
      </c>
      <c r="E712" t="s">
        <v>145</v>
      </c>
      <c r="F712" t="s">
        <v>324</v>
      </c>
      <c r="G712" t="s">
        <v>31</v>
      </c>
      <c r="H712" t="s">
        <v>274</v>
      </c>
      <c r="I712" t="s">
        <v>135</v>
      </c>
      <c r="J712" t="s">
        <v>39</v>
      </c>
      <c r="K712" t="s">
        <v>31</v>
      </c>
      <c r="L712">
        <v>2.0876470588235296</v>
      </c>
      <c r="M712">
        <v>1</v>
      </c>
      <c r="N712" s="2">
        <v>7.2865699682034801</v>
      </c>
      <c r="O712" s="2">
        <v>5.4674005771508289</v>
      </c>
      <c r="P712" s="1">
        <v>-1.9977821848254711</v>
      </c>
      <c r="Q712" s="1">
        <v>0.40642473543604118</v>
      </c>
      <c r="R712" s="1">
        <v>-1.8625523936223525</v>
      </c>
      <c r="S712" s="19">
        <v>3.5718369003171331</v>
      </c>
      <c r="T712" s="19">
        <v>3.7199646578048986</v>
      </c>
      <c r="U712" s="19">
        <v>3.8175136880121743</v>
      </c>
      <c r="V712" s="19">
        <v>3.8760420768086958</v>
      </c>
      <c r="W712" s="19">
        <v>3.9064097921720049</v>
      </c>
      <c r="X712" s="19">
        <v>3.9176429682262146</v>
      </c>
      <c r="Y712" s="19">
        <v>3.9165783357390418</v>
      </c>
      <c r="Z712" s="19">
        <v>3.9182311751487666</v>
      </c>
      <c r="AA712" s="19">
        <v>3.900207311743082</v>
      </c>
      <c r="AB712" s="19">
        <v>3.8822663581090642</v>
      </c>
      <c r="AC712" s="19">
        <v>3.8644079328617624</v>
      </c>
      <c r="AD712" s="19">
        <v>3.8466316563705978</v>
      </c>
      <c r="AE712" s="19">
        <v>3.8289371507512926</v>
      </c>
      <c r="AF712" s="19">
        <v>3.811324039857837</v>
      </c>
      <c r="AG712" s="19">
        <v>0.56469611138289211</v>
      </c>
      <c r="AH712" s="19">
        <v>8.079376239511897E-2</v>
      </c>
      <c r="AI712" s="19">
        <v>7.4031496435882915E-2</v>
      </c>
      <c r="AJ712" s="19">
        <v>4.666784376741049E-2</v>
      </c>
      <c r="AK712" s="19">
        <v>2.8285459898524681E-2</v>
      </c>
      <c r="AL712" s="19">
        <v>1.6499211176145806E-2</v>
      </c>
      <c r="AM712" s="19">
        <v>9.2713571599500767E-3</v>
      </c>
      <c r="AN712" s="19">
        <v>5.0238270722920923E-3</v>
      </c>
      <c r="AO712" s="19">
        <v>0</v>
      </c>
      <c r="AP712" s="19">
        <v>0</v>
      </c>
      <c r="AQ712" s="19">
        <v>0</v>
      </c>
      <c r="AR712" s="19">
        <v>54.603263113210787</v>
      </c>
    </row>
    <row r="713" spans="1:44" x14ac:dyDescent="0.25">
      <c r="A713" t="s">
        <v>250</v>
      </c>
      <c r="B713" t="s">
        <v>326</v>
      </c>
      <c r="C713" t="s">
        <v>44</v>
      </c>
      <c r="D713" t="s">
        <v>324</v>
      </c>
      <c r="E713" t="s">
        <v>148</v>
      </c>
      <c r="F713" t="s">
        <v>324</v>
      </c>
      <c r="G713" t="s">
        <v>31</v>
      </c>
      <c r="H713" t="s">
        <v>274</v>
      </c>
      <c r="I713" t="s">
        <v>135</v>
      </c>
      <c r="J713" t="s">
        <v>39</v>
      </c>
      <c r="K713" t="s">
        <v>31</v>
      </c>
      <c r="L713">
        <v>2.0876470588235296</v>
      </c>
      <c r="M713">
        <v>1</v>
      </c>
      <c r="N713" s="2">
        <v>7.2865699682034801</v>
      </c>
      <c r="O713" s="2">
        <v>5.4674005771508289</v>
      </c>
      <c r="P713" s="1">
        <v>-1.9977821848254711</v>
      </c>
      <c r="Q713" s="1">
        <v>0.40642473543604118</v>
      </c>
      <c r="R713" s="1">
        <v>-1.8625523936223525</v>
      </c>
      <c r="S713" s="19">
        <v>0.60764983170773235</v>
      </c>
      <c r="T713" s="19">
        <v>0.89363799264369381</v>
      </c>
      <c r="U713" s="19">
        <v>0.92743762816173936</v>
      </c>
      <c r="V713" s="19">
        <v>0.95234848252878479</v>
      </c>
      <c r="W713" s="19">
        <v>0.97075663314575922</v>
      </c>
      <c r="X713" s="19">
        <v>0.98470077521408483</v>
      </c>
      <c r="Y713" s="19">
        <v>0.99575994540738844</v>
      </c>
      <c r="Z713" s="19">
        <v>1.0076917417925579</v>
      </c>
      <c r="AA713" s="19">
        <v>1.0146970288483348</v>
      </c>
      <c r="AB713" s="19">
        <v>1.0218006336904442</v>
      </c>
      <c r="AC713" s="19">
        <v>1.0290035679971199</v>
      </c>
      <c r="AD713" s="19">
        <v>1.0363068552099279</v>
      </c>
      <c r="AE713" s="19">
        <v>1.0437115306638738</v>
      </c>
      <c r="AF713" s="19">
        <v>1.0512186417186626</v>
      </c>
      <c r="AG713" s="19">
        <v>1.0588292478919028</v>
      </c>
      <c r="AH713" s="19">
        <v>1.0665444209932269</v>
      </c>
      <c r="AI713" s="19">
        <v>1.0743652452606669</v>
      </c>
      <c r="AJ713" s="19">
        <v>1.0822928174976842</v>
      </c>
      <c r="AK713" s="19">
        <v>1.0903282472125928</v>
      </c>
      <c r="AL713" s="19">
        <v>1.0984726567590293</v>
      </c>
      <c r="AM713" s="19">
        <v>1.106727181478049</v>
      </c>
      <c r="AN713" s="19">
        <v>1.1150929698420902</v>
      </c>
      <c r="AO713" s="19">
        <v>1.1235711836003319</v>
      </c>
      <c r="AP713" s="19">
        <v>1.1321629979257417</v>
      </c>
      <c r="AQ713" s="19">
        <v>1.1408696015638049</v>
      </c>
      <c r="AR713" s="19">
        <v>25.625977858755228</v>
      </c>
    </row>
    <row r="714" spans="1:44" x14ac:dyDescent="0.25">
      <c r="A714" t="s">
        <v>250</v>
      </c>
      <c r="B714" t="s">
        <v>326</v>
      </c>
      <c r="C714" t="s">
        <v>44</v>
      </c>
      <c r="D714" t="s">
        <v>324</v>
      </c>
      <c r="E714" t="s">
        <v>145</v>
      </c>
      <c r="F714" t="s">
        <v>324</v>
      </c>
      <c r="G714" t="s">
        <v>31</v>
      </c>
      <c r="H714" t="s">
        <v>275</v>
      </c>
      <c r="I714" t="s">
        <v>135</v>
      </c>
      <c r="J714" t="s">
        <v>39</v>
      </c>
      <c r="K714" t="s">
        <v>31</v>
      </c>
      <c r="L714">
        <v>2.0876470588235296</v>
      </c>
      <c r="M714">
        <v>1</v>
      </c>
      <c r="N714" s="2">
        <v>7.2865699682034801</v>
      </c>
      <c r="O714" s="2">
        <v>5.4674005771508289</v>
      </c>
      <c r="P714" s="1">
        <v>-1.9977821848254711</v>
      </c>
      <c r="Q714" s="1">
        <v>0.40642473543604118</v>
      </c>
      <c r="R714" s="1">
        <v>-1.8625523936223525</v>
      </c>
      <c r="S714" s="19">
        <v>5.4566502238233303</v>
      </c>
      <c r="T714" s="19">
        <v>5.682943132376435</v>
      </c>
      <c r="U714" s="19">
        <v>5.8319675566067293</v>
      </c>
      <c r="V714" s="19">
        <v>5.9213806386537291</v>
      </c>
      <c r="W714" s="19">
        <v>5.9677730147500432</v>
      </c>
      <c r="X714" s="19">
        <v>5.9849337962585718</v>
      </c>
      <c r="Y714" s="19">
        <v>5.9833073706233746</v>
      </c>
      <c r="Z714" s="19">
        <v>5.9858323925621475</v>
      </c>
      <c r="AA714" s="19">
        <v>5.9582975635563598</v>
      </c>
      <c r="AB714" s="19">
        <v>5.9308893947640007</v>
      </c>
      <c r="AC714" s="19">
        <v>5.9036073035480872</v>
      </c>
      <c r="AD714" s="19">
        <v>5.876450709951766</v>
      </c>
      <c r="AE714" s="19">
        <v>5.8494190366859886</v>
      </c>
      <c r="AF714" s="19">
        <v>5.8225117091172311</v>
      </c>
      <c r="AG714" s="19">
        <v>0.86267913361218651</v>
      </c>
      <c r="AH714" s="19">
        <v>0.12342761272714108</v>
      </c>
      <c r="AI714" s="19">
        <v>0.11309698423266892</v>
      </c>
      <c r="AJ714" s="19">
        <v>7.1293876861002095E-2</v>
      </c>
      <c r="AK714" s="19">
        <v>4.321134066130726E-2</v>
      </c>
      <c r="AL714" s="19">
        <v>2.5205637006894179E-2</v>
      </c>
      <c r="AM714" s="19">
        <v>1.4163735504691253E-2</v>
      </c>
      <c r="AN714" s="19">
        <v>7.6748373129911342E-3</v>
      </c>
      <c r="AO714" s="19">
        <v>0</v>
      </c>
      <c r="AP714" s="19">
        <v>0</v>
      </c>
      <c r="AQ714" s="19">
        <v>0</v>
      </c>
      <c r="AR714" s="19">
        <v>83.416717001196687</v>
      </c>
    </row>
    <row r="715" spans="1:44" x14ac:dyDescent="0.25">
      <c r="A715" t="s">
        <v>250</v>
      </c>
      <c r="B715" t="s">
        <v>326</v>
      </c>
      <c r="C715" t="s">
        <v>44</v>
      </c>
      <c r="D715" t="s">
        <v>324</v>
      </c>
      <c r="E715" t="s">
        <v>148</v>
      </c>
      <c r="F715" t="s">
        <v>324</v>
      </c>
      <c r="G715" t="s">
        <v>31</v>
      </c>
      <c r="H715" t="s">
        <v>275</v>
      </c>
      <c r="I715" t="s">
        <v>135</v>
      </c>
      <c r="J715" t="s">
        <v>39</v>
      </c>
      <c r="K715" t="s">
        <v>31</v>
      </c>
      <c r="L715">
        <v>2.0876470588235296</v>
      </c>
      <c r="M715">
        <v>1</v>
      </c>
      <c r="N715" s="2">
        <v>7.2865699682034801</v>
      </c>
      <c r="O715" s="2">
        <v>5.4674005771508289</v>
      </c>
      <c r="P715" s="1">
        <v>-1.9977821848254711</v>
      </c>
      <c r="Q715" s="1">
        <v>0.40642473543604118</v>
      </c>
      <c r="R715" s="1">
        <v>-1.8625523936223525</v>
      </c>
      <c r="S715" s="19">
        <v>0.92829899089172119</v>
      </c>
      <c r="T715" s="19">
        <v>1.3651995006108024</v>
      </c>
      <c r="U715" s="19">
        <v>1.416834777881828</v>
      </c>
      <c r="V715" s="19">
        <v>1.4548907761961749</v>
      </c>
      <c r="W715" s="19">
        <v>1.4830126759322175</v>
      </c>
      <c r="X715" s="19">
        <v>1.5043149660596</v>
      </c>
      <c r="Y715" s="19">
        <v>1.5212099210070713</v>
      </c>
      <c r="Z715" s="19">
        <v>1.5394379759918695</v>
      </c>
      <c r="AA715" s="19">
        <v>1.5501398647532154</v>
      </c>
      <c r="AB715" s="19">
        <v>1.5609919523578173</v>
      </c>
      <c r="AC715" s="19">
        <v>1.571995784333811</v>
      </c>
      <c r="AD715" s="19">
        <v>1.5831529241799596</v>
      </c>
      <c r="AE715" s="19">
        <v>1.5944649535644673</v>
      </c>
      <c r="AF715" s="19">
        <v>1.6059334725256071</v>
      </c>
      <c r="AG715" s="19">
        <v>1.6175600996750468</v>
      </c>
      <c r="AH715" s="19">
        <v>1.6293464724028921</v>
      </c>
      <c r="AI715" s="19">
        <v>1.6412942470858931</v>
      </c>
      <c r="AJ715" s="19">
        <v>1.653405099296904</v>
      </c>
      <c r="AK715" s="19">
        <v>1.6656807240177265</v>
      </c>
      <c r="AL715" s="19">
        <v>1.6781228358539346</v>
      </c>
      <c r="AM715" s="19">
        <v>1.6907331692517706</v>
      </c>
      <c r="AN715" s="19">
        <v>1.7035134787180044</v>
      </c>
      <c r="AO715" s="19">
        <v>1.7164655390423671</v>
      </c>
      <c r="AP715" s="19">
        <v>1.729591145521622</v>
      </c>
      <c r="AQ715" s="19">
        <v>1.7428921141874456</v>
      </c>
      <c r="AR715" s="19">
        <v>39.148483461339765</v>
      </c>
    </row>
    <row r="716" spans="1:44" x14ac:dyDescent="0.25">
      <c r="A716" t="s">
        <v>250</v>
      </c>
      <c r="B716" t="s">
        <v>326</v>
      </c>
      <c r="C716" t="s">
        <v>44</v>
      </c>
      <c r="D716" t="s">
        <v>324</v>
      </c>
      <c r="E716" t="s">
        <v>145</v>
      </c>
      <c r="F716" t="s">
        <v>324</v>
      </c>
      <c r="G716" t="s">
        <v>31</v>
      </c>
      <c r="H716" t="s">
        <v>274</v>
      </c>
      <c r="I716" t="s">
        <v>135</v>
      </c>
      <c r="J716" t="s">
        <v>39</v>
      </c>
      <c r="K716" t="s">
        <v>33</v>
      </c>
      <c r="L716">
        <v>2.0876470588235296</v>
      </c>
      <c r="M716">
        <v>1</v>
      </c>
      <c r="N716" s="2">
        <v>7.2865699682034801</v>
      </c>
      <c r="O716" s="2">
        <v>5.4674005771508289</v>
      </c>
      <c r="P716" s="1">
        <v>-1.9977821848254711</v>
      </c>
      <c r="Q716" s="1">
        <v>0.40642473543604118</v>
      </c>
      <c r="R716" s="1">
        <v>-1.8625523936223525</v>
      </c>
      <c r="S716" s="19">
        <v>1.1492323161368138E-2</v>
      </c>
      <c r="T716" s="19">
        <v>1.1968921647168828E-2</v>
      </c>
      <c r="U716" s="19">
        <v>1.2282783956816996E-2</v>
      </c>
      <c r="V716" s="19">
        <v>1.247109803076144E-2</v>
      </c>
      <c r="W716" s="19">
        <v>1.256880562726357E-2</v>
      </c>
      <c r="X716" s="19">
        <v>1.2604948176026656E-2</v>
      </c>
      <c r="Y716" s="19">
        <v>1.2601522739498584E-2</v>
      </c>
      <c r="Z716" s="19">
        <v>1.2606840721579093E-2</v>
      </c>
      <c r="AA716" s="19">
        <v>1.2548849254259826E-2</v>
      </c>
      <c r="AB716" s="19">
        <v>1.2491124547690233E-2</v>
      </c>
      <c r="AC716" s="19">
        <v>1.2433665374770858E-2</v>
      </c>
      <c r="AD716" s="19">
        <v>1.237647051404691E-2</v>
      </c>
      <c r="AE716" s="19">
        <v>1.2319538749682292E-2</v>
      </c>
      <c r="AF716" s="19">
        <v>1.2262868871433756E-2</v>
      </c>
      <c r="AG716" s="19">
        <v>1.8168999260306897E-3</v>
      </c>
      <c r="AH716" s="19">
        <v>2.5995252660754488E-4</v>
      </c>
      <c r="AI716" s="19">
        <v>2.3819505338703865E-4</v>
      </c>
      <c r="AJ716" s="19">
        <v>1.5015297640597893E-4</v>
      </c>
      <c r="AK716" s="19">
        <v>9.1007975726132342E-5</v>
      </c>
      <c r="AL716" s="19">
        <v>5.3085925263577186E-5</v>
      </c>
      <c r="AM716" s="19">
        <v>2.9830430560015688E-5</v>
      </c>
      <c r="AN716" s="19">
        <v>1.6164076309443065E-5</v>
      </c>
      <c r="AO716" s="19">
        <v>0</v>
      </c>
      <c r="AP716" s="19">
        <v>0</v>
      </c>
      <c r="AQ716" s="19">
        <v>0</v>
      </c>
      <c r="AR716" s="19">
        <v>0.17568505026265754</v>
      </c>
    </row>
    <row r="717" spans="1:44" x14ac:dyDescent="0.25">
      <c r="A717" t="s">
        <v>250</v>
      </c>
      <c r="B717" t="s">
        <v>326</v>
      </c>
      <c r="C717" t="s">
        <v>44</v>
      </c>
      <c r="D717" t="s">
        <v>324</v>
      </c>
      <c r="E717" t="s">
        <v>148</v>
      </c>
      <c r="F717" t="s">
        <v>324</v>
      </c>
      <c r="G717" t="s">
        <v>31</v>
      </c>
      <c r="H717" t="s">
        <v>274</v>
      </c>
      <c r="I717" t="s">
        <v>135</v>
      </c>
      <c r="J717" t="s">
        <v>39</v>
      </c>
      <c r="K717" t="s">
        <v>33</v>
      </c>
      <c r="L717">
        <v>2.0876470588235296</v>
      </c>
      <c r="M717">
        <v>1</v>
      </c>
      <c r="N717" s="2">
        <v>7.2865699682034801</v>
      </c>
      <c r="O717" s="2">
        <v>5.4674005771508289</v>
      </c>
      <c r="P717" s="1">
        <v>-1.9977821848254711</v>
      </c>
      <c r="Q717" s="1">
        <v>0.40642473543604118</v>
      </c>
      <c r="R717" s="1">
        <v>-1.8625523936223525</v>
      </c>
      <c r="S717" s="19">
        <v>1.9551027747980875E-3</v>
      </c>
      <c r="T717" s="19">
        <v>2.8752647131860187E-3</v>
      </c>
      <c r="U717" s="19">
        <v>2.9840144531518785E-3</v>
      </c>
      <c r="V717" s="19">
        <v>3.0641646942187158E-3</v>
      </c>
      <c r="W717" s="19">
        <v>3.1233925989627674E-3</v>
      </c>
      <c r="X717" s="19">
        <v>3.1682576337697188E-3</v>
      </c>
      <c r="Y717" s="19">
        <v>3.2038403216988892E-3</v>
      </c>
      <c r="Z717" s="19">
        <v>3.2422306692373947E-3</v>
      </c>
      <c r="AA717" s="19">
        <v>3.2647700586131922E-3</v>
      </c>
      <c r="AB717" s="19">
        <v>3.2876257837581185E-3</v>
      </c>
      <c r="AC717" s="19">
        <v>3.3108010997293406E-3</v>
      </c>
      <c r="AD717" s="19">
        <v>3.3342992994322453E-3</v>
      </c>
      <c r="AE717" s="19">
        <v>3.3581237140392593E-3</v>
      </c>
      <c r="AF717" s="19">
        <v>3.3822777134120429E-3</v>
      </c>
      <c r="AG717" s="19">
        <v>3.4067647065300329E-3</v>
      </c>
      <c r="AH717" s="19">
        <v>3.4315881419221799E-3</v>
      </c>
      <c r="AI717" s="19">
        <v>3.4567515081054974E-3</v>
      </c>
      <c r="AJ717" s="19">
        <v>3.4822583340260193E-3</v>
      </c>
      <c r="AK717" s="19">
        <v>3.508112189507499E-3</v>
      </c>
      <c r="AL717" s="19">
        <v>3.5343166857032234E-3</v>
      </c>
      <c r="AM717" s="19">
        <v>3.5608754755533656E-3</v>
      </c>
      <c r="AN717" s="19">
        <v>3.5877922542480322E-3</v>
      </c>
      <c r="AO717" s="19">
        <v>3.6150707596949504E-3</v>
      </c>
      <c r="AP717" s="19">
        <v>3.642714772992754E-3</v>
      </c>
      <c r="AQ717" s="19">
        <v>3.6707281189094945E-3</v>
      </c>
      <c r="AR717" s="19">
        <v>8.2451138475200719E-2</v>
      </c>
    </row>
    <row r="718" spans="1:44" x14ac:dyDescent="0.25">
      <c r="A718" t="s">
        <v>250</v>
      </c>
      <c r="B718" t="s">
        <v>326</v>
      </c>
      <c r="C718" t="s">
        <v>44</v>
      </c>
      <c r="D718" t="s">
        <v>324</v>
      </c>
      <c r="E718" t="s">
        <v>145</v>
      </c>
      <c r="F718" t="s">
        <v>324</v>
      </c>
      <c r="G718" t="s">
        <v>31</v>
      </c>
      <c r="H718" t="s">
        <v>272</v>
      </c>
      <c r="I718" t="s">
        <v>135</v>
      </c>
      <c r="J718" t="s">
        <v>40</v>
      </c>
      <c r="K718" t="s">
        <v>31</v>
      </c>
      <c r="L718">
        <v>2.0876470588235296</v>
      </c>
      <c r="M718">
        <v>1</v>
      </c>
      <c r="N718" s="2">
        <v>7.2865699682034801</v>
      </c>
      <c r="O718" s="2">
        <v>4.1746294160814523</v>
      </c>
      <c r="P718" s="1">
        <v>-1.9977821848254711</v>
      </c>
      <c r="Q718" s="1">
        <v>0.4672931329656026</v>
      </c>
      <c r="R718" s="1">
        <v>-1.719552393622352</v>
      </c>
      <c r="S718" s="19">
        <v>0.7462567046771259</v>
      </c>
      <c r="T718" s="19">
        <v>0.77720473933240863</v>
      </c>
      <c r="U718" s="19">
        <v>0.79758546215333803</v>
      </c>
      <c r="V718" s="19">
        <v>0.80981368079049787</v>
      </c>
      <c r="W718" s="19">
        <v>0.81615834652637853</v>
      </c>
      <c r="X718" s="19">
        <v>0.81850527142222917</v>
      </c>
      <c r="Y718" s="19">
        <v>0.81828283989645068</v>
      </c>
      <c r="Z718" s="19">
        <v>0.81862816431234209</v>
      </c>
      <c r="AA718" s="19">
        <v>0.8148624747565052</v>
      </c>
      <c r="AB718" s="19">
        <v>0.81111410737262524</v>
      </c>
      <c r="AC718" s="19">
        <v>0.80738298247871099</v>
      </c>
      <c r="AD718" s="19">
        <v>0.80366902075930879</v>
      </c>
      <c r="AE718" s="19">
        <v>0.79997214326381605</v>
      </c>
      <c r="AF718" s="19">
        <v>0.79629227140480241</v>
      </c>
      <c r="AG718" s="19">
        <v>0.1179808235888789</v>
      </c>
      <c r="AH718" s="19">
        <v>1.6880078392743789E-2</v>
      </c>
      <c r="AI718" s="19">
        <v>1.5467251757114846E-2</v>
      </c>
      <c r="AJ718" s="19">
        <v>9.7502188023094096E-3</v>
      </c>
      <c r="AK718" s="19">
        <v>5.9096242866733765E-3</v>
      </c>
      <c r="AL718" s="19">
        <v>3.4471470298627748E-3</v>
      </c>
      <c r="AM718" s="19">
        <v>1.9370460172620924E-3</v>
      </c>
      <c r="AN718" s="19">
        <v>1.0496180930051934E-3</v>
      </c>
      <c r="AO718" s="19">
        <v>0</v>
      </c>
      <c r="AP718" s="19">
        <v>0</v>
      </c>
      <c r="AQ718" s="19">
        <v>0</v>
      </c>
      <c r="AR718" s="19">
        <v>11.408150017114387</v>
      </c>
    </row>
    <row r="719" spans="1:44" x14ac:dyDescent="0.25">
      <c r="A719" t="s">
        <v>250</v>
      </c>
      <c r="B719" t="s">
        <v>326</v>
      </c>
      <c r="C719" t="s">
        <v>44</v>
      </c>
      <c r="D719" t="s">
        <v>324</v>
      </c>
      <c r="E719" t="s">
        <v>148</v>
      </c>
      <c r="F719" t="s">
        <v>324</v>
      </c>
      <c r="G719" t="s">
        <v>31</v>
      </c>
      <c r="H719" t="s">
        <v>272</v>
      </c>
      <c r="I719" t="s">
        <v>135</v>
      </c>
      <c r="J719" t="s">
        <v>40</v>
      </c>
      <c r="K719" t="s">
        <v>31</v>
      </c>
      <c r="L719">
        <v>2.0876470588235296</v>
      </c>
      <c r="M719">
        <v>1</v>
      </c>
      <c r="N719" s="2">
        <v>7.2865699682034801</v>
      </c>
      <c r="O719" s="2">
        <v>4.1746294160814523</v>
      </c>
      <c r="P719" s="1">
        <v>-1.9977821848254711</v>
      </c>
      <c r="Q719" s="1">
        <v>0.4672931329656026</v>
      </c>
      <c r="R719" s="1">
        <v>-1.719552393622352</v>
      </c>
      <c r="S719" s="19">
        <v>0.12695505804522059</v>
      </c>
      <c r="T719" s="19">
        <v>0.18670598971228144</v>
      </c>
      <c r="U719" s="19">
        <v>0.19376767962840033</v>
      </c>
      <c r="V719" s="19">
        <v>0.19897225436388224</v>
      </c>
      <c r="W719" s="19">
        <v>0.20281823227440451</v>
      </c>
      <c r="X719" s="19">
        <v>0.20573155385091521</v>
      </c>
      <c r="Y719" s="19">
        <v>0.20804212405197431</v>
      </c>
      <c r="Z719" s="19">
        <v>0.21053501028943805</v>
      </c>
      <c r="AA719" s="19">
        <v>0.21199861083433305</v>
      </c>
      <c r="AB719" s="19">
        <v>0.2134827527167108</v>
      </c>
      <c r="AC719" s="19">
        <v>0.21498764730448647</v>
      </c>
      <c r="AD719" s="19">
        <v>0.21651350842324893</v>
      </c>
      <c r="AE719" s="19">
        <v>0.21806055238345004</v>
      </c>
      <c r="AF719" s="19">
        <v>0.21962899800785388</v>
      </c>
      <c r="AG719" s="19">
        <v>0.22121906665934385</v>
      </c>
      <c r="AH719" s="19">
        <v>0.22283098226896195</v>
      </c>
      <c r="AI719" s="19">
        <v>0.22446497136435933</v>
      </c>
      <c r="AJ719" s="19">
        <v>0.22612126309850164</v>
      </c>
      <c r="AK719" s="19">
        <v>0.22780008927871645</v>
      </c>
      <c r="AL719" s="19">
        <v>0.22950168439609775</v>
      </c>
      <c r="AM719" s="19">
        <v>0.23122628565517225</v>
      </c>
      <c r="AN719" s="19">
        <v>0.23297413300397299</v>
      </c>
      <c r="AO719" s="19">
        <v>0.23474546916442951</v>
      </c>
      <c r="AP719" s="19">
        <v>0.23654053966305769</v>
      </c>
      <c r="AQ719" s="19">
        <v>0.23835959286207023</v>
      </c>
      <c r="AR719" s="19">
        <v>5.3539840493012827</v>
      </c>
    </row>
    <row r="720" spans="1:44" x14ac:dyDescent="0.25">
      <c r="A720" t="s">
        <v>250</v>
      </c>
      <c r="B720" t="s">
        <v>327</v>
      </c>
      <c r="C720" t="s">
        <v>44</v>
      </c>
      <c r="D720" t="s">
        <v>324</v>
      </c>
      <c r="E720" t="s">
        <v>145</v>
      </c>
      <c r="F720" t="s">
        <v>324</v>
      </c>
      <c r="G720" t="s">
        <v>31</v>
      </c>
      <c r="H720" t="s">
        <v>277</v>
      </c>
      <c r="I720" t="s">
        <v>135</v>
      </c>
      <c r="J720" t="s">
        <v>39</v>
      </c>
      <c r="K720" t="s">
        <v>31</v>
      </c>
      <c r="L720">
        <v>2.407058823529411</v>
      </c>
      <c r="M720">
        <v>1</v>
      </c>
      <c r="N720" s="2">
        <v>7.5737578827607859</v>
      </c>
      <c r="O720" s="2">
        <v>5.4679361121017189</v>
      </c>
      <c r="P720" s="1">
        <v>-2.0131550286721267</v>
      </c>
      <c r="Q720" s="1">
        <v>0.39105189158938575</v>
      </c>
      <c r="R720" s="1">
        <v>-1.8625523936223525</v>
      </c>
      <c r="S720" s="19">
        <v>2.6684454672141471</v>
      </c>
      <c r="T720" s="19">
        <v>2.7787736167161055</v>
      </c>
      <c r="U720" s="19">
        <v>2.8512979154274487</v>
      </c>
      <c r="V720" s="19">
        <v>2.8946637151747545</v>
      </c>
      <c r="W720" s="19">
        <v>2.9169909041522972</v>
      </c>
      <c r="X720" s="19">
        <v>2.9250262638095315</v>
      </c>
      <c r="Y720" s="19">
        <v>2.9238788488076541</v>
      </c>
      <c r="Z720" s="19">
        <v>2.9247601223908668</v>
      </c>
      <c r="AA720" s="19">
        <v>2.9109552546131821</v>
      </c>
      <c r="AB720" s="19">
        <v>2.8972155458114082</v>
      </c>
      <c r="AC720" s="19">
        <v>2.8835406884351791</v>
      </c>
      <c r="AD720" s="19">
        <v>2.8699303763857653</v>
      </c>
      <c r="AE720" s="19">
        <v>2.8563843050092244</v>
      </c>
      <c r="AF720" s="19">
        <v>2.8429021710895812</v>
      </c>
      <c r="AG720" s="19">
        <v>0.33623384808646117</v>
      </c>
      <c r="AH720" s="19">
        <v>6.0359348721463223E-2</v>
      </c>
      <c r="AI720" s="19">
        <v>5.5723727387832614E-2</v>
      </c>
      <c r="AJ720" s="19">
        <v>3.5122860898098469E-2</v>
      </c>
      <c r="AK720" s="19">
        <v>2.1285531181194521E-2</v>
      </c>
      <c r="AL720" s="19">
        <v>1.2414639404463796E-2</v>
      </c>
      <c r="AM720" s="19">
        <v>6.9753258365388348E-3</v>
      </c>
      <c r="AN720" s="19">
        <v>3.7792594405731345E-3</v>
      </c>
      <c r="AO720" s="19">
        <v>0</v>
      </c>
      <c r="AP720" s="19">
        <v>0</v>
      </c>
      <c r="AQ720" s="19">
        <v>0</v>
      </c>
      <c r="AR720" s="19">
        <v>40.676659735993766</v>
      </c>
    </row>
    <row r="721" spans="1:44" x14ac:dyDescent="0.25">
      <c r="A721" t="s">
        <v>250</v>
      </c>
      <c r="B721" t="s">
        <v>327</v>
      </c>
      <c r="C721" t="s">
        <v>44</v>
      </c>
      <c r="D721" t="s">
        <v>324</v>
      </c>
      <c r="E721" t="s">
        <v>148</v>
      </c>
      <c r="F721" t="s">
        <v>324</v>
      </c>
      <c r="G721" t="s">
        <v>31</v>
      </c>
      <c r="H721" t="s">
        <v>277</v>
      </c>
      <c r="I721" t="s">
        <v>135</v>
      </c>
      <c r="J721" t="s">
        <v>39</v>
      </c>
      <c r="K721" t="s">
        <v>31</v>
      </c>
      <c r="L721">
        <v>2.407058823529411</v>
      </c>
      <c r="M721">
        <v>1</v>
      </c>
      <c r="N721" s="2">
        <v>7.5737578827607859</v>
      </c>
      <c r="O721" s="2">
        <v>5.4679361121017189</v>
      </c>
      <c r="P721" s="1">
        <v>-2.0131550286721267</v>
      </c>
      <c r="Q721" s="1">
        <v>0.39105189158938575</v>
      </c>
      <c r="R721" s="1">
        <v>-1.8625523936223525</v>
      </c>
      <c r="S721" s="19">
        <v>0.45396262044607127</v>
      </c>
      <c r="T721" s="19">
        <v>0.67264397294218059</v>
      </c>
      <c r="U721" s="19">
        <v>0.69800231114030376</v>
      </c>
      <c r="V721" s="19">
        <v>0.71666656271291684</v>
      </c>
      <c r="W721" s="19">
        <v>0.73043452934403774</v>
      </c>
      <c r="X721" s="19">
        <v>0.74084178185705973</v>
      </c>
      <c r="Y721" s="19">
        <v>0.74907737071222613</v>
      </c>
      <c r="Z721" s="19">
        <v>0.75796846397258477</v>
      </c>
      <c r="AA721" s="19">
        <v>0.76315334551535663</v>
      </c>
      <c r="AB721" s="19">
        <v>0.76841201975320084</v>
      </c>
      <c r="AC721" s="19">
        <v>0.7737452403628462</v>
      </c>
      <c r="AD721" s="19">
        <v>0.77915376982157536</v>
      </c>
      <c r="AE721" s="19">
        <v>0.78463837950432291</v>
      </c>
      <c r="AF721" s="19">
        <v>0.79019984978173252</v>
      </c>
      <c r="AG721" s="19">
        <v>0.7958389701195373</v>
      </c>
      <c r="AH721" s="19">
        <v>0.8015565391787578</v>
      </c>
      <c r="AI721" s="19">
        <v>0.80735336491745868</v>
      </c>
      <c r="AJ721" s="19">
        <v>0.81323026469308068</v>
      </c>
      <c r="AK721" s="19">
        <v>0.81918806536653299</v>
      </c>
      <c r="AL721" s="19">
        <v>0.82522760340704415</v>
      </c>
      <c r="AM721" s="19">
        <v>0.83134972499831761</v>
      </c>
      <c r="AN721" s="19">
        <v>0.83755528614591956</v>
      </c>
      <c r="AO721" s="19">
        <v>0.84384515278589889</v>
      </c>
      <c r="AP721" s="19">
        <v>0.85022020089452799</v>
      </c>
      <c r="AQ721" s="19">
        <v>0.85668131659936708</v>
      </c>
      <c r="AR721" s="19">
        <v>19.260946706972856</v>
      </c>
    </row>
    <row r="722" spans="1:44" x14ac:dyDescent="0.25">
      <c r="A722" t="s">
        <v>250</v>
      </c>
      <c r="B722" t="s">
        <v>327</v>
      </c>
      <c r="C722" t="s">
        <v>44</v>
      </c>
      <c r="D722" t="s">
        <v>324</v>
      </c>
      <c r="E722" t="s">
        <v>145</v>
      </c>
      <c r="F722" t="s">
        <v>324</v>
      </c>
      <c r="G722" t="s">
        <v>31</v>
      </c>
      <c r="H722" t="s">
        <v>277</v>
      </c>
      <c r="I722" t="s">
        <v>135</v>
      </c>
      <c r="J722" t="s">
        <v>40</v>
      </c>
      <c r="K722" t="s">
        <v>31</v>
      </c>
      <c r="L722">
        <v>2.407058823529411</v>
      </c>
      <c r="M722">
        <v>1</v>
      </c>
      <c r="N722" s="2">
        <v>7.5737578827607859</v>
      </c>
      <c r="O722" s="2">
        <v>4.1746294160814523</v>
      </c>
      <c r="P722" s="1">
        <v>-2.0131550286721267</v>
      </c>
      <c r="Q722" s="1">
        <v>0.4672931329656026</v>
      </c>
      <c r="R722" s="1">
        <v>-1.7195523936223525</v>
      </c>
      <c r="S722" s="19">
        <v>0.42093497097598814</v>
      </c>
      <c r="T722" s="19">
        <v>0.43833872794949152</v>
      </c>
      <c r="U722" s="19">
        <v>0.44977910173572611</v>
      </c>
      <c r="V722" s="19">
        <v>0.45661985673044558</v>
      </c>
      <c r="W722" s="19">
        <v>0.4601418678637853</v>
      </c>
      <c r="X722" s="19">
        <v>0.46140940880687631</v>
      </c>
      <c r="Y722" s="19">
        <v>0.4612284093798889</v>
      </c>
      <c r="Z722" s="19">
        <v>0.46136742622498833</v>
      </c>
      <c r="AA722" s="19">
        <v>0.45918977197320637</v>
      </c>
      <c r="AB722" s="19">
        <v>0.45702239624949287</v>
      </c>
      <c r="AC722" s="19">
        <v>0.4548652505391953</v>
      </c>
      <c r="AD722" s="19">
        <v>0.45271828655665014</v>
      </c>
      <c r="AE722" s="19">
        <v>0.4505814562441029</v>
      </c>
      <c r="AF722" s="19">
        <v>0.44845471177063062</v>
      </c>
      <c r="AG722" s="19">
        <v>5.3039339504728451E-2</v>
      </c>
      <c r="AH722" s="19">
        <v>9.5214090054925923E-3</v>
      </c>
      <c r="AI722" s="19">
        <v>8.7901611102285115E-3</v>
      </c>
      <c r="AJ722" s="19">
        <v>5.5404693910307305E-3</v>
      </c>
      <c r="AK722" s="19">
        <v>3.3576944179858691E-3</v>
      </c>
      <c r="AL722" s="19">
        <v>1.958352134829657E-3</v>
      </c>
      <c r="AM722" s="19">
        <v>1.1003254946097417E-3</v>
      </c>
      <c r="AN722" s="19">
        <v>5.9616075444449579E-4</v>
      </c>
      <c r="AO722" s="19">
        <v>0</v>
      </c>
      <c r="AP722" s="19">
        <v>0</v>
      </c>
      <c r="AQ722" s="19">
        <v>0</v>
      </c>
      <c r="AR722" s="19">
        <v>6.4165555548138196</v>
      </c>
    </row>
    <row r="723" spans="1:44" x14ac:dyDescent="0.25">
      <c r="A723" t="s">
        <v>250</v>
      </c>
      <c r="B723" t="s">
        <v>327</v>
      </c>
      <c r="C723" t="s">
        <v>44</v>
      </c>
      <c r="D723" t="s">
        <v>324</v>
      </c>
      <c r="E723" t="s">
        <v>148</v>
      </c>
      <c r="F723" t="s">
        <v>324</v>
      </c>
      <c r="G723" t="s">
        <v>31</v>
      </c>
      <c r="H723" t="s">
        <v>277</v>
      </c>
      <c r="I723" t="s">
        <v>135</v>
      </c>
      <c r="J723" t="s">
        <v>40</v>
      </c>
      <c r="K723" t="s">
        <v>31</v>
      </c>
      <c r="L723">
        <v>2.407058823529411</v>
      </c>
      <c r="M723">
        <v>1</v>
      </c>
      <c r="N723" s="2">
        <v>7.5737578827607859</v>
      </c>
      <c r="O723" s="2">
        <v>4.1746294160814523</v>
      </c>
      <c r="P723" s="1">
        <v>-2.0131550286721267</v>
      </c>
      <c r="Q723" s="1">
        <v>0.4672931329656026</v>
      </c>
      <c r="R723" s="1">
        <v>-1.7195523936223525</v>
      </c>
      <c r="S723" s="19">
        <v>7.161051061730965E-2</v>
      </c>
      <c r="T723" s="19">
        <v>0.10610648585717174</v>
      </c>
      <c r="U723" s="19">
        <v>0.11010664680652288</v>
      </c>
      <c r="V723" s="19">
        <v>0.11305084645029936</v>
      </c>
      <c r="W723" s="19">
        <v>0.11522267971632434</v>
      </c>
      <c r="X723" s="19">
        <v>0.11686437582303948</v>
      </c>
      <c r="Y723" s="19">
        <v>0.11816350199905208</v>
      </c>
      <c r="Z723" s="19">
        <v>0.11956603097312156</v>
      </c>
      <c r="AA723" s="19">
        <v>0.12038392213430164</v>
      </c>
      <c r="AB723" s="19">
        <v>0.12121345375294285</v>
      </c>
      <c r="AC723" s="19">
        <v>0.12205474471808228</v>
      </c>
      <c r="AD723" s="19">
        <v>0.12290791530698988</v>
      </c>
      <c r="AE723" s="19">
        <v>0.12377308720050806</v>
      </c>
      <c r="AF723" s="19">
        <v>0.12465038349851112</v>
      </c>
      <c r="AG723" s="19">
        <v>0.12553992873557124</v>
      </c>
      <c r="AH723" s="19">
        <v>0.12644184889679377</v>
      </c>
      <c r="AI723" s="19">
        <v>0.12735627143382894</v>
      </c>
      <c r="AJ723" s="19">
        <v>0.12828332528105135</v>
      </c>
      <c r="AK723" s="19">
        <v>0.12922314087195125</v>
      </c>
      <c r="AL723" s="19">
        <v>0.13017585015570141</v>
      </c>
      <c r="AM723" s="19">
        <v>0.1311415866138726</v>
      </c>
      <c r="AN723" s="19">
        <v>0.13212048527740178</v>
      </c>
      <c r="AO723" s="19">
        <v>0.13311268274370849</v>
      </c>
      <c r="AP723" s="19">
        <v>0.13411831719400616</v>
      </c>
      <c r="AQ723" s="19">
        <v>0.13513752841084062</v>
      </c>
      <c r="AR723" s="19">
        <v>3.0383255504689042</v>
      </c>
    </row>
    <row r="724" spans="1:44" x14ac:dyDescent="0.25">
      <c r="A724" t="s">
        <v>250</v>
      </c>
      <c r="B724" t="s">
        <v>328</v>
      </c>
      <c r="C724" t="s">
        <v>44</v>
      </c>
      <c r="D724" t="s">
        <v>324</v>
      </c>
      <c r="E724" t="s">
        <v>145</v>
      </c>
      <c r="F724" t="s">
        <v>324</v>
      </c>
      <c r="G724" t="s">
        <v>31</v>
      </c>
      <c r="H724" t="s">
        <v>276</v>
      </c>
      <c r="I724" t="s">
        <v>135</v>
      </c>
      <c r="J724" t="s">
        <v>39</v>
      </c>
      <c r="K724" t="s">
        <v>31</v>
      </c>
      <c r="L724">
        <v>2.91</v>
      </c>
      <c r="M724">
        <v>1</v>
      </c>
      <c r="N724" s="2">
        <v>7.9199602107711264</v>
      </c>
      <c r="O724" s="2">
        <v>5.4639665376457422</v>
      </c>
      <c r="P724" s="1">
        <v>-2.0305204206127274</v>
      </c>
      <c r="Q724" s="1">
        <v>0.37368649964878498</v>
      </c>
      <c r="R724" s="1">
        <v>-1.8625523936223525</v>
      </c>
      <c r="S724" s="19">
        <v>5.1938343765426067</v>
      </c>
      <c r="T724" s="19">
        <v>5.422813604739475</v>
      </c>
      <c r="U724" s="19">
        <v>5.578993459608677</v>
      </c>
      <c r="V724" s="19">
        <v>5.6787548207674536</v>
      </c>
      <c r="W724" s="19">
        <v>5.7376205280466195</v>
      </c>
      <c r="X724" s="19">
        <v>5.7685712656126027</v>
      </c>
      <c r="Y724" s="19">
        <v>5.7814877733328363</v>
      </c>
      <c r="Z724" s="19">
        <v>5.7984542667819836</v>
      </c>
      <c r="AA724" s="19">
        <v>5.7862775128217399</v>
      </c>
      <c r="AB724" s="19">
        <v>5.7741263300448162</v>
      </c>
      <c r="AC724" s="19">
        <v>5.7620006647517217</v>
      </c>
      <c r="AD724" s="19">
        <v>5.7499004633557433</v>
      </c>
      <c r="AE724" s="19">
        <v>5.7378256723826953</v>
      </c>
      <c r="AF724" s="19">
        <v>5.7257762384706927</v>
      </c>
      <c r="AG724" s="19">
        <v>4.4269262477886882</v>
      </c>
      <c r="AH724" s="19">
        <v>0.11748280569606262</v>
      </c>
      <c r="AI724" s="19">
        <v>9.0767747624987613E-2</v>
      </c>
      <c r="AJ724" s="19">
        <v>5.7359155508392171E-2</v>
      </c>
      <c r="AK724" s="19">
        <v>3.4850274495643201E-2</v>
      </c>
      <c r="AL724" s="19">
        <v>2.0377556516661368E-2</v>
      </c>
      <c r="AM724" s="19">
        <v>1.1478001687391147E-2</v>
      </c>
      <c r="AN724" s="19">
        <v>6.2341872757877151E-3</v>
      </c>
      <c r="AO724" s="19">
        <v>0</v>
      </c>
      <c r="AP724" s="19">
        <v>0</v>
      </c>
      <c r="AQ724" s="19">
        <v>0</v>
      </c>
      <c r="AR724" s="19">
        <v>84.261912953853283</v>
      </c>
    </row>
    <row r="725" spans="1:44" x14ac:dyDescent="0.25">
      <c r="A725" t="s">
        <v>250</v>
      </c>
      <c r="B725" t="s">
        <v>328</v>
      </c>
      <c r="C725" t="s">
        <v>44</v>
      </c>
      <c r="D725" t="s">
        <v>324</v>
      </c>
      <c r="E725" t="s">
        <v>148</v>
      </c>
      <c r="F725" t="s">
        <v>324</v>
      </c>
      <c r="G725" t="s">
        <v>31</v>
      </c>
      <c r="H725" t="s">
        <v>276</v>
      </c>
      <c r="I725" t="s">
        <v>135</v>
      </c>
      <c r="J725" t="s">
        <v>39</v>
      </c>
      <c r="K725" t="s">
        <v>31</v>
      </c>
      <c r="L725">
        <v>2.91</v>
      </c>
      <c r="M725">
        <v>1</v>
      </c>
      <c r="N725" s="2">
        <v>7.9199602107711264</v>
      </c>
      <c r="O725" s="2">
        <v>5.4639665376457422</v>
      </c>
      <c r="P725" s="1">
        <v>-2.0305204206127274</v>
      </c>
      <c r="Q725" s="1">
        <v>0.37368649964878498</v>
      </c>
      <c r="R725" s="1">
        <v>-1.8625523936223525</v>
      </c>
      <c r="S725" s="19">
        <v>0.8835881012774508</v>
      </c>
      <c r="T725" s="19">
        <v>1.0956621396223427</v>
      </c>
      <c r="U725" s="19">
        <v>1.1399078003945111</v>
      </c>
      <c r="V725" s="19">
        <v>1.1733804629907585</v>
      </c>
      <c r="W725" s="19">
        <v>1.1989450855960606</v>
      </c>
      <c r="X725" s="19">
        <v>1.2190660940456637</v>
      </c>
      <c r="Y725" s="19">
        <v>1.2356623530366777</v>
      </c>
      <c r="Z725" s="19">
        <v>1.2533814340094516</v>
      </c>
      <c r="AA725" s="19">
        <v>1.2650002513574572</v>
      </c>
      <c r="AB725" s="19">
        <v>1.2767544834484179</v>
      </c>
      <c r="AC725" s="19">
        <v>1.2886456381185816</v>
      </c>
      <c r="AD725" s="19">
        <v>1.300675240135954</v>
      </c>
      <c r="AE725" s="19">
        <v>1.3128448313904448</v>
      </c>
      <c r="AF725" s="19">
        <v>1.3251559710855501</v>
      </c>
      <c r="AG725" s="19">
        <v>1.3376102359326492</v>
      </c>
      <c r="AH725" s="19">
        <v>1.3502092203472065</v>
      </c>
      <c r="AI725" s="19">
        <v>1.362954536647407</v>
      </c>
      <c r="AJ725" s="19">
        <v>1.3758478152545277</v>
      </c>
      <c r="AK725" s="19">
        <v>1.3888907048963288</v>
      </c>
      <c r="AL725" s="19">
        <v>1.4020848728121622</v>
      </c>
      <c r="AM725" s="19">
        <v>1.4154320049602325</v>
      </c>
      <c r="AN725" s="19">
        <v>1.4289338062279398</v>
      </c>
      <c r="AO725" s="19">
        <v>1.4425920006437367</v>
      </c>
      <c r="AP725" s="19">
        <v>1.4564083315919156</v>
      </c>
      <c r="AQ725" s="19">
        <v>1.4703845620296614</v>
      </c>
      <c r="AR725" s="19">
        <v>32.400017977853089</v>
      </c>
    </row>
    <row r="726" spans="1:44" x14ac:dyDescent="0.25">
      <c r="A726" t="s">
        <v>250</v>
      </c>
      <c r="B726" t="s">
        <v>329</v>
      </c>
      <c r="C726" t="s">
        <v>44</v>
      </c>
      <c r="D726" t="s">
        <v>324</v>
      </c>
      <c r="E726" t="s">
        <v>145</v>
      </c>
      <c r="F726" t="s">
        <v>324</v>
      </c>
      <c r="G726" t="s">
        <v>31</v>
      </c>
      <c r="H726" t="s">
        <v>253</v>
      </c>
      <c r="I726" t="s">
        <v>135</v>
      </c>
      <c r="J726" t="s">
        <v>39</v>
      </c>
      <c r="K726" t="s">
        <v>31</v>
      </c>
      <c r="L726">
        <v>2.209411764705882</v>
      </c>
      <c r="M726">
        <v>1</v>
      </c>
      <c r="N726" s="2">
        <v>7.278646667967732</v>
      </c>
      <c r="O726" s="2">
        <v>5.3756602043030233</v>
      </c>
      <c r="P726" s="1">
        <v>-2.004166800695204</v>
      </c>
      <c r="Q726" s="1">
        <v>0.40004011956630897</v>
      </c>
      <c r="R726" s="1">
        <v>-1.8625523936223525</v>
      </c>
      <c r="S726" s="19">
        <v>4.5139874923150802E-2</v>
      </c>
      <c r="T726" s="19">
        <v>4.7035486621607746E-2</v>
      </c>
      <c r="U726" s="19">
        <v>4.8293149189925666E-2</v>
      </c>
      <c r="V726" s="19">
        <v>4.9058187931851169E-2</v>
      </c>
      <c r="W726" s="19">
        <v>4.946738075300975E-2</v>
      </c>
      <c r="X726" s="19">
        <v>4.9634547381558342E-2</v>
      </c>
      <c r="Y726" s="19">
        <v>4.9645984213837181E-2</v>
      </c>
      <c r="Z726" s="19">
        <v>4.9691883598239915E-2</v>
      </c>
      <c r="AA726" s="19">
        <v>4.9488146875487138E-2</v>
      </c>
      <c r="AB726" s="19">
        <v>4.9285245473297629E-2</v>
      </c>
      <c r="AC726" s="19">
        <v>4.9083175966857122E-2</v>
      </c>
      <c r="AD726" s="19">
        <v>4.8881934945393009E-2</v>
      </c>
      <c r="AE726" s="19">
        <v>4.8681519012116883E-2</v>
      </c>
      <c r="AF726" s="19">
        <v>4.8481924784167213E-2</v>
      </c>
      <c r="AG726" s="19">
        <v>1.3226564834143252E-2</v>
      </c>
      <c r="AH726" s="19">
        <v>1.0210489534845857E-3</v>
      </c>
      <c r="AI726" s="19">
        <v>9.0624487226301188E-4</v>
      </c>
      <c r="AJ726" s="19">
        <v>5.7155912801549449E-4</v>
      </c>
      <c r="AK726" s="19">
        <v>3.4659209125048271E-4</v>
      </c>
      <c r="AL726" s="19">
        <v>2.0226844966851956E-4</v>
      </c>
      <c r="AM726" s="19">
        <v>1.1371439117525254E-4</v>
      </c>
      <c r="AN726" s="19">
        <v>6.1646944648509981E-5</v>
      </c>
      <c r="AO726" s="19">
        <v>0</v>
      </c>
      <c r="AP726" s="19">
        <v>0</v>
      </c>
      <c r="AQ726" s="19">
        <v>0</v>
      </c>
      <c r="AR726" s="19">
        <v>0.69831808133514861</v>
      </c>
    </row>
    <row r="727" spans="1:44" x14ac:dyDescent="0.25">
      <c r="A727" t="s">
        <v>250</v>
      </c>
      <c r="B727" t="s">
        <v>329</v>
      </c>
      <c r="C727" t="s">
        <v>44</v>
      </c>
      <c r="D727" t="s">
        <v>324</v>
      </c>
      <c r="E727" t="s">
        <v>148</v>
      </c>
      <c r="F727" t="s">
        <v>324</v>
      </c>
      <c r="G727" t="s">
        <v>31</v>
      </c>
      <c r="H727" t="s">
        <v>253</v>
      </c>
      <c r="I727" t="s">
        <v>135</v>
      </c>
      <c r="J727" t="s">
        <v>39</v>
      </c>
      <c r="K727" t="s">
        <v>31</v>
      </c>
      <c r="L727">
        <v>2.209411764705882</v>
      </c>
      <c r="M727">
        <v>1</v>
      </c>
      <c r="N727" s="2">
        <v>7.278646667967732</v>
      </c>
      <c r="O727" s="2">
        <v>5.3756602043030233</v>
      </c>
      <c r="P727" s="1">
        <v>-2.004166800695204</v>
      </c>
      <c r="Q727" s="1">
        <v>0.40004011956630897</v>
      </c>
      <c r="R727" s="1">
        <v>-1.8625523936223525</v>
      </c>
      <c r="S727" s="19">
        <v>7.6793084807218687E-3</v>
      </c>
      <c r="T727" s="19">
        <v>1.0939328359979275E-2</v>
      </c>
      <c r="U727" s="19">
        <v>1.1358687251178645E-2</v>
      </c>
      <c r="V727" s="19">
        <v>1.1669474470029442E-2</v>
      </c>
      <c r="W727" s="19">
        <v>1.1900777382358008E-2</v>
      </c>
      <c r="X727" s="19">
        <v>1.2077481992277364E-2</v>
      </c>
      <c r="Y727" s="19">
        <v>1.2218883602959245E-2</v>
      </c>
      <c r="Z727" s="19">
        <v>1.2371060798129802E-2</v>
      </c>
      <c r="AA727" s="19">
        <v>1.2462799751818788E-2</v>
      </c>
      <c r="AB727" s="19">
        <v>1.2555760170228927E-2</v>
      </c>
      <c r="AC727" s="19">
        <v>1.264995496127957E-2</v>
      </c>
      <c r="AD727" s="19">
        <v>1.2745397180880904E-2</v>
      </c>
      <c r="AE727" s="19">
        <v>1.284210003458313E-2</v>
      </c>
      <c r="AF727" s="19">
        <v>1.2940076879239088E-2</v>
      </c>
      <c r="AG727" s="19">
        <v>1.3039341224689652E-2</v>
      </c>
      <c r="AH727" s="19">
        <v>1.313990673546399E-2</v>
      </c>
      <c r="AI727" s="19">
        <v>1.3241787232504536E-2</v>
      </c>
      <c r="AJ727" s="19">
        <v>1.3344996694904141E-2</v>
      </c>
      <c r="AK727" s="19">
        <v>1.3449549261669249E-2</v>
      </c>
      <c r="AL727" s="19">
        <v>1.3555459233501094E-2</v>
      </c>
      <c r="AM727" s="19">
        <v>1.3662741074592671E-2</v>
      </c>
      <c r="AN727" s="19">
        <v>1.3771409414452616E-2</v>
      </c>
      <c r="AO727" s="19">
        <v>1.3881479049745262E-2</v>
      </c>
      <c r="AP727" s="19">
        <v>1.3992964946151447E-2</v>
      </c>
      <c r="AQ727" s="19">
        <v>1.4105882240253994E-2</v>
      </c>
      <c r="AR727" s="19">
        <v>0.31559660842359266</v>
      </c>
    </row>
    <row r="728" spans="1:44" x14ac:dyDescent="0.25">
      <c r="A728" t="s">
        <v>250</v>
      </c>
      <c r="B728" t="s">
        <v>329</v>
      </c>
      <c r="C728" t="s">
        <v>44</v>
      </c>
      <c r="D728" t="s">
        <v>324</v>
      </c>
      <c r="E728" t="s">
        <v>145</v>
      </c>
      <c r="F728" t="s">
        <v>324</v>
      </c>
      <c r="G728" t="s">
        <v>31</v>
      </c>
      <c r="H728" t="s">
        <v>253</v>
      </c>
      <c r="I728" t="s">
        <v>256</v>
      </c>
      <c r="J728" t="s">
        <v>39</v>
      </c>
      <c r="K728" t="s">
        <v>31</v>
      </c>
      <c r="L728">
        <v>2.209411764705882</v>
      </c>
      <c r="M728">
        <v>1</v>
      </c>
      <c r="N728" s="2">
        <v>3.6216710802820118</v>
      </c>
      <c r="O728" s="2">
        <v>2.6747929920855809</v>
      </c>
      <c r="P728" s="1">
        <v>-0.54122984934633578</v>
      </c>
      <c r="Q728" s="1">
        <v>0.4672931329656026</v>
      </c>
      <c r="R728" s="1">
        <v>-0.399615442273484</v>
      </c>
      <c r="S728" s="19">
        <v>2.3678613961683116E-2</v>
      </c>
      <c r="T728" s="19">
        <v>2.4672977763209557E-2</v>
      </c>
      <c r="U728" s="19">
        <v>2.5332698387158074E-2</v>
      </c>
      <c r="V728" s="19">
        <v>2.5734007807412911E-2</v>
      </c>
      <c r="W728" s="19">
        <v>2.5948654366903863E-2</v>
      </c>
      <c r="X728" s="19">
        <v>2.6036343446047671E-2</v>
      </c>
      <c r="Y728" s="19">
        <v>2.6042342761219375E-2</v>
      </c>
      <c r="Z728" s="19">
        <v>2.6066419784166416E-2</v>
      </c>
      <c r="AA728" s="19">
        <v>2.5959547463051336E-2</v>
      </c>
      <c r="AB728" s="19">
        <v>2.5853113318452827E-2</v>
      </c>
      <c r="AC728" s="19">
        <v>2.5747115553847167E-2</v>
      </c>
      <c r="AD728" s="19">
        <v>2.5641552380076392E-2</v>
      </c>
      <c r="AE728" s="19">
        <v>2.5536422015318083E-2</v>
      </c>
      <c r="AF728" s="19">
        <v>2.5431722685055273E-2</v>
      </c>
      <c r="AG728" s="19">
        <v>6.9381389133230343E-3</v>
      </c>
      <c r="AH728" s="19">
        <v>5.3560237033670698E-4</v>
      </c>
      <c r="AI728" s="19">
        <v>4.7538063677853281E-4</v>
      </c>
      <c r="AJ728" s="19">
        <v>2.9981757750981283E-4</v>
      </c>
      <c r="AK728" s="19">
        <v>1.8180866351234757E-4</v>
      </c>
      <c r="AL728" s="19">
        <v>1.061021224467923E-4</v>
      </c>
      <c r="AM728" s="19">
        <v>5.9650124753573662E-5</v>
      </c>
      <c r="AN728" s="19">
        <v>3.2337577512884986E-5</v>
      </c>
      <c r="AO728" s="19">
        <v>0</v>
      </c>
      <c r="AP728" s="19">
        <v>0</v>
      </c>
      <c r="AQ728" s="19">
        <v>0</v>
      </c>
      <c r="AR728" s="19">
        <v>0.3663103696797757</v>
      </c>
    </row>
    <row r="729" spans="1:44" x14ac:dyDescent="0.25">
      <c r="A729" t="s">
        <v>250</v>
      </c>
      <c r="B729" t="s">
        <v>329</v>
      </c>
      <c r="C729" t="s">
        <v>44</v>
      </c>
      <c r="D729" t="s">
        <v>324</v>
      </c>
      <c r="E729" t="s">
        <v>148</v>
      </c>
      <c r="F729" t="s">
        <v>324</v>
      </c>
      <c r="G729" t="s">
        <v>31</v>
      </c>
      <c r="H729" t="s">
        <v>253</v>
      </c>
      <c r="I729" t="s">
        <v>256</v>
      </c>
      <c r="J729" t="s">
        <v>39</v>
      </c>
      <c r="K729" t="s">
        <v>31</v>
      </c>
      <c r="L729">
        <v>2.209411764705882</v>
      </c>
      <c r="M729">
        <v>1</v>
      </c>
      <c r="N729" s="2">
        <v>3.6216710802820118</v>
      </c>
      <c r="O729" s="2">
        <v>2.6747929920855809</v>
      </c>
      <c r="P729" s="1">
        <v>-0.54122984934633578</v>
      </c>
      <c r="Q729" s="1">
        <v>0.4672931329656026</v>
      </c>
      <c r="R729" s="1">
        <v>-0.399615442273484</v>
      </c>
      <c r="S729" s="19">
        <v>4.0282650609303056E-3</v>
      </c>
      <c r="T729" s="19">
        <v>5.7383440622515965E-3</v>
      </c>
      <c r="U729" s="19">
        <v>5.9583233447155345E-3</v>
      </c>
      <c r="V729" s="19">
        <v>6.1213501717043532E-3</v>
      </c>
      <c r="W729" s="19">
        <v>6.2426826383664528E-3</v>
      </c>
      <c r="X729" s="19">
        <v>6.3353749697177162E-3</v>
      </c>
      <c r="Y729" s="19">
        <v>6.4095487275891176E-3</v>
      </c>
      <c r="Z729" s="19">
        <v>6.489374935888202E-3</v>
      </c>
      <c r="AA729" s="19">
        <v>6.5374976051103669E-3</v>
      </c>
      <c r="AB729" s="19">
        <v>6.5862610069805918E-3</v>
      </c>
      <c r="AC729" s="19">
        <v>6.6356719124889873E-3</v>
      </c>
      <c r="AD729" s="19">
        <v>6.6857371702556548E-3</v>
      </c>
      <c r="AE729" s="19">
        <v>6.7364637073962941E-3</v>
      </c>
      <c r="AF729" s="19">
        <v>6.7878585303934895E-3</v>
      </c>
      <c r="AG729" s="19">
        <v>6.8399287259818305E-3</v>
      </c>
      <c r="AH729" s="19">
        <v>6.8926814620393064E-3</v>
      </c>
      <c r="AI729" s="19">
        <v>6.946123988491806E-3</v>
      </c>
      <c r="AJ729" s="19">
        <v>7.0002636382252761E-3</v>
      </c>
      <c r="AK729" s="19">
        <v>7.0551078280098704E-3</v>
      </c>
      <c r="AL729" s="19">
        <v>7.1106640594342432E-3</v>
      </c>
      <c r="AM729" s="19">
        <v>7.1669399198487924E-3</v>
      </c>
      <c r="AN729" s="19">
        <v>7.2239430833219553E-3</v>
      </c>
      <c r="AO729" s="19">
        <v>7.281681311605232E-3</v>
      </c>
      <c r="AP729" s="19">
        <v>7.3401624551102974E-3</v>
      </c>
      <c r="AQ729" s="19">
        <v>7.3993944538963763E-3</v>
      </c>
      <c r="AR729" s="19">
        <v>0.16554964476975359</v>
      </c>
    </row>
    <row r="730" spans="1:44" x14ac:dyDescent="0.25">
      <c r="A730" t="s">
        <v>250</v>
      </c>
      <c r="B730" t="s">
        <v>329</v>
      </c>
      <c r="C730" t="s">
        <v>44</v>
      </c>
      <c r="D730" t="s">
        <v>324</v>
      </c>
      <c r="E730" t="s">
        <v>145</v>
      </c>
      <c r="F730" t="s">
        <v>324</v>
      </c>
      <c r="G730" t="s">
        <v>31</v>
      </c>
      <c r="H730" t="s">
        <v>253</v>
      </c>
      <c r="I730" t="s">
        <v>135</v>
      </c>
      <c r="J730" t="s">
        <v>40</v>
      </c>
      <c r="K730" t="s">
        <v>31</v>
      </c>
      <c r="L730">
        <v>2.209411764705882</v>
      </c>
      <c r="M730">
        <v>1</v>
      </c>
      <c r="N730" s="2">
        <v>7.278646667967732</v>
      </c>
      <c r="O730" s="2">
        <v>4.1746294160814488</v>
      </c>
      <c r="P730" s="1">
        <v>-2.004166800695204</v>
      </c>
      <c r="Q730" s="1">
        <v>0.4672931329656026</v>
      </c>
      <c r="R730" s="1">
        <v>-1.719552393622352</v>
      </c>
      <c r="S730" s="19">
        <v>2.374451239417642E-2</v>
      </c>
      <c r="T730" s="19">
        <v>2.4741643545850751E-2</v>
      </c>
      <c r="U730" s="19">
        <v>2.5403200195973433E-2</v>
      </c>
      <c r="V730" s="19">
        <v>2.5805626474748052E-2</v>
      </c>
      <c r="W730" s="19">
        <v>2.6020870403317849E-2</v>
      </c>
      <c r="X730" s="19">
        <v>2.6108803524316122E-2</v>
      </c>
      <c r="Y730" s="19">
        <v>2.6114819535797265E-2</v>
      </c>
      <c r="Z730" s="19">
        <v>2.6138963565963305E-2</v>
      </c>
      <c r="AA730" s="19">
        <v>2.6031793815342857E-2</v>
      </c>
      <c r="AB730" s="19">
        <v>2.5925063460699949E-2</v>
      </c>
      <c r="AC730" s="19">
        <v>2.5818770700511071E-2</v>
      </c>
      <c r="AD730" s="19">
        <v>2.5712913740638985E-2</v>
      </c>
      <c r="AE730" s="19">
        <v>2.5607490794302371E-2</v>
      </c>
      <c r="AF730" s="19">
        <v>2.5502500082045729E-2</v>
      </c>
      <c r="AG730" s="19">
        <v>6.957448002932581E-3</v>
      </c>
      <c r="AH730" s="19">
        <v>5.3709297095640531E-4</v>
      </c>
      <c r="AI730" s="19">
        <v>4.7670363815234816E-4</v>
      </c>
      <c r="AJ730" s="19">
        <v>3.0065198058863181E-4</v>
      </c>
      <c r="AK730" s="19">
        <v>1.8231464354811377E-4</v>
      </c>
      <c r="AL730" s="19">
        <v>1.0639740846162308E-4</v>
      </c>
      <c r="AM730" s="19">
        <v>5.9816133191636774E-5</v>
      </c>
      <c r="AN730" s="19">
        <v>3.2427574151716066E-5</v>
      </c>
      <c r="AO730" s="19">
        <v>0</v>
      </c>
      <c r="AP730" s="19">
        <v>0</v>
      </c>
      <c r="AQ730" s="19">
        <v>0</v>
      </c>
      <c r="AR730" s="19">
        <v>0.36732982458566721</v>
      </c>
    </row>
    <row r="731" spans="1:44" x14ac:dyDescent="0.25">
      <c r="A731" t="s">
        <v>250</v>
      </c>
      <c r="B731" t="s">
        <v>329</v>
      </c>
      <c r="C731" t="s">
        <v>44</v>
      </c>
      <c r="D731" t="s">
        <v>324</v>
      </c>
      <c r="E731" t="s">
        <v>148</v>
      </c>
      <c r="F731" t="s">
        <v>324</v>
      </c>
      <c r="G731" t="s">
        <v>31</v>
      </c>
      <c r="H731" t="s">
        <v>253</v>
      </c>
      <c r="I731" t="s">
        <v>135</v>
      </c>
      <c r="J731" t="s">
        <v>40</v>
      </c>
      <c r="K731" t="s">
        <v>31</v>
      </c>
      <c r="L731">
        <v>2.209411764705882</v>
      </c>
      <c r="M731">
        <v>1</v>
      </c>
      <c r="N731" s="2">
        <v>7.278646667967732</v>
      </c>
      <c r="O731" s="2">
        <v>4.1746294160814488</v>
      </c>
      <c r="P731" s="1">
        <v>-2.004166800695204</v>
      </c>
      <c r="Q731" s="1">
        <v>0.4672931329656026</v>
      </c>
      <c r="R731" s="1">
        <v>-1.719552393622352</v>
      </c>
      <c r="S731" s="19">
        <v>4.03947586717143E-3</v>
      </c>
      <c r="T731" s="19">
        <v>5.7543140797290246E-3</v>
      </c>
      <c r="U731" s="19">
        <v>5.9749055724312092E-3</v>
      </c>
      <c r="V731" s="19">
        <v>6.1383861089307767E-3</v>
      </c>
      <c r="W731" s="19">
        <v>6.2600562482022139E-3</v>
      </c>
      <c r="X731" s="19">
        <v>6.3530065456383344E-3</v>
      </c>
      <c r="Y731" s="19">
        <v>6.4273867317400854E-3</v>
      </c>
      <c r="Z731" s="19">
        <v>6.5074350992418706E-3</v>
      </c>
      <c r="AA731" s="19">
        <v>6.5556916955795521E-3</v>
      </c>
      <c r="AB731" s="19">
        <v>6.6045908077474631E-3</v>
      </c>
      <c r="AC731" s="19">
        <v>6.6541392255791317E-3</v>
      </c>
      <c r="AD731" s="19">
        <v>6.7043438167551372E-3</v>
      </c>
      <c r="AE731" s="19">
        <v>6.7552115276691182E-3</v>
      </c>
      <c r="AF731" s="19">
        <v>6.8067493843034128E-3</v>
      </c>
      <c r="AG731" s="19">
        <v>6.8589644931148497E-3</v>
      </c>
      <c r="AH731" s="19">
        <v>6.9118640419300994E-3</v>
      </c>
      <c r="AI731" s="19">
        <v>6.9654553008518831E-3</v>
      </c>
      <c r="AJ731" s="19">
        <v>7.0197456231735926E-3</v>
      </c>
      <c r="AK731" s="19">
        <v>7.0747424463067574E-3</v>
      </c>
      <c r="AL731" s="19">
        <v>7.1304532927170981E-3</v>
      </c>
      <c r="AM731" s="19">
        <v>7.1868857708709882E-3</v>
      </c>
      <c r="AN731" s="19">
        <v>7.2440475761939042E-3</v>
      </c>
      <c r="AO731" s="19">
        <v>7.3019464920389011E-3</v>
      </c>
      <c r="AP731" s="19">
        <v>7.360590390665128E-3</v>
      </c>
      <c r="AQ731" s="19">
        <v>7.4199872342296845E-3</v>
      </c>
      <c r="AR731" s="19">
        <v>0.16601037537281166</v>
      </c>
    </row>
    <row r="732" spans="1:44" x14ac:dyDescent="0.25">
      <c r="A732" t="s">
        <v>250</v>
      </c>
      <c r="B732" t="s">
        <v>330</v>
      </c>
      <c r="C732" t="s">
        <v>44</v>
      </c>
      <c r="D732" t="s">
        <v>324</v>
      </c>
      <c r="E732" t="s">
        <v>145</v>
      </c>
      <c r="F732" t="s">
        <v>324</v>
      </c>
      <c r="G732" t="s">
        <v>31</v>
      </c>
      <c r="H732" t="s">
        <v>252</v>
      </c>
      <c r="I732" t="s">
        <v>135</v>
      </c>
      <c r="J732" t="s">
        <v>39</v>
      </c>
      <c r="K732" t="s">
        <v>31</v>
      </c>
      <c r="L732">
        <v>2.590588235294117</v>
      </c>
      <c r="M732">
        <v>1</v>
      </c>
      <c r="N732" s="2">
        <v>7.6777548088491043</v>
      </c>
      <c r="O732" s="2">
        <v>5.442120242040744</v>
      </c>
      <c r="P732" s="1">
        <v>-2.0202731874183506</v>
      </c>
      <c r="Q732" s="1">
        <v>0.38393373284316173</v>
      </c>
      <c r="R732" s="1">
        <v>-1.862552393622352</v>
      </c>
      <c r="S732" s="19">
        <v>0.88464359412084315</v>
      </c>
      <c r="T732" s="19">
        <v>0.9221637052506626</v>
      </c>
      <c r="U732" s="19">
        <v>0.94720134961349278</v>
      </c>
      <c r="V732" s="19">
        <v>0.96259296219791646</v>
      </c>
      <c r="W732" s="19">
        <v>0.97101176732639205</v>
      </c>
      <c r="X732" s="19">
        <v>0.97468445868153308</v>
      </c>
      <c r="Y732" s="19">
        <v>0.97530061530907641</v>
      </c>
      <c r="Z732" s="19">
        <v>0.97659440206271997</v>
      </c>
      <c r="AA732" s="19">
        <v>0.97298100277508781</v>
      </c>
      <c r="AB732" s="19">
        <v>0.96938097306481996</v>
      </c>
      <c r="AC732" s="19">
        <v>0.96579426346448016</v>
      </c>
      <c r="AD732" s="19">
        <v>0.96222082468966141</v>
      </c>
      <c r="AE732" s="19">
        <v>0.95866060763830974</v>
      </c>
      <c r="AF732" s="19">
        <v>0.95511356339004816</v>
      </c>
      <c r="AG732" s="19">
        <v>0.35593096474044389</v>
      </c>
      <c r="AH732" s="19">
        <v>2.0010343792970366E-2</v>
      </c>
      <c r="AI732" s="19">
        <v>1.7300362786071298E-2</v>
      </c>
      <c r="AJ732" s="19">
        <v>1.0915463779198194E-2</v>
      </c>
      <c r="AK732" s="19">
        <v>6.6216942538231084E-3</v>
      </c>
      <c r="AL732" s="19">
        <v>3.8658601952341024E-3</v>
      </c>
      <c r="AM732" s="19">
        <v>2.1741977142879054E-3</v>
      </c>
      <c r="AN732" s="19">
        <v>1.1791223141103325E-3</v>
      </c>
      <c r="AO732" s="19">
        <v>0</v>
      </c>
      <c r="AP732" s="19">
        <v>0</v>
      </c>
      <c r="AQ732" s="19">
        <v>0</v>
      </c>
      <c r="AR732" s="19">
        <v>13.816342099161185</v>
      </c>
    </row>
    <row r="733" spans="1:44" x14ac:dyDescent="0.25">
      <c r="A733" t="s">
        <v>250</v>
      </c>
      <c r="B733" t="s">
        <v>330</v>
      </c>
      <c r="C733" t="s">
        <v>44</v>
      </c>
      <c r="D733" t="s">
        <v>324</v>
      </c>
      <c r="E733" t="s">
        <v>148</v>
      </c>
      <c r="F733" t="s">
        <v>324</v>
      </c>
      <c r="G733" t="s">
        <v>31</v>
      </c>
      <c r="H733" t="s">
        <v>252</v>
      </c>
      <c r="I733" t="s">
        <v>135</v>
      </c>
      <c r="J733" t="s">
        <v>39</v>
      </c>
      <c r="K733" t="s">
        <v>31</v>
      </c>
      <c r="L733">
        <v>2.590588235294117</v>
      </c>
      <c r="M733">
        <v>1</v>
      </c>
      <c r="N733" s="2">
        <v>7.6777548088491043</v>
      </c>
      <c r="O733" s="2">
        <v>5.442120242040744</v>
      </c>
      <c r="P733" s="1">
        <v>-2.0202731874183506</v>
      </c>
      <c r="Q733" s="1">
        <v>0.38393373284316173</v>
      </c>
      <c r="R733" s="1">
        <v>-1.862552393622352</v>
      </c>
      <c r="S733" s="19">
        <v>0.15049778197910604</v>
      </c>
      <c r="T733" s="19">
        <v>0.20883356701484776</v>
      </c>
      <c r="U733" s="19">
        <v>0.21692478204305679</v>
      </c>
      <c r="V733" s="19">
        <v>0.22294707234818309</v>
      </c>
      <c r="W733" s="19">
        <v>0.22745386959852931</v>
      </c>
      <c r="X733" s="19">
        <v>0.23091917804399625</v>
      </c>
      <c r="Y733" s="19">
        <v>0.23371082527955148</v>
      </c>
      <c r="Z733" s="19">
        <v>0.23670969116588825</v>
      </c>
      <c r="AA733" s="19">
        <v>0.23855285513972541</v>
      </c>
      <c r="AB733" s="19">
        <v>0.24041969100994215</v>
      </c>
      <c r="AC733" s="19">
        <v>0.24231045313291324</v>
      </c>
      <c r="AD733" s="19">
        <v>0.24422539875852164</v>
      </c>
      <c r="AE733" s="19">
        <v>0.24616478806250597</v>
      </c>
      <c r="AF733" s="19">
        <v>0.24812888417905837</v>
      </c>
      <c r="AG733" s="19">
        <v>0.25011795323391744</v>
      </c>
      <c r="AH733" s="19">
        <v>0.25213226437770236</v>
      </c>
      <c r="AI733" s="19">
        <v>0.2541720898197446</v>
      </c>
      <c r="AJ733" s="19">
        <v>0.25623770486218722</v>
      </c>
      <c r="AK733" s="19">
        <v>0.25832938793454591</v>
      </c>
      <c r="AL733" s="19">
        <v>0.260447420628655</v>
      </c>
      <c r="AM733" s="19">
        <v>0.26259208773391957</v>
      </c>
      <c r="AN733" s="19">
        <v>0.26476367727309985</v>
      </c>
      <c r="AO733" s="19">
        <v>0.26696248053836036</v>
      </c>
      <c r="AP733" s="19">
        <v>0.26918879212784563</v>
      </c>
      <c r="AQ733" s="19">
        <v>0.27144290998255338</v>
      </c>
      <c r="AR733" s="19">
        <v>6.0541856062683568</v>
      </c>
    </row>
    <row r="734" spans="1:44" x14ac:dyDescent="0.25">
      <c r="A734" t="s">
        <v>250</v>
      </c>
      <c r="B734" t="s">
        <v>331</v>
      </c>
      <c r="C734" t="s">
        <v>44</v>
      </c>
      <c r="D734" t="s">
        <v>324</v>
      </c>
      <c r="E734" t="s">
        <v>145</v>
      </c>
      <c r="F734" t="s">
        <v>324</v>
      </c>
      <c r="G734" t="s">
        <v>31</v>
      </c>
      <c r="H734" t="s">
        <v>254</v>
      </c>
      <c r="I734" t="s">
        <v>135</v>
      </c>
      <c r="J734" t="s">
        <v>39</v>
      </c>
      <c r="K734" t="s">
        <v>31</v>
      </c>
      <c r="L734">
        <v>2.6611764705882361</v>
      </c>
      <c r="M734">
        <v>1</v>
      </c>
      <c r="N734" s="2">
        <v>7.6840003133975507</v>
      </c>
      <c r="O734" s="2">
        <v>5.4114176288701801</v>
      </c>
      <c r="P734" s="1">
        <v>-2.0227495107528393</v>
      </c>
      <c r="Q734" s="1">
        <v>0.38145740950867718</v>
      </c>
      <c r="R734" s="1">
        <v>-1.8625523936223547</v>
      </c>
      <c r="S734" s="19">
        <v>1.8867604259876141</v>
      </c>
      <c r="T734" s="19">
        <v>1.9652300552738924</v>
      </c>
      <c r="U734" s="19">
        <v>2.0169941156458391</v>
      </c>
      <c r="V734" s="19">
        <v>2.0481509247394327</v>
      </c>
      <c r="W734" s="19">
        <v>2.0644326430612292</v>
      </c>
      <c r="X734" s="19">
        <v>2.0706048010345657</v>
      </c>
      <c r="Y734" s="19">
        <v>2.0702777962446635</v>
      </c>
      <c r="Z734" s="19">
        <v>2.0713872916410971</v>
      </c>
      <c r="AA734" s="19">
        <v>2.062093667325934</v>
      </c>
      <c r="AB734" s="19">
        <v>2.0528417404051984</v>
      </c>
      <c r="AC734" s="19">
        <v>2.0436313237965806</v>
      </c>
      <c r="AD734" s="19">
        <v>2.0344622312571463</v>
      </c>
      <c r="AE734" s="19">
        <v>2.0253342773795726</v>
      </c>
      <c r="AF734" s="19">
        <v>2.0162472775883962</v>
      </c>
      <c r="AG734" s="19">
        <v>0.35567066721844348</v>
      </c>
      <c r="AH734" s="19">
        <v>4.2677893142383447E-2</v>
      </c>
      <c r="AI734" s="19">
        <v>3.8827828093052935E-2</v>
      </c>
      <c r="AJ734" s="19">
        <v>2.4478957479962527E-2</v>
      </c>
      <c r="AK734" s="19">
        <v>1.483838004969119E-2</v>
      </c>
      <c r="AL734" s="19">
        <v>8.6563327497299111E-3</v>
      </c>
      <c r="AM734" s="19">
        <v>4.8647557697535336E-3</v>
      </c>
      <c r="AN734" s="19">
        <v>2.6363243215680302E-3</v>
      </c>
      <c r="AO734" s="19">
        <v>0</v>
      </c>
      <c r="AP734" s="19">
        <v>0</v>
      </c>
      <c r="AQ734" s="19">
        <v>0</v>
      </c>
      <c r="AR734" s="19">
        <v>28.921099710205748</v>
      </c>
    </row>
    <row r="735" spans="1:44" x14ac:dyDescent="0.25">
      <c r="A735" t="s">
        <v>250</v>
      </c>
      <c r="B735" t="s">
        <v>331</v>
      </c>
      <c r="C735" t="s">
        <v>44</v>
      </c>
      <c r="D735" t="s">
        <v>324</v>
      </c>
      <c r="E735" t="s">
        <v>148</v>
      </c>
      <c r="F735" t="s">
        <v>324</v>
      </c>
      <c r="G735" t="s">
        <v>31</v>
      </c>
      <c r="H735" t="s">
        <v>254</v>
      </c>
      <c r="I735" t="s">
        <v>135</v>
      </c>
      <c r="J735" t="s">
        <v>39</v>
      </c>
      <c r="K735" t="s">
        <v>31</v>
      </c>
      <c r="L735">
        <v>2.6611764705882361</v>
      </c>
      <c r="M735">
        <v>1</v>
      </c>
      <c r="N735" s="2">
        <v>7.6840003133975507</v>
      </c>
      <c r="O735" s="2">
        <v>5.4114176288701801</v>
      </c>
      <c r="P735" s="1">
        <v>-2.0227495107528393</v>
      </c>
      <c r="Q735" s="1">
        <v>0.38145740950867718</v>
      </c>
      <c r="R735" s="1">
        <v>-1.8625523936223547</v>
      </c>
      <c r="S735" s="19">
        <v>0.32098040513058967</v>
      </c>
      <c r="T735" s="19">
        <v>0.46869270548706871</v>
      </c>
      <c r="U735" s="19">
        <v>0.48647429219651395</v>
      </c>
      <c r="V735" s="19">
        <v>0.49959621566011259</v>
      </c>
      <c r="W735" s="19">
        <v>0.50930873881209116</v>
      </c>
      <c r="X735" s="19">
        <v>0.51668042715434437</v>
      </c>
      <c r="Y735" s="19">
        <v>0.52253911704071543</v>
      </c>
      <c r="Z735" s="19">
        <v>0.5288563643810521</v>
      </c>
      <c r="AA735" s="19">
        <v>0.53258847548983812</v>
      </c>
      <c r="AB735" s="19">
        <v>0.53637230426919269</v>
      </c>
      <c r="AC735" s="19">
        <v>0.54020838643808533</v>
      </c>
      <c r="AD735" s="19">
        <v>0.54409726392173452</v>
      </c>
      <c r="AE735" s="19">
        <v>0.54803948492038423</v>
      </c>
      <c r="AF735" s="19">
        <v>0.55203560397873974</v>
      </c>
      <c r="AG735" s="19">
        <v>0.5560861820563241</v>
      </c>
      <c r="AH735" s="19">
        <v>0.56019178659837243</v>
      </c>
      <c r="AI735" s="19">
        <v>0.56435299160790486</v>
      </c>
      <c r="AJ735" s="19">
        <v>0.56857037771817442</v>
      </c>
      <c r="AK735" s="19">
        <v>0.57284453226632259</v>
      </c>
      <c r="AL735" s="19">
        <v>0.57717604936764599</v>
      </c>
      <c r="AM735" s="19">
        <v>0.58156552999066446</v>
      </c>
      <c r="AN735" s="19">
        <v>0.5860135820332657</v>
      </c>
      <c r="AO735" s="19">
        <v>0.5905208203994593</v>
      </c>
      <c r="AP735" s="19">
        <v>0.59508786707709993</v>
      </c>
      <c r="AQ735" s="19">
        <v>0.59971535121655373</v>
      </c>
      <c r="AR735" s="19">
        <v>13.458594855212253</v>
      </c>
    </row>
    <row r="736" spans="1:44" x14ac:dyDescent="0.25">
      <c r="A736" t="s">
        <v>250</v>
      </c>
      <c r="B736" t="s">
        <v>331</v>
      </c>
      <c r="C736" t="s">
        <v>44</v>
      </c>
      <c r="D736" t="s">
        <v>324</v>
      </c>
      <c r="E736" t="s">
        <v>145</v>
      </c>
      <c r="F736" t="s">
        <v>324</v>
      </c>
      <c r="G736" t="s">
        <v>31</v>
      </c>
      <c r="H736" t="s">
        <v>255</v>
      </c>
      <c r="I736" t="s">
        <v>135</v>
      </c>
      <c r="J736" t="s">
        <v>39</v>
      </c>
      <c r="K736" t="s">
        <v>31</v>
      </c>
      <c r="L736">
        <v>2.6611764705882361</v>
      </c>
      <c r="M736">
        <v>1</v>
      </c>
      <c r="N736" s="2">
        <v>7.6840003133975507</v>
      </c>
      <c r="O736" s="2">
        <v>5.4114176288701801</v>
      </c>
      <c r="P736" s="1">
        <v>-2.0227495107528393</v>
      </c>
      <c r="Q736" s="1">
        <v>0.38145740950867718</v>
      </c>
      <c r="R736" s="1">
        <v>-1.8625523936223547</v>
      </c>
      <c r="S736" s="19">
        <v>3.1872720461358623</v>
      </c>
      <c r="T736" s="19">
        <v>3.3047784199847308</v>
      </c>
      <c r="U736" s="19">
        <v>3.3764486813094687</v>
      </c>
      <c r="V736" s="19">
        <v>3.413061008311455</v>
      </c>
      <c r="W736" s="19">
        <v>3.4245963258669239</v>
      </c>
      <c r="X736" s="19">
        <v>3.4192626229179637</v>
      </c>
      <c r="Y736" s="19">
        <v>3.4032232530663613</v>
      </c>
      <c r="Z736" s="19">
        <v>3.3896097206051881</v>
      </c>
      <c r="AA736" s="19">
        <v>3.3591032331197415</v>
      </c>
      <c r="AB736" s="19">
        <v>3.3288713040216629</v>
      </c>
      <c r="AC736" s="19">
        <v>3.2989114622854685</v>
      </c>
      <c r="AD736" s="19">
        <v>3.2692212591248988</v>
      </c>
      <c r="AE736" s="19">
        <v>3.239798267792775</v>
      </c>
      <c r="AF736" s="19">
        <v>0.18650423803103297</v>
      </c>
      <c r="AG736" s="19">
        <v>0</v>
      </c>
      <c r="AH736" s="19">
        <v>7.2095033331796815E-2</v>
      </c>
      <c r="AI736" s="19">
        <v>8.4294227079492162E-2</v>
      </c>
      <c r="AJ736" s="19">
        <v>5.2906019809777723E-2</v>
      </c>
      <c r="AK736" s="19">
        <v>3.1928478492252832E-2</v>
      </c>
      <c r="AL736" s="19">
        <v>1.8545023720210042E-2</v>
      </c>
      <c r="AM736" s="19">
        <v>1.0377157153770291E-2</v>
      </c>
      <c r="AN736" s="19">
        <v>5.5996681726547624E-3</v>
      </c>
      <c r="AO736" s="19">
        <v>0</v>
      </c>
      <c r="AP736" s="19">
        <v>0</v>
      </c>
      <c r="AQ736" s="19">
        <v>0</v>
      </c>
      <c r="AR736" s="19">
        <v>43.876407450333481</v>
      </c>
    </row>
    <row r="737" spans="1:44" x14ac:dyDescent="0.25">
      <c r="A737" t="s">
        <v>250</v>
      </c>
      <c r="B737" t="s">
        <v>331</v>
      </c>
      <c r="C737" t="s">
        <v>44</v>
      </c>
      <c r="D737" t="s">
        <v>324</v>
      </c>
      <c r="E737" t="s">
        <v>148</v>
      </c>
      <c r="F737" t="s">
        <v>324</v>
      </c>
      <c r="G737" t="s">
        <v>31</v>
      </c>
      <c r="H737" t="s">
        <v>255</v>
      </c>
      <c r="I737" t="s">
        <v>135</v>
      </c>
      <c r="J737" t="s">
        <v>39</v>
      </c>
      <c r="K737" t="s">
        <v>31</v>
      </c>
      <c r="L737">
        <v>2.6611764705882361</v>
      </c>
      <c r="M737">
        <v>1</v>
      </c>
      <c r="N737" s="2">
        <v>7.6840003133975507</v>
      </c>
      <c r="O737" s="2">
        <v>5.4114176288701801</v>
      </c>
      <c r="P737" s="1">
        <v>-2.0227495107528393</v>
      </c>
      <c r="Q737" s="1">
        <v>0.38145740950867718</v>
      </c>
      <c r="R737" s="1">
        <v>-1.8625523936223547</v>
      </c>
      <c r="S737" s="19">
        <v>0.54222669637274268</v>
      </c>
      <c r="T737" s="19">
        <v>1.017519940907982</v>
      </c>
      <c r="U737" s="19">
        <v>1.0514099124100349</v>
      </c>
      <c r="V737" s="19">
        <v>1.075005962449842</v>
      </c>
      <c r="W737" s="19">
        <v>1.0911251814430527</v>
      </c>
      <c r="X737" s="19">
        <v>1.1021465916529325</v>
      </c>
      <c r="Y737" s="19">
        <v>1.10989594061768</v>
      </c>
      <c r="Z737" s="19">
        <v>1.1185863351083911</v>
      </c>
      <c r="AA737" s="19">
        <v>1.1217964909144529</v>
      </c>
      <c r="AB737" s="19">
        <v>1.1251266526061181</v>
      </c>
      <c r="AC737" s="19">
        <v>1.128577409911246</v>
      </c>
      <c r="AD737" s="19">
        <v>1.1321493659755302</v>
      </c>
      <c r="AE737" s="19">
        <v>1.135843137451837</v>
      </c>
      <c r="AF737" s="19">
        <v>1.1396593545908873</v>
      </c>
      <c r="AG737" s="19">
        <v>1.1435986613337374</v>
      </c>
      <c r="AH737" s="19">
        <v>1.1476617154055435</v>
      </c>
      <c r="AI737" s="19">
        <v>1.1518491884112267</v>
      </c>
      <c r="AJ737" s="19">
        <v>1.1561617659324841</v>
      </c>
      <c r="AK737" s="19">
        <v>1.1606001476265355</v>
      </c>
      <c r="AL737" s="19">
        <v>1.1651650473266366</v>
      </c>
      <c r="AM737" s="19">
        <v>1.1698571931438078</v>
      </c>
      <c r="AN737" s="19">
        <v>1.1746773275707101</v>
      </c>
      <c r="AO737" s="19">
        <v>1.1796262075869286</v>
      </c>
      <c r="AP737" s="19">
        <v>1.184704604765964</v>
      </c>
      <c r="AQ737" s="19">
        <v>1.1899133053839916</v>
      </c>
      <c r="AR737" s="19">
        <v>27.714884136900295</v>
      </c>
    </row>
    <row r="738" spans="1:44" x14ac:dyDescent="0.25">
      <c r="A738" t="s">
        <v>250</v>
      </c>
      <c r="B738" t="s">
        <v>332</v>
      </c>
      <c r="C738" t="s">
        <v>44</v>
      </c>
      <c r="D738" t="s">
        <v>333</v>
      </c>
      <c r="E738" t="s">
        <v>134</v>
      </c>
      <c r="F738" t="s">
        <v>334</v>
      </c>
      <c r="G738" t="s">
        <v>31</v>
      </c>
      <c r="H738" t="s">
        <v>272</v>
      </c>
      <c r="I738" t="s">
        <v>135</v>
      </c>
      <c r="J738" t="s">
        <v>39</v>
      </c>
      <c r="K738" t="s">
        <v>31</v>
      </c>
      <c r="L738">
        <v>47.690400470307488</v>
      </c>
      <c r="M738">
        <v>1</v>
      </c>
      <c r="N738" s="2">
        <v>3.235559366958098</v>
      </c>
      <c r="O738" s="2">
        <v>7.3503117205943074</v>
      </c>
      <c r="P738" s="1">
        <v>-2.2239257747150929</v>
      </c>
      <c r="Q738" s="1">
        <v>1.2304919070027225</v>
      </c>
      <c r="R738" s="1">
        <v>-2.9127631550786535</v>
      </c>
      <c r="S738" s="19">
        <v>7.5510899751307985</v>
      </c>
      <c r="T738" s="19">
        <v>12.226381544912886</v>
      </c>
      <c r="U738" s="19">
        <v>18.472572976904988</v>
      </c>
      <c r="V738" s="19">
        <v>26.334970989448241</v>
      </c>
      <c r="W738" s="19">
        <v>35.658007854929721</v>
      </c>
      <c r="X738" s="19">
        <v>46.013018921554355</v>
      </c>
      <c r="Y738" s="19">
        <v>56.648387351793779</v>
      </c>
      <c r="Z738" s="19">
        <v>66.494616828527711</v>
      </c>
      <c r="AA738" s="19">
        <v>74.259466609380539</v>
      </c>
      <c r="AB738" s="19">
        <v>78.634699821474115</v>
      </c>
      <c r="AC738" s="19">
        <v>78.599759552404493</v>
      </c>
      <c r="AD738" s="19">
        <v>73.752698724142576</v>
      </c>
      <c r="AE738" s="19">
        <v>64.546829908110652</v>
      </c>
      <c r="AF738" s="19">
        <v>53.1339693742202</v>
      </c>
      <c r="AG738" s="19">
        <v>40.444952382134367</v>
      </c>
      <c r="AH738" s="19">
        <v>4.5412251163099322</v>
      </c>
      <c r="AI738" s="19">
        <v>0</v>
      </c>
      <c r="AJ738" s="19">
        <v>0</v>
      </c>
      <c r="AK738" s="19">
        <v>0</v>
      </c>
      <c r="AL738" s="19">
        <v>0</v>
      </c>
      <c r="AM738" s="19">
        <v>0</v>
      </c>
      <c r="AN738" s="19">
        <v>0</v>
      </c>
      <c r="AO738" s="19">
        <v>0</v>
      </c>
      <c r="AP738" s="19">
        <v>0</v>
      </c>
      <c r="AQ738" s="19">
        <v>0</v>
      </c>
      <c r="AR738" s="19">
        <v>737.31264793137939</v>
      </c>
    </row>
    <row r="739" spans="1:44" x14ac:dyDescent="0.25">
      <c r="A739" t="s">
        <v>250</v>
      </c>
      <c r="B739" t="s">
        <v>332</v>
      </c>
      <c r="C739" t="s">
        <v>44</v>
      </c>
      <c r="D739" t="s">
        <v>333</v>
      </c>
      <c r="E739" t="s">
        <v>134</v>
      </c>
      <c r="F739" t="s">
        <v>334</v>
      </c>
      <c r="G739" t="s">
        <v>31</v>
      </c>
      <c r="H739" t="s">
        <v>273</v>
      </c>
      <c r="I739" t="s">
        <v>135</v>
      </c>
      <c r="J739" t="s">
        <v>39</v>
      </c>
      <c r="K739" t="s">
        <v>31</v>
      </c>
      <c r="L739">
        <v>47.690400470307488</v>
      </c>
      <c r="M739">
        <v>1</v>
      </c>
      <c r="N739" s="2">
        <v>3.235559366958098</v>
      </c>
      <c r="O739" s="2">
        <v>7.3503117205943074</v>
      </c>
      <c r="P739" s="1">
        <v>-2.2239257747150929</v>
      </c>
      <c r="Q739" s="1">
        <v>1.2304919070027225</v>
      </c>
      <c r="R739" s="1">
        <v>-2.9127631550786535</v>
      </c>
      <c r="S739" s="19">
        <v>2.2710397506206066</v>
      </c>
      <c r="T739" s="19">
        <v>3.6771643016040714</v>
      </c>
      <c r="U739" s="19">
        <v>5.5557472715804259</v>
      </c>
      <c r="V739" s="19">
        <v>7.9204149527355421</v>
      </c>
      <c r="W739" s="19">
        <v>10.724379332413459</v>
      </c>
      <c r="X739" s="19">
        <v>13.838716709914181</v>
      </c>
      <c r="Y739" s="19">
        <v>17.037373400155889</v>
      </c>
      <c r="Z739" s="19">
        <v>19.998691383260407</v>
      </c>
      <c r="AA739" s="19">
        <v>22.33402079503967</v>
      </c>
      <c r="AB739" s="19">
        <v>23.64990083032264</v>
      </c>
      <c r="AC739" s="19">
        <v>23.63939231562928</v>
      </c>
      <c r="AD739" s="19">
        <v>22.181607035502459</v>
      </c>
      <c r="AE739" s="19">
        <v>19.412881713851803</v>
      </c>
      <c r="AF739" s="19">
        <v>15.98038918282413</v>
      </c>
      <c r="AG739" s="19">
        <v>12.164084241387105</v>
      </c>
      <c r="AH739" s="19">
        <v>1.3658031873043084</v>
      </c>
      <c r="AI739" s="19">
        <v>0</v>
      </c>
      <c r="AJ739" s="19">
        <v>0</v>
      </c>
      <c r="AK739" s="19">
        <v>0</v>
      </c>
      <c r="AL739" s="19">
        <v>0</v>
      </c>
      <c r="AM739" s="19">
        <v>0</v>
      </c>
      <c r="AN739" s="19">
        <v>0</v>
      </c>
      <c r="AO739" s="19">
        <v>0</v>
      </c>
      <c r="AP739" s="19">
        <v>0</v>
      </c>
      <c r="AQ739" s="19">
        <v>0</v>
      </c>
      <c r="AR739" s="19">
        <v>221.75160640414595</v>
      </c>
    </row>
    <row r="740" spans="1:44" x14ac:dyDescent="0.25">
      <c r="A740" t="s">
        <v>250</v>
      </c>
      <c r="B740" t="s">
        <v>332</v>
      </c>
      <c r="C740" t="s">
        <v>44</v>
      </c>
      <c r="D740" t="s">
        <v>333</v>
      </c>
      <c r="E740" t="s">
        <v>134</v>
      </c>
      <c r="F740" t="s">
        <v>334</v>
      </c>
      <c r="G740" t="s">
        <v>31</v>
      </c>
      <c r="H740" t="s">
        <v>274</v>
      </c>
      <c r="I740" t="s">
        <v>135</v>
      </c>
      <c r="J740" t="s">
        <v>39</v>
      </c>
      <c r="K740" t="s">
        <v>31</v>
      </c>
      <c r="L740">
        <v>47.690400470307488</v>
      </c>
      <c r="M740">
        <v>1</v>
      </c>
      <c r="N740" s="2">
        <v>3.235559366958098</v>
      </c>
      <c r="O740" s="2">
        <v>7.3503117205943074</v>
      </c>
      <c r="P740" s="1">
        <v>-2.2239257747150929</v>
      </c>
      <c r="Q740" s="1">
        <v>1.2304919070027225</v>
      </c>
      <c r="R740" s="1">
        <v>-2.9127631550786535</v>
      </c>
      <c r="S740" s="19">
        <v>3.5750232435450209</v>
      </c>
      <c r="T740" s="19">
        <v>5.7885150821231361</v>
      </c>
      <c r="U740" s="19">
        <v>8.7457410755290361</v>
      </c>
      <c r="V740" s="19">
        <v>12.468151447729298</v>
      </c>
      <c r="W740" s="19">
        <v>16.88209348845383</v>
      </c>
      <c r="X740" s="19">
        <v>21.784618206378113</v>
      </c>
      <c r="Y740" s="19">
        <v>26.819876621652437</v>
      </c>
      <c r="Z740" s="19">
        <v>31.481521411548112</v>
      </c>
      <c r="AA740" s="19">
        <v>35.15774809413422</v>
      </c>
      <c r="AB740" s="19">
        <v>37.22917890487539</v>
      </c>
      <c r="AC740" s="19">
        <v>37.212636620983787</v>
      </c>
      <c r="AD740" s="19">
        <v>34.917821543824978</v>
      </c>
      <c r="AE740" s="19">
        <v>30.559352090708664</v>
      </c>
      <c r="AF740" s="19">
        <v>25.155994188952327</v>
      </c>
      <c r="AG740" s="19">
        <v>19.148446823757691</v>
      </c>
      <c r="AH740" s="19">
        <v>2.1500187917832534</v>
      </c>
      <c r="AI740" s="19">
        <v>0</v>
      </c>
      <c r="AJ740" s="19">
        <v>0</v>
      </c>
      <c r="AK740" s="19">
        <v>0</v>
      </c>
      <c r="AL740" s="19">
        <v>0</v>
      </c>
      <c r="AM740" s="19">
        <v>0</v>
      </c>
      <c r="AN740" s="19">
        <v>0</v>
      </c>
      <c r="AO740" s="19">
        <v>0</v>
      </c>
      <c r="AP740" s="19">
        <v>0</v>
      </c>
      <c r="AQ740" s="19">
        <v>0</v>
      </c>
      <c r="AR740" s="19">
        <v>349.07673763597927</v>
      </c>
    </row>
    <row r="741" spans="1:44" x14ac:dyDescent="0.25">
      <c r="A741" t="s">
        <v>250</v>
      </c>
      <c r="B741" t="s">
        <v>332</v>
      </c>
      <c r="C741" t="s">
        <v>44</v>
      </c>
      <c r="D741" t="s">
        <v>333</v>
      </c>
      <c r="E741" t="s">
        <v>134</v>
      </c>
      <c r="F741" t="s">
        <v>334</v>
      </c>
      <c r="G741" t="s">
        <v>31</v>
      </c>
      <c r="H741" t="s">
        <v>275</v>
      </c>
      <c r="I741" t="s">
        <v>135</v>
      </c>
      <c r="J741" t="s">
        <v>39</v>
      </c>
      <c r="K741" t="s">
        <v>31</v>
      </c>
      <c r="L741">
        <v>47.690400470307488</v>
      </c>
      <c r="M741">
        <v>1</v>
      </c>
      <c r="N741" s="2">
        <v>3.235559366958098</v>
      </c>
      <c r="O741" s="2">
        <v>7.3503117205943074</v>
      </c>
      <c r="P741" s="1">
        <v>-2.2239257747150929</v>
      </c>
      <c r="Q741" s="1">
        <v>1.2304919070027225</v>
      </c>
      <c r="R741" s="1">
        <v>-2.9127631550786535</v>
      </c>
      <c r="S741" s="19">
        <v>5.4615179602213981</v>
      </c>
      <c r="T741" s="19">
        <v>8.8430415497604393</v>
      </c>
      <c r="U741" s="19">
        <v>13.360758435820316</v>
      </c>
      <c r="V741" s="19">
        <v>19.04743785526005</v>
      </c>
      <c r="W741" s="19">
        <v>25.790561490699357</v>
      </c>
      <c r="X741" s="19">
        <v>33.280086725456229</v>
      </c>
      <c r="Y741" s="19">
        <v>40.972387557074669</v>
      </c>
      <c r="Z741" s="19">
        <v>48.093923561115233</v>
      </c>
      <c r="AA741" s="19">
        <v>53.710048739893075</v>
      </c>
      <c r="AB741" s="19">
        <v>56.874547487319575</v>
      </c>
      <c r="AC741" s="19">
        <v>56.849276048668038</v>
      </c>
      <c r="AD741" s="19">
        <v>53.343515972305084</v>
      </c>
      <c r="AE741" s="19">
        <v>46.685137109943632</v>
      </c>
      <c r="AF741" s="19">
        <v>38.430495331255898</v>
      </c>
      <c r="AG741" s="19">
        <v>29.252840922677503</v>
      </c>
      <c r="AH741" s="19">
        <v>3.2845566157758626</v>
      </c>
      <c r="AI741" s="19">
        <v>0</v>
      </c>
      <c r="AJ741" s="19">
        <v>0</v>
      </c>
      <c r="AK741" s="19">
        <v>0</v>
      </c>
      <c r="AL741" s="19">
        <v>0</v>
      </c>
      <c r="AM741" s="19">
        <v>0</v>
      </c>
      <c r="AN741" s="19">
        <v>0</v>
      </c>
      <c r="AO741" s="19">
        <v>0</v>
      </c>
      <c r="AP741" s="19">
        <v>0</v>
      </c>
      <c r="AQ741" s="19">
        <v>0</v>
      </c>
      <c r="AR741" s="19">
        <v>533.28013336324625</v>
      </c>
    </row>
    <row r="742" spans="1:44" x14ac:dyDescent="0.25">
      <c r="A742" t="s">
        <v>250</v>
      </c>
      <c r="B742" t="s">
        <v>332</v>
      </c>
      <c r="C742" t="s">
        <v>44</v>
      </c>
      <c r="D742" t="s">
        <v>333</v>
      </c>
      <c r="E742" t="s">
        <v>134</v>
      </c>
      <c r="F742" t="s">
        <v>334</v>
      </c>
      <c r="G742" t="s">
        <v>31</v>
      </c>
      <c r="H742" t="s">
        <v>277</v>
      </c>
      <c r="I742" t="s">
        <v>135</v>
      </c>
      <c r="J742" t="s">
        <v>39</v>
      </c>
      <c r="K742" t="s">
        <v>31</v>
      </c>
      <c r="L742">
        <v>47.690400470307488</v>
      </c>
      <c r="M742">
        <v>1</v>
      </c>
      <c r="N742" s="2">
        <v>3.235559366958098</v>
      </c>
      <c r="O742" s="2">
        <v>7.3503117205943074</v>
      </c>
      <c r="P742" s="1">
        <v>-2.2239257747150929</v>
      </c>
      <c r="Q742" s="1">
        <v>1.2304919070027225</v>
      </c>
      <c r="R742" s="1">
        <v>-2.9127631550786535</v>
      </c>
      <c r="S742" s="19">
        <v>1147.1648365355252</v>
      </c>
      <c r="T742" s="19">
        <v>1857.2132200290059</v>
      </c>
      <c r="U742" s="19">
        <v>2805.6846327409562</v>
      </c>
      <c r="V742" s="19">
        <v>3999.3733418663319</v>
      </c>
      <c r="W742" s="19">
        <v>5414.5680984247174</v>
      </c>
      <c r="X742" s="19">
        <v>6986.1050662798543</v>
      </c>
      <c r="Y742" s="19">
        <v>8599.8242561491643</v>
      </c>
      <c r="Z742" s="19">
        <v>10093.36906621476</v>
      </c>
      <c r="AA742" s="19">
        <v>11270.654375607444</v>
      </c>
      <c r="AB742" s="19">
        <v>11933.262126123074</v>
      </c>
      <c r="AC742" s="19">
        <v>11926.521772097143</v>
      </c>
      <c r="AD742" s="19">
        <v>11189.692318685327</v>
      </c>
      <c r="AE742" s="19">
        <v>9791.8056922893447</v>
      </c>
      <c r="AF742" s="19">
        <v>8059.4939006635987</v>
      </c>
      <c r="AG742" s="19">
        <v>6134.0523625224723</v>
      </c>
      <c r="AH742" s="19">
        <v>480.43059104468074</v>
      </c>
      <c r="AI742" s="19">
        <v>0</v>
      </c>
      <c r="AJ742" s="19">
        <v>0</v>
      </c>
      <c r="AK742" s="19">
        <v>0</v>
      </c>
      <c r="AL742" s="19">
        <v>0</v>
      </c>
      <c r="AM742" s="19">
        <v>0</v>
      </c>
      <c r="AN742" s="19">
        <v>0</v>
      </c>
      <c r="AO742" s="19">
        <v>0</v>
      </c>
      <c r="AP742" s="19">
        <v>0</v>
      </c>
      <c r="AQ742" s="19">
        <v>0</v>
      </c>
      <c r="AR742" s="19">
        <v>111689.21565727339</v>
      </c>
    </row>
    <row r="743" spans="1:44" x14ac:dyDescent="0.25">
      <c r="A743" t="s">
        <v>250</v>
      </c>
      <c r="B743" t="s">
        <v>332</v>
      </c>
      <c r="C743" t="s">
        <v>44</v>
      </c>
      <c r="D743" t="s">
        <v>333</v>
      </c>
      <c r="E743" t="s">
        <v>134</v>
      </c>
      <c r="F743" t="s">
        <v>334</v>
      </c>
      <c r="G743" t="s">
        <v>31</v>
      </c>
      <c r="H743" t="s">
        <v>278</v>
      </c>
      <c r="I743" t="s">
        <v>135</v>
      </c>
      <c r="J743" t="s">
        <v>39</v>
      </c>
      <c r="K743" t="s">
        <v>31</v>
      </c>
      <c r="L743">
        <v>47.690400470307488</v>
      </c>
      <c r="M743">
        <v>1</v>
      </c>
      <c r="N743" s="2">
        <v>3.235559366958098</v>
      </c>
      <c r="O743" s="2">
        <v>7.3503117205943074</v>
      </c>
      <c r="P743" s="1">
        <v>-2.2239257747150929</v>
      </c>
      <c r="Q743" s="1">
        <v>1.2304919070027225</v>
      </c>
      <c r="R743" s="1">
        <v>-2.9127631550786535</v>
      </c>
      <c r="S743" s="19">
        <v>0.11398650733090659</v>
      </c>
      <c r="T743" s="19">
        <v>0.18374594520273652</v>
      </c>
      <c r="U743" s="19">
        <v>0.27639057447733179</v>
      </c>
      <c r="V743" s="19">
        <v>0.39228770789359074</v>
      </c>
      <c r="W743" s="19">
        <v>0.52881644234921188</v>
      </c>
      <c r="X743" s="19">
        <v>0.67936727036515454</v>
      </c>
      <c r="Y743" s="19">
        <v>0.83269788379998444</v>
      </c>
      <c r="Z743" s="19">
        <v>0.9731110760667202</v>
      </c>
      <c r="AA743" s="19">
        <v>1.0819414805865242</v>
      </c>
      <c r="AB743" s="19">
        <v>1.1406231911805176</v>
      </c>
      <c r="AC743" s="19">
        <v>1.135076676012132</v>
      </c>
      <c r="AD743" s="19">
        <v>1.0603711831749172</v>
      </c>
      <c r="AE743" s="19">
        <v>0.92391269804932163</v>
      </c>
      <c r="AF743" s="19">
        <v>0.68504048967907116</v>
      </c>
      <c r="AG743" s="19">
        <v>0</v>
      </c>
      <c r="AH743" s="19">
        <v>0</v>
      </c>
      <c r="AI743" s="19">
        <v>0</v>
      </c>
      <c r="AJ743" s="19">
        <v>0</v>
      </c>
      <c r="AK743" s="19">
        <v>0</v>
      </c>
      <c r="AL743" s="19">
        <v>0</v>
      </c>
      <c r="AM743" s="19">
        <v>0</v>
      </c>
      <c r="AN743" s="19">
        <v>0</v>
      </c>
      <c r="AO743" s="19">
        <v>0</v>
      </c>
      <c r="AP743" s="19">
        <v>0</v>
      </c>
      <c r="AQ743" s="19">
        <v>0</v>
      </c>
      <c r="AR743" s="19">
        <v>10.00736912616812</v>
      </c>
    </row>
    <row r="744" spans="1:44" x14ac:dyDescent="0.25">
      <c r="A744" t="s">
        <v>250</v>
      </c>
      <c r="B744" t="s">
        <v>332</v>
      </c>
      <c r="C744" t="s">
        <v>44</v>
      </c>
      <c r="D744" t="s">
        <v>333</v>
      </c>
      <c r="E744" t="s">
        <v>134</v>
      </c>
      <c r="F744" t="s">
        <v>334</v>
      </c>
      <c r="G744" t="s">
        <v>31</v>
      </c>
      <c r="H744" t="s">
        <v>274</v>
      </c>
      <c r="I744" t="s">
        <v>135</v>
      </c>
      <c r="J744" t="s">
        <v>39</v>
      </c>
      <c r="K744" t="s">
        <v>33</v>
      </c>
      <c r="L744">
        <v>47.690400470307488</v>
      </c>
      <c r="M744">
        <v>1</v>
      </c>
      <c r="N744" s="2">
        <v>3.235559366958098</v>
      </c>
      <c r="O744" s="2">
        <v>7.3503117205943074</v>
      </c>
      <c r="P744" s="1">
        <v>-2.2239257747150929</v>
      </c>
      <c r="Q744" s="1">
        <v>1.2304919070027225</v>
      </c>
      <c r="R744" s="1">
        <v>-2.9127631550786535</v>
      </c>
      <c r="S744" s="19">
        <v>1.1502575165336933E-2</v>
      </c>
      <c r="T744" s="19">
        <v>1.8624446693606331E-2</v>
      </c>
      <c r="U744" s="19">
        <v>2.8139269941667037E-2</v>
      </c>
      <c r="V744" s="19">
        <v>4.0116060632405422E-2</v>
      </c>
      <c r="W744" s="19">
        <v>5.4317842450340957E-2</v>
      </c>
      <c r="X744" s="19">
        <v>7.0091630542394839E-2</v>
      </c>
      <c r="Y744" s="19">
        <v>8.6292486999248477E-2</v>
      </c>
      <c r="Z744" s="19">
        <v>0.10129124810847846</v>
      </c>
      <c r="AA744" s="19">
        <v>0.11311944358038616</v>
      </c>
      <c r="AB744" s="19">
        <v>0.11978423622008892</v>
      </c>
      <c r="AC744" s="19">
        <v>0.1197310117091118</v>
      </c>
      <c r="AD744" s="19">
        <v>0.11234748407380808</v>
      </c>
      <c r="AE744" s="19">
        <v>9.8324184342592241E-2</v>
      </c>
      <c r="AF744" s="19">
        <v>8.0938974184199375E-2</v>
      </c>
      <c r="AG744" s="19">
        <v>6.1609794925786859E-2</v>
      </c>
      <c r="AH744" s="19">
        <v>6.9176481031356799E-3</v>
      </c>
      <c r="AI744" s="19">
        <v>0</v>
      </c>
      <c r="AJ744" s="19">
        <v>0</v>
      </c>
      <c r="AK744" s="19">
        <v>0</v>
      </c>
      <c r="AL744" s="19">
        <v>0</v>
      </c>
      <c r="AM744" s="19">
        <v>0</v>
      </c>
      <c r="AN744" s="19">
        <v>0</v>
      </c>
      <c r="AO744" s="19">
        <v>0</v>
      </c>
      <c r="AP744" s="19">
        <v>0</v>
      </c>
      <c r="AQ744" s="19">
        <v>0</v>
      </c>
      <c r="AR744" s="19">
        <v>1.1231483376725877</v>
      </c>
    </row>
    <row r="745" spans="1:44" x14ac:dyDescent="0.25">
      <c r="A745" t="s">
        <v>250</v>
      </c>
      <c r="B745" t="s">
        <v>332</v>
      </c>
      <c r="C745" t="s">
        <v>44</v>
      </c>
      <c r="D745" t="s">
        <v>333</v>
      </c>
      <c r="E745" t="s">
        <v>134</v>
      </c>
      <c r="F745" t="s">
        <v>334</v>
      </c>
      <c r="G745" t="s">
        <v>31</v>
      </c>
      <c r="H745" t="s">
        <v>272</v>
      </c>
      <c r="I745" t="s">
        <v>135</v>
      </c>
      <c r="J745" t="s">
        <v>40</v>
      </c>
      <c r="K745" t="s">
        <v>31</v>
      </c>
      <c r="L745">
        <v>47.690400470307488</v>
      </c>
      <c r="M745">
        <v>1</v>
      </c>
      <c r="N745" s="2">
        <v>3.235559366958098</v>
      </c>
      <c r="O745" s="2">
        <v>6.1135235078055725</v>
      </c>
      <c r="P745" s="1">
        <v>-2.2239257747150929</v>
      </c>
      <c r="Q745" s="1">
        <v>0.4672931329656026</v>
      </c>
      <c r="R745" s="1">
        <v>-2.7697631550786532</v>
      </c>
      <c r="S745" s="19">
        <v>0.74692242096361205</v>
      </c>
      <c r="T745" s="19">
        <v>1.2093828219803426</v>
      </c>
      <c r="U745" s="19">
        <v>1.8272301051607944</v>
      </c>
      <c r="V745" s="19">
        <v>2.6049458226862736</v>
      </c>
      <c r="W745" s="19">
        <v>3.5271418618319732</v>
      </c>
      <c r="X745" s="19">
        <v>4.5514164977403215</v>
      </c>
      <c r="Y745" s="19">
        <v>5.6034229182593407</v>
      </c>
      <c r="Z745" s="19">
        <v>6.5773709949405497</v>
      </c>
      <c r="AA745" s="19">
        <v>7.3454376470178753</v>
      </c>
      <c r="AB745" s="19">
        <v>7.7782175230119677</v>
      </c>
      <c r="AC745" s="19">
        <v>7.774761376886234</v>
      </c>
      <c r="AD745" s="19">
        <v>7.2953102750814818</v>
      </c>
      <c r="AE745" s="19">
        <v>6.3847040121724152</v>
      </c>
      <c r="AF745" s="19">
        <v>5.2557913057725845</v>
      </c>
      <c r="AG745" s="19">
        <v>4.0006465091151995</v>
      </c>
      <c r="AH745" s="19">
        <v>0.44919910492207238</v>
      </c>
      <c r="AI745" s="19">
        <v>0</v>
      </c>
      <c r="AJ745" s="19">
        <v>0</v>
      </c>
      <c r="AK745" s="19">
        <v>0</v>
      </c>
      <c r="AL745" s="19">
        <v>0</v>
      </c>
      <c r="AM745" s="19">
        <v>0</v>
      </c>
      <c r="AN745" s="19">
        <v>0</v>
      </c>
      <c r="AO745" s="19">
        <v>0</v>
      </c>
      <c r="AP745" s="19">
        <v>0</v>
      </c>
      <c r="AQ745" s="19">
        <v>0</v>
      </c>
      <c r="AR745" s="19">
        <v>72.931901197543041</v>
      </c>
    </row>
    <row r="746" spans="1:44" x14ac:dyDescent="0.25">
      <c r="A746" t="s">
        <v>250</v>
      </c>
      <c r="B746" t="s">
        <v>332</v>
      </c>
      <c r="C746" t="s">
        <v>44</v>
      </c>
      <c r="D746" t="s">
        <v>333</v>
      </c>
      <c r="E746" t="s">
        <v>134</v>
      </c>
      <c r="F746" t="s">
        <v>334</v>
      </c>
      <c r="G746" t="s">
        <v>31</v>
      </c>
      <c r="H746" t="s">
        <v>277</v>
      </c>
      <c r="I746" t="s">
        <v>135</v>
      </c>
      <c r="J746" t="s">
        <v>40</v>
      </c>
      <c r="K746" t="s">
        <v>31</v>
      </c>
      <c r="L746">
        <v>47.690400470307488</v>
      </c>
      <c r="M746">
        <v>1</v>
      </c>
      <c r="N746" s="2">
        <v>3.235559366958098</v>
      </c>
      <c r="O746" s="2">
        <v>6.1135235078055725</v>
      </c>
      <c r="P746" s="1">
        <v>-2.2239257747150929</v>
      </c>
      <c r="Q746" s="1">
        <v>0.4672931329656026</v>
      </c>
      <c r="R746" s="1">
        <v>-2.7697631550786532</v>
      </c>
      <c r="S746" s="19">
        <v>180.95996455789793</v>
      </c>
      <c r="T746" s="19">
        <v>292.96682374599686</v>
      </c>
      <c r="U746" s="19">
        <v>442.58381666819827</v>
      </c>
      <c r="V746" s="19">
        <v>630.88270765307846</v>
      </c>
      <c r="W746" s="19">
        <v>854.12315648233243</v>
      </c>
      <c r="X746" s="19">
        <v>1102.025868409369</v>
      </c>
      <c r="Y746" s="19">
        <v>1356.5826313999917</v>
      </c>
      <c r="Z746" s="19">
        <v>1592.1824399779225</v>
      </c>
      <c r="AA746" s="19">
        <v>1777.8937702742951</v>
      </c>
      <c r="AB746" s="19">
        <v>1882.4170883104507</v>
      </c>
      <c r="AC746" s="19">
        <v>1881.3538285357492</v>
      </c>
      <c r="AD746" s="19">
        <v>1765.1223790281972</v>
      </c>
      <c r="AE746" s="19">
        <v>1544.6122079419497</v>
      </c>
      <c r="AF746" s="19">
        <v>1271.3480087336293</v>
      </c>
      <c r="AG746" s="19">
        <v>967.61848233654587</v>
      </c>
      <c r="AH746" s="19">
        <v>75.785710962456932</v>
      </c>
      <c r="AI746" s="19">
        <v>0</v>
      </c>
      <c r="AJ746" s="19">
        <v>0</v>
      </c>
      <c r="AK746" s="19">
        <v>0</v>
      </c>
      <c r="AL746" s="19">
        <v>0</v>
      </c>
      <c r="AM746" s="19">
        <v>0</v>
      </c>
      <c r="AN746" s="19">
        <v>0</v>
      </c>
      <c r="AO746" s="19">
        <v>0</v>
      </c>
      <c r="AP746" s="19">
        <v>0</v>
      </c>
      <c r="AQ746" s="19">
        <v>0</v>
      </c>
      <c r="AR746" s="19">
        <v>17618.458885018063</v>
      </c>
    </row>
    <row r="747" spans="1:44" x14ac:dyDescent="0.25">
      <c r="A747" t="s">
        <v>250</v>
      </c>
      <c r="B747" t="s">
        <v>335</v>
      </c>
      <c r="C747" t="s">
        <v>44</v>
      </c>
      <c r="D747" t="s">
        <v>161</v>
      </c>
      <c r="E747" t="s">
        <v>134</v>
      </c>
      <c r="F747" t="s">
        <v>161</v>
      </c>
      <c r="G747" t="s">
        <v>31</v>
      </c>
      <c r="H747" t="s">
        <v>288</v>
      </c>
      <c r="I747" t="s">
        <v>135</v>
      </c>
      <c r="J747" t="s">
        <v>39</v>
      </c>
      <c r="K747" t="s">
        <v>31</v>
      </c>
      <c r="L747">
        <v>514.79499999999996</v>
      </c>
      <c r="M747">
        <v>1</v>
      </c>
      <c r="N747" s="2">
        <v>5.9226361540065984</v>
      </c>
      <c r="O747" s="2">
        <v>5.4757113018011108</v>
      </c>
      <c r="P747" s="1">
        <v>-1.9034258936939177</v>
      </c>
      <c r="Q747" s="1">
        <v>0.50078102656759582</v>
      </c>
      <c r="R747" s="1">
        <v>-1.8625523936223527</v>
      </c>
      <c r="S747" s="19">
        <v>0.3644426405825309</v>
      </c>
      <c r="T747" s="19">
        <v>0.72631144323943853</v>
      </c>
      <c r="U747" s="19">
        <v>1.2857300614441904</v>
      </c>
      <c r="V747" s="19">
        <v>2.0851419201069241</v>
      </c>
      <c r="W747" s="19">
        <v>3.1554593356028597</v>
      </c>
      <c r="X747" s="19">
        <v>4.5057341437041485</v>
      </c>
      <c r="Y747" s="19">
        <v>6.1106487005898504</v>
      </c>
      <c r="Z747" s="19">
        <v>7.8978429033335731</v>
      </c>
      <c r="AA747" s="19">
        <v>9.7389656822938058</v>
      </c>
      <c r="AB747" s="19">
        <v>11.450100382699061</v>
      </c>
      <c r="AC747" s="19">
        <v>12.807729707853287</v>
      </c>
      <c r="AD747" s="19">
        <v>13.584137955014093</v>
      </c>
      <c r="AE747" s="19">
        <v>13.59992738629122</v>
      </c>
      <c r="AF747" s="19">
        <v>12.781764467145893</v>
      </c>
      <c r="AG747" s="19">
        <v>11.204315602146348</v>
      </c>
      <c r="AH747" s="19">
        <v>9.2380476687607764</v>
      </c>
      <c r="AI747" s="19">
        <v>7.0431962255769651</v>
      </c>
      <c r="AJ747" s="19">
        <v>4.6498074685860624</v>
      </c>
      <c r="AK747" s="19">
        <v>0</v>
      </c>
      <c r="AL747" s="19">
        <v>0</v>
      </c>
      <c r="AM747" s="19">
        <v>0</v>
      </c>
      <c r="AN747" s="19">
        <v>0</v>
      </c>
      <c r="AO747" s="19">
        <v>0</v>
      </c>
      <c r="AP747" s="19">
        <v>0</v>
      </c>
      <c r="AQ747" s="19">
        <v>0</v>
      </c>
      <c r="AR747" s="19">
        <v>132.22930369497104</v>
      </c>
    </row>
    <row r="748" spans="1:44" x14ac:dyDescent="0.25">
      <c r="A748" t="s">
        <v>250</v>
      </c>
      <c r="B748" t="s">
        <v>335</v>
      </c>
      <c r="C748" t="s">
        <v>44</v>
      </c>
      <c r="D748" t="s">
        <v>161</v>
      </c>
      <c r="E748" t="s">
        <v>134</v>
      </c>
      <c r="F748" t="s">
        <v>161</v>
      </c>
      <c r="G748" t="s">
        <v>31</v>
      </c>
      <c r="H748" t="s">
        <v>289</v>
      </c>
      <c r="I748" t="s">
        <v>135</v>
      </c>
      <c r="J748" t="s">
        <v>39</v>
      </c>
      <c r="K748" t="s">
        <v>31</v>
      </c>
      <c r="L748">
        <v>514.79499999999996</v>
      </c>
      <c r="M748">
        <v>1</v>
      </c>
      <c r="N748" s="2">
        <v>5.9226361540065984</v>
      </c>
      <c r="O748" s="2">
        <v>5.4757113018011108</v>
      </c>
      <c r="P748" s="1">
        <v>-1.9034258936939177</v>
      </c>
      <c r="Q748" s="1">
        <v>0.50078102656759582</v>
      </c>
      <c r="R748" s="1">
        <v>-1.8625523936223527</v>
      </c>
      <c r="S748" s="19">
        <v>0.34638693194618903</v>
      </c>
      <c r="T748" s="19">
        <v>0.69032754251527939</v>
      </c>
      <c r="U748" s="19">
        <v>1.2220306893363733</v>
      </c>
      <c r="V748" s="19">
        <v>1.981837007941063</v>
      </c>
      <c r="W748" s="19">
        <v>2.9991273150511439</v>
      </c>
      <c r="X748" s="19">
        <v>4.282504988187382</v>
      </c>
      <c r="Y748" s="19">
        <v>5.8079067043719146</v>
      </c>
      <c r="Z748" s="19">
        <v>7.5065573224524371</v>
      </c>
      <c r="AA748" s="19">
        <v>9.2564647145207761</v>
      </c>
      <c r="AB748" s="19">
        <v>10.882824072670068</v>
      </c>
      <c r="AC748" s="19">
        <v>12.173191895460146</v>
      </c>
      <c r="AD748" s="19">
        <v>12.911134278497093</v>
      </c>
      <c r="AE748" s="19">
        <v>12.926141448482788</v>
      </c>
      <c r="AF748" s="19">
        <v>12.14851305971386</v>
      </c>
      <c r="AG748" s="19">
        <v>10.649216293079192</v>
      </c>
      <c r="AH748" s="19">
        <v>8.7803638565450424</v>
      </c>
      <c r="AI748" s="19">
        <v>6.6942527026282512</v>
      </c>
      <c r="AJ748" s="19">
        <v>4.4194404381703212</v>
      </c>
      <c r="AK748" s="19">
        <v>0</v>
      </c>
      <c r="AL748" s="19">
        <v>0</v>
      </c>
      <c r="AM748" s="19">
        <v>0</v>
      </c>
      <c r="AN748" s="19">
        <v>0</v>
      </c>
      <c r="AO748" s="19">
        <v>0</v>
      </c>
      <c r="AP748" s="19">
        <v>0</v>
      </c>
      <c r="AQ748" s="19">
        <v>0</v>
      </c>
      <c r="AR748" s="19">
        <v>125.67822126156932</v>
      </c>
    </row>
    <row r="749" spans="1:44" x14ac:dyDescent="0.25">
      <c r="A749" t="s">
        <v>250</v>
      </c>
      <c r="B749" t="s">
        <v>335</v>
      </c>
      <c r="C749" t="s">
        <v>44</v>
      </c>
      <c r="D749" t="s">
        <v>161</v>
      </c>
      <c r="E749" t="s">
        <v>134</v>
      </c>
      <c r="F749" t="s">
        <v>161</v>
      </c>
      <c r="G749" t="s">
        <v>31</v>
      </c>
      <c r="H749" t="s">
        <v>290</v>
      </c>
      <c r="I749" t="s">
        <v>135</v>
      </c>
      <c r="J749" t="s">
        <v>39</v>
      </c>
      <c r="K749" t="s">
        <v>31</v>
      </c>
      <c r="L749">
        <v>514.79499999999996</v>
      </c>
      <c r="M749">
        <v>1</v>
      </c>
      <c r="N749" s="2">
        <v>5.9226361540065984</v>
      </c>
      <c r="O749" s="2">
        <v>5.4757113018011108</v>
      </c>
      <c r="P749" s="1">
        <v>-1.9034258936939177</v>
      </c>
      <c r="Q749" s="1">
        <v>0.50078102656759582</v>
      </c>
      <c r="R749" s="1">
        <v>-1.8625523936223527</v>
      </c>
      <c r="S749" s="19">
        <v>0.50159186976602166</v>
      </c>
      <c r="T749" s="19">
        <v>0.99964129955980363</v>
      </c>
      <c r="U749" s="19">
        <v>1.7695836702953756</v>
      </c>
      <c r="V749" s="19">
        <v>2.8698349698108245</v>
      </c>
      <c r="W749" s="19">
        <v>4.3429406218377453</v>
      </c>
      <c r="X749" s="19">
        <v>6.2013589029996199</v>
      </c>
      <c r="Y749" s="19">
        <v>8.4102444826789355</v>
      </c>
      <c r="Z749" s="19">
        <v>10.87000627223334</v>
      </c>
      <c r="AA749" s="19">
        <v>13.403991361605298</v>
      </c>
      <c r="AB749" s="19">
        <v>15.759070483043688</v>
      </c>
      <c r="AC749" s="19">
        <v>17.627610977001279</v>
      </c>
      <c r="AD749" s="19">
        <v>18.696201808668661</v>
      </c>
      <c r="AE749" s="19">
        <v>18.717933212941716</v>
      </c>
      <c r="AF749" s="19">
        <v>17.591874341972698</v>
      </c>
      <c r="AG749" s="19">
        <v>15.42079050724171</v>
      </c>
      <c r="AH749" s="19">
        <v>12.714564892172682</v>
      </c>
      <c r="AI749" s="19">
        <v>9.69373385690883</v>
      </c>
      <c r="AJ749" s="19">
        <v>6.3996507612064777</v>
      </c>
      <c r="AK749" s="19">
        <v>0</v>
      </c>
      <c r="AL749" s="19">
        <v>0</v>
      </c>
      <c r="AM749" s="19">
        <v>0</v>
      </c>
      <c r="AN749" s="19">
        <v>0</v>
      </c>
      <c r="AO749" s="19">
        <v>0</v>
      </c>
      <c r="AP749" s="19">
        <v>0</v>
      </c>
      <c r="AQ749" s="19">
        <v>0</v>
      </c>
      <c r="AR749" s="19">
        <v>181.99062429194475</v>
      </c>
    </row>
    <row r="750" spans="1:44" x14ac:dyDescent="0.25">
      <c r="A750" t="s">
        <v>250</v>
      </c>
      <c r="B750" t="s">
        <v>335</v>
      </c>
      <c r="C750" t="s">
        <v>44</v>
      </c>
      <c r="D750" t="s">
        <v>161</v>
      </c>
      <c r="E750" t="s">
        <v>134</v>
      </c>
      <c r="F750" t="s">
        <v>161</v>
      </c>
      <c r="G750" t="s">
        <v>31</v>
      </c>
      <c r="H750" t="s">
        <v>288</v>
      </c>
      <c r="I750" t="s">
        <v>135</v>
      </c>
      <c r="J750" t="s">
        <v>39</v>
      </c>
      <c r="K750" t="s">
        <v>33</v>
      </c>
      <c r="L750">
        <v>514.79499999999996</v>
      </c>
      <c r="M750">
        <v>1</v>
      </c>
      <c r="N750" s="2">
        <v>5.9226361540065984</v>
      </c>
      <c r="O750" s="2">
        <v>5.4757113018011108</v>
      </c>
      <c r="P750" s="1">
        <v>-1.9034258936939177</v>
      </c>
      <c r="Q750" s="1">
        <v>0.50078102656759582</v>
      </c>
      <c r="R750" s="1">
        <v>-1.8625523936223527</v>
      </c>
      <c r="S750" s="19">
        <v>3.4283532387830618E-3</v>
      </c>
      <c r="T750" s="19">
        <v>6.8324940923899322E-3</v>
      </c>
      <c r="U750" s="19">
        <v>1.2095008458140958E-2</v>
      </c>
      <c r="V750" s="19">
        <v>1.9615166446205271E-2</v>
      </c>
      <c r="W750" s="19">
        <v>2.968376372142021E-2</v>
      </c>
      <c r="X750" s="19">
        <v>4.2385951929149741E-2</v>
      </c>
      <c r="Y750" s="19">
        <v>5.7483565123572743E-2</v>
      </c>
      <c r="Z750" s="19">
        <v>7.4295903612606434E-2</v>
      </c>
      <c r="AA750" s="19">
        <v>9.1615554332281676E-2</v>
      </c>
      <c r="AB750" s="19">
        <v>0.10771239245954237</v>
      </c>
      <c r="AC750" s="19">
        <v>0.12048376544301004</v>
      </c>
      <c r="AD750" s="19">
        <v>0.12778752584963252</v>
      </c>
      <c r="AE750" s="19">
        <v>0.12793605881978923</v>
      </c>
      <c r="AF750" s="19">
        <v>0.12023950747985652</v>
      </c>
      <c r="AG750" s="19">
        <v>0.1054002671629399</v>
      </c>
      <c r="AH750" s="19">
        <v>8.6903361787205938E-2</v>
      </c>
      <c r="AI750" s="19">
        <v>6.6256145419057402E-2</v>
      </c>
      <c r="AJ750" s="19">
        <v>4.3741266030682187E-2</v>
      </c>
      <c r="AK750" s="19">
        <v>0</v>
      </c>
      <c r="AL750" s="19">
        <v>0</v>
      </c>
      <c r="AM750" s="19">
        <v>0</v>
      </c>
      <c r="AN750" s="19">
        <v>0</v>
      </c>
      <c r="AO750" s="19">
        <v>0</v>
      </c>
      <c r="AP750" s="19">
        <v>0</v>
      </c>
      <c r="AQ750" s="19">
        <v>0</v>
      </c>
      <c r="AR750" s="19">
        <v>1.243896051406266</v>
      </c>
    </row>
    <row r="751" spans="1:44" x14ac:dyDescent="0.25">
      <c r="A751" t="s">
        <v>250</v>
      </c>
      <c r="B751" t="s">
        <v>336</v>
      </c>
      <c r="C751" t="s">
        <v>44</v>
      </c>
      <c r="D751" t="s">
        <v>161</v>
      </c>
      <c r="E751" t="s">
        <v>134</v>
      </c>
      <c r="F751" t="s">
        <v>161</v>
      </c>
      <c r="G751" t="s">
        <v>31</v>
      </c>
      <c r="H751" t="s">
        <v>278</v>
      </c>
      <c r="I751" t="s">
        <v>135</v>
      </c>
      <c r="J751" t="s">
        <v>39</v>
      </c>
      <c r="K751" t="s">
        <v>31</v>
      </c>
      <c r="L751">
        <v>514.79499999999996</v>
      </c>
      <c r="M751">
        <v>1</v>
      </c>
      <c r="N751" s="2">
        <v>5.9117149638022148</v>
      </c>
      <c r="O751" s="2">
        <v>5.4656142296399564</v>
      </c>
      <c r="P751" s="1">
        <v>-1.9034258936939177</v>
      </c>
      <c r="Q751" s="1">
        <v>0.50078102656759582</v>
      </c>
      <c r="R751" s="1">
        <v>-1.8625523936223527</v>
      </c>
      <c r="S751" s="19">
        <v>0</v>
      </c>
      <c r="T751" s="19">
        <v>0</v>
      </c>
      <c r="U751" s="19">
        <v>0</v>
      </c>
      <c r="V751" s="19">
        <v>0</v>
      </c>
      <c r="W751" s="19">
        <v>0</v>
      </c>
      <c r="X751" s="19">
        <v>0</v>
      </c>
      <c r="Y751" s="19">
        <v>0</v>
      </c>
      <c r="Z751" s="19">
        <v>0</v>
      </c>
      <c r="AA751" s="19">
        <v>0</v>
      </c>
      <c r="AB751" s="19">
        <v>0</v>
      </c>
      <c r="AC751" s="19">
        <v>0</v>
      </c>
      <c r="AD751" s="19">
        <v>0</v>
      </c>
      <c r="AE751" s="19">
        <v>0</v>
      </c>
      <c r="AF751" s="19">
        <v>0</v>
      </c>
      <c r="AG751" s="19">
        <v>0</v>
      </c>
      <c r="AH751" s="19">
        <v>0</v>
      </c>
      <c r="AI751" s="19">
        <v>0</v>
      </c>
      <c r="AJ751" s="19">
        <v>0</v>
      </c>
      <c r="AK751" s="19">
        <v>0</v>
      </c>
      <c r="AL751" s="19">
        <v>0</v>
      </c>
      <c r="AM751" s="19">
        <v>0</v>
      </c>
      <c r="AN751" s="19">
        <v>0</v>
      </c>
      <c r="AO751" s="19">
        <v>0</v>
      </c>
      <c r="AP751" s="19">
        <v>0</v>
      </c>
      <c r="AQ751" s="19">
        <v>0</v>
      </c>
      <c r="AR751" s="19">
        <v>0</v>
      </c>
    </row>
    <row r="752" spans="1:44" x14ac:dyDescent="0.25">
      <c r="A752" t="s">
        <v>250</v>
      </c>
      <c r="B752" t="s">
        <v>337</v>
      </c>
      <c r="C752" t="s">
        <v>44</v>
      </c>
      <c r="D752" t="s">
        <v>161</v>
      </c>
      <c r="E752" t="s">
        <v>134</v>
      </c>
      <c r="F752" t="s">
        <v>161</v>
      </c>
      <c r="G752" t="s">
        <v>31</v>
      </c>
      <c r="H752" t="s">
        <v>272</v>
      </c>
      <c r="I752" t="s">
        <v>135</v>
      </c>
      <c r="J752" t="s">
        <v>39</v>
      </c>
      <c r="K752" t="s">
        <v>31</v>
      </c>
      <c r="L752">
        <v>211.14</v>
      </c>
      <c r="M752">
        <v>1</v>
      </c>
      <c r="N752" s="2">
        <v>4.6734133238817801</v>
      </c>
      <c r="O752" s="2">
        <v>5.4674005771508307</v>
      </c>
      <c r="P752" s="1">
        <v>-1.7705282647850258</v>
      </c>
      <c r="Q752" s="1">
        <v>0.63367865547648627</v>
      </c>
      <c r="R752" s="1">
        <v>-1.8625523936223525</v>
      </c>
      <c r="S752" s="19">
        <v>0.24783818980411257</v>
      </c>
      <c r="T752" s="19">
        <v>0.49313338873012319</v>
      </c>
      <c r="U752" s="19">
        <v>0.87155299186928625</v>
      </c>
      <c r="V752" s="19">
        <v>1.4111789755252746</v>
      </c>
      <c r="W752" s="19">
        <v>2.1321195083847995</v>
      </c>
      <c r="X752" s="19">
        <v>3.0396039290005801</v>
      </c>
      <c r="Y752" s="19">
        <v>4.1156764827880581</v>
      </c>
      <c r="Z752" s="19">
        <v>5.3108603444132738</v>
      </c>
      <c r="AA752" s="19">
        <v>6.5384032826560103</v>
      </c>
      <c r="AB752" s="19">
        <v>7.674863156308934</v>
      </c>
      <c r="AC752" s="19">
        <v>8.5710884800974547</v>
      </c>
      <c r="AD752" s="19">
        <v>9.0760814822580436</v>
      </c>
      <c r="AE752" s="19">
        <v>9.0720486477739293</v>
      </c>
      <c r="AF752" s="19">
        <v>8.5125969155661032</v>
      </c>
      <c r="AG752" s="19">
        <v>7.4500479940470212</v>
      </c>
      <c r="AH752" s="19">
        <v>6.1327662801674512</v>
      </c>
      <c r="AI752" s="19">
        <v>4.6681895422719313</v>
      </c>
      <c r="AJ752" s="19">
        <v>1.2038864927257815</v>
      </c>
      <c r="AK752" s="19">
        <v>0</v>
      </c>
      <c r="AL752" s="19">
        <v>0</v>
      </c>
      <c r="AM752" s="19">
        <v>0</v>
      </c>
      <c r="AN752" s="19">
        <v>0</v>
      </c>
      <c r="AO752" s="19">
        <v>0</v>
      </c>
      <c r="AP752" s="19">
        <v>0</v>
      </c>
      <c r="AQ752" s="19">
        <v>0</v>
      </c>
      <c r="AR752" s="19">
        <v>86.521936084388173</v>
      </c>
    </row>
    <row r="753" spans="1:44" x14ac:dyDescent="0.25">
      <c r="A753" t="s">
        <v>250</v>
      </c>
      <c r="B753" t="s">
        <v>337</v>
      </c>
      <c r="C753" t="s">
        <v>44</v>
      </c>
      <c r="D753" t="s">
        <v>161</v>
      </c>
      <c r="E753" t="s">
        <v>134</v>
      </c>
      <c r="F753" t="s">
        <v>161</v>
      </c>
      <c r="G753" t="s">
        <v>31</v>
      </c>
      <c r="H753" t="s">
        <v>273</v>
      </c>
      <c r="I753" t="s">
        <v>135</v>
      </c>
      <c r="J753" t="s">
        <v>39</v>
      </c>
      <c r="K753" t="s">
        <v>31</v>
      </c>
      <c r="L753">
        <v>211.14</v>
      </c>
      <c r="M753">
        <v>1</v>
      </c>
      <c r="N753" s="2">
        <v>4.6734133238817801</v>
      </c>
      <c r="O753" s="2">
        <v>5.4674005771508307</v>
      </c>
      <c r="P753" s="1">
        <v>-1.7705282647850258</v>
      </c>
      <c r="Q753" s="1">
        <v>0.63367865547648627</v>
      </c>
      <c r="R753" s="1">
        <v>-1.8625523936223525</v>
      </c>
      <c r="S753" s="19">
        <v>7.4538958298830865E-2</v>
      </c>
      <c r="T753" s="19">
        <v>0.14831309544089419</v>
      </c>
      <c r="U753" s="19">
        <v>0.2621252687792508</v>
      </c>
      <c r="V753" s="19">
        <v>0.42442131655336929</v>
      </c>
      <c r="W753" s="19">
        <v>0.64124890215358199</v>
      </c>
      <c r="X753" s="19">
        <v>0.91418078338860176</v>
      </c>
      <c r="Y753" s="19">
        <v>1.2378166495022038</v>
      </c>
      <c r="Z753" s="19">
        <v>1.5972760213267445</v>
      </c>
      <c r="AA753" s="19">
        <v>1.9664675973143655</v>
      </c>
      <c r="AB753" s="19">
        <v>2.3082653452621851</v>
      </c>
      <c r="AC753" s="19">
        <v>2.5778109794077109</v>
      </c>
      <c r="AD753" s="19">
        <v>2.7296909312383835</v>
      </c>
      <c r="AE753" s="19">
        <v>2.7284780298623881</v>
      </c>
      <c r="AF753" s="19">
        <v>2.5602192584026402</v>
      </c>
      <c r="AG753" s="19">
        <v>2.2406507132394511</v>
      </c>
      <c r="AH753" s="19">
        <v>1.8444696129163385</v>
      </c>
      <c r="AI753" s="19">
        <v>1.4039885697094114</v>
      </c>
      <c r="AJ753" s="19">
        <v>0.36207674510831528</v>
      </c>
      <c r="AK753" s="19">
        <v>0</v>
      </c>
      <c r="AL753" s="19">
        <v>0</v>
      </c>
      <c r="AM753" s="19">
        <v>0</v>
      </c>
      <c r="AN753" s="19">
        <v>0</v>
      </c>
      <c r="AO753" s="19">
        <v>0</v>
      </c>
      <c r="AP753" s="19">
        <v>0</v>
      </c>
      <c r="AQ753" s="19">
        <v>0</v>
      </c>
      <c r="AR753" s="19">
        <v>26.022038777904665</v>
      </c>
    </row>
    <row r="754" spans="1:44" x14ac:dyDescent="0.25">
      <c r="A754" t="s">
        <v>250</v>
      </c>
      <c r="B754" t="s">
        <v>337</v>
      </c>
      <c r="C754" t="s">
        <v>44</v>
      </c>
      <c r="D754" t="s">
        <v>161</v>
      </c>
      <c r="E754" t="s">
        <v>134</v>
      </c>
      <c r="F754" t="s">
        <v>161</v>
      </c>
      <c r="G754" t="s">
        <v>31</v>
      </c>
      <c r="H754" t="s">
        <v>274</v>
      </c>
      <c r="I754" t="s">
        <v>135</v>
      </c>
      <c r="J754" t="s">
        <v>39</v>
      </c>
      <c r="K754" t="s">
        <v>31</v>
      </c>
      <c r="L754">
        <v>211.14</v>
      </c>
      <c r="M754">
        <v>1</v>
      </c>
      <c r="N754" s="2">
        <v>4.6734133238817801</v>
      </c>
      <c r="O754" s="2">
        <v>5.4674005771508307</v>
      </c>
      <c r="P754" s="1">
        <v>-1.7705282647850258</v>
      </c>
      <c r="Q754" s="1">
        <v>0.63367865547648627</v>
      </c>
      <c r="R754" s="1">
        <v>-1.8625523936223525</v>
      </c>
      <c r="S754" s="19">
        <v>0.1173376680857888</v>
      </c>
      <c r="T754" s="19">
        <v>0.23347137071397092</v>
      </c>
      <c r="U754" s="19">
        <v>0.41263211194353849</v>
      </c>
      <c r="V754" s="19">
        <v>0.66811515356331297</v>
      </c>
      <c r="W754" s="19">
        <v>1.0094406007073708</v>
      </c>
      <c r="X754" s="19">
        <v>1.4390842558010459</v>
      </c>
      <c r="Y754" s="19">
        <v>1.9485450626780625</v>
      </c>
      <c r="Z754" s="19">
        <v>2.5143984824747223</v>
      </c>
      <c r="AA754" s="19">
        <v>3.0955721343740716</v>
      </c>
      <c r="AB754" s="19">
        <v>3.633622995514163</v>
      </c>
      <c r="AC754" s="19">
        <v>4.0579360913122482</v>
      </c>
      <c r="AD754" s="19">
        <v>4.2970223327022428</v>
      </c>
      <c r="AE754" s="19">
        <v>4.2951130087416534</v>
      </c>
      <c r="AF754" s="19">
        <v>4.0302435722931937</v>
      </c>
      <c r="AG754" s="19">
        <v>3.5271854569290451</v>
      </c>
      <c r="AH754" s="19">
        <v>2.9035254606998637</v>
      </c>
      <c r="AI754" s="19">
        <v>2.2101294215616689</v>
      </c>
      <c r="AJ754" s="19">
        <v>0.56997363403948553</v>
      </c>
      <c r="AK754" s="19">
        <v>0</v>
      </c>
      <c r="AL754" s="19">
        <v>0</v>
      </c>
      <c r="AM754" s="19">
        <v>0</v>
      </c>
      <c r="AN754" s="19">
        <v>0</v>
      </c>
      <c r="AO754" s="19">
        <v>0</v>
      </c>
      <c r="AP754" s="19">
        <v>0</v>
      </c>
      <c r="AQ754" s="19">
        <v>0</v>
      </c>
      <c r="AR754" s="19">
        <v>40.963348814135443</v>
      </c>
    </row>
    <row r="755" spans="1:44" x14ac:dyDescent="0.25">
      <c r="A755" t="s">
        <v>250</v>
      </c>
      <c r="B755" t="s">
        <v>337</v>
      </c>
      <c r="C755" t="s">
        <v>44</v>
      </c>
      <c r="D755" t="s">
        <v>161</v>
      </c>
      <c r="E755" t="s">
        <v>134</v>
      </c>
      <c r="F755" t="s">
        <v>161</v>
      </c>
      <c r="G755" t="s">
        <v>31</v>
      </c>
      <c r="H755" t="s">
        <v>275</v>
      </c>
      <c r="I755" t="s">
        <v>135</v>
      </c>
      <c r="J755" t="s">
        <v>39</v>
      </c>
      <c r="K755" t="s">
        <v>31</v>
      </c>
      <c r="L755">
        <v>211.14</v>
      </c>
      <c r="M755">
        <v>1</v>
      </c>
      <c r="N755" s="2">
        <v>4.6734133238817801</v>
      </c>
      <c r="O755" s="2">
        <v>5.4674005771508307</v>
      </c>
      <c r="P755" s="1">
        <v>-1.7705282647850258</v>
      </c>
      <c r="Q755" s="1">
        <v>0.63367865547648627</v>
      </c>
      <c r="R755" s="1">
        <v>-1.8625523936223525</v>
      </c>
      <c r="S755" s="19">
        <v>0.17925527696026086</v>
      </c>
      <c r="T755" s="19">
        <v>0.35667127106212987</v>
      </c>
      <c r="U755" s="19">
        <v>0.63037287783030937</v>
      </c>
      <c r="V755" s="19">
        <v>1.0206711011657117</v>
      </c>
      <c r="W755" s="19">
        <v>1.5421096857186227</v>
      </c>
      <c r="X755" s="19">
        <v>2.1984708836565861</v>
      </c>
      <c r="Y755" s="19">
        <v>2.9767677385963678</v>
      </c>
      <c r="Z755" s="19">
        <v>3.8412148776890014</v>
      </c>
      <c r="AA755" s="19">
        <v>4.7290665423143476</v>
      </c>
      <c r="AB755" s="19">
        <v>5.5510400628879637</v>
      </c>
      <c r="AC755" s="19">
        <v>6.1992578325605416</v>
      </c>
      <c r="AD755" s="19">
        <v>6.5645068708013294</v>
      </c>
      <c r="AE755" s="19">
        <v>6.561590020646169</v>
      </c>
      <c r="AF755" s="19">
        <v>6.1569523202091396</v>
      </c>
      <c r="AG755" s="19">
        <v>5.3884367764131191</v>
      </c>
      <c r="AH755" s="19">
        <v>4.4356792589263954</v>
      </c>
      <c r="AI755" s="19">
        <v>3.3763868674329012</v>
      </c>
      <c r="AJ755" s="19">
        <v>0.87074153847251901</v>
      </c>
      <c r="AK755" s="19">
        <v>0</v>
      </c>
      <c r="AL755" s="19">
        <v>0</v>
      </c>
      <c r="AM755" s="19">
        <v>0</v>
      </c>
      <c r="AN755" s="19">
        <v>0</v>
      </c>
      <c r="AO755" s="19">
        <v>0</v>
      </c>
      <c r="AP755" s="19">
        <v>0</v>
      </c>
      <c r="AQ755" s="19">
        <v>0</v>
      </c>
      <c r="AR755" s="19">
        <v>62.579191803343427</v>
      </c>
    </row>
    <row r="756" spans="1:44" x14ac:dyDescent="0.25">
      <c r="A756" t="s">
        <v>250</v>
      </c>
      <c r="B756" t="s">
        <v>337</v>
      </c>
      <c r="C756" t="s">
        <v>44</v>
      </c>
      <c r="D756" t="s">
        <v>161</v>
      </c>
      <c r="E756" t="s">
        <v>134</v>
      </c>
      <c r="F756" t="s">
        <v>161</v>
      </c>
      <c r="G756" t="s">
        <v>31</v>
      </c>
      <c r="H756" t="s">
        <v>274</v>
      </c>
      <c r="I756" t="s">
        <v>135</v>
      </c>
      <c r="J756" t="s">
        <v>39</v>
      </c>
      <c r="K756" t="s">
        <v>33</v>
      </c>
      <c r="L756">
        <v>211.14</v>
      </c>
      <c r="M756">
        <v>1</v>
      </c>
      <c r="N756" s="2">
        <v>4.6734133238817801</v>
      </c>
      <c r="O756" s="2">
        <v>5.4674005771508307</v>
      </c>
      <c r="P756" s="1">
        <v>-1.7705282647850258</v>
      </c>
      <c r="Q756" s="1">
        <v>0.63367865547648627</v>
      </c>
      <c r="R756" s="1">
        <v>-1.8625523936223525</v>
      </c>
      <c r="S756" s="19">
        <v>3.775319081684582E-4</v>
      </c>
      <c r="T756" s="19">
        <v>7.5119007839756318E-4</v>
      </c>
      <c r="U756" s="19">
        <v>1.3276366501482589E-3</v>
      </c>
      <c r="V756" s="19">
        <v>2.1496488972032757E-3</v>
      </c>
      <c r="W756" s="19">
        <v>3.2478575924070568E-3</v>
      </c>
      <c r="X756" s="19">
        <v>4.6302285870427617E-3</v>
      </c>
      <c r="Y756" s="19">
        <v>6.2694098806125196E-3</v>
      </c>
      <c r="Z756" s="19">
        <v>8.090033426354809E-3</v>
      </c>
      <c r="AA756" s="19">
        <v>9.9599495526781507E-3</v>
      </c>
      <c r="AB756" s="19">
        <v>1.1691118849049258E-2</v>
      </c>
      <c r="AC756" s="19">
        <v>1.3056338861776932E-2</v>
      </c>
      <c r="AD756" s="19">
        <v>1.3825594689008781E-2</v>
      </c>
      <c r="AE756" s="19">
        <v>1.381945147234262E-2</v>
      </c>
      <c r="AF756" s="19">
        <v>1.2967238663027359E-2</v>
      </c>
      <c r="AG756" s="19">
        <v>1.1348657918145004E-2</v>
      </c>
      <c r="AH756" s="19">
        <v>9.3420427171969894E-3</v>
      </c>
      <c r="AI756" s="19">
        <v>7.1110530099454386E-3</v>
      </c>
      <c r="AJ756" s="19">
        <v>1.8338802634744436E-3</v>
      </c>
      <c r="AK756" s="19">
        <v>0</v>
      </c>
      <c r="AL756" s="19">
        <v>0</v>
      </c>
      <c r="AM756" s="19">
        <v>0</v>
      </c>
      <c r="AN756" s="19">
        <v>0</v>
      </c>
      <c r="AO756" s="19">
        <v>0</v>
      </c>
      <c r="AP756" s="19">
        <v>0</v>
      </c>
      <c r="AQ756" s="19">
        <v>0</v>
      </c>
      <c r="AR756" s="19">
        <v>0.13179886301697968</v>
      </c>
    </row>
    <row r="757" spans="1:44" x14ac:dyDescent="0.25">
      <c r="A757" t="s">
        <v>250</v>
      </c>
      <c r="B757" t="s">
        <v>337</v>
      </c>
      <c r="C757" t="s">
        <v>44</v>
      </c>
      <c r="D757" t="s">
        <v>161</v>
      </c>
      <c r="E757" t="s">
        <v>134</v>
      </c>
      <c r="F757" t="s">
        <v>161</v>
      </c>
      <c r="G757" t="s">
        <v>31</v>
      </c>
      <c r="H757" t="s">
        <v>272</v>
      </c>
      <c r="I757" t="s">
        <v>135</v>
      </c>
      <c r="J757" t="s">
        <v>40</v>
      </c>
      <c r="K757" t="s">
        <v>31</v>
      </c>
      <c r="L757">
        <v>211.14</v>
      </c>
      <c r="M757">
        <v>1</v>
      </c>
      <c r="N757" s="2">
        <v>4.6734133238817801</v>
      </c>
      <c r="O757" s="2">
        <v>4.1746294160814532</v>
      </c>
      <c r="P757" s="1">
        <v>-1.7705282647850258</v>
      </c>
      <c r="Q757" s="1">
        <v>0.4672931329656026</v>
      </c>
      <c r="R757" s="1">
        <v>-1.7195523936223525</v>
      </c>
      <c r="S757" s="19">
        <v>2.4515123160417707E-2</v>
      </c>
      <c r="T757" s="19">
        <v>4.8778704237584389E-2</v>
      </c>
      <c r="U757" s="19">
        <v>8.6210397813967291E-2</v>
      </c>
      <c r="V757" s="19">
        <v>0.13958795621343792</v>
      </c>
      <c r="W757" s="19">
        <v>0.21090039586754297</v>
      </c>
      <c r="X757" s="19">
        <v>0.3006649812009814</v>
      </c>
      <c r="Y757" s="19">
        <v>0.40710560363489934</v>
      </c>
      <c r="Z757" s="19">
        <v>0.52532822134464019</v>
      </c>
      <c r="AA757" s="19">
        <v>0.64675166435601394</v>
      </c>
      <c r="AB757" s="19">
        <v>0.75916554936499747</v>
      </c>
      <c r="AC757" s="19">
        <v>0.8478164316585074</v>
      </c>
      <c r="AD757" s="19">
        <v>0.8977682395413068</v>
      </c>
      <c r="AE757" s="19">
        <v>0.8973693283237022</v>
      </c>
      <c r="AF757" s="19">
        <v>0.84203068931805092</v>
      </c>
      <c r="AG757" s="19">
        <v>0.73692776835337792</v>
      </c>
      <c r="AH757" s="19">
        <v>0.60662773881294285</v>
      </c>
      <c r="AI757" s="19">
        <v>0.4617578979874849</v>
      </c>
      <c r="AJ757" s="19">
        <v>0.11908344579042494</v>
      </c>
      <c r="AK757" s="19">
        <v>0</v>
      </c>
      <c r="AL757" s="19">
        <v>0</v>
      </c>
      <c r="AM757" s="19">
        <v>0</v>
      </c>
      <c r="AN757" s="19">
        <v>0</v>
      </c>
      <c r="AO757" s="19">
        <v>0</v>
      </c>
      <c r="AP757" s="19">
        <v>0</v>
      </c>
      <c r="AQ757" s="19">
        <v>0</v>
      </c>
      <c r="AR757" s="19">
        <v>8.5583901369802806</v>
      </c>
    </row>
    <row r="758" spans="1:44" x14ac:dyDescent="0.25">
      <c r="A758" t="s">
        <v>250</v>
      </c>
      <c r="B758" t="s">
        <v>338</v>
      </c>
      <c r="C758" t="s">
        <v>44</v>
      </c>
      <c r="D758" t="s">
        <v>161</v>
      </c>
      <c r="E758" t="s">
        <v>134</v>
      </c>
      <c r="F758" t="s">
        <v>161</v>
      </c>
      <c r="G758" t="s">
        <v>31</v>
      </c>
      <c r="H758" t="s">
        <v>277</v>
      </c>
      <c r="I758" t="s">
        <v>135</v>
      </c>
      <c r="J758" t="s">
        <v>39</v>
      </c>
      <c r="K758" t="s">
        <v>31</v>
      </c>
      <c r="L758">
        <v>514.79499999999996</v>
      </c>
      <c r="M758">
        <v>1</v>
      </c>
      <c r="N758" s="2">
        <v>5.9142263571638143</v>
      </c>
      <c r="O758" s="2">
        <v>5.4679361121017198</v>
      </c>
      <c r="P758" s="1">
        <v>-1.9034258936939168</v>
      </c>
      <c r="Q758" s="1">
        <v>0.5007810265675956</v>
      </c>
      <c r="R758" s="1">
        <v>-1.8625523936223525</v>
      </c>
      <c r="S758" s="19">
        <v>0</v>
      </c>
      <c r="T758" s="19">
        <v>0</v>
      </c>
      <c r="U758" s="19">
        <v>0</v>
      </c>
      <c r="V758" s="19">
        <v>0</v>
      </c>
      <c r="W758" s="19">
        <v>0</v>
      </c>
      <c r="X758" s="19">
        <v>0</v>
      </c>
      <c r="Y758" s="19">
        <v>0</v>
      </c>
      <c r="Z758" s="19">
        <v>0</v>
      </c>
      <c r="AA758" s="19">
        <v>0</v>
      </c>
      <c r="AB758" s="19">
        <v>0</v>
      </c>
      <c r="AC758" s="19">
        <v>0</v>
      </c>
      <c r="AD758" s="19">
        <v>0</v>
      </c>
      <c r="AE758" s="19">
        <v>0</v>
      </c>
      <c r="AF758" s="19">
        <v>0</v>
      </c>
      <c r="AG758" s="19">
        <v>0</v>
      </c>
      <c r="AH758" s="19">
        <v>0</v>
      </c>
      <c r="AI758" s="19">
        <v>0</v>
      </c>
      <c r="AJ758" s="19">
        <v>0</v>
      </c>
      <c r="AK758" s="19">
        <v>0</v>
      </c>
      <c r="AL758" s="19">
        <v>0</v>
      </c>
      <c r="AM758" s="19">
        <v>0</v>
      </c>
      <c r="AN758" s="19">
        <v>0</v>
      </c>
      <c r="AO758" s="19">
        <v>0</v>
      </c>
      <c r="AP758" s="19">
        <v>0</v>
      </c>
      <c r="AQ758" s="19">
        <v>0</v>
      </c>
      <c r="AR758" s="19">
        <v>0</v>
      </c>
    </row>
    <row r="759" spans="1:44" x14ac:dyDescent="0.25">
      <c r="A759" t="s">
        <v>250</v>
      </c>
      <c r="B759" t="s">
        <v>338</v>
      </c>
      <c r="C759" t="s">
        <v>44</v>
      </c>
      <c r="D759" t="s">
        <v>161</v>
      </c>
      <c r="E759" t="s">
        <v>134</v>
      </c>
      <c r="F759" t="s">
        <v>161</v>
      </c>
      <c r="G759" t="s">
        <v>31</v>
      </c>
      <c r="H759" t="s">
        <v>277</v>
      </c>
      <c r="I759" t="s">
        <v>135</v>
      </c>
      <c r="J759" t="s">
        <v>40</v>
      </c>
      <c r="K759" t="s">
        <v>31</v>
      </c>
      <c r="L759">
        <v>514.79499999999996</v>
      </c>
      <c r="M759">
        <v>1</v>
      </c>
      <c r="N759" s="2">
        <v>5.9142263571638143</v>
      </c>
      <c r="O759" s="2">
        <v>4.1746294160814523</v>
      </c>
      <c r="P759" s="1">
        <v>-1.9034258936939168</v>
      </c>
      <c r="Q759" s="1">
        <v>0.4672931329656026</v>
      </c>
      <c r="R759" s="1">
        <v>-1.719552393622352</v>
      </c>
      <c r="S759" s="19">
        <v>0</v>
      </c>
      <c r="T759" s="19">
        <v>0</v>
      </c>
      <c r="U759" s="19">
        <v>0</v>
      </c>
      <c r="V759" s="19">
        <v>0</v>
      </c>
      <c r="W759" s="19">
        <v>0</v>
      </c>
      <c r="X759" s="19">
        <v>0</v>
      </c>
      <c r="Y759" s="19">
        <v>0</v>
      </c>
      <c r="Z759" s="19">
        <v>0</v>
      </c>
      <c r="AA759" s="19">
        <v>0</v>
      </c>
      <c r="AB759" s="19">
        <v>0</v>
      </c>
      <c r="AC759" s="19">
        <v>0</v>
      </c>
      <c r="AD759" s="19">
        <v>0</v>
      </c>
      <c r="AE759" s="19">
        <v>0</v>
      </c>
      <c r="AF759" s="19">
        <v>0</v>
      </c>
      <c r="AG759" s="19">
        <v>0</v>
      </c>
      <c r="AH759" s="19">
        <v>0</v>
      </c>
      <c r="AI759" s="19">
        <v>0</v>
      </c>
      <c r="AJ759" s="19">
        <v>0</v>
      </c>
      <c r="AK759" s="19">
        <v>0</v>
      </c>
      <c r="AL759" s="19">
        <v>0</v>
      </c>
      <c r="AM759" s="19">
        <v>0</v>
      </c>
      <c r="AN759" s="19">
        <v>0</v>
      </c>
      <c r="AO759" s="19">
        <v>0</v>
      </c>
      <c r="AP759" s="19">
        <v>0</v>
      </c>
      <c r="AQ759" s="19">
        <v>0</v>
      </c>
      <c r="AR759" s="19">
        <v>0</v>
      </c>
    </row>
    <row r="760" spans="1:44" x14ac:dyDescent="0.25">
      <c r="A760" t="s">
        <v>250</v>
      </c>
      <c r="B760" t="s">
        <v>339</v>
      </c>
      <c r="C760" t="s">
        <v>44</v>
      </c>
      <c r="D760" t="s">
        <v>161</v>
      </c>
      <c r="E760" t="s">
        <v>134</v>
      </c>
      <c r="F760" t="s">
        <v>161</v>
      </c>
      <c r="G760" t="s">
        <v>31</v>
      </c>
      <c r="H760" t="s">
        <v>276</v>
      </c>
      <c r="I760" t="s">
        <v>135</v>
      </c>
      <c r="J760" t="s">
        <v>39</v>
      </c>
      <c r="K760" t="s">
        <v>31</v>
      </c>
      <c r="L760">
        <v>514.79499999999996</v>
      </c>
      <c r="M760">
        <v>1</v>
      </c>
      <c r="N760" s="2">
        <v>5.9099327880011625</v>
      </c>
      <c r="O760" s="2">
        <v>5.4639665376457431</v>
      </c>
      <c r="P760" s="1">
        <v>-1.9034258936939159</v>
      </c>
      <c r="Q760" s="1">
        <v>0.50078102656759549</v>
      </c>
      <c r="R760" s="1">
        <v>-1.862552393622352</v>
      </c>
      <c r="S760" s="19">
        <v>8.7837177985179231</v>
      </c>
      <c r="T760" s="19">
        <v>17.52120377950283</v>
      </c>
      <c r="U760" s="19">
        <v>31.044360396384096</v>
      </c>
      <c r="V760" s="19">
        <v>50.391861556213264</v>
      </c>
      <c r="W760" s="19">
        <v>76.327183100422886</v>
      </c>
      <c r="X760" s="19">
        <v>109.08727025921203</v>
      </c>
      <c r="Y760" s="19">
        <v>148.07702913401451</v>
      </c>
      <c r="Z760" s="19">
        <v>191.55819265213225</v>
      </c>
      <c r="AA760" s="19">
        <v>236.42692824773792</v>
      </c>
      <c r="AB760" s="19">
        <v>278.2180245883373</v>
      </c>
      <c r="AC760" s="19">
        <v>311.48704349121141</v>
      </c>
      <c r="AD760" s="19">
        <v>330.66770458942364</v>
      </c>
      <c r="AE760" s="19">
        <v>331.35089734786226</v>
      </c>
      <c r="AF760" s="19">
        <v>311.6981583258663</v>
      </c>
      <c r="AG760" s="19">
        <v>273.47688445658622</v>
      </c>
      <c r="AH760" s="19">
        <v>225.6874207881325</v>
      </c>
      <c r="AI760" s="19">
        <v>172.22207080342386</v>
      </c>
      <c r="AJ760" s="19">
        <v>118.9802800071254</v>
      </c>
      <c r="AK760" s="19">
        <v>33.722940065810533</v>
      </c>
      <c r="AL760" s="19">
        <v>0</v>
      </c>
      <c r="AM760" s="19">
        <v>0</v>
      </c>
      <c r="AN760" s="19">
        <v>0</v>
      </c>
      <c r="AO760" s="19">
        <v>0</v>
      </c>
      <c r="AP760" s="19">
        <v>0</v>
      </c>
      <c r="AQ760" s="19">
        <v>0</v>
      </c>
      <c r="AR760" s="19">
        <v>3256.7291713879167</v>
      </c>
    </row>
    <row r="761" spans="1:44" x14ac:dyDescent="0.25">
      <c r="A761" t="s">
        <v>250</v>
      </c>
      <c r="B761" t="s">
        <v>340</v>
      </c>
      <c r="C761" t="s">
        <v>44</v>
      </c>
      <c r="D761" t="s">
        <v>161</v>
      </c>
      <c r="E761" t="s">
        <v>134</v>
      </c>
      <c r="F761" t="s">
        <v>161</v>
      </c>
      <c r="G761" t="s">
        <v>31</v>
      </c>
      <c r="H761" t="s">
        <v>253</v>
      </c>
      <c r="I761" t="s">
        <v>135</v>
      </c>
      <c r="J761" t="s">
        <v>39</v>
      </c>
      <c r="K761" t="s">
        <v>31</v>
      </c>
      <c r="L761">
        <v>1016.045</v>
      </c>
      <c r="M761">
        <v>1</v>
      </c>
      <c r="N761" s="2">
        <v>7.3329103464985135</v>
      </c>
      <c r="O761" s="2">
        <v>5.3756602043030259</v>
      </c>
      <c r="P761" s="1">
        <v>-2.0071271053248574</v>
      </c>
      <c r="Q761" s="1">
        <v>0.39707981493665734</v>
      </c>
      <c r="R761" s="1">
        <v>-1.8625523936223545</v>
      </c>
      <c r="S761" s="19">
        <v>8.0443421391531835</v>
      </c>
      <c r="T761" s="19">
        <v>16.014183832133895</v>
      </c>
      <c r="U761" s="19">
        <v>28.317329560767504</v>
      </c>
      <c r="V761" s="19">
        <v>45.873163464347158</v>
      </c>
      <c r="W761" s="19">
        <v>69.343575804363269</v>
      </c>
      <c r="X761" s="19">
        <v>98.907626972476592</v>
      </c>
      <c r="Y761" s="19">
        <v>133.98991457479357</v>
      </c>
      <c r="Z761" s="19">
        <v>172.98715580621433</v>
      </c>
      <c r="AA761" s="19">
        <v>213.07808101642175</v>
      </c>
      <c r="AB761" s="19">
        <v>250.23946885969409</v>
      </c>
      <c r="AC761" s="19">
        <v>279.60133663793152</v>
      </c>
      <c r="AD761" s="19">
        <v>296.22366233574985</v>
      </c>
      <c r="AE761" s="19">
        <v>296.24076952222651</v>
      </c>
      <c r="AF761" s="19">
        <v>278.11193203236309</v>
      </c>
      <c r="AG761" s="19">
        <v>243.52004717731083</v>
      </c>
      <c r="AH761" s="19">
        <v>200.56269592450221</v>
      </c>
      <c r="AI761" s="19">
        <v>152.74265031327951</v>
      </c>
      <c r="AJ761" s="19">
        <v>58.586636780041559</v>
      </c>
      <c r="AK761" s="19">
        <v>0</v>
      </c>
      <c r="AL761" s="19">
        <v>0</v>
      </c>
      <c r="AM761" s="19">
        <v>0</v>
      </c>
      <c r="AN761" s="19">
        <v>0</v>
      </c>
      <c r="AO761" s="19">
        <v>0</v>
      </c>
      <c r="AP761" s="19">
        <v>0</v>
      </c>
      <c r="AQ761" s="19">
        <v>0</v>
      </c>
      <c r="AR761" s="19">
        <v>2842.3845727537714</v>
      </c>
    </row>
    <row r="762" spans="1:44" x14ac:dyDescent="0.25">
      <c r="A762" t="s">
        <v>250</v>
      </c>
      <c r="B762" t="s">
        <v>340</v>
      </c>
      <c r="C762" t="s">
        <v>44</v>
      </c>
      <c r="D762" t="s">
        <v>161</v>
      </c>
      <c r="E762" t="s">
        <v>134</v>
      </c>
      <c r="F762" t="s">
        <v>161</v>
      </c>
      <c r="G762" t="s">
        <v>31</v>
      </c>
      <c r="H762" t="s">
        <v>253</v>
      </c>
      <c r="I762" t="s">
        <v>256</v>
      </c>
      <c r="J762" t="s">
        <v>39</v>
      </c>
      <c r="K762" t="s">
        <v>31</v>
      </c>
      <c r="L762">
        <v>1016.045</v>
      </c>
      <c r="M762">
        <v>1</v>
      </c>
      <c r="N762" s="2">
        <v>3.648671318679285</v>
      </c>
      <c r="O762" s="2">
        <v>2.6747929920855813</v>
      </c>
      <c r="P762" s="1">
        <v>-0.54419015397598791</v>
      </c>
      <c r="Q762" s="1">
        <v>0.4672931329656026</v>
      </c>
      <c r="R762" s="1">
        <v>-0.39961544227348456</v>
      </c>
      <c r="S762" s="19">
        <v>4.219747449743549</v>
      </c>
      <c r="T762" s="19">
        <v>8.4004148774911478</v>
      </c>
      <c r="U762" s="19">
        <v>14.854164222579309</v>
      </c>
      <c r="V762" s="19">
        <v>24.063268467684175</v>
      </c>
      <c r="W762" s="19">
        <v>36.374929372082029</v>
      </c>
      <c r="X762" s="19">
        <v>51.883075018143103</v>
      </c>
      <c r="Y762" s="19">
        <v>70.285871801303131</v>
      </c>
      <c r="Z762" s="19">
        <v>90.742300230967686</v>
      </c>
      <c r="AA762" s="19">
        <v>111.77243252609163</v>
      </c>
      <c r="AB762" s="19">
        <v>131.2658440279906</v>
      </c>
      <c r="AC762" s="19">
        <v>146.66793217064728</v>
      </c>
      <c r="AD762" s="19">
        <v>155.38735449988692</v>
      </c>
      <c r="AE762" s="19">
        <v>155.39632826122855</v>
      </c>
      <c r="AF762" s="19">
        <v>145.88664873226719</v>
      </c>
      <c r="AG762" s="19">
        <v>127.74109806150776</v>
      </c>
      <c r="AH762" s="19">
        <v>105.20735070701504</v>
      </c>
      <c r="AI762" s="19">
        <v>80.122823964618306</v>
      </c>
      <c r="AJ762" s="19">
        <v>30.732259626099921</v>
      </c>
      <c r="AK762" s="19">
        <v>0</v>
      </c>
      <c r="AL762" s="19">
        <v>0</v>
      </c>
      <c r="AM762" s="19">
        <v>0</v>
      </c>
      <c r="AN762" s="19">
        <v>0</v>
      </c>
      <c r="AO762" s="19">
        <v>0</v>
      </c>
      <c r="AP762" s="19">
        <v>0</v>
      </c>
      <c r="AQ762" s="19">
        <v>0</v>
      </c>
      <c r="AR762" s="19">
        <v>1491.0038440173471</v>
      </c>
    </row>
    <row r="763" spans="1:44" x14ac:dyDescent="0.25">
      <c r="A763" t="s">
        <v>250</v>
      </c>
      <c r="B763" t="s">
        <v>340</v>
      </c>
      <c r="C763" t="s">
        <v>44</v>
      </c>
      <c r="D763" t="s">
        <v>161</v>
      </c>
      <c r="E763" t="s">
        <v>134</v>
      </c>
      <c r="F763" t="s">
        <v>161</v>
      </c>
      <c r="G763" t="s">
        <v>31</v>
      </c>
      <c r="H763" t="s">
        <v>253</v>
      </c>
      <c r="I763" t="s">
        <v>135</v>
      </c>
      <c r="J763" t="s">
        <v>40</v>
      </c>
      <c r="K763" t="s">
        <v>31</v>
      </c>
      <c r="L763">
        <v>1016.045</v>
      </c>
      <c r="M763">
        <v>1</v>
      </c>
      <c r="N763" s="2">
        <v>7.3329103464985135</v>
      </c>
      <c r="O763" s="2">
        <v>4.1746294160814514</v>
      </c>
      <c r="P763" s="1">
        <v>-2.0071271053248574</v>
      </c>
      <c r="Q763" s="1">
        <v>0.4672931329656026</v>
      </c>
      <c r="R763" s="1">
        <v>-1.7195523936223538</v>
      </c>
      <c r="S763" s="19">
        <v>4.231491158345146</v>
      </c>
      <c r="T763" s="19">
        <v>8.4237935335905281</v>
      </c>
      <c r="U763" s="19">
        <v>14.89550389473453</v>
      </c>
      <c r="V763" s="19">
        <v>24.130237407473135</v>
      </c>
      <c r="W763" s="19">
        <v>36.476162106039929</v>
      </c>
      <c r="X763" s="19">
        <v>52.027467478029507</v>
      </c>
      <c r="Y763" s="19">
        <v>70.481479905123152</v>
      </c>
      <c r="Z763" s="19">
        <v>90.994839309299465</v>
      </c>
      <c r="AA763" s="19">
        <v>112.08349921738328</v>
      </c>
      <c r="AB763" s="19">
        <v>131.63116158312084</v>
      </c>
      <c r="AC763" s="19">
        <v>147.0761142898676</v>
      </c>
      <c r="AD763" s="19">
        <v>155.81980308439424</v>
      </c>
      <c r="AE763" s="19">
        <v>155.82880182003572</v>
      </c>
      <c r="AF763" s="19">
        <v>146.29265651163786</v>
      </c>
      <c r="AG763" s="19">
        <v>128.09660612210834</v>
      </c>
      <c r="AH763" s="19">
        <v>105.50014653997999</v>
      </c>
      <c r="AI763" s="19">
        <v>80.345808659362291</v>
      </c>
      <c r="AJ763" s="19">
        <v>30.817788607637489</v>
      </c>
      <c r="AK763" s="19">
        <v>0</v>
      </c>
      <c r="AL763" s="19">
        <v>0</v>
      </c>
      <c r="AM763" s="19">
        <v>0</v>
      </c>
      <c r="AN763" s="19">
        <v>0</v>
      </c>
      <c r="AO763" s="19">
        <v>0</v>
      </c>
      <c r="AP763" s="19">
        <v>0</v>
      </c>
      <c r="AQ763" s="19">
        <v>0</v>
      </c>
      <c r="AR763" s="19">
        <v>1495.1533612281637</v>
      </c>
    </row>
    <row r="764" spans="1:44" x14ac:dyDescent="0.25">
      <c r="A764" t="s">
        <v>250</v>
      </c>
      <c r="B764" t="s">
        <v>341</v>
      </c>
      <c r="C764" t="s">
        <v>44</v>
      </c>
      <c r="D764" t="s">
        <v>161</v>
      </c>
      <c r="E764" t="s">
        <v>134</v>
      </c>
      <c r="F764" t="s">
        <v>161</v>
      </c>
      <c r="G764" t="s">
        <v>31</v>
      </c>
      <c r="H764" t="s">
        <v>252</v>
      </c>
      <c r="I764" t="s">
        <v>135</v>
      </c>
      <c r="J764" t="s">
        <v>39</v>
      </c>
      <c r="K764" t="s">
        <v>31</v>
      </c>
      <c r="L764">
        <v>514.79499999999996</v>
      </c>
      <c r="M764">
        <v>1</v>
      </c>
      <c r="N764" s="2">
        <v>5.8863034085379518</v>
      </c>
      <c r="O764" s="2">
        <v>5.4421202420407457</v>
      </c>
      <c r="P764" s="1">
        <v>-1.9034258936939177</v>
      </c>
      <c r="Q764" s="1">
        <v>0.50078102656759582</v>
      </c>
      <c r="R764" s="1">
        <v>-1.8625523936223527</v>
      </c>
      <c r="S764" s="19">
        <v>2.8879926330642534E-2</v>
      </c>
      <c r="T764" s="19">
        <v>5.7515480855648601E-2</v>
      </c>
      <c r="U764" s="19">
        <v>0.10174349184976708</v>
      </c>
      <c r="V764" s="19">
        <v>0.16488738555832139</v>
      </c>
      <c r="W764" s="19">
        <v>0.24934999980254816</v>
      </c>
      <c r="X764" s="19">
        <v>0.35580112706586386</v>
      </c>
      <c r="Y764" s="19">
        <v>0.48219649073513121</v>
      </c>
      <c r="Z764" s="19">
        <v>0.62278793608029925</v>
      </c>
      <c r="AA764" s="19">
        <v>0.76743129969835278</v>
      </c>
      <c r="AB764" s="19">
        <v>0.90163536667655797</v>
      </c>
      <c r="AC764" s="19">
        <v>1.0078334539194047</v>
      </c>
      <c r="AD764" s="19">
        <v>1.0681781053356412</v>
      </c>
      <c r="AE764" s="19">
        <v>1.0686688486378713</v>
      </c>
      <c r="AF764" s="19">
        <v>1.003673234884674</v>
      </c>
      <c r="AG764" s="19">
        <v>0.8791881744676372</v>
      </c>
      <c r="AH764" s="19">
        <v>0.724388714016313</v>
      </c>
      <c r="AI764" s="19">
        <v>0.55189471676869906</v>
      </c>
      <c r="AJ764" s="19">
        <v>0.26718907745642179</v>
      </c>
      <c r="AK764" s="19">
        <v>0</v>
      </c>
      <c r="AL764" s="19">
        <v>0</v>
      </c>
      <c r="AM764" s="19">
        <v>0</v>
      </c>
      <c r="AN764" s="19">
        <v>0</v>
      </c>
      <c r="AO764" s="19">
        <v>0</v>
      </c>
      <c r="AP764" s="19">
        <v>0</v>
      </c>
      <c r="AQ764" s="19">
        <v>0</v>
      </c>
      <c r="AR764" s="19">
        <v>10.303242830139796</v>
      </c>
    </row>
    <row r="765" spans="1:44" x14ac:dyDescent="0.25">
      <c r="A765" t="s">
        <v>250</v>
      </c>
      <c r="B765" t="s">
        <v>342</v>
      </c>
      <c r="C765" t="s">
        <v>44</v>
      </c>
      <c r="D765" t="s">
        <v>161</v>
      </c>
      <c r="E765" t="s">
        <v>134</v>
      </c>
      <c r="F765" t="s">
        <v>161</v>
      </c>
      <c r="G765" t="s">
        <v>31</v>
      </c>
      <c r="H765" t="s">
        <v>254</v>
      </c>
      <c r="I765" t="s">
        <v>135</v>
      </c>
      <c r="J765" t="s">
        <v>39</v>
      </c>
      <c r="K765" t="s">
        <v>31</v>
      </c>
      <c r="L765">
        <v>514.79499999999996</v>
      </c>
      <c r="M765">
        <v>1</v>
      </c>
      <c r="N765" s="2">
        <v>5.8530948632432755</v>
      </c>
      <c r="O765" s="2">
        <v>5.4114176288701819</v>
      </c>
      <c r="P765" s="1">
        <v>-1.9034258936939203</v>
      </c>
      <c r="Q765" s="1">
        <v>0.50078102656759649</v>
      </c>
      <c r="R765" s="1">
        <v>-1.8625523936223551</v>
      </c>
      <c r="S765" s="19">
        <v>2.4212121875725288</v>
      </c>
      <c r="T765" s="19">
        <v>4.8181295827434365</v>
      </c>
      <c r="U765" s="19">
        <v>8.516424691487158</v>
      </c>
      <c r="V765" s="19">
        <v>13.790977646168002</v>
      </c>
      <c r="W765" s="19">
        <v>20.838859452981463</v>
      </c>
      <c r="X765" s="19">
        <v>29.711791830231679</v>
      </c>
      <c r="Y765" s="19">
        <v>40.234862392104603</v>
      </c>
      <c r="Z765" s="19">
        <v>51.92489380844539</v>
      </c>
      <c r="AA765" s="19">
        <v>63.934001133067603</v>
      </c>
      <c r="AB765" s="19">
        <v>75.05511000821555</v>
      </c>
      <c r="AC765" s="19">
        <v>83.829147226690992</v>
      </c>
      <c r="AD765" s="19">
        <v>88.778315568860464</v>
      </c>
      <c r="AE765" s="19">
        <v>88.748971668885019</v>
      </c>
      <c r="AF765" s="19">
        <v>83.285514556633373</v>
      </c>
      <c r="AG765" s="19">
        <v>72.898051319987431</v>
      </c>
      <c r="AH765" s="19">
        <v>60.015400315655306</v>
      </c>
      <c r="AI765" s="19">
        <v>45.688217991437718</v>
      </c>
      <c r="AJ765" s="19">
        <v>13.08392052118924</v>
      </c>
      <c r="AK765" s="19">
        <v>0</v>
      </c>
      <c r="AL765" s="19">
        <v>0</v>
      </c>
      <c r="AM765" s="19">
        <v>0</v>
      </c>
      <c r="AN765" s="19">
        <v>0</v>
      </c>
      <c r="AO765" s="19">
        <v>0</v>
      </c>
      <c r="AP765" s="19">
        <v>0</v>
      </c>
      <c r="AQ765" s="19">
        <v>0</v>
      </c>
      <c r="AR765" s="19">
        <v>847.57380190235676</v>
      </c>
    </row>
    <row r="766" spans="1:44" x14ac:dyDescent="0.25">
      <c r="A766" t="s">
        <v>250</v>
      </c>
      <c r="B766" t="s">
        <v>342</v>
      </c>
      <c r="C766" t="s">
        <v>44</v>
      </c>
      <c r="D766" t="s">
        <v>161</v>
      </c>
      <c r="E766" t="s">
        <v>134</v>
      </c>
      <c r="F766" t="s">
        <v>161</v>
      </c>
      <c r="G766" t="s">
        <v>31</v>
      </c>
      <c r="H766" t="s">
        <v>255</v>
      </c>
      <c r="I766" t="s">
        <v>135</v>
      </c>
      <c r="J766" t="s">
        <v>39</v>
      </c>
      <c r="K766" t="s">
        <v>31</v>
      </c>
      <c r="L766">
        <v>514.79499999999996</v>
      </c>
      <c r="M766">
        <v>1</v>
      </c>
      <c r="N766" s="2">
        <v>5.8530948632432755</v>
      </c>
      <c r="O766" s="2">
        <v>5.4114176288701819</v>
      </c>
      <c r="P766" s="1">
        <v>-1.9034258936939203</v>
      </c>
      <c r="Q766" s="1">
        <v>0.50078102656759649</v>
      </c>
      <c r="R766" s="1">
        <v>-1.8625523936223551</v>
      </c>
      <c r="S766" s="19">
        <v>0.50757984409820089</v>
      </c>
      <c r="T766" s="19">
        <v>1.0054872458920974</v>
      </c>
      <c r="U766" s="19">
        <v>1.7692205446834062</v>
      </c>
      <c r="V766" s="19">
        <v>2.8519787900090159</v>
      </c>
      <c r="W766" s="19">
        <v>4.2899453117075801</v>
      </c>
      <c r="X766" s="19">
        <v>6.0888212866920526</v>
      </c>
      <c r="Y766" s="19">
        <v>8.2079268509785699</v>
      </c>
      <c r="Z766" s="19">
        <v>10.544673753589237</v>
      </c>
      <c r="AA766" s="19">
        <v>12.924566582749163</v>
      </c>
      <c r="AB766" s="19">
        <v>15.103964042324908</v>
      </c>
      <c r="AC766" s="19">
        <v>16.793155088451787</v>
      </c>
      <c r="AD766" s="19">
        <v>17.703972433514075</v>
      </c>
      <c r="AE766" s="19">
        <v>17.617883221579376</v>
      </c>
      <c r="AF766" s="19">
        <v>16.458355696583777</v>
      </c>
      <c r="AG766" s="19">
        <v>14.340340494313264</v>
      </c>
      <c r="AH766" s="19">
        <v>11.7525694114071</v>
      </c>
      <c r="AI766" s="19">
        <v>1.3656142530788926</v>
      </c>
      <c r="AJ766" s="19">
        <v>0</v>
      </c>
      <c r="AK766" s="19">
        <v>0</v>
      </c>
      <c r="AL766" s="19">
        <v>0</v>
      </c>
      <c r="AM766" s="19">
        <v>0</v>
      </c>
      <c r="AN766" s="19">
        <v>0</v>
      </c>
      <c r="AO766" s="19">
        <v>0</v>
      </c>
      <c r="AP766" s="19">
        <v>0</v>
      </c>
      <c r="AQ766" s="19">
        <v>0</v>
      </c>
      <c r="AR766" s="19">
        <v>159.32605485165249</v>
      </c>
    </row>
    <row r="767" spans="1:44" x14ac:dyDescent="0.25">
      <c r="A767" t="s">
        <v>250</v>
      </c>
      <c r="B767" t="s">
        <v>343</v>
      </c>
      <c r="C767" t="s">
        <v>44</v>
      </c>
      <c r="D767" t="s">
        <v>163</v>
      </c>
      <c r="E767" t="s">
        <v>134</v>
      </c>
      <c r="F767" t="s">
        <v>163</v>
      </c>
      <c r="G767" t="s">
        <v>31</v>
      </c>
      <c r="H767" t="s">
        <v>288</v>
      </c>
      <c r="I767" t="s">
        <v>135</v>
      </c>
      <c r="J767" t="s">
        <v>39</v>
      </c>
      <c r="K767" t="s">
        <v>31</v>
      </c>
      <c r="L767">
        <v>47.918798887095448</v>
      </c>
      <c r="M767">
        <v>1</v>
      </c>
      <c r="N767" s="2">
        <v>1.7886448088486833</v>
      </c>
      <c r="O767" s="2">
        <v>6.0587378786000636</v>
      </c>
      <c r="P767" s="1">
        <v>-0.92006591684998851</v>
      </c>
      <c r="Q767" s="1">
        <v>1.8347649468629108</v>
      </c>
      <c r="R767" s="1">
        <v>-2.2131763370737381</v>
      </c>
      <c r="S767" s="19">
        <v>87.800798160946727</v>
      </c>
      <c r="T767" s="19">
        <v>174.98151239360936</v>
      </c>
      <c r="U767" s="19">
        <v>309.7555363825727</v>
      </c>
      <c r="V767" s="19">
        <v>502.34825587808177</v>
      </c>
      <c r="W767" s="19">
        <v>760.20700483208475</v>
      </c>
      <c r="X767" s="19">
        <v>1085.5125335660766</v>
      </c>
      <c r="Y767" s="19">
        <v>1472.1653655438315</v>
      </c>
      <c r="Z767" s="19">
        <v>1902.7326482819244</v>
      </c>
      <c r="AA767" s="19">
        <v>2346.2922966442056</v>
      </c>
      <c r="AB767" s="19">
        <v>2758.5354749296266</v>
      </c>
      <c r="AC767" s="19">
        <v>3085.6128393256149</v>
      </c>
      <c r="AD767" s="19">
        <v>3272.6635743617162</v>
      </c>
      <c r="AE767" s="19">
        <v>3276.4675328294284</v>
      </c>
      <c r="AF767" s="19">
        <v>3079.3573450318995</v>
      </c>
      <c r="AG767" s="19">
        <v>2699.3214930699651</v>
      </c>
      <c r="AH767" s="19">
        <v>2225.6121223070431</v>
      </c>
      <c r="AI767" s="19">
        <v>1696.8328657189161</v>
      </c>
      <c r="AJ767" s="19">
        <v>1120.2223932524073</v>
      </c>
      <c r="AK767" s="19">
        <v>0</v>
      </c>
      <c r="AL767" s="19">
        <v>0</v>
      </c>
      <c r="AM767" s="19">
        <v>0</v>
      </c>
      <c r="AN767" s="19">
        <v>0</v>
      </c>
      <c r="AO767" s="19">
        <v>0</v>
      </c>
      <c r="AP767" s="19">
        <v>0</v>
      </c>
      <c r="AQ767" s="19">
        <v>0</v>
      </c>
      <c r="AR767" s="19">
        <v>31856.421592509949</v>
      </c>
    </row>
    <row r="768" spans="1:44" x14ac:dyDescent="0.25">
      <c r="A768" t="s">
        <v>250</v>
      </c>
      <c r="B768" t="s">
        <v>343</v>
      </c>
      <c r="C768" t="s">
        <v>44</v>
      </c>
      <c r="D768" t="s">
        <v>163</v>
      </c>
      <c r="E768" t="s">
        <v>134</v>
      </c>
      <c r="F768" t="s">
        <v>163</v>
      </c>
      <c r="G768" t="s">
        <v>31</v>
      </c>
      <c r="H768" t="s">
        <v>289</v>
      </c>
      <c r="I768" t="s">
        <v>135</v>
      </c>
      <c r="J768" t="s">
        <v>39</v>
      </c>
      <c r="K768" t="s">
        <v>31</v>
      </c>
      <c r="L768">
        <v>47.918798887095448</v>
      </c>
      <c r="M768">
        <v>1</v>
      </c>
      <c r="N768" s="2">
        <v>1.7886448088486833</v>
      </c>
      <c r="O768" s="2">
        <v>6.0587378786000636</v>
      </c>
      <c r="P768" s="1">
        <v>-0.92006591684998851</v>
      </c>
      <c r="Q768" s="1">
        <v>1.8347649468629108</v>
      </c>
      <c r="R768" s="1">
        <v>-2.2131763370737381</v>
      </c>
      <c r="S768" s="19">
        <v>83.450852646617406</v>
      </c>
      <c r="T768" s="19">
        <v>166.3123423989145</v>
      </c>
      <c r="U768" s="19">
        <v>294.40920999091389</v>
      </c>
      <c r="V768" s="19">
        <v>477.46024132629634</v>
      </c>
      <c r="W768" s="19">
        <v>722.54380449796827</v>
      </c>
      <c r="X768" s="19">
        <v>1031.7326081549395</v>
      </c>
      <c r="Y768" s="19">
        <v>1399.2293642507732</v>
      </c>
      <c r="Z768" s="19">
        <v>1808.4649021825121</v>
      </c>
      <c r="AA768" s="19">
        <v>2230.0491204445552</v>
      </c>
      <c r="AB768" s="19">
        <v>2621.8683914107237</v>
      </c>
      <c r="AC768" s="19">
        <v>2932.7412480585604</v>
      </c>
      <c r="AD768" s="19">
        <v>3110.524863400251</v>
      </c>
      <c r="AE768" s="19">
        <v>3114.1403610291104</v>
      </c>
      <c r="AF768" s="19">
        <v>2926.7956718967166</v>
      </c>
      <c r="AG768" s="19">
        <v>2565.5880684718372</v>
      </c>
      <c r="AH768" s="19">
        <v>2115.3478460037704</v>
      </c>
      <c r="AI768" s="19">
        <v>1612.7660842385217</v>
      </c>
      <c r="AJ768" s="19">
        <v>1064.7228251773247</v>
      </c>
      <c r="AK768" s="19">
        <v>0</v>
      </c>
      <c r="AL768" s="19">
        <v>0</v>
      </c>
      <c r="AM768" s="19">
        <v>0</v>
      </c>
      <c r="AN768" s="19">
        <v>0</v>
      </c>
      <c r="AO768" s="19">
        <v>0</v>
      </c>
      <c r="AP768" s="19">
        <v>0</v>
      </c>
      <c r="AQ768" s="19">
        <v>0</v>
      </c>
      <c r="AR768" s="19">
        <v>30278.147805580305</v>
      </c>
    </row>
    <row r="769" spans="1:44" x14ac:dyDescent="0.25">
      <c r="A769" t="s">
        <v>250</v>
      </c>
      <c r="B769" t="s">
        <v>343</v>
      </c>
      <c r="C769" t="s">
        <v>44</v>
      </c>
      <c r="D769" t="s">
        <v>163</v>
      </c>
      <c r="E769" t="s">
        <v>134</v>
      </c>
      <c r="F769" t="s">
        <v>163</v>
      </c>
      <c r="G769" t="s">
        <v>31</v>
      </c>
      <c r="H769" t="s">
        <v>290</v>
      </c>
      <c r="I769" t="s">
        <v>135</v>
      </c>
      <c r="J769" t="s">
        <v>39</v>
      </c>
      <c r="K769" t="s">
        <v>31</v>
      </c>
      <c r="L769">
        <v>47.918798887095448</v>
      </c>
      <c r="M769">
        <v>1</v>
      </c>
      <c r="N769" s="2">
        <v>1.7886448088486833</v>
      </c>
      <c r="O769" s="2">
        <v>6.0587378786000636</v>
      </c>
      <c r="P769" s="1">
        <v>-0.92006591684998851</v>
      </c>
      <c r="Q769" s="1">
        <v>1.8347649468629108</v>
      </c>
      <c r="R769" s="1">
        <v>-2.2131763370737381</v>
      </c>
      <c r="S769" s="19">
        <v>120.8425184443397</v>
      </c>
      <c r="T769" s="19">
        <v>240.83159927637715</v>
      </c>
      <c r="U769" s="19">
        <v>426.32458818804616</v>
      </c>
      <c r="V769" s="19">
        <v>691.39494911141014</v>
      </c>
      <c r="W769" s="19">
        <v>1046.292641150483</v>
      </c>
      <c r="X769" s="19">
        <v>1494.0190876005822</v>
      </c>
      <c r="Y769" s="19">
        <v>2026.1794205189519</v>
      </c>
      <c r="Z769" s="19">
        <v>2618.7803523513717</v>
      </c>
      <c r="AA769" s="19">
        <v>3229.2630143669103</v>
      </c>
      <c r="AB769" s="19">
        <v>3796.644005416571</v>
      </c>
      <c r="AC769" s="19">
        <v>4246.8090752977769</v>
      </c>
      <c r="AD769" s="19">
        <v>4504.2518591001826</v>
      </c>
      <c r="AE769" s="19">
        <v>4509.4873459172095</v>
      </c>
      <c r="AF769" s="19">
        <v>4238.1994760640537</v>
      </c>
      <c r="AG769" s="19">
        <v>3715.1462645654897</v>
      </c>
      <c r="AH769" s="19">
        <v>3063.1677567079505</v>
      </c>
      <c r="AI769" s="19">
        <v>2335.3951349818676</v>
      </c>
      <c r="AJ769" s="19">
        <v>1541.7911688025781</v>
      </c>
      <c r="AK769" s="19">
        <v>0</v>
      </c>
      <c r="AL769" s="19">
        <v>0</v>
      </c>
      <c r="AM769" s="19">
        <v>0</v>
      </c>
      <c r="AN769" s="19">
        <v>0</v>
      </c>
      <c r="AO769" s="19">
        <v>0</v>
      </c>
      <c r="AP769" s="19">
        <v>0</v>
      </c>
      <c r="AQ769" s="19">
        <v>0</v>
      </c>
      <c r="AR769" s="19">
        <v>43844.820257862157</v>
      </c>
    </row>
    <row r="770" spans="1:44" x14ac:dyDescent="0.25">
      <c r="A770" t="s">
        <v>250</v>
      </c>
      <c r="B770" t="s">
        <v>343</v>
      </c>
      <c r="C770" t="s">
        <v>44</v>
      </c>
      <c r="D770" t="s">
        <v>163</v>
      </c>
      <c r="E770" t="s">
        <v>134</v>
      </c>
      <c r="F770" t="s">
        <v>163</v>
      </c>
      <c r="G770" t="s">
        <v>31</v>
      </c>
      <c r="H770" t="s">
        <v>272</v>
      </c>
      <c r="I770" t="s">
        <v>135</v>
      </c>
      <c r="J770" t="s">
        <v>39</v>
      </c>
      <c r="K770" t="s">
        <v>31</v>
      </c>
      <c r="L770">
        <v>47.918798887095448</v>
      </c>
      <c r="M770">
        <v>1</v>
      </c>
      <c r="N770" s="2">
        <v>1.7886448088486833</v>
      </c>
      <c r="O770" s="2">
        <v>6.0587378786000636</v>
      </c>
      <c r="P770" s="1">
        <v>-0.92006591684998851</v>
      </c>
      <c r="Q770" s="1">
        <v>1.8347649468629108</v>
      </c>
      <c r="R770" s="1">
        <v>-2.2131763370737381</v>
      </c>
      <c r="S770" s="19">
        <v>47.171967605828115</v>
      </c>
      <c r="T770" s="19">
        <v>93.859918267300102</v>
      </c>
      <c r="U770" s="19">
        <v>165.88593360738921</v>
      </c>
      <c r="V770" s="19">
        <v>268.59496097884806</v>
      </c>
      <c r="W770" s="19">
        <v>405.8142631721762</v>
      </c>
      <c r="X770" s="19">
        <v>578.53915971017943</v>
      </c>
      <c r="Y770" s="19">
        <v>783.3520648113016</v>
      </c>
      <c r="Z770" s="19">
        <v>1010.835869660564</v>
      </c>
      <c r="AA770" s="19">
        <v>1244.4786983275949</v>
      </c>
      <c r="AB770" s="19">
        <v>1460.7853473862044</v>
      </c>
      <c r="AC770" s="19">
        <v>1631.3672580057496</v>
      </c>
      <c r="AD770" s="19">
        <v>1727.4844607577445</v>
      </c>
      <c r="AE770" s="19">
        <v>1726.7168763197094</v>
      </c>
      <c r="AF770" s="19">
        <v>1620.2343402360225</v>
      </c>
      <c r="AG770" s="19">
        <v>1417.9954385351923</v>
      </c>
      <c r="AH770" s="19">
        <v>1167.2722937930907</v>
      </c>
      <c r="AI770" s="19">
        <v>888.51393742007951</v>
      </c>
      <c r="AJ770" s="19">
        <v>229.14020910514773</v>
      </c>
      <c r="AK770" s="19">
        <v>0</v>
      </c>
      <c r="AL770" s="19">
        <v>0</v>
      </c>
      <c r="AM770" s="19">
        <v>0</v>
      </c>
      <c r="AN770" s="19">
        <v>0</v>
      </c>
      <c r="AO770" s="19">
        <v>0</v>
      </c>
      <c r="AP770" s="19">
        <v>0</v>
      </c>
      <c r="AQ770" s="19">
        <v>0</v>
      </c>
      <c r="AR770" s="19">
        <v>16468.042997700119</v>
      </c>
    </row>
    <row r="771" spans="1:44" x14ac:dyDescent="0.25">
      <c r="A771" t="s">
        <v>250</v>
      </c>
      <c r="B771" t="s">
        <v>343</v>
      </c>
      <c r="C771" t="s">
        <v>44</v>
      </c>
      <c r="D771" t="s">
        <v>163</v>
      </c>
      <c r="E771" t="s">
        <v>134</v>
      </c>
      <c r="F771" t="s">
        <v>163</v>
      </c>
      <c r="G771" t="s">
        <v>31</v>
      </c>
      <c r="H771" t="s">
        <v>273</v>
      </c>
      <c r="I771" t="s">
        <v>135</v>
      </c>
      <c r="J771" t="s">
        <v>39</v>
      </c>
      <c r="K771" t="s">
        <v>31</v>
      </c>
      <c r="L771">
        <v>47.918798887095448</v>
      </c>
      <c r="M771">
        <v>1</v>
      </c>
      <c r="N771" s="2">
        <v>1.7886448088486833</v>
      </c>
      <c r="O771" s="2">
        <v>6.0587378786000636</v>
      </c>
      <c r="P771" s="1">
        <v>-0.92006591684998851</v>
      </c>
      <c r="Q771" s="1">
        <v>1.8347649468629108</v>
      </c>
      <c r="R771" s="1">
        <v>-2.2131763370737381</v>
      </c>
      <c r="S771" s="19">
        <v>14.187278114901224</v>
      </c>
      <c r="T771" s="19">
        <v>28.22898496469675</v>
      </c>
      <c r="U771" s="19">
        <v>49.891280667022627</v>
      </c>
      <c r="V771" s="19">
        <v>80.781693134147602</v>
      </c>
      <c r="W771" s="19">
        <v>122.05129670923569</v>
      </c>
      <c r="X771" s="19">
        <v>173.99944025560384</v>
      </c>
      <c r="Y771" s="19">
        <v>235.59826247287955</v>
      </c>
      <c r="Z771" s="19">
        <v>304.01550622663933</v>
      </c>
      <c r="AA771" s="19">
        <v>374.28511671966959</v>
      </c>
      <c r="AB771" s="19">
        <v>439.3407576872022</v>
      </c>
      <c r="AC771" s="19">
        <v>490.64438418743958</v>
      </c>
      <c r="AD771" s="19">
        <v>519.55226224043008</v>
      </c>
      <c r="AE771" s="19">
        <v>519.32140619494851</v>
      </c>
      <c r="AF771" s="19">
        <v>487.29608627565329</v>
      </c>
      <c r="AG771" s="19">
        <v>426.47141243424767</v>
      </c>
      <c r="AH771" s="19">
        <v>351.06478504863594</v>
      </c>
      <c r="AI771" s="19">
        <v>267.22638420507991</v>
      </c>
      <c r="AJ771" s="19">
        <v>68.915418178985391</v>
      </c>
      <c r="AK771" s="19">
        <v>0</v>
      </c>
      <c r="AL771" s="19">
        <v>0</v>
      </c>
      <c r="AM771" s="19">
        <v>0</v>
      </c>
      <c r="AN771" s="19">
        <v>0</v>
      </c>
      <c r="AO771" s="19">
        <v>0</v>
      </c>
      <c r="AP771" s="19">
        <v>0</v>
      </c>
      <c r="AQ771" s="19">
        <v>0</v>
      </c>
      <c r="AR771" s="19">
        <v>4952.8717557174177</v>
      </c>
    </row>
    <row r="772" spans="1:44" x14ac:dyDescent="0.25">
      <c r="A772" t="s">
        <v>250</v>
      </c>
      <c r="B772" t="s">
        <v>343</v>
      </c>
      <c r="C772" t="s">
        <v>44</v>
      </c>
      <c r="D772" t="s">
        <v>163</v>
      </c>
      <c r="E772" t="s">
        <v>134</v>
      </c>
      <c r="F772" t="s">
        <v>163</v>
      </c>
      <c r="G772" t="s">
        <v>31</v>
      </c>
      <c r="H772" t="s">
        <v>274</v>
      </c>
      <c r="I772" t="s">
        <v>135</v>
      </c>
      <c r="J772" t="s">
        <v>39</v>
      </c>
      <c r="K772" t="s">
        <v>31</v>
      </c>
      <c r="L772">
        <v>47.918798887095448</v>
      </c>
      <c r="M772">
        <v>1</v>
      </c>
      <c r="N772" s="2">
        <v>1.7886448088486833</v>
      </c>
      <c r="O772" s="2">
        <v>6.0587378786000636</v>
      </c>
      <c r="P772" s="1">
        <v>-0.92006591684998851</v>
      </c>
      <c r="Q772" s="1">
        <v>1.8347649468629108</v>
      </c>
      <c r="R772" s="1">
        <v>-2.2131763370737381</v>
      </c>
      <c r="S772" s="19">
        <v>22.333316274868928</v>
      </c>
      <c r="T772" s="19">
        <v>44.437477310952232</v>
      </c>
      <c r="U772" s="19">
        <v>78.537809823052697</v>
      </c>
      <c r="V772" s="19">
        <v>127.16485060579838</v>
      </c>
      <c r="W772" s="19">
        <v>192.13059679870861</v>
      </c>
      <c r="X772" s="19">
        <v>273.90627711717468</v>
      </c>
      <c r="Y772" s="19">
        <v>370.87385381484341</v>
      </c>
      <c r="Z772" s="19">
        <v>478.57484698862498</v>
      </c>
      <c r="AA772" s="19">
        <v>589.19179711412983</v>
      </c>
      <c r="AB772" s="19">
        <v>691.60102553872832</v>
      </c>
      <c r="AC772" s="19">
        <v>772.36212061263916</v>
      </c>
      <c r="AD772" s="19">
        <v>817.86829721424397</v>
      </c>
      <c r="AE772" s="19">
        <v>817.50488845916402</v>
      </c>
      <c r="AF772" s="19">
        <v>767.09130011833531</v>
      </c>
      <c r="AG772" s="19">
        <v>671.34237159136978</v>
      </c>
      <c r="AH772" s="19">
        <v>552.63883698911013</v>
      </c>
      <c r="AI772" s="19">
        <v>420.66218108273432</v>
      </c>
      <c r="AJ772" s="19">
        <v>108.48520892739823</v>
      </c>
      <c r="AK772" s="19">
        <v>0</v>
      </c>
      <c r="AL772" s="19">
        <v>0</v>
      </c>
      <c r="AM772" s="19">
        <v>0</v>
      </c>
      <c r="AN772" s="19">
        <v>0</v>
      </c>
      <c r="AO772" s="19">
        <v>0</v>
      </c>
      <c r="AP772" s="19">
        <v>0</v>
      </c>
      <c r="AQ772" s="19">
        <v>0</v>
      </c>
      <c r="AR772" s="19">
        <v>7796.707056381877</v>
      </c>
    </row>
    <row r="773" spans="1:44" x14ac:dyDescent="0.25">
      <c r="A773" t="s">
        <v>250</v>
      </c>
      <c r="B773" t="s">
        <v>343</v>
      </c>
      <c r="C773" t="s">
        <v>44</v>
      </c>
      <c r="D773" t="s">
        <v>163</v>
      </c>
      <c r="E773" t="s">
        <v>134</v>
      </c>
      <c r="F773" t="s">
        <v>163</v>
      </c>
      <c r="G773" t="s">
        <v>31</v>
      </c>
      <c r="H773" t="s">
        <v>275</v>
      </c>
      <c r="I773" t="s">
        <v>135</v>
      </c>
      <c r="J773" t="s">
        <v>39</v>
      </c>
      <c r="K773" t="s">
        <v>31</v>
      </c>
      <c r="L773">
        <v>47.918798887095448</v>
      </c>
      <c r="M773">
        <v>1</v>
      </c>
      <c r="N773" s="2">
        <v>1.7886448088486833</v>
      </c>
      <c r="O773" s="2">
        <v>6.0587378786000636</v>
      </c>
      <c r="P773" s="1">
        <v>-0.92006591684998851</v>
      </c>
      <c r="Q773" s="1">
        <v>1.8347649468629108</v>
      </c>
      <c r="R773" s="1">
        <v>-2.2131763370737381</v>
      </c>
      <c r="S773" s="19">
        <v>34.118325850533864</v>
      </c>
      <c r="T773" s="19">
        <v>67.886574130364863</v>
      </c>
      <c r="U773" s="19">
        <v>119.98122241010074</v>
      </c>
      <c r="V773" s="19">
        <v>194.26813986354784</v>
      </c>
      <c r="W773" s="19">
        <v>293.51549168773641</v>
      </c>
      <c r="X773" s="19">
        <v>418.44316805320653</v>
      </c>
      <c r="Y773" s="19">
        <v>566.57931308378204</v>
      </c>
      <c r="Z773" s="19">
        <v>731.11276321291052</v>
      </c>
      <c r="AA773" s="19">
        <v>900.1008840331524</v>
      </c>
      <c r="AB773" s="19">
        <v>1056.550171836592</v>
      </c>
      <c r="AC773" s="19">
        <v>1179.9278791087647</v>
      </c>
      <c r="AD773" s="19">
        <v>1249.4470916787575</v>
      </c>
      <c r="AE773" s="19">
        <v>1248.8919167029435</v>
      </c>
      <c r="AF773" s="19">
        <v>1171.875713057336</v>
      </c>
      <c r="AG773" s="19">
        <v>1025.6012814809328</v>
      </c>
      <c r="AH773" s="19">
        <v>844.25938745477185</v>
      </c>
      <c r="AI773" s="19">
        <v>642.64031326719032</v>
      </c>
      <c r="AJ773" s="19">
        <v>165.73148665401175</v>
      </c>
      <c r="AK773" s="19">
        <v>0</v>
      </c>
      <c r="AL773" s="19">
        <v>0</v>
      </c>
      <c r="AM773" s="19">
        <v>0</v>
      </c>
      <c r="AN773" s="19">
        <v>0</v>
      </c>
      <c r="AO773" s="19">
        <v>0</v>
      </c>
      <c r="AP773" s="19">
        <v>0</v>
      </c>
      <c r="AQ773" s="19">
        <v>0</v>
      </c>
      <c r="AR773" s="19">
        <v>11910.931123566636</v>
      </c>
    </row>
    <row r="774" spans="1:44" x14ac:dyDescent="0.25">
      <c r="A774" t="s">
        <v>250</v>
      </c>
      <c r="B774" t="s">
        <v>343</v>
      </c>
      <c r="C774" t="s">
        <v>44</v>
      </c>
      <c r="D774" t="s">
        <v>163</v>
      </c>
      <c r="E774" t="s">
        <v>134</v>
      </c>
      <c r="F774" t="s">
        <v>163</v>
      </c>
      <c r="G774" t="s">
        <v>31</v>
      </c>
      <c r="H774" t="s">
        <v>276</v>
      </c>
      <c r="I774" t="s">
        <v>135</v>
      </c>
      <c r="J774" t="s">
        <v>39</v>
      </c>
      <c r="K774" t="s">
        <v>31</v>
      </c>
      <c r="L774">
        <v>47.918798887095448</v>
      </c>
      <c r="M774">
        <v>1</v>
      </c>
      <c r="N774" s="2">
        <v>1.7886448088486833</v>
      </c>
      <c r="O774" s="2">
        <v>6.0587378786000636</v>
      </c>
      <c r="P774" s="1">
        <v>-0.92006591684998851</v>
      </c>
      <c r="Q774" s="1">
        <v>1.8347649468629108</v>
      </c>
      <c r="R774" s="1">
        <v>-2.2131763370737381</v>
      </c>
      <c r="S774" s="19">
        <v>48.216812544198959</v>
      </c>
      <c r="T774" s="19">
        <v>96.179842927962042</v>
      </c>
      <c r="U774" s="19">
        <v>170.41304606115315</v>
      </c>
      <c r="V774" s="19">
        <v>276.61805606039957</v>
      </c>
      <c r="W774" s="19">
        <v>418.98585132149952</v>
      </c>
      <c r="X774" s="19">
        <v>598.81710474968679</v>
      </c>
      <c r="Y774" s="19">
        <v>812.84514366585893</v>
      </c>
      <c r="Z774" s="19">
        <v>1051.528029278428</v>
      </c>
      <c r="AA774" s="19">
        <v>1297.8277696541472</v>
      </c>
      <c r="AB774" s="19">
        <v>1527.2333020827091</v>
      </c>
      <c r="AC774" s="19">
        <v>1709.8582548379036</v>
      </c>
      <c r="AD774" s="19">
        <v>1815.1474230307103</v>
      </c>
      <c r="AE774" s="19">
        <v>1818.8977002960785</v>
      </c>
      <c r="AF774" s="19">
        <v>1711.0171359223543</v>
      </c>
      <c r="AG774" s="19">
        <v>1501.2075724062629</v>
      </c>
      <c r="AH774" s="19">
        <v>1238.8749628956932</v>
      </c>
      <c r="AI774" s="19">
        <v>945.38548418570338</v>
      </c>
      <c r="AJ774" s="19">
        <v>653.12319784770921</v>
      </c>
      <c r="AK774" s="19">
        <v>185.11668030441191</v>
      </c>
      <c r="AL774" s="19">
        <v>0</v>
      </c>
      <c r="AM774" s="19">
        <v>0</v>
      </c>
      <c r="AN774" s="19">
        <v>0</v>
      </c>
      <c r="AO774" s="19">
        <v>0</v>
      </c>
      <c r="AP774" s="19">
        <v>0</v>
      </c>
      <c r="AQ774" s="19">
        <v>0</v>
      </c>
      <c r="AR774" s="19">
        <v>17877.293370072872</v>
      </c>
    </row>
    <row r="775" spans="1:44" x14ac:dyDescent="0.25">
      <c r="A775" t="s">
        <v>250</v>
      </c>
      <c r="B775" t="s">
        <v>343</v>
      </c>
      <c r="C775" t="s">
        <v>44</v>
      </c>
      <c r="D775" t="s">
        <v>163</v>
      </c>
      <c r="E775" t="s">
        <v>134</v>
      </c>
      <c r="F775" t="s">
        <v>163</v>
      </c>
      <c r="G775" t="s">
        <v>31</v>
      </c>
      <c r="H775" t="s">
        <v>277</v>
      </c>
      <c r="I775" t="s">
        <v>135</v>
      </c>
      <c r="J775" t="s">
        <v>39</v>
      </c>
      <c r="K775" t="s">
        <v>31</v>
      </c>
      <c r="L775">
        <v>47.918798887095448</v>
      </c>
      <c r="M775">
        <v>1</v>
      </c>
      <c r="N775" s="2">
        <v>1.7886448088486833</v>
      </c>
      <c r="O775" s="2">
        <v>6.0587378786000636</v>
      </c>
      <c r="P775" s="1">
        <v>-0.92006591684998851</v>
      </c>
      <c r="Q775" s="1">
        <v>1.8347649468629108</v>
      </c>
      <c r="R775" s="1">
        <v>-2.2131763370737381</v>
      </c>
      <c r="S775" s="19">
        <v>112.52592447519775</v>
      </c>
      <c r="T775" s="19">
        <v>223.87026347009052</v>
      </c>
      <c r="U775" s="19">
        <v>395.61562936036904</v>
      </c>
      <c r="V775" s="19">
        <v>640.4856159269309</v>
      </c>
      <c r="W775" s="19">
        <v>967.57907531465355</v>
      </c>
      <c r="X775" s="19">
        <v>1379.2391043538871</v>
      </c>
      <c r="Y775" s="19">
        <v>1867.2885515232888</v>
      </c>
      <c r="Z775" s="19">
        <v>2409.2547684086708</v>
      </c>
      <c r="AA775" s="19">
        <v>2965.7681068396832</v>
      </c>
      <c r="AB775" s="19">
        <v>3480.8376515063928</v>
      </c>
      <c r="AC775" s="19">
        <v>3886.8407417150256</v>
      </c>
      <c r="AD775" s="19">
        <v>4115.3501711279459</v>
      </c>
      <c r="AE775" s="19">
        <v>4113.0256669981536</v>
      </c>
      <c r="AF775" s="19">
        <v>3858.9198587839505</v>
      </c>
      <c r="AG775" s="19">
        <v>3376.8393592227499</v>
      </c>
      <c r="AH775" s="19">
        <v>2779.4277250219257</v>
      </c>
      <c r="AI775" s="19">
        <v>2115.4126317692758</v>
      </c>
      <c r="AJ775" s="19">
        <v>481.7547576972853</v>
      </c>
      <c r="AK775" s="19">
        <v>0</v>
      </c>
      <c r="AL775" s="19">
        <v>0</v>
      </c>
      <c r="AM775" s="19">
        <v>0</v>
      </c>
      <c r="AN775" s="19">
        <v>0</v>
      </c>
      <c r="AO775" s="19">
        <v>0</v>
      </c>
      <c r="AP775" s="19">
        <v>0</v>
      </c>
      <c r="AQ775" s="19">
        <v>0</v>
      </c>
      <c r="AR775" s="19">
        <v>39170.035603515469</v>
      </c>
    </row>
    <row r="776" spans="1:44" x14ac:dyDescent="0.25">
      <c r="A776" t="s">
        <v>250</v>
      </c>
      <c r="B776" t="s">
        <v>343</v>
      </c>
      <c r="C776" t="s">
        <v>44</v>
      </c>
      <c r="D776" t="s">
        <v>163</v>
      </c>
      <c r="E776" t="s">
        <v>134</v>
      </c>
      <c r="F776" t="s">
        <v>163</v>
      </c>
      <c r="G776" t="s">
        <v>31</v>
      </c>
      <c r="H776" t="s">
        <v>278</v>
      </c>
      <c r="I776" t="s">
        <v>135</v>
      </c>
      <c r="J776" t="s">
        <v>39</v>
      </c>
      <c r="K776" t="s">
        <v>31</v>
      </c>
      <c r="L776">
        <v>47.918798887095448</v>
      </c>
      <c r="M776">
        <v>1</v>
      </c>
      <c r="N776" s="2">
        <v>1.7886448088486833</v>
      </c>
      <c r="O776" s="2">
        <v>6.0587378786000636</v>
      </c>
      <c r="P776" s="1">
        <v>-0.92006591684998851</v>
      </c>
      <c r="Q776" s="1">
        <v>1.8347649468629108</v>
      </c>
      <c r="R776" s="1">
        <v>-2.2131763370737381</v>
      </c>
      <c r="S776" s="19">
        <v>35.169185063366911</v>
      </c>
      <c r="T776" s="19">
        <v>69.66818608107063</v>
      </c>
      <c r="U776" s="19">
        <v>122.58572809255104</v>
      </c>
      <c r="V776" s="19">
        <v>197.60786609016532</v>
      </c>
      <c r="W776" s="19">
        <v>297.24167012033212</v>
      </c>
      <c r="X776" s="19">
        <v>421.88216324841153</v>
      </c>
      <c r="Y776" s="19">
        <v>568.710719633689</v>
      </c>
      <c r="Z776" s="19">
        <v>730.6192059924665</v>
      </c>
      <c r="AA776" s="19">
        <v>895.5171867001327</v>
      </c>
      <c r="AB776" s="19">
        <v>1046.523247074</v>
      </c>
      <c r="AC776" s="19">
        <v>1163.5638924017624</v>
      </c>
      <c r="AD776" s="19">
        <v>1226.6725917322717</v>
      </c>
      <c r="AE776" s="19">
        <v>1220.7076436325897</v>
      </c>
      <c r="AF776" s="19">
        <v>1140.3663168703142</v>
      </c>
      <c r="AG776" s="19">
        <v>993.61330947298973</v>
      </c>
      <c r="AH776" s="19">
        <v>814.31186325805925</v>
      </c>
      <c r="AI776" s="19">
        <v>94.620661064725539</v>
      </c>
      <c r="AJ776" s="19">
        <v>0</v>
      </c>
      <c r="AK776" s="19">
        <v>0</v>
      </c>
      <c r="AL776" s="19">
        <v>0</v>
      </c>
      <c r="AM776" s="19">
        <v>0</v>
      </c>
      <c r="AN776" s="19">
        <v>0</v>
      </c>
      <c r="AO776" s="19">
        <v>0</v>
      </c>
      <c r="AP776" s="19">
        <v>0</v>
      </c>
      <c r="AQ776" s="19">
        <v>0</v>
      </c>
      <c r="AR776" s="19">
        <v>11039.3814365289</v>
      </c>
    </row>
    <row r="777" spans="1:44" x14ac:dyDescent="0.25">
      <c r="A777" t="s">
        <v>250</v>
      </c>
      <c r="B777" t="s">
        <v>343</v>
      </c>
      <c r="C777" t="s">
        <v>44</v>
      </c>
      <c r="D777" t="s">
        <v>163</v>
      </c>
      <c r="E777" t="s">
        <v>134</v>
      </c>
      <c r="F777" t="s">
        <v>163</v>
      </c>
      <c r="G777" t="s">
        <v>31</v>
      </c>
      <c r="H777" t="s">
        <v>252</v>
      </c>
      <c r="I777" t="s">
        <v>135</v>
      </c>
      <c r="J777" t="s">
        <v>39</v>
      </c>
      <c r="K777" t="s">
        <v>31</v>
      </c>
      <c r="L777">
        <v>47.918798887095448</v>
      </c>
      <c r="M777">
        <v>1</v>
      </c>
      <c r="N777" s="2">
        <v>1.7886448088486833</v>
      </c>
      <c r="O777" s="2">
        <v>6.0587378786000636</v>
      </c>
      <c r="P777" s="1">
        <v>-0.92006591684998851</v>
      </c>
      <c r="Q777" s="1">
        <v>1.8347649468629108</v>
      </c>
      <c r="R777" s="1">
        <v>-2.2131763370737381</v>
      </c>
      <c r="S777" s="19">
        <v>0</v>
      </c>
      <c r="T777" s="19">
        <v>0</v>
      </c>
      <c r="U777" s="19">
        <v>0</v>
      </c>
      <c r="V777" s="19">
        <v>0</v>
      </c>
      <c r="W777" s="19">
        <v>0</v>
      </c>
      <c r="X777" s="19">
        <v>0</v>
      </c>
      <c r="Y777" s="19">
        <v>0</v>
      </c>
      <c r="Z777" s="19">
        <v>0</v>
      </c>
      <c r="AA777" s="19">
        <v>0</v>
      </c>
      <c r="AB777" s="19">
        <v>0</v>
      </c>
      <c r="AC777" s="19">
        <v>0</v>
      </c>
      <c r="AD777" s="19">
        <v>0</v>
      </c>
      <c r="AE777" s="19">
        <v>0</v>
      </c>
      <c r="AF777" s="19">
        <v>0</v>
      </c>
      <c r="AG777" s="19">
        <v>0</v>
      </c>
      <c r="AH777" s="19">
        <v>0</v>
      </c>
      <c r="AI777" s="19">
        <v>0</v>
      </c>
      <c r="AJ777" s="19">
        <v>0</v>
      </c>
      <c r="AK777" s="19">
        <v>0</v>
      </c>
      <c r="AL777" s="19">
        <v>0</v>
      </c>
      <c r="AM777" s="19">
        <v>0</v>
      </c>
      <c r="AN777" s="19">
        <v>0</v>
      </c>
      <c r="AO777" s="19">
        <v>0</v>
      </c>
      <c r="AP777" s="19">
        <v>0</v>
      </c>
      <c r="AQ777" s="19">
        <v>0</v>
      </c>
      <c r="AR777" s="19">
        <v>0</v>
      </c>
    </row>
    <row r="778" spans="1:44" x14ac:dyDescent="0.25">
      <c r="A778" t="s">
        <v>250</v>
      </c>
      <c r="B778" t="s">
        <v>343</v>
      </c>
      <c r="C778" t="s">
        <v>44</v>
      </c>
      <c r="D778" t="s">
        <v>163</v>
      </c>
      <c r="E778" t="s">
        <v>134</v>
      </c>
      <c r="F778" t="s">
        <v>163</v>
      </c>
      <c r="G778" t="s">
        <v>31</v>
      </c>
      <c r="H778" t="s">
        <v>253</v>
      </c>
      <c r="I778" t="s">
        <v>135</v>
      </c>
      <c r="J778" t="s">
        <v>39</v>
      </c>
      <c r="K778" t="s">
        <v>31</v>
      </c>
      <c r="L778">
        <v>47.918798887095448</v>
      </c>
      <c r="M778">
        <v>1</v>
      </c>
      <c r="N778" s="2">
        <v>1.7886448088486833</v>
      </c>
      <c r="O778" s="2">
        <v>6.0587378786000636</v>
      </c>
      <c r="P778" s="1">
        <v>-0.92006591684998851</v>
      </c>
      <c r="Q778" s="1">
        <v>1.8347649468629108</v>
      </c>
      <c r="R778" s="1">
        <v>-2.2131763370737381</v>
      </c>
      <c r="S778" s="19">
        <v>2.7009745337078712</v>
      </c>
      <c r="T778" s="19">
        <v>5.3769347400312419</v>
      </c>
      <c r="U778" s="19">
        <v>9.5078484583572855</v>
      </c>
      <c r="V778" s="19">
        <v>15.402408817840644</v>
      </c>
      <c r="W778" s="19">
        <v>23.282852604220896</v>
      </c>
      <c r="X778" s="19">
        <v>33.209301272988775</v>
      </c>
      <c r="Y778" s="19">
        <v>44.988557271671169</v>
      </c>
      <c r="Z778" s="19">
        <v>58.082301126531377</v>
      </c>
      <c r="AA778" s="19">
        <v>71.543261159362132</v>
      </c>
      <c r="AB778" s="19">
        <v>84.020597461779246</v>
      </c>
      <c r="AC778" s="19">
        <v>93.879160879305076</v>
      </c>
      <c r="AD778" s="19">
        <v>99.460285802160627</v>
      </c>
      <c r="AE778" s="19">
        <v>99.466029724313302</v>
      </c>
      <c r="AF778" s="19">
        <v>93.379077237853821</v>
      </c>
      <c r="AG778" s="19">
        <v>81.764479244600565</v>
      </c>
      <c r="AH778" s="19">
        <v>67.341085788390089</v>
      </c>
      <c r="AI778" s="19">
        <v>51.284990316267631</v>
      </c>
      <c r="AJ778" s="19">
        <v>19.671094443919536</v>
      </c>
      <c r="AK778" s="19">
        <v>0</v>
      </c>
      <c r="AL778" s="19">
        <v>0</v>
      </c>
      <c r="AM778" s="19">
        <v>0</v>
      </c>
      <c r="AN778" s="19">
        <v>0</v>
      </c>
      <c r="AO778" s="19">
        <v>0</v>
      </c>
      <c r="AP778" s="19">
        <v>0</v>
      </c>
      <c r="AQ778" s="19">
        <v>0</v>
      </c>
      <c r="AR778" s="19">
        <v>954.36124088330132</v>
      </c>
    </row>
    <row r="779" spans="1:44" x14ac:dyDescent="0.25">
      <c r="A779" t="s">
        <v>250</v>
      </c>
      <c r="B779" t="s">
        <v>343</v>
      </c>
      <c r="C779" t="s">
        <v>44</v>
      </c>
      <c r="D779" t="s">
        <v>163</v>
      </c>
      <c r="E779" t="s">
        <v>134</v>
      </c>
      <c r="F779" t="s">
        <v>163</v>
      </c>
      <c r="G779" t="s">
        <v>31</v>
      </c>
      <c r="H779" t="s">
        <v>254</v>
      </c>
      <c r="I779" t="s">
        <v>135</v>
      </c>
      <c r="J779" t="s">
        <v>39</v>
      </c>
      <c r="K779" t="s">
        <v>31</v>
      </c>
      <c r="L779">
        <v>47.918798887095448</v>
      </c>
      <c r="M779">
        <v>1</v>
      </c>
      <c r="N779" s="2">
        <v>1.7886448088486833</v>
      </c>
      <c r="O779" s="2">
        <v>6.0587378786000636</v>
      </c>
      <c r="P779" s="1">
        <v>-0.92006591684998851</v>
      </c>
      <c r="Q779" s="1">
        <v>1.8347649468629108</v>
      </c>
      <c r="R779" s="1">
        <v>-2.2131763370737381</v>
      </c>
      <c r="S779" s="19">
        <v>38.711156097720966</v>
      </c>
      <c r="T779" s="19">
        <v>77.033878870247193</v>
      </c>
      <c r="U779" s="19">
        <v>136.1634669273565</v>
      </c>
      <c r="V779" s="19">
        <v>220.49479642518844</v>
      </c>
      <c r="W779" s="19">
        <v>333.17870499884407</v>
      </c>
      <c r="X779" s="19">
        <v>475.04213690425865</v>
      </c>
      <c r="Y779" s="19">
        <v>643.28853399364732</v>
      </c>
      <c r="Z779" s="19">
        <v>830.19269434273883</v>
      </c>
      <c r="AA779" s="19">
        <v>1022.198347801729</v>
      </c>
      <c r="AB779" s="19">
        <v>1200.0063829071637</v>
      </c>
      <c r="AC779" s="19">
        <v>1340.2886456989045</v>
      </c>
      <c r="AD779" s="19">
        <v>1419.417616398373</v>
      </c>
      <c r="AE779" s="19">
        <v>1418.9484562403759</v>
      </c>
      <c r="AF779" s="19">
        <v>1331.5968634344508</v>
      </c>
      <c r="AG779" s="19">
        <v>1165.5186019433386</v>
      </c>
      <c r="AH779" s="19">
        <v>959.54643785921792</v>
      </c>
      <c r="AI779" s="19">
        <v>730.47862040809616</v>
      </c>
      <c r="AJ779" s="19">
        <v>209.19012892205032</v>
      </c>
      <c r="AK779" s="19">
        <v>0</v>
      </c>
      <c r="AL779" s="19">
        <v>0</v>
      </c>
      <c r="AM779" s="19">
        <v>0</v>
      </c>
      <c r="AN779" s="19">
        <v>0</v>
      </c>
      <c r="AO779" s="19">
        <v>0</v>
      </c>
      <c r="AP779" s="19">
        <v>0</v>
      </c>
      <c r="AQ779" s="19">
        <v>0</v>
      </c>
      <c r="AR779" s="19">
        <v>13551.295470173702</v>
      </c>
    </row>
    <row r="780" spans="1:44" x14ac:dyDescent="0.25">
      <c r="A780" t="s">
        <v>250</v>
      </c>
      <c r="B780" t="s">
        <v>343</v>
      </c>
      <c r="C780" t="s">
        <v>44</v>
      </c>
      <c r="D780" t="s">
        <v>163</v>
      </c>
      <c r="E780" t="s">
        <v>134</v>
      </c>
      <c r="F780" t="s">
        <v>163</v>
      </c>
      <c r="G780" t="s">
        <v>31</v>
      </c>
      <c r="H780" t="s">
        <v>255</v>
      </c>
      <c r="I780" t="s">
        <v>135</v>
      </c>
      <c r="J780" t="s">
        <v>39</v>
      </c>
      <c r="K780" t="s">
        <v>31</v>
      </c>
      <c r="L780">
        <v>47.918798887095448</v>
      </c>
      <c r="M780">
        <v>1</v>
      </c>
      <c r="N780" s="2">
        <v>1.7886448088486833</v>
      </c>
      <c r="O780" s="2">
        <v>6.0587378786000636</v>
      </c>
      <c r="P780" s="1">
        <v>-0.92006591684998851</v>
      </c>
      <c r="Q780" s="1">
        <v>1.8347649468629108</v>
      </c>
      <c r="R780" s="1">
        <v>-2.2131763370737381</v>
      </c>
      <c r="S780" s="19">
        <v>8.1153575377638116</v>
      </c>
      <c r="T780" s="19">
        <v>16.076068809574561</v>
      </c>
      <c r="U780" s="19">
        <v>28.286894072344761</v>
      </c>
      <c r="V780" s="19">
        <v>45.598397651433096</v>
      </c>
      <c r="W780" s="19">
        <v>68.589090813513707</v>
      </c>
      <c r="X780" s="19">
        <v>97.350125895647722</v>
      </c>
      <c r="Y780" s="19">
        <v>131.23109952848304</v>
      </c>
      <c r="Z780" s="19">
        <v>168.59179619609708</v>
      </c>
      <c r="AA780" s="19">
        <v>206.64232447211049</v>
      </c>
      <c r="AB780" s="19">
        <v>241.4872652375864</v>
      </c>
      <c r="AC780" s="19">
        <v>268.49462072717273</v>
      </c>
      <c r="AD780" s="19">
        <v>283.05707527047645</v>
      </c>
      <c r="AE780" s="19">
        <v>281.68065194886952</v>
      </c>
      <c r="AF780" s="19">
        <v>263.14173526486275</v>
      </c>
      <c r="AG780" s="19">
        <v>229.2781947072537</v>
      </c>
      <c r="AH780" s="19">
        <v>187.9040388816201</v>
      </c>
      <c r="AI780" s="19">
        <v>21.833900717809598</v>
      </c>
      <c r="AJ780" s="19">
        <v>0</v>
      </c>
      <c r="AK780" s="19">
        <v>0</v>
      </c>
      <c r="AL780" s="19">
        <v>0</v>
      </c>
      <c r="AM780" s="19">
        <v>0</v>
      </c>
      <c r="AN780" s="19">
        <v>0</v>
      </c>
      <c r="AO780" s="19">
        <v>0</v>
      </c>
      <c r="AP780" s="19">
        <v>0</v>
      </c>
      <c r="AQ780" s="19">
        <v>0</v>
      </c>
      <c r="AR780" s="19">
        <v>2547.3586377326196</v>
      </c>
    </row>
    <row r="781" spans="1:44" x14ac:dyDescent="0.25">
      <c r="A781" t="s">
        <v>250</v>
      </c>
      <c r="B781" t="s">
        <v>343</v>
      </c>
      <c r="C781" t="s">
        <v>44</v>
      </c>
      <c r="D781" t="s">
        <v>163</v>
      </c>
      <c r="E781" t="s">
        <v>134</v>
      </c>
      <c r="F781" t="s">
        <v>163</v>
      </c>
      <c r="G781" t="s">
        <v>31</v>
      </c>
      <c r="H781" t="s">
        <v>288</v>
      </c>
      <c r="I781" t="s">
        <v>135</v>
      </c>
      <c r="J781" t="s">
        <v>39</v>
      </c>
      <c r="K781" t="s">
        <v>33</v>
      </c>
      <c r="L781">
        <v>47.918798887095448</v>
      </c>
      <c r="M781">
        <v>1</v>
      </c>
      <c r="N781" s="2">
        <v>1.7886448088486833</v>
      </c>
      <c r="O781" s="2">
        <v>6.0587378786000636</v>
      </c>
      <c r="P781" s="1">
        <v>-0.92006591684998851</v>
      </c>
      <c r="Q781" s="1">
        <v>1.8347649468629108</v>
      </c>
      <c r="R781" s="1">
        <v>-2.2131763370737381</v>
      </c>
      <c r="S781" s="19">
        <v>0.82595206274896116</v>
      </c>
      <c r="T781" s="19">
        <v>1.6460709256823027</v>
      </c>
      <c r="U781" s="19">
        <v>2.9139054494027854</v>
      </c>
      <c r="V781" s="19">
        <v>4.7256469969699726</v>
      </c>
      <c r="W781" s="19">
        <v>7.1513534832141605</v>
      </c>
      <c r="X781" s="19">
        <v>10.211539473653056</v>
      </c>
      <c r="Y781" s="19">
        <v>13.848826500979902</v>
      </c>
      <c r="Z781" s="19">
        <v>17.899221745426825</v>
      </c>
      <c r="AA781" s="19">
        <v>22.071837646314897</v>
      </c>
      <c r="AB781" s="19">
        <v>25.949855962673212</v>
      </c>
      <c r="AC781" s="19">
        <v>29.026709812067047</v>
      </c>
      <c r="AD781" s="19">
        <v>30.786317283499994</v>
      </c>
      <c r="AE781" s="19">
        <v>30.822101552081001</v>
      </c>
      <c r="AF781" s="19">
        <v>28.967863668027015</v>
      </c>
      <c r="AG781" s="19">
        <v>25.392823321911631</v>
      </c>
      <c r="AH781" s="19">
        <v>20.936585564164471</v>
      </c>
      <c r="AI781" s="19">
        <v>15.962299146890334</v>
      </c>
      <c r="AJ781" s="19">
        <v>10.538059058965926</v>
      </c>
      <c r="AK781" s="19">
        <v>0</v>
      </c>
      <c r="AL781" s="19">
        <v>0</v>
      </c>
      <c r="AM781" s="19">
        <v>0</v>
      </c>
      <c r="AN781" s="19">
        <v>0</v>
      </c>
      <c r="AO781" s="19">
        <v>0</v>
      </c>
      <c r="AP781" s="19">
        <v>0</v>
      </c>
      <c r="AQ781" s="19">
        <v>0</v>
      </c>
      <c r="AR781" s="19">
        <v>299.67696965467348</v>
      </c>
    </row>
    <row r="782" spans="1:44" x14ac:dyDescent="0.25">
      <c r="A782" t="s">
        <v>250</v>
      </c>
      <c r="B782" t="s">
        <v>343</v>
      </c>
      <c r="C782" t="s">
        <v>44</v>
      </c>
      <c r="D782" t="s">
        <v>163</v>
      </c>
      <c r="E782" t="s">
        <v>134</v>
      </c>
      <c r="F782" t="s">
        <v>163</v>
      </c>
      <c r="G782" t="s">
        <v>31</v>
      </c>
      <c r="H782" t="s">
        <v>274</v>
      </c>
      <c r="I782" t="s">
        <v>135</v>
      </c>
      <c r="J782" t="s">
        <v>39</v>
      </c>
      <c r="K782" t="s">
        <v>33</v>
      </c>
      <c r="L782">
        <v>47.918798887095448</v>
      </c>
      <c r="M782">
        <v>1</v>
      </c>
      <c r="N782" s="2">
        <v>1.7886448088486833</v>
      </c>
      <c r="O782" s="2">
        <v>6.0587378786000636</v>
      </c>
      <c r="P782" s="1">
        <v>-0.92006591684998851</v>
      </c>
      <c r="Q782" s="1">
        <v>1.8347649468629108</v>
      </c>
      <c r="R782" s="1">
        <v>-2.2131763370737381</v>
      </c>
      <c r="S782" s="19">
        <v>7.1857057043407557E-2</v>
      </c>
      <c r="T782" s="19">
        <v>0.14297681108789845</v>
      </c>
      <c r="U782" s="19">
        <v>0.25269403840708887</v>
      </c>
      <c r="V782" s="19">
        <v>0.40915069716626218</v>
      </c>
      <c r="W782" s="19">
        <v>0.61817685667596933</v>
      </c>
      <c r="X782" s="19">
        <v>0.88128868713975739</v>
      </c>
      <c r="Y782" s="19">
        <v>1.1932801802242872</v>
      </c>
      <c r="Z782" s="19">
        <v>1.5398062543133664</v>
      </c>
      <c r="AA782" s="19">
        <v>1.8957143692259963</v>
      </c>
      <c r="AB782" s="19">
        <v>2.2252142821860086</v>
      </c>
      <c r="AC782" s="19">
        <v>2.4850617022552037</v>
      </c>
      <c r="AD782" s="19">
        <v>2.6314770347407097</v>
      </c>
      <c r="AE782" s="19">
        <v>2.6303077733859488</v>
      </c>
      <c r="AF782" s="19">
        <v>2.468102928902276</v>
      </c>
      <c r="AG782" s="19">
        <v>2.160032415131357</v>
      </c>
      <c r="AH782" s="19">
        <v>1.7781058551798954</v>
      </c>
      <c r="AI782" s="19">
        <v>1.3534732580705222</v>
      </c>
      <c r="AJ782" s="19">
        <v>0.34904927464955215</v>
      </c>
      <c r="AK782" s="19">
        <v>0</v>
      </c>
      <c r="AL782" s="19">
        <v>0</v>
      </c>
      <c r="AM782" s="19">
        <v>0</v>
      </c>
      <c r="AN782" s="19">
        <v>0</v>
      </c>
      <c r="AO782" s="19">
        <v>0</v>
      </c>
      <c r="AP782" s="19">
        <v>0</v>
      </c>
      <c r="AQ782" s="19">
        <v>0</v>
      </c>
      <c r="AR782" s="19">
        <v>25.085769475785508</v>
      </c>
    </row>
    <row r="783" spans="1:44" x14ac:dyDescent="0.25">
      <c r="A783" t="s">
        <v>250</v>
      </c>
      <c r="B783" t="s">
        <v>343</v>
      </c>
      <c r="C783" t="s">
        <v>44</v>
      </c>
      <c r="D783" t="s">
        <v>163</v>
      </c>
      <c r="E783" t="s">
        <v>134</v>
      </c>
      <c r="F783" t="s">
        <v>163</v>
      </c>
      <c r="G783" t="s">
        <v>31</v>
      </c>
      <c r="H783" t="s">
        <v>253</v>
      </c>
      <c r="I783" t="s">
        <v>256</v>
      </c>
      <c r="J783" t="s">
        <v>39</v>
      </c>
      <c r="K783" t="s">
        <v>31</v>
      </c>
      <c r="L783">
        <v>47.918798887095448</v>
      </c>
      <c r="M783">
        <v>0</v>
      </c>
      <c r="N783" s="2">
        <v>0.99130182829403091</v>
      </c>
      <c r="O783" s="2">
        <v>3.357870666382619</v>
      </c>
      <c r="P783" s="1">
        <v>0.54287103449888297</v>
      </c>
      <c r="Q783" s="1">
        <v>0.4672931329656026</v>
      </c>
      <c r="R783" s="1">
        <v>-0.75023938572486626</v>
      </c>
      <c r="S783" s="19">
        <v>1.4168256649555999</v>
      </c>
      <c r="T783" s="19">
        <v>2.8205297915228646</v>
      </c>
      <c r="U783" s="19">
        <v>4.9874456594066165</v>
      </c>
      <c r="V783" s="19">
        <v>8.0795016179946391</v>
      </c>
      <c r="W783" s="19">
        <v>12.213274398316235</v>
      </c>
      <c r="X783" s="19">
        <v>17.420301365900308</v>
      </c>
      <c r="Y783" s="19">
        <v>23.599238636406405</v>
      </c>
      <c r="Z783" s="19">
        <v>30.467704855691057</v>
      </c>
      <c r="AA783" s="19">
        <v>37.528798328229115</v>
      </c>
      <c r="AB783" s="19">
        <v>44.073921239580024</v>
      </c>
      <c r="AC783" s="19">
        <v>49.245338257854542</v>
      </c>
      <c r="AD783" s="19">
        <v>52.172978237921235</v>
      </c>
      <c r="AE783" s="19">
        <v>52.175991274964666</v>
      </c>
      <c r="AF783" s="19">
        <v>48.983013926769523</v>
      </c>
      <c r="AG783" s="19">
        <v>42.890449809775589</v>
      </c>
      <c r="AH783" s="19">
        <v>35.324501382835756</v>
      </c>
      <c r="AI783" s="19">
        <v>26.902101297244673</v>
      </c>
      <c r="AJ783" s="19">
        <v>10.318687243470873</v>
      </c>
      <c r="AK783" s="19">
        <v>0</v>
      </c>
      <c r="AL783" s="19">
        <v>0</v>
      </c>
      <c r="AM783" s="19">
        <v>0</v>
      </c>
      <c r="AN783" s="19">
        <v>0</v>
      </c>
      <c r="AO783" s="19">
        <v>0</v>
      </c>
      <c r="AP783" s="19">
        <v>0</v>
      </c>
      <c r="AQ783" s="19">
        <v>0</v>
      </c>
      <c r="AR783" s="19">
        <v>500.62060298883966</v>
      </c>
    </row>
    <row r="784" spans="1:44" x14ac:dyDescent="0.25">
      <c r="A784" t="s">
        <v>250</v>
      </c>
      <c r="B784" t="s">
        <v>343</v>
      </c>
      <c r="C784" t="s">
        <v>44</v>
      </c>
      <c r="D784" t="s">
        <v>163</v>
      </c>
      <c r="E784" t="s">
        <v>134</v>
      </c>
      <c r="F784" t="s">
        <v>163</v>
      </c>
      <c r="G784" t="s">
        <v>31</v>
      </c>
      <c r="H784" t="s">
        <v>272</v>
      </c>
      <c r="I784" t="s">
        <v>135</v>
      </c>
      <c r="J784" t="s">
        <v>40</v>
      </c>
      <c r="K784" t="s">
        <v>31</v>
      </c>
      <c r="L784">
        <v>47.918798887095448</v>
      </c>
      <c r="M784">
        <v>1</v>
      </c>
      <c r="N784" s="2">
        <v>1.7886448088486833</v>
      </c>
      <c r="O784" s="2">
        <v>4.8219496658113297</v>
      </c>
      <c r="P784" s="1">
        <v>-0.92006591684998851</v>
      </c>
      <c r="Q784" s="1">
        <v>0.4672931329656026</v>
      </c>
      <c r="R784" s="1">
        <v>-2.0701763370737374</v>
      </c>
      <c r="S784" s="19">
        <v>4.666054882381653</v>
      </c>
      <c r="T784" s="19">
        <v>9.2842328212946743</v>
      </c>
      <c r="U784" s="19">
        <v>16.408746756019674</v>
      </c>
      <c r="V784" s="19">
        <v>26.568296653023655</v>
      </c>
      <c r="W784" s="19">
        <v>40.141459432798754</v>
      </c>
      <c r="X784" s="19">
        <v>57.226687963746024</v>
      </c>
      <c r="Y784" s="19">
        <v>77.485928871555629</v>
      </c>
      <c r="Z784" s="19">
        <v>99.987680911012916</v>
      </c>
      <c r="AA784" s="19">
        <v>123.09865797571707</v>
      </c>
      <c r="AB784" s="19">
        <v>144.49481224185456</v>
      </c>
      <c r="AC784" s="19">
        <v>161.3680655168352</v>
      </c>
      <c r="AD784" s="19">
        <v>170.87557953298577</v>
      </c>
      <c r="AE784" s="19">
        <v>170.79965327218909</v>
      </c>
      <c r="AF784" s="19">
        <v>160.26684358459227</v>
      </c>
      <c r="AG784" s="19">
        <v>140.26221238977072</v>
      </c>
      <c r="AH784" s="19">
        <v>115.46172148327264</v>
      </c>
      <c r="AI784" s="19">
        <v>87.888104019873182</v>
      </c>
      <c r="AJ784" s="19">
        <v>22.66559666069293</v>
      </c>
      <c r="AK784" s="19">
        <v>0</v>
      </c>
      <c r="AL784" s="19">
        <v>0</v>
      </c>
      <c r="AM784" s="19">
        <v>0</v>
      </c>
      <c r="AN784" s="19">
        <v>0</v>
      </c>
      <c r="AO784" s="19">
        <v>0</v>
      </c>
      <c r="AP784" s="19">
        <v>0</v>
      </c>
      <c r="AQ784" s="19">
        <v>0</v>
      </c>
      <c r="AR784" s="19">
        <v>1628.9503349696165</v>
      </c>
    </row>
    <row r="785" spans="1:44" x14ac:dyDescent="0.25">
      <c r="A785" t="s">
        <v>250</v>
      </c>
      <c r="B785" t="s">
        <v>343</v>
      </c>
      <c r="C785" t="s">
        <v>44</v>
      </c>
      <c r="D785" t="s">
        <v>163</v>
      </c>
      <c r="E785" t="s">
        <v>134</v>
      </c>
      <c r="F785" t="s">
        <v>163</v>
      </c>
      <c r="G785" t="s">
        <v>31</v>
      </c>
      <c r="H785" t="s">
        <v>277</v>
      </c>
      <c r="I785" t="s">
        <v>135</v>
      </c>
      <c r="J785" t="s">
        <v>40</v>
      </c>
      <c r="K785" t="s">
        <v>31</v>
      </c>
      <c r="L785">
        <v>47.918798887095448</v>
      </c>
      <c r="M785">
        <v>1</v>
      </c>
      <c r="N785" s="2">
        <v>1.7886448088486833</v>
      </c>
      <c r="O785" s="2">
        <v>4.8219496658113297</v>
      </c>
      <c r="P785" s="1">
        <v>-0.92006591684998851</v>
      </c>
      <c r="Q785" s="1">
        <v>0.4672931329656026</v>
      </c>
      <c r="R785" s="1">
        <v>-2.0701763370737374</v>
      </c>
      <c r="S785" s="19">
        <v>17.750445843835713</v>
      </c>
      <c r="T785" s="19">
        <v>35.314502025237339</v>
      </c>
      <c r="U785" s="19">
        <v>62.406541751932323</v>
      </c>
      <c r="V785" s="19">
        <v>101.03365328735964</v>
      </c>
      <c r="W785" s="19">
        <v>152.63113861185815</v>
      </c>
      <c r="X785" s="19">
        <v>217.56861044878897</v>
      </c>
      <c r="Y785" s="19">
        <v>294.55616084215529</v>
      </c>
      <c r="Z785" s="19">
        <v>380.048833103052</v>
      </c>
      <c r="AA785" s="19">
        <v>467.83624672584983</v>
      </c>
      <c r="AB785" s="19">
        <v>549.0860929373398</v>
      </c>
      <c r="AC785" s="19">
        <v>613.13120875211121</v>
      </c>
      <c r="AD785" s="19">
        <v>649.1775178183733</v>
      </c>
      <c r="AE785" s="19">
        <v>648.81083800781335</v>
      </c>
      <c r="AF785" s="19">
        <v>608.72681818441265</v>
      </c>
      <c r="AG785" s="19">
        <v>532.68084175951822</v>
      </c>
      <c r="AH785" s="19">
        <v>438.44191051930915</v>
      </c>
      <c r="AI785" s="19">
        <v>333.69659065420899</v>
      </c>
      <c r="AJ785" s="19">
        <v>75.994592147527442</v>
      </c>
      <c r="AK785" s="19">
        <v>0</v>
      </c>
      <c r="AL785" s="19">
        <v>0</v>
      </c>
      <c r="AM785" s="19">
        <v>0</v>
      </c>
      <c r="AN785" s="19">
        <v>0</v>
      </c>
      <c r="AO785" s="19">
        <v>0</v>
      </c>
      <c r="AP785" s="19">
        <v>0</v>
      </c>
      <c r="AQ785" s="19">
        <v>0</v>
      </c>
      <c r="AR785" s="19">
        <v>6178.8925434206831</v>
      </c>
    </row>
    <row r="786" spans="1:44" x14ac:dyDescent="0.25">
      <c r="A786" t="s">
        <v>250</v>
      </c>
      <c r="B786" t="s">
        <v>343</v>
      </c>
      <c r="C786" t="s">
        <v>44</v>
      </c>
      <c r="D786" t="s">
        <v>163</v>
      </c>
      <c r="E786" t="s">
        <v>134</v>
      </c>
      <c r="F786" t="s">
        <v>163</v>
      </c>
      <c r="G786" t="s">
        <v>31</v>
      </c>
      <c r="H786" t="s">
        <v>253</v>
      </c>
      <c r="I786" t="s">
        <v>135</v>
      </c>
      <c r="J786" t="s">
        <v>40</v>
      </c>
      <c r="K786" t="s">
        <v>31</v>
      </c>
      <c r="L786">
        <v>47.918798887095448</v>
      </c>
      <c r="M786">
        <v>1</v>
      </c>
      <c r="N786" s="2">
        <v>1.7886448088486833</v>
      </c>
      <c r="O786" s="2">
        <v>4.8219496658113297</v>
      </c>
      <c r="P786" s="1">
        <v>-0.92006591684998851</v>
      </c>
      <c r="Q786" s="1">
        <v>0.4672931329656026</v>
      </c>
      <c r="R786" s="1">
        <v>-2.0701763370737374</v>
      </c>
      <c r="S786" s="19">
        <v>1.4207687416317918</v>
      </c>
      <c r="T786" s="19">
        <v>2.8283794271629743</v>
      </c>
      <c r="U786" s="19">
        <v>5.0013258996788004</v>
      </c>
      <c r="V786" s="19">
        <v>8.1019871609750904</v>
      </c>
      <c r="W786" s="19">
        <v>12.247264379307609</v>
      </c>
      <c r="X786" s="19">
        <v>17.468782689825407</v>
      </c>
      <c r="Y786" s="19">
        <v>23.664916164520648</v>
      </c>
      <c r="Z786" s="19">
        <v>30.552497571806441</v>
      </c>
      <c r="AA786" s="19">
        <v>37.633242320904934</v>
      </c>
      <c r="AB786" s="19">
        <v>44.196580544226059</v>
      </c>
      <c r="AC786" s="19">
        <v>49.38238980166733</v>
      </c>
      <c r="AD786" s="19">
        <v>52.318177508873084</v>
      </c>
      <c r="AE786" s="19">
        <v>52.321198931306746</v>
      </c>
      <c r="AF786" s="19">
        <v>49.119335412553937</v>
      </c>
      <c r="AG786" s="19">
        <v>43.009815470957079</v>
      </c>
      <c r="AH786" s="19">
        <v>35.422810737999178</v>
      </c>
      <c r="AI786" s="19">
        <v>26.976970810685518</v>
      </c>
      <c r="AJ786" s="19">
        <v>10.347404520412692</v>
      </c>
      <c r="AK786" s="19">
        <v>0</v>
      </c>
      <c r="AL786" s="19">
        <v>0</v>
      </c>
      <c r="AM786" s="19">
        <v>0</v>
      </c>
      <c r="AN786" s="19">
        <v>0</v>
      </c>
      <c r="AO786" s="19">
        <v>0</v>
      </c>
      <c r="AP786" s="19">
        <v>0</v>
      </c>
      <c r="AQ786" s="19">
        <v>0</v>
      </c>
      <c r="AR786" s="19">
        <v>502.01384809449536</v>
      </c>
    </row>
    <row r="787" spans="1:44" x14ac:dyDescent="0.25">
      <c r="A787" t="s">
        <v>250</v>
      </c>
      <c r="B787" t="s">
        <v>344</v>
      </c>
      <c r="C787" t="s">
        <v>45</v>
      </c>
      <c r="D787" t="s">
        <v>345</v>
      </c>
      <c r="E787" t="s">
        <v>145</v>
      </c>
      <c r="F787" t="s">
        <v>345</v>
      </c>
      <c r="G787" t="s">
        <v>31</v>
      </c>
      <c r="H787" t="s">
        <v>288</v>
      </c>
      <c r="I787" t="s">
        <v>135</v>
      </c>
      <c r="J787" t="s">
        <v>39</v>
      </c>
      <c r="K787" t="s">
        <v>31</v>
      </c>
      <c r="L787">
        <v>0.53714285714285792</v>
      </c>
      <c r="M787">
        <v>1</v>
      </c>
      <c r="N787" s="2">
        <v>1.8618160303353684</v>
      </c>
      <c r="O787" s="2">
        <v>3.1585068309872639</v>
      </c>
      <c r="P787" s="1">
        <v>-0.29647398136297803</v>
      </c>
      <c r="Q787" s="1">
        <v>0.91889826628938653</v>
      </c>
      <c r="R787" s="1">
        <v>-0.67371772101320526</v>
      </c>
      <c r="S787" s="19">
        <v>8.3928550501319754E-2</v>
      </c>
      <c r="T787" s="19">
        <v>0.12870253967020837</v>
      </c>
      <c r="U787" s="19">
        <v>0.28017720462852347</v>
      </c>
      <c r="V787" s="19">
        <v>0.52561796674524308</v>
      </c>
      <c r="W787" s="19">
        <v>0.89674025624275633</v>
      </c>
      <c r="X787" s="19">
        <v>1.4262334918695121</v>
      </c>
      <c r="Y787" s="19">
        <v>2.143698694292052</v>
      </c>
      <c r="Z787" s="19">
        <v>3.0701014495444983</v>
      </c>
      <c r="AA787" s="19">
        <v>4.2111845831170065</v>
      </c>
      <c r="AB787" s="19">
        <v>5.5509508388980384</v>
      </c>
      <c r="AC787" s="19">
        <v>7.0470507691944517</v>
      </c>
      <c r="AD787" s="19">
        <v>8.6303659071351255</v>
      </c>
      <c r="AE787" s="19">
        <v>10.210796028626628</v>
      </c>
      <c r="AF787" s="19">
        <v>11.689849604250664</v>
      </c>
      <c r="AG787" s="19">
        <v>12.978149613765677</v>
      </c>
      <c r="AH787" s="19">
        <v>14.013231919946415</v>
      </c>
      <c r="AI787" s="19">
        <v>14.771558865566425</v>
      </c>
      <c r="AJ787" s="19">
        <v>15.31188443475388</v>
      </c>
      <c r="AK787" s="19">
        <v>15.583989381063152</v>
      </c>
      <c r="AL787" s="19">
        <v>15.790906595171714</v>
      </c>
      <c r="AM787" s="19">
        <v>19.595226081821888</v>
      </c>
      <c r="AN787" s="19">
        <v>20.536959088101799</v>
      </c>
      <c r="AO787" s="19">
        <v>20.484871150838323</v>
      </c>
      <c r="AP787" s="19">
        <v>20.404762987666871</v>
      </c>
      <c r="AQ787" s="19">
        <v>20.286240120192236</v>
      </c>
      <c r="AR787" s="19">
        <v>245.65317812360445</v>
      </c>
    </row>
    <row r="788" spans="1:44" x14ac:dyDescent="0.25">
      <c r="A788" t="s">
        <v>250</v>
      </c>
      <c r="B788" t="s">
        <v>344</v>
      </c>
      <c r="C788" t="s">
        <v>45</v>
      </c>
      <c r="D788" t="s">
        <v>345</v>
      </c>
      <c r="E788" t="s">
        <v>148</v>
      </c>
      <c r="F788" t="s">
        <v>345</v>
      </c>
      <c r="G788" t="s">
        <v>31</v>
      </c>
      <c r="H788" t="s">
        <v>288</v>
      </c>
      <c r="I788" t="s">
        <v>135</v>
      </c>
      <c r="J788" t="s">
        <v>39</v>
      </c>
      <c r="K788" t="s">
        <v>31</v>
      </c>
      <c r="L788">
        <v>0.53714285714285792</v>
      </c>
      <c r="M788">
        <v>1</v>
      </c>
      <c r="N788" s="2">
        <v>1.8618160303353684</v>
      </c>
      <c r="O788" s="2">
        <v>3.1585068309872639</v>
      </c>
      <c r="P788" s="1">
        <v>-0.29647398136297803</v>
      </c>
      <c r="Q788" s="1">
        <v>0.91889826628938653</v>
      </c>
      <c r="R788" s="1">
        <v>-0.67371772101320526</v>
      </c>
      <c r="S788" s="19">
        <v>1.9037513380700678E-2</v>
      </c>
      <c r="T788" s="19">
        <v>3.7026830359469173E-2</v>
      </c>
      <c r="U788" s="19">
        <v>8.1513844761551837E-2</v>
      </c>
      <c r="V788" s="19">
        <v>0.15465081806705216</v>
      </c>
      <c r="W788" s="19">
        <v>0.266837145777512</v>
      </c>
      <c r="X788" s="19">
        <v>0.42922192053149194</v>
      </c>
      <c r="Y788" s="19">
        <v>0.65250008533132664</v>
      </c>
      <c r="Z788" s="19">
        <v>0.94516782332575877</v>
      </c>
      <c r="AA788" s="19">
        <v>1.3113346571059239</v>
      </c>
      <c r="AB788" s="19">
        <v>1.7484099619551914</v>
      </c>
      <c r="AC788" s="19">
        <v>2.2452431139019855</v>
      </c>
      <c r="AD788" s="19">
        <v>2.7814970130642975</v>
      </c>
      <c r="AE788" s="19">
        <v>3.3290140073392993</v>
      </c>
      <c r="AF788" s="19">
        <v>3.855535252971054</v>
      </c>
      <c r="AG788" s="19">
        <v>4.3303325262919445</v>
      </c>
      <c r="AH788" s="19">
        <v>4.7303400591605378</v>
      </c>
      <c r="AI788" s="19">
        <v>5.0447391550320972</v>
      </c>
      <c r="AJ788" s="19">
        <v>5.2906861018418638</v>
      </c>
      <c r="AK788" s="19">
        <v>5.4481051619396128</v>
      </c>
      <c r="AL788" s="19">
        <v>5.5855994894887138</v>
      </c>
      <c r="AM788" s="19">
        <v>5.6573596520498102</v>
      </c>
      <c r="AN788" s="19">
        <v>5.7072815547425932</v>
      </c>
      <c r="AO788" s="19">
        <v>5.7578038617772611</v>
      </c>
      <c r="AP788" s="19">
        <v>5.8089331845824894</v>
      </c>
      <c r="AQ788" s="19">
        <v>5.8606762090948212</v>
      </c>
      <c r="AR788" s="19">
        <v>77.078846943874353</v>
      </c>
    </row>
    <row r="789" spans="1:44" x14ac:dyDescent="0.25">
      <c r="A789" t="s">
        <v>250</v>
      </c>
      <c r="B789" t="s">
        <v>344</v>
      </c>
      <c r="C789" t="s">
        <v>45</v>
      </c>
      <c r="D789" t="s">
        <v>345</v>
      </c>
      <c r="E789" t="s">
        <v>145</v>
      </c>
      <c r="F789" t="s">
        <v>345</v>
      </c>
      <c r="G789" t="s">
        <v>31</v>
      </c>
      <c r="H789" t="s">
        <v>289</v>
      </c>
      <c r="I789" t="s">
        <v>135</v>
      </c>
      <c r="J789" t="s">
        <v>39</v>
      </c>
      <c r="K789" t="s">
        <v>31</v>
      </c>
      <c r="L789">
        <v>0.53714285714285792</v>
      </c>
      <c r="M789">
        <v>1</v>
      </c>
      <c r="N789" s="2">
        <v>1.8618160303353684</v>
      </c>
      <c r="O789" s="2">
        <v>3.1585068309872639</v>
      </c>
      <c r="P789" s="1">
        <v>-0.29647398136297803</v>
      </c>
      <c r="Q789" s="1">
        <v>0.91889826628938653</v>
      </c>
      <c r="R789" s="1">
        <v>-0.67371772101320526</v>
      </c>
      <c r="S789" s="19">
        <v>7.9770449101055213E-2</v>
      </c>
      <c r="T789" s="19">
        <v>0.12232618493485664</v>
      </c>
      <c r="U789" s="19">
        <v>0.26629628782572751</v>
      </c>
      <c r="V789" s="19">
        <v>0.49957709280576978</v>
      </c>
      <c r="W789" s="19">
        <v>0.85231274149498337</v>
      </c>
      <c r="X789" s="19">
        <v>1.3555731093867529</v>
      </c>
      <c r="Y789" s="19">
        <v>2.0374926834740656</v>
      </c>
      <c r="Z789" s="19">
        <v>2.9179983444622244</v>
      </c>
      <c r="AA789" s="19">
        <v>4.0025483990385506</v>
      </c>
      <c r="AB789" s="19">
        <v>5.2759381487210693</v>
      </c>
      <c r="AC789" s="19">
        <v>6.6979162792491964</v>
      </c>
      <c r="AD789" s="19">
        <v>8.2027886840221207</v>
      </c>
      <c r="AE789" s="19">
        <v>9.7049190057203347</v>
      </c>
      <c r="AF789" s="19">
        <v>11.110695315060925</v>
      </c>
      <c r="AG789" s="19">
        <v>12.335168628636028</v>
      </c>
      <c r="AH789" s="19">
        <v>13.3189694917201</v>
      </c>
      <c r="AI789" s="19">
        <v>14.039726381434148</v>
      </c>
      <c r="AJ789" s="19">
        <v>14.553282412813347</v>
      </c>
      <c r="AK789" s="19">
        <v>14.811906369024388</v>
      </c>
      <c r="AL789" s="19">
        <v>15.00857221154862</v>
      </c>
      <c r="AM789" s="19">
        <v>18.624412973259471</v>
      </c>
      <c r="AN789" s="19">
        <v>19.519489373310609</v>
      </c>
      <c r="AO789" s="19">
        <v>19.469982046859393</v>
      </c>
      <c r="AP789" s="19">
        <v>19.393842710308441</v>
      </c>
      <c r="AQ789" s="19">
        <v>19.281191862525137</v>
      </c>
      <c r="AR789" s="19">
        <v>233.48269718673731</v>
      </c>
    </row>
    <row r="790" spans="1:44" x14ac:dyDescent="0.25">
      <c r="A790" t="s">
        <v>250</v>
      </c>
      <c r="B790" t="s">
        <v>344</v>
      </c>
      <c r="C790" t="s">
        <v>45</v>
      </c>
      <c r="D790" t="s">
        <v>345</v>
      </c>
      <c r="E790" t="s">
        <v>148</v>
      </c>
      <c r="F790" t="s">
        <v>345</v>
      </c>
      <c r="G790" t="s">
        <v>31</v>
      </c>
      <c r="H790" t="s">
        <v>289</v>
      </c>
      <c r="I790" t="s">
        <v>135</v>
      </c>
      <c r="J790" t="s">
        <v>39</v>
      </c>
      <c r="K790" t="s">
        <v>31</v>
      </c>
      <c r="L790">
        <v>0.53714285714285792</v>
      </c>
      <c r="M790">
        <v>1</v>
      </c>
      <c r="N790" s="2">
        <v>1.8618160303353684</v>
      </c>
      <c r="O790" s="2">
        <v>3.1585068309872639</v>
      </c>
      <c r="P790" s="1">
        <v>-0.29647398136297803</v>
      </c>
      <c r="Q790" s="1">
        <v>0.91889826628938653</v>
      </c>
      <c r="R790" s="1">
        <v>-0.67371772101320526</v>
      </c>
      <c r="S790" s="19">
        <v>1.8094331226677866E-2</v>
      </c>
      <c r="T790" s="19">
        <v>3.5192397210731807E-2</v>
      </c>
      <c r="U790" s="19">
        <v>7.7475375968521151E-2</v>
      </c>
      <c r="V790" s="19">
        <v>0.14698889874024806</v>
      </c>
      <c r="W790" s="19">
        <v>0.25361714015519687</v>
      </c>
      <c r="X790" s="19">
        <v>0.40795682947338047</v>
      </c>
      <c r="Y790" s="19">
        <v>0.6201730464121139</v>
      </c>
      <c r="Z790" s="19">
        <v>0.89834104476017629</v>
      </c>
      <c r="AA790" s="19">
        <v>1.246366747600067</v>
      </c>
      <c r="AB790" s="19">
        <v>1.6617878784375226</v>
      </c>
      <c r="AC790" s="19">
        <v>2.1340062525468873</v>
      </c>
      <c r="AD790" s="19">
        <v>2.6436923380666943</v>
      </c>
      <c r="AE790" s="19">
        <v>3.1640835072563833</v>
      </c>
      <c r="AF790" s="19">
        <v>3.6645191274882514</v>
      </c>
      <c r="AG790" s="19">
        <v>4.115793354179071</v>
      </c>
      <c r="AH790" s="19">
        <v>4.4959831745696226</v>
      </c>
      <c r="AI790" s="19">
        <v>4.7948058865648013</v>
      </c>
      <c r="AJ790" s="19">
        <v>5.0285677981535999</v>
      </c>
      <c r="AK790" s="19">
        <v>5.1781877909456693</v>
      </c>
      <c r="AL790" s="19">
        <v>5.3088701891513219</v>
      </c>
      <c r="AM790" s="19">
        <v>5.377075112992773</v>
      </c>
      <c r="AN790" s="19">
        <v>5.4245237174782543</v>
      </c>
      <c r="AO790" s="19">
        <v>5.4725429802643957</v>
      </c>
      <c r="AP790" s="19">
        <v>5.5211391852273373</v>
      </c>
      <c r="AQ790" s="19">
        <v>5.570318687059995</v>
      </c>
      <c r="AR790" s="19">
        <v>73.260102791929697</v>
      </c>
    </row>
    <row r="791" spans="1:44" x14ac:dyDescent="0.25">
      <c r="A791" t="s">
        <v>250</v>
      </c>
      <c r="B791" t="s">
        <v>344</v>
      </c>
      <c r="C791" t="s">
        <v>45</v>
      </c>
      <c r="D791" t="s">
        <v>345</v>
      </c>
      <c r="E791" t="s">
        <v>145</v>
      </c>
      <c r="F791" t="s">
        <v>345</v>
      </c>
      <c r="G791" t="s">
        <v>31</v>
      </c>
      <c r="H791" t="s">
        <v>290</v>
      </c>
      <c r="I791" t="s">
        <v>135</v>
      </c>
      <c r="J791" t="s">
        <v>39</v>
      </c>
      <c r="K791" t="s">
        <v>31</v>
      </c>
      <c r="L791">
        <v>0.53714285714285792</v>
      </c>
      <c r="M791">
        <v>1</v>
      </c>
      <c r="N791" s="2">
        <v>1.8618160303353684</v>
      </c>
      <c r="O791" s="2">
        <v>3.1585068309872639</v>
      </c>
      <c r="P791" s="1">
        <v>-0.29647398136297803</v>
      </c>
      <c r="Q791" s="1">
        <v>0.91889826628938653</v>
      </c>
      <c r="R791" s="1">
        <v>-0.67371772101320526</v>
      </c>
      <c r="S791" s="19">
        <v>0.11551304343920632</v>
      </c>
      <c r="T791" s="19">
        <v>0.17713664738469631</v>
      </c>
      <c r="U791" s="19">
        <v>0.38561516213033026</v>
      </c>
      <c r="V791" s="19">
        <v>0.72342165642567391</v>
      </c>
      <c r="W791" s="19">
        <v>1.23420690044475</v>
      </c>
      <c r="X791" s="19">
        <v>1.9629621900616907</v>
      </c>
      <c r="Y791" s="19">
        <v>2.9504281786736426</v>
      </c>
      <c r="Z791" s="19">
        <v>4.2254603467556295</v>
      </c>
      <c r="AA791" s="19">
        <v>5.7959626941544933</v>
      </c>
      <c r="AB791" s="19">
        <v>7.6399177818809729</v>
      </c>
      <c r="AC791" s="19">
        <v>9.6990389653810443</v>
      </c>
      <c r="AD791" s="19">
        <v>11.878196703891232</v>
      </c>
      <c r="AE791" s="19">
        <v>14.053383719346796</v>
      </c>
      <c r="AF791" s="19">
        <v>16.089043562266237</v>
      </c>
      <c r="AG791" s="19">
        <v>17.86216431882568</v>
      </c>
      <c r="AH791" s="19">
        <v>19.286774974947154</v>
      </c>
      <c r="AI791" s="19">
        <v>20.330480041784305</v>
      </c>
      <c r="AJ791" s="19">
        <v>21.074144153365538</v>
      </c>
      <c r="AK791" s="19">
        <v>21.448649256757633</v>
      </c>
      <c r="AL791" s="19">
        <v>21.733434791583075</v>
      </c>
      <c r="AM791" s="19">
        <v>26.969418488348214</v>
      </c>
      <c r="AN791" s="19">
        <v>28.265550079002026</v>
      </c>
      <c r="AO791" s="19">
        <v>28.193860098371687</v>
      </c>
      <c r="AP791" s="19">
        <v>28.083605153219093</v>
      </c>
      <c r="AQ791" s="19">
        <v>27.920479053014137</v>
      </c>
      <c r="AR791" s="19">
        <v>338.09884796145491</v>
      </c>
    </row>
    <row r="792" spans="1:44" x14ac:dyDescent="0.25">
      <c r="A792" t="s">
        <v>250</v>
      </c>
      <c r="B792" t="s">
        <v>344</v>
      </c>
      <c r="C792" t="s">
        <v>45</v>
      </c>
      <c r="D792" t="s">
        <v>345</v>
      </c>
      <c r="E792" t="s">
        <v>148</v>
      </c>
      <c r="F792" t="s">
        <v>345</v>
      </c>
      <c r="G792" t="s">
        <v>31</v>
      </c>
      <c r="H792" t="s">
        <v>290</v>
      </c>
      <c r="I792" t="s">
        <v>135</v>
      </c>
      <c r="J792" t="s">
        <v>39</v>
      </c>
      <c r="K792" t="s">
        <v>31</v>
      </c>
      <c r="L792">
        <v>0.53714285714285792</v>
      </c>
      <c r="M792">
        <v>1</v>
      </c>
      <c r="N792" s="2">
        <v>1.8618160303353684</v>
      </c>
      <c r="O792" s="2">
        <v>3.1585068309872639</v>
      </c>
      <c r="P792" s="1">
        <v>-0.29647398136297803</v>
      </c>
      <c r="Q792" s="1">
        <v>0.91889826628938653</v>
      </c>
      <c r="R792" s="1">
        <v>-0.67371772101320526</v>
      </c>
      <c r="S792" s="19">
        <v>2.6201824015592508E-2</v>
      </c>
      <c r="T792" s="19">
        <v>5.0960988104545135E-2</v>
      </c>
      <c r="U792" s="19">
        <v>0.112189621226567</v>
      </c>
      <c r="V792" s="19">
        <v>0.2128499367447943</v>
      </c>
      <c r="W792" s="19">
        <v>0.3672548927305373</v>
      </c>
      <c r="X792" s="19">
        <v>0.59074927489227869</v>
      </c>
      <c r="Y792" s="19">
        <v>0.89805281100114787</v>
      </c>
      <c r="Z792" s="19">
        <v>1.3008590185464026</v>
      </c>
      <c r="AA792" s="19">
        <v>1.8048239401826711</v>
      </c>
      <c r="AB792" s="19">
        <v>2.4063820318414297</v>
      </c>
      <c r="AC792" s="19">
        <v>3.0901864002007575</v>
      </c>
      <c r="AD792" s="19">
        <v>3.8282465665967438</v>
      </c>
      <c r="AE792" s="19">
        <v>4.581808423266712</v>
      </c>
      <c r="AF792" s="19">
        <v>5.3064732858794557</v>
      </c>
      <c r="AG792" s="19">
        <v>5.9599491022771636</v>
      </c>
      <c r="AH792" s="19">
        <v>6.5104898568150462</v>
      </c>
      <c r="AI792" s="19">
        <v>6.9432054965076677</v>
      </c>
      <c r="AJ792" s="19">
        <v>7.2817086659403119</v>
      </c>
      <c r="AK792" s="19">
        <v>7.4983686060752124</v>
      </c>
      <c r="AL792" s="19">
        <v>7.687605619415196</v>
      </c>
      <c r="AM792" s="19">
        <v>7.7863709945540496</v>
      </c>
      <c r="AN792" s="19">
        <v>7.8550798055590416</v>
      </c>
      <c r="AO792" s="19">
        <v>7.9246149686506495</v>
      </c>
      <c r="AP792" s="19">
        <v>7.9949855833096652</v>
      </c>
      <c r="AQ792" s="19">
        <v>8.0662008515642274</v>
      </c>
      <c r="AR792" s="19">
        <v>106.08561856589787</v>
      </c>
    </row>
    <row r="793" spans="1:44" x14ac:dyDescent="0.25">
      <c r="A793" t="s">
        <v>250</v>
      </c>
      <c r="B793" t="s">
        <v>344</v>
      </c>
      <c r="C793" t="s">
        <v>45</v>
      </c>
      <c r="D793" t="s">
        <v>345</v>
      </c>
      <c r="E793" t="s">
        <v>145</v>
      </c>
      <c r="F793" t="s">
        <v>345</v>
      </c>
      <c r="G793" t="s">
        <v>31</v>
      </c>
      <c r="H793" t="s">
        <v>288</v>
      </c>
      <c r="I793" t="s">
        <v>135</v>
      </c>
      <c r="J793" t="s">
        <v>39</v>
      </c>
      <c r="K793" t="s">
        <v>33</v>
      </c>
      <c r="L793">
        <v>0.53714285714285792</v>
      </c>
      <c r="M793">
        <v>1</v>
      </c>
      <c r="N793" s="2">
        <v>1.8618160303353684</v>
      </c>
      <c r="O793" s="2">
        <v>3.1585068309872639</v>
      </c>
      <c r="P793" s="1">
        <v>-0.29647398136297803</v>
      </c>
      <c r="Q793" s="1">
        <v>0.91889826628938653</v>
      </c>
      <c r="R793" s="1">
        <v>-0.67371772101320526</v>
      </c>
      <c r="S793" s="19">
        <v>7.8952538999729684E-4</v>
      </c>
      <c r="T793" s="19">
        <v>1.2107193823771086E-3</v>
      </c>
      <c r="U793" s="19">
        <v>2.6356587291378156E-3</v>
      </c>
      <c r="V793" s="19">
        <v>4.9445478053096927E-3</v>
      </c>
      <c r="W793" s="19">
        <v>8.4357372587437352E-3</v>
      </c>
      <c r="X793" s="19">
        <v>1.3416740157781904E-2</v>
      </c>
      <c r="Y793" s="19">
        <v>2.0166016659861348E-2</v>
      </c>
      <c r="Z793" s="19">
        <v>2.8880792409786357E-2</v>
      </c>
      <c r="AA793" s="19">
        <v>3.9615090818037858E-2</v>
      </c>
      <c r="AB793" s="19">
        <v>5.2218423882679603E-2</v>
      </c>
      <c r="AC793" s="19">
        <v>6.6292405547877423E-2</v>
      </c>
      <c r="AD793" s="19">
        <v>8.1186830559442244E-2</v>
      </c>
      <c r="AE793" s="19">
        <v>9.6054115894179753E-2</v>
      </c>
      <c r="AF793" s="19">
        <v>0.10996774056833759</v>
      </c>
      <c r="AG793" s="19">
        <v>0.12208692481934964</v>
      </c>
      <c r="AH793" s="19">
        <v>0.1318240614264426</v>
      </c>
      <c r="AI793" s="19">
        <v>0.13895772897949635</v>
      </c>
      <c r="AJ793" s="19">
        <v>0.14404063286845994</v>
      </c>
      <c r="AK793" s="19">
        <v>0.14660035494839321</v>
      </c>
      <c r="AL793" s="19">
        <v>0.14854684864083045</v>
      </c>
      <c r="AM793" s="19">
        <v>0.18433451336791945</v>
      </c>
      <c r="AN793" s="19">
        <v>0.19319350252733236</v>
      </c>
      <c r="AO793" s="19">
        <v>0.19270350539600603</v>
      </c>
      <c r="AP793" s="19">
        <v>0.191949918822758</v>
      </c>
      <c r="AQ793" s="19">
        <v>0.19083496077084949</v>
      </c>
      <c r="AR793" s="19">
        <v>2.3108872976313872</v>
      </c>
    </row>
    <row r="794" spans="1:44" x14ac:dyDescent="0.25">
      <c r="A794" t="s">
        <v>250</v>
      </c>
      <c r="B794" t="s">
        <v>344</v>
      </c>
      <c r="C794" t="s">
        <v>45</v>
      </c>
      <c r="D794" t="s">
        <v>345</v>
      </c>
      <c r="E794" t="s">
        <v>148</v>
      </c>
      <c r="F794" t="s">
        <v>345</v>
      </c>
      <c r="G794" t="s">
        <v>31</v>
      </c>
      <c r="H794" t="s">
        <v>288</v>
      </c>
      <c r="I794" t="s">
        <v>135</v>
      </c>
      <c r="J794" t="s">
        <v>39</v>
      </c>
      <c r="K794" t="s">
        <v>33</v>
      </c>
      <c r="L794">
        <v>0.53714285714285792</v>
      </c>
      <c r="M794">
        <v>1</v>
      </c>
      <c r="N794" s="2">
        <v>1.8618160303353684</v>
      </c>
      <c r="O794" s="2">
        <v>3.1585068309872639</v>
      </c>
      <c r="P794" s="1">
        <v>-0.29647398136297803</v>
      </c>
      <c r="Q794" s="1">
        <v>0.91889826628938653</v>
      </c>
      <c r="R794" s="1">
        <v>-0.67371772101320526</v>
      </c>
      <c r="S794" s="19">
        <v>1.7908804675758225E-4</v>
      </c>
      <c r="T794" s="19">
        <v>3.4831559112251804E-4</v>
      </c>
      <c r="U794" s="19">
        <v>7.6680997933512235E-4</v>
      </c>
      <c r="V794" s="19">
        <v>1.4548177791521555E-3</v>
      </c>
      <c r="W794" s="19">
        <v>2.5101672830921164E-3</v>
      </c>
      <c r="X794" s="19">
        <v>4.0377392696385184E-3</v>
      </c>
      <c r="Y794" s="19">
        <v>6.1381422801574017E-3</v>
      </c>
      <c r="Z794" s="19">
        <v>8.8913008727874079E-3</v>
      </c>
      <c r="AA794" s="19">
        <v>1.2335873792461705E-2</v>
      </c>
      <c r="AB794" s="19">
        <v>1.6447490738758098E-2</v>
      </c>
      <c r="AC794" s="19">
        <v>2.1121256527769069E-2</v>
      </c>
      <c r="AD794" s="19">
        <v>2.616585775517892E-2</v>
      </c>
      <c r="AE794" s="19">
        <v>3.1316412195272113E-2</v>
      </c>
      <c r="AF794" s="19">
        <v>3.6269457247476454E-2</v>
      </c>
      <c r="AG794" s="19">
        <v>4.0735929027927817E-2</v>
      </c>
      <c r="AH794" s="19">
        <v>4.4498845240629414E-2</v>
      </c>
      <c r="AI794" s="19">
        <v>4.7456433180609575E-2</v>
      </c>
      <c r="AJ794" s="19">
        <v>4.9770083993579219E-2</v>
      </c>
      <c r="AK794" s="19">
        <v>5.1250942939363366E-2</v>
      </c>
      <c r="AL794" s="19">
        <v>5.2544367667090683E-2</v>
      </c>
      <c r="AM794" s="19">
        <v>5.3219423652137651E-2</v>
      </c>
      <c r="AN794" s="19">
        <v>5.3689044650683714E-2</v>
      </c>
      <c r="AO794" s="19">
        <v>5.4164313720944997E-2</v>
      </c>
      <c r="AP794" s="19">
        <v>5.4645293057380237E-2</v>
      </c>
      <c r="AQ794" s="19">
        <v>5.5132045555352331E-2</v>
      </c>
      <c r="AR794" s="19">
        <v>0.72508945204465824</v>
      </c>
    </row>
    <row r="795" spans="1:44" x14ac:dyDescent="0.25">
      <c r="A795" t="s">
        <v>250</v>
      </c>
      <c r="B795" t="s">
        <v>346</v>
      </c>
      <c r="C795" t="s">
        <v>45</v>
      </c>
      <c r="D795" t="s">
        <v>345</v>
      </c>
      <c r="E795" t="s">
        <v>145</v>
      </c>
      <c r="F795" t="s">
        <v>345</v>
      </c>
      <c r="G795" t="s">
        <v>31</v>
      </c>
      <c r="H795" t="s">
        <v>278</v>
      </c>
      <c r="I795" t="s">
        <v>135</v>
      </c>
      <c r="J795" t="s">
        <v>39</v>
      </c>
      <c r="K795" t="s">
        <v>31</v>
      </c>
      <c r="L795">
        <v>1.0514285714285732</v>
      </c>
      <c r="M795">
        <v>1</v>
      </c>
      <c r="N795" s="2">
        <v>2.7977716919256275</v>
      </c>
      <c r="O795" s="2">
        <v>3.1588853240212433</v>
      </c>
      <c r="P795" s="1">
        <v>-0.60380535681987313</v>
      </c>
      <c r="Q795" s="1">
        <v>0.61156689083249149</v>
      </c>
      <c r="R795" s="1">
        <v>-0.67371772101320493</v>
      </c>
      <c r="S795" s="19">
        <v>0</v>
      </c>
      <c r="T795" s="19">
        <v>0</v>
      </c>
      <c r="U795" s="19">
        <v>0</v>
      </c>
      <c r="V795" s="19">
        <v>0</v>
      </c>
      <c r="W795" s="19">
        <v>0</v>
      </c>
      <c r="X795" s="19">
        <v>0</v>
      </c>
      <c r="Y795" s="19">
        <v>0</v>
      </c>
      <c r="Z795" s="19">
        <v>0</v>
      </c>
      <c r="AA795" s="19">
        <v>0</v>
      </c>
      <c r="AB795" s="19">
        <v>0</v>
      </c>
      <c r="AC795" s="19">
        <v>0</v>
      </c>
      <c r="AD795" s="19">
        <v>0</v>
      </c>
      <c r="AE795" s="19">
        <v>0</v>
      </c>
      <c r="AF795" s="19">
        <v>0</v>
      </c>
      <c r="AG795" s="19">
        <v>0</v>
      </c>
      <c r="AH795" s="19">
        <v>0</v>
      </c>
      <c r="AI795" s="19">
        <v>0</v>
      </c>
      <c r="AJ795" s="19">
        <v>0</v>
      </c>
      <c r="AK795" s="19">
        <v>0</v>
      </c>
      <c r="AL795" s="19">
        <v>0</v>
      </c>
      <c r="AM795" s="19">
        <v>0</v>
      </c>
      <c r="AN795" s="19">
        <v>0</v>
      </c>
      <c r="AO795" s="19">
        <v>0</v>
      </c>
      <c r="AP795" s="19">
        <v>0</v>
      </c>
      <c r="AQ795" s="19">
        <v>0</v>
      </c>
      <c r="AR795" s="19">
        <v>0</v>
      </c>
    </row>
    <row r="796" spans="1:44" x14ac:dyDescent="0.25">
      <c r="A796" t="s">
        <v>250</v>
      </c>
      <c r="B796" t="s">
        <v>346</v>
      </c>
      <c r="C796" t="s">
        <v>45</v>
      </c>
      <c r="D796" t="s">
        <v>345</v>
      </c>
      <c r="E796" t="s">
        <v>148</v>
      </c>
      <c r="F796" t="s">
        <v>345</v>
      </c>
      <c r="G796" t="s">
        <v>31</v>
      </c>
      <c r="H796" t="s">
        <v>278</v>
      </c>
      <c r="I796" t="s">
        <v>135</v>
      </c>
      <c r="J796" t="s">
        <v>39</v>
      </c>
      <c r="K796" t="s">
        <v>31</v>
      </c>
      <c r="L796">
        <v>1.0514285714285732</v>
      </c>
      <c r="M796">
        <v>1</v>
      </c>
      <c r="N796" s="2">
        <v>2.7977716919256275</v>
      </c>
      <c r="O796" s="2">
        <v>3.1588853240212433</v>
      </c>
      <c r="P796" s="1">
        <v>-0.60380535681987313</v>
      </c>
      <c r="Q796" s="1">
        <v>0.61156689083249149</v>
      </c>
      <c r="R796" s="1">
        <v>-0.67371772101320493</v>
      </c>
      <c r="S796" s="19">
        <v>0</v>
      </c>
      <c r="T796" s="19">
        <v>0</v>
      </c>
      <c r="U796" s="19">
        <v>0</v>
      </c>
      <c r="V796" s="19">
        <v>0</v>
      </c>
      <c r="W796" s="19">
        <v>0</v>
      </c>
      <c r="X796" s="19">
        <v>0</v>
      </c>
      <c r="Y796" s="19">
        <v>0</v>
      </c>
      <c r="Z796" s="19">
        <v>0</v>
      </c>
      <c r="AA796" s="19">
        <v>0</v>
      </c>
      <c r="AB796" s="19">
        <v>0</v>
      </c>
      <c r="AC796" s="19">
        <v>0</v>
      </c>
      <c r="AD796" s="19">
        <v>0</v>
      </c>
      <c r="AE796" s="19">
        <v>0</v>
      </c>
      <c r="AF796" s="19">
        <v>0</v>
      </c>
      <c r="AG796" s="19">
        <v>0</v>
      </c>
      <c r="AH796" s="19">
        <v>0</v>
      </c>
      <c r="AI796" s="19">
        <v>0</v>
      </c>
      <c r="AJ796" s="19">
        <v>0</v>
      </c>
      <c r="AK796" s="19">
        <v>0</v>
      </c>
      <c r="AL796" s="19">
        <v>0</v>
      </c>
      <c r="AM796" s="19">
        <v>0</v>
      </c>
      <c r="AN796" s="19">
        <v>0</v>
      </c>
      <c r="AO796" s="19">
        <v>0</v>
      </c>
      <c r="AP796" s="19">
        <v>0</v>
      </c>
      <c r="AQ796" s="19">
        <v>0</v>
      </c>
      <c r="AR796" s="19">
        <v>0</v>
      </c>
    </row>
    <row r="797" spans="1:44" x14ac:dyDescent="0.25">
      <c r="A797" t="s">
        <v>250</v>
      </c>
      <c r="B797" t="s">
        <v>347</v>
      </c>
      <c r="C797" t="s">
        <v>45</v>
      </c>
      <c r="D797" t="s">
        <v>345</v>
      </c>
      <c r="E797" t="s">
        <v>145</v>
      </c>
      <c r="F797" t="s">
        <v>345</v>
      </c>
      <c r="G797" t="s">
        <v>31</v>
      </c>
      <c r="H797" t="s">
        <v>272</v>
      </c>
      <c r="I797" t="s">
        <v>135</v>
      </c>
      <c r="J797" t="s">
        <v>39</v>
      </c>
      <c r="K797" t="s">
        <v>31</v>
      </c>
      <c r="L797">
        <v>0.63428571428571534</v>
      </c>
      <c r="M797">
        <v>1</v>
      </c>
      <c r="N797" s="2">
        <v>2.0798461922427691</v>
      </c>
      <c r="O797" s="2">
        <v>3.1588853240212438</v>
      </c>
      <c r="P797" s="1">
        <v>-0.39270346508962162</v>
      </c>
      <c r="Q797" s="1">
        <v>0.82266878256274323</v>
      </c>
      <c r="R797" s="1">
        <v>-0.67371772101320504</v>
      </c>
      <c r="S797" s="19">
        <v>0</v>
      </c>
      <c r="T797" s="19">
        <v>0</v>
      </c>
      <c r="U797" s="19">
        <v>0</v>
      </c>
      <c r="V797" s="19">
        <v>0</v>
      </c>
      <c r="W797" s="19">
        <v>0</v>
      </c>
      <c r="X797" s="19">
        <v>0</v>
      </c>
      <c r="Y797" s="19">
        <v>0</v>
      </c>
      <c r="Z797" s="19">
        <v>0</v>
      </c>
      <c r="AA797" s="19">
        <v>0</v>
      </c>
      <c r="AB797" s="19">
        <v>0</v>
      </c>
      <c r="AC797" s="19">
        <v>0</v>
      </c>
      <c r="AD797" s="19">
        <v>0</v>
      </c>
      <c r="AE797" s="19">
        <v>0</v>
      </c>
      <c r="AF797" s="19">
        <v>0</v>
      </c>
      <c r="AG797" s="19">
        <v>0</v>
      </c>
      <c r="AH797" s="19">
        <v>0</v>
      </c>
      <c r="AI797" s="19">
        <v>0</v>
      </c>
      <c r="AJ797" s="19">
        <v>0</v>
      </c>
      <c r="AK797" s="19">
        <v>0</v>
      </c>
      <c r="AL797" s="19">
        <v>0</v>
      </c>
      <c r="AM797" s="19">
        <v>0</v>
      </c>
      <c r="AN797" s="19">
        <v>0</v>
      </c>
      <c r="AO797" s="19">
        <v>0</v>
      </c>
      <c r="AP797" s="19">
        <v>0</v>
      </c>
      <c r="AQ797" s="19">
        <v>0</v>
      </c>
      <c r="AR797" s="19">
        <v>0</v>
      </c>
    </row>
    <row r="798" spans="1:44" x14ac:dyDescent="0.25">
      <c r="A798" t="s">
        <v>250</v>
      </c>
      <c r="B798" t="s">
        <v>347</v>
      </c>
      <c r="C798" t="s">
        <v>45</v>
      </c>
      <c r="D798" t="s">
        <v>345</v>
      </c>
      <c r="E798" t="s">
        <v>148</v>
      </c>
      <c r="F798" t="s">
        <v>345</v>
      </c>
      <c r="G798" t="s">
        <v>31</v>
      </c>
      <c r="H798" t="s">
        <v>272</v>
      </c>
      <c r="I798" t="s">
        <v>135</v>
      </c>
      <c r="J798" t="s">
        <v>39</v>
      </c>
      <c r="K798" t="s">
        <v>31</v>
      </c>
      <c r="L798">
        <v>0.63428571428571534</v>
      </c>
      <c r="M798">
        <v>1</v>
      </c>
      <c r="N798" s="2">
        <v>2.0798461922427691</v>
      </c>
      <c r="O798" s="2">
        <v>3.1588853240212438</v>
      </c>
      <c r="P798" s="1">
        <v>-0.39270346508962162</v>
      </c>
      <c r="Q798" s="1">
        <v>0.82266878256274323</v>
      </c>
      <c r="R798" s="1">
        <v>-0.67371772101320504</v>
      </c>
      <c r="S798" s="19">
        <v>0</v>
      </c>
      <c r="T798" s="19">
        <v>0</v>
      </c>
      <c r="U798" s="19">
        <v>0</v>
      </c>
      <c r="V798" s="19">
        <v>0</v>
      </c>
      <c r="W798" s="19">
        <v>0</v>
      </c>
      <c r="X798" s="19">
        <v>0</v>
      </c>
      <c r="Y798" s="19">
        <v>0</v>
      </c>
      <c r="Z798" s="19">
        <v>0</v>
      </c>
      <c r="AA798" s="19">
        <v>0</v>
      </c>
      <c r="AB798" s="19">
        <v>0</v>
      </c>
      <c r="AC798" s="19">
        <v>0</v>
      </c>
      <c r="AD798" s="19">
        <v>0</v>
      </c>
      <c r="AE798" s="19">
        <v>0</v>
      </c>
      <c r="AF798" s="19">
        <v>0</v>
      </c>
      <c r="AG798" s="19">
        <v>0</v>
      </c>
      <c r="AH798" s="19">
        <v>0</v>
      </c>
      <c r="AI798" s="19">
        <v>0</v>
      </c>
      <c r="AJ798" s="19">
        <v>0</v>
      </c>
      <c r="AK798" s="19">
        <v>0</v>
      </c>
      <c r="AL798" s="19">
        <v>0</v>
      </c>
      <c r="AM798" s="19">
        <v>0</v>
      </c>
      <c r="AN798" s="19">
        <v>0</v>
      </c>
      <c r="AO798" s="19">
        <v>0</v>
      </c>
      <c r="AP798" s="19">
        <v>0</v>
      </c>
      <c r="AQ798" s="19">
        <v>0</v>
      </c>
      <c r="AR798" s="19">
        <v>0</v>
      </c>
    </row>
    <row r="799" spans="1:44" x14ac:dyDescent="0.25">
      <c r="A799" t="s">
        <v>250</v>
      </c>
      <c r="B799" t="s">
        <v>347</v>
      </c>
      <c r="C799" t="s">
        <v>45</v>
      </c>
      <c r="D799" t="s">
        <v>345</v>
      </c>
      <c r="E799" t="s">
        <v>145</v>
      </c>
      <c r="F799" t="s">
        <v>345</v>
      </c>
      <c r="G799" t="s">
        <v>31</v>
      </c>
      <c r="H799" t="s">
        <v>273</v>
      </c>
      <c r="I799" t="s">
        <v>135</v>
      </c>
      <c r="J799" t="s">
        <v>39</v>
      </c>
      <c r="K799" t="s">
        <v>31</v>
      </c>
      <c r="L799">
        <v>0.63428571428571534</v>
      </c>
      <c r="M799">
        <v>1</v>
      </c>
      <c r="N799" s="2">
        <v>2.0798461922427691</v>
      </c>
      <c r="O799" s="2">
        <v>3.1588853240212438</v>
      </c>
      <c r="P799" s="1">
        <v>-0.39270346508962162</v>
      </c>
      <c r="Q799" s="1">
        <v>0.82266878256274323</v>
      </c>
      <c r="R799" s="1">
        <v>-0.67371772101320504</v>
      </c>
      <c r="S799" s="19">
        <v>0</v>
      </c>
      <c r="T799" s="19">
        <v>0</v>
      </c>
      <c r="U799" s="19">
        <v>0</v>
      </c>
      <c r="V799" s="19">
        <v>0</v>
      </c>
      <c r="W799" s="19">
        <v>0</v>
      </c>
      <c r="X799" s="19">
        <v>0</v>
      </c>
      <c r="Y799" s="19">
        <v>0</v>
      </c>
      <c r="Z799" s="19">
        <v>0</v>
      </c>
      <c r="AA799" s="19">
        <v>0</v>
      </c>
      <c r="AB799" s="19">
        <v>0</v>
      </c>
      <c r="AC799" s="19">
        <v>0</v>
      </c>
      <c r="AD799" s="19">
        <v>0</v>
      </c>
      <c r="AE799" s="19">
        <v>0</v>
      </c>
      <c r="AF799" s="19">
        <v>0</v>
      </c>
      <c r="AG799" s="19">
        <v>0</v>
      </c>
      <c r="AH799" s="19">
        <v>0</v>
      </c>
      <c r="AI799" s="19">
        <v>0</v>
      </c>
      <c r="AJ799" s="19">
        <v>0</v>
      </c>
      <c r="AK799" s="19">
        <v>0</v>
      </c>
      <c r="AL799" s="19">
        <v>0</v>
      </c>
      <c r="AM799" s="19">
        <v>0</v>
      </c>
      <c r="AN799" s="19">
        <v>0</v>
      </c>
      <c r="AO799" s="19">
        <v>0</v>
      </c>
      <c r="AP799" s="19">
        <v>0</v>
      </c>
      <c r="AQ799" s="19">
        <v>0</v>
      </c>
      <c r="AR799" s="19">
        <v>0</v>
      </c>
    </row>
    <row r="800" spans="1:44" x14ac:dyDescent="0.25">
      <c r="A800" t="s">
        <v>250</v>
      </c>
      <c r="B800" t="s">
        <v>347</v>
      </c>
      <c r="C800" t="s">
        <v>45</v>
      </c>
      <c r="D800" t="s">
        <v>345</v>
      </c>
      <c r="E800" t="s">
        <v>148</v>
      </c>
      <c r="F800" t="s">
        <v>345</v>
      </c>
      <c r="G800" t="s">
        <v>31</v>
      </c>
      <c r="H800" t="s">
        <v>273</v>
      </c>
      <c r="I800" t="s">
        <v>135</v>
      </c>
      <c r="J800" t="s">
        <v>39</v>
      </c>
      <c r="K800" t="s">
        <v>31</v>
      </c>
      <c r="L800">
        <v>0.63428571428571534</v>
      </c>
      <c r="M800">
        <v>1</v>
      </c>
      <c r="N800" s="2">
        <v>2.0798461922427691</v>
      </c>
      <c r="O800" s="2">
        <v>3.1588853240212438</v>
      </c>
      <c r="P800" s="1">
        <v>-0.39270346508962162</v>
      </c>
      <c r="Q800" s="1">
        <v>0.82266878256274323</v>
      </c>
      <c r="R800" s="1">
        <v>-0.67371772101320504</v>
      </c>
      <c r="S800" s="19">
        <v>0</v>
      </c>
      <c r="T800" s="19">
        <v>0</v>
      </c>
      <c r="U800" s="19">
        <v>0</v>
      </c>
      <c r="V800" s="19">
        <v>0</v>
      </c>
      <c r="W800" s="19">
        <v>0</v>
      </c>
      <c r="X800" s="19">
        <v>0</v>
      </c>
      <c r="Y800" s="19">
        <v>0</v>
      </c>
      <c r="Z800" s="19">
        <v>0</v>
      </c>
      <c r="AA800" s="19">
        <v>0</v>
      </c>
      <c r="AB800" s="19">
        <v>0</v>
      </c>
      <c r="AC800" s="19">
        <v>0</v>
      </c>
      <c r="AD800" s="19">
        <v>0</v>
      </c>
      <c r="AE800" s="19">
        <v>0</v>
      </c>
      <c r="AF800" s="19">
        <v>0</v>
      </c>
      <c r="AG800" s="19">
        <v>0</v>
      </c>
      <c r="AH800" s="19">
        <v>0</v>
      </c>
      <c r="AI800" s="19">
        <v>0</v>
      </c>
      <c r="AJ800" s="19">
        <v>0</v>
      </c>
      <c r="AK800" s="19">
        <v>0</v>
      </c>
      <c r="AL800" s="19">
        <v>0</v>
      </c>
      <c r="AM800" s="19">
        <v>0</v>
      </c>
      <c r="AN800" s="19">
        <v>0</v>
      </c>
      <c r="AO800" s="19">
        <v>0</v>
      </c>
      <c r="AP800" s="19">
        <v>0</v>
      </c>
      <c r="AQ800" s="19">
        <v>0</v>
      </c>
      <c r="AR800" s="19">
        <v>0</v>
      </c>
    </row>
    <row r="801" spans="1:44" x14ac:dyDescent="0.25">
      <c r="A801" t="s">
        <v>250</v>
      </c>
      <c r="B801" t="s">
        <v>347</v>
      </c>
      <c r="C801" t="s">
        <v>45</v>
      </c>
      <c r="D801" t="s">
        <v>345</v>
      </c>
      <c r="E801" t="s">
        <v>145</v>
      </c>
      <c r="F801" t="s">
        <v>345</v>
      </c>
      <c r="G801" t="s">
        <v>31</v>
      </c>
      <c r="H801" t="s">
        <v>274</v>
      </c>
      <c r="I801" t="s">
        <v>135</v>
      </c>
      <c r="J801" t="s">
        <v>39</v>
      </c>
      <c r="K801" t="s">
        <v>31</v>
      </c>
      <c r="L801">
        <v>0.63428571428571534</v>
      </c>
      <c r="M801">
        <v>1</v>
      </c>
      <c r="N801" s="2">
        <v>2.0798461922427691</v>
      </c>
      <c r="O801" s="2">
        <v>3.1588853240212438</v>
      </c>
      <c r="P801" s="1">
        <v>-0.39270346508962162</v>
      </c>
      <c r="Q801" s="1">
        <v>0.82266878256274323</v>
      </c>
      <c r="R801" s="1">
        <v>-0.67371772101320504</v>
      </c>
      <c r="S801" s="19">
        <v>0</v>
      </c>
      <c r="T801" s="19">
        <v>0</v>
      </c>
      <c r="U801" s="19">
        <v>0</v>
      </c>
      <c r="V801" s="19">
        <v>0</v>
      </c>
      <c r="W801" s="19">
        <v>0</v>
      </c>
      <c r="X801" s="19">
        <v>0</v>
      </c>
      <c r="Y801" s="19">
        <v>0</v>
      </c>
      <c r="Z801" s="19">
        <v>0</v>
      </c>
      <c r="AA801" s="19">
        <v>0</v>
      </c>
      <c r="AB801" s="19">
        <v>0</v>
      </c>
      <c r="AC801" s="19">
        <v>0</v>
      </c>
      <c r="AD801" s="19">
        <v>0</v>
      </c>
      <c r="AE801" s="19">
        <v>0</v>
      </c>
      <c r="AF801" s="19">
        <v>0</v>
      </c>
      <c r="AG801" s="19">
        <v>0</v>
      </c>
      <c r="AH801" s="19">
        <v>0</v>
      </c>
      <c r="AI801" s="19">
        <v>0</v>
      </c>
      <c r="AJ801" s="19">
        <v>0</v>
      </c>
      <c r="AK801" s="19">
        <v>0</v>
      </c>
      <c r="AL801" s="19">
        <v>0</v>
      </c>
      <c r="AM801" s="19">
        <v>0</v>
      </c>
      <c r="AN801" s="19">
        <v>0</v>
      </c>
      <c r="AO801" s="19">
        <v>0</v>
      </c>
      <c r="AP801" s="19">
        <v>0</v>
      </c>
      <c r="AQ801" s="19">
        <v>0</v>
      </c>
      <c r="AR801" s="19">
        <v>0</v>
      </c>
    </row>
    <row r="802" spans="1:44" x14ac:dyDescent="0.25">
      <c r="A802" t="s">
        <v>250</v>
      </c>
      <c r="B802" t="s">
        <v>347</v>
      </c>
      <c r="C802" t="s">
        <v>45</v>
      </c>
      <c r="D802" t="s">
        <v>345</v>
      </c>
      <c r="E802" t="s">
        <v>148</v>
      </c>
      <c r="F802" t="s">
        <v>345</v>
      </c>
      <c r="G802" t="s">
        <v>31</v>
      </c>
      <c r="H802" t="s">
        <v>274</v>
      </c>
      <c r="I802" t="s">
        <v>135</v>
      </c>
      <c r="J802" t="s">
        <v>39</v>
      </c>
      <c r="K802" t="s">
        <v>31</v>
      </c>
      <c r="L802">
        <v>0.63428571428571534</v>
      </c>
      <c r="M802">
        <v>1</v>
      </c>
      <c r="N802" s="2">
        <v>2.0798461922427691</v>
      </c>
      <c r="O802" s="2">
        <v>3.1588853240212438</v>
      </c>
      <c r="P802" s="1">
        <v>-0.39270346508962162</v>
      </c>
      <c r="Q802" s="1">
        <v>0.82266878256274323</v>
      </c>
      <c r="R802" s="1">
        <v>-0.67371772101320504</v>
      </c>
      <c r="S802" s="19">
        <v>0</v>
      </c>
      <c r="T802" s="19">
        <v>0</v>
      </c>
      <c r="U802" s="19">
        <v>0</v>
      </c>
      <c r="V802" s="19">
        <v>0</v>
      </c>
      <c r="W802" s="19">
        <v>0</v>
      </c>
      <c r="X802" s="19">
        <v>0</v>
      </c>
      <c r="Y802" s="19">
        <v>0</v>
      </c>
      <c r="Z802" s="19">
        <v>0</v>
      </c>
      <c r="AA802" s="19">
        <v>0</v>
      </c>
      <c r="AB802" s="19">
        <v>0</v>
      </c>
      <c r="AC802" s="19">
        <v>0</v>
      </c>
      <c r="AD802" s="19">
        <v>0</v>
      </c>
      <c r="AE802" s="19">
        <v>0</v>
      </c>
      <c r="AF802" s="19">
        <v>0</v>
      </c>
      <c r="AG802" s="19">
        <v>0</v>
      </c>
      <c r="AH802" s="19">
        <v>0</v>
      </c>
      <c r="AI802" s="19">
        <v>0</v>
      </c>
      <c r="AJ802" s="19">
        <v>0</v>
      </c>
      <c r="AK802" s="19">
        <v>0</v>
      </c>
      <c r="AL802" s="19">
        <v>0</v>
      </c>
      <c r="AM802" s="19">
        <v>0</v>
      </c>
      <c r="AN802" s="19">
        <v>0</v>
      </c>
      <c r="AO802" s="19">
        <v>0</v>
      </c>
      <c r="AP802" s="19">
        <v>0</v>
      </c>
      <c r="AQ802" s="19">
        <v>0</v>
      </c>
      <c r="AR802" s="19">
        <v>0</v>
      </c>
    </row>
    <row r="803" spans="1:44" x14ac:dyDescent="0.25">
      <c r="A803" t="s">
        <v>250</v>
      </c>
      <c r="B803" t="s">
        <v>347</v>
      </c>
      <c r="C803" t="s">
        <v>45</v>
      </c>
      <c r="D803" t="s">
        <v>345</v>
      </c>
      <c r="E803" t="s">
        <v>145</v>
      </c>
      <c r="F803" t="s">
        <v>345</v>
      </c>
      <c r="G803" t="s">
        <v>31</v>
      </c>
      <c r="H803" t="s">
        <v>275</v>
      </c>
      <c r="I803" t="s">
        <v>135</v>
      </c>
      <c r="J803" t="s">
        <v>39</v>
      </c>
      <c r="K803" t="s">
        <v>31</v>
      </c>
      <c r="L803">
        <v>0.63428571428571534</v>
      </c>
      <c r="M803">
        <v>1</v>
      </c>
      <c r="N803" s="2">
        <v>2.0798461922427691</v>
      </c>
      <c r="O803" s="2">
        <v>3.1588853240212438</v>
      </c>
      <c r="P803" s="1">
        <v>-0.39270346508962162</v>
      </c>
      <c r="Q803" s="1">
        <v>0.82266878256274323</v>
      </c>
      <c r="R803" s="1">
        <v>-0.67371772101320504</v>
      </c>
      <c r="S803" s="19">
        <v>0</v>
      </c>
      <c r="T803" s="19">
        <v>0</v>
      </c>
      <c r="U803" s="19">
        <v>0</v>
      </c>
      <c r="V803" s="19">
        <v>0</v>
      </c>
      <c r="W803" s="19">
        <v>0</v>
      </c>
      <c r="X803" s="19">
        <v>0</v>
      </c>
      <c r="Y803" s="19">
        <v>0</v>
      </c>
      <c r="Z803" s="19">
        <v>0</v>
      </c>
      <c r="AA803" s="19">
        <v>0</v>
      </c>
      <c r="AB803" s="19">
        <v>0</v>
      </c>
      <c r="AC803" s="19">
        <v>0</v>
      </c>
      <c r="AD803" s="19">
        <v>0</v>
      </c>
      <c r="AE803" s="19">
        <v>0</v>
      </c>
      <c r="AF803" s="19">
        <v>0</v>
      </c>
      <c r="AG803" s="19">
        <v>0</v>
      </c>
      <c r="AH803" s="19">
        <v>0</v>
      </c>
      <c r="AI803" s="19">
        <v>0</v>
      </c>
      <c r="AJ803" s="19">
        <v>0</v>
      </c>
      <c r="AK803" s="19">
        <v>0</v>
      </c>
      <c r="AL803" s="19">
        <v>0</v>
      </c>
      <c r="AM803" s="19">
        <v>0</v>
      </c>
      <c r="AN803" s="19">
        <v>0</v>
      </c>
      <c r="AO803" s="19">
        <v>0</v>
      </c>
      <c r="AP803" s="19">
        <v>0</v>
      </c>
      <c r="AQ803" s="19">
        <v>0</v>
      </c>
      <c r="AR803" s="19">
        <v>0</v>
      </c>
    </row>
    <row r="804" spans="1:44" x14ac:dyDescent="0.25">
      <c r="A804" t="s">
        <v>250</v>
      </c>
      <c r="B804" t="s">
        <v>347</v>
      </c>
      <c r="C804" t="s">
        <v>45</v>
      </c>
      <c r="D804" t="s">
        <v>345</v>
      </c>
      <c r="E804" t="s">
        <v>148</v>
      </c>
      <c r="F804" t="s">
        <v>345</v>
      </c>
      <c r="G804" t="s">
        <v>31</v>
      </c>
      <c r="H804" t="s">
        <v>275</v>
      </c>
      <c r="I804" t="s">
        <v>135</v>
      </c>
      <c r="J804" t="s">
        <v>39</v>
      </c>
      <c r="K804" t="s">
        <v>31</v>
      </c>
      <c r="L804">
        <v>0.63428571428571534</v>
      </c>
      <c r="M804">
        <v>1</v>
      </c>
      <c r="N804" s="2">
        <v>2.0798461922427691</v>
      </c>
      <c r="O804" s="2">
        <v>3.1588853240212438</v>
      </c>
      <c r="P804" s="1">
        <v>-0.39270346508962162</v>
      </c>
      <c r="Q804" s="1">
        <v>0.82266878256274323</v>
      </c>
      <c r="R804" s="1">
        <v>-0.67371772101320504</v>
      </c>
      <c r="S804" s="19">
        <v>0</v>
      </c>
      <c r="T804" s="19">
        <v>0</v>
      </c>
      <c r="U804" s="19">
        <v>0</v>
      </c>
      <c r="V804" s="19">
        <v>0</v>
      </c>
      <c r="W804" s="19">
        <v>0</v>
      </c>
      <c r="X804" s="19">
        <v>0</v>
      </c>
      <c r="Y804" s="19">
        <v>0</v>
      </c>
      <c r="Z804" s="19">
        <v>0</v>
      </c>
      <c r="AA804" s="19">
        <v>0</v>
      </c>
      <c r="AB804" s="19">
        <v>0</v>
      </c>
      <c r="AC804" s="19">
        <v>0</v>
      </c>
      <c r="AD804" s="19">
        <v>0</v>
      </c>
      <c r="AE804" s="19">
        <v>0</v>
      </c>
      <c r="AF804" s="19">
        <v>0</v>
      </c>
      <c r="AG804" s="19">
        <v>0</v>
      </c>
      <c r="AH804" s="19">
        <v>0</v>
      </c>
      <c r="AI804" s="19">
        <v>0</v>
      </c>
      <c r="AJ804" s="19">
        <v>0</v>
      </c>
      <c r="AK804" s="19">
        <v>0</v>
      </c>
      <c r="AL804" s="19">
        <v>0</v>
      </c>
      <c r="AM804" s="19">
        <v>0</v>
      </c>
      <c r="AN804" s="19">
        <v>0</v>
      </c>
      <c r="AO804" s="19">
        <v>0</v>
      </c>
      <c r="AP804" s="19">
        <v>0</v>
      </c>
      <c r="AQ804" s="19">
        <v>0</v>
      </c>
      <c r="AR804" s="19">
        <v>0</v>
      </c>
    </row>
    <row r="805" spans="1:44" x14ac:dyDescent="0.25">
      <c r="A805" t="s">
        <v>250</v>
      </c>
      <c r="B805" t="s">
        <v>347</v>
      </c>
      <c r="C805" t="s">
        <v>45</v>
      </c>
      <c r="D805" t="s">
        <v>345</v>
      </c>
      <c r="E805" t="s">
        <v>145</v>
      </c>
      <c r="F805" t="s">
        <v>345</v>
      </c>
      <c r="G805" t="s">
        <v>31</v>
      </c>
      <c r="H805" t="s">
        <v>274</v>
      </c>
      <c r="I805" t="s">
        <v>135</v>
      </c>
      <c r="J805" t="s">
        <v>39</v>
      </c>
      <c r="K805" t="s">
        <v>33</v>
      </c>
      <c r="L805">
        <v>0.63428571428571534</v>
      </c>
      <c r="M805">
        <v>1</v>
      </c>
      <c r="N805" s="2">
        <v>2.0798461922427691</v>
      </c>
      <c r="O805" s="2">
        <v>3.1588853240212438</v>
      </c>
      <c r="P805" s="1">
        <v>-0.39270346508962162</v>
      </c>
      <c r="Q805" s="1">
        <v>0.82266878256274323</v>
      </c>
      <c r="R805" s="1">
        <v>-0.67371772101320504</v>
      </c>
      <c r="S805" s="19">
        <v>0</v>
      </c>
      <c r="T805" s="19">
        <v>0</v>
      </c>
      <c r="U805" s="19">
        <v>0</v>
      </c>
      <c r="V805" s="19">
        <v>0</v>
      </c>
      <c r="W805" s="19">
        <v>0</v>
      </c>
      <c r="X805" s="19">
        <v>0</v>
      </c>
      <c r="Y805" s="19">
        <v>0</v>
      </c>
      <c r="Z805" s="19">
        <v>0</v>
      </c>
      <c r="AA805" s="19">
        <v>0</v>
      </c>
      <c r="AB805" s="19">
        <v>0</v>
      </c>
      <c r="AC805" s="19">
        <v>0</v>
      </c>
      <c r="AD805" s="19">
        <v>0</v>
      </c>
      <c r="AE805" s="19">
        <v>0</v>
      </c>
      <c r="AF805" s="19">
        <v>0</v>
      </c>
      <c r="AG805" s="19">
        <v>0</v>
      </c>
      <c r="AH805" s="19">
        <v>0</v>
      </c>
      <c r="AI805" s="19">
        <v>0</v>
      </c>
      <c r="AJ805" s="19">
        <v>0</v>
      </c>
      <c r="AK805" s="19">
        <v>0</v>
      </c>
      <c r="AL805" s="19">
        <v>0</v>
      </c>
      <c r="AM805" s="19">
        <v>0</v>
      </c>
      <c r="AN805" s="19">
        <v>0</v>
      </c>
      <c r="AO805" s="19">
        <v>0</v>
      </c>
      <c r="AP805" s="19">
        <v>0</v>
      </c>
      <c r="AQ805" s="19">
        <v>0</v>
      </c>
      <c r="AR805" s="19">
        <v>0</v>
      </c>
    </row>
    <row r="806" spans="1:44" x14ac:dyDescent="0.25">
      <c r="A806" t="s">
        <v>250</v>
      </c>
      <c r="B806" t="s">
        <v>347</v>
      </c>
      <c r="C806" t="s">
        <v>45</v>
      </c>
      <c r="D806" t="s">
        <v>345</v>
      </c>
      <c r="E806" t="s">
        <v>148</v>
      </c>
      <c r="F806" t="s">
        <v>345</v>
      </c>
      <c r="G806" t="s">
        <v>31</v>
      </c>
      <c r="H806" t="s">
        <v>274</v>
      </c>
      <c r="I806" t="s">
        <v>135</v>
      </c>
      <c r="J806" t="s">
        <v>39</v>
      </c>
      <c r="K806" t="s">
        <v>33</v>
      </c>
      <c r="L806">
        <v>0.63428571428571534</v>
      </c>
      <c r="M806">
        <v>1</v>
      </c>
      <c r="N806" s="2">
        <v>2.0798461922427691</v>
      </c>
      <c r="O806" s="2">
        <v>3.1588853240212438</v>
      </c>
      <c r="P806" s="1">
        <v>-0.39270346508962162</v>
      </c>
      <c r="Q806" s="1">
        <v>0.82266878256274323</v>
      </c>
      <c r="R806" s="1">
        <v>-0.67371772101320504</v>
      </c>
      <c r="S806" s="19">
        <v>0</v>
      </c>
      <c r="T806" s="19">
        <v>0</v>
      </c>
      <c r="U806" s="19">
        <v>0</v>
      </c>
      <c r="V806" s="19">
        <v>0</v>
      </c>
      <c r="W806" s="19">
        <v>0</v>
      </c>
      <c r="X806" s="19">
        <v>0</v>
      </c>
      <c r="Y806" s="19">
        <v>0</v>
      </c>
      <c r="Z806" s="19">
        <v>0</v>
      </c>
      <c r="AA806" s="19">
        <v>0</v>
      </c>
      <c r="AB806" s="19">
        <v>0</v>
      </c>
      <c r="AC806" s="19">
        <v>0</v>
      </c>
      <c r="AD806" s="19">
        <v>0</v>
      </c>
      <c r="AE806" s="19">
        <v>0</v>
      </c>
      <c r="AF806" s="19">
        <v>0</v>
      </c>
      <c r="AG806" s="19">
        <v>0</v>
      </c>
      <c r="AH806" s="19">
        <v>0</v>
      </c>
      <c r="AI806" s="19">
        <v>0</v>
      </c>
      <c r="AJ806" s="19">
        <v>0</v>
      </c>
      <c r="AK806" s="19">
        <v>0</v>
      </c>
      <c r="AL806" s="19">
        <v>0</v>
      </c>
      <c r="AM806" s="19">
        <v>0</v>
      </c>
      <c r="AN806" s="19">
        <v>0</v>
      </c>
      <c r="AO806" s="19">
        <v>0</v>
      </c>
      <c r="AP806" s="19">
        <v>0</v>
      </c>
      <c r="AQ806" s="19">
        <v>0</v>
      </c>
      <c r="AR806" s="19">
        <v>0</v>
      </c>
    </row>
    <row r="807" spans="1:44" x14ac:dyDescent="0.25">
      <c r="A807" t="s">
        <v>250</v>
      </c>
      <c r="B807" t="s">
        <v>347</v>
      </c>
      <c r="C807" t="s">
        <v>45</v>
      </c>
      <c r="D807" t="s">
        <v>345</v>
      </c>
      <c r="E807" t="s">
        <v>145</v>
      </c>
      <c r="F807" t="s">
        <v>345</v>
      </c>
      <c r="G807" t="s">
        <v>31</v>
      </c>
      <c r="H807" t="s">
        <v>272</v>
      </c>
      <c r="I807" t="s">
        <v>135</v>
      </c>
      <c r="J807" t="s">
        <v>40</v>
      </c>
      <c r="K807" t="s">
        <v>31</v>
      </c>
      <c r="L807">
        <v>0.63428571428571534</v>
      </c>
      <c r="M807">
        <v>1</v>
      </c>
      <c r="N807" s="2">
        <v>2.0798461922427691</v>
      </c>
      <c r="O807" s="2">
        <v>1.9798085216903567</v>
      </c>
      <c r="P807" s="1">
        <v>-0.39270346508962162</v>
      </c>
      <c r="Q807" s="1">
        <v>0.4672931329656026</v>
      </c>
      <c r="R807" s="1">
        <v>-0.53071772101320513</v>
      </c>
      <c r="S807" s="19">
        <v>0</v>
      </c>
      <c r="T807" s="19">
        <v>0</v>
      </c>
      <c r="U807" s="19">
        <v>0</v>
      </c>
      <c r="V807" s="19">
        <v>0</v>
      </c>
      <c r="W807" s="19">
        <v>0</v>
      </c>
      <c r="X807" s="19">
        <v>0</v>
      </c>
      <c r="Y807" s="19">
        <v>0</v>
      </c>
      <c r="Z807" s="19">
        <v>0</v>
      </c>
      <c r="AA807" s="19">
        <v>0</v>
      </c>
      <c r="AB807" s="19">
        <v>0</v>
      </c>
      <c r="AC807" s="19">
        <v>0</v>
      </c>
      <c r="AD807" s="19">
        <v>0</v>
      </c>
      <c r="AE807" s="19">
        <v>0</v>
      </c>
      <c r="AF807" s="19">
        <v>0</v>
      </c>
      <c r="AG807" s="19">
        <v>0</v>
      </c>
      <c r="AH807" s="19">
        <v>0</v>
      </c>
      <c r="AI807" s="19">
        <v>0</v>
      </c>
      <c r="AJ807" s="19">
        <v>0</v>
      </c>
      <c r="AK807" s="19">
        <v>0</v>
      </c>
      <c r="AL807" s="19">
        <v>0</v>
      </c>
      <c r="AM807" s="19">
        <v>0</v>
      </c>
      <c r="AN807" s="19">
        <v>0</v>
      </c>
      <c r="AO807" s="19">
        <v>0</v>
      </c>
      <c r="AP807" s="19">
        <v>0</v>
      </c>
      <c r="AQ807" s="19">
        <v>0</v>
      </c>
      <c r="AR807" s="19">
        <v>0</v>
      </c>
    </row>
    <row r="808" spans="1:44" x14ac:dyDescent="0.25">
      <c r="A808" t="s">
        <v>250</v>
      </c>
      <c r="B808" t="s">
        <v>347</v>
      </c>
      <c r="C808" t="s">
        <v>45</v>
      </c>
      <c r="D808" t="s">
        <v>345</v>
      </c>
      <c r="E808" t="s">
        <v>148</v>
      </c>
      <c r="F808" t="s">
        <v>345</v>
      </c>
      <c r="G808" t="s">
        <v>31</v>
      </c>
      <c r="H808" t="s">
        <v>272</v>
      </c>
      <c r="I808" t="s">
        <v>135</v>
      </c>
      <c r="J808" t="s">
        <v>40</v>
      </c>
      <c r="K808" t="s">
        <v>31</v>
      </c>
      <c r="L808">
        <v>0.63428571428571534</v>
      </c>
      <c r="M808">
        <v>1</v>
      </c>
      <c r="N808" s="2">
        <v>2.0798461922427691</v>
      </c>
      <c r="O808" s="2">
        <v>1.9798085216903567</v>
      </c>
      <c r="P808" s="1">
        <v>-0.39270346508962162</v>
      </c>
      <c r="Q808" s="1">
        <v>0.4672931329656026</v>
      </c>
      <c r="R808" s="1">
        <v>-0.53071772101320513</v>
      </c>
      <c r="S808" s="19">
        <v>0</v>
      </c>
      <c r="T808" s="19">
        <v>0</v>
      </c>
      <c r="U808" s="19">
        <v>0</v>
      </c>
      <c r="V808" s="19">
        <v>0</v>
      </c>
      <c r="W808" s="19">
        <v>0</v>
      </c>
      <c r="X808" s="19">
        <v>0</v>
      </c>
      <c r="Y808" s="19">
        <v>0</v>
      </c>
      <c r="Z808" s="19">
        <v>0</v>
      </c>
      <c r="AA808" s="19">
        <v>0</v>
      </c>
      <c r="AB808" s="19">
        <v>0</v>
      </c>
      <c r="AC808" s="19">
        <v>0</v>
      </c>
      <c r="AD808" s="19">
        <v>0</v>
      </c>
      <c r="AE808" s="19">
        <v>0</v>
      </c>
      <c r="AF808" s="19">
        <v>0</v>
      </c>
      <c r="AG808" s="19">
        <v>0</v>
      </c>
      <c r="AH808" s="19">
        <v>0</v>
      </c>
      <c r="AI808" s="19">
        <v>0</v>
      </c>
      <c r="AJ808" s="19">
        <v>0</v>
      </c>
      <c r="AK808" s="19">
        <v>0</v>
      </c>
      <c r="AL808" s="19">
        <v>0</v>
      </c>
      <c r="AM808" s="19">
        <v>0</v>
      </c>
      <c r="AN808" s="19">
        <v>0</v>
      </c>
      <c r="AO808" s="19">
        <v>0</v>
      </c>
      <c r="AP808" s="19">
        <v>0</v>
      </c>
      <c r="AQ808" s="19">
        <v>0</v>
      </c>
      <c r="AR808" s="19">
        <v>0</v>
      </c>
    </row>
    <row r="809" spans="1:44" x14ac:dyDescent="0.25">
      <c r="A809" t="s">
        <v>250</v>
      </c>
      <c r="B809" t="s">
        <v>348</v>
      </c>
      <c r="C809" t="s">
        <v>45</v>
      </c>
      <c r="D809" t="s">
        <v>345</v>
      </c>
      <c r="E809" t="s">
        <v>145</v>
      </c>
      <c r="F809" t="s">
        <v>345</v>
      </c>
      <c r="G809" t="s">
        <v>31</v>
      </c>
      <c r="H809" t="s">
        <v>277</v>
      </c>
      <c r="I809" t="s">
        <v>135</v>
      </c>
      <c r="J809" t="s">
        <v>39</v>
      </c>
      <c r="K809" t="s">
        <v>31</v>
      </c>
      <c r="L809">
        <v>0.63428571428571534</v>
      </c>
      <c r="M809">
        <v>1</v>
      </c>
      <c r="N809" s="2">
        <v>2.0798461922427691</v>
      </c>
      <c r="O809" s="2">
        <v>3.1588853240212438</v>
      </c>
      <c r="P809" s="1">
        <v>-0.39270346508962162</v>
      </c>
      <c r="Q809" s="1">
        <v>0.82266878256274323</v>
      </c>
      <c r="R809" s="1">
        <v>-0.67371772101320504</v>
      </c>
      <c r="S809" s="19">
        <v>0.31506672893976817</v>
      </c>
      <c r="T809" s="19">
        <v>0.4823142096896198</v>
      </c>
      <c r="U809" s="19">
        <v>1.0481558363455683</v>
      </c>
      <c r="V809" s="19">
        <v>1.96296872225149</v>
      </c>
      <c r="W809" s="19">
        <v>3.3431815617728851</v>
      </c>
      <c r="X809" s="19">
        <v>5.308038276431061</v>
      </c>
      <c r="Y809" s="19">
        <v>7.9644772752907871</v>
      </c>
      <c r="Z809" s="19">
        <v>11.386660693724579</v>
      </c>
      <c r="AA809" s="19">
        <v>15.591864403299814</v>
      </c>
      <c r="AB809" s="19">
        <v>20.516877782688042</v>
      </c>
      <c r="AC809" s="19">
        <v>26.001680012801842</v>
      </c>
      <c r="AD809" s="19">
        <v>31.788741664697049</v>
      </c>
      <c r="AE809" s="19">
        <v>37.545150314783037</v>
      </c>
      <c r="AF809" s="19">
        <v>42.909483715116856</v>
      </c>
      <c r="AG809" s="19">
        <v>47.556212675498927</v>
      </c>
      <c r="AH809" s="19">
        <v>51.260508799116614</v>
      </c>
      <c r="AI809" s="19">
        <v>53.941255572939198</v>
      </c>
      <c r="AJ809" s="19">
        <v>55.81789868685081</v>
      </c>
      <c r="AK809" s="19">
        <v>56.711822334320722</v>
      </c>
      <c r="AL809" s="19">
        <v>57.365679553848089</v>
      </c>
      <c r="AM809" s="19">
        <v>71.546061228926703</v>
      </c>
      <c r="AN809" s="19">
        <v>77.139748834727129</v>
      </c>
      <c r="AO809" s="19">
        <v>76.816216898929071</v>
      </c>
      <c r="AP809" s="19">
        <v>76.376463925107359</v>
      </c>
      <c r="AQ809" s="19">
        <v>75.777586309049951</v>
      </c>
      <c r="AR809" s="19">
        <v>906.47411601714703</v>
      </c>
    </row>
    <row r="810" spans="1:44" x14ac:dyDescent="0.25">
      <c r="A810" t="s">
        <v>250</v>
      </c>
      <c r="B810" t="s">
        <v>348</v>
      </c>
      <c r="C810" t="s">
        <v>45</v>
      </c>
      <c r="D810" t="s">
        <v>345</v>
      </c>
      <c r="E810" t="s">
        <v>148</v>
      </c>
      <c r="F810" t="s">
        <v>345</v>
      </c>
      <c r="G810" t="s">
        <v>31</v>
      </c>
      <c r="H810" t="s">
        <v>277</v>
      </c>
      <c r="I810" t="s">
        <v>135</v>
      </c>
      <c r="J810" t="s">
        <v>39</v>
      </c>
      <c r="K810" t="s">
        <v>31</v>
      </c>
      <c r="L810">
        <v>0.63428571428571534</v>
      </c>
      <c r="M810">
        <v>1</v>
      </c>
      <c r="N810" s="2">
        <v>2.0798461922427691</v>
      </c>
      <c r="O810" s="2">
        <v>3.1588853240212438</v>
      </c>
      <c r="P810" s="1">
        <v>-0.39270346508962162</v>
      </c>
      <c r="Q810" s="1">
        <v>0.82266878256274323</v>
      </c>
      <c r="R810" s="1">
        <v>-0.67371772101320504</v>
      </c>
      <c r="S810" s="19">
        <v>7.1466587140809834E-2</v>
      </c>
      <c r="T810" s="19">
        <v>0.15566855069227414</v>
      </c>
      <c r="U810" s="19">
        <v>0.34212031054155922</v>
      </c>
      <c r="V810" s="19">
        <v>0.64799423367169373</v>
      </c>
      <c r="W810" s="19">
        <v>1.1162074575362917</v>
      </c>
      <c r="X810" s="19">
        <v>1.7925384504662485</v>
      </c>
      <c r="Y810" s="19">
        <v>2.7205913810485054</v>
      </c>
      <c r="Z810" s="19">
        <v>3.934558438816135</v>
      </c>
      <c r="AA810" s="19">
        <v>5.4502078946274635</v>
      </c>
      <c r="AB810" s="19">
        <v>7.2554332469635874</v>
      </c>
      <c r="AC810" s="19">
        <v>9.3027650494785945</v>
      </c>
      <c r="AD810" s="19">
        <v>11.507047051143577</v>
      </c>
      <c r="AE810" s="19">
        <v>13.751354979125118</v>
      </c>
      <c r="AF810" s="19">
        <v>15.902560386218136</v>
      </c>
      <c r="AG810" s="19">
        <v>17.83462600460469</v>
      </c>
      <c r="AH810" s="19">
        <v>19.453750487606072</v>
      </c>
      <c r="AI810" s="19">
        <v>20.716944427462401</v>
      </c>
      <c r="AJ810" s="19">
        <v>21.696152705453791</v>
      </c>
      <c r="AK810" s="19">
        <v>22.310415339997025</v>
      </c>
      <c r="AL810" s="19">
        <v>22.841838050685187</v>
      </c>
      <c r="AM810" s="19">
        <v>23.103709787954724</v>
      </c>
      <c r="AN810" s="19">
        <v>23.276166071410987</v>
      </c>
      <c r="AO810" s="19">
        <v>23.450965255298748</v>
      </c>
      <c r="AP810" s="19">
        <v>23.628131683526437</v>
      </c>
      <c r="AQ810" s="19">
        <v>23.807689982112866</v>
      </c>
      <c r="AR810" s="19">
        <v>316.07090381358296</v>
      </c>
    </row>
    <row r="811" spans="1:44" x14ac:dyDescent="0.25">
      <c r="A811" t="s">
        <v>250</v>
      </c>
      <c r="B811" t="s">
        <v>348</v>
      </c>
      <c r="C811" t="s">
        <v>45</v>
      </c>
      <c r="D811" t="s">
        <v>345</v>
      </c>
      <c r="E811" t="s">
        <v>145</v>
      </c>
      <c r="F811" t="s">
        <v>345</v>
      </c>
      <c r="G811" t="s">
        <v>31</v>
      </c>
      <c r="H811" t="s">
        <v>277</v>
      </c>
      <c r="I811" t="s">
        <v>135</v>
      </c>
      <c r="J811" t="s">
        <v>40</v>
      </c>
      <c r="K811" t="s">
        <v>31</v>
      </c>
      <c r="L811">
        <v>0.63428571428571534</v>
      </c>
      <c r="M811">
        <v>1</v>
      </c>
      <c r="N811" s="2">
        <v>2.0798461922427691</v>
      </c>
      <c r="O811" s="2">
        <v>1.9798085216903567</v>
      </c>
      <c r="P811" s="1">
        <v>-0.39270346508962162</v>
      </c>
      <c r="Q811" s="1">
        <v>0.4672931329656026</v>
      </c>
      <c r="R811" s="1">
        <v>-0.53071772101320513</v>
      </c>
      <c r="S811" s="19">
        <v>4.970032403930616E-2</v>
      </c>
      <c r="T811" s="19">
        <v>7.6082843120253971E-2</v>
      </c>
      <c r="U811" s="19">
        <v>0.16534175120732458</v>
      </c>
      <c r="V811" s="19">
        <v>0.30964926669096998</v>
      </c>
      <c r="W811" s="19">
        <v>0.52737147937353479</v>
      </c>
      <c r="X811" s="19">
        <v>0.83731856816305472</v>
      </c>
      <c r="Y811" s="19">
        <v>1.2563595741056974</v>
      </c>
      <c r="Z811" s="19">
        <v>1.796193232170606</v>
      </c>
      <c r="AA811" s="19">
        <v>2.4595447314561314</v>
      </c>
      <c r="AB811" s="19">
        <v>3.236442887847335</v>
      </c>
      <c r="AC811" s="19">
        <v>4.1016451548257624</v>
      </c>
      <c r="AD811" s="19">
        <v>5.014527452180678</v>
      </c>
      <c r="AE811" s="19">
        <v>5.9225743798098787</v>
      </c>
      <c r="AF811" s="19">
        <v>6.7687732442492665</v>
      </c>
      <c r="AG811" s="19">
        <v>7.5017733164275215</v>
      </c>
      <c r="AH811" s="19">
        <v>8.0861089532015988</v>
      </c>
      <c r="AI811" s="19">
        <v>8.5089843985863052</v>
      </c>
      <c r="AJ811" s="19">
        <v>8.8050161985208852</v>
      </c>
      <c r="AK811" s="19">
        <v>8.946028532940197</v>
      </c>
      <c r="AL811" s="19">
        <v>9.0491714950527165</v>
      </c>
      <c r="AM811" s="19">
        <v>11.286061333037413</v>
      </c>
      <c r="AN811" s="19">
        <v>12.168439766071153</v>
      </c>
      <c r="AO811" s="19">
        <v>12.11740409467434</v>
      </c>
      <c r="AP811" s="19">
        <v>12.048035090305875</v>
      </c>
      <c r="AQ811" s="19">
        <v>11.953564907185935</v>
      </c>
      <c r="AR811" s="19">
        <v>142.99211297524377</v>
      </c>
    </row>
    <row r="812" spans="1:44" x14ac:dyDescent="0.25">
      <c r="A812" t="s">
        <v>250</v>
      </c>
      <c r="B812" t="s">
        <v>348</v>
      </c>
      <c r="C812" t="s">
        <v>45</v>
      </c>
      <c r="D812" t="s">
        <v>345</v>
      </c>
      <c r="E812" t="s">
        <v>148</v>
      </c>
      <c r="F812" t="s">
        <v>345</v>
      </c>
      <c r="G812" t="s">
        <v>31</v>
      </c>
      <c r="H812" t="s">
        <v>277</v>
      </c>
      <c r="I812" t="s">
        <v>135</v>
      </c>
      <c r="J812" t="s">
        <v>40</v>
      </c>
      <c r="K812" t="s">
        <v>31</v>
      </c>
      <c r="L812">
        <v>0.63428571428571534</v>
      </c>
      <c r="M812">
        <v>1</v>
      </c>
      <c r="N812" s="2">
        <v>2.0798461922427691</v>
      </c>
      <c r="O812" s="2">
        <v>1.9798085216903567</v>
      </c>
      <c r="P812" s="1">
        <v>-0.39270346508962162</v>
      </c>
      <c r="Q812" s="1">
        <v>0.4672931329656026</v>
      </c>
      <c r="R812" s="1">
        <v>-0.53071772101320513</v>
      </c>
      <c r="S812" s="19">
        <v>1.1273524662010837E-2</v>
      </c>
      <c r="T812" s="19">
        <v>2.4555996242987259E-2</v>
      </c>
      <c r="U812" s="19">
        <v>5.3967901820550723E-2</v>
      </c>
      <c r="V812" s="19">
        <v>0.10221810312202766</v>
      </c>
      <c r="W812" s="19">
        <v>0.17607658073363039</v>
      </c>
      <c r="X812" s="19">
        <v>0.28276467699678814</v>
      </c>
      <c r="Y812" s="19">
        <v>0.42916074849180058</v>
      </c>
      <c r="Z812" s="19">
        <v>0.62065845549223597</v>
      </c>
      <c r="AA812" s="19">
        <v>0.85974517003461948</v>
      </c>
      <c r="AB812" s="19">
        <v>1.144511147315016</v>
      </c>
      <c r="AC812" s="19">
        <v>1.467468301005564</v>
      </c>
      <c r="AD812" s="19">
        <v>1.8151836250749005</v>
      </c>
      <c r="AE812" s="19">
        <v>2.1692128545019984</v>
      </c>
      <c r="AF812" s="19">
        <v>2.5085555904596264</v>
      </c>
      <c r="AG812" s="19">
        <v>2.8133300349784833</v>
      </c>
      <c r="AH812" s="19">
        <v>3.0687394580424652</v>
      </c>
      <c r="AI812" s="19">
        <v>3.2680024787574853</v>
      </c>
      <c r="AJ812" s="19">
        <v>3.4224680704812589</v>
      </c>
      <c r="AK812" s="19">
        <v>3.5193651693426622</v>
      </c>
      <c r="AL812" s="19">
        <v>3.6031946521063398</v>
      </c>
      <c r="AM812" s="19">
        <v>3.6445037114374119</v>
      </c>
      <c r="AN812" s="19">
        <v>3.6717078951328368</v>
      </c>
      <c r="AO812" s="19">
        <v>3.6992816605706498</v>
      </c>
      <c r="AP812" s="19">
        <v>3.7272288478900335</v>
      </c>
      <c r="AQ812" s="19">
        <v>3.7555533417321634</v>
      </c>
      <c r="AR812" s="19">
        <v>49.858727996425543</v>
      </c>
    </row>
    <row r="813" spans="1:44" x14ac:dyDescent="0.25">
      <c r="A813" t="s">
        <v>250</v>
      </c>
      <c r="B813" t="s">
        <v>349</v>
      </c>
      <c r="C813" t="s">
        <v>45</v>
      </c>
      <c r="D813" t="s">
        <v>345</v>
      </c>
      <c r="E813" t="s">
        <v>145</v>
      </c>
      <c r="F813" t="s">
        <v>345</v>
      </c>
      <c r="G813" t="s">
        <v>31</v>
      </c>
      <c r="H813" t="s">
        <v>276</v>
      </c>
      <c r="I813" t="s">
        <v>135</v>
      </c>
      <c r="J813" t="s">
        <v>39</v>
      </c>
      <c r="K813" t="s">
        <v>31</v>
      </c>
      <c r="L813">
        <v>0.53142857142857225</v>
      </c>
      <c r="M813">
        <v>1</v>
      </c>
      <c r="N813" s="2">
        <v>1.8489663471049216</v>
      </c>
      <c r="O813" s="2">
        <v>3.1597702595673303</v>
      </c>
      <c r="P813" s="1">
        <v>-0.28971783165162007</v>
      </c>
      <c r="Q813" s="1">
        <v>0.92565441600074494</v>
      </c>
      <c r="R813" s="1">
        <v>-0.67371772101320537</v>
      </c>
      <c r="S813" s="19">
        <v>3.9962882849165125E-2</v>
      </c>
      <c r="T813" s="19">
        <v>6.1337499638764767E-2</v>
      </c>
      <c r="U813" s="19">
        <v>0.13364835382545182</v>
      </c>
      <c r="V813" s="19">
        <v>0.25095328332816719</v>
      </c>
      <c r="W813" s="19">
        <v>0.42852998033520245</v>
      </c>
      <c r="X813" s="19">
        <v>0.68217694762397407</v>
      </c>
      <c r="Y813" s="19">
        <v>1.026270904590534</v>
      </c>
      <c r="Z813" s="19">
        <v>1.4711022650043588</v>
      </c>
      <c r="AA813" s="19">
        <v>2.0196972746328323</v>
      </c>
      <c r="AB813" s="19">
        <v>2.6646565917857155</v>
      </c>
      <c r="AC813" s="19">
        <v>3.3858922293840781</v>
      </c>
      <c r="AD813" s="19">
        <v>4.1503698916100147</v>
      </c>
      <c r="AE813" s="19">
        <v>4.9148363292855866</v>
      </c>
      <c r="AF813" s="19">
        <v>5.6318392099069339</v>
      </c>
      <c r="AG813" s="19">
        <v>6.2581499377066709</v>
      </c>
      <c r="AH813" s="19">
        <v>6.7633733458989731</v>
      </c>
      <c r="AI813" s="19">
        <v>7.1358094726082468</v>
      </c>
      <c r="AJ813" s="19">
        <v>7.4035058389048052</v>
      </c>
      <c r="AK813" s="19">
        <v>7.5418742782398356</v>
      </c>
      <c r="AL813" s="19">
        <v>7.6489104049862338</v>
      </c>
      <c r="AM813" s="19">
        <v>9.4673930881838686</v>
      </c>
      <c r="AN813" s="19">
        <v>9.7795286706393156</v>
      </c>
      <c r="AO813" s="19">
        <v>9.7632096601094034</v>
      </c>
      <c r="AP813" s="19">
        <v>9.7343109600136017</v>
      </c>
      <c r="AQ813" s="19">
        <v>9.6881491415356695</v>
      </c>
      <c r="AR813" s="19">
        <v>118.0454884426274</v>
      </c>
    </row>
    <row r="814" spans="1:44" x14ac:dyDescent="0.25">
      <c r="A814" t="s">
        <v>250</v>
      </c>
      <c r="B814" t="s">
        <v>349</v>
      </c>
      <c r="C814" t="s">
        <v>45</v>
      </c>
      <c r="D814" t="s">
        <v>345</v>
      </c>
      <c r="E814" t="s">
        <v>148</v>
      </c>
      <c r="F814" t="s">
        <v>345</v>
      </c>
      <c r="G814" t="s">
        <v>31</v>
      </c>
      <c r="H814" t="s">
        <v>276</v>
      </c>
      <c r="I814" t="s">
        <v>135</v>
      </c>
      <c r="J814" t="s">
        <v>39</v>
      </c>
      <c r="K814" t="s">
        <v>31</v>
      </c>
      <c r="L814">
        <v>0.53142857142857225</v>
      </c>
      <c r="M814">
        <v>1</v>
      </c>
      <c r="N814" s="2">
        <v>1.8489663471049216</v>
      </c>
      <c r="O814" s="2">
        <v>3.1597702595673303</v>
      </c>
      <c r="P814" s="1">
        <v>-0.28971783165162007</v>
      </c>
      <c r="Q814" s="1">
        <v>0.92565441600074494</v>
      </c>
      <c r="R814" s="1">
        <v>-0.67371772101320537</v>
      </c>
      <c r="S814" s="19">
        <v>9.0647808454691614E-3</v>
      </c>
      <c r="T814" s="19">
        <v>1.6524060753150268E-2</v>
      </c>
      <c r="U814" s="19">
        <v>3.6409626488718899E-2</v>
      </c>
      <c r="V814" s="19">
        <v>6.9138086094458373E-2</v>
      </c>
      <c r="W814" s="19">
        <v>0.11939535130564792</v>
      </c>
      <c r="X814" s="19">
        <v>0.19221831511853824</v>
      </c>
      <c r="Y814" s="19">
        <v>0.29245628358122711</v>
      </c>
      <c r="Z814" s="19">
        <v>0.42398707923448314</v>
      </c>
      <c r="AA814" s="19">
        <v>0.58873027420826674</v>
      </c>
      <c r="AB814" s="19">
        <v>0.78559931112242387</v>
      </c>
      <c r="AC814" s="19">
        <v>1.0096528402543199</v>
      </c>
      <c r="AD814" s="19">
        <v>1.2517975200501366</v>
      </c>
      <c r="AE814" s="19">
        <v>1.4993873615666744</v>
      </c>
      <c r="AF814" s="19">
        <v>1.7378873003706998</v>
      </c>
      <c r="AG814" s="19">
        <v>1.953407674655756</v>
      </c>
      <c r="AH814" s="19">
        <v>2.1354762732578663</v>
      </c>
      <c r="AI814" s="19">
        <v>2.2791237780486213</v>
      </c>
      <c r="AJ814" s="19">
        <v>2.3920160863163762</v>
      </c>
      <c r="AK814" s="19">
        <v>2.4649982284135965</v>
      </c>
      <c r="AL814" s="19">
        <v>2.529042376961121</v>
      </c>
      <c r="AM814" s="19">
        <v>2.5633710533887291</v>
      </c>
      <c r="AN814" s="19">
        <v>2.5878230414863275</v>
      </c>
      <c r="AO814" s="19">
        <v>2.6125582601929263</v>
      </c>
      <c r="AP814" s="19">
        <v>2.6375798668066577</v>
      </c>
      <c r="AQ814" s="19">
        <v>2.662891054072495</v>
      </c>
      <c r="AR814" s="19">
        <v>34.850535884594684</v>
      </c>
    </row>
    <row r="815" spans="1:44" x14ac:dyDescent="0.25">
      <c r="A815" t="s">
        <v>250</v>
      </c>
      <c r="B815" t="s">
        <v>350</v>
      </c>
      <c r="C815" t="s">
        <v>45</v>
      </c>
      <c r="D815" t="s">
        <v>345</v>
      </c>
      <c r="E815" t="s">
        <v>145</v>
      </c>
      <c r="F815" t="s">
        <v>345</v>
      </c>
      <c r="G815" t="s">
        <v>31</v>
      </c>
      <c r="H815" t="s">
        <v>253</v>
      </c>
      <c r="I815" t="s">
        <v>135</v>
      </c>
      <c r="J815" t="s">
        <v>39</v>
      </c>
      <c r="K815" t="s">
        <v>31</v>
      </c>
      <c r="L815">
        <v>0.36000000000000054</v>
      </c>
      <c r="M815">
        <v>1</v>
      </c>
      <c r="N815" s="2">
        <v>1.3933456709467129</v>
      </c>
      <c r="O815" s="2">
        <v>3.1590792310146649</v>
      </c>
      <c r="P815" s="1">
        <v>1.2700298285369591E-2</v>
      </c>
      <c r="Q815" s="1">
        <v>1.2280725459377344</v>
      </c>
      <c r="R815" s="1">
        <v>-0.67371772101320471</v>
      </c>
      <c r="S815" s="19">
        <v>0.76822943934201493</v>
      </c>
      <c r="T815" s="19">
        <v>1.1767627541756491</v>
      </c>
      <c r="U815" s="19">
        <v>2.5589109291870269</v>
      </c>
      <c r="V815" s="19">
        <v>4.7952709038550738</v>
      </c>
      <c r="W815" s="19">
        <v>8.1720343939137212</v>
      </c>
      <c r="X815" s="19">
        <v>12.982990044447392</v>
      </c>
      <c r="Y815" s="19">
        <v>19.492538959000299</v>
      </c>
      <c r="Z815" s="19">
        <v>27.885469965297169</v>
      </c>
      <c r="AA815" s="19">
        <v>38.207629455696903</v>
      </c>
      <c r="AB815" s="19">
        <v>50.307619877332385</v>
      </c>
      <c r="AC815" s="19">
        <v>63.796134357269494</v>
      </c>
      <c r="AD815" s="19">
        <v>78.043501629444236</v>
      </c>
      <c r="AE815" s="19">
        <v>92.233292599816139</v>
      </c>
      <c r="AF815" s="19">
        <v>105.47696130469799</v>
      </c>
      <c r="AG815" s="19">
        <v>116.97203254082235</v>
      </c>
      <c r="AH815" s="19">
        <v>126.16187758162384</v>
      </c>
      <c r="AI815" s="19">
        <v>132.84240745818815</v>
      </c>
      <c r="AJ815" s="19">
        <v>137.54969279508751</v>
      </c>
      <c r="AK815" s="19">
        <v>139.83960861826574</v>
      </c>
      <c r="AL815" s="19">
        <v>141.54000118167258</v>
      </c>
      <c r="AM815" s="19">
        <v>176.20303009234098</v>
      </c>
      <c r="AN815" s="19">
        <v>188.0310788434208</v>
      </c>
      <c r="AO815" s="19">
        <v>187.3548135468728</v>
      </c>
      <c r="AP815" s="19">
        <v>186.40469644869992</v>
      </c>
      <c r="AQ815" s="19">
        <v>185.079482828115</v>
      </c>
      <c r="AR815" s="19">
        <v>2223.876068548585</v>
      </c>
    </row>
    <row r="816" spans="1:44" x14ac:dyDescent="0.25">
      <c r="A816" t="s">
        <v>250</v>
      </c>
      <c r="B816" t="s">
        <v>350</v>
      </c>
      <c r="C816" t="s">
        <v>45</v>
      </c>
      <c r="D816" t="s">
        <v>345</v>
      </c>
      <c r="E816" t="s">
        <v>148</v>
      </c>
      <c r="F816" t="s">
        <v>345</v>
      </c>
      <c r="G816" t="s">
        <v>31</v>
      </c>
      <c r="H816" t="s">
        <v>253</v>
      </c>
      <c r="I816" t="s">
        <v>135</v>
      </c>
      <c r="J816" t="s">
        <v>39</v>
      </c>
      <c r="K816" t="s">
        <v>31</v>
      </c>
      <c r="L816">
        <v>0.36000000000000054</v>
      </c>
      <c r="M816">
        <v>1</v>
      </c>
      <c r="N816" s="2">
        <v>1.3933456709467129</v>
      </c>
      <c r="O816" s="2">
        <v>3.1590792310146649</v>
      </c>
      <c r="P816" s="1">
        <v>1.2700298285369591E-2</v>
      </c>
      <c r="Q816" s="1">
        <v>1.2280725459377344</v>
      </c>
      <c r="R816" s="1">
        <v>-0.67371772101320471</v>
      </c>
      <c r="S816" s="19">
        <v>0.17425748620181172</v>
      </c>
      <c r="T816" s="19">
        <v>0.3649157999443266</v>
      </c>
      <c r="U816" s="19">
        <v>0.802484256692369</v>
      </c>
      <c r="V816" s="19">
        <v>1.5208685508222977</v>
      </c>
      <c r="W816" s="19">
        <v>2.6213519724853689</v>
      </c>
      <c r="X816" s="19">
        <v>4.2121690566945515</v>
      </c>
      <c r="Y816" s="19">
        <v>6.3966788972709177</v>
      </c>
      <c r="Z816" s="19">
        <v>9.2563163061457558</v>
      </c>
      <c r="AA816" s="19">
        <v>12.829308698804288</v>
      </c>
      <c r="AB816" s="19">
        <v>17.088289577646528</v>
      </c>
      <c r="AC816" s="19">
        <v>21.922466926158961</v>
      </c>
      <c r="AD816" s="19">
        <v>27.131916300372513</v>
      </c>
      <c r="AE816" s="19">
        <v>32.441309532432591</v>
      </c>
      <c r="AF816" s="19">
        <v>37.536463175984807</v>
      </c>
      <c r="AG816" s="19">
        <v>42.119270208591225</v>
      </c>
      <c r="AH816" s="19">
        <v>45.967178239611606</v>
      </c>
      <c r="AI816" s="19">
        <v>48.977321333966451</v>
      </c>
      <c r="AJ816" s="19">
        <v>51.318511249924974</v>
      </c>
      <c r="AK816" s="19">
        <v>52.798082592745459</v>
      </c>
      <c r="AL816" s="19">
        <v>54.082644469060448</v>
      </c>
      <c r="AM816" s="19">
        <v>54.729588578148118</v>
      </c>
      <c r="AN816" s="19">
        <v>55.164887285745301</v>
      </c>
      <c r="AO816" s="19">
        <v>55.605799239036699</v>
      </c>
      <c r="AP816" s="19">
        <v>56.052384386867921</v>
      </c>
      <c r="AQ816" s="19">
        <v>56.504703362675947</v>
      </c>
      <c r="AR816" s="19">
        <v>747.61916748403132</v>
      </c>
    </row>
    <row r="817" spans="1:44" x14ac:dyDescent="0.25">
      <c r="A817" t="s">
        <v>250</v>
      </c>
      <c r="B817" t="s">
        <v>350</v>
      </c>
      <c r="C817" t="s">
        <v>45</v>
      </c>
      <c r="D817" t="s">
        <v>345</v>
      </c>
      <c r="E817" t="s">
        <v>145</v>
      </c>
      <c r="F817" t="s">
        <v>345</v>
      </c>
      <c r="G817" t="s">
        <v>31</v>
      </c>
      <c r="H817" t="s">
        <v>253</v>
      </c>
      <c r="I817" t="s">
        <v>256</v>
      </c>
      <c r="J817" t="s">
        <v>39</v>
      </c>
      <c r="K817" t="s">
        <v>31</v>
      </c>
      <c r="L817">
        <v>0.36000000000000054</v>
      </c>
      <c r="M817">
        <v>1</v>
      </c>
      <c r="N817" s="2">
        <v>1.1701485319451077</v>
      </c>
      <c r="O817" s="2">
        <v>2.6530329131883184</v>
      </c>
      <c r="P817" s="1">
        <v>0.28680257702508921</v>
      </c>
      <c r="Q817" s="1">
        <v>0.4672931329656026</v>
      </c>
      <c r="R817" s="1">
        <v>-0.39961544227348506</v>
      </c>
      <c r="S817" s="19">
        <v>0.40298313540187608</v>
      </c>
      <c r="T817" s="19">
        <v>0.61728374365347616</v>
      </c>
      <c r="U817" s="19">
        <v>1.3423046509921992</v>
      </c>
      <c r="V817" s="19">
        <v>2.5154116790838033</v>
      </c>
      <c r="W817" s="19">
        <v>4.2867298153686022</v>
      </c>
      <c r="X817" s="19">
        <v>6.8103690994761585</v>
      </c>
      <c r="Y817" s="19">
        <v>10.225024015441363</v>
      </c>
      <c r="Z817" s="19">
        <v>14.627627559281056</v>
      </c>
      <c r="AA817" s="19">
        <v>20.042228956387422</v>
      </c>
      <c r="AB817" s="19">
        <v>26.389410968339053</v>
      </c>
      <c r="AC817" s="19">
        <v>33.464958426783589</v>
      </c>
      <c r="AD817" s="19">
        <v>40.9385703980725</v>
      </c>
      <c r="AE817" s="19">
        <v>48.381980091972473</v>
      </c>
      <c r="AF817" s="19">
        <v>55.329091027330648</v>
      </c>
      <c r="AG817" s="19">
        <v>61.358956079584921</v>
      </c>
      <c r="AH817" s="19">
        <v>66.179589576228167</v>
      </c>
      <c r="AI817" s="19">
        <v>69.683934421577462</v>
      </c>
      <c r="AJ817" s="19">
        <v>72.153192311407523</v>
      </c>
      <c r="AK817" s="19">
        <v>73.354392644241813</v>
      </c>
      <c r="AL817" s="19">
        <v>74.246352118227364</v>
      </c>
      <c r="AM817" s="19">
        <v>92.429222179691138</v>
      </c>
      <c r="AN817" s="19">
        <v>98.633754220898709</v>
      </c>
      <c r="AO817" s="19">
        <v>98.279011880120947</v>
      </c>
      <c r="AP817" s="19">
        <v>97.780617588503389</v>
      </c>
      <c r="AQ817" s="19">
        <v>97.085462322964773</v>
      </c>
      <c r="AR817" s="19">
        <v>1166.5584589110304</v>
      </c>
    </row>
    <row r="818" spans="1:44" x14ac:dyDescent="0.25">
      <c r="A818" t="s">
        <v>250</v>
      </c>
      <c r="B818" t="s">
        <v>350</v>
      </c>
      <c r="C818" t="s">
        <v>45</v>
      </c>
      <c r="D818" t="s">
        <v>345</v>
      </c>
      <c r="E818" t="s">
        <v>148</v>
      </c>
      <c r="F818" t="s">
        <v>345</v>
      </c>
      <c r="G818" t="s">
        <v>31</v>
      </c>
      <c r="H818" t="s">
        <v>253</v>
      </c>
      <c r="I818" t="s">
        <v>256</v>
      </c>
      <c r="J818" t="s">
        <v>39</v>
      </c>
      <c r="K818" t="s">
        <v>31</v>
      </c>
      <c r="L818">
        <v>0.36000000000000054</v>
      </c>
      <c r="M818">
        <v>1</v>
      </c>
      <c r="N818" s="2">
        <v>1.1701485319451077</v>
      </c>
      <c r="O818" s="2">
        <v>2.6530329131883184</v>
      </c>
      <c r="P818" s="1">
        <v>0.28680257702508921</v>
      </c>
      <c r="Q818" s="1">
        <v>0.4672931329656026</v>
      </c>
      <c r="R818" s="1">
        <v>-0.39961544227348506</v>
      </c>
      <c r="S818" s="19">
        <v>9.1408665901948197E-2</v>
      </c>
      <c r="T818" s="19">
        <v>0.19142056485781228</v>
      </c>
      <c r="U818" s="19">
        <v>0.42095187363492925</v>
      </c>
      <c r="V818" s="19">
        <v>0.79778819420068836</v>
      </c>
      <c r="W818" s="19">
        <v>1.3750587816171431</v>
      </c>
      <c r="X818" s="19">
        <v>2.2095392422912012</v>
      </c>
      <c r="Y818" s="19">
        <v>3.3554477167512569</v>
      </c>
      <c r="Z818" s="19">
        <v>4.8555017242204714</v>
      </c>
      <c r="AA818" s="19">
        <v>6.7297538726332045</v>
      </c>
      <c r="AB818" s="19">
        <v>8.9638487670471374</v>
      </c>
      <c r="AC818" s="19">
        <v>11.499669246226883</v>
      </c>
      <c r="AD818" s="19">
        <v>14.232342761493172</v>
      </c>
      <c r="AE818" s="19">
        <v>17.017442917990447</v>
      </c>
      <c r="AF818" s="19">
        <v>19.690161360532201</v>
      </c>
      <c r="AG818" s="19">
        <v>22.09412279752582</v>
      </c>
      <c r="AH818" s="19">
        <v>24.112584943947812</v>
      </c>
      <c r="AI818" s="19">
        <v>25.691588351068109</v>
      </c>
      <c r="AJ818" s="19">
        <v>26.919685068778129</v>
      </c>
      <c r="AK818" s="19">
        <v>27.695810361882646</v>
      </c>
      <c r="AL818" s="19">
        <v>28.369641311368799</v>
      </c>
      <c r="AM818" s="19">
        <v>28.709002903308271</v>
      </c>
      <c r="AN818" s="19">
        <v>28.937343590400747</v>
      </c>
      <c r="AO818" s="19">
        <v>29.168628766773686</v>
      </c>
      <c r="AP818" s="19">
        <v>29.402889879250143</v>
      </c>
      <c r="AQ818" s="19">
        <v>29.640158733759279</v>
      </c>
      <c r="AR818" s="19">
        <v>392.1717923974619</v>
      </c>
    </row>
    <row r="819" spans="1:44" x14ac:dyDescent="0.25">
      <c r="A819" t="s">
        <v>250</v>
      </c>
      <c r="B819" t="s">
        <v>350</v>
      </c>
      <c r="C819" t="s">
        <v>45</v>
      </c>
      <c r="D819" t="s">
        <v>345</v>
      </c>
      <c r="E819" t="s">
        <v>145</v>
      </c>
      <c r="F819" t="s">
        <v>345</v>
      </c>
      <c r="G819" t="s">
        <v>31</v>
      </c>
      <c r="H819" t="s">
        <v>253</v>
      </c>
      <c r="I819" t="s">
        <v>135</v>
      </c>
      <c r="J819" t="s">
        <v>40</v>
      </c>
      <c r="K819" t="s">
        <v>31</v>
      </c>
      <c r="L819">
        <v>0.36000000000000054</v>
      </c>
      <c r="M819">
        <v>1</v>
      </c>
      <c r="N819" s="2">
        <v>1.3933456709467129</v>
      </c>
      <c r="O819" s="2">
        <v>1.9798085216903551</v>
      </c>
      <c r="P819" s="1">
        <v>1.2700298285369591E-2</v>
      </c>
      <c r="Q819" s="1">
        <v>0.4672931329656026</v>
      </c>
      <c r="R819" s="1">
        <v>-0.53071772101320469</v>
      </c>
      <c r="S819" s="19">
        <v>0.40410465193097667</v>
      </c>
      <c r="T819" s="19">
        <v>0.61900166646670274</v>
      </c>
      <c r="U819" s="19">
        <v>1.3460403330119319</v>
      </c>
      <c r="V819" s="19">
        <v>2.5224121600661449</v>
      </c>
      <c r="W819" s="19">
        <v>4.2986599382977664</v>
      </c>
      <c r="X819" s="19">
        <v>6.8293226011077373</v>
      </c>
      <c r="Y819" s="19">
        <v>10.253480624257843</v>
      </c>
      <c r="Z819" s="19">
        <v>14.668336771771804</v>
      </c>
      <c r="AA819" s="19">
        <v>20.098007198899207</v>
      </c>
      <c r="AB819" s="19">
        <v>26.462853646193825</v>
      </c>
      <c r="AC819" s="19">
        <v>33.55809260716034</v>
      </c>
      <c r="AD819" s="19">
        <v>41.052503908797227</v>
      </c>
      <c r="AE819" s="19">
        <v>48.516628879023209</v>
      </c>
      <c r="AF819" s="19">
        <v>55.483073873449982</v>
      </c>
      <c r="AG819" s="19">
        <v>61.529720256559713</v>
      </c>
      <c r="AH819" s="19">
        <v>66.363769749239168</v>
      </c>
      <c r="AI819" s="19">
        <v>69.877867312065902</v>
      </c>
      <c r="AJ819" s="19">
        <v>72.353997235226331</v>
      </c>
      <c r="AK819" s="19">
        <v>73.558540551698599</v>
      </c>
      <c r="AL819" s="19">
        <v>74.452982380913156</v>
      </c>
      <c r="AM819" s="19">
        <v>92.686456022350782</v>
      </c>
      <c r="AN819" s="19">
        <v>98.908255498912894</v>
      </c>
      <c r="AO819" s="19">
        <v>98.552525897468769</v>
      </c>
      <c r="AP819" s="19">
        <v>98.052744556650495</v>
      </c>
      <c r="AQ819" s="19">
        <v>97.355654649058167</v>
      </c>
      <c r="AR819" s="19">
        <v>1169.8050329705784</v>
      </c>
    </row>
    <row r="820" spans="1:44" x14ac:dyDescent="0.25">
      <c r="A820" t="s">
        <v>250</v>
      </c>
      <c r="B820" t="s">
        <v>350</v>
      </c>
      <c r="C820" t="s">
        <v>45</v>
      </c>
      <c r="D820" t="s">
        <v>345</v>
      </c>
      <c r="E820" t="s">
        <v>148</v>
      </c>
      <c r="F820" t="s">
        <v>345</v>
      </c>
      <c r="G820" t="s">
        <v>31</v>
      </c>
      <c r="H820" t="s">
        <v>253</v>
      </c>
      <c r="I820" t="s">
        <v>135</v>
      </c>
      <c r="J820" t="s">
        <v>40</v>
      </c>
      <c r="K820" t="s">
        <v>31</v>
      </c>
      <c r="L820">
        <v>0.36000000000000054</v>
      </c>
      <c r="M820">
        <v>1</v>
      </c>
      <c r="N820" s="2">
        <v>1.3933456709467129</v>
      </c>
      <c r="O820" s="2">
        <v>1.9798085216903551</v>
      </c>
      <c r="P820" s="1">
        <v>1.2700298285369591E-2</v>
      </c>
      <c r="Q820" s="1">
        <v>0.4672931329656026</v>
      </c>
      <c r="R820" s="1">
        <v>-0.53071772101320469</v>
      </c>
      <c r="S820" s="19">
        <v>9.1663059499858535E-2</v>
      </c>
      <c r="T820" s="19">
        <v>0.19195329515999615</v>
      </c>
      <c r="U820" s="19">
        <v>0.42212339780743752</v>
      </c>
      <c r="V820" s="19">
        <v>0.80000846737819875</v>
      </c>
      <c r="W820" s="19">
        <v>1.3788856195579724</v>
      </c>
      <c r="X820" s="19">
        <v>2.2156884693040064</v>
      </c>
      <c r="Y820" s="19">
        <v>3.3647860481757648</v>
      </c>
      <c r="Z820" s="19">
        <v>4.8690147597854967</v>
      </c>
      <c r="AA820" s="19">
        <v>6.7484830191950813</v>
      </c>
      <c r="AB820" s="19">
        <v>8.9887954798831764</v>
      </c>
      <c r="AC820" s="19">
        <v>11.531673238468192</v>
      </c>
      <c r="AD820" s="19">
        <v>14.27195188220475</v>
      </c>
      <c r="AE820" s="19">
        <v>17.064803072395978</v>
      </c>
      <c r="AF820" s="19">
        <v>19.744959786288884</v>
      </c>
      <c r="AG820" s="19">
        <v>22.155611534240936</v>
      </c>
      <c r="AH820" s="19">
        <v>24.179691133260089</v>
      </c>
      <c r="AI820" s="19">
        <v>25.763088963533971</v>
      </c>
      <c r="AJ820" s="19">
        <v>26.994603518486169</v>
      </c>
      <c r="AK820" s="19">
        <v>27.772888796136979</v>
      </c>
      <c r="AL820" s="19">
        <v>28.448595041339601</v>
      </c>
      <c r="AM820" s="19">
        <v>28.78890108876945</v>
      </c>
      <c r="AN820" s="19">
        <v>29.017877256189109</v>
      </c>
      <c r="AO820" s="19">
        <v>29.24980610750945</v>
      </c>
      <c r="AP820" s="19">
        <v>29.484719177069156</v>
      </c>
      <c r="AQ820" s="19">
        <v>29.72264835931604</v>
      </c>
      <c r="AR820" s="19">
        <v>393.26322057095575</v>
      </c>
    </row>
    <row r="821" spans="1:44" x14ac:dyDescent="0.25">
      <c r="A821" t="s">
        <v>250</v>
      </c>
      <c r="B821" t="s">
        <v>351</v>
      </c>
      <c r="C821" t="s">
        <v>45</v>
      </c>
      <c r="D821" t="s">
        <v>345</v>
      </c>
      <c r="E821" t="s">
        <v>145</v>
      </c>
      <c r="F821" t="s">
        <v>345</v>
      </c>
      <c r="G821" t="s">
        <v>31</v>
      </c>
      <c r="H821" t="s">
        <v>252</v>
      </c>
      <c r="I821" t="s">
        <v>135</v>
      </c>
      <c r="J821" t="s">
        <v>39</v>
      </c>
      <c r="K821" t="s">
        <v>31</v>
      </c>
      <c r="L821">
        <v>1.0857142857142874</v>
      </c>
      <c r="M821">
        <v>1</v>
      </c>
      <c r="N821" s="2">
        <v>2.8421418453635772</v>
      </c>
      <c r="O821" s="2">
        <v>3.1557944646272498</v>
      </c>
      <c r="P821" s="1">
        <v>-0.61394190043143382</v>
      </c>
      <c r="Q821" s="1">
        <v>0.60143034722093058</v>
      </c>
      <c r="R821" s="1">
        <v>-0.67371772101320504</v>
      </c>
      <c r="S821" s="19">
        <v>4.6293773657983222</v>
      </c>
      <c r="T821" s="19">
        <v>7.0940615166752687</v>
      </c>
      <c r="U821" s="19">
        <v>15.432475751909108</v>
      </c>
      <c r="V821" s="19">
        <v>28.931302034917387</v>
      </c>
      <c r="W821" s="19">
        <v>49.324127960228239</v>
      </c>
      <c r="X821" s="19">
        <v>78.393192659440004</v>
      </c>
      <c r="Y821" s="19">
        <v>117.74607437254885</v>
      </c>
      <c r="Z821" s="19">
        <v>168.51182886726824</v>
      </c>
      <c r="AA821" s="19">
        <v>230.98134984966768</v>
      </c>
      <c r="AB821" s="19">
        <v>304.25308496837562</v>
      </c>
      <c r="AC821" s="19">
        <v>385.98460365666608</v>
      </c>
      <c r="AD821" s="19">
        <v>472.37484512375966</v>
      </c>
      <c r="AE821" s="19">
        <v>558.48578829502821</v>
      </c>
      <c r="AF821" s="19">
        <v>638.93462088896433</v>
      </c>
      <c r="AG821" s="19">
        <v>708.85147247156374</v>
      </c>
      <c r="AH821" s="19">
        <v>764.84908428365077</v>
      </c>
      <c r="AI821" s="19">
        <v>805.6728761614562</v>
      </c>
      <c r="AJ821" s="19">
        <v>834.55704579876419</v>
      </c>
      <c r="AK821" s="19">
        <v>848.79145941116917</v>
      </c>
      <c r="AL821" s="19">
        <v>859.45747682377805</v>
      </c>
      <c r="AM821" s="19">
        <v>1068.6826044356908</v>
      </c>
      <c r="AN821" s="19">
        <v>1132.9244885713742</v>
      </c>
      <c r="AO821" s="19">
        <v>1129.2866341603838</v>
      </c>
      <c r="AP821" s="19">
        <v>1124.0361943762759</v>
      </c>
      <c r="AQ821" s="19">
        <v>1116.5763195172881</v>
      </c>
      <c r="AR821" s="19">
        <v>13454.762389322639</v>
      </c>
    </row>
    <row r="822" spans="1:44" x14ac:dyDescent="0.25">
      <c r="A822" t="s">
        <v>250</v>
      </c>
      <c r="B822" t="s">
        <v>351</v>
      </c>
      <c r="C822" t="s">
        <v>45</v>
      </c>
      <c r="D822" t="s">
        <v>345</v>
      </c>
      <c r="E822" t="s">
        <v>148</v>
      </c>
      <c r="F822" t="s">
        <v>345</v>
      </c>
      <c r="G822" t="s">
        <v>31</v>
      </c>
      <c r="H822" t="s">
        <v>252</v>
      </c>
      <c r="I822" t="s">
        <v>135</v>
      </c>
      <c r="J822" t="s">
        <v>39</v>
      </c>
      <c r="K822" t="s">
        <v>31</v>
      </c>
      <c r="L822">
        <v>1.0857142857142874</v>
      </c>
      <c r="M822">
        <v>1</v>
      </c>
      <c r="N822" s="2">
        <v>2.8421418453635772</v>
      </c>
      <c r="O822" s="2">
        <v>3.1557944646272498</v>
      </c>
      <c r="P822" s="1">
        <v>-0.61394190043143382</v>
      </c>
      <c r="Q822" s="1">
        <v>0.60143034722093058</v>
      </c>
      <c r="R822" s="1">
        <v>-0.67371772101320504</v>
      </c>
      <c r="S822" s="19">
        <v>1.050081682803667</v>
      </c>
      <c r="T822" s="19">
        <v>2.1420320675743247</v>
      </c>
      <c r="U822" s="19">
        <v>4.7123897366822405</v>
      </c>
      <c r="V822" s="19">
        <v>8.9344085419421724</v>
      </c>
      <c r="W822" s="19">
        <v>15.405187519017751</v>
      </c>
      <c r="X822" s="19">
        <v>24.763558369307169</v>
      </c>
      <c r="Y822" s="19">
        <v>37.620581501516661</v>
      </c>
      <c r="Z822" s="19">
        <v>54.459159824139306</v>
      </c>
      <c r="AA822" s="19">
        <v>75.50851158588425</v>
      </c>
      <c r="AB822" s="19">
        <v>100.61188147820504</v>
      </c>
      <c r="AC822" s="19">
        <v>129.12081140880156</v>
      </c>
      <c r="AD822" s="19">
        <v>159.86065007624879</v>
      </c>
      <c r="AE822" s="19">
        <v>191.21057666800675</v>
      </c>
      <c r="AF822" s="19">
        <v>221.31837249012696</v>
      </c>
      <c r="AG822" s="19">
        <v>248.424088944978</v>
      </c>
      <c r="AH822" s="19">
        <v>271.21121155149916</v>
      </c>
      <c r="AI822" s="19">
        <v>289.06794553959207</v>
      </c>
      <c r="AJ822" s="19">
        <v>302.98579418079521</v>
      </c>
      <c r="AK822" s="19">
        <v>311.82281551473881</v>
      </c>
      <c r="AL822" s="19">
        <v>319.51216429038908</v>
      </c>
      <c r="AM822" s="19">
        <v>323.43695073765207</v>
      </c>
      <c r="AN822" s="19">
        <v>326.11171639745362</v>
      </c>
      <c r="AO822" s="19">
        <v>328.82000143956975</v>
      </c>
      <c r="AP822" s="19">
        <v>331.56216872308926</v>
      </c>
      <c r="AQ822" s="19">
        <v>334.33858522452135</v>
      </c>
      <c r="AR822" s="19">
        <v>4414.0116454945346</v>
      </c>
    </row>
    <row r="823" spans="1:44" x14ac:dyDescent="0.25">
      <c r="A823" t="s">
        <v>250</v>
      </c>
      <c r="B823" t="s">
        <v>352</v>
      </c>
      <c r="C823" t="s">
        <v>45</v>
      </c>
      <c r="D823" t="s">
        <v>345</v>
      </c>
      <c r="E823" t="s">
        <v>145</v>
      </c>
      <c r="F823" t="s">
        <v>345</v>
      </c>
      <c r="G823" t="s">
        <v>31</v>
      </c>
      <c r="H823" t="s">
        <v>254</v>
      </c>
      <c r="I823" t="s">
        <v>135</v>
      </c>
      <c r="J823" t="s">
        <v>39</v>
      </c>
      <c r="K823" t="s">
        <v>31</v>
      </c>
      <c r="L823">
        <v>0.49714285714285794</v>
      </c>
      <c r="M823">
        <v>1</v>
      </c>
      <c r="N823" s="2">
        <v>1.7649382741650612</v>
      </c>
      <c r="O823" s="2">
        <v>3.1588853240212433</v>
      </c>
      <c r="P823" s="1">
        <v>-0.24591934386764219</v>
      </c>
      <c r="Q823" s="1">
        <v>0.96945290378472293</v>
      </c>
      <c r="R823" s="1">
        <v>-0.67371772101320515</v>
      </c>
      <c r="S823" s="19">
        <v>0</v>
      </c>
      <c r="T823" s="19">
        <v>0</v>
      </c>
      <c r="U823" s="19">
        <v>0</v>
      </c>
      <c r="V823" s="19">
        <v>0</v>
      </c>
      <c r="W823" s="19">
        <v>0</v>
      </c>
      <c r="X823" s="19">
        <v>0</v>
      </c>
      <c r="Y823" s="19">
        <v>0</v>
      </c>
      <c r="Z823" s="19">
        <v>0</v>
      </c>
      <c r="AA823" s="19">
        <v>0</v>
      </c>
      <c r="AB823" s="19">
        <v>0</v>
      </c>
      <c r="AC823" s="19">
        <v>0</v>
      </c>
      <c r="AD823" s="19">
        <v>0</v>
      </c>
      <c r="AE823" s="19">
        <v>0</v>
      </c>
      <c r="AF823" s="19">
        <v>0</v>
      </c>
      <c r="AG823" s="19">
        <v>0</v>
      </c>
      <c r="AH823" s="19">
        <v>0</v>
      </c>
      <c r="AI823" s="19">
        <v>0</v>
      </c>
      <c r="AJ823" s="19">
        <v>0</v>
      </c>
      <c r="AK823" s="19">
        <v>0</v>
      </c>
      <c r="AL823" s="19">
        <v>0</v>
      </c>
      <c r="AM823" s="19">
        <v>0</v>
      </c>
      <c r="AN823" s="19">
        <v>0</v>
      </c>
      <c r="AO823" s="19">
        <v>0</v>
      </c>
      <c r="AP823" s="19">
        <v>0</v>
      </c>
      <c r="AQ823" s="19">
        <v>0</v>
      </c>
      <c r="AR823" s="19">
        <v>0</v>
      </c>
    </row>
    <row r="824" spans="1:44" x14ac:dyDescent="0.25">
      <c r="A824" t="s">
        <v>250</v>
      </c>
      <c r="B824" t="s">
        <v>352</v>
      </c>
      <c r="C824" t="s">
        <v>45</v>
      </c>
      <c r="D824" t="s">
        <v>345</v>
      </c>
      <c r="E824" t="s">
        <v>148</v>
      </c>
      <c r="F824" t="s">
        <v>345</v>
      </c>
      <c r="G824" t="s">
        <v>31</v>
      </c>
      <c r="H824" t="s">
        <v>254</v>
      </c>
      <c r="I824" t="s">
        <v>135</v>
      </c>
      <c r="J824" t="s">
        <v>39</v>
      </c>
      <c r="K824" t="s">
        <v>31</v>
      </c>
      <c r="L824">
        <v>0.49714285714285794</v>
      </c>
      <c r="M824">
        <v>1</v>
      </c>
      <c r="N824" s="2">
        <v>1.7649382741650612</v>
      </c>
      <c r="O824" s="2">
        <v>3.1588853240212433</v>
      </c>
      <c r="P824" s="1">
        <v>-0.24591934386764219</v>
      </c>
      <c r="Q824" s="1">
        <v>0.96945290378472293</v>
      </c>
      <c r="R824" s="1">
        <v>-0.67371772101320515</v>
      </c>
      <c r="S824" s="19">
        <v>0</v>
      </c>
      <c r="T824" s="19">
        <v>0</v>
      </c>
      <c r="U824" s="19">
        <v>0</v>
      </c>
      <c r="V824" s="19">
        <v>0</v>
      </c>
      <c r="W824" s="19">
        <v>0</v>
      </c>
      <c r="X824" s="19">
        <v>0</v>
      </c>
      <c r="Y824" s="19">
        <v>0</v>
      </c>
      <c r="Z824" s="19">
        <v>0</v>
      </c>
      <c r="AA824" s="19">
        <v>0</v>
      </c>
      <c r="AB824" s="19">
        <v>0</v>
      </c>
      <c r="AC824" s="19">
        <v>0</v>
      </c>
      <c r="AD824" s="19">
        <v>0</v>
      </c>
      <c r="AE824" s="19">
        <v>0</v>
      </c>
      <c r="AF824" s="19">
        <v>0</v>
      </c>
      <c r="AG824" s="19">
        <v>0</v>
      </c>
      <c r="AH824" s="19">
        <v>0</v>
      </c>
      <c r="AI824" s="19">
        <v>0</v>
      </c>
      <c r="AJ824" s="19">
        <v>0</v>
      </c>
      <c r="AK824" s="19">
        <v>0</v>
      </c>
      <c r="AL824" s="19">
        <v>0</v>
      </c>
      <c r="AM824" s="19">
        <v>0</v>
      </c>
      <c r="AN824" s="19">
        <v>0</v>
      </c>
      <c r="AO824" s="19">
        <v>0</v>
      </c>
      <c r="AP824" s="19">
        <v>0</v>
      </c>
      <c r="AQ824" s="19">
        <v>0</v>
      </c>
      <c r="AR824" s="19">
        <v>0</v>
      </c>
    </row>
    <row r="825" spans="1:44" x14ac:dyDescent="0.25">
      <c r="A825" t="s">
        <v>250</v>
      </c>
      <c r="B825" t="s">
        <v>352</v>
      </c>
      <c r="C825" t="s">
        <v>45</v>
      </c>
      <c r="D825" t="s">
        <v>345</v>
      </c>
      <c r="E825" t="s">
        <v>145</v>
      </c>
      <c r="F825" t="s">
        <v>345</v>
      </c>
      <c r="G825" t="s">
        <v>31</v>
      </c>
      <c r="H825" t="s">
        <v>255</v>
      </c>
      <c r="I825" t="s">
        <v>135</v>
      </c>
      <c r="J825" t="s">
        <v>39</v>
      </c>
      <c r="K825" t="s">
        <v>31</v>
      </c>
      <c r="L825">
        <v>0.49714285714285794</v>
      </c>
      <c r="M825">
        <v>1</v>
      </c>
      <c r="N825" s="2">
        <v>1.7649382741650612</v>
      </c>
      <c r="O825" s="2">
        <v>3.1588853240212433</v>
      </c>
      <c r="P825" s="1">
        <v>-0.24591934386764219</v>
      </c>
      <c r="Q825" s="1">
        <v>0.96945290378472293</v>
      </c>
      <c r="R825" s="1">
        <v>-0.67371772101320515</v>
      </c>
      <c r="S825" s="19">
        <v>0</v>
      </c>
      <c r="T825" s="19">
        <v>0</v>
      </c>
      <c r="U825" s="19">
        <v>0</v>
      </c>
      <c r="V825" s="19">
        <v>0</v>
      </c>
      <c r="W825" s="19">
        <v>0</v>
      </c>
      <c r="X825" s="19">
        <v>0</v>
      </c>
      <c r="Y825" s="19">
        <v>0</v>
      </c>
      <c r="Z825" s="19">
        <v>0</v>
      </c>
      <c r="AA825" s="19">
        <v>0</v>
      </c>
      <c r="AB825" s="19">
        <v>0</v>
      </c>
      <c r="AC825" s="19">
        <v>0</v>
      </c>
      <c r="AD825" s="19">
        <v>0</v>
      </c>
      <c r="AE825" s="19">
        <v>0</v>
      </c>
      <c r="AF825" s="19">
        <v>0</v>
      </c>
      <c r="AG825" s="19">
        <v>0</v>
      </c>
      <c r="AH825" s="19">
        <v>0</v>
      </c>
      <c r="AI825" s="19">
        <v>0</v>
      </c>
      <c r="AJ825" s="19">
        <v>0</v>
      </c>
      <c r="AK825" s="19">
        <v>0</v>
      </c>
      <c r="AL825" s="19">
        <v>0</v>
      </c>
      <c r="AM825" s="19">
        <v>0</v>
      </c>
      <c r="AN825" s="19">
        <v>0</v>
      </c>
      <c r="AO825" s="19">
        <v>0</v>
      </c>
      <c r="AP825" s="19">
        <v>0</v>
      </c>
      <c r="AQ825" s="19">
        <v>0</v>
      </c>
      <c r="AR825" s="19">
        <v>0</v>
      </c>
    </row>
    <row r="826" spans="1:44" x14ac:dyDescent="0.25">
      <c r="A826" t="s">
        <v>250</v>
      </c>
      <c r="B826" t="s">
        <v>352</v>
      </c>
      <c r="C826" t="s">
        <v>45</v>
      </c>
      <c r="D826" t="s">
        <v>345</v>
      </c>
      <c r="E826" t="s">
        <v>148</v>
      </c>
      <c r="F826" t="s">
        <v>345</v>
      </c>
      <c r="G826" t="s">
        <v>31</v>
      </c>
      <c r="H826" t="s">
        <v>255</v>
      </c>
      <c r="I826" t="s">
        <v>135</v>
      </c>
      <c r="J826" t="s">
        <v>39</v>
      </c>
      <c r="K826" t="s">
        <v>31</v>
      </c>
      <c r="L826">
        <v>0.49714285714285794</v>
      </c>
      <c r="M826">
        <v>1</v>
      </c>
      <c r="N826" s="2">
        <v>1.7649382741650612</v>
      </c>
      <c r="O826" s="2">
        <v>3.1588853240212433</v>
      </c>
      <c r="P826" s="1">
        <v>-0.24591934386764219</v>
      </c>
      <c r="Q826" s="1">
        <v>0.96945290378472293</v>
      </c>
      <c r="R826" s="1">
        <v>-0.67371772101320515</v>
      </c>
      <c r="S826" s="19">
        <v>0</v>
      </c>
      <c r="T826" s="19">
        <v>0</v>
      </c>
      <c r="U826" s="19">
        <v>0</v>
      </c>
      <c r="V826" s="19">
        <v>0</v>
      </c>
      <c r="W826" s="19">
        <v>0</v>
      </c>
      <c r="X826" s="19">
        <v>0</v>
      </c>
      <c r="Y826" s="19">
        <v>0</v>
      </c>
      <c r="Z826" s="19">
        <v>0</v>
      </c>
      <c r="AA826" s="19">
        <v>0</v>
      </c>
      <c r="AB826" s="19">
        <v>0</v>
      </c>
      <c r="AC826" s="19">
        <v>0</v>
      </c>
      <c r="AD826" s="19">
        <v>0</v>
      </c>
      <c r="AE826" s="19">
        <v>0</v>
      </c>
      <c r="AF826" s="19">
        <v>0</v>
      </c>
      <c r="AG826" s="19">
        <v>0</v>
      </c>
      <c r="AH826" s="19">
        <v>0</v>
      </c>
      <c r="AI826" s="19">
        <v>0</v>
      </c>
      <c r="AJ826" s="19">
        <v>0</v>
      </c>
      <c r="AK826" s="19">
        <v>0</v>
      </c>
      <c r="AL826" s="19">
        <v>0</v>
      </c>
      <c r="AM826" s="19">
        <v>0</v>
      </c>
      <c r="AN826" s="19">
        <v>0</v>
      </c>
      <c r="AO826" s="19">
        <v>0</v>
      </c>
      <c r="AP826" s="19">
        <v>0</v>
      </c>
      <c r="AQ826" s="19">
        <v>0</v>
      </c>
      <c r="AR826" s="19">
        <v>0</v>
      </c>
    </row>
    <row r="827" spans="1:44" x14ac:dyDescent="0.25">
      <c r="A827" t="s">
        <v>250</v>
      </c>
      <c r="B827" t="s">
        <v>353</v>
      </c>
      <c r="C827" t="s">
        <v>45</v>
      </c>
      <c r="D827" t="s">
        <v>354</v>
      </c>
      <c r="E827" t="s">
        <v>134</v>
      </c>
      <c r="F827" t="s">
        <v>354</v>
      </c>
      <c r="G827" t="s">
        <v>31</v>
      </c>
      <c r="H827" t="s">
        <v>288</v>
      </c>
      <c r="I827" t="s">
        <v>135</v>
      </c>
      <c r="J827" t="s">
        <v>39</v>
      </c>
      <c r="K827" t="s">
        <v>31</v>
      </c>
      <c r="L827">
        <v>2.11</v>
      </c>
      <c r="M827">
        <v>1</v>
      </c>
      <c r="N827" s="2">
        <v>1.5959225360467455</v>
      </c>
      <c r="O827" s="2">
        <v>3.1588853240212429</v>
      </c>
      <c r="P827" s="1">
        <v>-0.14324970019558894</v>
      </c>
      <c r="Q827" s="1">
        <v>1.0721225474567759</v>
      </c>
      <c r="R827" s="1">
        <v>-0.67371772101320515</v>
      </c>
      <c r="S827" s="19">
        <v>36.019784218676307</v>
      </c>
      <c r="T827" s="19">
        <v>71.785182489136972</v>
      </c>
      <c r="U827" s="19">
        <v>127.0754687285214</v>
      </c>
      <c r="V827" s="19">
        <v>206.08554999907972</v>
      </c>
      <c r="W827" s="19">
        <v>311.8706532187025</v>
      </c>
      <c r="X827" s="19">
        <v>445.32541895627224</v>
      </c>
      <c r="Y827" s="19">
        <v>603.94757122701947</v>
      </c>
      <c r="Z827" s="19">
        <v>780.58538022983316</v>
      </c>
      <c r="AA827" s="19">
        <v>962.55323424448784</v>
      </c>
      <c r="AB827" s="19">
        <v>1131.6736823324743</v>
      </c>
      <c r="AC827" s="19">
        <v>1265.8553336969726</v>
      </c>
      <c r="AD827" s="19">
        <v>1342.591846975527</v>
      </c>
      <c r="AE827" s="19">
        <v>1344.1523995679152</v>
      </c>
      <c r="AF827" s="19">
        <v>1263.2890523036333</v>
      </c>
      <c r="AG827" s="19">
        <v>1107.3814789130486</v>
      </c>
      <c r="AH827" s="19">
        <v>913.0448706516122</v>
      </c>
      <c r="AI827" s="19">
        <v>696.11615108914941</v>
      </c>
      <c r="AJ827" s="19">
        <v>459.5649439076314</v>
      </c>
      <c r="AK827" s="19">
        <v>0</v>
      </c>
      <c r="AL827" s="19">
        <v>0</v>
      </c>
      <c r="AM827" s="19">
        <v>0</v>
      </c>
      <c r="AN827" s="19">
        <v>0</v>
      </c>
      <c r="AO827" s="19">
        <v>0</v>
      </c>
      <c r="AP827" s="19">
        <v>0</v>
      </c>
      <c r="AQ827" s="19">
        <v>0</v>
      </c>
      <c r="AR827" s="19">
        <v>13068.918002749691</v>
      </c>
    </row>
    <row r="828" spans="1:44" x14ac:dyDescent="0.25">
      <c r="A828" t="s">
        <v>250</v>
      </c>
      <c r="B828" t="s">
        <v>353</v>
      </c>
      <c r="C828" t="s">
        <v>45</v>
      </c>
      <c r="D828" t="s">
        <v>354</v>
      </c>
      <c r="E828" t="s">
        <v>134</v>
      </c>
      <c r="F828" t="s">
        <v>354</v>
      </c>
      <c r="G828" t="s">
        <v>31</v>
      </c>
      <c r="H828" t="s">
        <v>289</v>
      </c>
      <c r="I828" t="s">
        <v>135</v>
      </c>
      <c r="J828" t="s">
        <v>39</v>
      </c>
      <c r="K828" t="s">
        <v>31</v>
      </c>
      <c r="L828">
        <v>2.11</v>
      </c>
      <c r="M828">
        <v>1</v>
      </c>
      <c r="N828" s="2">
        <v>1.5959225360467455</v>
      </c>
      <c r="O828" s="2">
        <v>3.1588853240212429</v>
      </c>
      <c r="P828" s="1">
        <v>-0.14324970019558894</v>
      </c>
      <c r="Q828" s="1">
        <v>1.0721225474567759</v>
      </c>
      <c r="R828" s="1">
        <v>-0.67371772101320515</v>
      </c>
      <c r="S828" s="19">
        <v>34.235243507532367</v>
      </c>
      <c r="T828" s="19">
        <v>68.228704198455262</v>
      </c>
      <c r="U828" s="19">
        <v>120.77972453535756</v>
      </c>
      <c r="V828" s="19">
        <v>195.87538183929496</v>
      </c>
      <c r="W828" s="19">
        <v>296.41953685717647</v>
      </c>
      <c r="X828" s="19">
        <v>423.2625066686789</v>
      </c>
      <c r="Y828" s="19">
        <v>574.02598641940438</v>
      </c>
      <c r="Z828" s="19">
        <v>741.91256694791332</v>
      </c>
      <c r="AA828" s="19">
        <v>914.86512421239274</v>
      </c>
      <c r="AB828" s="19">
        <v>1075.6067790553204</v>
      </c>
      <c r="AC828" s="19">
        <v>1203.1406221460447</v>
      </c>
      <c r="AD828" s="19">
        <v>1276.0753516286318</v>
      </c>
      <c r="AE828" s="19">
        <v>1277.5585892205715</v>
      </c>
      <c r="AF828" s="19">
        <v>1200.7014829253201</v>
      </c>
      <c r="AG828" s="19">
        <v>1052.5180927281181</v>
      </c>
      <c r="AH828" s="19">
        <v>867.80957071513649</v>
      </c>
      <c r="AI828" s="19">
        <v>661.62822623758132</v>
      </c>
      <c r="AJ828" s="19">
        <v>436.79655787736345</v>
      </c>
      <c r="AK828" s="19">
        <v>0</v>
      </c>
      <c r="AL828" s="19">
        <v>0</v>
      </c>
      <c r="AM828" s="19">
        <v>0</v>
      </c>
      <c r="AN828" s="19">
        <v>0</v>
      </c>
      <c r="AO828" s="19">
        <v>0</v>
      </c>
      <c r="AP828" s="19">
        <v>0</v>
      </c>
      <c r="AQ828" s="19">
        <v>0</v>
      </c>
      <c r="AR828" s="19">
        <v>12421.440047720294</v>
      </c>
    </row>
    <row r="829" spans="1:44" x14ac:dyDescent="0.25">
      <c r="A829" t="s">
        <v>250</v>
      </c>
      <c r="B829" t="s">
        <v>353</v>
      </c>
      <c r="C829" t="s">
        <v>45</v>
      </c>
      <c r="D829" t="s">
        <v>354</v>
      </c>
      <c r="E829" t="s">
        <v>134</v>
      </c>
      <c r="F829" t="s">
        <v>354</v>
      </c>
      <c r="G829" t="s">
        <v>31</v>
      </c>
      <c r="H829" t="s">
        <v>290</v>
      </c>
      <c r="I829" t="s">
        <v>135</v>
      </c>
      <c r="J829" t="s">
        <v>39</v>
      </c>
      <c r="K829" t="s">
        <v>31</v>
      </c>
      <c r="L829">
        <v>2.11</v>
      </c>
      <c r="M829">
        <v>1</v>
      </c>
      <c r="N829" s="2">
        <v>1.5959225360467455</v>
      </c>
      <c r="O829" s="2">
        <v>3.1588853240212429</v>
      </c>
      <c r="P829" s="1">
        <v>-0.14324970019558894</v>
      </c>
      <c r="Q829" s="1">
        <v>1.0721225474567759</v>
      </c>
      <c r="R829" s="1">
        <v>-0.67371772101320515</v>
      </c>
      <c r="S829" s="19">
        <v>49.574964350866125</v>
      </c>
      <c r="T829" s="19">
        <v>98.799810715528125</v>
      </c>
      <c r="U829" s="19">
        <v>174.89726739727712</v>
      </c>
      <c r="V829" s="19">
        <v>283.64089391561799</v>
      </c>
      <c r="W829" s="19">
        <v>429.2356784131419</v>
      </c>
      <c r="X829" s="19">
        <v>612.91293793605712</v>
      </c>
      <c r="Y829" s="19">
        <v>831.22872506957981</v>
      </c>
      <c r="Z829" s="19">
        <v>1074.339928378487</v>
      </c>
      <c r="AA829" s="19">
        <v>1324.7870110432048</v>
      </c>
      <c r="AB829" s="19">
        <v>1557.5518753206884</v>
      </c>
      <c r="AC829" s="19">
        <v>1742.2295664070846</v>
      </c>
      <c r="AD829" s="19">
        <v>1847.8440222599768</v>
      </c>
      <c r="AE829" s="19">
        <v>1849.9918513159644</v>
      </c>
      <c r="AF829" s="19">
        <v>1738.6975266864488</v>
      </c>
      <c r="AG829" s="19">
        <v>1524.1178849555381</v>
      </c>
      <c r="AH829" s="19">
        <v>1256.6473646398276</v>
      </c>
      <c r="AI829" s="19">
        <v>958.08273488804764</v>
      </c>
      <c r="AJ829" s="19">
        <v>632.51116588631851</v>
      </c>
      <c r="AK829" s="19">
        <v>0</v>
      </c>
      <c r="AL829" s="19">
        <v>0</v>
      </c>
      <c r="AM829" s="19">
        <v>0</v>
      </c>
      <c r="AN829" s="19">
        <v>0</v>
      </c>
      <c r="AO829" s="19">
        <v>0</v>
      </c>
      <c r="AP829" s="19">
        <v>0</v>
      </c>
      <c r="AQ829" s="19">
        <v>0</v>
      </c>
      <c r="AR829" s="19">
        <v>17987.091209579652</v>
      </c>
    </row>
    <row r="830" spans="1:44" x14ac:dyDescent="0.25">
      <c r="A830" t="s">
        <v>250</v>
      </c>
      <c r="B830" t="s">
        <v>353</v>
      </c>
      <c r="C830" t="s">
        <v>45</v>
      </c>
      <c r="D830" t="s">
        <v>354</v>
      </c>
      <c r="E830" t="s">
        <v>134</v>
      </c>
      <c r="F830" t="s">
        <v>354</v>
      </c>
      <c r="G830" t="s">
        <v>31</v>
      </c>
      <c r="H830" t="s">
        <v>272</v>
      </c>
      <c r="I830" t="s">
        <v>135</v>
      </c>
      <c r="J830" t="s">
        <v>39</v>
      </c>
      <c r="K830" t="s">
        <v>31</v>
      </c>
      <c r="L830">
        <v>2.11</v>
      </c>
      <c r="M830">
        <v>1</v>
      </c>
      <c r="N830" s="2">
        <v>1.5959225360467455</v>
      </c>
      <c r="O830" s="2">
        <v>3.1588853240212429</v>
      </c>
      <c r="P830" s="1">
        <v>-0.14324970019558894</v>
      </c>
      <c r="Q830" s="1">
        <v>1.0721225474567759</v>
      </c>
      <c r="R830" s="1">
        <v>-0.67371772101320515</v>
      </c>
      <c r="S830" s="19">
        <v>4.8865117289566644</v>
      </c>
      <c r="T830" s="19">
        <v>9.722884475045932</v>
      </c>
      <c r="U830" s="19">
        <v>17.184009940286725</v>
      </c>
      <c r="V830" s="19">
        <v>27.823567550310099</v>
      </c>
      <c r="W830" s="19">
        <v>42.038020829212634</v>
      </c>
      <c r="X830" s="19">
        <v>59.930474242826413</v>
      </c>
      <c r="Y830" s="19">
        <v>81.146902427065868</v>
      </c>
      <c r="Z830" s="19">
        <v>104.71179354698324</v>
      </c>
      <c r="AA830" s="19">
        <v>128.91469371447599</v>
      </c>
      <c r="AB830" s="19">
        <v>151.32175094194722</v>
      </c>
      <c r="AC830" s="19">
        <v>168.99221391596268</v>
      </c>
      <c r="AD830" s="19">
        <v>178.94892894058887</v>
      </c>
      <c r="AE830" s="19">
        <v>178.86941539579112</v>
      </c>
      <c r="AF830" s="19">
        <v>167.83896260972375</v>
      </c>
      <c r="AG830" s="19">
        <v>146.88917367002472</v>
      </c>
      <c r="AH830" s="19">
        <v>120.91693529021607</v>
      </c>
      <c r="AI830" s="19">
        <v>92.040548590732598</v>
      </c>
      <c r="AJ830" s="19">
        <v>23.736476899249332</v>
      </c>
      <c r="AK830" s="19">
        <v>0</v>
      </c>
      <c r="AL830" s="19">
        <v>0</v>
      </c>
      <c r="AM830" s="19">
        <v>0</v>
      </c>
      <c r="AN830" s="19">
        <v>0</v>
      </c>
      <c r="AO830" s="19">
        <v>0</v>
      </c>
      <c r="AP830" s="19">
        <v>0</v>
      </c>
      <c r="AQ830" s="19">
        <v>0</v>
      </c>
      <c r="AR830" s="19">
        <v>1705.9132647094</v>
      </c>
    </row>
    <row r="831" spans="1:44" x14ac:dyDescent="0.25">
      <c r="A831" t="s">
        <v>250</v>
      </c>
      <c r="B831" t="s">
        <v>353</v>
      </c>
      <c r="C831" t="s">
        <v>45</v>
      </c>
      <c r="D831" t="s">
        <v>354</v>
      </c>
      <c r="E831" t="s">
        <v>134</v>
      </c>
      <c r="F831" t="s">
        <v>354</v>
      </c>
      <c r="G831" t="s">
        <v>31</v>
      </c>
      <c r="H831" t="s">
        <v>273</v>
      </c>
      <c r="I831" t="s">
        <v>135</v>
      </c>
      <c r="J831" t="s">
        <v>39</v>
      </c>
      <c r="K831" t="s">
        <v>31</v>
      </c>
      <c r="L831">
        <v>2.11</v>
      </c>
      <c r="M831">
        <v>1</v>
      </c>
      <c r="N831" s="2">
        <v>1.5959225360467455</v>
      </c>
      <c r="O831" s="2">
        <v>3.1588853240212429</v>
      </c>
      <c r="P831" s="1">
        <v>-0.14324970019558894</v>
      </c>
      <c r="Q831" s="1">
        <v>1.0721225474567759</v>
      </c>
      <c r="R831" s="1">
        <v>-0.67371772101320515</v>
      </c>
      <c r="S831" s="19">
        <v>1.4696503968146908</v>
      </c>
      <c r="T831" s="19">
        <v>2.9242211662480937</v>
      </c>
      <c r="U831" s="19">
        <v>5.1682035014785788</v>
      </c>
      <c r="V831" s="19">
        <v>8.3681201149688729</v>
      </c>
      <c r="W831" s="19">
        <v>12.643210007427459</v>
      </c>
      <c r="X831" s="19">
        <v>18.024482522027633</v>
      </c>
      <c r="Y831" s="19">
        <v>24.405462212547157</v>
      </c>
      <c r="Z831" s="19">
        <v>31.492757507482629</v>
      </c>
      <c r="AA831" s="19">
        <v>38.771938200826966</v>
      </c>
      <c r="AB831" s="19">
        <v>45.51100737171663</v>
      </c>
      <c r="AC831" s="19">
        <v>50.825514808129945</v>
      </c>
      <c r="AD831" s="19">
        <v>53.820062043164825</v>
      </c>
      <c r="AE831" s="19">
        <v>53.796147823953682</v>
      </c>
      <c r="AF831" s="19">
        <v>50.478666926890355</v>
      </c>
      <c r="AG831" s="19">
        <v>44.17788073498108</v>
      </c>
      <c r="AH831" s="19">
        <v>36.366559989578676</v>
      </c>
      <c r="AI831" s="19">
        <v>27.681797622185051</v>
      </c>
      <c r="AJ831" s="19">
        <v>7.1389008415235322</v>
      </c>
      <c r="AK831" s="19">
        <v>0</v>
      </c>
      <c r="AL831" s="19">
        <v>0</v>
      </c>
      <c r="AM831" s="19">
        <v>0</v>
      </c>
      <c r="AN831" s="19">
        <v>0</v>
      </c>
      <c r="AO831" s="19">
        <v>0</v>
      </c>
      <c r="AP831" s="19">
        <v>0</v>
      </c>
      <c r="AQ831" s="19">
        <v>0</v>
      </c>
      <c r="AR831" s="19">
        <v>513.06458379194589</v>
      </c>
    </row>
    <row r="832" spans="1:44" x14ac:dyDescent="0.25">
      <c r="A832" t="s">
        <v>250</v>
      </c>
      <c r="B832" t="s">
        <v>353</v>
      </c>
      <c r="C832" t="s">
        <v>45</v>
      </c>
      <c r="D832" t="s">
        <v>354</v>
      </c>
      <c r="E832" t="s">
        <v>134</v>
      </c>
      <c r="F832" t="s">
        <v>354</v>
      </c>
      <c r="G832" t="s">
        <v>31</v>
      </c>
      <c r="H832" t="s">
        <v>274</v>
      </c>
      <c r="I832" t="s">
        <v>135</v>
      </c>
      <c r="J832" t="s">
        <v>39</v>
      </c>
      <c r="K832" t="s">
        <v>31</v>
      </c>
      <c r="L832">
        <v>2.11</v>
      </c>
      <c r="M832">
        <v>1</v>
      </c>
      <c r="N832" s="2">
        <v>1.5959225360467455</v>
      </c>
      <c r="O832" s="2">
        <v>3.1588853240212429</v>
      </c>
      <c r="P832" s="1">
        <v>-0.14324970019558894</v>
      </c>
      <c r="Q832" s="1">
        <v>1.0721225474567759</v>
      </c>
      <c r="R832" s="1">
        <v>-0.67371772101320515</v>
      </c>
      <c r="S832" s="19">
        <v>2.3134928955170926</v>
      </c>
      <c r="T832" s="19">
        <v>4.6032477572206556</v>
      </c>
      <c r="U832" s="19">
        <v>8.1356777837585756</v>
      </c>
      <c r="V832" s="19">
        <v>13.172919543841168</v>
      </c>
      <c r="W832" s="19">
        <v>19.902676576762893</v>
      </c>
      <c r="X832" s="19">
        <v>28.37376314153499</v>
      </c>
      <c r="Y832" s="19">
        <v>38.418567819199545</v>
      </c>
      <c r="Z832" s="19">
        <v>49.57523973845489</v>
      </c>
      <c r="AA832" s="19">
        <v>61.033973635806895</v>
      </c>
      <c r="AB832" s="19">
        <v>71.64247527881183</v>
      </c>
      <c r="AC832" s="19">
        <v>80.008461654866466</v>
      </c>
      <c r="AD832" s="19">
        <v>84.722415237677012</v>
      </c>
      <c r="AE832" s="19">
        <v>84.684769974309106</v>
      </c>
      <c r="AF832" s="19">
        <v>79.462460979595562</v>
      </c>
      <c r="AG832" s="19">
        <v>69.543895229027967</v>
      </c>
      <c r="AH832" s="19">
        <v>57.247477599187782</v>
      </c>
      <c r="AI832" s="19">
        <v>43.576106448765273</v>
      </c>
      <c r="AJ832" s="19">
        <v>11.237908290612568</v>
      </c>
      <c r="AK832" s="19">
        <v>0</v>
      </c>
      <c r="AL832" s="19">
        <v>0</v>
      </c>
      <c r="AM832" s="19">
        <v>0</v>
      </c>
      <c r="AN832" s="19">
        <v>0</v>
      </c>
      <c r="AO832" s="19">
        <v>0</v>
      </c>
      <c r="AP832" s="19">
        <v>0</v>
      </c>
      <c r="AQ832" s="19">
        <v>0</v>
      </c>
      <c r="AR832" s="19">
        <v>807.65552958495005</v>
      </c>
    </row>
    <row r="833" spans="1:44" x14ac:dyDescent="0.25">
      <c r="A833" t="s">
        <v>250</v>
      </c>
      <c r="B833" t="s">
        <v>353</v>
      </c>
      <c r="C833" t="s">
        <v>45</v>
      </c>
      <c r="D833" t="s">
        <v>354</v>
      </c>
      <c r="E833" t="s">
        <v>134</v>
      </c>
      <c r="F833" t="s">
        <v>354</v>
      </c>
      <c r="G833" t="s">
        <v>31</v>
      </c>
      <c r="H833" t="s">
        <v>275</v>
      </c>
      <c r="I833" t="s">
        <v>135</v>
      </c>
      <c r="J833" t="s">
        <v>39</v>
      </c>
      <c r="K833" t="s">
        <v>31</v>
      </c>
      <c r="L833">
        <v>2.11</v>
      </c>
      <c r="M833">
        <v>1</v>
      </c>
      <c r="N833" s="2">
        <v>1.5959225360467455</v>
      </c>
      <c r="O833" s="2">
        <v>3.1588853240212429</v>
      </c>
      <c r="P833" s="1">
        <v>-0.14324970019558894</v>
      </c>
      <c r="Q833" s="1">
        <v>1.0721225474567759</v>
      </c>
      <c r="R833" s="1">
        <v>-0.67371772101320515</v>
      </c>
      <c r="S833" s="19">
        <v>3.5342939441093142</v>
      </c>
      <c r="T833" s="19">
        <v>7.0323235930851604</v>
      </c>
      <c r="U833" s="19">
        <v>12.428772432402823</v>
      </c>
      <c r="V833" s="19">
        <v>20.124103194892697</v>
      </c>
      <c r="W833" s="19">
        <v>30.405068212278731</v>
      </c>
      <c r="X833" s="19">
        <v>43.346240412942883</v>
      </c>
      <c r="Y833" s="19">
        <v>58.691561944218115</v>
      </c>
      <c r="Z833" s="19">
        <v>75.735469049809339</v>
      </c>
      <c r="AA833" s="19">
        <v>93.240832433049562</v>
      </c>
      <c r="AB833" s="19">
        <v>109.44730671511812</v>
      </c>
      <c r="AC833" s="19">
        <v>122.22791868184828</v>
      </c>
      <c r="AD833" s="19">
        <v>129.42936616968066</v>
      </c>
      <c r="AE833" s="19">
        <v>129.37185597520229</v>
      </c>
      <c r="AF833" s="19">
        <v>121.39380033040275</v>
      </c>
      <c r="AG833" s="19">
        <v>106.24133241731424</v>
      </c>
      <c r="AH833" s="19">
        <v>87.456250151621958</v>
      </c>
      <c r="AI833" s="19">
        <v>66.570668718354014</v>
      </c>
      <c r="AJ833" s="19">
        <v>17.16801088645256</v>
      </c>
      <c r="AK833" s="19">
        <v>0</v>
      </c>
      <c r="AL833" s="19">
        <v>0</v>
      </c>
      <c r="AM833" s="19">
        <v>0</v>
      </c>
      <c r="AN833" s="19">
        <v>0</v>
      </c>
      <c r="AO833" s="19">
        <v>0</v>
      </c>
      <c r="AP833" s="19">
        <v>0</v>
      </c>
      <c r="AQ833" s="19">
        <v>0</v>
      </c>
      <c r="AR833" s="19">
        <v>1233.8451752627834</v>
      </c>
    </row>
    <row r="834" spans="1:44" x14ac:dyDescent="0.25">
      <c r="A834" t="s">
        <v>250</v>
      </c>
      <c r="B834" t="s">
        <v>353</v>
      </c>
      <c r="C834" t="s">
        <v>45</v>
      </c>
      <c r="D834" t="s">
        <v>354</v>
      </c>
      <c r="E834" t="s">
        <v>134</v>
      </c>
      <c r="F834" t="s">
        <v>354</v>
      </c>
      <c r="G834" t="s">
        <v>31</v>
      </c>
      <c r="H834" t="s">
        <v>276</v>
      </c>
      <c r="I834" t="s">
        <v>135</v>
      </c>
      <c r="J834" t="s">
        <v>39</v>
      </c>
      <c r="K834" t="s">
        <v>31</v>
      </c>
      <c r="L834">
        <v>2.11</v>
      </c>
      <c r="M834">
        <v>1</v>
      </c>
      <c r="N834" s="2">
        <v>1.5959225360467455</v>
      </c>
      <c r="O834" s="2">
        <v>3.1588853240212429</v>
      </c>
      <c r="P834" s="1">
        <v>-0.14324970019558894</v>
      </c>
      <c r="Q834" s="1">
        <v>1.0721225474567759</v>
      </c>
      <c r="R834" s="1">
        <v>-0.67371772101320515</v>
      </c>
      <c r="S834" s="19">
        <v>77.830882049129471</v>
      </c>
      <c r="T834" s="19">
        <v>155.25211260217645</v>
      </c>
      <c r="U834" s="19">
        <v>275.07827638876597</v>
      </c>
      <c r="V834" s="19">
        <v>446.51286880817838</v>
      </c>
      <c r="W834" s="19">
        <v>676.32090662494636</v>
      </c>
      <c r="X834" s="19">
        <v>966.60191724725212</v>
      </c>
      <c r="Y834" s="19">
        <v>1312.0828848417234</v>
      </c>
      <c r="Z834" s="19">
        <v>1697.3613496972926</v>
      </c>
      <c r="AA834" s="19">
        <v>2094.9348314437575</v>
      </c>
      <c r="AB834" s="19">
        <v>2465.2379268526074</v>
      </c>
      <c r="AC834" s="19">
        <v>2760.0284865580616</v>
      </c>
      <c r="AD834" s="19">
        <v>2929.9847403679423</v>
      </c>
      <c r="AE834" s="19">
        <v>2936.0383837361105</v>
      </c>
      <c r="AF834" s="19">
        <v>2761.8991356581064</v>
      </c>
      <c r="AG834" s="19">
        <v>2423.2275700951341</v>
      </c>
      <c r="AH834" s="19">
        <v>1999.7740626750556</v>
      </c>
      <c r="AI834" s="19">
        <v>1526.0275872273348</v>
      </c>
      <c r="AJ834" s="19">
        <v>1054.2620279728785</v>
      </c>
      <c r="AK834" s="19">
        <v>298.81267030855696</v>
      </c>
      <c r="AL834" s="19">
        <v>0</v>
      </c>
      <c r="AM834" s="19">
        <v>0</v>
      </c>
      <c r="AN834" s="19">
        <v>0</v>
      </c>
      <c r="AO834" s="19">
        <v>0</v>
      </c>
      <c r="AP834" s="19">
        <v>0</v>
      </c>
      <c r="AQ834" s="19">
        <v>0</v>
      </c>
      <c r="AR834" s="19">
        <v>28857.268621155017</v>
      </c>
    </row>
    <row r="835" spans="1:44" x14ac:dyDescent="0.25">
      <c r="A835" t="s">
        <v>250</v>
      </c>
      <c r="B835" t="s">
        <v>353</v>
      </c>
      <c r="C835" t="s">
        <v>45</v>
      </c>
      <c r="D835" t="s">
        <v>354</v>
      </c>
      <c r="E835" t="s">
        <v>134</v>
      </c>
      <c r="F835" t="s">
        <v>354</v>
      </c>
      <c r="G835" t="s">
        <v>31</v>
      </c>
      <c r="H835" t="s">
        <v>277</v>
      </c>
      <c r="I835" t="s">
        <v>135</v>
      </c>
      <c r="J835" t="s">
        <v>39</v>
      </c>
      <c r="K835" t="s">
        <v>31</v>
      </c>
      <c r="L835">
        <v>2.11</v>
      </c>
      <c r="M835">
        <v>1</v>
      </c>
      <c r="N835" s="2">
        <v>1.5959225360467455</v>
      </c>
      <c r="O835" s="2">
        <v>3.1588853240212429</v>
      </c>
      <c r="P835" s="1">
        <v>-0.14324970019558894</v>
      </c>
      <c r="Q835" s="1">
        <v>1.0721225474567759</v>
      </c>
      <c r="R835" s="1">
        <v>-0.67371772101320515</v>
      </c>
      <c r="S835" s="19">
        <v>1.8645549212679031</v>
      </c>
      <c r="T835" s="19">
        <v>3.7095309674234591</v>
      </c>
      <c r="U835" s="19">
        <v>6.5553522185633089</v>
      </c>
      <c r="V835" s="19">
        <v>10.612848663519186</v>
      </c>
      <c r="W835" s="19">
        <v>16.032788310852169</v>
      </c>
      <c r="X835" s="19">
        <v>22.853996282385637</v>
      </c>
      <c r="Y835" s="19">
        <v>30.940977151779535</v>
      </c>
      <c r="Z835" s="19">
        <v>39.921359064370009</v>
      </c>
      <c r="AA835" s="19">
        <v>49.14278682656969</v>
      </c>
      <c r="AB835" s="19">
        <v>57.677490796188806</v>
      </c>
      <c r="AC835" s="19">
        <v>64.404963273567489</v>
      </c>
      <c r="AD835" s="19">
        <v>68.191365235205154</v>
      </c>
      <c r="AE835" s="19">
        <v>68.152848194488314</v>
      </c>
      <c r="AF835" s="19">
        <v>63.94231415588122</v>
      </c>
      <c r="AG835" s="19">
        <v>55.954238767064936</v>
      </c>
      <c r="AH835" s="19">
        <v>46.055126115763265</v>
      </c>
      <c r="AI835" s="19">
        <v>35.052393939203476</v>
      </c>
      <c r="AJ835" s="19">
        <v>7.9826778451101124</v>
      </c>
      <c r="AK835" s="19">
        <v>0</v>
      </c>
      <c r="AL835" s="19">
        <v>0</v>
      </c>
      <c r="AM835" s="19">
        <v>0</v>
      </c>
      <c r="AN835" s="19">
        <v>0</v>
      </c>
      <c r="AO835" s="19">
        <v>0</v>
      </c>
      <c r="AP835" s="19">
        <v>0</v>
      </c>
      <c r="AQ835" s="19">
        <v>0</v>
      </c>
      <c r="AR835" s="19">
        <v>649.04761272920371</v>
      </c>
    </row>
    <row r="836" spans="1:44" x14ac:dyDescent="0.25">
      <c r="A836" t="s">
        <v>250</v>
      </c>
      <c r="B836" t="s">
        <v>353</v>
      </c>
      <c r="C836" t="s">
        <v>45</v>
      </c>
      <c r="D836" t="s">
        <v>354</v>
      </c>
      <c r="E836" t="s">
        <v>134</v>
      </c>
      <c r="F836" t="s">
        <v>354</v>
      </c>
      <c r="G836" t="s">
        <v>31</v>
      </c>
      <c r="H836" t="s">
        <v>278</v>
      </c>
      <c r="I836" t="s">
        <v>135</v>
      </c>
      <c r="J836" t="s">
        <v>39</v>
      </c>
      <c r="K836" t="s">
        <v>31</v>
      </c>
      <c r="L836">
        <v>2.11</v>
      </c>
      <c r="M836">
        <v>1</v>
      </c>
      <c r="N836" s="2">
        <v>1.5959225360467455</v>
      </c>
      <c r="O836" s="2">
        <v>3.1588853240212429</v>
      </c>
      <c r="P836" s="1">
        <v>-0.14324970019558894</v>
      </c>
      <c r="Q836" s="1">
        <v>1.0721225474567759</v>
      </c>
      <c r="R836" s="1">
        <v>-0.67371772101320515</v>
      </c>
      <c r="S836" s="19">
        <v>15.81397110386191</v>
      </c>
      <c r="T836" s="19">
        <v>31.326591149594627</v>
      </c>
      <c r="U836" s="19">
        <v>55.121185159923847</v>
      </c>
      <c r="V836" s="19">
        <v>88.855203173323673</v>
      </c>
      <c r="W836" s="19">
        <v>133.65595971806633</v>
      </c>
      <c r="X836" s="19">
        <v>189.70107856705704</v>
      </c>
      <c r="Y836" s="19">
        <v>255.72315282652372</v>
      </c>
      <c r="Z836" s="19">
        <v>328.52598064679984</v>
      </c>
      <c r="AA836" s="19">
        <v>402.67304709993886</v>
      </c>
      <c r="AB836" s="19">
        <v>470.57355349375263</v>
      </c>
      <c r="AC836" s="19">
        <v>523.20136900485204</v>
      </c>
      <c r="AD836" s="19">
        <v>551.57845951226102</v>
      </c>
      <c r="AE836" s="19">
        <v>548.8962956601714</v>
      </c>
      <c r="AF836" s="19">
        <v>512.77048217955303</v>
      </c>
      <c r="AG836" s="19">
        <v>446.78237883838477</v>
      </c>
      <c r="AH836" s="19">
        <v>366.15873389993413</v>
      </c>
      <c r="AI836" s="19">
        <v>42.546575850702133</v>
      </c>
      <c r="AJ836" s="19">
        <v>0</v>
      </c>
      <c r="AK836" s="19">
        <v>0</v>
      </c>
      <c r="AL836" s="19">
        <v>0</v>
      </c>
      <c r="AM836" s="19">
        <v>0</v>
      </c>
      <c r="AN836" s="19">
        <v>0</v>
      </c>
      <c r="AO836" s="19">
        <v>0</v>
      </c>
      <c r="AP836" s="19">
        <v>0</v>
      </c>
      <c r="AQ836" s="19">
        <v>0</v>
      </c>
      <c r="AR836" s="19">
        <v>4963.9040178847017</v>
      </c>
    </row>
    <row r="837" spans="1:44" x14ac:dyDescent="0.25">
      <c r="A837" t="s">
        <v>250</v>
      </c>
      <c r="B837" t="s">
        <v>353</v>
      </c>
      <c r="C837" t="s">
        <v>45</v>
      </c>
      <c r="D837" t="s">
        <v>354</v>
      </c>
      <c r="E837" t="s">
        <v>134</v>
      </c>
      <c r="F837" t="s">
        <v>354</v>
      </c>
      <c r="G837" t="s">
        <v>31</v>
      </c>
      <c r="H837" t="s">
        <v>252</v>
      </c>
      <c r="I837" t="s">
        <v>135</v>
      </c>
      <c r="J837" t="s">
        <v>39</v>
      </c>
      <c r="K837" t="s">
        <v>31</v>
      </c>
      <c r="L837">
        <v>2.11</v>
      </c>
      <c r="M837">
        <v>1</v>
      </c>
      <c r="N837" s="2">
        <v>1.5959225360467455</v>
      </c>
      <c r="O837" s="2">
        <v>3.1588853240212429</v>
      </c>
      <c r="P837" s="1">
        <v>-0.14324970019558894</v>
      </c>
      <c r="Q837" s="1">
        <v>1.0721225474567759</v>
      </c>
      <c r="R837" s="1">
        <v>-0.67371772101320515</v>
      </c>
      <c r="S837" s="19">
        <v>31.516683164284675</v>
      </c>
      <c r="T837" s="19">
        <v>62.766683211571355</v>
      </c>
      <c r="U837" s="19">
        <v>111.03274156398264</v>
      </c>
      <c r="V837" s="19">
        <v>179.94171553391374</v>
      </c>
      <c r="W837" s="19">
        <v>272.11582366306249</v>
      </c>
      <c r="X837" s="19">
        <v>388.28601094221477</v>
      </c>
      <c r="Y837" s="19">
        <v>526.22135691891663</v>
      </c>
      <c r="Z837" s="19">
        <v>679.64889644318134</v>
      </c>
      <c r="AA837" s="19">
        <v>837.49829712290898</v>
      </c>
      <c r="AB837" s="19">
        <v>983.95528630929493</v>
      </c>
      <c r="AC837" s="19">
        <v>1099.8493308427319</v>
      </c>
      <c r="AD837" s="19">
        <v>1165.7034898031991</v>
      </c>
      <c r="AE837" s="19">
        <v>1166.239038301291</v>
      </c>
      <c r="AF837" s="19">
        <v>1095.3092809925172</v>
      </c>
      <c r="AG837" s="19">
        <v>959.4586502487756</v>
      </c>
      <c r="AH837" s="19">
        <v>790.52589421642813</v>
      </c>
      <c r="AI837" s="19">
        <v>602.28307819422105</v>
      </c>
      <c r="AJ837" s="19">
        <v>291.58362118869422</v>
      </c>
      <c r="AK837" s="19">
        <v>0</v>
      </c>
      <c r="AL837" s="19">
        <v>0</v>
      </c>
      <c r="AM837" s="19">
        <v>0</v>
      </c>
      <c r="AN837" s="19">
        <v>0</v>
      </c>
      <c r="AO837" s="19">
        <v>0</v>
      </c>
      <c r="AP837" s="19">
        <v>0</v>
      </c>
      <c r="AQ837" s="19">
        <v>0</v>
      </c>
      <c r="AR837" s="19">
        <v>11243.93587866119</v>
      </c>
    </row>
    <row r="838" spans="1:44" x14ac:dyDescent="0.25">
      <c r="A838" t="s">
        <v>250</v>
      </c>
      <c r="B838" t="s">
        <v>353</v>
      </c>
      <c r="C838" t="s">
        <v>45</v>
      </c>
      <c r="D838" t="s">
        <v>354</v>
      </c>
      <c r="E838" t="s">
        <v>134</v>
      </c>
      <c r="F838" t="s">
        <v>354</v>
      </c>
      <c r="G838" t="s">
        <v>31</v>
      </c>
      <c r="H838" t="s">
        <v>253</v>
      </c>
      <c r="I838" t="s">
        <v>135</v>
      </c>
      <c r="J838" t="s">
        <v>39</v>
      </c>
      <c r="K838" t="s">
        <v>31</v>
      </c>
      <c r="L838">
        <v>2.11</v>
      </c>
      <c r="M838">
        <v>1</v>
      </c>
      <c r="N838" s="2">
        <v>1.5959225360467455</v>
      </c>
      <c r="O838" s="2">
        <v>3.1588853240212429</v>
      </c>
      <c r="P838" s="1">
        <v>-0.14324970019558894</v>
      </c>
      <c r="Q838" s="1">
        <v>1.0721225474567759</v>
      </c>
      <c r="R838" s="1">
        <v>-0.67371772101320515</v>
      </c>
      <c r="S838" s="19">
        <v>18.985152719358979</v>
      </c>
      <c r="T838" s="19">
        <v>37.794479706323941</v>
      </c>
      <c r="U838" s="19">
        <v>66.830676395395471</v>
      </c>
      <c r="V838" s="19">
        <v>108.26354710248926</v>
      </c>
      <c r="W838" s="19">
        <v>163.65519441852942</v>
      </c>
      <c r="X838" s="19">
        <v>233.42821211474845</v>
      </c>
      <c r="Y838" s="19">
        <v>316.2246144001162</v>
      </c>
      <c r="Z838" s="19">
        <v>408.26055315124233</v>
      </c>
      <c r="AA838" s="19">
        <v>502.87765478738834</v>
      </c>
      <c r="AB838" s="19">
        <v>590.58086423120278</v>
      </c>
      <c r="AC838" s="19">
        <v>659.87671642802945</v>
      </c>
      <c r="AD838" s="19">
        <v>699.10644913519957</v>
      </c>
      <c r="AE838" s="19">
        <v>699.1468231697994</v>
      </c>
      <c r="AF838" s="19">
        <v>656.36162800830573</v>
      </c>
      <c r="AG838" s="19">
        <v>574.72260700903462</v>
      </c>
      <c r="AH838" s="19">
        <v>473.3405598700536</v>
      </c>
      <c r="AI838" s="19">
        <v>360.48224861585999</v>
      </c>
      <c r="AJ838" s="19">
        <v>138.26814266999693</v>
      </c>
      <c r="AK838" s="19">
        <v>0</v>
      </c>
      <c r="AL838" s="19">
        <v>0</v>
      </c>
      <c r="AM838" s="19">
        <v>0</v>
      </c>
      <c r="AN838" s="19">
        <v>0</v>
      </c>
      <c r="AO838" s="19">
        <v>0</v>
      </c>
      <c r="AP838" s="19">
        <v>0</v>
      </c>
      <c r="AQ838" s="19">
        <v>0</v>
      </c>
      <c r="AR838" s="19">
        <v>6708.2061239330742</v>
      </c>
    </row>
    <row r="839" spans="1:44" x14ac:dyDescent="0.25">
      <c r="A839" t="s">
        <v>250</v>
      </c>
      <c r="B839" t="s">
        <v>353</v>
      </c>
      <c r="C839" t="s">
        <v>45</v>
      </c>
      <c r="D839" t="s">
        <v>354</v>
      </c>
      <c r="E839" t="s">
        <v>134</v>
      </c>
      <c r="F839" t="s">
        <v>354</v>
      </c>
      <c r="G839" t="s">
        <v>31</v>
      </c>
      <c r="H839" t="s">
        <v>254</v>
      </c>
      <c r="I839" t="s">
        <v>135</v>
      </c>
      <c r="J839" t="s">
        <v>39</v>
      </c>
      <c r="K839" t="s">
        <v>31</v>
      </c>
      <c r="L839">
        <v>2.11</v>
      </c>
      <c r="M839">
        <v>1</v>
      </c>
      <c r="N839" s="2">
        <v>1.5959225360467455</v>
      </c>
      <c r="O839" s="2">
        <v>3.1588853240212429</v>
      </c>
      <c r="P839" s="1">
        <v>-0.14324970019558894</v>
      </c>
      <c r="Q839" s="1">
        <v>1.0721225474567759</v>
      </c>
      <c r="R839" s="1">
        <v>-0.67371772101320515</v>
      </c>
      <c r="S839" s="19">
        <v>30.549587453106156</v>
      </c>
      <c r="T839" s="19">
        <v>60.792635938278039</v>
      </c>
      <c r="U839" s="19">
        <v>107.45578691358948</v>
      </c>
      <c r="V839" s="19">
        <v>174.00733394120209</v>
      </c>
      <c r="W839" s="19">
        <v>262.93381577601809</v>
      </c>
      <c r="X839" s="19">
        <v>374.88782997419867</v>
      </c>
      <c r="Y839" s="19">
        <v>507.66242364888609</v>
      </c>
      <c r="Z839" s="19">
        <v>655.16111827635279</v>
      </c>
      <c r="AA839" s="19">
        <v>806.68574562225501</v>
      </c>
      <c r="AB839" s="19">
        <v>947.00607355578927</v>
      </c>
      <c r="AC839" s="19">
        <v>1057.7122804295286</v>
      </c>
      <c r="AD839" s="19">
        <v>1120.1582948124469</v>
      </c>
      <c r="AE839" s="19">
        <v>1119.7880488492403</v>
      </c>
      <c r="AF839" s="19">
        <v>1050.8530080858925</v>
      </c>
      <c r="AG839" s="19">
        <v>919.78943662667507</v>
      </c>
      <c r="AH839" s="19">
        <v>757.24289258368219</v>
      </c>
      <c r="AI839" s="19">
        <v>576.47000881214331</v>
      </c>
      <c r="AJ839" s="19">
        <v>165.08605740676649</v>
      </c>
      <c r="AK839" s="19">
        <v>0</v>
      </c>
      <c r="AL839" s="19">
        <v>0</v>
      </c>
      <c r="AM839" s="19">
        <v>0</v>
      </c>
      <c r="AN839" s="19">
        <v>0</v>
      </c>
      <c r="AO839" s="19">
        <v>0</v>
      </c>
      <c r="AP839" s="19">
        <v>0</v>
      </c>
      <c r="AQ839" s="19">
        <v>0</v>
      </c>
      <c r="AR839" s="19">
        <v>10694.242378706052</v>
      </c>
    </row>
    <row r="840" spans="1:44" x14ac:dyDescent="0.25">
      <c r="A840" t="s">
        <v>250</v>
      </c>
      <c r="B840" t="s">
        <v>353</v>
      </c>
      <c r="C840" t="s">
        <v>45</v>
      </c>
      <c r="D840" t="s">
        <v>354</v>
      </c>
      <c r="E840" t="s">
        <v>134</v>
      </c>
      <c r="F840" t="s">
        <v>354</v>
      </c>
      <c r="G840" t="s">
        <v>31</v>
      </c>
      <c r="H840" t="s">
        <v>255</v>
      </c>
      <c r="I840" t="s">
        <v>135</v>
      </c>
      <c r="J840" t="s">
        <v>39</v>
      </c>
      <c r="K840" t="s">
        <v>31</v>
      </c>
      <c r="L840">
        <v>2.11</v>
      </c>
      <c r="M840">
        <v>1</v>
      </c>
      <c r="N840" s="2">
        <v>1.5959225360467455</v>
      </c>
      <c r="O840" s="2">
        <v>3.1588853240212429</v>
      </c>
      <c r="P840" s="1">
        <v>-0.14324970019558894</v>
      </c>
      <c r="Q840" s="1">
        <v>1.0721225474567759</v>
      </c>
      <c r="R840" s="1">
        <v>-0.67371772101320515</v>
      </c>
      <c r="S840" s="19">
        <v>6.7281172387849919</v>
      </c>
      <c r="T840" s="19">
        <v>13.328023464927499</v>
      </c>
      <c r="U840" s="19">
        <v>23.451528630033696</v>
      </c>
      <c r="V840" s="19">
        <v>37.803801480337057</v>
      </c>
      <c r="W840" s="19">
        <v>56.86446248949256</v>
      </c>
      <c r="X840" s="19">
        <v>80.709082401916845</v>
      </c>
      <c r="Y840" s="19">
        <v>108.7984378868894</v>
      </c>
      <c r="Z840" s="19">
        <v>139.77269208735871</v>
      </c>
      <c r="AA840" s="19">
        <v>171.31885798915886</v>
      </c>
      <c r="AB840" s="19">
        <v>200.20739993665768</v>
      </c>
      <c r="AC840" s="19">
        <v>222.59811447978419</v>
      </c>
      <c r="AD840" s="19">
        <v>234.67126110282541</v>
      </c>
      <c r="AE840" s="19">
        <v>233.53012376723964</v>
      </c>
      <c r="AF840" s="19">
        <v>218.16025197174088</v>
      </c>
      <c r="AG840" s="19">
        <v>190.08534954979223</v>
      </c>
      <c r="AH840" s="19">
        <v>155.78369743461911</v>
      </c>
      <c r="AI840" s="19">
        <v>18.101610819465776</v>
      </c>
      <c r="AJ840" s="19">
        <v>0</v>
      </c>
      <c r="AK840" s="19">
        <v>0</v>
      </c>
      <c r="AL840" s="19">
        <v>0</v>
      </c>
      <c r="AM840" s="19">
        <v>0</v>
      </c>
      <c r="AN840" s="19">
        <v>0</v>
      </c>
      <c r="AO840" s="19">
        <v>0</v>
      </c>
      <c r="AP840" s="19">
        <v>0</v>
      </c>
      <c r="AQ840" s="19">
        <v>0</v>
      </c>
      <c r="AR840" s="19">
        <v>2111.9128127310246</v>
      </c>
    </row>
    <row r="841" spans="1:44" x14ac:dyDescent="0.25">
      <c r="A841" t="s">
        <v>250</v>
      </c>
      <c r="B841" t="s">
        <v>353</v>
      </c>
      <c r="C841" t="s">
        <v>45</v>
      </c>
      <c r="D841" t="s">
        <v>354</v>
      </c>
      <c r="E841" t="s">
        <v>134</v>
      </c>
      <c r="F841" t="s">
        <v>354</v>
      </c>
      <c r="G841" t="s">
        <v>31</v>
      </c>
      <c r="H841" t="s">
        <v>288</v>
      </c>
      <c r="I841" t="s">
        <v>135</v>
      </c>
      <c r="J841" t="s">
        <v>39</v>
      </c>
      <c r="K841" t="s">
        <v>33</v>
      </c>
      <c r="L841">
        <v>2.11</v>
      </c>
      <c r="M841">
        <v>1</v>
      </c>
      <c r="N841" s="2">
        <v>1.5959225360467455</v>
      </c>
      <c r="O841" s="2">
        <v>3.1588853240212429</v>
      </c>
      <c r="P841" s="1">
        <v>-0.14324970019558894</v>
      </c>
      <c r="Q841" s="1">
        <v>1.0721225474567759</v>
      </c>
      <c r="R841" s="1">
        <v>-0.67371772101320515</v>
      </c>
      <c r="S841" s="19">
        <v>0.33884219390184389</v>
      </c>
      <c r="T841" s="19">
        <v>0.67529135034771948</v>
      </c>
      <c r="U841" s="19">
        <v>1.1954133415588719</v>
      </c>
      <c r="V841" s="19">
        <v>1.9386701338690733</v>
      </c>
      <c r="W841" s="19">
        <v>2.9338025932824356</v>
      </c>
      <c r="X841" s="19">
        <v>4.189226705060654</v>
      </c>
      <c r="Y841" s="19">
        <v>5.6814032753185089</v>
      </c>
      <c r="Z841" s="19">
        <v>7.3430551709868546</v>
      </c>
      <c r="AA841" s="19">
        <v>9.0548474043774725</v>
      </c>
      <c r="AB841" s="19">
        <v>10.645782633636379</v>
      </c>
      <c r="AC841" s="19">
        <v>11.908044640918051</v>
      </c>
      <c r="AD841" s="19">
        <v>12.62991372136084</v>
      </c>
      <c r="AE841" s="19">
        <v>12.644594016525676</v>
      </c>
      <c r="AF841" s="19">
        <v>11.883903340897778</v>
      </c>
      <c r="AG841" s="19">
        <v>10.417263121932033</v>
      </c>
      <c r="AH841" s="19">
        <v>8.5891166150297131</v>
      </c>
      <c r="AI841" s="19">
        <v>6.5484435557294161</v>
      </c>
      <c r="AJ841" s="19">
        <v>4.3231795306896341</v>
      </c>
      <c r="AK841" s="19">
        <v>0</v>
      </c>
      <c r="AL841" s="19">
        <v>0</v>
      </c>
      <c r="AM841" s="19">
        <v>0</v>
      </c>
      <c r="AN841" s="19">
        <v>0</v>
      </c>
      <c r="AO841" s="19">
        <v>0</v>
      </c>
      <c r="AP841" s="19">
        <v>0</v>
      </c>
      <c r="AQ841" s="19">
        <v>0</v>
      </c>
      <c r="AR841" s="19">
        <v>122.94079334542296</v>
      </c>
    </row>
    <row r="842" spans="1:44" x14ac:dyDescent="0.25">
      <c r="A842" t="s">
        <v>250</v>
      </c>
      <c r="B842" t="s">
        <v>353</v>
      </c>
      <c r="C842" t="s">
        <v>45</v>
      </c>
      <c r="D842" t="s">
        <v>354</v>
      </c>
      <c r="E842" t="s">
        <v>134</v>
      </c>
      <c r="F842" t="s">
        <v>354</v>
      </c>
      <c r="G842" t="s">
        <v>31</v>
      </c>
      <c r="H842" t="s">
        <v>274</v>
      </c>
      <c r="I842" t="s">
        <v>135</v>
      </c>
      <c r="J842" t="s">
        <v>39</v>
      </c>
      <c r="K842" t="s">
        <v>33</v>
      </c>
      <c r="L842">
        <v>2.11</v>
      </c>
      <c r="M842">
        <v>1</v>
      </c>
      <c r="N842" s="2">
        <v>1.5959225360467455</v>
      </c>
      <c r="O842" s="2">
        <v>3.1588853240212429</v>
      </c>
      <c r="P842" s="1">
        <v>-0.14324970019558894</v>
      </c>
      <c r="Q842" s="1">
        <v>1.0721225474567759</v>
      </c>
      <c r="R842" s="1">
        <v>-0.67371772101320515</v>
      </c>
      <c r="S842" s="19">
        <v>7.4436231913195981E-3</v>
      </c>
      <c r="T842" s="19">
        <v>1.4810869671323983E-2</v>
      </c>
      <c r="U842" s="19">
        <v>2.6176401901054188E-2</v>
      </c>
      <c r="V842" s="19">
        <v>4.2383639735365186E-2</v>
      </c>
      <c r="W842" s="19">
        <v>6.4036516050339068E-2</v>
      </c>
      <c r="X842" s="19">
        <v>9.1292089876131924E-2</v>
      </c>
      <c r="Y842" s="19">
        <v>0.1236110743847174</v>
      </c>
      <c r="Z842" s="19">
        <v>0.15950747242295366</v>
      </c>
      <c r="AA842" s="19">
        <v>0.19637574962698848</v>
      </c>
      <c r="AB842" s="19">
        <v>0.23050841932657448</v>
      </c>
      <c r="AC842" s="19">
        <v>0.25742583512142408</v>
      </c>
      <c r="AD842" s="19">
        <v>0.27259289886292287</v>
      </c>
      <c r="AE842" s="19">
        <v>0.27247177588217314</v>
      </c>
      <c r="AF842" s="19">
        <v>0.25566908743622557</v>
      </c>
      <c r="AG842" s="19">
        <v>0.22375627448200583</v>
      </c>
      <c r="AH842" s="19">
        <v>0.18419276442455587</v>
      </c>
      <c r="AI842" s="19">
        <v>0.14020536530627278</v>
      </c>
      <c r="AJ842" s="19">
        <v>3.6157774651488755E-2</v>
      </c>
      <c r="AK842" s="19">
        <v>0</v>
      </c>
      <c r="AL842" s="19">
        <v>0</v>
      </c>
      <c r="AM842" s="19">
        <v>0</v>
      </c>
      <c r="AN842" s="19">
        <v>0</v>
      </c>
      <c r="AO842" s="19">
        <v>0</v>
      </c>
      <c r="AP842" s="19">
        <v>0</v>
      </c>
      <c r="AQ842" s="19">
        <v>0</v>
      </c>
      <c r="AR842" s="19">
        <v>2.5986176323538372</v>
      </c>
    </row>
    <row r="843" spans="1:44" x14ac:dyDescent="0.25">
      <c r="A843" t="s">
        <v>250</v>
      </c>
      <c r="B843" t="s">
        <v>353</v>
      </c>
      <c r="C843" t="s">
        <v>45</v>
      </c>
      <c r="D843" t="s">
        <v>354</v>
      </c>
      <c r="E843" t="s">
        <v>134</v>
      </c>
      <c r="F843" t="s">
        <v>354</v>
      </c>
      <c r="G843" t="s">
        <v>31</v>
      </c>
      <c r="H843" t="s">
        <v>253</v>
      </c>
      <c r="I843" t="s">
        <v>256</v>
      </c>
      <c r="J843" t="s">
        <v>39</v>
      </c>
      <c r="K843" t="s">
        <v>31</v>
      </c>
      <c r="L843">
        <v>2.11</v>
      </c>
      <c r="M843">
        <v>1</v>
      </c>
      <c r="N843" s="2">
        <v>1.3402593384114303</v>
      </c>
      <c r="O843" s="2">
        <v>2.6528390061948963</v>
      </c>
      <c r="P843" s="1">
        <v>0.13085257854413071</v>
      </c>
      <c r="Q843" s="1">
        <v>0.4672931329656026</v>
      </c>
      <c r="R843" s="1">
        <v>-0.39961544227348544</v>
      </c>
      <c r="S843" s="19">
        <v>9.9588690267890847</v>
      </c>
      <c r="T843" s="19">
        <v>19.825506747023237</v>
      </c>
      <c r="U843" s="19">
        <v>35.056760566103058</v>
      </c>
      <c r="V843" s="19">
        <v>56.79082501505971</v>
      </c>
      <c r="W843" s="19">
        <v>85.847118053779255</v>
      </c>
      <c r="X843" s="19">
        <v>122.44731585634622</v>
      </c>
      <c r="Y843" s="19">
        <v>165.87907215760168</v>
      </c>
      <c r="Z843" s="19">
        <v>214.15752813469939</v>
      </c>
      <c r="AA843" s="19">
        <v>263.78996126903667</v>
      </c>
      <c r="AB843" s="19">
        <v>309.7956368088166</v>
      </c>
      <c r="AC843" s="19">
        <v>346.14553224180059</v>
      </c>
      <c r="AD843" s="19">
        <v>366.72391661203937</v>
      </c>
      <c r="AE843" s="19">
        <v>366.74509525245418</v>
      </c>
      <c r="AF843" s="19">
        <v>344.3016542542448</v>
      </c>
      <c r="AG843" s="19">
        <v>301.47701493606945</v>
      </c>
      <c r="AH843" s="19">
        <v>248.29595581847073</v>
      </c>
      <c r="AI843" s="19">
        <v>189.09489712911733</v>
      </c>
      <c r="AJ843" s="19">
        <v>72.530063033086194</v>
      </c>
      <c r="AK843" s="19">
        <v>0</v>
      </c>
      <c r="AL843" s="19">
        <v>0</v>
      </c>
      <c r="AM843" s="19">
        <v>0</v>
      </c>
      <c r="AN843" s="19">
        <v>0</v>
      </c>
      <c r="AO843" s="19">
        <v>0</v>
      </c>
      <c r="AP843" s="19">
        <v>0</v>
      </c>
      <c r="AQ843" s="19">
        <v>0</v>
      </c>
      <c r="AR843" s="19">
        <v>3518.8627229125377</v>
      </c>
    </row>
    <row r="844" spans="1:44" x14ac:dyDescent="0.25">
      <c r="A844" t="s">
        <v>250</v>
      </c>
      <c r="B844" t="s">
        <v>353</v>
      </c>
      <c r="C844" t="s">
        <v>45</v>
      </c>
      <c r="D844" t="s">
        <v>354</v>
      </c>
      <c r="E844" t="s">
        <v>134</v>
      </c>
      <c r="F844" t="s">
        <v>354</v>
      </c>
      <c r="G844" t="s">
        <v>31</v>
      </c>
      <c r="H844" t="s">
        <v>272</v>
      </c>
      <c r="I844" t="s">
        <v>135</v>
      </c>
      <c r="J844" t="s">
        <v>40</v>
      </c>
      <c r="K844" t="s">
        <v>31</v>
      </c>
      <c r="L844">
        <v>2.11</v>
      </c>
      <c r="M844">
        <v>1</v>
      </c>
      <c r="N844" s="2">
        <v>1.5959225360467455</v>
      </c>
      <c r="O844" s="2">
        <v>1.9798085216903567</v>
      </c>
      <c r="P844" s="1">
        <v>-0.14324970019558894</v>
      </c>
      <c r="Q844" s="1">
        <v>0.4672931329656026</v>
      </c>
      <c r="R844" s="1">
        <v>-0.53071772101320502</v>
      </c>
      <c r="S844" s="19">
        <v>0.48335342085447408</v>
      </c>
      <c r="T844" s="19">
        <v>0.96174730201450542</v>
      </c>
      <c r="U844" s="19">
        <v>1.6997708077553939</v>
      </c>
      <c r="V844" s="19">
        <v>2.7521916045189543</v>
      </c>
      <c r="W844" s="19">
        <v>4.1582262155114051</v>
      </c>
      <c r="X844" s="19">
        <v>5.9280733057579447</v>
      </c>
      <c r="Y844" s="19">
        <v>8.026714158371842</v>
      </c>
      <c r="Z844" s="19">
        <v>10.357655199069445</v>
      </c>
      <c r="AA844" s="19">
        <v>12.75170544174731</v>
      </c>
      <c r="AB844" s="19">
        <v>14.968118368375578</v>
      </c>
      <c r="AC844" s="19">
        <v>16.716007087430455</v>
      </c>
      <c r="AD844" s="19">
        <v>17.700883935081805</v>
      </c>
      <c r="AE844" s="19">
        <v>17.693018785868212</v>
      </c>
      <c r="AF844" s="19">
        <v>16.601932263733165</v>
      </c>
      <c r="AG844" s="19">
        <v>14.52966625643457</v>
      </c>
      <c r="AH844" s="19">
        <v>11.960600435158264</v>
      </c>
      <c r="AI844" s="19">
        <v>9.1042683382961727</v>
      </c>
      <c r="AJ844" s="19">
        <v>2.3479135924911758</v>
      </c>
      <c r="AK844" s="19">
        <v>0</v>
      </c>
      <c r="AL844" s="19">
        <v>0</v>
      </c>
      <c r="AM844" s="19">
        <v>0</v>
      </c>
      <c r="AN844" s="19">
        <v>0</v>
      </c>
      <c r="AO844" s="19">
        <v>0</v>
      </c>
      <c r="AP844" s="19">
        <v>0</v>
      </c>
      <c r="AQ844" s="19">
        <v>0</v>
      </c>
      <c r="AR844" s="19">
        <v>168.74184651847071</v>
      </c>
    </row>
    <row r="845" spans="1:44" x14ac:dyDescent="0.25">
      <c r="A845" t="s">
        <v>250</v>
      </c>
      <c r="B845" t="s">
        <v>353</v>
      </c>
      <c r="C845" t="s">
        <v>45</v>
      </c>
      <c r="D845" t="s">
        <v>354</v>
      </c>
      <c r="E845" t="s">
        <v>134</v>
      </c>
      <c r="F845" t="s">
        <v>354</v>
      </c>
      <c r="G845" t="s">
        <v>31</v>
      </c>
      <c r="H845" t="s">
        <v>277</v>
      </c>
      <c r="I845" t="s">
        <v>135</v>
      </c>
      <c r="J845" t="s">
        <v>40</v>
      </c>
      <c r="K845" t="s">
        <v>31</v>
      </c>
      <c r="L845">
        <v>2.11</v>
      </c>
      <c r="M845">
        <v>1</v>
      </c>
      <c r="N845" s="2">
        <v>1.5959225360467455</v>
      </c>
      <c r="O845" s="2">
        <v>1.9798085216903567</v>
      </c>
      <c r="P845" s="1">
        <v>-0.14324970019558894</v>
      </c>
      <c r="Q845" s="1">
        <v>0.4672931329656026</v>
      </c>
      <c r="R845" s="1">
        <v>-0.53071772101320502</v>
      </c>
      <c r="S845" s="19">
        <v>0.29412494327134581</v>
      </c>
      <c r="T845" s="19">
        <v>0.58516140925191817</v>
      </c>
      <c r="U845" s="19">
        <v>1.0340765924435815</v>
      </c>
      <c r="V845" s="19">
        <v>1.6741279516627621</v>
      </c>
      <c r="W845" s="19">
        <v>2.529098445222647</v>
      </c>
      <c r="X845" s="19">
        <v>3.6051125571078857</v>
      </c>
      <c r="Y845" s="19">
        <v>4.8807965084443774</v>
      </c>
      <c r="Z845" s="19">
        <v>6.2974103557852548</v>
      </c>
      <c r="AA845" s="19">
        <v>7.7520480746857281</v>
      </c>
      <c r="AB845" s="19">
        <v>9.0983582810887462</v>
      </c>
      <c r="AC845" s="19">
        <v>10.159586050889704</v>
      </c>
      <c r="AD845" s="19">
        <v>10.756873505105258</v>
      </c>
      <c r="AE845" s="19">
        <v>10.750797619494916</v>
      </c>
      <c r="AF845" s="19">
        <v>10.08660528537732</v>
      </c>
      <c r="AG845" s="19">
        <v>8.8265232176497825</v>
      </c>
      <c r="AH845" s="19">
        <v>7.264983831606445</v>
      </c>
      <c r="AI845" s="19">
        <v>5.5293535531162581</v>
      </c>
      <c r="AJ845" s="19">
        <v>1.2592306300905018</v>
      </c>
      <c r="AK845" s="19">
        <v>0</v>
      </c>
      <c r="AL845" s="19">
        <v>0</v>
      </c>
      <c r="AM845" s="19">
        <v>0</v>
      </c>
      <c r="AN845" s="19">
        <v>0</v>
      </c>
      <c r="AO845" s="19">
        <v>0</v>
      </c>
      <c r="AP845" s="19">
        <v>0</v>
      </c>
      <c r="AQ845" s="19">
        <v>0</v>
      </c>
      <c r="AR845" s="19">
        <v>102.38426881229442</v>
      </c>
    </row>
    <row r="846" spans="1:44" x14ac:dyDescent="0.25">
      <c r="A846" t="s">
        <v>250</v>
      </c>
      <c r="B846" t="s">
        <v>353</v>
      </c>
      <c r="C846" t="s">
        <v>45</v>
      </c>
      <c r="D846" t="s">
        <v>354</v>
      </c>
      <c r="E846" t="s">
        <v>134</v>
      </c>
      <c r="F846" t="s">
        <v>354</v>
      </c>
      <c r="G846" t="s">
        <v>31</v>
      </c>
      <c r="H846" t="s">
        <v>253</v>
      </c>
      <c r="I846" t="s">
        <v>135</v>
      </c>
      <c r="J846" t="s">
        <v>40</v>
      </c>
      <c r="K846" t="s">
        <v>31</v>
      </c>
      <c r="L846">
        <v>2.11</v>
      </c>
      <c r="M846">
        <v>1</v>
      </c>
      <c r="N846" s="2">
        <v>1.5959225360467455</v>
      </c>
      <c r="O846" s="2">
        <v>1.9798085216903567</v>
      </c>
      <c r="P846" s="1">
        <v>-0.14324970019558894</v>
      </c>
      <c r="Q846" s="1">
        <v>0.4672931329656026</v>
      </c>
      <c r="R846" s="1">
        <v>-0.53071772101320502</v>
      </c>
      <c r="S846" s="19">
        <v>9.9865849167196981</v>
      </c>
      <c r="T846" s="19">
        <v>19.880681843848095</v>
      </c>
      <c r="U846" s="19">
        <v>35.154324788964146</v>
      </c>
      <c r="V846" s="19">
        <v>56.948875919329282</v>
      </c>
      <c r="W846" s="19">
        <v>86.086033664421237</v>
      </c>
      <c r="X846" s="19">
        <v>122.7880911310732</v>
      </c>
      <c r="Y846" s="19">
        <v>166.34071956890369</v>
      </c>
      <c r="Z846" s="19">
        <v>214.7535362217248</v>
      </c>
      <c r="AA846" s="19">
        <v>264.52409819880921</v>
      </c>
      <c r="AB846" s="19">
        <v>310.6578091847843</v>
      </c>
      <c r="AC846" s="19">
        <v>347.10886768137527</v>
      </c>
      <c r="AD846" s="19">
        <v>367.74452243388549</v>
      </c>
      <c r="AE846" s="19">
        <v>367.76576001521659</v>
      </c>
      <c r="AF846" s="19">
        <v>345.25985811520235</v>
      </c>
      <c r="AG846" s="19">
        <v>302.31603628880561</v>
      </c>
      <c r="AH846" s="19">
        <v>248.98697237498641</v>
      </c>
      <c r="AI846" s="19">
        <v>189.62115501454332</v>
      </c>
      <c r="AJ846" s="19">
        <v>72.731916801652787</v>
      </c>
      <c r="AK846" s="19">
        <v>0</v>
      </c>
      <c r="AL846" s="19">
        <v>0</v>
      </c>
      <c r="AM846" s="19">
        <v>0</v>
      </c>
      <c r="AN846" s="19">
        <v>0</v>
      </c>
      <c r="AO846" s="19">
        <v>0</v>
      </c>
      <c r="AP846" s="19">
        <v>0</v>
      </c>
      <c r="AQ846" s="19">
        <v>0</v>
      </c>
      <c r="AR846" s="19">
        <v>3528.6558441642455</v>
      </c>
    </row>
    <row r="847" spans="1:44" x14ac:dyDescent="0.25">
      <c r="A847" t="s">
        <v>250</v>
      </c>
      <c r="B847" t="s">
        <v>355</v>
      </c>
      <c r="C847" t="s">
        <v>45</v>
      </c>
      <c r="D847" t="s">
        <v>356</v>
      </c>
      <c r="E847" t="s">
        <v>134</v>
      </c>
      <c r="F847" t="s">
        <v>356</v>
      </c>
      <c r="G847" t="s">
        <v>31</v>
      </c>
      <c r="H847" t="s">
        <v>288</v>
      </c>
      <c r="I847" t="s">
        <v>135</v>
      </c>
      <c r="J847" t="s">
        <v>39</v>
      </c>
      <c r="K847" t="s">
        <v>31</v>
      </c>
      <c r="L847">
        <v>27.609695928724999</v>
      </c>
      <c r="M847">
        <v>0</v>
      </c>
      <c r="N847" s="2">
        <v>0.97527625300994847</v>
      </c>
      <c r="O847" s="2">
        <v>5.5125763814213515</v>
      </c>
      <c r="P847" s="1">
        <v>0.57134666754224184</v>
      </c>
      <c r="Q847" s="1">
        <v>3.0616063307454859</v>
      </c>
      <c r="R847" s="1">
        <v>-1.9486051365640844</v>
      </c>
      <c r="S847" s="19">
        <v>0.14539164044983263</v>
      </c>
      <c r="T847" s="19">
        <v>0.28975646768796148</v>
      </c>
      <c r="U847" s="19">
        <v>0.51293230262582912</v>
      </c>
      <c r="V847" s="19">
        <v>0.83185162924536027</v>
      </c>
      <c r="W847" s="19">
        <v>1.2588466828215319</v>
      </c>
      <c r="X847" s="19">
        <v>1.7975286249074811</v>
      </c>
      <c r="Y847" s="19">
        <v>2.4377971726121408</v>
      </c>
      <c r="Z847" s="19">
        <v>3.1507848090863013</v>
      </c>
      <c r="AA847" s="19">
        <v>3.8852868439599177</v>
      </c>
      <c r="AB847" s="19">
        <v>4.5679311161144902</v>
      </c>
      <c r="AC847" s="19">
        <v>5.1095470872628299</v>
      </c>
      <c r="AD847" s="19">
        <v>5.4192892967173938</v>
      </c>
      <c r="AE847" s="19">
        <v>5.4255883711382182</v>
      </c>
      <c r="AF847" s="19">
        <v>5.0991884504823233</v>
      </c>
      <c r="AG847" s="19">
        <v>4.4698771332297191</v>
      </c>
      <c r="AH847" s="19">
        <v>3.6854493836615649</v>
      </c>
      <c r="AI847" s="19">
        <v>2.8098299683316186</v>
      </c>
      <c r="AJ847" s="19">
        <v>1.8550055903255993</v>
      </c>
      <c r="AK847" s="19">
        <v>0</v>
      </c>
      <c r="AL847" s="19">
        <v>0</v>
      </c>
      <c r="AM847" s="19">
        <v>0</v>
      </c>
      <c r="AN847" s="19">
        <v>0</v>
      </c>
      <c r="AO847" s="19">
        <v>0</v>
      </c>
      <c r="AP847" s="19">
        <v>0</v>
      </c>
      <c r="AQ847" s="19">
        <v>0</v>
      </c>
      <c r="AR847" s="19">
        <v>52.751882570660115</v>
      </c>
    </row>
    <row r="848" spans="1:44" x14ac:dyDescent="0.25">
      <c r="A848" t="s">
        <v>250</v>
      </c>
      <c r="B848" t="s">
        <v>355</v>
      </c>
      <c r="C848" t="s">
        <v>45</v>
      </c>
      <c r="D848" t="s">
        <v>356</v>
      </c>
      <c r="E848" t="s">
        <v>134</v>
      </c>
      <c r="F848" t="s">
        <v>356</v>
      </c>
      <c r="G848" t="s">
        <v>31</v>
      </c>
      <c r="H848" t="s">
        <v>289</v>
      </c>
      <c r="I848" t="s">
        <v>135</v>
      </c>
      <c r="J848" t="s">
        <v>39</v>
      </c>
      <c r="K848" t="s">
        <v>31</v>
      </c>
      <c r="L848">
        <v>27.609695928724999</v>
      </c>
      <c r="M848">
        <v>0</v>
      </c>
      <c r="N848" s="2">
        <v>0.97527625300994847</v>
      </c>
      <c r="O848" s="2">
        <v>5.5125763814213515</v>
      </c>
      <c r="P848" s="1">
        <v>0.57134666754224184</v>
      </c>
      <c r="Q848" s="1">
        <v>3.0616063307454859</v>
      </c>
      <c r="R848" s="1">
        <v>-1.9486051365640844</v>
      </c>
      <c r="S848" s="19">
        <v>0.13818845178363853</v>
      </c>
      <c r="T848" s="19">
        <v>0.275400962120043</v>
      </c>
      <c r="U848" s="19">
        <v>0.48751991896079894</v>
      </c>
      <c r="V848" s="19">
        <v>0.79063891433825506</v>
      </c>
      <c r="W848" s="19">
        <v>1.1964792033012428</v>
      </c>
      <c r="X848" s="19">
        <v>1.7084730383687159</v>
      </c>
      <c r="Y848" s="19">
        <v>2.31702053848166</v>
      </c>
      <c r="Z848" s="19">
        <v>2.9946843802294008</v>
      </c>
      <c r="AA848" s="19">
        <v>3.6927967250456728</v>
      </c>
      <c r="AB848" s="19">
        <v>4.3416205143374595</v>
      </c>
      <c r="AC848" s="19">
        <v>4.8564030168438936</v>
      </c>
      <c r="AD848" s="19">
        <v>5.1507995601674335</v>
      </c>
      <c r="AE848" s="19">
        <v>5.1567865573509755</v>
      </c>
      <c r="AF848" s="19">
        <v>4.8465575816121405</v>
      </c>
      <c r="AG848" s="19">
        <v>4.2484244540678082</v>
      </c>
      <c r="AH848" s="19">
        <v>3.5028598816235617</v>
      </c>
      <c r="AI848" s="19">
        <v>2.6706215838660574</v>
      </c>
      <c r="AJ848" s="19">
        <v>1.7631024024764106</v>
      </c>
      <c r="AK848" s="19">
        <v>0</v>
      </c>
      <c r="AL848" s="19">
        <v>0</v>
      </c>
      <c r="AM848" s="19">
        <v>0</v>
      </c>
      <c r="AN848" s="19">
        <v>0</v>
      </c>
      <c r="AO848" s="19">
        <v>0</v>
      </c>
      <c r="AP848" s="19">
        <v>0</v>
      </c>
      <c r="AQ848" s="19">
        <v>0</v>
      </c>
      <c r="AR848" s="19">
        <v>50.138377684975175</v>
      </c>
    </row>
    <row r="849" spans="1:44" x14ac:dyDescent="0.25">
      <c r="A849" t="s">
        <v>250</v>
      </c>
      <c r="B849" t="s">
        <v>355</v>
      </c>
      <c r="C849" t="s">
        <v>45</v>
      </c>
      <c r="D849" t="s">
        <v>356</v>
      </c>
      <c r="E849" t="s">
        <v>134</v>
      </c>
      <c r="F849" t="s">
        <v>356</v>
      </c>
      <c r="G849" t="s">
        <v>31</v>
      </c>
      <c r="H849" t="s">
        <v>290</v>
      </c>
      <c r="I849" t="s">
        <v>135</v>
      </c>
      <c r="J849" t="s">
        <v>39</v>
      </c>
      <c r="K849" t="s">
        <v>31</v>
      </c>
      <c r="L849">
        <v>27.609695928724999</v>
      </c>
      <c r="M849">
        <v>0</v>
      </c>
      <c r="N849" s="2">
        <v>0.97527625300994847</v>
      </c>
      <c r="O849" s="2">
        <v>5.5125763814213515</v>
      </c>
      <c r="P849" s="1">
        <v>0.57134666754224184</v>
      </c>
      <c r="Q849" s="1">
        <v>3.0616063307454859</v>
      </c>
      <c r="R849" s="1">
        <v>-1.9486051365640844</v>
      </c>
      <c r="S849" s="19">
        <v>0.20010629015587364</v>
      </c>
      <c r="T849" s="19">
        <v>0.3987993506250791</v>
      </c>
      <c r="U849" s="19">
        <v>0.70596204748773561</v>
      </c>
      <c r="V849" s="19">
        <v>1.1448989981363122</v>
      </c>
      <c r="W849" s="19">
        <v>1.7325833782126117</v>
      </c>
      <c r="X849" s="19">
        <v>2.473985323133749</v>
      </c>
      <c r="Y849" s="19">
        <v>3.3552035512813081</v>
      </c>
      <c r="Z849" s="19">
        <v>4.336506949608931</v>
      </c>
      <c r="AA849" s="19">
        <v>5.3474211731210763</v>
      </c>
      <c r="AB849" s="19">
        <v>6.2869622112053314</v>
      </c>
      <c r="AC849" s="19">
        <v>7.0324023365133703</v>
      </c>
      <c r="AD849" s="19">
        <v>7.4587085825043324</v>
      </c>
      <c r="AE849" s="19">
        <v>7.4673781621986484</v>
      </c>
      <c r="AF849" s="19">
        <v>7.0181454757282058</v>
      </c>
      <c r="AG849" s="19">
        <v>6.152007968379726</v>
      </c>
      <c r="AH849" s="19">
        <v>5.0723796873055731</v>
      </c>
      <c r="AI849" s="19">
        <v>3.8672419486569134</v>
      </c>
      <c r="AJ849" s="19">
        <v>2.5530923631509643</v>
      </c>
      <c r="AK849" s="19">
        <v>0</v>
      </c>
      <c r="AL849" s="19">
        <v>0</v>
      </c>
      <c r="AM849" s="19">
        <v>0</v>
      </c>
      <c r="AN849" s="19">
        <v>0</v>
      </c>
      <c r="AO849" s="19">
        <v>0</v>
      </c>
      <c r="AP849" s="19">
        <v>0</v>
      </c>
      <c r="AQ849" s="19">
        <v>0</v>
      </c>
      <c r="AR849" s="19">
        <v>72.603785797405735</v>
      </c>
    </row>
    <row r="850" spans="1:44" x14ac:dyDescent="0.25">
      <c r="A850" t="s">
        <v>250</v>
      </c>
      <c r="B850" t="s">
        <v>355</v>
      </c>
      <c r="C850" t="s">
        <v>45</v>
      </c>
      <c r="D850" t="s">
        <v>356</v>
      </c>
      <c r="E850" t="s">
        <v>134</v>
      </c>
      <c r="F850" t="s">
        <v>356</v>
      </c>
      <c r="G850" t="s">
        <v>31</v>
      </c>
      <c r="H850" t="s">
        <v>272</v>
      </c>
      <c r="I850" t="s">
        <v>135</v>
      </c>
      <c r="J850" t="s">
        <v>39</v>
      </c>
      <c r="K850" t="s">
        <v>31</v>
      </c>
      <c r="L850">
        <v>27.609695928724999</v>
      </c>
      <c r="M850">
        <v>0</v>
      </c>
      <c r="N850" s="2">
        <v>0.97527625300994847</v>
      </c>
      <c r="O850" s="2">
        <v>5.5125763814213515</v>
      </c>
      <c r="P850" s="1">
        <v>0.57134666754224184</v>
      </c>
      <c r="Q850" s="1">
        <v>3.0616063307454859</v>
      </c>
      <c r="R850" s="1">
        <v>-1.9486051365640844</v>
      </c>
      <c r="S850" s="19">
        <v>7.0775688426917713E-2</v>
      </c>
      <c r="T850" s="19">
        <v>0.14082516944325316</v>
      </c>
      <c r="U850" s="19">
        <v>0.24889127478232151</v>
      </c>
      <c r="V850" s="19">
        <v>0.40299343521406078</v>
      </c>
      <c r="W850" s="19">
        <v>0.60887398400410464</v>
      </c>
      <c r="X850" s="19">
        <v>0.86802627468436322</v>
      </c>
      <c r="Y850" s="19">
        <v>1.1753226435442861</v>
      </c>
      <c r="Z850" s="19">
        <v>1.5166338864569506</v>
      </c>
      <c r="AA850" s="19">
        <v>1.8671859809360123</v>
      </c>
      <c r="AB850" s="19">
        <v>2.1917272874672098</v>
      </c>
      <c r="AC850" s="19">
        <v>2.4476642934907962</v>
      </c>
      <c r="AD850" s="19">
        <v>2.5918762384172056</v>
      </c>
      <c r="AE850" s="19">
        <v>2.5907245731425732</v>
      </c>
      <c r="AF850" s="19">
        <v>2.4309607307745491</v>
      </c>
      <c r="AG850" s="19">
        <v>2.1275263348598972</v>
      </c>
      <c r="AH850" s="19">
        <v>1.7513473439396303</v>
      </c>
      <c r="AI850" s="19">
        <v>1.3331049941204467</v>
      </c>
      <c r="AJ850" s="19">
        <v>0.34379647211707032</v>
      </c>
      <c r="AK850" s="19">
        <v>0</v>
      </c>
      <c r="AL850" s="19">
        <v>0</v>
      </c>
      <c r="AM850" s="19">
        <v>0</v>
      </c>
      <c r="AN850" s="19">
        <v>0</v>
      </c>
      <c r="AO850" s="19">
        <v>0</v>
      </c>
      <c r="AP850" s="19">
        <v>0</v>
      </c>
      <c r="AQ850" s="19">
        <v>0</v>
      </c>
      <c r="AR850" s="19">
        <v>24.708256605821653</v>
      </c>
    </row>
    <row r="851" spans="1:44" x14ac:dyDescent="0.25">
      <c r="A851" t="s">
        <v>250</v>
      </c>
      <c r="B851" t="s">
        <v>355</v>
      </c>
      <c r="C851" t="s">
        <v>45</v>
      </c>
      <c r="D851" t="s">
        <v>356</v>
      </c>
      <c r="E851" t="s">
        <v>134</v>
      </c>
      <c r="F851" t="s">
        <v>356</v>
      </c>
      <c r="G851" t="s">
        <v>31</v>
      </c>
      <c r="H851" t="s">
        <v>273</v>
      </c>
      <c r="I851" t="s">
        <v>135</v>
      </c>
      <c r="J851" t="s">
        <v>39</v>
      </c>
      <c r="K851" t="s">
        <v>31</v>
      </c>
      <c r="L851">
        <v>27.609695928724999</v>
      </c>
      <c r="M851">
        <v>0</v>
      </c>
      <c r="N851" s="2">
        <v>0.97527625300994847</v>
      </c>
      <c r="O851" s="2">
        <v>5.5125763814213515</v>
      </c>
      <c r="P851" s="1">
        <v>0.57134666754224184</v>
      </c>
      <c r="Q851" s="1">
        <v>3.0616063307454859</v>
      </c>
      <c r="R851" s="1">
        <v>-1.9486051365640844</v>
      </c>
      <c r="S851" s="19">
        <v>2.1286251696700873E-2</v>
      </c>
      <c r="T851" s="19">
        <v>4.2354091759841651E-2</v>
      </c>
      <c r="U851" s="19">
        <v>7.4855680501078548E-2</v>
      </c>
      <c r="V851" s="19">
        <v>0.12120291423152178</v>
      </c>
      <c r="W851" s="19">
        <v>0.18312283727861481</v>
      </c>
      <c r="X851" s="19">
        <v>0.26106458549477984</v>
      </c>
      <c r="Y851" s="19">
        <v>0.35348598044580071</v>
      </c>
      <c r="Z851" s="19">
        <v>0.45613757147984346</v>
      </c>
      <c r="AA851" s="19">
        <v>0.56156840912675809</v>
      </c>
      <c r="AB851" s="19">
        <v>0.65917633199327508</v>
      </c>
      <c r="AC851" s="19">
        <v>0.7361510622969385</v>
      </c>
      <c r="AD851" s="19">
        <v>0.77952374895817922</v>
      </c>
      <c r="AE851" s="19">
        <v>0.77917737808633003</v>
      </c>
      <c r="AF851" s="19">
        <v>0.73112735644380789</v>
      </c>
      <c r="AG851" s="19">
        <v>0.63986747514226228</v>
      </c>
      <c r="AH851" s="19">
        <v>0.52672918059909923</v>
      </c>
      <c r="AI851" s="19">
        <v>0.40094005545814482</v>
      </c>
      <c r="AJ851" s="19">
        <v>0.10339903998924986</v>
      </c>
      <c r="AK851" s="19">
        <v>0</v>
      </c>
      <c r="AL851" s="19">
        <v>0</v>
      </c>
      <c r="AM851" s="19">
        <v>0</v>
      </c>
      <c r="AN851" s="19">
        <v>0</v>
      </c>
      <c r="AO851" s="19">
        <v>0</v>
      </c>
      <c r="AP851" s="19">
        <v>0</v>
      </c>
      <c r="AQ851" s="19">
        <v>0</v>
      </c>
      <c r="AR851" s="19">
        <v>7.431169950982226</v>
      </c>
    </row>
    <row r="852" spans="1:44" x14ac:dyDescent="0.25">
      <c r="A852" t="s">
        <v>250</v>
      </c>
      <c r="B852" t="s">
        <v>355</v>
      </c>
      <c r="C852" t="s">
        <v>45</v>
      </c>
      <c r="D852" t="s">
        <v>356</v>
      </c>
      <c r="E852" t="s">
        <v>134</v>
      </c>
      <c r="F852" t="s">
        <v>356</v>
      </c>
      <c r="G852" t="s">
        <v>31</v>
      </c>
      <c r="H852" t="s">
        <v>274</v>
      </c>
      <c r="I852" t="s">
        <v>135</v>
      </c>
      <c r="J852" t="s">
        <v>39</v>
      </c>
      <c r="K852" t="s">
        <v>31</v>
      </c>
      <c r="L852">
        <v>27.609695928724999</v>
      </c>
      <c r="M852">
        <v>0</v>
      </c>
      <c r="N852" s="2">
        <v>0.97527625300994847</v>
      </c>
      <c r="O852" s="2">
        <v>5.5125763814213515</v>
      </c>
      <c r="P852" s="1">
        <v>0.57134666754224184</v>
      </c>
      <c r="Q852" s="1">
        <v>3.0616063307454859</v>
      </c>
      <c r="R852" s="1">
        <v>-1.9486051365640844</v>
      </c>
      <c r="S852" s="19">
        <v>3.3508371908884352E-2</v>
      </c>
      <c r="T852" s="19">
        <v>6.6672924795479635E-2</v>
      </c>
      <c r="U852" s="19">
        <v>0.11783624554770812</v>
      </c>
      <c r="V852" s="19">
        <v>0.19079509085857055</v>
      </c>
      <c r="W852" s="19">
        <v>0.28826813776203586</v>
      </c>
      <c r="X852" s="19">
        <v>0.41096240651676774</v>
      </c>
      <c r="Y852" s="19">
        <v>0.55645023210875189</v>
      </c>
      <c r="Z852" s="19">
        <v>0.71804221826103998</v>
      </c>
      <c r="AA852" s="19">
        <v>0.88400923626287842</v>
      </c>
      <c r="AB852" s="19">
        <v>1.0376615855476461</v>
      </c>
      <c r="AC852" s="19">
        <v>1.1588335949437854</v>
      </c>
      <c r="AD852" s="19">
        <v>1.2271099705142958</v>
      </c>
      <c r="AE852" s="19">
        <v>1.2265647207372234</v>
      </c>
      <c r="AF852" s="19">
        <v>1.1509253823337826</v>
      </c>
      <c r="AG852" s="19">
        <v>1.007265987218823</v>
      </c>
      <c r="AH852" s="19">
        <v>0.82916605188465675</v>
      </c>
      <c r="AI852" s="19">
        <v>0.63115144379987265</v>
      </c>
      <c r="AJ852" s="19">
        <v>0.16276860465378842</v>
      </c>
      <c r="AK852" s="19">
        <v>0</v>
      </c>
      <c r="AL852" s="19">
        <v>0</v>
      </c>
      <c r="AM852" s="19">
        <v>0</v>
      </c>
      <c r="AN852" s="19">
        <v>0</v>
      </c>
      <c r="AO852" s="19">
        <v>0</v>
      </c>
      <c r="AP852" s="19">
        <v>0</v>
      </c>
      <c r="AQ852" s="19">
        <v>0</v>
      </c>
      <c r="AR852" s="19">
        <v>11.697992205655993</v>
      </c>
    </row>
    <row r="853" spans="1:44" x14ac:dyDescent="0.25">
      <c r="A853" t="s">
        <v>250</v>
      </c>
      <c r="B853" t="s">
        <v>355</v>
      </c>
      <c r="C853" t="s">
        <v>45</v>
      </c>
      <c r="D853" t="s">
        <v>356</v>
      </c>
      <c r="E853" t="s">
        <v>134</v>
      </c>
      <c r="F853" t="s">
        <v>356</v>
      </c>
      <c r="G853" t="s">
        <v>31</v>
      </c>
      <c r="H853" t="s">
        <v>275</v>
      </c>
      <c r="I853" t="s">
        <v>135</v>
      </c>
      <c r="J853" t="s">
        <v>39</v>
      </c>
      <c r="K853" t="s">
        <v>31</v>
      </c>
      <c r="L853">
        <v>27.609695928724999</v>
      </c>
      <c r="M853">
        <v>0</v>
      </c>
      <c r="N853" s="2">
        <v>0.97527625300994847</v>
      </c>
      <c r="O853" s="2">
        <v>5.5125763814213515</v>
      </c>
      <c r="P853" s="1">
        <v>0.57134666754224184</v>
      </c>
      <c r="Q853" s="1">
        <v>3.0616063307454859</v>
      </c>
      <c r="R853" s="1">
        <v>-1.9486051365640844</v>
      </c>
      <c r="S853" s="19">
        <v>5.1190317525510502E-2</v>
      </c>
      <c r="T853" s="19">
        <v>0.10185538706314064</v>
      </c>
      <c r="U853" s="19">
        <v>0.18001694746624999</v>
      </c>
      <c r="V853" s="19">
        <v>0.29147525609172559</v>
      </c>
      <c r="W853" s="19">
        <v>0.44038360158625606</v>
      </c>
      <c r="X853" s="19">
        <v>0.62782208988982457</v>
      </c>
      <c r="Y853" s="19">
        <v>0.85008200775157916</v>
      </c>
      <c r="Z853" s="19">
        <v>1.0969440487724476</v>
      </c>
      <c r="AA853" s="19">
        <v>1.3504897708200063</v>
      </c>
      <c r="AB853" s="19">
        <v>1.585222528645893</v>
      </c>
      <c r="AC853" s="19">
        <v>1.7703354805093616</v>
      </c>
      <c r="AD853" s="19">
        <v>1.8746404391164004</v>
      </c>
      <c r="AE853" s="19">
        <v>1.8738074679026713</v>
      </c>
      <c r="AF853" s="19">
        <v>1.7582542037566122</v>
      </c>
      <c r="AG853" s="19">
        <v>1.5387875560945179</v>
      </c>
      <c r="AH853" s="19">
        <v>1.2667065291255055</v>
      </c>
      <c r="AI853" s="19">
        <v>0.96420210754058011</v>
      </c>
      <c r="AJ853" s="19">
        <v>0.2486595462790295</v>
      </c>
      <c r="AK853" s="19">
        <v>0</v>
      </c>
      <c r="AL853" s="19">
        <v>0</v>
      </c>
      <c r="AM853" s="19">
        <v>0</v>
      </c>
      <c r="AN853" s="19">
        <v>0</v>
      </c>
      <c r="AO853" s="19">
        <v>0</v>
      </c>
      <c r="AP853" s="19">
        <v>0</v>
      </c>
      <c r="AQ853" s="19">
        <v>0</v>
      </c>
      <c r="AR853" s="19">
        <v>17.870875285937309</v>
      </c>
    </row>
    <row r="854" spans="1:44" x14ac:dyDescent="0.25">
      <c r="A854" t="s">
        <v>250</v>
      </c>
      <c r="B854" t="s">
        <v>355</v>
      </c>
      <c r="C854" t="s">
        <v>45</v>
      </c>
      <c r="D854" t="s">
        <v>356</v>
      </c>
      <c r="E854" t="s">
        <v>134</v>
      </c>
      <c r="F854" t="s">
        <v>356</v>
      </c>
      <c r="G854" t="s">
        <v>31</v>
      </c>
      <c r="H854" t="s">
        <v>276</v>
      </c>
      <c r="I854" t="s">
        <v>135</v>
      </c>
      <c r="J854" t="s">
        <v>39</v>
      </c>
      <c r="K854" t="s">
        <v>31</v>
      </c>
      <c r="L854">
        <v>27.609695928724999</v>
      </c>
      <c r="M854">
        <v>0</v>
      </c>
      <c r="N854" s="2">
        <v>0.97527625300994847</v>
      </c>
      <c r="O854" s="2">
        <v>5.5125763814213515</v>
      </c>
      <c r="P854" s="1">
        <v>0.57134666754224184</v>
      </c>
      <c r="Q854" s="1">
        <v>3.0616063307454859</v>
      </c>
      <c r="R854" s="1">
        <v>-1.9486051365640844</v>
      </c>
      <c r="S854" s="19">
        <v>0.44186805264078483</v>
      </c>
      <c r="T854" s="19">
        <v>0.88141039723266068</v>
      </c>
      <c r="U854" s="19">
        <v>1.561697607833382</v>
      </c>
      <c r="V854" s="19">
        <v>2.534980545315904</v>
      </c>
      <c r="W854" s="19">
        <v>3.8396661338358511</v>
      </c>
      <c r="X854" s="19">
        <v>5.4876739875989813</v>
      </c>
      <c r="Y854" s="19">
        <v>7.4490676960637137</v>
      </c>
      <c r="Z854" s="19">
        <v>9.6364031149620715</v>
      </c>
      <c r="AA854" s="19">
        <v>11.893540841475764</v>
      </c>
      <c r="AB854" s="19">
        <v>13.99585682900212</v>
      </c>
      <c r="AC854" s="19">
        <v>15.669466675434446</v>
      </c>
      <c r="AD854" s="19">
        <v>16.634356664188399</v>
      </c>
      <c r="AE854" s="19">
        <v>16.668724919256945</v>
      </c>
      <c r="AF854" s="19">
        <v>15.680086882391493</v>
      </c>
      <c r="AG854" s="19">
        <v>13.757352085866202</v>
      </c>
      <c r="AH854" s="19">
        <v>11.353286093275887</v>
      </c>
      <c r="AI854" s="19">
        <v>8.6636926177788283</v>
      </c>
      <c r="AJ854" s="19">
        <v>5.9853453668871879</v>
      </c>
      <c r="AK854" s="19">
        <v>1.6964445122218708</v>
      </c>
      <c r="AL854" s="19">
        <v>0</v>
      </c>
      <c r="AM854" s="19">
        <v>0</v>
      </c>
      <c r="AN854" s="19">
        <v>0</v>
      </c>
      <c r="AO854" s="19">
        <v>0</v>
      </c>
      <c r="AP854" s="19">
        <v>0</v>
      </c>
      <c r="AQ854" s="19">
        <v>0</v>
      </c>
      <c r="AR854" s="19">
        <v>163.8309210232625</v>
      </c>
    </row>
    <row r="855" spans="1:44" x14ac:dyDescent="0.25">
      <c r="A855" t="s">
        <v>250</v>
      </c>
      <c r="B855" t="s">
        <v>355</v>
      </c>
      <c r="C855" t="s">
        <v>45</v>
      </c>
      <c r="D855" t="s">
        <v>356</v>
      </c>
      <c r="E855" t="s">
        <v>134</v>
      </c>
      <c r="F855" t="s">
        <v>356</v>
      </c>
      <c r="G855" t="s">
        <v>31</v>
      </c>
      <c r="H855" t="s">
        <v>277</v>
      </c>
      <c r="I855" t="s">
        <v>135</v>
      </c>
      <c r="J855" t="s">
        <v>39</v>
      </c>
      <c r="K855" t="s">
        <v>31</v>
      </c>
      <c r="L855">
        <v>27.609695928724999</v>
      </c>
      <c r="M855">
        <v>0</v>
      </c>
      <c r="N855" s="2">
        <v>0.97527625300994847</v>
      </c>
      <c r="O855" s="2">
        <v>5.5125763814213515</v>
      </c>
      <c r="P855" s="1">
        <v>0.57134666754224184</v>
      </c>
      <c r="Q855" s="1">
        <v>3.0616063307454859</v>
      </c>
      <c r="R855" s="1">
        <v>-1.9486051365640844</v>
      </c>
      <c r="S855" s="19">
        <v>0.13544157609911103</v>
      </c>
      <c r="T855" s="19">
        <v>0.26946093949039746</v>
      </c>
      <c r="U855" s="19">
        <v>0.47618186315652511</v>
      </c>
      <c r="V855" s="19">
        <v>0.77091907215633604</v>
      </c>
      <c r="W855" s="19">
        <v>1.164624379424871</v>
      </c>
      <c r="X855" s="19">
        <v>1.6601180481960085</v>
      </c>
      <c r="Y855" s="19">
        <v>2.2475576684187546</v>
      </c>
      <c r="Z855" s="19">
        <v>2.8998940873353405</v>
      </c>
      <c r="AA855" s="19">
        <v>3.5697401164065163</v>
      </c>
      <c r="AB855" s="19">
        <v>4.1897024162558019</v>
      </c>
      <c r="AC855" s="19">
        <v>4.678387123317127</v>
      </c>
      <c r="AD855" s="19">
        <v>4.9534319844683559</v>
      </c>
      <c r="AE855" s="19">
        <v>4.9506341002967194</v>
      </c>
      <c r="AF855" s="19">
        <v>4.644780215327696</v>
      </c>
      <c r="AG855" s="19">
        <v>4.0645251054786984</v>
      </c>
      <c r="AH855" s="19">
        <v>3.3454519346207254</v>
      </c>
      <c r="AI855" s="19">
        <v>2.5462116599624185</v>
      </c>
      <c r="AJ855" s="19">
        <v>0.57986303138658835</v>
      </c>
      <c r="AK855" s="19">
        <v>0</v>
      </c>
      <c r="AL855" s="19">
        <v>0</v>
      </c>
      <c r="AM855" s="19">
        <v>0</v>
      </c>
      <c r="AN855" s="19">
        <v>0</v>
      </c>
      <c r="AO855" s="19">
        <v>0</v>
      </c>
      <c r="AP855" s="19">
        <v>0</v>
      </c>
      <c r="AQ855" s="19">
        <v>0</v>
      </c>
      <c r="AR855" s="19">
        <v>47.146925321797987</v>
      </c>
    </row>
    <row r="856" spans="1:44" x14ac:dyDescent="0.25">
      <c r="A856" t="s">
        <v>250</v>
      </c>
      <c r="B856" t="s">
        <v>355</v>
      </c>
      <c r="C856" t="s">
        <v>45</v>
      </c>
      <c r="D856" t="s">
        <v>356</v>
      </c>
      <c r="E856" t="s">
        <v>134</v>
      </c>
      <c r="F856" t="s">
        <v>356</v>
      </c>
      <c r="G856" t="s">
        <v>31</v>
      </c>
      <c r="H856" t="s">
        <v>278</v>
      </c>
      <c r="I856" t="s">
        <v>135</v>
      </c>
      <c r="J856" t="s">
        <v>39</v>
      </c>
      <c r="K856" t="s">
        <v>31</v>
      </c>
      <c r="L856">
        <v>27.609695928724999</v>
      </c>
      <c r="M856">
        <v>0</v>
      </c>
      <c r="N856" s="2">
        <v>0.97527625300994847</v>
      </c>
      <c r="O856" s="2">
        <v>5.5125763814213515</v>
      </c>
      <c r="P856" s="1">
        <v>0.57134666754224184</v>
      </c>
      <c r="Q856" s="1">
        <v>3.0616063307454859</v>
      </c>
      <c r="R856" s="1">
        <v>-1.9486051365640844</v>
      </c>
      <c r="S856" s="19">
        <v>2.8346314000099619E-2</v>
      </c>
      <c r="T856" s="19">
        <v>5.6152460596206301E-2</v>
      </c>
      <c r="U856" s="19">
        <v>9.8803925487081487E-2</v>
      </c>
      <c r="V856" s="19">
        <v>0.15927166384404159</v>
      </c>
      <c r="W856" s="19">
        <v>0.23957637062001147</v>
      </c>
      <c r="X856" s="19">
        <v>0.34003643385349147</v>
      </c>
      <c r="Y856" s="19">
        <v>0.45838004505685986</v>
      </c>
      <c r="Z856" s="19">
        <v>0.58887805873950538</v>
      </c>
      <c r="AA856" s="19">
        <v>0.72178560068851394</v>
      </c>
      <c r="AB856" s="19">
        <v>0.84349627426719387</v>
      </c>
      <c r="AC856" s="19">
        <v>0.937830870797007</v>
      </c>
      <c r="AD856" s="19">
        <v>0.98869639424138844</v>
      </c>
      <c r="AE856" s="19">
        <v>0.9838886544111014</v>
      </c>
      <c r="AF856" s="19">
        <v>0.9191336573452118</v>
      </c>
      <c r="AG856" s="19">
        <v>0.8008509385205278</v>
      </c>
      <c r="AH856" s="19">
        <v>0.65633422350643766</v>
      </c>
      <c r="AI856" s="19">
        <v>7.6264120553406214E-2</v>
      </c>
      <c r="AJ856" s="19">
        <v>0</v>
      </c>
      <c r="AK856" s="19">
        <v>0</v>
      </c>
      <c r="AL856" s="19">
        <v>0</v>
      </c>
      <c r="AM856" s="19">
        <v>0</v>
      </c>
      <c r="AN856" s="19">
        <v>0</v>
      </c>
      <c r="AO856" s="19">
        <v>0</v>
      </c>
      <c r="AP856" s="19">
        <v>0</v>
      </c>
      <c r="AQ856" s="19">
        <v>0</v>
      </c>
      <c r="AR856" s="19">
        <v>8.8977260065280852</v>
      </c>
    </row>
    <row r="857" spans="1:44" x14ac:dyDescent="0.25">
      <c r="A857" t="s">
        <v>250</v>
      </c>
      <c r="B857" t="s">
        <v>355</v>
      </c>
      <c r="C857" t="s">
        <v>45</v>
      </c>
      <c r="D857" t="s">
        <v>356</v>
      </c>
      <c r="E857" t="s">
        <v>134</v>
      </c>
      <c r="F857" t="s">
        <v>356</v>
      </c>
      <c r="G857" t="s">
        <v>31</v>
      </c>
      <c r="H857" t="s">
        <v>252</v>
      </c>
      <c r="I857" t="s">
        <v>135</v>
      </c>
      <c r="J857" t="s">
        <v>39</v>
      </c>
      <c r="K857" t="s">
        <v>31</v>
      </c>
      <c r="L857">
        <v>27.609695928724999</v>
      </c>
      <c r="M857">
        <v>0</v>
      </c>
      <c r="N857" s="2">
        <v>0.97527625300994847</v>
      </c>
      <c r="O857" s="2">
        <v>5.5125763814213515</v>
      </c>
      <c r="P857" s="1">
        <v>0.57134666754224184</v>
      </c>
      <c r="Q857" s="1">
        <v>3.0616063307454859</v>
      </c>
      <c r="R857" s="1">
        <v>-1.9486051365640844</v>
      </c>
      <c r="S857" s="19">
        <v>9.5775313575407098E-2</v>
      </c>
      <c r="T857" s="19">
        <v>0.1907402100449718</v>
      </c>
      <c r="U857" s="19">
        <v>0.33741480932481022</v>
      </c>
      <c r="V857" s="19">
        <v>0.54682068353205304</v>
      </c>
      <c r="W857" s="19">
        <v>0.82692643144929467</v>
      </c>
      <c r="X857" s="19">
        <v>1.1799533047651725</v>
      </c>
      <c r="Y857" s="19">
        <v>1.5991218113363721</v>
      </c>
      <c r="Z857" s="19">
        <v>2.0653691836389174</v>
      </c>
      <c r="AA857" s="19">
        <v>2.5450540466997333</v>
      </c>
      <c r="AB857" s="19">
        <v>2.9901187761168102</v>
      </c>
      <c r="AC857" s="19">
        <v>3.3423064856817128</v>
      </c>
      <c r="AD857" s="19">
        <v>3.5424291537875652</v>
      </c>
      <c r="AE857" s="19">
        <v>3.5440566196307266</v>
      </c>
      <c r="AF857" s="19">
        <v>3.3285098340548358</v>
      </c>
      <c r="AG857" s="19">
        <v>2.9156765199945807</v>
      </c>
      <c r="AH857" s="19">
        <v>2.4023107067896285</v>
      </c>
      <c r="AI857" s="19">
        <v>1.8302640025452113</v>
      </c>
      <c r="AJ857" s="19">
        <v>0.88608666740816155</v>
      </c>
      <c r="AK857" s="19">
        <v>0</v>
      </c>
      <c r="AL857" s="19">
        <v>0</v>
      </c>
      <c r="AM857" s="19">
        <v>0</v>
      </c>
      <c r="AN857" s="19">
        <v>0</v>
      </c>
      <c r="AO857" s="19">
        <v>0</v>
      </c>
      <c r="AP857" s="19">
        <v>0</v>
      </c>
      <c r="AQ857" s="19">
        <v>0</v>
      </c>
      <c r="AR857" s="19">
        <v>34.168934560375966</v>
      </c>
    </row>
    <row r="858" spans="1:44" x14ac:dyDescent="0.25">
      <c r="A858" t="s">
        <v>250</v>
      </c>
      <c r="B858" t="s">
        <v>355</v>
      </c>
      <c r="C858" t="s">
        <v>45</v>
      </c>
      <c r="D858" t="s">
        <v>356</v>
      </c>
      <c r="E858" t="s">
        <v>134</v>
      </c>
      <c r="F858" t="s">
        <v>356</v>
      </c>
      <c r="G858" t="s">
        <v>31</v>
      </c>
      <c r="H858" t="s">
        <v>253</v>
      </c>
      <c r="I858" t="s">
        <v>135</v>
      </c>
      <c r="J858" t="s">
        <v>39</v>
      </c>
      <c r="K858" t="s">
        <v>31</v>
      </c>
      <c r="L858">
        <v>27.609695928724999</v>
      </c>
      <c r="M858">
        <v>0</v>
      </c>
      <c r="N858" s="2">
        <v>0.97527625300994847</v>
      </c>
      <c r="O858" s="2">
        <v>5.5125763814213515</v>
      </c>
      <c r="P858" s="1">
        <v>0.57134666754224184</v>
      </c>
      <c r="Q858" s="1">
        <v>3.0616063307454859</v>
      </c>
      <c r="R858" s="1">
        <v>-1.9486051365640844</v>
      </c>
      <c r="S858" s="19">
        <v>3.8696710527052425E-2</v>
      </c>
      <c r="T858" s="19">
        <v>7.7035042189829483E-2</v>
      </c>
      <c r="U858" s="19">
        <v>0.13621841114623662</v>
      </c>
      <c r="V858" s="19">
        <v>0.22066944652939224</v>
      </c>
      <c r="W858" s="19">
        <v>0.33357212229347533</v>
      </c>
      <c r="X858" s="19">
        <v>0.47578779515642478</v>
      </c>
      <c r="Y858" s="19">
        <v>0.64454853462897177</v>
      </c>
      <c r="Z858" s="19">
        <v>0.83214186782909083</v>
      </c>
      <c r="AA858" s="19">
        <v>1.0249962865975619</v>
      </c>
      <c r="AB858" s="19">
        <v>1.2037583833954502</v>
      </c>
      <c r="AC858" s="19">
        <v>1.3450014680745477</v>
      </c>
      <c r="AD858" s="19">
        <v>1.4249619315516231</v>
      </c>
      <c r="AE858" s="19">
        <v>1.4250442244018735</v>
      </c>
      <c r="AF858" s="19">
        <v>1.3378367978153325</v>
      </c>
      <c r="AG858" s="19">
        <v>1.1714351043436031</v>
      </c>
      <c r="AH858" s="19">
        <v>0.96479195594392031</v>
      </c>
      <c r="AI858" s="19">
        <v>0.73475717741289115</v>
      </c>
      <c r="AJ858" s="19">
        <v>0.2818266658744451</v>
      </c>
      <c r="AK858" s="19">
        <v>0</v>
      </c>
      <c r="AL858" s="19">
        <v>0</v>
      </c>
      <c r="AM858" s="19">
        <v>0</v>
      </c>
      <c r="AN858" s="19">
        <v>0</v>
      </c>
      <c r="AO858" s="19">
        <v>0</v>
      </c>
      <c r="AP858" s="19">
        <v>0</v>
      </c>
      <c r="AQ858" s="19">
        <v>0</v>
      </c>
      <c r="AR858" s="19">
        <v>13.673079925711722</v>
      </c>
    </row>
    <row r="859" spans="1:44" x14ac:dyDescent="0.25">
      <c r="A859" t="s">
        <v>250</v>
      </c>
      <c r="B859" t="s">
        <v>355</v>
      </c>
      <c r="C859" t="s">
        <v>45</v>
      </c>
      <c r="D859" t="s">
        <v>356</v>
      </c>
      <c r="E859" t="s">
        <v>134</v>
      </c>
      <c r="F859" t="s">
        <v>356</v>
      </c>
      <c r="G859" t="s">
        <v>31</v>
      </c>
      <c r="H859" t="s">
        <v>254</v>
      </c>
      <c r="I859" t="s">
        <v>135</v>
      </c>
      <c r="J859" t="s">
        <v>39</v>
      </c>
      <c r="K859" t="s">
        <v>31</v>
      </c>
      <c r="L859">
        <v>27.609695928724999</v>
      </c>
      <c r="M859">
        <v>0</v>
      </c>
      <c r="N859" s="2">
        <v>0.97527625300994847</v>
      </c>
      <c r="O859" s="2">
        <v>5.5125763814213515</v>
      </c>
      <c r="P859" s="1">
        <v>0.57134666754224184</v>
      </c>
      <c r="Q859" s="1">
        <v>3.0616063307454859</v>
      </c>
      <c r="R859" s="1">
        <v>-1.9486051365640844</v>
      </c>
      <c r="S859" s="19">
        <v>8.8799660860035781E-2</v>
      </c>
      <c r="T859" s="19">
        <v>0.1767082931117562</v>
      </c>
      <c r="U859" s="19">
        <v>0.3123458688279217</v>
      </c>
      <c r="V859" s="19">
        <v>0.50579381030452053</v>
      </c>
      <c r="W859" s="19">
        <v>0.76427983537864641</v>
      </c>
      <c r="X859" s="19">
        <v>1.0897008744672527</v>
      </c>
      <c r="Y859" s="19">
        <v>1.4756418927294324</v>
      </c>
      <c r="Z859" s="19">
        <v>1.9043820215551424</v>
      </c>
      <c r="AA859" s="19">
        <v>2.3448244838605161</v>
      </c>
      <c r="AB859" s="19">
        <v>2.7526989781198465</v>
      </c>
      <c r="AC859" s="19">
        <v>3.0744929676648503</v>
      </c>
      <c r="AD859" s="19">
        <v>3.2560071994945257</v>
      </c>
      <c r="AE859" s="19">
        <v>3.2549309913127287</v>
      </c>
      <c r="AF859" s="19">
        <v>3.0545548569196073</v>
      </c>
      <c r="AG859" s="19">
        <v>2.6735873327411346</v>
      </c>
      <c r="AH859" s="19">
        <v>2.2011070412430889</v>
      </c>
      <c r="AI859" s="19">
        <v>1.6756475470275245</v>
      </c>
      <c r="AJ859" s="19">
        <v>0.47986199266826834</v>
      </c>
      <c r="AK859" s="19">
        <v>0</v>
      </c>
      <c r="AL859" s="19">
        <v>0</v>
      </c>
      <c r="AM859" s="19">
        <v>0</v>
      </c>
      <c r="AN859" s="19">
        <v>0</v>
      </c>
      <c r="AO859" s="19">
        <v>0</v>
      </c>
      <c r="AP859" s="19">
        <v>0</v>
      </c>
      <c r="AQ859" s="19">
        <v>0</v>
      </c>
      <c r="AR859" s="19">
        <v>31.0853656482868</v>
      </c>
    </row>
    <row r="860" spans="1:44" x14ac:dyDescent="0.25">
      <c r="A860" t="s">
        <v>250</v>
      </c>
      <c r="B860" t="s">
        <v>355</v>
      </c>
      <c r="C860" t="s">
        <v>45</v>
      </c>
      <c r="D860" t="s">
        <v>356</v>
      </c>
      <c r="E860" t="s">
        <v>134</v>
      </c>
      <c r="F860" t="s">
        <v>356</v>
      </c>
      <c r="G860" t="s">
        <v>31</v>
      </c>
      <c r="H860" t="s">
        <v>255</v>
      </c>
      <c r="I860" t="s">
        <v>135</v>
      </c>
      <c r="J860" t="s">
        <v>39</v>
      </c>
      <c r="K860" t="s">
        <v>31</v>
      </c>
      <c r="L860">
        <v>27.609695928724999</v>
      </c>
      <c r="M860">
        <v>0</v>
      </c>
      <c r="N860" s="2">
        <v>0.97527625300994847</v>
      </c>
      <c r="O860" s="2">
        <v>5.5125763814213515</v>
      </c>
      <c r="P860" s="1">
        <v>0.57134666754224184</v>
      </c>
      <c r="Q860" s="1">
        <v>3.0616063307454859</v>
      </c>
      <c r="R860" s="1">
        <v>-1.9486051365640844</v>
      </c>
      <c r="S860" s="19">
        <v>1.9556877157433462E-2</v>
      </c>
      <c r="T860" s="19">
        <v>3.8741078433117283E-2</v>
      </c>
      <c r="U860" s="19">
        <v>6.8167460270717101E-2</v>
      </c>
      <c r="V860" s="19">
        <v>0.10988576378738392</v>
      </c>
      <c r="W860" s="19">
        <v>0.16529012026123935</v>
      </c>
      <c r="X860" s="19">
        <v>0.23460019408171076</v>
      </c>
      <c r="Y860" s="19">
        <v>0.31624860405357552</v>
      </c>
      <c r="Z860" s="19">
        <v>0.40628266008186914</v>
      </c>
      <c r="AA860" s="19">
        <v>0.49797911384951093</v>
      </c>
      <c r="AB860" s="19">
        <v>0.58195054985062067</v>
      </c>
      <c r="AC860" s="19">
        <v>0.6470345010134817</v>
      </c>
      <c r="AD860" s="19">
        <v>0.6821279806647278</v>
      </c>
      <c r="AE860" s="19">
        <v>0.67881099288051361</v>
      </c>
      <c r="AF860" s="19">
        <v>0.6341347953705615</v>
      </c>
      <c r="AG860" s="19">
        <v>0.55252839667288767</v>
      </c>
      <c r="AH860" s="19">
        <v>0.45282246514625418</v>
      </c>
      <c r="AI860" s="19">
        <v>5.261664840012318E-2</v>
      </c>
      <c r="AJ860" s="19">
        <v>0</v>
      </c>
      <c r="AK860" s="19">
        <v>0</v>
      </c>
      <c r="AL860" s="19">
        <v>0</v>
      </c>
      <c r="AM860" s="19">
        <v>0</v>
      </c>
      <c r="AN860" s="19">
        <v>0</v>
      </c>
      <c r="AO860" s="19">
        <v>0</v>
      </c>
      <c r="AP860" s="19">
        <v>0</v>
      </c>
      <c r="AQ860" s="19">
        <v>0</v>
      </c>
      <c r="AR860" s="19">
        <v>6.138778201975728</v>
      </c>
    </row>
    <row r="861" spans="1:44" x14ac:dyDescent="0.25">
      <c r="A861" t="s">
        <v>250</v>
      </c>
      <c r="B861" t="s">
        <v>355</v>
      </c>
      <c r="C861" t="s">
        <v>45</v>
      </c>
      <c r="D861" t="s">
        <v>356</v>
      </c>
      <c r="E861" t="s">
        <v>134</v>
      </c>
      <c r="F861" t="s">
        <v>356</v>
      </c>
      <c r="G861" t="s">
        <v>31</v>
      </c>
      <c r="H861" t="s">
        <v>288</v>
      </c>
      <c r="I861" t="s">
        <v>135</v>
      </c>
      <c r="J861" t="s">
        <v>39</v>
      </c>
      <c r="K861" t="s">
        <v>33</v>
      </c>
      <c r="L861">
        <v>27.609695928724999</v>
      </c>
      <c r="M861">
        <v>0</v>
      </c>
      <c r="N861" s="2">
        <v>0.97527625300994847</v>
      </c>
      <c r="O861" s="2">
        <v>5.5125763814213515</v>
      </c>
      <c r="P861" s="1">
        <v>0.57134666754224184</v>
      </c>
      <c r="Q861" s="1">
        <v>3.0616063307454859</v>
      </c>
      <c r="R861" s="1">
        <v>-1.9486051365640844</v>
      </c>
      <c r="S861" s="19">
        <v>1.3677156455441919E-3</v>
      </c>
      <c r="T861" s="19">
        <v>2.7257719427905476E-3</v>
      </c>
      <c r="U861" s="19">
        <v>4.8252123246963615E-3</v>
      </c>
      <c r="V861" s="19">
        <v>7.8253225878064277E-3</v>
      </c>
      <c r="W861" s="19">
        <v>1.1842113467524312E-2</v>
      </c>
      <c r="X861" s="19">
        <v>1.6909555569997216E-2</v>
      </c>
      <c r="Y861" s="19">
        <v>2.2932634388945428E-2</v>
      </c>
      <c r="Z861" s="19">
        <v>2.9639789920502719E-2</v>
      </c>
      <c r="AA861" s="19">
        <v>3.65493338370068E-2</v>
      </c>
      <c r="AB861" s="19">
        <v>4.2971045900219267E-2</v>
      </c>
      <c r="AC861" s="19">
        <v>4.8066088746728713E-2</v>
      </c>
      <c r="AD861" s="19">
        <v>5.0979868828208777E-2</v>
      </c>
      <c r="AE861" s="19">
        <v>5.1039124935445435E-2</v>
      </c>
      <c r="AF861" s="19">
        <v>4.7968643876120098E-2</v>
      </c>
      <c r="AG861" s="19">
        <v>4.2048640966314547E-2</v>
      </c>
      <c r="AH861" s="19">
        <v>3.4669440191332022E-2</v>
      </c>
      <c r="AI861" s="19">
        <v>2.6432389077638483E-2</v>
      </c>
      <c r="AJ861" s="19">
        <v>1.745024790015821E-2</v>
      </c>
      <c r="AK861" s="19">
        <v>0</v>
      </c>
      <c r="AL861" s="19">
        <v>0</v>
      </c>
      <c r="AM861" s="19">
        <v>0</v>
      </c>
      <c r="AN861" s="19">
        <v>0</v>
      </c>
      <c r="AO861" s="19">
        <v>0</v>
      </c>
      <c r="AP861" s="19">
        <v>0</v>
      </c>
      <c r="AQ861" s="19">
        <v>0</v>
      </c>
      <c r="AR861" s="19">
        <v>0.4962429401069795</v>
      </c>
    </row>
    <row r="862" spans="1:44" x14ac:dyDescent="0.25">
      <c r="A862" t="s">
        <v>250</v>
      </c>
      <c r="B862" t="s">
        <v>355</v>
      </c>
      <c r="C862" t="s">
        <v>45</v>
      </c>
      <c r="D862" t="s">
        <v>356</v>
      </c>
      <c r="E862" t="s">
        <v>134</v>
      </c>
      <c r="F862" t="s">
        <v>356</v>
      </c>
      <c r="G862" t="s">
        <v>31</v>
      </c>
      <c r="H862" t="s">
        <v>274</v>
      </c>
      <c r="I862" t="s">
        <v>135</v>
      </c>
      <c r="J862" t="s">
        <v>39</v>
      </c>
      <c r="K862" t="s">
        <v>33</v>
      </c>
      <c r="L862">
        <v>27.609695928724999</v>
      </c>
      <c r="M862">
        <v>0</v>
      </c>
      <c r="N862" s="2">
        <v>0.97527625300994847</v>
      </c>
      <c r="O862" s="2">
        <v>5.5125763814213515</v>
      </c>
      <c r="P862" s="1">
        <v>0.57134666754224184</v>
      </c>
      <c r="Q862" s="1">
        <v>3.0616063307454859</v>
      </c>
      <c r="R862" s="1">
        <v>-1.9486051365640844</v>
      </c>
      <c r="S862" s="19">
        <v>1.0781260436444292E-4</v>
      </c>
      <c r="T862" s="19">
        <v>2.1451897699898217E-4</v>
      </c>
      <c r="U862" s="19">
        <v>3.7913607248873905E-4</v>
      </c>
      <c r="V862" s="19">
        <v>6.1387988951976135E-4</v>
      </c>
      <c r="W862" s="19">
        <v>9.2749772420822681E-4</v>
      </c>
      <c r="X862" s="19">
        <v>1.3222644019509695E-3</v>
      </c>
      <c r="Y862" s="19">
        <v>1.7903689527492992E-3</v>
      </c>
      <c r="Z862" s="19">
        <v>2.3102883603192625E-3</v>
      </c>
      <c r="AA862" s="19">
        <v>2.8442843568431755E-3</v>
      </c>
      <c r="AB862" s="19">
        <v>3.3386581207536098E-3</v>
      </c>
      <c r="AC862" s="19">
        <v>3.7285269554613561E-3</v>
      </c>
      <c r="AD862" s="19">
        <v>3.9482050074669175E-3</v>
      </c>
      <c r="AE862" s="19">
        <v>3.946450675783625E-3</v>
      </c>
      <c r="AF862" s="19">
        <v>3.7030824188043522E-3</v>
      </c>
      <c r="AG862" s="19">
        <v>3.2408608112944465E-3</v>
      </c>
      <c r="AH862" s="19">
        <v>2.6678273640792956E-3</v>
      </c>
      <c r="AI862" s="19">
        <v>2.0307188033328763E-3</v>
      </c>
      <c r="AJ862" s="19">
        <v>5.2370515715325239E-4</v>
      </c>
      <c r="AK862" s="19">
        <v>0</v>
      </c>
      <c r="AL862" s="19">
        <v>0</v>
      </c>
      <c r="AM862" s="19">
        <v>0</v>
      </c>
      <c r="AN862" s="19">
        <v>0</v>
      </c>
      <c r="AO862" s="19">
        <v>0</v>
      </c>
      <c r="AP862" s="19">
        <v>0</v>
      </c>
      <c r="AQ862" s="19">
        <v>0</v>
      </c>
      <c r="AR862" s="19">
        <v>3.7638086653572593E-2</v>
      </c>
    </row>
    <row r="863" spans="1:44" x14ac:dyDescent="0.25">
      <c r="A863" t="s">
        <v>250</v>
      </c>
      <c r="B863" t="s">
        <v>355</v>
      </c>
      <c r="C863" t="s">
        <v>45</v>
      </c>
      <c r="D863" t="s">
        <v>356</v>
      </c>
      <c r="E863" t="s">
        <v>134</v>
      </c>
      <c r="F863" t="s">
        <v>356</v>
      </c>
      <c r="G863" t="s">
        <v>31</v>
      </c>
      <c r="H863" t="s">
        <v>253</v>
      </c>
      <c r="I863" t="s">
        <v>256</v>
      </c>
      <c r="J863" t="s">
        <v>39</v>
      </c>
      <c r="K863" t="s">
        <v>31</v>
      </c>
      <c r="L863">
        <v>27.609695928724999</v>
      </c>
      <c r="M863">
        <v>0</v>
      </c>
      <c r="N863" s="2">
        <v>0.8857473426509942</v>
      </c>
      <c r="O863" s="2">
        <v>5.0065300635950045</v>
      </c>
      <c r="P863" s="1">
        <v>0.84544894628196166</v>
      </c>
      <c r="Q863" s="1">
        <v>0.4672931329656026</v>
      </c>
      <c r="R863" s="1">
        <v>-1.6745028578243648</v>
      </c>
      <c r="S863" s="19">
        <v>2.0298781769267606E-2</v>
      </c>
      <c r="T863" s="19">
        <v>4.040957199461423E-2</v>
      </c>
      <c r="U863" s="19">
        <v>7.1454853995426823E-2</v>
      </c>
      <c r="V863" s="19">
        <v>0.11575456614364564</v>
      </c>
      <c r="W863" s="19">
        <v>0.17497889672077163</v>
      </c>
      <c r="X863" s="19">
        <v>0.24957967979240844</v>
      </c>
      <c r="Y863" s="19">
        <v>0.33810496721648109</v>
      </c>
      <c r="Z863" s="19">
        <v>0.43650909718346248</v>
      </c>
      <c r="AA863" s="19">
        <v>0.5376729869948047</v>
      </c>
      <c r="AB863" s="19">
        <v>0.63144459553967758</v>
      </c>
      <c r="AC863" s="19">
        <v>0.70553519686649702</v>
      </c>
      <c r="AD863" s="19">
        <v>0.74747933051982052</v>
      </c>
      <c r="AE863" s="19">
        <v>0.74752249813240701</v>
      </c>
      <c r="AF863" s="19">
        <v>0.70177689090044104</v>
      </c>
      <c r="AG863" s="19">
        <v>0.61448906679823834</v>
      </c>
      <c r="AH863" s="19">
        <v>0.50609214839487349</v>
      </c>
      <c r="AI863" s="19">
        <v>0.38542489515434741</v>
      </c>
      <c r="AJ863" s="19">
        <v>0.14783525290467017</v>
      </c>
      <c r="AK863" s="19">
        <v>0</v>
      </c>
      <c r="AL863" s="19">
        <v>0</v>
      </c>
      <c r="AM863" s="19">
        <v>0</v>
      </c>
      <c r="AN863" s="19">
        <v>0</v>
      </c>
      <c r="AO863" s="19">
        <v>0</v>
      </c>
      <c r="AP863" s="19">
        <v>0</v>
      </c>
      <c r="AQ863" s="19">
        <v>0</v>
      </c>
      <c r="AR863" s="19">
        <v>7.1723632770218568</v>
      </c>
    </row>
    <row r="864" spans="1:44" x14ac:dyDescent="0.25">
      <c r="A864" t="s">
        <v>250</v>
      </c>
      <c r="B864" t="s">
        <v>355</v>
      </c>
      <c r="C864" t="s">
        <v>45</v>
      </c>
      <c r="D864" t="s">
        <v>356</v>
      </c>
      <c r="E864" t="s">
        <v>134</v>
      </c>
      <c r="F864" t="s">
        <v>356</v>
      </c>
      <c r="G864" t="s">
        <v>31</v>
      </c>
      <c r="H864" t="s">
        <v>272</v>
      </c>
      <c r="I864" t="s">
        <v>135</v>
      </c>
      <c r="J864" t="s">
        <v>40</v>
      </c>
      <c r="K864" t="s">
        <v>31</v>
      </c>
      <c r="L864">
        <v>27.609695928724999</v>
      </c>
      <c r="M864">
        <v>0</v>
      </c>
      <c r="N864" s="2">
        <v>0.97527625300994847</v>
      </c>
      <c r="O864" s="2">
        <v>4.3334995790904642</v>
      </c>
      <c r="P864" s="1">
        <v>0.57134666754224184</v>
      </c>
      <c r="Q864" s="1">
        <v>0.4672931329656026</v>
      </c>
      <c r="R864" s="1">
        <v>-1.8056051365640844</v>
      </c>
      <c r="S864" s="19">
        <v>7.0008367956553158E-3</v>
      </c>
      <c r="T864" s="19">
        <v>1.3929840174013225E-2</v>
      </c>
      <c r="U864" s="19">
        <v>2.4619289947463648E-2</v>
      </c>
      <c r="V864" s="19">
        <v>3.9862434860910907E-2</v>
      </c>
      <c r="W864" s="19">
        <v>6.0227282642891261E-2</v>
      </c>
      <c r="X864" s="19">
        <v>8.5861549615032798E-2</v>
      </c>
      <c r="Y864" s="19">
        <v>0.11625802860523382</v>
      </c>
      <c r="Z864" s="19">
        <v>0.15001911749412777</v>
      </c>
      <c r="AA864" s="19">
        <v>0.18469427299412963</v>
      </c>
      <c r="AB864" s="19">
        <v>0.21679654950988225</v>
      </c>
      <c r="AC864" s="19">
        <v>0.24211277389376715</v>
      </c>
      <c r="AD864" s="19">
        <v>0.25637761981548973</v>
      </c>
      <c r="AE864" s="19">
        <v>0.25626370187544384</v>
      </c>
      <c r="AF864" s="19">
        <v>0.24046052692759051</v>
      </c>
      <c r="AG864" s="19">
        <v>0.21044605824205784</v>
      </c>
      <c r="AH864" s="19">
        <v>0.1732359967093256</v>
      </c>
      <c r="AI864" s="19">
        <v>0.13186520262458909</v>
      </c>
      <c r="AJ864" s="19">
        <v>3.4006917427569547E-2</v>
      </c>
      <c r="AK864" s="19">
        <v>0</v>
      </c>
      <c r="AL864" s="19">
        <v>0</v>
      </c>
      <c r="AM864" s="19">
        <v>0</v>
      </c>
      <c r="AN864" s="19">
        <v>0</v>
      </c>
      <c r="AO864" s="19">
        <v>0</v>
      </c>
      <c r="AP864" s="19">
        <v>0</v>
      </c>
      <c r="AQ864" s="19">
        <v>0</v>
      </c>
      <c r="AR864" s="19">
        <v>2.444038000155174</v>
      </c>
    </row>
    <row r="865" spans="1:44" x14ac:dyDescent="0.25">
      <c r="A865" t="s">
        <v>250</v>
      </c>
      <c r="B865" t="s">
        <v>355</v>
      </c>
      <c r="C865" t="s">
        <v>45</v>
      </c>
      <c r="D865" t="s">
        <v>356</v>
      </c>
      <c r="E865" t="s">
        <v>134</v>
      </c>
      <c r="F865" t="s">
        <v>356</v>
      </c>
      <c r="G865" t="s">
        <v>31</v>
      </c>
      <c r="H865" t="s">
        <v>277</v>
      </c>
      <c r="I865" t="s">
        <v>135</v>
      </c>
      <c r="J865" t="s">
        <v>40</v>
      </c>
      <c r="K865" t="s">
        <v>31</v>
      </c>
      <c r="L865">
        <v>27.609695928724999</v>
      </c>
      <c r="M865">
        <v>0</v>
      </c>
      <c r="N865" s="2">
        <v>0.97527625300994847</v>
      </c>
      <c r="O865" s="2">
        <v>4.3334995790904642</v>
      </c>
      <c r="P865" s="1">
        <v>0.57134666754224184</v>
      </c>
      <c r="Q865" s="1">
        <v>0.4672931329656026</v>
      </c>
      <c r="R865" s="1">
        <v>-1.8056051365640844</v>
      </c>
      <c r="S865" s="19">
        <v>2.1365284246839759E-2</v>
      </c>
      <c r="T865" s="19">
        <v>4.2506220995390642E-2</v>
      </c>
      <c r="U865" s="19">
        <v>7.5115493724645835E-2</v>
      </c>
      <c r="V865" s="19">
        <v>0.12160892971207972</v>
      </c>
      <c r="W865" s="19">
        <v>0.1837141269605696</v>
      </c>
      <c r="X865" s="19">
        <v>0.26187596899390603</v>
      </c>
      <c r="Y865" s="19">
        <v>0.3545418609998463</v>
      </c>
      <c r="Z865" s="19">
        <v>0.45744492382687357</v>
      </c>
      <c r="AA865" s="19">
        <v>0.56311004693685551</v>
      </c>
      <c r="AB865" s="19">
        <v>0.66090624172501866</v>
      </c>
      <c r="AC865" s="19">
        <v>0.73799400143780092</v>
      </c>
      <c r="AD865" s="19">
        <v>0.78138106033342736</v>
      </c>
      <c r="AE865" s="19">
        <v>0.78093970700353854</v>
      </c>
      <c r="AF865" s="19">
        <v>0.73269266662960197</v>
      </c>
      <c r="AG865" s="19">
        <v>0.64116009801467999</v>
      </c>
      <c r="AH865" s="19">
        <v>0.52772962022391112</v>
      </c>
      <c r="AI865" s="19">
        <v>0.40165315137728846</v>
      </c>
      <c r="AJ865" s="19">
        <v>9.1470720044951007E-2</v>
      </c>
      <c r="AK865" s="19">
        <v>0</v>
      </c>
      <c r="AL865" s="19">
        <v>0</v>
      </c>
      <c r="AM865" s="19">
        <v>0</v>
      </c>
      <c r="AN865" s="19">
        <v>0</v>
      </c>
      <c r="AO865" s="19">
        <v>0</v>
      </c>
      <c r="AP865" s="19">
        <v>0</v>
      </c>
      <c r="AQ865" s="19">
        <v>0</v>
      </c>
      <c r="AR865" s="19">
        <v>7.4372101231872243</v>
      </c>
    </row>
    <row r="866" spans="1:44" x14ac:dyDescent="0.25">
      <c r="A866" t="s">
        <v>250</v>
      </c>
      <c r="B866" t="s">
        <v>355</v>
      </c>
      <c r="C866" t="s">
        <v>45</v>
      </c>
      <c r="D866" t="s">
        <v>356</v>
      </c>
      <c r="E866" t="s">
        <v>134</v>
      </c>
      <c r="F866" t="s">
        <v>356</v>
      </c>
      <c r="G866" t="s">
        <v>31</v>
      </c>
      <c r="H866" t="s">
        <v>253</v>
      </c>
      <c r="I866" t="s">
        <v>135</v>
      </c>
      <c r="J866" t="s">
        <v>40</v>
      </c>
      <c r="K866" t="s">
        <v>31</v>
      </c>
      <c r="L866">
        <v>27.609695928724999</v>
      </c>
      <c r="M866">
        <v>0</v>
      </c>
      <c r="N866" s="2">
        <v>0.97527625300994847</v>
      </c>
      <c r="O866" s="2">
        <v>4.3334995790904642</v>
      </c>
      <c r="P866" s="1">
        <v>0.57134666754224184</v>
      </c>
      <c r="Q866" s="1">
        <v>0.4672931329656026</v>
      </c>
      <c r="R866" s="1">
        <v>-1.8056051365640844</v>
      </c>
      <c r="S866" s="19">
        <v>2.0355274007465465E-2</v>
      </c>
      <c r="T866" s="19">
        <v>4.0522033283796097E-2</v>
      </c>
      <c r="U866" s="19">
        <v>7.1653715418648484E-2</v>
      </c>
      <c r="V866" s="19">
        <v>0.11607671525571583</v>
      </c>
      <c r="W866" s="19">
        <v>0.17546586927043034</v>
      </c>
      <c r="X866" s="19">
        <v>0.250274268998817</v>
      </c>
      <c r="Y866" s="19">
        <v>0.33904592547501017</v>
      </c>
      <c r="Z866" s="19">
        <v>0.43772391766746566</v>
      </c>
      <c r="AA866" s="19">
        <v>0.53916935021497825</v>
      </c>
      <c r="AB866" s="19">
        <v>0.63320192851194401</v>
      </c>
      <c r="AC866" s="19">
        <v>0.70749872664140678</v>
      </c>
      <c r="AD866" s="19">
        <v>0.74955959232408464</v>
      </c>
      <c r="AE866" s="19">
        <v>0.74960288007368603</v>
      </c>
      <c r="AF866" s="19">
        <v>0.70372996117495967</v>
      </c>
      <c r="AG866" s="19">
        <v>0.61619921192547489</v>
      </c>
      <c r="AH866" s="19">
        <v>0.5075006210077706</v>
      </c>
      <c r="AI866" s="19">
        <v>0.38649754647066487</v>
      </c>
      <c r="AJ866" s="19">
        <v>0.14824668371939145</v>
      </c>
      <c r="AK866" s="19">
        <v>0</v>
      </c>
      <c r="AL866" s="19">
        <v>0</v>
      </c>
      <c r="AM866" s="19">
        <v>0</v>
      </c>
      <c r="AN866" s="19">
        <v>0</v>
      </c>
      <c r="AO866" s="19">
        <v>0</v>
      </c>
      <c r="AP866" s="19">
        <v>0</v>
      </c>
      <c r="AQ866" s="19">
        <v>0</v>
      </c>
      <c r="AR866" s="19">
        <v>7.1923242214417105</v>
      </c>
    </row>
    <row r="867" spans="1:44" x14ac:dyDescent="0.25">
      <c r="A867" t="s">
        <v>250</v>
      </c>
      <c r="B867" t="s">
        <v>357</v>
      </c>
      <c r="C867" t="s">
        <v>45</v>
      </c>
      <c r="D867" t="s">
        <v>358</v>
      </c>
      <c r="E867" t="s">
        <v>145</v>
      </c>
      <c r="F867" t="s">
        <v>359</v>
      </c>
      <c r="G867" t="s">
        <v>31</v>
      </c>
      <c r="H867" t="s">
        <v>288</v>
      </c>
      <c r="I867" t="s">
        <v>135</v>
      </c>
      <c r="J867" t="s">
        <v>39</v>
      </c>
      <c r="K867" t="s">
        <v>31</v>
      </c>
      <c r="L867">
        <v>0.94</v>
      </c>
      <c r="M867">
        <v>1</v>
      </c>
      <c r="N867" s="2">
        <v>2.6639854114837256</v>
      </c>
      <c r="O867" s="2">
        <v>3.1585068309872635</v>
      </c>
      <c r="P867" s="1">
        <v>-0.57316921040971502</v>
      </c>
      <c r="Q867" s="1">
        <v>0.64220303724264949</v>
      </c>
      <c r="R867" s="1">
        <v>-0.67371772101320504</v>
      </c>
      <c r="S867" s="19">
        <v>67.261071390011509</v>
      </c>
      <c r="T867" s="19">
        <v>131.6072923884017</v>
      </c>
      <c r="U867" s="19">
        <v>231.31925304444937</v>
      </c>
      <c r="V867" s="19">
        <v>370.35434234517442</v>
      </c>
      <c r="W867" s="19">
        <v>546.5467373964575</v>
      </c>
      <c r="X867" s="19">
        <v>751.14056950569909</v>
      </c>
      <c r="Y867" s="19">
        <v>970.31844061737661</v>
      </c>
      <c r="Z867" s="19">
        <v>1188.1744842372584</v>
      </c>
      <c r="AA867" s="19">
        <v>1390.0410121997952</v>
      </c>
      <c r="AB867" s="19">
        <v>1565.0838026415734</v>
      </c>
      <c r="AC867" s="19">
        <v>1707.5328951354832</v>
      </c>
      <c r="AD867" s="19">
        <v>1816.5125604601767</v>
      </c>
      <c r="AE867" s="19">
        <v>1894.8861491500068</v>
      </c>
      <c r="AF867" s="19">
        <v>1947.7016505970239</v>
      </c>
      <c r="AG867" s="19">
        <v>1980.7416519217547</v>
      </c>
      <c r="AH867" s="19">
        <v>2344.0529258162501</v>
      </c>
      <c r="AI867" s="19">
        <v>2433.648236635624</v>
      </c>
      <c r="AJ867" s="19">
        <v>2422.444799324202</v>
      </c>
      <c r="AK867" s="19">
        <v>2398.6755188297566</v>
      </c>
      <c r="AL867" s="19">
        <v>2356.2460840405497</v>
      </c>
      <c r="AM867" s="19">
        <v>2306.5639963363556</v>
      </c>
      <c r="AN867" s="19">
        <v>1335.6561633730969</v>
      </c>
      <c r="AO867" s="19">
        <v>206.59384348607361</v>
      </c>
      <c r="AP867" s="19">
        <v>160.35922070855852</v>
      </c>
      <c r="AQ867" s="19">
        <v>119.38134646373824</v>
      </c>
      <c r="AR867" s="19">
        <v>32642.844048044852</v>
      </c>
    </row>
    <row r="868" spans="1:44" x14ac:dyDescent="0.25">
      <c r="A868" t="s">
        <v>250</v>
      </c>
      <c r="B868" t="s">
        <v>357</v>
      </c>
      <c r="C868" t="s">
        <v>45</v>
      </c>
      <c r="D868" t="s">
        <v>358</v>
      </c>
      <c r="E868" t="s">
        <v>148</v>
      </c>
      <c r="F868" t="s">
        <v>359</v>
      </c>
      <c r="G868" t="s">
        <v>31</v>
      </c>
      <c r="H868" t="s">
        <v>288</v>
      </c>
      <c r="I868" t="s">
        <v>135</v>
      </c>
      <c r="J868" t="s">
        <v>39</v>
      </c>
      <c r="K868" t="s">
        <v>31</v>
      </c>
      <c r="L868">
        <v>0.94</v>
      </c>
      <c r="M868">
        <v>1</v>
      </c>
      <c r="N868" s="2">
        <v>2.6639854114837256</v>
      </c>
      <c r="O868" s="2">
        <v>3.1585068309872635</v>
      </c>
      <c r="P868" s="1">
        <v>-0.57316921040971502</v>
      </c>
      <c r="Q868" s="1">
        <v>0.64220303724264949</v>
      </c>
      <c r="R868" s="1">
        <v>-0.67371772101320504</v>
      </c>
      <c r="S868" s="19">
        <v>11.442621780124799</v>
      </c>
      <c r="T868" s="19">
        <v>28.396880717085004</v>
      </c>
      <c r="U868" s="19">
        <v>50.474453412502307</v>
      </c>
      <c r="V868" s="19">
        <v>81.72609049072905</v>
      </c>
      <c r="W868" s="19">
        <v>121.97425934567561</v>
      </c>
      <c r="X868" s="19">
        <v>169.54061151467411</v>
      </c>
      <c r="Y868" s="19">
        <v>221.50951075373297</v>
      </c>
      <c r="Z868" s="19">
        <v>274.34540261634237</v>
      </c>
      <c r="AA868" s="19">
        <v>324.63709167557954</v>
      </c>
      <c r="AB868" s="19">
        <v>369.7215384242798</v>
      </c>
      <c r="AC868" s="19">
        <v>408.0245694400939</v>
      </c>
      <c r="AD868" s="19">
        <v>439.08546133627902</v>
      </c>
      <c r="AE868" s="19">
        <v>463.34065300700541</v>
      </c>
      <c r="AF868" s="19">
        <v>481.79185128798537</v>
      </c>
      <c r="AG868" s="19">
        <v>495.67563116241166</v>
      </c>
      <c r="AH868" s="19">
        <v>506.20914843752809</v>
      </c>
      <c r="AI868" s="19">
        <v>514.43783125024913</v>
      </c>
      <c r="AJ868" s="19">
        <v>521.70895453334083</v>
      </c>
      <c r="AK868" s="19">
        <v>528.38149138785423</v>
      </c>
      <c r="AL868" s="19">
        <v>533.01403341003925</v>
      </c>
      <c r="AM868" s="19">
        <v>537.70240488883383</v>
      </c>
      <c r="AN868" s="19">
        <v>542.44722027719445</v>
      </c>
      <c r="AO868" s="19">
        <v>547.24910095367397</v>
      </c>
      <c r="AP868" s="19">
        <v>552.10867529994107</v>
      </c>
      <c r="AQ868" s="19">
        <v>557.02657877924753</v>
      </c>
      <c r="AR868" s="19">
        <v>9281.9720661824031</v>
      </c>
    </row>
    <row r="869" spans="1:44" x14ac:dyDescent="0.25">
      <c r="A869" t="s">
        <v>250</v>
      </c>
      <c r="B869" t="s">
        <v>357</v>
      </c>
      <c r="C869" t="s">
        <v>45</v>
      </c>
      <c r="D869" t="s">
        <v>358</v>
      </c>
      <c r="E869" t="s">
        <v>145</v>
      </c>
      <c r="F869" t="s">
        <v>359</v>
      </c>
      <c r="G869" t="s">
        <v>31</v>
      </c>
      <c r="H869" t="s">
        <v>289</v>
      </c>
      <c r="I869" t="s">
        <v>135</v>
      </c>
      <c r="J869" t="s">
        <v>39</v>
      </c>
      <c r="K869" t="s">
        <v>31</v>
      </c>
      <c r="L869">
        <v>0.94</v>
      </c>
      <c r="M869">
        <v>1</v>
      </c>
      <c r="N869" s="2">
        <v>2.6639854114837256</v>
      </c>
      <c r="O869" s="2">
        <v>3.1585068309872635</v>
      </c>
      <c r="P869" s="1">
        <v>-0.57316921040971502</v>
      </c>
      <c r="Q869" s="1">
        <v>0.64220303724264949</v>
      </c>
      <c r="R869" s="1">
        <v>-0.67371772101320504</v>
      </c>
      <c r="S869" s="19">
        <v>63.928732710747617</v>
      </c>
      <c r="T869" s="19">
        <v>125.0870264777372</v>
      </c>
      <c r="U869" s="19">
        <v>219.85892274865623</v>
      </c>
      <c r="V869" s="19">
        <v>352.00574821003198</v>
      </c>
      <c r="W869" s="19">
        <v>519.46898208549817</v>
      </c>
      <c r="X869" s="19">
        <v>713.92655073376704</v>
      </c>
      <c r="Y869" s="19">
        <v>922.24561626221055</v>
      </c>
      <c r="Z869" s="19">
        <v>1129.3083420585267</v>
      </c>
      <c r="AA869" s="19">
        <v>1321.1737263390414</v>
      </c>
      <c r="AB869" s="19">
        <v>1487.5443108664476</v>
      </c>
      <c r="AC869" s="19">
        <v>1622.9359983720983</v>
      </c>
      <c r="AD869" s="19">
        <v>1726.5164461923769</v>
      </c>
      <c r="AE869" s="19">
        <v>1801.0071448891306</v>
      </c>
      <c r="AF869" s="19">
        <v>1851.20598955832</v>
      </c>
      <c r="AG869" s="19">
        <v>1882.6090785933416</v>
      </c>
      <c r="AH869" s="19">
        <v>2227.9206955452464</v>
      </c>
      <c r="AI869" s="19">
        <v>2313.0771546848259</v>
      </c>
      <c r="AJ869" s="19">
        <v>2302.4287731690169</v>
      </c>
      <c r="AK869" s="19">
        <v>2279.8371024142416</v>
      </c>
      <c r="AL869" s="19">
        <v>2239.5097638861462</v>
      </c>
      <c r="AM869" s="19">
        <v>2192.2890931517122</v>
      </c>
      <c r="AN869" s="19">
        <v>1269.4832850138305</v>
      </c>
      <c r="AO869" s="19">
        <v>196.35849276508247</v>
      </c>
      <c r="AP869" s="19">
        <v>152.41448800209898</v>
      </c>
      <c r="AQ869" s="19">
        <v>113.46679484892726</v>
      </c>
      <c r="AR869" s="19">
        <v>31025.608259579058</v>
      </c>
    </row>
    <row r="870" spans="1:44" x14ac:dyDescent="0.25">
      <c r="A870" t="s">
        <v>250</v>
      </c>
      <c r="B870" t="s">
        <v>357</v>
      </c>
      <c r="C870" t="s">
        <v>45</v>
      </c>
      <c r="D870" t="s">
        <v>358</v>
      </c>
      <c r="E870" t="s">
        <v>148</v>
      </c>
      <c r="F870" t="s">
        <v>359</v>
      </c>
      <c r="G870" t="s">
        <v>31</v>
      </c>
      <c r="H870" t="s">
        <v>289</v>
      </c>
      <c r="I870" t="s">
        <v>135</v>
      </c>
      <c r="J870" t="s">
        <v>39</v>
      </c>
      <c r="K870" t="s">
        <v>31</v>
      </c>
      <c r="L870">
        <v>0.94</v>
      </c>
      <c r="M870">
        <v>1</v>
      </c>
      <c r="N870" s="2">
        <v>2.6639854114837256</v>
      </c>
      <c r="O870" s="2">
        <v>3.1585068309872635</v>
      </c>
      <c r="P870" s="1">
        <v>-0.57316921040971502</v>
      </c>
      <c r="Q870" s="1">
        <v>0.64220303724264949</v>
      </c>
      <c r="R870" s="1">
        <v>-0.67371772101320504</v>
      </c>
      <c r="S870" s="19">
        <v>10.875715985107089</v>
      </c>
      <c r="T870" s="19">
        <v>26.990004168311231</v>
      </c>
      <c r="U870" s="19">
        <v>47.973779992570371</v>
      </c>
      <c r="V870" s="19">
        <v>77.67710633363545</v>
      </c>
      <c r="W870" s="19">
        <v>115.931246145137</v>
      </c>
      <c r="X870" s="19">
        <v>161.14100196667363</v>
      </c>
      <c r="Y870" s="19">
        <v>210.53518793586599</v>
      </c>
      <c r="Z870" s="19">
        <v>260.7534128111908</v>
      </c>
      <c r="AA870" s="19">
        <v>308.55348320848481</v>
      </c>
      <c r="AB870" s="19">
        <v>351.40429551412439</v>
      </c>
      <c r="AC870" s="19">
        <v>387.8096661277292</v>
      </c>
      <c r="AD870" s="19">
        <v>417.3316974417213</v>
      </c>
      <c r="AE870" s="19">
        <v>440.38520570617891</v>
      </c>
      <c r="AF870" s="19">
        <v>457.92226984626478</v>
      </c>
      <c r="AG870" s="19">
        <v>471.11820078023027</v>
      </c>
      <c r="AH870" s="19">
        <v>481.12985234136266</v>
      </c>
      <c r="AI870" s="19">
        <v>488.95085865636406</v>
      </c>
      <c r="AJ870" s="19">
        <v>495.86174614695602</v>
      </c>
      <c r="AK870" s="19">
        <v>502.20370318479144</v>
      </c>
      <c r="AL870" s="19">
        <v>506.60673356458022</v>
      </c>
      <c r="AM870" s="19">
        <v>511.06282742277665</v>
      </c>
      <c r="AN870" s="19">
        <v>515.57256877026532</v>
      </c>
      <c r="AO870" s="19">
        <v>520.13654820044735</v>
      </c>
      <c r="AP870" s="19">
        <v>524.75536296283849</v>
      </c>
      <c r="AQ870" s="19">
        <v>529.42961703771846</v>
      </c>
      <c r="AR870" s="19">
        <v>8822.1120922513255</v>
      </c>
    </row>
    <row r="871" spans="1:44" x14ac:dyDescent="0.25">
      <c r="A871" t="s">
        <v>250</v>
      </c>
      <c r="B871" t="s">
        <v>357</v>
      </c>
      <c r="C871" t="s">
        <v>45</v>
      </c>
      <c r="D871" t="s">
        <v>358</v>
      </c>
      <c r="E871" t="s">
        <v>145</v>
      </c>
      <c r="F871" t="s">
        <v>359</v>
      </c>
      <c r="G871" t="s">
        <v>31</v>
      </c>
      <c r="H871" t="s">
        <v>290</v>
      </c>
      <c r="I871" t="s">
        <v>135</v>
      </c>
      <c r="J871" t="s">
        <v>39</v>
      </c>
      <c r="K871" t="s">
        <v>31</v>
      </c>
      <c r="L871">
        <v>0.94</v>
      </c>
      <c r="M871">
        <v>1</v>
      </c>
      <c r="N871" s="2">
        <v>2.6639854114837256</v>
      </c>
      <c r="O871" s="2">
        <v>3.1585068309872635</v>
      </c>
      <c r="P871" s="1">
        <v>-0.57316921040971502</v>
      </c>
      <c r="Q871" s="1">
        <v>0.64220303724264949</v>
      </c>
      <c r="R871" s="1">
        <v>-0.67371772101320504</v>
      </c>
      <c r="S871" s="19">
        <v>92.573159131585172</v>
      </c>
      <c r="T871" s="19">
        <v>181.13453397886008</v>
      </c>
      <c r="U871" s="19">
        <v>318.37069466400555</v>
      </c>
      <c r="V871" s="19">
        <v>509.72829841192254</v>
      </c>
      <c r="W871" s="19">
        <v>752.22646693321269</v>
      </c>
      <c r="X871" s="19">
        <v>1033.8142707814022</v>
      </c>
      <c r="Y871" s="19">
        <v>1335.474466214396</v>
      </c>
      <c r="Z871" s="19">
        <v>1635.3153961463545</v>
      </c>
      <c r="AA871" s="19">
        <v>1913.149540477151</v>
      </c>
      <c r="AB871" s="19">
        <v>2154.065478322439</v>
      </c>
      <c r="AC871" s="19">
        <v>2350.121863317027</v>
      </c>
      <c r="AD871" s="19">
        <v>2500.1134065933952</v>
      </c>
      <c r="AE871" s="19">
        <v>2607.9810118449877</v>
      </c>
      <c r="AF871" s="19">
        <v>2680.672357953923</v>
      </c>
      <c r="AG871" s="19">
        <v>2726.1461697314198</v>
      </c>
      <c r="AH871" s="19">
        <v>3226.1809101463432</v>
      </c>
      <c r="AI871" s="19">
        <v>3349.4932629608329</v>
      </c>
      <c r="AJ871" s="19">
        <v>3334.0736812679233</v>
      </c>
      <c r="AK871" s="19">
        <v>3301.3594033032346</v>
      </c>
      <c r="AL871" s="19">
        <v>3242.9626704318684</v>
      </c>
      <c r="AM871" s="19">
        <v>3174.5839230229731</v>
      </c>
      <c r="AN871" s="19">
        <v>1838.2982608180864</v>
      </c>
      <c r="AO871" s="19">
        <v>284.34047144069621</v>
      </c>
      <c r="AP871" s="19">
        <v>220.70655953117625</v>
      </c>
      <c r="AQ871" s="19">
        <v>164.30764712992325</v>
      </c>
      <c r="AR871" s="19">
        <v>44927.193904555133</v>
      </c>
    </row>
    <row r="872" spans="1:44" x14ac:dyDescent="0.25">
      <c r="A872" t="s">
        <v>250</v>
      </c>
      <c r="B872" t="s">
        <v>357</v>
      </c>
      <c r="C872" t="s">
        <v>45</v>
      </c>
      <c r="D872" t="s">
        <v>358</v>
      </c>
      <c r="E872" t="s">
        <v>148</v>
      </c>
      <c r="F872" t="s">
        <v>359</v>
      </c>
      <c r="G872" t="s">
        <v>31</v>
      </c>
      <c r="H872" t="s">
        <v>290</v>
      </c>
      <c r="I872" t="s">
        <v>135</v>
      </c>
      <c r="J872" t="s">
        <v>39</v>
      </c>
      <c r="K872" t="s">
        <v>31</v>
      </c>
      <c r="L872">
        <v>0.94</v>
      </c>
      <c r="M872">
        <v>1</v>
      </c>
      <c r="N872" s="2">
        <v>2.6639854114837256</v>
      </c>
      <c r="O872" s="2">
        <v>3.1585068309872635</v>
      </c>
      <c r="P872" s="1">
        <v>-0.57316921040971502</v>
      </c>
      <c r="Q872" s="1">
        <v>0.64220303724264949</v>
      </c>
      <c r="R872" s="1">
        <v>-0.67371772101320504</v>
      </c>
      <c r="S872" s="19">
        <v>15.748777488122826</v>
      </c>
      <c r="T872" s="19">
        <v>39.08336431663988</v>
      </c>
      <c r="U872" s="19">
        <v>69.469300908716335</v>
      </c>
      <c r="V872" s="19">
        <v>112.48174053504761</v>
      </c>
      <c r="W872" s="19">
        <v>167.87634045985973</v>
      </c>
      <c r="X872" s="19">
        <v>233.34314611207941</v>
      </c>
      <c r="Y872" s="19">
        <v>304.86929161835667</v>
      </c>
      <c r="Z872" s="19">
        <v>377.58870158576065</v>
      </c>
      <c r="AA872" s="19">
        <v>446.80645916920577</v>
      </c>
      <c r="AB872" s="19">
        <v>508.85735394349058</v>
      </c>
      <c r="AC872" s="19">
        <v>561.57481015064377</v>
      </c>
      <c r="AD872" s="19">
        <v>604.32472222982062</v>
      </c>
      <c r="AE872" s="19">
        <v>637.70777236414949</v>
      </c>
      <c r="AF872" s="19">
        <v>663.1026356830713</v>
      </c>
      <c r="AG872" s="19">
        <v>682.21124244626048</v>
      </c>
      <c r="AH872" s="19">
        <v>696.70879579730865</v>
      </c>
      <c r="AI872" s="19">
        <v>708.03414562779062</v>
      </c>
      <c r="AJ872" s="19">
        <v>718.0415814125796</v>
      </c>
      <c r="AK872" s="19">
        <v>727.2251671521243</v>
      </c>
      <c r="AL872" s="19">
        <v>733.60105503111504</v>
      </c>
      <c r="AM872" s="19">
        <v>740.05378244096687</v>
      </c>
      <c r="AN872" s="19">
        <v>746.58419506924133</v>
      </c>
      <c r="AO872" s="19">
        <v>753.1931481353854</v>
      </c>
      <c r="AP872" s="19">
        <v>759.88150649739055</v>
      </c>
      <c r="AQ872" s="19">
        <v>766.65014475983651</v>
      </c>
      <c r="AR872" s="19">
        <v>12775.019180934964</v>
      </c>
    </row>
    <row r="873" spans="1:44" x14ac:dyDescent="0.25">
      <c r="A873" t="s">
        <v>250</v>
      </c>
      <c r="B873" t="s">
        <v>357</v>
      </c>
      <c r="C873" t="s">
        <v>45</v>
      </c>
      <c r="D873" t="s">
        <v>358</v>
      </c>
      <c r="E873" t="s">
        <v>145</v>
      </c>
      <c r="F873" t="s">
        <v>359</v>
      </c>
      <c r="G873" t="s">
        <v>31</v>
      </c>
      <c r="H873" t="s">
        <v>288</v>
      </c>
      <c r="I873" t="s">
        <v>135</v>
      </c>
      <c r="J873" t="s">
        <v>39</v>
      </c>
      <c r="K873" t="s">
        <v>33</v>
      </c>
      <c r="L873">
        <v>0.94</v>
      </c>
      <c r="M873">
        <v>1</v>
      </c>
      <c r="N873" s="2">
        <v>2.6639854114837256</v>
      </c>
      <c r="O873" s="2">
        <v>3.1585068309872635</v>
      </c>
      <c r="P873" s="1">
        <v>-0.57316921040971502</v>
      </c>
      <c r="Q873" s="1">
        <v>0.64220303724264949</v>
      </c>
      <c r="R873" s="1">
        <v>-0.67371772101320504</v>
      </c>
      <c r="S873" s="19">
        <v>0.63273252431542726</v>
      </c>
      <c r="T873" s="19">
        <v>1.2380447205245997</v>
      </c>
      <c r="U873" s="19">
        <v>2.17604643929756</v>
      </c>
      <c r="V873" s="19">
        <v>3.4839652875056895</v>
      </c>
      <c r="W873" s="19">
        <v>5.1414271236330098</v>
      </c>
      <c r="X873" s="19">
        <v>7.0660644981882932</v>
      </c>
      <c r="Y873" s="19">
        <v>9.1278955811104687</v>
      </c>
      <c r="Z873" s="19">
        <v>11.177292082954622</v>
      </c>
      <c r="AA873" s="19">
        <v>13.076273398192711</v>
      </c>
      <c r="AB873" s="19">
        <v>14.722920773421553</v>
      </c>
      <c r="AC873" s="19">
        <v>16.062955536731888</v>
      </c>
      <c r="AD873" s="19">
        <v>17.088139604052351</v>
      </c>
      <c r="AE873" s="19">
        <v>17.825408838493043</v>
      </c>
      <c r="AF873" s="19">
        <v>18.322250248582726</v>
      </c>
      <c r="AG873" s="19">
        <v>18.633061286967216</v>
      </c>
      <c r="AH873" s="19">
        <v>22.050771631046793</v>
      </c>
      <c r="AI873" s="19">
        <v>22.893604877827091</v>
      </c>
      <c r="AJ873" s="19">
        <v>22.788212872844639</v>
      </c>
      <c r="AK873" s="19">
        <v>22.564612556382116</v>
      </c>
      <c r="AL873" s="19">
        <v>22.16547405286677</v>
      </c>
      <c r="AM873" s="19">
        <v>21.698109021107793</v>
      </c>
      <c r="AN873" s="19">
        <v>12.564668959377054</v>
      </c>
      <c r="AO873" s="19">
        <v>1.9434517083291944</v>
      </c>
      <c r="AP873" s="19">
        <v>1.5085173699931436</v>
      </c>
      <c r="AQ873" s="19">
        <v>1.1230338610900272</v>
      </c>
      <c r="AR873" s="19">
        <v>307.07493485483576</v>
      </c>
    </row>
    <row r="874" spans="1:44" x14ac:dyDescent="0.25">
      <c r="A874" t="s">
        <v>250</v>
      </c>
      <c r="B874" t="s">
        <v>357</v>
      </c>
      <c r="C874" t="s">
        <v>45</v>
      </c>
      <c r="D874" t="s">
        <v>358</v>
      </c>
      <c r="E874" t="s">
        <v>148</v>
      </c>
      <c r="F874" t="s">
        <v>359</v>
      </c>
      <c r="G874" t="s">
        <v>31</v>
      </c>
      <c r="H874" t="s">
        <v>288</v>
      </c>
      <c r="I874" t="s">
        <v>135</v>
      </c>
      <c r="J874" t="s">
        <v>39</v>
      </c>
      <c r="K874" t="s">
        <v>33</v>
      </c>
      <c r="L874">
        <v>0.94</v>
      </c>
      <c r="M874">
        <v>1</v>
      </c>
      <c r="N874" s="2">
        <v>2.6639854114837256</v>
      </c>
      <c r="O874" s="2">
        <v>3.1585068309872635</v>
      </c>
      <c r="P874" s="1">
        <v>-0.57316921040971502</v>
      </c>
      <c r="Q874" s="1">
        <v>0.64220303724264949</v>
      </c>
      <c r="R874" s="1">
        <v>-0.67371772101320504</v>
      </c>
      <c r="S874" s="19">
        <v>0.10764204039723684</v>
      </c>
      <c r="T874" s="19">
        <v>0.26713267641278315</v>
      </c>
      <c r="U874" s="19">
        <v>0.47481890581179398</v>
      </c>
      <c r="V874" s="19">
        <v>0.76880659897292225</v>
      </c>
      <c r="W874" s="19">
        <v>1.1474256865428931</v>
      </c>
      <c r="X874" s="19">
        <v>1.5948877542499649</v>
      </c>
      <c r="Y874" s="19">
        <v>2.0837650813854864</v>
      </c>
      <c r="Z874" s="19">
        <v>2.5807983064264559</v>
      </c>
      <c r="AA874" s="19">
        <v>3.0538979272461098</v>
      </c>
      <c r="AB874" s="19">
        <v>3.4780124292774897</v>
      </c>
      <c r="AC874" s="19">
        <v>3.8383333846639105</v>
      </c>
      <c r="AD874" s="19">
        <v>4.1305267162717625</v>
      </c>
      <c r="AE874" s="19">
        <v>4.3586980542599507</v>
      </c>
      <c r="AF874" s="19">
        <v>4.5322705684007181</v>
      </c>
      <c r="AG874" s="19">
        <v>4.6628768597582804</v>
      </c>
      <c r="AH874" s="19">
        <v>4.7619668510068713</v>
      </c>
      <c r="AI874" s="19">
        <v>4.8393750031560989</v>
      </c>
      <c r="AJ874" s="19">
        <v>4.9077752842466538</v>
      </c>
      <c r="AK874" s="19">
        <v>4.9705445949383433</v>
      </c>
      <c r="AL874" s="19">
        <v>5.0141234429573656</v>
      </c>
      <c r="AM874" s="19">
        <v>5.0582274850041919</v>
      </c>
      <c r="AN874" s="19">
        <v>5.102862501307782</v>
      </c>
      <c r="AO874" s="19">
        <v>5.1480343372465098</v>
      </c>
      <c r="AP874" s="19">
        <v>5.193748904077939</v>
      </c>
      <c r="AQ874" s="19">
        <v>5.2400121796769037</v>
      </c>
      <c r="AR874" s="19">
        <v>87.316563573696428</v>
      </c>
    </row>
    <row r="875" spans="1:44" x14ac:dyDescent="0.25">
      <c r="A875" t="s">
        <v>250</v>
      </c>
      <c r="B875" t="s">
        <v>360</v>
      </c>
      <c r="C875" t="s">
        <v>45</v>
      </c>
      <c r="D875" t="s">
        <v>358</v>
      </c>
      <c r="E875" t="s">
        <v>145</v>
      </c>
      <c r="F875" t="s">
        <v>359</v>
      </c>
      <c r="G875" t="s">
        <v>31</v>
      </c>
      <c r="H875" t="s">
        <v>278</v>
      </c>
      <c r="I875" t="s">
        <v>135</v>
      </c>
      <c r="J875" t="s">
        <v>39</v>
      </c>
      <c r="K875" t="s">
        <v>31</v>
      </c>
      <c r="L875">
        <v>1.84</v>
      </c>
      <c r="M875">
        <v>1</v>
      </c>
      <c r="N875" s="2">
        <v>3.6426098018917625</v>
      </c>
      <c r="O875" s="2">
        <v>3.1588853240212424</v>
      </c>
      <c r="P875" s="1">
        <v>-0.7456473449187514</v>
      </c>
      <c r="Q875" s="1">
        <v>0.4697249027336135</v>
      </c>
      <c r="R875" s="1">
        <v>-0.67371772101320493</v>
      </c>
      <c r="S875" s="19">
        <v>61.732399428523763</v>
      </c>
      <c r="T875" s="19">
        <v>120.06262301565884</v>
      </c>
      <c r="U875" s="19">
        <v>209.75781494573499</v>
      </c>
      <c r="V875" s="19">
        <v>333.81227784355826</v>
      </c>
      <c r="W875" s="19">
        <v>489.65553439436746</v>
      </c>
      <c r="X875" s="19">
        <v>668.90289669074684</v>
      </c>
      <c r="Y875" s="19">
        <v>858.8842500403498</v>
      </c>
      <c r="Z875" s="19">
        <v>1045.3917578950272</v>
      </c>
      <c r="AA875" s="19">
        <v>1215.6399390567281</v>
      </c>
      <c r="AB875" s="19">
        <v>1360.4840016476396</v>
      </c>
      <c r="AC875" s="19">
        <v>1475.3783880455503</v>
      </c>
      <c r="AD875" s="19">
        <v>1560.0956998994925</v>
      </c>
      <c r="AE875" s="19">
        <v>1617.6123429405709</v>
      </c>
      <c r="AF875" s="19">
        <v>1652.6932726148837</v>
      </c>
      <c r="AG875" s="19">
        <v>1670.6141570239704</v>
      </c>
      <c r="AH875" s="19">
        <v>1992.5205268022191</v>
      </c>
      <c r="AI875" s="19">
        <v>2227.1751775194321</v>
      </c>
      <c r="AJ875" s="19">
        <v>2197.1180241555617</v>
      </c>
      <c r="AK875" s="19">
        <v>2152.4669755683676</v>
      </c>
      <c r="AL875" s="19">
        <v>2088.1429182966185</v>
      </c>
      <c r="AM875" s="19">
        <v>1297.4183275849325</v>
      </c>
      <c r="AN875" s="19">
        <v>322.99200323096898</v>
      </c>
      <c r="AO875" s="19">
        <v>259.78769306152276</v>
      </c>
      <c r="AP875" s="19">
        <v>200.53560122148451</v>
      </c>
      <c r="AQ875" s="19">
        <v>148.4771311870461</v>
      </c>
      <c r="AR875" s="19">
        <v>27227.351734110955</v>
      </c>
    </row>
    <row r="876" spans="1:44" x14ac:dyDescent="0.25">
      <c r="A876" t="s">
        <v>250</v>
      </c>
      <c r="B876" t="s">
        <v>360</v>
      </c>
      <c r="C876" t="s">
        <v>45</v>
      </c>
      <c r="D876" t="s">
        <v>358</v>
      </c>
      <c r="E876" t="s">
        <v>148</v>
      </c>
      <c r="F876" t="s">
        <v>359</v>
      </c>
      <c r="G876" t="s">
        <v>31</v>
      </c>
      <c r="H876" t="s">
        <v>278</v>
      </c>
      <c r="I876" t="s">
        <v>135</v>
      </c>
      <c r="J876" t="s">
        <v>39</v>
      </c>
      <c r="K876" t="s">
        <v>31</v>
      </c>
      <c r="L876">
        <v>1.84</v>
      </c>
      <c r="M876">
        <v>1</v>
      </c>
      <c r="N876" s="2">
        <v>3.6426098018917625</v>
      </c>
      <c r="O876" s="2">
        <v>3.1588853240212424</v>
      </c>
      <c r="P876" s="1">
        <v>-0.7456473449187514</v>
      </c>
      <c r="Q876" s="1">
        <v>0.4697249027336135</v>
      </c>
      <c r="R876" s="1">
        <v>-0.67371772101320493</v>
      </c>
      <c r="S876" s="19">
        <v>10.502070270993178</v>
      </c>
      <c r="T876" s="19">
        <v>36.966506540161895</v>
      </c>
      <c r="U876" s="19">
        <v>65.317576736834823</v>
      </c>
      <c r="V876" s="19">
        <v>105.14027969231124</v>
      </c>
      <c r="W876" s="19">
        <v>156.01122963752545</v>
      </c>
      <c r="X876" s="19">
        <v>215.61053625805852</v>
      </c>
      <c r="Y876" s="19">
        <v>280.10861224614837</v>
      </c>
      <c r="Z876" s="19">
        <v>344.98394552855393</v>
      </c>
      <c r="AA876" s="19">
        <v>405.97163088160357</v>
      </c>
      <c r="AB876" s="19">
        <v>459.83057646256799</v>
      </c>
      <c r="AC876" s="19">
        <v>504.73580114391274</v>
      </c>
      <c r="AD876" s="19">
        <v>540.26975157232096</v>
      </c>
      <c r="AE876" s="19">
        <v>567.11984108757235</v>
      </c>
      <c r="AF876" s="19">
        <v>586.64543501885612</v>
      </c>
      <c r="AG876" s="19">
        <v>600.46060269144004</v>
      </c>
      <c r="AH876" s="19">
        <v>610.12167577992739</v>
      </c>
      <c r="AI876" s="19">
        <v>616.9466334657144</v>
      </c>
      <c r="AJ876" s="19">
        <v>622.58671362016423</v>
      </c>
      <c r="AK876" s="19">
        <v>627.48670442141076</v>
      </c>
      <c r="AL876" s="19">
        <v>629.95474983281827</v>
      </c>
      <c r="AM876" s="19">
        <v>632.49159176024386</v>
      </c>
      <c r="AN876" s="19">
        <v>635.09763163762011</v>
      </c>
      <c r="AO876" s="19">
        <v>637.77327873133652</v>
      </c>
      <c r="AP876" s="19">
        <v>640.51895019806159</v>
      </c>
      <c r="AQ876" s="19">
        <v>643.33507114359975</v>
      </c>
      <c r="AR876" s="19">
        <v>11175.987396359758</v>
      </c>
    </row>
    <row r="877" spans="1:44" x14ac:dyDescent="0.25">
      <c r="A877" t="s">
        <v>250</v>
      </c>
      <c r="B877" t="s">
        <v>361</v>
      </c>
      <c r="C877" t="s">
        <v>45</v>
      </c>
      <c r="D877" t="s">
        <v>358</v>
      </c>
      <c r="E877" t="s">
        <v>145</v>
      </c>
      <c r="F877" t="s">
        <v>359</v>
      </c>
      <c r="G877" t="s">
        <v>31</v>
      </c>
      <c r="H877" t="s">
        <v>272</v>
      </c>
      <c r="I877" t="s">
        <v>135</v>
      </c>
      <c r="J877" t="s">
        <v>39</v>
      </c>
      <c r="K877" t="s">
        <v>31</v>
      </c>
      <c r="L877">
        <v>1.1100000000000001</v>
      </c>
      <c r="M877">
        <v>1</v>
      </c>
      <c r="N877" s="2">
        <v>2.8805169099386236</v>
      </c>
      <c r="O877" s="2">
        <v>3.1588853240212433</v>
      </c>
      <c r="P877" s="1">
        <v>-0.62137311888954427</v>
      </c>
      <c r="Q877" s="1">
        <v>0.59399912876282102</v>
      </c>
      <c r="R877" s="1">
        <v>-0.67371772101320537</v>
      </c>
      <c r="S877" s="19">
        <v>13.390506742906352</v>
      </c>
      <c r="T877" s="19">
        <v>26.158670297789417</v>
      </c>
      <c r="U877" s="19">
        <v>45.9039406217478</v>
      </c>
      <c r="V877" s="19">
        <v>73.376688319812061</v>
      </c>
      <c r="W877" s="19">
        <v>108.11114082752412</v>
      </c>
      <c r="X877" s="19">
        <v>148.34292607839421</v>
      </c>
      <c r="Y877" s="19">
        <v>191.32088686204577</v>
      </c>
      <c r="Z877" s="19">
        <v>233.90031147017191</v>
      </c>
      <c r="AA877" s="19">
        <v>273.19998455630207</v>
      </c>
      <c r="AB877" s="19">
        <v>307.10941548293584</v>
      </c>
      <c r="AC877" s="19">
        <v>334.52385404602018</v>
      </c>
      <c r="AD877" s="19">
        <v>355.30301755649612</v>
      </c>
      <c r="AE877" s="19">
        <v>370.03779987945342</v>
      </c>
      <c r="AF877" s="19">
        <v>379.74134059523413</v>
      </c>
      <c r="AG877" s="19">
        <v>385.56336263388823</v>
      </c>
      <c r="AH877" s="19">
        <v>457.18479906373807</v>
      </c>
      <c r="AI877" s="19">
        <v>483.79679264402341</v>
      </c>
      <c r="AJ877" s="19">
        <v>480.4185542301434</v>
      </c>
      <c r="AK877" s="19">
        <v>474.35324729072903</v>
      </c>
      <c r="AL877" s="19">
        <v>464.4160690586811</v>
      </c>
      <c r="AM877" s="19">
        <v>452.91422994296494</v>
      </c>
      <c r="AN877" s="19">
        <v>164.79897345858274</v>
      </c>
      <c r="AO877" s="19">
        <v>45.298949677956301</v>
      </c>
      <c r="AP877" s="19">
        <v>35.109542073761538</v>
      </c>
      <c r="AQ877" s="19">
        <v>26.099710607186047</v>
      </c>
      <c r="AR877" s="19">
        <v>6330.3747140184887</v>
      </c>
    </row>
    <row r="878" spans="1:44" x14ac:dyDescent="0.25">
      <c r="A878" t="s">
        <v>250</v>
      </c>
      <c r="B878" t="s">
        <v>361</v>
      </c>
      <c r="C878" t="s">
        <v>45</v>
      </c>
      <c r="D878" t="s">
        <v>358</v>
      </c>
      <c r="E878" t="s">
        <v>148</v>
      </c>
      <c r="F878" t="s">
        <v>359</v>
      </c>
      <c r="G878" t="s">
        <v>31</v>
      </c>
      <c r="H878" t="s">
        <v>272</v>
      </c>
      <c r="I878" t="s">
        <v>135</v>
      </c>
      <c r="J878" t="s">
        <v>39</v>
      </c>
      <c r="K878" t="s">
        <v>31</v>
      </c>
      <c r="L878">
        <v>1.1100000000000001</v>
      </c>
      <c r="M878">
        <v>1</v>
      </c>
      <c r="N878" s="2">
        <v>2.8805169099386236</v>
      </c>
      <c r="O878" s="2">
        <v>3.1588853240212433</v>
      </c>
      <c r="P878" s="1">
        <v>-0.62137311888954427</v>
      </c>
      <c r="Q878" s="1">
        <v>0.59399912876282102</v>
      </c>
      <c r="R878" s="1">
        <v>-0.67371772101320537</v>
      </c>
      <c r="S878" s="19">
        <v>2.2780265157364448</v>
      </c>
      <c r="T878" s="19">
        <v>6.2840332544822122</v>
      </c>
      <c r="U878" s="19">
        <v>11.152033834796759</v>
      </c>
      <c r="V878" s="19">
        <v>18.02874591905762</v>
      </c>
      <c r="W878" s="19">
        <v>26.866000409271141</v>
      </c>
      <c r="X878" s="19">
        <v>37.286040481901914</v>
      </c>
      <c r="Y878" s="19">
        <v>48.641865303352311</v>
      </c>
      <c r="Z878" s="19">
        <v>60.154544674677531</v>
      </c>
      <c r="AA878" s="19">
        <v>71.07704551397228</v>
      </c>
      <c r="AB878" s="19">
        <v>80.830259030864326</v>
      </c>
      <c r="AC878" s="19">
        <v>89.076061682387675</v>
      </c>
      <c r="AD878" s="19">
        <v>95.720876253064333</v>
      </c>
      <c r="AE878" s="19">
        <v>100.8668210811186</v>
      </c>
      <c r="AF878" s="19">
        <v>104.73818864266288</v>
      </c>
      <c r="AG878" s="19">
        <v>107.60889651589352</v>
      </c>
      <c r="AH878" s="19">
        <v>109.7470556322634</v>
      </c>
      <c r="AI878" s="19">
        <v>111.38207339459008</v>
      </c>
      <c r="AJ878" s="19">
        <v>112.80734828450905</v>
      </c>
      <c r="AK878" s="19">
        <v>114.10128602961134</v>
      </c>
      <c r="AL878" s="19">
        <v>114.95358679827898</v>
      </c>
      <c r="AM878" s="19">
        <v>115.8174109617016</v>
      </c>
      <c r="AN878" s="19">
        <v>116.69287870586744</v>
      </c>
      <c r="AO878" s="19">
        <v>117.58011160616468</v>
      </c>
      <c r="AP878" s="19">
        <v>118.47923264275364</v>
      </c>
      <c r="AQ878" s="19">
        <v>119.3903662161468</v>
      </c>
      <c r="AR878" s="19">
        <v>2011.560789385127</v>
      </c>
    </row>
    <row r="879" spans="1:44" x14ac:dyDescent="0.25">
      <c r="A879" t="s">
        <v>250</v>
      </c>
      <c r="B879" t="s">
        <v>361</v>
      </c>
      <c r="C879" t="s">
        <v>45</v>
      </c>
      <c r="D879" t="s">
        <v>358</v>
      </c>
      <c r="E879" t="s">
        <v>145</v>
      </c>
      <c r="F879" t="s">
        <v>359</v>
      </c>
      <c r="G879" t="s">
        <v>31</v>
      </c>
      <c r="H879" t="s">
        <v>273</v>
      </c>
      <c r="I879" t="s">
        <v>135</v>
      </c>
      <c r="J879" t="s">
        <v>39</v>
      </c>
      <c r="K879" t="s">
        <v>31</v>
      </c>
      <c r="L879">
        <v>1.1100000000000001</v>
      </c>
      <c r="M879">
        <v>1</v>
      </c>
      <c r="N879" s="2">
        <v>2.8805169099386236</v>
      </c>
      <c r="O879" s="2">
        <v>3.1588853240212433</v>
      </c>
      <c r="P879" s="1">
        <v>-0.62137311888954427</v>
      </c>
      <c r="Q879" s="1">
        <v>0.59399912876282102</v>
      </c>
      <c r="R879" s="1">
        <v>-0.67371772101320537</v>
      </c>
      <c r="S879" s="19">
        <v>4.0272825769854279</v>
      </c>
      <c r="T879" s="19">
        <v>7.8673913653941439</v>
      </c>
      <c r="U879" s="19">
        <v>13.805910697059526</v>
      </c>
      <c r="V879" s="19">
        <v>22.068519444479989</v>
      </c>
      <c r="W879" s="19">
        <v>32.515133459258863</v>
      </c>
      <c r="X879" s="19">
        <v>44.615106290210989</v>
      </c>
      <c r="Y879" s="19">
        <v>57.541009393172715</v>
      </c>
      <c r="Z879" s="19">
        <v>70.347050131938076</v>
      </c>
      <c r="AA879" s="19">
        <v>82.166684126360252</v>
      </c>
      <c r="AB879" s="19">
        <v>92.365167498818693</v>
      </c>
      <c r="AC879" s="19">
        <v>100.6102393921161</v>
      </c>
      <c r="AD879" s="19">
        <v>106.85970886902012</v>
      </c>
      <c r="AE879" s="19">
        <v>111.29129112832152</v>
      </c>
      <c r="AF879" s="19">
        <v>114.20969453231774</v>
      </c>
      <c r="AG879" s="19">
        <v>115.96070578000764</v>
      </c>
      <c r="AH879" s="19">
        <v>137.50132172610731</v>
      </c>
      <c r="AI879" s="19">
        <v>145.5050530368367</v>
      </c>
      <c r="AJ879" s="19">
        <v>144.48902571491817</v>
      </c>
      <c r="AK879" s="19">
        <v>142.66484494042254</v>
      </c>
      <c r="AL879" s="19">
        <v>139.67617352367191</v>
      </c>
      <c r="AM879" s="19">
        <v>136.21692010157489</v>
      </c>
      <c r="AN879" s="19">
        <v>49.564370285420608</v>
      </c>
      <c r="AO879" s="19">
        <v>13.623955709548753</v>
      </c>
      <c r="AP879" s="19">
        <v>10.559424657659244</v>
      </c>
      <c r="AQ879" s="19">
        <v>7.8496588524078366</v>
      </c>
      <c r="AR879" s="19">
        <v>1903.9016432340295</v>
      </c>
    </row>
    <row r="880" spans="1:44" x14ac:dyDescent="0.25">
      <c r="A880" t="s">
        <v>250</v>
      </c>
      <c r="B880" t="s">
        <v>361</v>
      </c>
      <c r="C880" t="s">
        <v>45</v>
      </c>
      <c r="D880" t="s">
        <v>358</v>
      </c>
      <c r="E880" t="s">
        <v>148</v>
      </c>
      <c r="F880" t="s">
        <v>359</v>
      </c>
      <c r="G880" t="s">
        <v>31</v>
      </c>
      <c r="H880" t="s">
        <v>273</v>
      </c>
      <c r="I880" t="s">
        <v>135</v>
      </c>
      <c r="J880" t="s">
        <v>39</v>
      </c>
      <c r="K880" t="s">
        <v>31</v>
      </c>
      <c r="L880">
        <v>1.1100000000000001</v>
      </c>
      <c r="M880">
        <v>1</v>
      </c>
      <c r="N880" s="2">
        <v>2.8805169099386236</v>
      </c>
      <c r="O880" s="2">
        <v>3.1588853240212433</v>
      </c>
      <c r="P880" s="1">
        <v>-0.62137311888954427</v>
      </c>
      <c r="Q880" s="1">
        <v>0.59399912876282102</v>
      </c>
      <c r="R880" s="1">
        <v>-0.67371772101320537</v>
      </c>
      <c r="S880" s="19">
        <v>0.68513138993759759</v>
      </c>
      <c r="T880" s="19">
        <v>1.8899641458587868</v>
      </c>
      <c r="U880" s="19">
        <v>3.3540471935179736</v>
      </c>
      <c r="V880" s="19">
        <v>5.4222633779847396</v>
      </c>
      <c r="W880" s="19">
        <v>8.0801255276510169</v>
      </c>
      <c r="X880" s="19">
        <v>11.214020804484187</v>
      </c>
      <c r="Y880" s="19">
        <v>14.629359471555384</v>
      </c>
      <c r="Z880" s="19">
        <v>18.091873171502922</v>
      </c>
      <c r="AA880" s="19">
        <v>21.376886813761775</v>
      </c>
      <c r="AB880" s="19">
        <v>24.31022963792358</v>
      </c>
      <c r="AC880" s="19">
        <v>26.790208774585839</v>
      </c>
      <c r="AD880" s="19">
        <v>28.78868026349814</v>
      </c>
      <c r="AE880" s="19">
        <v>30.336356863498523</v>
      </c>
      <c r="AF880" s="19">
        <v>31.500696005330063</v>
      </c>
      <c r="AG880" s="19">
        <v>32.364080194101909</v>
      </c>
      <c r="AH880" s="19">
        <v>33.007145547901516</v>
      </c>
      <c r="AI880" s="19">
        <v>33.498887845165093</v>
      </c>
      <c r="AJ880" s="19">
        <v>33.927548600265013</v>
      </c>
      <c r="AK880" s="19">
        <v>34.316708849133718</v>
      </c>
      <c r="AL880" s="19">
        <v>34.573043885732197</v>
      </c>
      <c r="AM880" s="19">
        <v>34.832844658751384</v>
      </c>
      <c r="AN880" s="19">
        <v>35.096147314915981</v>
      </c>
      <c r="AO880" s="19">
        <v>35.362988418818439</v>
      </c>
      <c r="AP880" s="19">
        <v>35.633404957548386</v>
      </c>
      <c r="AQ880" s="19">
        <v>35.907434345373822</v>
      </c>
      <c r="AR880" s="19">
        <v>604.99007805879808</v>
      </c>
    </row>
    <row r="881" spans="1:44" x14ac:dyDescent="0.25">
      <c r="A881" t="s">
        <v>250</v>
      </c>
      <c r="B881" t="s">
        <v>361</v>
      </c>
      <c r="C881" t="s">
        <v>45</v>
      </c>
      <c r="D881" t="s">
        <v>358</v>
      </c>
      <c r="E881" t="s">
        <v>145</v>
      </c>
      <c r="F881" t="s">
        <v>359</v>
      </c>
      <c r="G881" t="s">
        <v>31</v>
      </c>
      <c r="H881" t="s">
        <v>274</v>
      </c>
      <c r="I881" t="s">
        <v>135</v>
      </c>
      <c r="J881" t="s">
        <v>39</v>
      </c>
      <c r="K881" t="s">
        <v>31</v>
      </c>
      <c r="L881">
        <v>1.1100000000000001</v>
      </c>
      <c r="M881">
        <v>1</v>
      </c>
      <c r="N881" s="2">
        <v>2.8805169099386236</v>
      </c>
      <c r="O881" s="2">
        <v>3.1588853240212433</v>
      </c>
      <c r="P881" s="1">
        <v>-0.62137311888954427</v>
      </c>
      <c r="Q881" s="1">
        <v>0.59399912876282102</v>
      </c>
      <c r="R881" s="1">
        <v>-0.67371772101320537</v>
      </c>
      <c r="S881" s="19">
        <v>6.3396639434040534</v>
      </c>
      <c r="T881" s="19">
        <v>12.384682826297274</v>
      </c>
      <c r="U881" s="19">
        <v>21.732975667558009</v>
      </c>
      <c r="V881" s="19">
        <v>34.739801424911853</v>
      </c>
      <c r="W881" s="19">
        <v>51.184642563853551</v>
      </c>
      <c r="X881" s="19">
        <v>70.232166547128699</v>
      </c>
      <c r="Y881" s="19">
        <v>90.579852678237089</v>
      </c>
      <c r="Z881" s="19">
        <v>110.7388539842952</v>
      </c>
      <c r="AA881" s="19">
        <v>129.34507443847571</v>
      </c>
      <c r="AB881" s="19">
        <v>145.39931351354389</v>
      </c>
      <c r="AC881" s="19">
        <v>158.37853312217609</v>
      </c>
      <c r="AD881" s="19">
        <v>168.21631717401911</v>
      </c>
      <c r="AE881" s="19">
        <v>175.19242121550707</v>
      </c>
      <c r="AF881" s="19">
        <v>179.78651077315408</v>
      </c>
      <c r="AG881" s="19">
        <v>182.54291603135769</v>
      </c>
      <c r="AH881" s="19">
        <v>216.45170281791172</v>
      </c>
      <c r="AI881" s="19">
        <v>229.05100913261975</v>
      </c>
      <c r="AJ881" s="19">
        <v>227.45160018746873</v>
      </c>
      <c r="AK881" s="19">
        <v>224.58001299157371</v>
      </c>
      <c r="AL881" s="19">
        <v>219.87530899892849</v>
      </c>
      <c r="AM881" s="19">
        <v>214.42982466254421</v>
      </c>
      <c r="AN881" s="19">
        <v>78.023194342428411</v>
      </c>
      <c r="AO881" s="19">
        <v>21.44654593445815</v>
      </c>
      <c r="AP881" s="19">
        <v>16.62242529188579</v>
      </c>
      <c r="AQ881" s="19">
        <v>12.356768675488119</v>
      </c>
      <c r="AR881" s="19">
        <v>2997.0821189392268</v>
      </c>
    </row>
    <row r="882" spans="1:44" x14ac:dyDescent="0.25">
      <c r="A882" t="s">
        <v>250</v>
      </c>
      <c r="B882" t="s">
        <v>361</v>
      </c>
      <c r="C882" t="s">
        <v>45</v>
      </c>
      <c r="D882" t="s">
        <v>358</v>
      </c>
      <c r="E882" t="s">
        <v>148</v>
      </c>
      <c r="F882" t="s">
        <v>359</v>
      </c>
      <c r="G882" t="s">
        <v>31</v>
      </c>
      <c r="H882" t="s">
        <v>274</v>
      </c>
      <c r="I882" t="s">
        <v>135</v>
      </c>
      <c r="J882" t="s">
        <v>39</v>
      </c>
      <c r="K882" t="s">
        <v>31</v>
      </c>
      <c r="L882">
        <v>1.1100000000000001</v>
      </c>
      <c r="M882">
        <v>1</v>
      </c>
      <c r="N882" s="2">
        <v>2.8805169099386236</v>
      </c>
      <c r="O882" s="2">
        <v>3.1588853240212433</v>
      </c>
      <c r="P882" s="1">
        <v>-0.62137311888954427</v>
      </c>
      <c r="Q882" s="1">
        <v>0.59399912876282102</v>
      </c>
      <c r="R882" s="1">
        <v>-0.67371772101320537</v>
      </c>
      <c r="S882" s="19">
        <v>1.0785194945354359</v>
      </c>
      <c r="T882" s="19">
        <v>2.9751420022769413</v>
      </c>
      <c r="U882" s="19">
        <v>5.2798708932756329</v>
      </c>
      <c r="V882" s="19">
        <v>8.5356135239909126</v>
      </c>
      <c r="W882" s="19">
        <v>12.719564492087926</v>
      </c>
      <c r="X882" s="19">
        <v>17.652876845802709</v>
      </c>
      <c r="Y882" s="19">
        <v>23.029231493941538</v>
      </c>
      <c r="Z882" s="19">
        <v>28.479848091482079</v>
      </c>
      <c r="AA882" s="19">
        <v>33.651047813207512</v>
      </c>
      <c r="AB882" s="19">
        <v>38.268654693403946</v>
      </c>
      <c r="AC882" s="19">
        <v>42.172585945444247</v>
      </c>
      <c r="AD882" s="19">
        <v>45.31853793614404</v>
      </c>
      <c r="AE882" s="19">
        <v>47.754858047661898</v>
      </c>
      <c r="AF882" s="19">
        <v>49.587736355616265</v>
      </c>
      <c r="AG882" s="19">
        <v>50.946857675323947</v>
      </c>
      <c r="AH882" s="19">
        <v>51.959157696193664</v>
      </c>
      <c r="AI882" s="19">
        <v>52.733248128592813</v>
      </c>
      <c r="AJ882" s="19">
        <v>53.408036917585576</v>
      </c>
      <c r="AK882" s="19">
        <v>54.020644836399605</v>
      </c>
      <c r="AL882" s="19">
        <v>54.424162086030613</v>
      </c>
      <c r="AM882" s="19">
        <v>54.833135025399493</v>
      </c>
      <c r="AN882" s="19">
        <v>55.247620555922701</v>
      </c>
      <c r="AO882" s="19">
        <v>55.667676236816895</v>
      </c>
      <c r="AP882" s="19">
        <v>56.093360292384375</v>
      </c>
      <c r="AQ882" s="19">
        <v>56.524731619382024</v>
      </c>
      <c r="AR882" s="19">
        <v>952.36271869890288</v>
      </c>
    </row>
    <row r="883" spans="1:44" x14ac:dyDescent="0.25">
      <c r="A883" t="s">
        <v>250</v>
      </c>
      <c r="B883" t="s">
        <v>361</v>
      </c>
      <c r="C883" t="s">
        <v>45</v>
      </c>
      <c r="D883" t="s">
        <v>358</v>
      </c>
      <c r="E883" t="s">
        <v>145</v>
      </c>
      <c r="F883" t="s">
        <v>359</v>
      </c>
      <c r="G883" t="s">
        <v>31</v>
      </c>
      <c r="H883" t="s">
        <v>275</v>
      </c>
      <c r="I883" t="s">
        <v>135</v>
      </c>
      <c r="J883" t="s">
        <v>39</v>
      </c>
      <c r="K883" t="s">
        <v>31</v>
      </c>
      <c r="L883">
        <v>1.1100000000000001</v>
      </c>
      <c r="M883">
        <v>1</v>
      </c>
      <c r="N883" s="2">
        <v>2.8805169099386236</v>
      </c>
      <c r="O883" s="2">
        <v>3.1588853240212433</v>
      </c>
      <c r="P883" s="1">
        <v>-0.62137311888954427</v>
      </c>
      <c r="Q883" s="1">
        <v>0.59399912876282102</v>
      </c>
      <c r="R883" s="1">
        <v>-0.67371772101320537</v>
      </c>
      <c r="S883" s="19">
        <v>9.6850247201010191</v>
      </c>
      <c r="T883" s="19">
        <v>18.919923894088186</v>
      </c>
      <c r="U883" s="19">
        <v>33.20119306964947</v>
      </c>
      <c r="V883" s="19">
        <v>53.071556879876745</v>
      </c>
      <c r="W883" s="19">
        <v>78.194133466052406</v>
      </c>
      <c r="X883" s="19">
        <v>107.29279583705548</v>
      </c>
      <c r="Y883" s="19">
        <v>138.37769953793318</v>
      </c>
      <c r="Z883" s="19">
        <v>169.17435180920293</v>
      </c>
      <c r="AA883" s="19">
        <v>197.59884033968316</v>
      </c>
      <c r="AB883" s="19">
        <v>222.12469907486391</v>
      </c>
      <c r="AC883" s="19">
        <v>241.95288931955471</v>
      </c>
      <c r="AD883" s="19">
        <v>256.9819480494337</v>
      </c>
      <c r="AE883" s="19">
        <v>267.63925428758256</v>
      </c>
      <c r="AF883" s="19">
        <v>274.65758701458168</v>
      </c>
      <c r="AG883" s="19">
        <v>278.86851259401931</v>
      </c>
      <c r="AH883" s="19">
        <v>330.67053888250967</v>
      </c>
      <c r="AI883" s="19">
        <v>349.91834037536705</v>
      </c>
      <c r="AJ883" s="19">
        <v>347.47494348404609</v>
      </c>
      <c r="AK883" s="19">
        <v>343.08805590980768</v>
      </c>
      <c r="AL883" s="19">
        <v>335.9007389043158</v>
      </c>
      <c r="AM883" s="19">
        <v>327.58174110228396</v>
      </c>
      <c r="AN883" s="19">
        <v>119.19505082503083</v>
      </c>
      <c r="AO883" s="19">
        <v>32.763617975699823</v>
      </c>
      <c r="AP883" s="19">
        <v>25.393869658886761</v>
      </c>
      <c r="AQ883" s="19">
        <v>18.87727979764367</v>
      </c>
      <c r="AR883" s="19">
        <v>4578.6045868092706</v>
      </c>
    </row>
    <row r="884" spans="1:44" x14ac:dyDescent="0.25">
      <c r="A884" t="s">
        <v>250</v>
      </c>
      <c r="B884" t="s">
        <v>361</v>
      </c>
      <c r="C884" t="s">
        <v>45</v>
      </c>
      <c r="D884" t="s">
        <v>358</v>
      </c>
      <c r="E884" t="s">
        <v>148</v>
      </c>
      <c r="F884" t="s">
        <v>359</v>
      </c>
      <c r="G884" t="s">
        <v>31</v>
      </c>
      <c r="H884" t="s">
        <v>275</v>
      </c>
      <c r="I884" t="s">
        <v>135</v>
      </c>
      <c r="J884" t="s">
        <v>39</v>
      </c>
      <c r="K884" t="s">
        <v>31</v>
      </c>
      <c r="L884">
        <v>1.1100000000000001</v>
      </c>
      <c r="M884">
        <v>1</v>
      </c>
      <c r="N884" s="2">
        <v>2.8805169099386236</v>
      </c>
      <c r="O884" s="2">
        <v>3.1588853240212433</v>
      </c>
      <c r="P884" s="1">
        <v>-0.62137311888954427</v>
      </c>
      <c r="Q884" s="1">
        <v>0.59399912876282102</v>
      </c>
      <c r="R884" s="1">
        <v>-0.67371772101320537</v>
      </c>
      <c r="S884" s="19">
        <v>1.6476406413551783</v>
      </c>
      <c r="T884" s="19">
        <v>4.54508694705211</v>
      </c>
      <c r="U884" s="19">
        <v>8.0659922318941355</v>
      </c>
      <c r="V884" s="19">
        <v>13.039749223157248</v>
      </c>
      <c r="W884" s="19">
        <v>19.431518395065559</v>
      </c>
      <c r="X884" s="19">
        <v>26.968077513064362</v>
      </c>
      <c r="Y884" s="19">
        <v>35.181466761469139</v>
      </c>
      <c r="Z884" s="19">
        <v>43.508305054198345</v>
      </c>
      <c r="AA884" s="19">
        <v>51.408281706683049</v>
      </c>
      <c r="AB884" s="19">
        <v>58.462541550998097</v>
      </c>
      <c r="AC884" s="19">
        <v>64.426528131221431</v>
      </c>
      <c r="AD884" s="19">
        <v>69.232559345207662</v>
      </c>
      <c r="AE884" s="19">
        <v>72.954494879452341</v>
      </c>
      <c r="AF884" s="19">
        <v>75.754559974376576</v>
      </c>
      <c r="AG884" s="19">
        <v>77.830872488177334</v>
      </c>
      <c r="AH884" s="19">
        <v>79.377350474046835</v>
      </c>
      <c r="AI884" s="19">
        <v>80.559918673293481</v>
      </c>
      <c r="AJ884" s="19">
        <v>81.590785003211252</v>
      </c>
      <c r="AK884" s="19">
        <v>82.526658401296999</v>
      </c>
      <c r="AL884" s="19">
        <v>83.143106618828611</v>
      </c>
      <c r="AM884" s="19">
        <v>83.76788942482726</v>
      </c>
      <c r="AN884" s="19">
        <v>84.401093746864859</v>
      </c>
      <c r="AO884" s="19">
        <v>85.04280751743876</v>
      </c>
      <c r="AP884" s="19">
        <v>85.693119685073469</v>
      </c>
      <c r="AQ884" s="19">
        <v>86.352120225611088</v>
      </c>
      <c r="AR884" s="19">
        <v>1454.9125246138656</v>
      </c>
    </row>
    <row r="885" spans="1:44" x14ac:dyDescent="0.25">
      <c r="A885" t="s">
        <v>250</v>
      </c>
      <c r="B885" t="s">
        <v>361</v>
      </c>
      <c r="C885" t="s">
        <v>45</v>
      </c>
      <c r="D885" t="s">
        <v>358</v>
      </c>
      <c r="E885" t="s">
        <v>145</v>
      </c>
      <c r="F885" t="s">
        <v>359</v>
      </c>
      <c r="G885" t="s">
        <v>31</v>
      </c>
      <c r="H885" t="s">
        <v>274</v>
      </c>
      <c r="I885" t="s">
        <v>135</v>
      </c>
      <c r="J885" t="s">
        <v>39</v>
      </c>
      <c r="K885" t="s">
        <v>33</v>
      </c>
      <c r="L885">
        <v>1.1100000000000001</v>
      </c>
      <c r="M885">
        <v>1</v>
      </c>
      <c r="N885" s="2">
        <v>2.8805169099386236</v>
      </c>
      <c r="O885" s="2">
        <v>3.1588853240212433</v>
      </c>
      <c r="P885" s="1">
        <v>-0.62137311888954427</v>
      </c>
      <c r="Q885" s="1">
        <v>0.59399912876282102</v>
      </c>
      <c r="R885" s="1">
        <v>-0.67371772101320537</v>
      </c>
      <c r="S885" s="19">
        <v>2.039775857783542E-2</v>
      </c>
      <c r="T885" s="19">
        <v>3.9847501793325857E-2</v>
      </c>
      <c r="U885" s="19">
        <v>6.9925471571098755E-2</v>
      </c>
      <c r="V885" s="19">
        <v>0.11177470743454074</v>
      </c>
      <c r="W885" s="19">
        <v>0.1646856980481658</v>
      </c>
      <c r="X885" s="19">
        <v>0.22597077548836816</v>
      </c>
      <c r="Y885" s="19">
        <v>0.29143910204718287</v>
      </c>
      <c r="Z885" s="19">
        <v>0.35630033846004716</v>
      </c>
      <c r="AA885" s="19">
        <v>0.41616552946362162</v>
      </c>
      <c r="AB885" s="19">
        <v>0.46781976472396231</v>
      </c>
      <c r="AC885" s="19">
        <v>0.50958017828358571</v>
      </c>
      <c r="AD885" s="19">
        <v>0.54123307752584837</v>
      </c>
      <c r="AE885" s="19">
        <v>0.56367857106027808</v>
      </c>
      <c r="AF885" s="19">
        <v>0.57845997438360963</v>
      </c>
      <c r="AG885" s="19">
        <v>0.58732866040568366</v>
      </c>
      <c r="AH885" s="19">
        <v>0.69642959268128957</v>
      </c>
      <c r="AI885" s="19">
        <v>0.73696764181920837</v>
      </c>
      <c r="AJ885" s="19">
        <v>0.73182157133003756</v>
      </c>
      <c r="AK885" s="19">
        <v>0.72258228942488012</v>
      </c>
      <c r="AL885" s="19">
        <v>0.70744498607901296</v>
      </c>
      <c r="AM885" s="19">
        <v>0.68992423484920995</v>
      </c>
      <c r="AN885" s="19">
        <v>0.25103827204030454</v>
      </c>
      <c r="AO885" s="19">
        <v>6.900388888194646E-2</v>
      </c>
      <c r="AP885" s="19">
        <v>5.3482364539962406E-2</v>
      </c>
      <c r="AQ885" s="19">
        <v>3.9757688498142617E-2</v>
      </c>
      <c r="AR885" s="19">
        <v>9.6430596394111472</v>
      </c>
    </row>
    <row r="886" spans="1:44" x14ac:dyDescent="0.25">
      <c r="A886" t="s">
        <v>250</v>
      </c>
      <c r="B886" t="s">
        <v>361</v>
      </c>
      <c r="C886" t="s">
        <v>45</v>
      </c>
      <c r="D886" t="s">
        <v>358</v>
      </c>
      <c r="E886" t="s">
        <v>148</v>
      </c>
      <c r="F886" t="s">
        <v>359</v>
      </c>
      <c r="G886" t="s">
        <v>31</v>
      </c>
      <c r="H886" t="s">
        <v>274</v>
      </c>
      <c r="I886" t="s">
        <v>135</v>
      </c>
      <c r="J886" t="s">
        <v>39</v>
      </c>
      <c r="K886" t="s">
        <v>33</v>
      </c>
      <c r="L886">
        <v>1.1100000000000001</v>
      </c>
      <c r="M886">
        <v>1</v>
      </c>
      <c r="N886" s="2">
        <v>2.8805169099386236</v>
      </c>
      <c r="O886" s="2">
        <v>3.1588853240212433</v>
      </c>
      <c r="P886" s="1">
        <v>-0.62137311888954427</v>
      </c>
      <c r="Q886" s="1">
        <v>0.59399912876282102</v>
      </c>
      <c r="R886" s="1">
        <v>-0.67371772101320537</v>
      </c>
      <c r="S886" s="19">
        <v>3.4701177329614801E-3</v>
      </c>
      <c r="T886" s="19">
        <v>9.5724676952887965E-3</v>
      </c>
      <c r="U886" s="19">
        <v>1.6987892854356777E-2</v>
      </c>
      <c r="V886" s="19">
        <v>2.7463188195837988E-2</v>
      </c>
      <c r="W886" s="19">
        <v>4.0924977733993853E-2</v>
      </c>
      <c r="X886" s="19">
        <v>5.6797824509228809E-2</v>
      </c>
      <c r="Y886" s="19">
        <v>7.4096152168324006E-2</v>
      </c>
      <c r="Z886" s="19">
        <v>9.1633416359220177E-2</v>
      </c>
      <c r="AA886" s="19">
        <v>0.10827166160741944</v>
      </c>
      <c r="AB886" s="19">
        <v>0.1231287315074089</v>
      </c>
      <c r="AC886" s="19">
        <v>0.13568956247486763</v>
      </c>
      <c r="AD886" s="19">
        <v>0.14581160833985682</v>
      </c>
      <c r="AE886" s="19">
        <v>0.15365042596437303</v>
      </c>
      <c r="AF886" s="19">
        <v>0.1595476800715257</v>
      </c>
      <c r="AG886" s="19">
        <v>0.16392062930114837</v>
      </c>
      <c r="AH886" s="19">
        <v>0.16717768702824154</v>
      </c>
      <c r="AI886" s="19">
        <v>0.16966830954363912</v>
      </c>
      <c r="AJ886" s="19">
        <v>0.1718394307468733</v>
      </c>
      <c r="AK886" s="19">
        <v>0.17381048608078292</v>
      </c>
      <c r="AL886" s="19">
        <v>0.17510879581982242</v>
      </c>
      <c r="AM886" s="19">
        <v>0.17642465914579511</v>
      </c>
      <c r="AN886" s="19">
        <v>0.17775825913801932</v>
      </c>
      <c r="AO886" s="19">
        <v>0.17910978099227101</v>
      </c>
      <c r="AP886" s="19">
        <v>0.18047941204423276</v>
      </c>
      <c r="AQ886" s="19">
        <v>0.18186734179320155</v>
      </c>
      <c r="AR886" s="19">
        <v>3.0642104988486909</v>
      </c>
    </row>
    <row r="887" spans="1:44" x14ac:dyDescent="0.25">
      <c r="A887" t="s">
        <v>250</v>
      </c>
      <c r="B887" t="s">
        <v>361</v>
      </c>
      <c r="C887" t="s">
        <v>45</v>
      </c>
      <c r="D887" t="s">
        <v>358</v>
      </c>
      <c r="E887" t="s">
        <v>145</v>
      </c>
      <c r="F887" t="s">
        <v>359</v>
      </c>
      <c r="G887" t="s">
        <v>31</v>
      </c>
      <c r="H887" t="s">
        <v>272</v>
      </c>
      <c r="I887" t="s">
        <v>135</v>
      </c>
      <c r="J887" t="s">
        <v>40</v>
      </c>
      <c r="K887" t="s">
        <v>31</v>
      </c>
      <c r="L887">
        <v>1.1100000000000001</v>
      </c>
      <c r="M887">
        <v>1</v>
      </c>
      <c r="N887" s="2">
        <v>2.8805169099386236</v>
      </c>
      <c r="O887" s="2">
        <v>1.9798085216903565</v>
      </c>
      <c r="P887" s="1">
        <v>-0.62137311888954427</v>
      </c>
      <c r="Q887" s="1">
        <v>0.4672931329656026</v>
      </c>
      <c r="R887" s="1">
        <v>-0.53071772101320513</v>
      </c>
      <c r="S887" s="19">
        <v>1.3245332458335513</v>
      </c>
      <c r="T887" s="19">
        <v>2.5875068913710515</v>
      </c>
      <c r="U887" s="19">
        <v>4.5406269258991134</v>
      </c>
      <c r="V887" s="19">
        <v>7.2581168894331789</v>
      </c>
      <c r="W887" s="19">
        <v>10.693904496699307</v>
      </c>
      <c r="X887" s="19">
        <v>14.67346539959366</v>
      </c>
      <c r="Y887" s="19">
        <v>18.924666566885826</v>
      </c>
      <c r="Z887" s="19">
        <v>23.136446192911045</v>
      </c>
      <c r="AA887" s="19">
        <v>27.023806436431716</v>
      </c>
      <c r="AB887" s="19">
        <v>30.377986339549729</v>
      </c>
      <c r="AC887" s="19">
        <v>33.08970860591598</v>
      </c>
      <c r="AD887" s="19">
        <v>35.145097055260273</v>
      </c>
      <c r="AE887" s="19">
        <v>36.602600451628504</v>
      </c>
      <c r="AF887" s="19">
        <v>37.562434349412818</v>
      </c>
      <c r="AG887" s="19">
        <v>38.138324560009821</v>
      </c>
      <c r="AH887" s="19">
        <v>38.437127762276774</v>
      </c>
      <c r="AI887" s="19">
        <v>38.547656622827184</v>
      </c>
      <c r="AJ887" s="19">
        <v>38.576683251952851</v>
      </c>
      <c r="AK887" s="19">
        <v>38.553444286138422</v>
      </c>
      <c r="AL887" s="19">
        <v>38.376098442422176</v>
      </c>
      <c r="AM887" s="19">
        <v>38.199568389587043</v>
      </c>
      <c r="AN887" s="19">
        <v>10.753166229244409</v>
      </c>
      <c r="AO887" s="19">
        <v>0</v>
      </c>
      <c r="AP887" s="19">
        <v>0</v>
      </c>
      <c r="AQ887" s="19">
        <v>0</v>
      </c>
      <c r="AR887" s="19">
        <v>562.52296939128439</v>
      </c>
    </row>
    <row r="888" spans="1:44" x14ac:dyDescent="0.25">
      <c r="A888" t="s">
        <v>250</v>
      </c>
      <c r="B888" t="s">
        <v>361</v>
      </c>
      <c r="C888" t="s">
        <v>45</v>
      </c>
      <c r="D888" t="s">
        <v>358</v>
      </c>
      <c r="E888" t="s">
        <v>148</v>
      </c>
      <c r="F888" t="s">
        <v>359</v>
      </c>
      <c r="G888" t="s">
        <v>31</v>
      </c>
      <c r="H888" t="s">
        <v>272</v>
      </c>
      <c r="I888" t="s">
        <v>135</v>
      </c>
      <c r="J888" t="s">
        <v>40</v>
      </c>
      <c r="K888" t="s">
        <v>31</v>
      </c>
      <c r="L888">
        <v>1.1100000000000001</v>
      </c>
      <c r="M888">
        <v>1</v>
      </c>
      <c r="N888" s="2">
        <v>2.8805169099386236</v>
      </c>
      <c r="O888" s="2">
        <v>1.9798085216903565</v>
      </c>
      <c r="P888" s="1">
        <v>-0.62137311888954427</v>
      </c>
      <c r="Q888" s="1">
        <v>0.4672931329656026</v>
      </c>
      <c r="R888" s="1">
        <v>-0.53071772101320513</v>
      </c>
      <c r="S888" s="19">
        <v>0.22533291031586392</v>
      </c>
      <c r="T888" s="19">
        <v>0.62159043890513221</v>
      </c>
      <c r="U888" s="19">
        <v>1.1031128139100388</v>
      </c>
      <c r="V888" s="19">
        <v>1.7833285781457415</v>
      </c>
      <c r="W888" s="19">
        <v>2.6574730447380888</v>
      </c>
      <c r="X888" s="19">
        <v>3.6881800795132422</v>
      </c>
      <c r="Y888" s="19">
        <v>4.8114510504076264</v>
      </c>
      <c r="Z888" s="19">
        <v>5.9502374211340312</v>
      </c>
      <c r="AA888" s="19">
        <v>7.0306457855865272</v>
      </c>
      <c r="AB888" s="19">
        <v>7.9953931103043043</v>
      </c>
      <c r="AC888" s="19">
        <v>8.811033620422478</v>
      </c>
      <c r="AD888" s="19">
        <v>9.4683110469041409</v>
      </c>
      <c r="AE888" s="19">
        <v>9.9773265111315865</v>
      </c>
      <c r="AF888" s="19">
        <v>10.360266092176436</v>
      </c>
      <c r="AG888" s="19">
        <v>10.644224577853931</v>
      </c>
      <c r="AH888" s="19">
        <v>10.855722386629274</v>
      </c>
      <c r="AI888" s="19">
        <v>11.017451544853683</v>
      </c>
      <c r="AJ888" s="19">
        <v>11.158433810304484</v>
      </c>
      <c r="AK888" s="19">
        <v>11.286424751523702</v>
      </c>
      <c r="AL888" s="19">
        <v>11.370730799474307</v>
      </c>
      <c r="AM888" s="19">
        <v>11.456176693716753</v>
      </c>
      <c r="AN888" s="19">
        <v>11.542774322549342</v>
      </c>
      <c r="AO888" s="19">
        <v>11.63053571170396</v>
      </c>
      <c r="AP888" s="19">
        <v>11.719473025866549</v>
      </c>
      <c r="AQ888" s="19">
        <v>11.809598570218524</v>
      </c>
      <c r="AR888" s="19">
        <v>198.97522869828975</v>
      </c>
    </row>
    <row r="889" spans="1:44" x14ac:dyDescent="0.25">
      <c r="A889" t="s">
        <v>250</v>
      </c>
      <c r="B889" t="s">
        <v>362</v>
      </c>
      <c r="C889" t="s">
        <v>45</v>
      </c>
      <c r="D889" t="s">
        <v>358</v>
      </c>
      <c r="E889" t="s">
        <v>145</v>
      </c>
      <c r="F889" t="s">
        <v>359</v>
      </c>
      <c r="G889" t="s">
        <v>31</v>
      </c>
      <c r="H889" t="s">
        <v>277</v>
      </c>
      <c r="I889" t="s">
        <v>135</v>
      </c>
      <c r="J889" t="s">
        <v>39</v>
      </c>
      <c r="K889" t="s">
        <v>31</v>
      </c>
      <c r="L889">
        <v>1.1100000000000001</v>
      </c>
      <c r="M889">
        <v>1</v>
      </c>
      <c r="N889" s="2">
        <v>2.8805169099386236</v>
      </c>
      <c r="O889" s="2">
        <v>3.1588853240212433</v>
      </c>
      <c r="P889" s="1">
        <v>-0.62137311888954427</v>
      </c>
      <c r="Q889" s="1">
        <v>0.59399912876282102</v>
      </c>
      <c r="R889" s="1">
        <v>-0.67371772101320537</v>
      </c>
      <c r="S889" s="19">
        <v>79.525892252069525</v>
      </c>
      <c r="T889" s="19">
        <v>155.33697468486051</v>
      </c>
      <c r="U889" s="19">
        <v>272.55665358179238</v>
      </c>
      <c r="V889" s="19">
        <v>435.62477080019801</v>
      </c>
      <c r="W889" s="19">
        <v>641.75986131606248</v>
      </c>
      <c r="X889" s="19">
        <v>880.47409435188229</v>
      </c>
      <c r="Y889" s="19">
        <v>1135.4284377232889</v>
      </c>
      <c r="Z889" s="19">
        <v>1387.9563965392051</v>
      </c>
      <c r="AA889" s="19">
        <v>1620.9638656584964</v>
      </c>
      <c r="AB889" s="19">
        <v>1821.9373344953999</v>
      </c>
      <c r="AC889" s="19">
        <v>1984.3351993588899</v>
      </c>
      <c r="AD889" s="19">
        <v>2107.3393715712591</v>
      </c>
      <c r="AE889" s="19">
        <v>2194.468322151165</v>
      </c>
      <c r="AF889" s="19">
        <v>2251.7426086028813</v>
      </c>
      <c r="AG889" s="19">
        <v>2285.989685528376</v>
      </c>
      <c r="AH889" s="19">
        <v>2303.6220355115333</v>
      </c>
      <c r="AI889" s="19">
        <v>2309.967763756114</v>
      </c>
      <c r="AJ889" s="19">
        <v>2311.4284972637938</v>
      </c>
      <c r="AK889" s="19">
        <v>2309.7575850970975</v>
      </c>
      <c r="AL889" s="19">
        <v>2298.8555292954393</v>
      </c>
      <c r="AM889" s="19">
        <v>2288.0049311971652</v>
      </c>
      <c r="AN889" s="19">
        <v>599.60832017595851</v>
      </c>
      <c r="AO889" s="19">
        <v>0</v>
      </c>
      <c r="AP889" s="19">
        <v>0</v>
      </c>
      <c r="AQ889" s="19">
        <v>0</v>
      </c>
      <c r="AR889" s="19">
        <v>33676.68413091293</v>
      </c>
    </row>
    <row r="890" spans="1:44" x14ac:dyDescent="0.25">
      <c r="A890" t="s">
        <v>250</v>
      </c>
      <c r="B890" t="s">
        <v>362</v>
      </c>
      <c r="C890" t="s">
        <v>45</v>
      </c>
      <c r="D890" t="s">
        <v>358</v>
      </c>
      <c r="E890" t="s">
        <v>148</v>
      </c>
      <c r="F890" t="s">
        <v>359</v>
      </c>
      <c r="G890" t="s">
        <v>31</v>
      </c>
      <c r="H890" t="s">
        <v>277</v>
      </c>
      <c r="I890" t="s">
        <v>135</v>
      </c>
      <c r="J890" t="s">
        <v>39</v>
      </c>
      <c r="K890" t="s">
        <v>31</v>
      </c>
      <c r="L890">
        <v>1.1100000000000001</v>
      </c>
      <c r="M890">
        <v>1</v>
      </c>
      <c r="N890" s="2">
        <v>2.8805169099386236</v>
      </c>
      <c r="O890" s="2">
        <v>3.1588853240212433</v>
      </c>
      <c r="P890" s="1">
        <v>-0.62137311888954427</v>
      </c>
      <c r="Q890" s="1">
        <v>0.59399912876282102</v>
      </c>
      <c r="R890" s="1">
        <v>-0.67371772101320537</v>
      </c>
      <c r="S890" s="19">
        <v>13.529143796875712</v>
      </c>
      <c r="T890" s="19">
        <v>37.601652458584716</v>
      </c>
      <c r="U890" s="19">
        <v>66.722306738767372</v>
      </c>
      <c r="V890" s="19">
        <v>107.85284158755292</v>
      </c>
      <c r="W890" s="19">
        <v>160.70107095123765</v>
      </c>
      <c r="X890" s="19">
        <v>223.0038085501117</v>
      </c>
      <c r="Y890" s="19">
        <v>290.88884756921163</v>
      </c>
      <c r="Z890" s="19">
        <v>359.69690980529293</v>
      </c>
      <c r="AA890" s="19">
        <v>424.96152940735226</v>
      </c>
      <c r="AB890" s="19">
        <v>483.22208856272135</v>
      </c>
      <c r="AC890" s="19">
        <v>532.45994479849196</v>
      </c>
      <c r="AD890" s="19">
        <v>572.11890196477441</v>
      </c>
      <c r="AE890" s="19">
        <v>602.81246649711557</v>
      </c>
      <c r="AF890" s="19">
        <v>625.88389046928478</v>
      </c>
      <c r="AG890" s="19">
        <v>642.97231841151984</v>
      </c>
      <c r="AH890" s="19">
        <v>655.68147897555889</v>
      </c>
      <c r="AI890" s="19">
        <v>665.38320181834206</v>
      </c>
      <c r="AJ890" s="19">
        <v>673.83097748428816</v>
      </c>
      <c r="AK890" s="19">
        <v>681.49349999425453</v>
      </c>
      <c r="AL890" s="19">
        <v>686.51787240834085</v>
      </c>
      <c r="AM890" s="19">
        <v>691.61094718203242</v>
      </c>
      <c r="AN890" s="19">
        <v>696.77343643779977</v>
      </c>
      <c r="AO890" s="19">
        <v>702.00606055941535</v>
      </c>
      <c r="AP890" s="19">
        <v>707.30954828324798</v>
      </c>
      <c r="AQ890" s="19">
        <v>712.68463679065724</v>
      </c>
      <c r="AR890" s="19">
        <v>12017.719381502831</v>
      </c>
    </row>
    <row r="891" spans="1:44" x14ac:dyDescent="0.25">
      <c r="A891" t="s">
        <v>250</v>
      </c>
      <c r="B891" t="s">
        <v>362</v>
      </c>
      <c r="C891" t="s">
        <v>45</v>
      </c>
      <c r="D891" t="s">
        <v>358</v>
      </c>
      <c r="E891" t="s">
        <v>145</v>
      </c>
      <c r="F891" t="s">
        <v>359</v>
      </c>
      <c r="G891" t="s">
        <v>31</v>
      </c>
      <c r="H891" t="s">
        <v>277</v>
      </c>
      <c r="I891" t="s">
        <v>135</v>
      </c>
      <c r="J891" t="s">
        <v>40</v>
      </c>
      <c r="K891" t="s">
        <v>31</v>
      </c>
      <c r="L891">
        <v>1.1100000000000001</v>
      </c>
      <c r="M891">
        <v>1</v>
      </c>
      <c r="N891" s="2">
        <v>2.8805169099386236</v>
      </c>
      <c r="O891" s="2">
        <v>1.9798085216903565</v>
      </c>
      <c r="P891" s="1">
        <v>-0.62137311888954427</v>
      </c>
      <c r="Q891" s="1">
        <v>0.4672931329656026</v>
      </c>
      <c r="R891" s="1">
        <v>-0.53071772101320513</v>
      </c>
      <c r="S891" s="19">
        <v>12.544842890086317</v>
      </c>
      <c r="T891" s="19">
        <v>24.50369165637597</v>
      </c>
      <c r="U891" s="19">
        <v>42.994555622131841</v>
      </c>
      <c r="V891" s="19">
        <v>68.717799372771339</v>
      </c>
      <c r="W891" s="19">
        <v>101.23465962325092</v>
      </c>
      <c r="X891" s="19">
        <v>138.89072941709699</v>
      </c>
      <c r="Y891" s="19">
        <v>179.10860174981738</v>
      </c>
      <c r="Z891" s="19">
        <v>218.94372310449072</v>
      </c>
      <c r="AA891" s="19">
        <v>255.69957719856495</v>
      </c>
      <c r="AB891" s="19">
        <v>287.40221542415514</v>
      </c>
      <c r="AC891" s="19">
        <v>313.01972995565581</v>
      </c>
      <c r="AD891" s="19">
        <v>332.42307107553006</v>
      </c>
      <c r="AE891" s="19">
        <v>346.16726136689499</v>
      </c>
      <c r="AF891" s="19">
        <v>355.20201602140668</v>
      </c>
      <c r="AG891" s="19">
        <v>360.6043345281048</v>
      </c>
      <c r="AH891" s="19">
        <v>363.38575645318815</v>
      </c>
      <c r="AI891" s="19">
        <v>364.38676583009806</v>
      </c>
      <c r="AJ891" s="19">
        <v>364.61718980698419</v>
      </c>
      <c r="AK891" s="19">
        <v>364.35361111555744</v>
      </c>
      <c r="AL891" s="19">
        <v>362.6338620710921</v>
      </c>
      <c r="AM891" s="19">
        <v>360.92223024211643</v>
      </c>
      <c r="AN891" s="19">
        <v>94.585448326111873</v>
      </c>
      <c r="AO891" s="19">
        <v>0</v>
      </c>
      <c r="AP891" s="19">
        <v>0</v>
      </c>
      <c r="AQ891" s="19">
        <v>0</v>
      </c>
      <c r="AR891" s="19">
        <v>5312.3416728514821</v>
      </c>
    </row>
    <row r="892" spans="1:44" x14ac:dyDescent="0.25">
      <c r="A892" t="s">
        <v>250</v>
      </c>
      <c r="B892" t="s">
        <v>362</v>
      </c>
      <c r="C892" t="s">
        <v>45</v>
      </c>
      <c r="D892" t="s">
        <v>358</v>
      </c>
      <c r="E892" t="s">
        <v>148</v>
      </c>
      <c r="F892" t="s">
        <v>359</v>
      </c>
      <c r="G892" t="s">
        <v>31</v>
      </c>
      <c r="H892" t="s">
        <v>277</v>
      </c>
      <c r="I892" t="s">
        <v>135</v>
      </c>
      <c r="J892" t="s">
        <v>40</v>
      </c>
      <c r="K892" t="s">
        <v>31</v>
      </c>
      <c r="L892">
        <v>1.1100000000000001</v>
      </c>
      <c r="M892">
        <v>1</v>
      </c>
      <c r="N892" s="2">
        <v>2.8805169099386236</v>
      </c>
      <c r="O892" s="2">
        <v>1.9798085216903565</v>
      </c>
      <c r="P892" s="1">
        <v>-0.62137311888954427</v>
      </c>
      <c r="Q892" s="1">
        <v>0.4672931329656026</v>
      </c>
      <c r="R892" s="1">
        <v>-0.53071772101320513</v>
      </c>
      <c r="S892" s="19">
        <v>2.1341600648910046</v>
      </c>
      <c r="T892" s="19">
        <v>5.9314873325209465</v>
      </c>
      <c r="U892" s="19">
        <v>10.525136299620684</v>
      </c>
      <c r="V892" s="19">
        <v>17.013288561122859</v>
      </c>
      <c r="W892" s="19">
        <v>25.349853114026946</v>
      </c>
      <c r="X892" s="19">
        <v>35.177822755949435</v>
      </c>
      <c r="Y892" s="19">
        <v>45.886374712621496</v>
      </c>
      <c r="Z892" s="19">
        <v>56.740529326654581</v>
      </c>
      <c r="AA892" s="19">
        <v>67.035722200367388</v>
      </c>
      <c r="AB892" s="19">
        <v>76.226056827182873</v>
      </c>
      <c r="AC892" s="19">
        <v>83.9931016629033</v>
      </c>
      <c r="AD892" s="19">
        <v>90.249119328931926</v>
      </c>
      <c r="AE892" s="19">
        <v>95.09088763722626</v>
      </c>
      <c r="AF892" s="19">
        <v>98.730298410061835</v>
      </c>
      <c r="AG892" s="19">
        <v>101.42591914065608</v>
      </c>
      <c r="AH892" s="19">
        <v>103.43073063067462</v>
      </c>
      <c r="AI892" s="19">
        <v>104.96113268438609</v>
      </c>
      <c r="AJ892" s="19">
        <v>106.29373035162352</v>
      </c>
      <c r="AK892" s="19">
        <v>107.50245795350236</v>
      </c>
      <c r="AL892" s="19">
        <v>108.29502953957572</v>
      </c>
      <c r="AM892" s="19">
        <v>109.09843860615764</v>
      </c>
      <c r="AN892" s="19">
        <v>109.91279748728915</v>
      </c>
      <c r="AO892" s="19">
        <v>110.73821982018929</v>
      </c>
      <c r="AP892" s="19">
        <v>111.57482055965626</v>
      </c>
      <c r="AQ892" s="19">
        <v>112.42271599265813</v>
      </c>
      <c r="AR892" s="19">
        <v>1895.7398310004503</v>
      </c>
    </row>
    <row r="893" spans="1:44" x14ac:dyDescent="0.25">
      <c r="A893" t="s">
        <v>250</v>
      </c>
      <c r="B893" t="s">
        <v>363</v>
      </c>
      <c r="C893" t="s">
        <v>45</v>
      </c>
      <c r="D893" t="s">
        <v>358</v>
      </c>
      <c r="E893" t="s">
        <v>145</v>
      </c>
      <c r="F893" t="s">
        <v>359</v>
      </c>
      <c r="G893" t="s">
        <v>31</v>
      </c>
      <c r="H893" t="s">
        <v>276</v>
      </c>
      <c r="I893" t="s">
        <v>135</v>
      </c>
      <c r="J893" t="s">
        <v>39</v>
      </c>
      <c r="K893" t="s">
        <v>31</v>
      </c>
      <c r="L893">
        <v>0.93</v>
      </c>
      <c r="M893">
        <v>1</v>
      </c>
      <c r="N893" s="2">
        <v>2.6259606356853955</v>
      </c>
      <c r="O893" s="2">
        <v>3.1597702595673303</v>
      </c>
      <c r="P893" s="1">
        <v>-0.56360929242142277</v>
      </c>
      <c r="Q893" s="1">
        <v>0.65176295523094208</v>
      </c>
      <c r="R893" s="1">
        <v>-0.67371772101320515</v>
      </c>
      <c r="S893" s="19">
        <v>52.945701105385993</v>
      </c>
      <c r="T893" s="19">
        <v>103.69044573040502</v>
      </c>
      <c r="U893" s="19">
        <v>182.41579179472697</v>
      </c>
      <c r="V893" s="19">
        <v>292.32096033021497</v>
      </c>
      <c r="W893" s="19">
        <v>431.77916899258258</v>
      </c>
      <c r="X893" s="19">
        <v>593.94668592737219</v>
      </c>
      <c r="Y893" s="19">
        <v>767.9490257032063</v>
      </c>
      <c r="Z893" s="19">
        <v>941.21793634709661</v>
      </c>
      <c r="AA893" s="19">
        <v>1102.1214407623922</v>
      </c>
      <c r="AB893" s="19">
        <v>1242.0277479441377</v>
      </c>
      <c r="AC893" s="19">
        <v>1356.2965120554518</v>
      </c>
      <c r="AD893" s="19">
        <v>1444.1617409851317</v>
      </c>
      <c r="AE893" s="19">
        <v>1507.8301248549976</v>
      </c>
      <c r="AF893" s="19">
        <v>1551.2564174093734</v>
      </c>
      <c r="AG893" s="19">
        <v>1578.9953729803849</v>
      </c>
      <c r="AH893" s="19">
        <v>1595.3631652789893</v>
      </c>
      <c r="AI893" s="19">
        <v>1603.9691137570419</v>
      </c>
      <c r="AJ893" s="19">
        <v>1609.2083997619557</v>
      </c>
      <c r="AK893" s="19">
        <v>1612.2781748217426</v>
      </c>
      <c r="AL893" s="19">
        <v>1608.892390654617</v>
      </c>
      <c r="AM893" s="19">
        <v>1605.5137166342422</v>
      </c>
      <c r="AN893" s="19">
        <v>1096.8673241290112</v>
      </c>
      <c r="AO893" s="19">
        <v>0</v>
      </c>
      <c r="AP893" s="19">
        <v>0</v>
      </c>
      <c r="AQ893" s="19">
        <v>0</v>
      </c>
      <c r="AR893" s="19">
        <v>23881.047357960459</v>
      </c>
    </row>
    <row r="894" spans="1:44" x14ac:dyDescent="0.25">
      <c r="A894" t="s">
        <v>250</v>
      </c>
      <c r="B894" t="s">
        <v>363</v>
      </c>
      <c r="C894" t="s">
        <v>45</v>
      </c>
      <c r="D894" t="s">
        <v>358</v>
      </c>
      <c r="E894" t="s">
        <v>148</v>
      </c>
      <c r="F894" t="s">
        <v>359</v>
      </c>
      <c r="G894" t="s">
        <v>31</v>
      </c>
      <c r="H894" t="s">
        <v>276</v>
      </c>
      <c r="I894" t="s">
        <v>135</v>
      </c>
      <c r="J894" t="s">
        <v>39</v>
      </c>
      <c r="K894" t="s">
        <v>31</v>
      </c>
      <c r="L894">
        <v>0.93</v>
      </c>
      <c r="M894">
        <v>1</v>
      </c>
      <c r="N894" s="2">
        <v>2.6259606356853955</v>
      </c>
      <c r="O894" s="2">
        <v>3.1597702595673303</v>
      </c>
      <c r="P894" s="1">
        <v>-0.56360929242142277</v>
      </c>
      <c r="Q894" s="1">
        <v>0.65176295523094208</v>
      </c>
      <c r="R894" s="1">
        <v>-0.67371772101320515</v>
      </c>
      <c r="S894" s="19">
        <v>9.0072551642767387</v>
      </c>
      <c r="T894" s="19">
        <v>20.950322822838029</v>
      </c>
      <c r="U894" s="19">
        <v>37.271451470125136</v>
      </c>
      <c r="V894" s="19">
        <v>60.401217273862784</v>
      </c>
      <c r="W894" s="19">
        <v>90.225470680029858</v>
      </c>
      <c r="X894" s="19">
        <v>125.51812799836414</v>
      </c>
      <c r="Y894" s="19">
        <v>164.13174900923875</v>
      </c>
      <c r="Z894" s="19">
        <v>203.45164978404685</v>
      </c>
      <c r="AA894" s="19">
        <v>240.94660107495943</v>
      </c>
      <c r="AB894" s="19">
        <v>274.63280245597105</v>
      </c>
      <c r="AC894" s="19">
        <v>303.32963946837975</v>
      </c>
      <c r="AD894" s="19">
        <v>326.68138017727256</v>
      </c>
      <c r="AE894" s="19">
        <v>344.99949964646856</v>
      </c>
      <c r="AF894" s="19">
        <v>359.01799487083309</v>
      </c>
      <c r="AG894" s="19">
        <v>369.64858351046234</v>
      </c>
      <c r="AH894" s="19">
        <v>377.79152640767205</v>
      </c>
      <c r="AI894" s="19">
        <v>384.22173690860762</v>
      </c>
      <c r="AJ894" s="19">
        <v>389.94219045237986</v>
      </c>
      <c r="AK894" s="19">
        <v>395.21967928902939</v>
      </c>
      <c r="AL894" s="19">
        <v>398.97418264469144</v>
      </c>
      <c r="AM894" s="19">
        <v>402.77221316530211</v>
      </c>
      <c r="AN894" s="19">
        <v>406.61425598986375</v>
      </c>
      <c r="AO894" s="19">
        <v>410.50080170411536</v>
      </c>
      <c r="AP894" s="19">
        <v>414.43234640165002</v>
      </c>
      <c r="AQ894" s="19">
        <v>418.40939174568069</v>
      </c>
      <c r="AR894" s="19">
        <v>6929.0920701161203</v>
      </c>
    </row>
    <row r="895" spans="1:44" x14ac:dyDescent="0.25">
      <c r="A895" t="s">
        <v>250</v>
      </c>
      <c r="B895" t="s">
        <v>364</v>
      </c>
      <c r="C895" t="s">
        <v>45</v>
      </c>
      <c r="D895" t="s">
        <v>358</v>
      </c>
      <c r="E895" t="s">
        <v>145</v>
      </c>
      <c r="F895" t="s">
        <v>359</v>
      </c>
      <c r="G895" t="s">
        <v>31</v>
      </c>
      <c r="H895" t="s">
        <v>253</v>
      </c>
      <c r="I895" t="s">
        <v>135</v>
      </c>
      <c r="J895" t="s">
        <v>39</v>
      </c>
      <c r="K895" t="s">
        <v>31</v>
      </c>
      <c r="L895">
        <v>0.63</v>
      </c>
      <c r="M895">
        <v>1</v>
      </c>
      <c r="N895" s="2">
        <v>2.0844226675851618</v>
      </c>
      <c r="O895" s="2">
        <v>3.1590792310146649</v>
      </c>
      <c r="P895" s="1">
        <v>-0.39445929554307774</v>
      </c>
      <c r="Q895" s="1">
        <v>0.82091295210928661</v>
      </c>
      <c r="R895" s="1">
        <v>-0.67371772101320448</v>
      </c>
      <c r="S895" s="19">
        <v>10.530753421590038</v>
      </c>
      <c r="T895" s="19">
        <v>20.582408403041157</v>
      </c>
      <c r="U895" s="19">
        <v>36.136708493396391</v>
      </c>
      <c r="V895" s="19">
        <v>57.792945070386246</v>
      </c>
      <c r="W895" s="19">
        <v>85.19326551858704</v>
      </c>
      <c r="X895" s="19">
        <v>116.95525829133013</v>
      </c>
      <c r="Y895" s="19">
        <v>150.91534207779011</v>
      </c>
      <c r="Z895" s="19">
        <v>184.5949871593092</v>
      </c>
      <c r="AA895" s="19">
        <v>215.71873729410601</v>
      </c>
      <c r="AB895" s="19">
        <v>242.61543474045541</v>
      </c>
      <c r="AC895" s="19">
        <v>264.40549863969699</v>
      </c>
      <c r="AD895" s="19">
        <v>280.9702790818996</v>
      </c>
      <c r="AE895" s="19">
        <v>292.7693934758388</v>
      </c>
      <c r="AF895" s="19">
        <v>300.59763410372562</v>
      </c>
      <c r="AG895" s="19">
        <v>305.35956907127331</v>
      </c>
      <c r="AH895" s="19">
        <v>307.90656374848436</v>
      </c>
      <c r="AI895" s="19">
        <v>308.947081790602</v>
      </c>
      <c r="AJ895" s="19">
        <v>309.33502515632114</v>
      </c>
      <c r="AK895" s="19">
        <v>309.30396742287172</v>
      </c>
      <c r="AL895" s="19">
        <v>308.03582115643798</v>
      </c>
      <c r="AM895" s="19">
        <v>306.77287428969657</v>
      </c>
      <c r="AN895" s="19">
        <v>111.15028825955906</v>
      </c>
      <c r="AO895" s="19">
        <v>0</v>
      </c>
      <c r="AP895" s="19">
        <v>0</v>
      </c>
      <c r="AQ895" s="19">
        <v>0</v>
      </c>
      <c r="AR895" s="19">
        <v>4526.5898366663978</v>
      </c>
    </row>
    <row r="896" spans="1:44" x14ac:dyDescent="0.25">
      <c r="A896" t="s">
        <v>250</v>
      </c>
      <c r="B896" t="s">
        <v>364</v>
      </c>
      <c r="C896" t="s">
        <v>45</v>
      </c>
      <c r="D896" t="s">
        <v>358</v>
      </c>
      <c r="E896" t="s">
        <v>148</v>
      </c>
      <c r="F896" t="s">
        <v>359</v>
      </c>
      <c r="G896" t="s">
        <v>31</v>
      </c>
      <c r="H896" t="s">
        <v>253</v>
      </c>
      <c r="I896" t="s">
        <v>135</v>
      </c>
      <c r="J896" t="s">
        <v>39</v>
      </c>
      <c r="K896" t="s">
        <v>31</v>
      </c>
      <c r="L896">
        <v>0.63</v>
      </c>
      <c r="M896">
        <v>1</v>
      </c>
      <c r="N896" s="2">
        <v>2.0844226675851618</v>
      </c>
      <c r="O896" s="2">
        <v>3.1590792310146649</v>
      </c>
      <c r="P896" s="1">
        <v>-0.39445929554307774</v>
      </c>
      <c r="Q896" s="1">
        <v>0.82091295210928661</v>
      </c>
      <c r="R896" s="1">
        <v>-0.67371772101320448</v>
      </c>
      <c r="S896" s="19">
        <v>1.7915181244184653</v>
      </c>
      <c r="T896" s="19">
        <v>4.7869755397965434</v>
      </c>
      <c r="U896" s="19">
        <v>8.4994575203459082</v>
      </c>
      <c r="V896" s="19">
        <v>13.747211739323571</v>
      </c>
      <c r="W896" s="19">
        <v>20.495649294128725</v>
      </c>
      <c r="X896" s="19">
        <v>28.458505223329773</v>
      </c>
      <c r="Y896" s="19">
        <v>37.143326453287145</v>
      </c>
      <c r="Z896" s="19">
        <v>45.955911585905135</v>
      </c>
      <c r="AA896" s="19">
        <v>54.325320210026192</v>
      </c>
      <c r="AB896" s="19">
        <v>61.807974840003645</v>
      </c>
      <c r="AC896" s="19">
        <v>68.143871773198157</v>
      </c>
      <c r="AD896" s="19">
        <v>73.259739143351396</v>
      </c>
      <c r="AE896" s="19">
        <v>77.232056730710042</v>
      </c>
      <c r="AF896" s="19">
        <v>80.231065749474382</v>
      </c>
      <c r="AG896" s="19">
        <v>82.465367497162362</v>
      </c>
      <c r="AH896" s="19">
        <v>84.139497019310724</v>
      </c>
      <c r="AI896" s="19">
        <v>85.428671402308609</v>
      </c>
      <c r="AJ896" s="19">
        <v>86.557515937873319</v>
      </c>
      <c r="AK896" s="19">
        <v>87.586002526130144</v>
      </c>
      <c r="AL896" s="19">
        <v>88.275708246368907</v>
      </c>
      <c r="AM896" s="19">
        <v>88.974347838078813</v>
      </c>
      <c r="AN896" s="19">
        <v>89.68201657138043</v>
      </c>
      <c r="AO896" s="19">
        <v>90.398810804943892</v>
      </c>
      <c r="AP896" s="19">
        <v>91.124827998106554</v>
      </c>
      <c r="AQ896" s="19">
        <v>91.860166723151792</v>
      </c>
      <c r="AR896" s="19">
        <v>1542.3715164921146</v>
      </c>
    </row>
    <row r="897" spans="1:44" x14ac:dyDescent="0.25">
      <c r="A897" t="s">
        <v>250</v>
      </c>
      <c r="B897" t="s">
        <v>364</v>
      </c>
      <c r="C897" t="s">
        <v>45</v>
      </c>
      <c r="D897" t="s">
        <v>358</v>
      </c>
      <c r="E897" t="s">
        <v>145</v>
      </c>
      <c r="F897" t="s">
        <v>359</v>
      </c>
      <c r="G897" t="s">
        <v>31</v>
      </c>
      <c r="H897" t="s">
        <v>253</v>
      </c>
      <c r="I897" t="s">
        <v>256</v>
      </c>
      <c r="J897" t="s">
        <v>39</v>
      </c>
      <c r="K897" t="s">
        <v>31</v>
      </c>
      <c r="L897">
        <v>0.63</v>
      </c>
      <c r="M897">
        <v>1</v>
      </c>
      <c r="N897" s="2">
        <v>1.7505233448428057</v>
      </c>
      <c r="O897" s="2">
        <v>2.6530329131883188</v>
      </c>
      <c r="P897" s="1">
        <v>-0.12035701680335814</v>
      </c>
      <c r="Q897" s="1">
        <v>0.4672931329656026</v>
      </c>
      <c r="R897" s="1">
        <v>-0.39961544227348489</v>
      </c>
      <c r="S897" s="19">
        <v>5.5240216199096865</v>
      </c>
      <c r="T897" s="19">
        <v>10.796726925075314</v>
      </c>
      <c r="U897" s="19">
        <v>18.95590476751995</v>
      </c>
      <c r="V897" s="19">
        <v>30.315919978958455</v>
      </c>
      <c r="W897" s="19">
        <v>44.689057065047471</v>
      </c>
      <c r="X897" s="19">
        <v>61.350156963971514</v>
      </c>
      <c r="Y897" s="19">
        <v>79.164289489925579</v>
      </c>
      <c r="Z897" s="19">
        <v>96.831314833028259</v>
      </c>
      <c r="AA897" s="19">
        <v>113.15761759165127</v>
      </c>
      <c r="AB897" s="19">
        <v>127.26657373653558</v>
      </c>
      <c r="AC897" s="19">
        <v>138.69678953019806</v>
      </c>
      <c r="AD897" s="19">
        <v>147.38602586766504</v>
      </c>
      <c r="AE897" s="19">
        <v>153.57538007609986</v>
      </c>
      <c r="AF897" s="19">
        <v>157.68176911998771</v>
      </c>
      <c r="AG897" s="19">
        <v>160.17969406991642</v>
      </c>
      <c r="AH897" s="19">
        <v>161.51574792090332</v>
      </c>
      <c r="AI897" s="19">
        <v>162.06156301413114</v>
      </c>
      <c r="AJ897" s="19">
        <v>162.26506293989522</v>
      </c>
      <c r="AK897" s="19">
        <v>162.24877126690922</v>
      </c>
      <c r="AL897" s="19">
        <v>161.58355130471489</v>
      </c>
      <c r="AM897" s="19">
        <v>160.92105874436561</v>
      </c>
      <c r="AN897" s="19">
        <v>58.305096589403455</v>
      </c>
      <c r="AO897" s="19">
        <v>0</v>
      </c>
      <c r="AP897" s="19">
        <v>0</v>
      </c>
      <c r="AQ897" s="19">
        <v>0</v>
      </c>
      <c r="AR897" s="19">
        <v>2374.4720934158131</v>
      </c>
    </row>
    <row r="898" spans="1:44" x14ac:dyDescent="0.25">
      <c r="A898" t="s">
        <v>250</v>
      </c>
      <c r="B898" t="s">
        <v>364</v>
      </c>
      <c r="C898" t="s">
        <v>45</v>
      </c>
      <c r="D898" t="s">
        <v>358</v>
      </c>
      <c r="E898" t="s">
        <v>148</v>
      </c>
      <c r="F898" t="s">
        <v>359</v>
      </c>
      <c r="G898" t="s">
        <v>31</v>
      </c>
      <c r="H898" t="s">
        <v>253</v>
      </c>
      <c r="I898" t="s">
        <v>256</v>
      </c>
      <c r="J898" t="s">
        <v>39</v>
      </c>
      <c r="K898" t="s">
        <v>31</v>
      </c>
      <c r="L898">
        <v>0.63</v>
      </c>
      <c r="M898">
        <v>1</v>
      </c>
      <c r="N898" s="2">
        <v>1.7505233448428057</v>
      </c>
      <c r="O898" s="2">
        <v>2.6530329131883188</v>
      </c>
      <c r="P898" s="1">
        <v>-0.12035701680335814</v>
      </c>
      <c r="Q898" s="1">
        <v>0.4672931329656026</v>
      </c>
      <c r="R898" s="1">
        <v>-0.39961544227348489</v>
      </c>
      <c r="S898" s="19">
        <v>0.93976038138526619</v>
      </c>
      <c r="T898" s="19">
        <v>2.5110602553470818</v>
      </c>
      <c r="U898" s="19">
        <v>4.458483189211857</v>
      </c>
      <c r="V898" s="19">
        <v>7.2112499287855325</v>
      </c>
      <c r="W898" s="19">
        <v>10.751216487771448</v>
      </c>
      <c r="X898" s="19">
        <v>14.928219456899177</v>
      </c>
      <c r="Y898" s="19">
        <v>19.483937202694698</v>
      </c>
      <c r="Z898" s="19">
        <v>24.10667489780273</v>
      </c>
      <c r="AA898" s="19">
        <v>28.496939519394122</v>
      </c>
      <c r="AB898" s="19">
        <v>32.42204765701026</v>
      </c>
      <c r="AC898" s="19">
        <v>35.745611531246368</v>
      </c>
      <c r="AD898" s="19">
        <v>38.42919558510652</v>
      </c>
      <c r="AE898" s="19">
        <v>40.512918121875408</v>
      </c>
      <c r="AF898" s="19">
        <v>42.086081028148769</v>
      </c>
      <c r="AG898" s="19">
        <v>43.258108390818215</v>
      </c>
      <c r="AH898" s="19">
        <v>44.136291299927208</v>
      </c>
      <c r="AI898" s="19">
        <v>44.812541790125501</v>
      </c>
      <c r="AJ898" s="19">
        <v>45.404689509318139</v>
      </c>
      <c r="AK898" s="19">
        <v>45.944193372135416</v>
      </c>
      <c r="AL898" s="19">
        <v>46.305986033822983</v>
      </c>
      <c r="AM898" s="19">
        <v>46.672465055278096</v>
      </c>
      <c r="AN898" s="19">
        <v>47.043680411482377</v>
      </c>
      <c r="AO898" s="19">
        <v>47.419682648426182</v>
      </c>
      <c r="AP898" s="19">
        <v>47.800522889471537</v>
      </c>
      <c r="AQ898" s="19">
        <v>48.186252841782341</v>
      </c>
      <c r="AR898" s="19">
        <v>809.06780948526705</v>
      </c>
    </row>
    <row r="899" spans="1:44" x14ac:dyDescent="0.25">
      <c r="A899" t="s">
        <v>250</v>
      </c>
      <c r="B899" t="s">
        <v>364</v>
      </c>
      <c r="C899" t="s">
        <v>45</v>
      </c>
      <c r="D899" t="s">
        <v>358</v>
      </c>
      <c r="E899" t="s">
        <v>145</v>
      </c>
      <c r="F899" t="s">
        <v>359</v>
      </c>
      <c r="G899" t="s">
        <v>31</v>
      </c>
      <c r="H899" t="s">
        <v>253</v>
      </c>
      <c r="I899" t="s">
        <v>135</v>
      </c>
      <c r="J899" t="s">
        <v>40</v>
      </c>
      <c r="K899" t="s">
        <v>31</v>
      </c>
      <c r="L899">
        <v>0.63</v>
      </c>
      <c r="M899">
        <v>1</v>
      </c>
      <c r="N899" s="2">
        <v>2.0844226675851618</v>
      </c>
      <c r="O899" s="2">
        <v>1.979808521690356</v>
      </c>
      <c r="P899" s="1">
        <v>-0.39445929554307774</v>
      </c>
      <c r="Q899" s="1">
        <v>0.4672931329656026</v>
      </c>
      <c r="R899" s="1">
        <v>-0.53071772101320469</v>
      </c>
      <c r="S899" s="19">
        <v>5.5393951703379445</v>
      </c>
      <c r="T899" s="19">
        <v>10.826774603608021</v>
      </c>
      <c r="U899" s="19">
        <v>19.008659730825379</v>
      </c>
      <c r="V899" s="19">
        <v>30.400290272314251</v>
      </c>
      <c r="W899" s="19">
        <v>44.813428314773311</v>
      </c>
      <c r="X899" s="19">
        <v>61.520896652691746</v>
      </c>
      <c r="Y899" s="19">
        <v>79.384606548824138</v>
      </c>
      <c r="Z899" s="19">
        <v>97.10079985753552</v>
      </c>
      <c r="AA899" s="19">
        <v>113.47253930269544</v>
      </c>
      <c r="AB899" s="19">
        <v>127.62076117890877</v>
      </c>
      <c r="AC899" s="19">
        <v>139.08278767336157</v>
      </c>
      <c r="AD899" s="19">
        <v>147.79620646741694</v>
      </c>
      <c r="AE899" s="19">
        <v>154.002785870753</v>
      </c>
      <c r="AF899" s="19">
        <v>158.12060314273057</v>
      </c>
      <c r="AG899" s="19">
        <v>160.62547990744679</v>
      </c>
      <c r="AH899" s="19">
        <v>161.96525204425262</v>
      </c>
      <c r="AI899" s="19">
        <v>162.51258616047448</v>
      </c>
      <c r="AJ899" s="19">
        <v>162.71665243383566</v>
      </c>
      <c r="AK899" s="19">
        <v>162.70031542053906</v>
      </c>
      <c r="AL899" s="19">
        <v>162.03324412731487</v>
      </c>
      <c r="AM899" s="19">
        <v>161.36890782639287</v>
      </c>
      <c r="AN899" s="19">
        <v>58.467361765813678</v>
      </c>
      <c r="AO899" s="19">
        <v>0</v>
      </c>
      <c r="AP899" s="19">
        <v>0</v>
      </c>
      <c r="AQ899" s="19">
        <v>0</v>
      </c>
      <c r="AR899" s="19">
        <v>2381.0803344728461</v>
      </c>
    </row>
    <row r="900" spans="1:44" x14ac:dyDescent="0.25">
      <c r="A900" t="s">
        <v>250</v>
      </c>
      <c r="B900" t="s">
        <v>364</v>
      </c>
      <c r="C900" t="s">
        <v>45</v>
      </c>
      <c r="D900" t="s">
        <v>358</v>
      </c>
      <c r="E900" t="s">
        <v>148</v>
      </c>
      <c r="F900" t="s">
        <v>359</v>
      </c>
      <c r="G900" t="s">
        <v>31</v>
      </c>
      <c r="H900" t="s">
        <v>253</v>
      </c>
      <c r="I900" t="s">
        <v>135</v>
      </c>
      <c r="J900" t="s">
        <v>40</v>
      </c>
      <c r="K900" t="s">
        <v>31</v>
      </c>
      <c r="L900">
        <v>0.63</v>
      </c>
      <c r="M900">
        <v>1</v>
      </c>
      <c r="N900" s="2">
        <v>2.0844226675851618</v>
      </c>
      <c r="O900" s="2">
        <v>1.979808521690356</v>
      </c>
      <c r="P900" s="1">
        <v>-0.39445929554307774</v>
      </c>
      <c r="Q900" s="1">
        <v>0.4672931329656026</v>
      </c>
      <c r="R900" s="1">
        <v>-0.53071772101320469</v>
      </c>
      <c r="S900" s="19">
        <v>0.94237576825515679</v>
      </c>
      <c r="T900" s="19">
        <v>2.5180486261609833</v>
      </c>
      <c r="U900" s="19">
        <v>4.4708913079447203</v>
      </c>
      <c r="V900" s="19">
        <v>7.2313190961530065</v>
      </c>
      <c r="W900" s="19">
        <v>10.781137509123775</v>
      </c>
      <c r="X900" s="19">
        <v>14.969765227429262</v>
      </c>
      <c r="Y900" s="19">
        <v>19.538161699218577</v>
      </c>
      <c r="Z900" s="19">
        <v>24.173764639244595</v>
      </c>
      <c r="AA900" s="19">
        <v>28.576247524846455</v>
      </c>
      <c r="AB900" s="19">
        <v>32.512279379284415</v>
      </c>
      <c r="AC900" s="19">
        <v>35.845092851066255</v>
      </c>
      <c r="AD900" s="19">
        <v>38.536145415664123</v>
      </c>
      <c r="AE900" s="19">
        <v>40.625667027038027</v>
      </c>
      <c r="AF900" s="19">
        <v>42.203208102141851</v>
      </c>
      <c r="AG900" s="19">
        <v>43.378497259025934</v>
      </c>
      <c r="AH900" s="19">
        <v>44.259124182689462</v>
      </c>
      <c r="AI900" s="19">
        <v>44.937256702273501</v>
      </c>
      <c r="AJ900" s="19">
        <v>45.531052389820701</v>
      </c>
      <c r="AK900" s="19">
        <v>46.072057711251361</v>
      </c>
      <c r="AL900" s="19">
        <v>46.434857254901154</v>
      </c>
      <c r="AM900" s="19">
        <v>46.802356200626342</v>
      </c>
      <c r="AN900" s="19">
        <v>47.174604662489635</v>
      </c>
      <c r="AO900" s="19">
        <v>47.551653327154746</v>
      </c>
      <c r="AP900" s="19">
        <v>47.933553460258651</v>
      </c>
      <c r="AQ900" s="19">
        <v>48.320356912870679</v>
      </c>
      <c r="AR900" s="19">
        <v>811.3194742369335</v>
      </c>
    </row>
    <row r="901" spans="1:44" x14ac:dyDescent="0.25">
      <c r="A901" t="s">
        <v>250</v>
      </c>
      <c r="B901" t="s">
        <v>365</v>
      </c>
      <c r="C901" t="s">
        <v>45</v>
      </c>
      <c r="D901" t="s">
        <v>358</v>
      </c>
      <c r="E901" t="s">
        <v>145</v>
      </c>
      <c r="F901" t="s">
        <v>359</v>
      </c>
      <c r="G901" t="s">
        <v>31</v>
      </c>
      <c r="H901" t="s">
        <v>252</v>
      </c>
      <c r="I901" t="s">
        <v>135</v>
      </c>
      <c r="J901" t="s">
        <v>39</v>
      </c>
      <c r="K901" t="s">
        <v>31</v>
      </c>
      <c r="L901">
        <v>1.9</v>
      </c>
      <c r="M901">
        <v>1</v>
      </c>
      <c r="N901" s="2">
        <v>3.6463650483715906</v>
      </c>
      <c r="O901" s="2">
        <v>3.1557944646272507</v>
      </c>
      <c r="P901" s="1">
        <v>-0.74659023207454367</v>
      </c>
      <c r="Q901" s="1">
        <v>0.4687820155778209</v>
      </c>
      <c r="R901" s="1">
        <v>-0.67371772101320515</v>
      </c>
      <c r="S901" s="19">
        <v>105.6141021417949</v>
      </c>
      <c r="T901" s="19">
        <v>206.50618175850587</v>
      </c>
      <c r="U901" s="19">
        <v>362.71027259732563</v>
      </c>
      <c r="V901" s="19">
        <v>580.31057869654728</v>
      </c>
      <c r="W901" s="19">
        <v>855.78628997381202</v>
      </c>
      <c r="X901" s="19">
        <v>1175.3148125082853</v>
      </c>
      <c r="Y901" s="19">
        <v>1517.1979513816691</v>
      </c>
      <c r="Z901" s="19">
        <v>1856.5350649676063</v>
      </c>
      <c r="AA901" s="19">
        <v>2170.4286849233317</v>
      </c>
      <c r="AB901" s="19">
        <v>2442.0270789591918</v>
      </c>
      <c r="AC901" s="19">
        <v>2662.4222223675288</v>
      </c>
      <c r="AD901" s="19">
        <v>2830.3570658707849</v>
      </c>
      <c r="AE901" s="19">
        <v>2950.4001118548331</v>
      </c>
      <c r="AF901" s="19">
        <v>3030.5063536295479</v>
      </c>
      <c r="AG901" s="19">
        <v>3079.7507721987722</v>
      </c>
      <c r="AH901" s="19">
        <v>3106.6861671306142</v>
      </c>
      <c r="AI901" s="19">
        <v>3118.4366935537637</v>
      </c>
      <c r="AJ901" s="19">
        <v>3123.6065822608266</v>
      </c>
      <c r="AK901" s="19">
        <v>3124.5474276169289</v>
      </c>
      <c r="AL901" s="19">
        <v>3112.9866021347461</v>
      </c>
      <c r="AM901" s="19">
        <v>3101.4685517068474</v>
      </c>
      <c r="AN901" s="19">
        <v>1323.7145910908639</v>
      </c>
      <c r="AO901" s="19">
        <v>0</v>
      </c>
      <c r="AP901" s="19">
        <v>0</v>
      </c>
      <c r="AQ901" s="19">
        <v>0</v>
      </c>
      <c r="AR901" s="19">
        <v>45837.314159324138</v>
      </c>
    </row>
    <row r="902" spans="1:44" x14ac:dyDescent="0.25">
      <c r="A902" t="s">
        <v>250</v>
      </c>
      <c r="B902" t="s">
        <v>365</v>
      </c>
      <c r="C902" t="s">
        <v>45</v>
      </c>
      <c r="D902" t="s">
        <v>358</v>
      </c>
      <c r="E902" t="s">
        <v>148</v>
      </c>
      <c r="F902" t="s">
        <v>359</v>
      </c>
      <c r="G902" t="s">
        <v>31</v>
      </c>
      <c r="H902" t="s">
        <v>252</v>
      </c>
      <c r="I902" t="s">
        <v>135</v>
      </c>
      <c r="J902" t="s">
        <v>39</v>
      </c>
      <c r="K902" t="s">
        <v>31</v>
      </c>
      <c r="L902">
        <v>1.9</v>
      </c>
      <c r="M902">
        <v>1</v>
      </c>
      <c r="N902" s="2">
        <v>3.6463650483715906</v>
      </c>
      <c r="O902" s="2">
        <v>3.1557944646272507</v>
      </c>
      <c r="P902" s="1">
        <v>-0.74659023207454367</v>
      </c>
      <c r="Q902" s="1">
        <v>0.4687820155778209</v>
      </c>
      <c r="R902" s="1">
        <v>-0.67371772101320515</v>
      </c>
      <c r="S902" s="19">
        <v>17.967335346898654</v>
      </c>
      <c r="T902" s="19">
        <v>46.765473745817104</v>
      </c>
      <c r="U902" s="19">
        <v>83.066654054133721</v>
      </c>
      <c r="V902" s="19">
        <v>134.40628557854961</v>
      </c>
      <c r="W902" s="19">
        <v>200.46297043327505</v>
      </c>
      <c r="X902" s="19">
        <v>278.45189079394618</v>
      </c>
      <c r="Y902" s="19">
        <v>363.56542768865705</v>
      </c>
      <c r="Z902" s="19">
        <v>449.99217785696567</v>
      </c>
      <c r="AA902" s="19">
        <v>532.13984465152521</v>
      </c>
      <c r="AB902" s="19">
        <v>605.65599292201318</v>
      </c>
      <c r="AC902" s="19">
        <v>667.98153554858072</v>
      </c>
      <c r="AD902" s="19">
        <v>718.3850788764986</v>
      </c>
      <c r="AE902" s="19">
        <v>757.603485996534</v>
      </c>
      <c r="AF902" s="19">
        <v>787.2950284096886</v>
      </c>
      <c r="AG902" s="19">
        <v>809.49709791824364</v>
      </c>
      <c r="AH902" s="19">
        <v>826.21016676144416</v>
      </c>
      <c r="AI902" s="19">
        <v>839.14959312861731</v>
      </c>
      <c r="AJ902" s="19">
        <v>850.51863063072972</v>
      </c>
      <c r="AK902" s="19">
        <v>860.90508329756415</v>
      </c>
      <c r="AL902" s="19">
        <v>867.96361089106802</v>
      </c>
      <c r="AM902" s="19">
        <v>875.1108999690382</v>
      </c>
      <c r="AN902" s="19">
        <v>882.34791039229628</v>
      </c>
      <c r="AO902" s="19">
        <v>889.67561291723564</v>
      </c>
      <c r="AP902" s="19">
        <v>897.09498931771611</v>
      </c>
      <c r="AQ902" s="19">
        <v>904.60703250794495</v>
      </c>
      <c r="AR902" s="19">
        <v>15146.819809634982</v>
      </c>
    </row>
    <row r="903" spans="1:44" x14ac:dyDescent="0.25">
      <c r="A903" t="s">
        <v>250</v>
      </c>
      <c r="B903" t="s">
        <v>366</v>
      </c>
      <c r="C903" t="s">
        <v>45</v>
      </c>
      <c r="D903" t="s">
        <v>358</v>
      </c>
      <c r="E903" t="s">
        <v>145</v>
      </c>
      <c r="F903" t="s">
        <v>359</v>
      </c>
      <c r="G903" t="s">
        <v>31</v>
      </c>
      <c r="H903" t="s">
        <v>254</v>
      </c>
      <c r="I903" t="s">
        <v>135</v>
      </c>
      <c r="J903" t="s">
        <v>39</v>
      </c>
      <c r="K903" t="s">
        <v>31</v>
      </c>
      <c r="L903">
        <v>0.87</v>
      </c>
      <c r="M903">
        <v>1</v>
      </c>
      <c r="N903" s="2">
        <v>2.5057109938538344</v>
      </c>
      <c r="O903" s="2">
        <v>3.1588853240212438</v>
      </c>
      <c r="P903" s="1">
        <v>-0.53252233435948138</v>
      </c>
      <c r="Q903" s="1">
        <v>0.68284991329288358</v>
      </c>
      <c r="R903" s="1">
        <v>-0.67371772101320504</v>
      </c>
      <c r="S903" s="19">
        <v>34.855565111509463</v>
      </c>
      <c r="T903" s="19">
        <v>68.098920030818604</v>
      </c>
      <c r="U903" s="19">
        <v>119.51542888566068</v>
      </c>
      <c r="V903" s="19">
        <v>191.06518399619239</v>
      </c>
      <c r="W903" s="19">
        <v>281.54209941010635</v>
      </c>
      <c r="X903" s="19">
        <v>386.35735167183486</v>
      </c>
      <c r="Y903" s="19">
        <v>498.3496634151208</v>
      </c>
      <c r="Z903" s="19">
        <v>609.32925337218876</v>
      </c>
      <c r="AA903" s="19">
        <v>711.78911737565556</v>
      </c>
      <c r="AB903" s="19">
        <v>800.22708994857237</v>
      </c>
      <c r="AC903" s="19">
        <v>871.75943074318491</v>
      </c>
      <c r="AD903" s="19">
        <v>926.01474761454267</v>
      </c>
      <c r="AE903" s="19">
        <v>964.52733933423883</v>
      </c>
      <c r="AF903" s="19">
        <v>989.93294072411356</v>
      </c>
      <c r="AG903" s="19">
        <v>1005.2245825838248</v>
      </c>
      <c r="AH903" s="19">
        <v>1013.215587204667</v>
      </c>
      <c r="AI903" s="19">
        <v>1016.2448585574008</v>
      </c>
      <c r="AJ903" s="19">
        <v>1017.1258911561694</v>
      </c>
      <c r="AK903" s="19">
        <v>1016.6289019322446</v>
      </c>
      <c r="AL903" s="19">
        <v>1012.0676269255752</v>
      </c>
      <c r="AM903" s="19">
        <v>1007.526816839436</v>
      </c>
      <c r="AN903" s="19">
        <v>302.09753541191168</v>
      </c>
      <c r="AO903" s="19">
        <v>0</v>
      </c>
      <c r="AP903" s="19">
        <v>0</v>
      </c>
      <c r="AQ903" s="19">
        <v>0</v>
      </c>
      <c r="AR903" s="19">
        <v>14843.495932244969</v>
      </c>
    </row>
    <row r="904" spans="1:44" x14ac:dyDescent="0.25">
      <c r="A904" t="s">
        <v>250</v>
      </c>
      <c r="B904" t="s">
        <v>366</v>
      </c>
      <c r="C904" t="s">
        <v>45</v>
      </c>
      <c r="D904" t="s">
        <v>358</v>
      </c>
      <c r="E904" t="s">
        <v>148</v>
      </c>
      <c r="F904" t="s">
        <v>359</v>
      </c>
      <c r="G904" t="s">
        <v>31</v>
      </c>
      <c r="H904" t="s">
        <v>254</v>
      </c>
      <c r="I904" t="s">
        <v>135</v>
      </c>
      <c r="J904" t="s">
        <v>39</v>
      </c>
      <c r="K904" t="s">
        <v>31</v>
      </c>
      <c r="L904">
        <v>0.87</v>
      </c>
      <c r="M904">
        <v>1</v>
      </c>
      <c r="N904" s="2">
        <v>2.5057109938538344</v>
      </c>
      <c r="O904" s="2">
        <v>3.1588853240212438</v>
      </c>
      <c r="P904" s="1">
        <v>-0.53252233435948138</v>
      </c>
      <c r="Q904" s="1">
        <v>0.68284991329288358</v>
      </c>
      <c r="R904" s="1">
        <v>-0.67371772101320504</v>
      </c>
      <c r="S904" s="19">
        <v>5.9297159599325848</v>
      </c>
      <c r="T904" s="19">
        <v>16.241084337346756</v>
      </c>
      <c r="U904" s="19">
        <v>28.825658549379465</v>
      </c>
      <c r="V904" s="19">
        <v>46.605668418231822</v>
      </c>
      <c r="W904" s="19">
        <v>69.458236893814131</v>
      </c>
      <c r="X904" s="19">
        <v>96.408199863288417</v>
      </c>
      <c r="Y904" s="19">
        <v>125.78369606766547</v>
      </c>
      <c r="Z904" s="19">
        <v>155.57093304078822</v>
      </c>
      <c r="AA904" s="19">
        <v>183.83776008824671</v>
      </c>
      <c r="AB904" s="19">
        <v>209.08560057319625</v>
      </c>
      <c r="AC904" s="19">
        <v>230.43870484872031</v>
      </c>
      <c r="AD904" s="19">
        <v>247.65369579601949</v>
      </c>
      <c r="AE904" s="19">
        <v>260.99349235538511</v>
      </c>
      <c r="AF904" s="19">
        <v>271.03730524795583</v>
      </c>
      <c r="AG904" s="19">
        <v>278.49302926442442</v>
      </c>
      <c r="AH904" s="19">
        <v>284.05382590345499</v>
      </c>
      <c r="AI904" s="19">
        <v>288.3129539063209</v>
      </c>
      <c r="AJ904" s="19">
        <v>292.02956431708571</v>
      </c>
      <c r="AK904" s="19">
        <v>295.406484875221</v>
      </c>
      <c r="AL904" s="19">
        <v>297.64017686145081</v>
      </c>
      <c r="AM904" s="19">
        <v>299.90375968058635</v>
      </c>
      <c r="AN904" s="19">
        <v>302.19754681555025</v>
      </c>
      <c r="AO904" s="19">
        <v>304.52185536220657</v>
      </c>
      <c r="AP904" s="19">
        <v>306.87700606944185</v>
      </c>
      <c r="AQ904" s="19">
        <v>309.2633233797315</v>
      </c>
      <c r="AR904" s="19">
        <v>5206.5692784754447</v>
      </c>
    </row>
    <row r="905" spans="1:44" x14ac:dyDescent="0.25">
      <c r="A905" t="s">
        <v>250</v>
      </c>
      <c r="B905" t="s">
        <v>366</v>
      </c>
      <c r="C905" t="s">
        <v>45</v>
      </c>
      <c r="D905" t="s">
        <v>358</v>
      </c>
      <c r="E905" t="s">
        <v>145</v>
      </c>
      <c r="F905" t="s">
        <v>359</v>
      </c>
      <c r="G905" t="s">
        <v>31</v>
      </c>
      <c r="H905" t="s">
        <v>255</v>
      </c>
      <c r="I905" t="s">
        <v>135</v>
      </c>
      <c r="J905" t="s">
        <v>39</v>
      </c>
      <c r="K905" t="s">
        <v>31</v>
      </c>
      <c r="L905">
        <v>0.87</v>
      </c>
      <c r="M905">
        <v>1</v>
      </c>
      <c r="N905" s="2">
        <v>2.5057109938538344</v>
      </c>
      <c r="O905" s="2">
        <v>3.1588853240212438</v>
      </c>
      <c r="P905" s="1">
        <v>-0.53252233435948138</v>
      </c>
      <c r="Q905" s="1">
        <v>0.68284991329288358</v>
      </c>
      <c r="R905" s="1">
        <v>-0.67371772101320504</v>
      </c>
      <c r="S905" s="19">
        <v>7.6764482942467778</v>
      </c>
      <c r="T905" s="19">
        <v>14.929834676497176</v>
      </c>
      <c r="U905" s="19">
        <v>26.083467282192185</v>
      </c>
      <c r="V905" s="19">
        <v>41.509688827465254</v>
      </c>
      <c r="W905" s="19">
        <v>60.888859441179605</v>
      </c>
      <c r="X905" s="19">
        <v>83.17833986452591</v>
      </c>
      <c r="Y905" s="19">
        <v>106.80259632239816</v>
      </c>
      <c r="Z905" s="19">
        <v>129.99487871849968</v>
      </c>
      <c r="AA905" s="19">
        <v>151.16530740709354</v>
      </c>
      <c r="AB905" s="19">
        <v>169.17672389990568</v>
      </c>
      <c r="AC905" s="19">
        <v>183.46388630809889</v>
      </c>
      <c r="AD905" s="19">
        <v>193.99851755675692</v>
      </c>
      <c r="AE905" s="19">
        <v>201.15073487620029</v>
      </c>
      <c r="AF905" s="19">
        <v>205.51306236147445</v>
      </c>
      <c r="AG905" s="19">
        <v>207.74153142839953</v>
      </c>
      <c r="AH905" s="19">
        <v>208.44364736733235</v>
      </c>
      <c r="AI905" s="19">
        <v>208.11900282798703</v>
      </c>
      <c r="AJ905" s="19">
        <v>207.35506961323867</v>
      </c>
      <c r="AK905" s="19">
        <v>206.31413050875457</v>
      </c>
      <c r="AL905" s="19">
        <v>204.45730333417575</v>
      </c>
      <c r="AM905" s="19">
        <v>113.34973860226926</v>
      </c>
      <c r="AN905" s="19">
        <v>0</v>
      </c>
      <c r="AO905" s="19">
        <v>0</v>
      </c>
      <c r="AP905" s="19">
        <v>0</v>
      </c>
      <c r="AQ905" s="19">
        <v>0</v>
      </c>
      <c r="AR905" s="19">
        <v>2931.3127695186922</v>
      </c>
    </row>
    <row r="906" spans="1:44" x14ac:dyDescent="0.25">
      <c r="A906" t="s">
        <v>250</v>
      </c>
      <c r="B906" t="s">
        <v>366</v>
      </c>
      <c r="C906" t="s">
        <v>45</v>
      </c>
      <c r="D906" t="s">
        <v>358</v>
      </c>
      <c r="E906" t="s">
        <v>148</v>
      </c>
      <c r="F906" t="s">
        <v>359</v>
      </c>
      <c r="G906" t="s">
        <v>31</v>
      </c>
      <c r="H906" t="s">
        <v>255</v>
      </c>
      <c r="I906" t="s">
        <v>135</v>
      </c>
      <c r="J906" t="s">
        <v>39</v>
      </c>
      <c r="K906" t="s">
        <v>31</v>
      </c>
      <c r="L906">
        <v>0.87</v>
      </c>
      <c r="M906">
        <v>1</v>
      </c>
      <c r="N906" s="2">
        <v>2.5057109938538344</v>
      </c>
      <c r="O906" s="2">
        <v>3.1588853240212438</v>
      </c>
      <c r="P906" s="1">
        <v>-0.53252233435948138</v>
      </c>
      <c r="Q906" s="1">
        <v>0.68284991329288358</v>
      </c>
      <c r="R906" s="1">
        <v>-0.67371772101320504</v>
      </c>
      <c r="S906" s="19">
        <v>1.3059365934928358</v>
      </c>
      <c r="T906" s="19">
        <v>4.5967997145979735</v>
      </c>
      <c r="U906" s="19">
        <v>8.1222665110621008</v>
      </c>
      <c r="V906" s="19">
        <v>13.0742353799996</v>
      </c>
      <c r="W906" s="19">
        <v>19.400058133508413</v>
      </c>
      <c r="X906" s="19">
        <v>26.811255493092897</v>
      </c>
      <c r="Y906" s="19">
        <v>34.831616761801378</v>
      </c>
      <c r="Z906" s="19">
        <v>42.898890124325135</v>
      </c>
      <c r="AA906" s="19">
        <v>50.482732928630185</v>
      </c>
      <c r="AB906" s="19">
        <v>57.180114121687787</v>
      </c>
      <c r="AC906" s="19">
        <v>62.764096578208907</v>
      </c>
      <c r="AD906" s="19">
        <v>67.182757373499669</v>
      </c>
      <c r="AE906" s="19">
        <v>70.521576628344548</v>
      </c>
      <c r="AF906" s="19">
        <v>72.949591959280767</v>
      </c>
      <c r="AG906" s="19">
        <v>74.667513525536435</v>
      </c>
      <c r="AH906" s="19">
        <v>75.868871786631786</v>
      </c>
      <c r="AI906" s="19">
        <v>76.717557975252134</v>
      </c>
      <c r="AJ906" s="19">
        <v>77.418904174035873</v>
      </c>
      <c r="AK906" s="19">
        <v>78.028219968922727</v>
      </c>
      <c r="AL906" s="19">
        <v>78.335122392349049</v>
      </c>
      <c r="AM906" s="19">
        <v>78.650579689762978</v>
      </c>
      <c r="AN906" s="19">
        <v>78.974641779631966</v>
      </c>
      <c r="AO906" s="19">
        <v>79.307359554392747</v>
      </c>
      <c r="AP906" s="19">
        <v>79.648784887644439</v>
      </c>
      <c r="AQ906" s="19">
        <v>79.998970641460559</v>
      </c>
      <c r="AR906" s="19">
        <v>1389.738454677153</v>
      </c>
    </row>
    <row r="907" spans="1:44" x14ac:dyDescent="0.25">
      <c r="A907" t="s">
        <v>250</v>
      </c>
      <c r="B907" t="s">
        <v>367</v>
      </c>
      <c r="C907" t="s">
        <v>45</v>
      </c>
      <c r="D907" t="s">
        <v>358</v>
      </c>
      <c r="E907" t="s">
        <v>145</v>
      </c>
      <c r="F907" t="s">
        <v>368</v>
      </c>
      <c r="G907" t="s">
        <v>31</v>
      </c>
      <c r="H907" t="s">
        <v>288</v>
      </c>
      <c r="I907" t="s">
        <v>135</v>
      </c>
      <c r="J907" t="s">
        <v>39</v>
      </c>
      <c r="K907" t="s">
        <v>31</v>
      </c>
      <c r="L907">
        <v>0.60808625336927302</v>
      </c>
      <c r="M907">
        <v>1</v>
      </c>
      <c r="N907" s="2">
        <v>4.3950725886364177</v>
      </c>
      <c r="O907" s="2">
        <v>3.1585068309872635</v>
      </c>
      <c r="P907" s="1">
        <v>-0.82611371143425327</v>
      </c>
      <c r="Q907" s="1">
        <v>0.38925853621811146</v>
      </c>
      <c r="R907" s="1">
        <v>-0.67371772101320526</v>
      </c>
      <c r="S907" s="19">
        <v>0</v>
      </c>
      <c r="T907" s="19">
        <v>0</v>
      </c>
      <c r="U907" s="19">
        <v>5.742183480492459</v>
      </c>
      <c r="V907" s="19">
        <v>10.772449563469245</v>
      </c>
      <c r="W907" s="19">
        <v>18.3785368710382</v>
      </c>
      <c r="X907" s="19">
        <v>29.23040940178057</v>
      </c>
      <c r="Y907" s="19">
        <v>43.934734968313357</v>
      </c>
      <c r="Z907" s="19">
        <v>62.921199640006854</v>
      </c>
      <c r="AA907" s="19">
        <v>86.30750163468943</v>
      </c>
      <c r="AB907" s="19">
        <v>113.76577994775629</v>
      </c>
      <c r="AC907" s="19">
        <v>144.42808995368384</v>
      </c>
      <c r="AD907" s="19">
        <v>176.87786059634166</v>
      </c>
      <c r="AE907" s="19">
        <v>209.26850332451625</v>
      </c>
      <c r="AF907" s="19">
        <v>239.58145123179591</v>
      </c>
      <c r="AG907" s="19">
        <v>265.98493770516421</v>
      </c>
      <c r="AH907" s="19">
        <v>287.1987710267635</v>
      </c>
      <c r="AI907" s="19">
        <v>302.74055097179826</v>
      </c>
      <c r="AJ907" s="19">
        <v>313.81443031037463</v>
      </c>
      <c r="AK907" s="19">
        <v>319.39117424901536</v>
      </c>
      <c r="AL907" s="19">
        <v>323.63190686057476</v>
      </c>
      <c r="AM907" s="19">
        <v>323.95683849396886</v>
      </c>
      <c r="AN907" s="19">
        <v>322.98496797848696</v>
      </c>
      <c r="AO907" s="19">
        <v>322.01601307455144</v>
      </c>
      <c r="AP907" s="19">
        <v>321.04996503532777</v>
      </c>
      <c r="AQ907" s="19">
        <v>0</v>
      </c>
      <c r="AR907" s="19">
        <v>4243.9782563199096</v>
      </c>
    </row>
    <row r="908" spans="1:44" x14ac:dyDescent="0.25">
      <c r="A908" t="s">
        <v>250</v>
      </c>
      <c r="B908" t="s">
        <v>367</v>
      </c>
      <c r="C908" t="s">
        <v>45</v>
      </c>
      <c r="D908" t="s">
        <v>358</v>
      </c>
      <c r="E908" t="s">
        <v>148</v>
      </c>
      <c r="F908" t="s">
        <v>368</v>
      </c>
      <c r="G908" t="s">
        <v>31</v>
      </c>
      <c r="H908" t="s">
        <v>288</v>
      </c>
      <c r="I908" t="s">
        <v>135</v>
      </c>
      <c r="J908" t="s">
        <v>39</v>
      </c>
      <c r="K908" t="s">
        <v>31</v>
      </c>
      <c r="L908">
        <v>0.60808625336927302</v>
      </c>
      <c r="M908">
        <v>1</v>
      </c>
      <c r="N908" s="2">
        <v>4.3950725886364177</v>
      </c>
      <c r="O908" s="2">
        <v>3.1585068309872635</v>
      </c>
      <c r="P908" s="1">
        <v>-0.82611371143425327</v>
      </c>
      <c r="Q908" s="1">
        <v>0.38925853621811146</v>
      </c>
      <c r="R908" s="1">
        <v>-0.67371772101320526</v>
      </c>
      <c r="S908" s="19">
        <v>0</v>
      </c>
      <c r="T908" s="19">
        <v>0</v>
      </c>
      <c r="U908" s="19">
        <v>1.5035509691005122</v>
      </c>
      <c r="V908" s="19">
        <v>2.8525876562085566</v>
      </c>
      <c r="W908" s="19">
        <v>4.9219031478568027</v>
      </c>
      <c r="X908" s="19">
        <v>7.9171463014919325</v>
      </c>
      <c r="Y908" s="19">
        <v>12.035589027949143</v>
      </c>
      <c r="Z908" s="19">
        <v>17.433946354526135</v>
      </c>
      <c r="AA908" s="19">
        <v>24.188019842203357</v>
      </c>
      <c r="AB908" s="19">
        <v>32.250024524946369</v>
      </c>
      <c r="AC908" s="19">
        <v>41.414283299343104</v>
      </c>
      <c r="AD908" s="19">
        <v>51.305671346711087</v>
      </c>
      <c r="AE908" s="19">
        <v>61.404811066464205</v>
      </c>
      <c r="AF908" s="19">
        <v>71.116676964059991</v>
      </c>
      <c r="AG908" s="19">
        <v>79.874476360177155</v>
      </c>
      <c r="AH908" s="19">
        <v>87.252753209360463</v>
      </c>
      <c r="AI908" s="19">
        <v>93.051952924020142</v>
      </c>
      <c r="AJ908" s="19">
        <v>97.588529149873239</v>
      </c>
      <c r="AK908" s="19">
        <v>100.49217798470904</v>
      </c>
      <c r="AL908" s="19">
        <v>103.02830825849269</v>
      </c>
      <c r="AM908" s="19">
        <v>104.35194919675496</v>
      </c>
      <c r="AN908" s="19">
        <v>105.27277590285188</v>
      </c>
      <c r="AO908" s="19">
        <v>106.20467727402854</v>
      </c>
      <c r="AP908" s="19">
        <v>107.14777526036607</v>
      </c>
      <c r="AQ908" s="19">
        <v>0</v>
      </c>
      <c r="AR908" s="19">
        <v>1312.6095860214953</v>
      </c>
    </row>
    <row r="909" spans="1:44" x14ac:dyDescent="0.25">
      <c r="A909" t="s">
        <v>250</v>
      </c>
      <c r="B909" t="s">
        <v>367</v>
      </c>
      <c r="C909" t="s">
        <v>45</v>
      </c>
      <c r="D909" t="s">
        <v>358</v>
      </c>
      <c r="E909" t="s">
        <v>145</v>
      </c>
      <c r="F909" t="s">
        <v>368</v>
      </c>
      <c r="G909" t="s">
        <v>31</v>
      </c>
      <c r="H909" t="s">
        <v>289</v>
      </c>
      <c r="I909" t="s">
        <v>135</v>
      </c>
      <c r="J909" t="s">
        <v>39</v>
      </c>
      <c r="K909" t="s">
        <v>31</v>
      </c>
      <c r="L909">
        <v>0.60808625336927302</v>
      </c>
      <c r="M909">
        <v>1</v>
      </c>
      <c r="N909" s="2">
        <v>4.3950725886364177</v>
      </c>
      <c r="O909" s="2">
        <v>3.1585068309872635</v>
      </c>
      <c r="P909" s="1">
        <v>-0.82611371143425327</v>
      </c>
      <c r="Q909" s="1">
        <v>0.38925853621811146</v>
      </c>
      <c r="R909" s="1">
        <v>-0.67371772101320526</v>
      </c>
      <c r="S909" s="19">
        <v>0</v>
      </c>
      <c r="T909" s="19">
        <v>0</v>
      </c>
      <c r="U909" s="19">
        <v>5.4576964849683778</v>
      </c>
      <c r="V909" s="19">
        <v>10.238746343926136</v>
      </c>
      <c r="W909" s="19">
        <v>17.468002619680242</v>
      </c>
      <c r="X909" s="19">
        <v>27.782237051157896</v>
      </c>
      <c r="Y909" s="19">
        <v>41.758061096302157</v>
      </c>
      <c r="Z909" s="19">
        <v>59.803872737937645</v>
      </c>
      <c r="AA909" s="19">
        <v>82.031539030105975</v>
      </c>
      <c r="AB909" s="19">
        <v>108.12944230011024</v>
      </c>
      <c r="AC909" s="19">
        <v>137.27263880521556</v>
      </c>
      <c r="AD909" s="19">
        <v>168.11473916235619</v>
      </c>
      <c r="AE909" s="19">
        <v>198.90064099986839</v>
      </c>
      <c r="AF909" s="19">
        <v>227.71178397442225</v>
      </c>
      <c r="AG909" s="19">
        <v>252.80715332410631</v>
      </c>
      <c r="AH909" s="19">
        <v>272.96998231508576</v>
      </c>
      <c r="AI909" s="19">
        <v>287.74177044486777</v>
      </c>
      <c r="AJ909" s="19">
        <v>298.26701272359929</v>
      </c>
      <c r="AK909" s="19">
        <v>303.56746609554153</v>
      </c>
      <c r="AL909" s="19">
        <v>307.59809861476117</v>
      </c>
      <c r="AM909" s="19">
        <v>307.90693204710527</v>
      </c>
      <c r="AN909" s="19">
        <v>306.98321125096396</v>
      </c>
      <c r="AO909" s="19">
        <v>306.06226161721111</v>
      </c>
      <c r="AP909" s="19">
        <v>305.14407483235942</v>
      </c>
      <c r="AQ909" s="19">
        <v>0</v>
      </c>
      <c r="AR909" s="19">
        <v>4033.7173638716527</v>
      </c>
    </row>
    <row r="910" spans="1:44" x14ac:dyDescent="0.25">
      <c r="A910" t="s">
        <v>250</v>
      </c>
      <c r="B910" t="s">
        <v>367</v>
      </c>
      <c r="C910" t="s">
        <v>45</v>
      </c>
      <c r="D910" t="s">
        <v>358</v>
      </c>
      <c r="E910" t="s">
        <v>148</v>
      </c>
      <c r="F910" t="s">
        <v>368</v>
      </c>
      <c r="G910" t="s">
        <v>31</v>
      </c>
      <c r="H910" t="s">
        <v>289</v>
      </c>
      <c r="I910" t="s">
        <v>135</v>
      </c>
      <c r="J910" t="s">
        <v>39</v>
      </c>
      <c r="K910" t="s">
        <v>31</v>
      </c>
      <c r="L910">
        <v>0.60808625336927302</v>
      </c>
      <c r="M910">
        <v>1</v>
      </c>
      <c r="N910" s="2">
        <v>4.3950725886364177</v>
      </c>
      <c r="O910" s="2">
        <v>3.1585068309872635</v>
      </c>
      <c r="P910" s="1">
        <v>-0.82611371143425327</v>
      </c>
      <c r="Q910" s="1">
        <v>0.38925853621811146</v>
      </c>
      <c r="R910" s="1">
        <v>-0.67371772101320526</v>
      </c>
      <c r="S910" s="19">
        <v>0</v>
      </c>
      <c r="T910" s="19">
        <v>0</v>
      </c>
      <c r="U910" s="19">
        <v>1.4290600199224224</v>
      </c>
      <c r="V910" s="19">
        <v>2.7112609127248541</v>
      </c>
      <c r="W910" s="19">
        <v>4.6780555864628957</v>
      </c>
      <c r="X910" s="19">
        <v>7.5249043656347379</v>
      </c>
      <c r="Y910" s="19">
        <v>11.439305650109278</v>
      </c>
      <c r="Z910" s="19">
        <v>16.570210280021332</v>
      </c>
      <c r="AA910" s="19">
        <v>22.989664353222174</v>
      </c>
      <c r="AB910" s="19">
        <v>30.652250330887895</v>
      </c>
      <c r="AC910" s="19">
        <v>39.362481041954744</v>
      </c>
      <c r="AD910" s="19">
        <v>48.76381660724531</v>
      </c>
      <c r="AE910" s="19">
        <v>58.362611131480058</v>
      </c>
      <c r="AF910" s="19">
        <v>67.59331867537135</v>
      </c>
      <c r="AG910" s="19">
        <v>75.917227366660399</v>
      </c>
      <c r="AH910" s="19">
        <v>82.929959676889865</v>
      </c>
      <c r="AI910" s="19">
        <v>88.441847620881376</v>
      </c>
      <c r="AJ910" s="19">
        <v>92.753666671206759</v>
      </c>
      <c r="AK910" s="19">
        <v>95.513459020805755</v>
      </c>
      <c r="AL910" s="19">
        <v>97.923940909388747</v>
      </c>
      <c r="AM910" s="19">
        <v>99.18200424377352</v>
      </c>
      <c r="AN910" s="19">
        <v>100.05721011174973</v>
      </c>
      <c r="AO910" s="19">
        <v>100.94294196882008</v>
      </c>
      <c r="AP910" s="19">
        <v>101.83931572324644</v>
      </c>
      <c r="AQ910" s="19">
        <v>0</v>
      </c>
      <c r="AR910" s="19">
        <v>1247.5785122684599</v>
      </c>
    </row>
    <row r="911" spans="1:44" x14ac:dyDescent="0.25">
      <c r="A911" t="s">
        <v>250</v>
      </c>
      <c r="B911" t="s">
        <v>367</v>
      </c>
      <c r="C911" t="s">
        <v>45</v>
      </c>
      <c r="D911" t="s">
        <v>358</v>
      </c>
      <c r="E911" t="s">
        <v>145</v>
      </c>
      <c r="F911" t="s">
        <v>368</v>
      </c>
      <c r="G911" t="s">
        <v>31</v>
      </c>
      <c r="H911" t="s">
        <v>290</v>
      </c>
      <c r="I911" t="s">
        <v>135</v>
      </c>
      <c r="J911" t="s">
        <v>39</v>
      </c>
      <c r="K911" t="s">
        <v>31</v>
      </c>
      <c r="L911">
        <v>0.60808625336927302</v>
      </c>
      <c r="M911">
        <v>1</v>
      </c>
      <c r="N911" s="2">
        <v>4.3950725886364177</v>
      </c>
      <c r="O911" s="2">
        <v>3.1585068309872635</v>
      </c>
      <c r="P911" s="1">
        <v>-0.82611371143425327</v>
      </c>
      <c r="Q911" s="1">
        <v>0.38925853621811146</v>
      </c>
      <c r="R911" s="1">
        <v>-0.67371772101320526</v>
      </c>
      <c r="S911" s="19">
        <v>0</v>
      </c>
      <c r="T911" s="19">
        <v>0</v>
      </c>
      <c r="U911" s="19">
        <v>7.9031162322717394</v>
      </c>
      <c r="V911" s="19">
        <v>14.826402063885451</v>
      </c>
      <c r="W911" s="19">
        <v>25.29485753361018</v>
      </c>
      <c r="X911" s="19">
        <v>40.230571489740782</v>
      </c>
      <c r="Y911" s="19">
        <v>60.468516596208765</v>
      </c>
      <c r="Z911" s="19">
        <v>86.600080948005825</v>
      </c>
      <c r="AA911" s="19">
        <v>118.787255658615</v>
      </c>
      <c r="AB911" s="19">
        <v>156.57879711378689</v>
      </c>
      <c r="AC911" s="19">
        <v>198.78013058737548</v>
      </c>
      <c r="AD911" s="19">
        <v>243.44159255053268</v>
      </c>
      <c r="AE911" s="19">
        <v>288.021675229604</v>
      </c>
      <c r="AF911" s="19">
        <v>329.74217257488976</v>
      </c>
      <c r="AG911" s="19">
        <v>366.08197663115953</v>
      </c>
      <c r="AH911" s="19">
        <v>395.27912629421058</v>
      </c>
      <c r="AI911" s="19">
        <v>416.66968160810416</v>
      </c>
      <c r="AJ911" s="19">
        <v>431.9109492987381</v>
      </c>
      <c r="AK911" s="19">
        <v>439.58636679356766</v>
      </c>
      <c r="AL911" s="19">
        <v>445.42299720654518</v>
      </c>
      <c r="AM911" s="19">
        <v>445.87020905113008</v>
      </c>
      <c r="AN911" s="19">
        <v>444.53259842397671</v>
      </c>
      <c r="AO911" s="19">
        <v>443.19900062870482</v>
      </c>
      <c r="AP911" s="19">
        <v>441.86940362681878</v>
      </c>
      <c r="AQ911" s="19">
        <v>0</v>
      </c>
      <c r="AR911" s="19">
        <v>5841.0974781414825</v>
      </c>
    </row>
    <row r="912" spans="1:44" x14ac:dyDescent="0.25">
      <c r="A912" t="s">
        <v>250</v>
      </c>
      <c r="B912" t="s">
        <v>367</v>
      </c>
      <c r="C912" t="s">
        <v>45</v>
      </c>
      <c r="D912" t="s">
        <v>358</v>
      </c>
      <c r="E912" t="s">
        <v>148</v>
      </c>
      <c r="F912" t="s">
        <v>368</v>
      </c>
      <c r="G912" t="s">
        <v>31</v>
      </c>
      <c r="H912" t="s">
        <v>290</v>
      </c>
      <c r="I912" t="s">
        <v>135</v>
      </c>
      <c r="J912" t="s">
        <v>39</v>
      </c>
      <c r="K912" t="s">
        <v>31</v>
      </c>
      <c r="L912">
        <v>0.60808625336927302</v>
      </c>
      <c r="M912">
        <v>1</v>
      </c>
      <c r="N912" s="2">
        <v>4.3950725886364177</v>
      </c>
      <c r="O912" s="2">
        <v>3.1585068309872635</v>
      </c>
      <c r="P912" s="1">
        <v>-0.82611371143425327</v>
      </c>
      <c r="Q912" s="1">
        <v>0.38925853621811146</v>
      </c>
      <c r="R912" s="1">
        <v>-0.67371772101320526</v>
      </c>
      <c r="S912" s="19">
        <v>0</v>
      </c>
      <c r="T912" s="19">
        <v>0</v>
      </c>
      <c r="U912" s="19">
        <v>2.0693762416883068</v>
      </c>
      <c r="V912" s="19">
        <v>3.926090464776717</v>
      </c>
      <c r="W912" s="19">
        <v>6.7741431101328367</v>
      </c>
      <c r="X912" s="19">
        <v>10.896574040372879</v>
      </c>
      <c r="Y912" s="19">
        <v>16.564893708965432</v>
      </c>
      <c r="Z912" s="19">
        <v>23.994793077422603</v>
      </c>
      <c r="AA912" s="19">
        <v>33.290599802469657</v>
      </c>
      <c r="AB912" s="19">
        <v>44.386546194516178</v>
      </c>
      <c r="AC912" s="19">
        <v>56.999553515289456</v>
      </c>
      <c r="AD912" s="19">
        <v>70.613327735918475</v>
      </c>
      <c r="AE912" s="19">
        <v>84.5130359779683</v>
      </c>
      <c r="AF912" s="19">
        <v>97.879729202189836</v>
      </c>
      <c r="AG912" s="19">
        <v>109.93331592604858</v>
      </c>
      <c r="AH912" s="19">
        <v>120.08822994631323</v>
      </c>
      <c r="AI912" s="19">
        <v>128.06981910221657</v>
      </c>
      <c r="AJ912" s="19">
        <v>134.31362676376006</v>
      </c>
      <c r="AK912" s="19">
        <v>138.30999405459286</v>
      </c>
      <c r="AL912" s="19">
        <v>141.80053600644578</v>
      </c>
      <c r="AM912" s="19">
        <v>143.62229740094253</v>
      </c>
      <c r="AN912" s="19">
        <v>144.88965510777746</v>
      </c>
      <c r="AO912" s="19">
        <v>146.17225516374083</v>
      </c>
      <c r="AP912" s="19">
        <v>147.47026541189274</v>
      </c>
      <c r="AQ912" s="19">
        <v>0</v>
      </c>
      <c r="AR912" s="19">
        <v>1806.5786579554417</v>
      </c>
    </row>
    <row r="913" spans="1:44" x14ac:dyDescent="0.25">
      <c r="A913" t="s">
        <v>250</v>
      </c>
      <c r="B913" t="s">
        <v>367</v>
      </c>
      <c r="C913" t="s">
        <v>45</v>
      </c>
      <c r="D913" t="s">
        <v>358</v>
      </c>
      <c r="E913" t="s">
        <v>145</v>
      </c>
      <c r="F913" t="s">
        <v>368</v>
      </c>
      <c r="G913" t="s">
        <v>31</v>
      </c>
      <c r="H913" t="s">
        <v>288</v>
      </c>
      <c r="I913" t="s">
        <v>135</v>
      </c>
      <c r="J913" t="s">
        <v>39</v>
      </c>
      <c r="K913" t="s">
        <v>33</v>
      </c>
      <c r="L913">
        <v>0.60808625336927302</v>
      </c>
      <c r="M913">
        <v>1</v>
      </c>
      <c r="N913" s="2">
        <v>4.3950725886364177</v>
      </c>
      <c r="O913" s="2">
        <v>3.1585068309872635</v>
      </c>
      <c r="P913" s="1">
        <v>-0.82611371143425327</v>
      </c>
      <c r="Q913" s="1">
        <v>0.38925853621811146</v>
      </c>
      <c r="R913" s="1">
        <v>-0.67371772101320526</v>
      </c>
      <c r="S913" s="19">
        <v>0</v>
      </c>
      <c r="T913" s="19">
        <v>0</v>
      </c>
      <c r="U913" s="19">
        <v>5.4017371023231897E-2</v>
      </c>
      <c r="V913" s="19">
        <v>0.10133765437412771</v>
      </c>
      <c r="W913" s="19">
        <v>0.17288898001947456</v>
      </c>
      <c r="X913" s="19">
        <v>0.27497377525134975</v>
      </c>
      <c r="Y913" s="19">
        <v>0.41329903296423581</v>
      </c>
      <c r="Z913" s="19">
        <v>0.59190685872852067</v>
      </c>
      <c r="AA913" s="19">
        <v>0.81190445302339653</v>
      </c>
      <c r="AB913" s="19">
        <v>1.0702075902071793</v>
      </c>
      <c r="AC913" s="19">
        <v>1.3586514167840162</v>
      </c>
      <c r="AD913" s="19">
        <v>1.6639100882246052</v>
      </c>
      <c r="AE913" s="19">
        <v>1.9686125366700007</v>
      </c>
      <c r="AF913" s="19">
        <v>2.2537698743757955</v>
      </c>
      <c r="AG913" s="19">
        <v>2.5021504651361082</v>
      </c>
      <c r="AH913" s="19">
        <v>2.7017114003188256</v>
      </c>
      <c r="AI913" s="19">
        <v>2.8479146863169889</v>
      </c>
      <c r="AJ913" s="19">
        <v>2.9520879247602654</v>
      </c>
      <c r="AK913" s="19">
        <v>3.004548987256527</v>
      </c>
      <c r="AL913" s="19">
        <v>3.0444420397281404</v>
      </c>
      <c r="AM913" s="19">
        <v>3.0474987084427267</v>
      </c>
      <c r="AN913" s="19">
        <v>3.0383562123173991</v>
      </c>
      <c r="AO913" s="19">
        <v>3.0292411436804461</v>
      </c>
      <c r="AP913" s="19">
        <v>3.0201534202494056</v>
      </c>
      <c r="AQ913" s="19">
        <v>0</v>
      </c>
      <c r="AR913" s="19">
        <v>39.923584619852768</v>
      </c>
    </row>
    <row r="914" spans="1:44" x14ac:dyDescent="0.25">
      <c r="A914" t="s">
        <v>250</v>
      </c>
      <c r="B914" t="s">
        <v>367</v>
      </c>
      <c r="C914" t="s">
        <v>45</v>
      </c>
      <c r="D914" t="s">
        <v>358</v>
      </c>
      <c r="E914" t="s">
        <v>148</v>
      </c>
      <c r="F914" t="s">
        <v>368</v>
      </c>
      <c r="G914" t="s">
        <v>31</v>
      </c>
      <c r="H914" t="s">
        <v>288</v>
      </c>
      <c r="I914" t="s">
        <v>135</v>
      </c>
      <c r="J914" t="s">
        <v>39</v>
      </c>
      <c r="K914" t="s">
        <v>33</v>
      </c>
      <c r="L914">
        <v>0.60808625336927302</v>
      </c>
      <c r="M914">
        <v>1</v>
      </c>
      <c r="N914" s="2">
        <v>4.3950725886364177</v>
      </c>
      <c r="O914" s="2">
        <v>3.1585068309872635</v>
      </c>
      <c r="P914" s="1">
        <v>-0.82611371143425327</v>
      </c>
      <c r="Q914" s="1">
        <v>0.38925853621811146</v>
      </c>
      <c r="R914" s="1">
        <v>-0.67371772101320526</v>
      </c>
      <c r="S914" s="19">
        <v>0</v>
      </c>
      <c r="T914" s="19">
        <v>0</v>
      </c>
      <c r="U914" s="19">
        <v>1.4144074431992448E-2</v>
      </c>
      <c r="V914" s="19">
        <v>2.68346154951658E-2</v>
      </c>
      <c r="W914" s="19">
        <v>4.6300900934533464E-2</v>
      </c>
      <c r="X914" s="19">
        <v>7.4477492867612988E-2</v>
      </c>
      <c r="Y914" s="19">
        <v>0.11322015052540614</v>
      </c>
      <c r="Z914" s="19">
        <v>0.16400310993733613</v>
      </c>
      <c r="AA914" s="19">
        <v>0.22753944498157053</v>
      </c>
      <c r="AB914" s="19">
        <v>0.30337963706498877</v>
      </c>
      <c r="AC914" s="19">
        <v>0.38958885835706131</v>
      </c>
      <c r="AD914" s="19">
        <v>0.48263826715853758</v>
      </c>
      <c r="AE914" s="19">
        <v>0.57764201949607663</v>
      </c>
      <c r="AF914" s="19">
        <v>0.66900264308124913</v>
      </c>
      <c r="AG914" s="19">
        <v>0.75138825491936612</v>
      </c>
      <c r="AH914" s="19">
        <v>0.82079654175458783</v>
      </c>
      <c r="AI914" s="19">
        <v>0.87535027095685269</v>
      </c>
      <c r="AJ914" s="19">
        <v>0.91802635784953612</v>
      </c>
      <c r="AK914" s="19">
        <v>0.94534131164110491</v>
      </c>
      <c r="AL914" s="19">
        <v>0.96919897666134525</v>
      </c>
      <c r="AM914" s="19">
        <v>0.98165061703585532</v>
      </c>
      <c r="AN914" s="19">
        <v>0.99031293825919342</v>
      </c>
      <c r="AO914" s="19">
        <v>0.99907944011253147</v>
      </c>
      <c r="AP914" s="19">
        <v>1.0079512697941029</v>
      </c>
      <c r="AQ914" s="19">
        <v>0</v>
      </c>
      <c r="AR914" s="19">
        <v>12.347867193316006</v>
      </c>
    </row>
    <row r="915" spans="1:44" x14ac:dyDescent="0.25">
      <c r="A915" t="s">
        <v>250</v>
      </c>
      <c r="B915" t="s">
        <v>369</v>
      </c>
      <c r="C915" t="s">
        <v>45</v>
      </c>
      <c r="D915" t="s">
        <v>358</v>
      </c>
      <c r="E915" t="s">
        <v>145</v>
      </c>
      <c r="F915" t="s">
        <v>368</v>
      </c>
      <c r="G915" t="s">
        <v>31</v>
      </c>
      <c r="H915" t="s">
        <v>278</v>
      </c>
      <c r="I915" t="s">
        <v>135</v>
      </c>
      <c r="J915" t="s">
        <v>39</v>
      </c>
      <c r="K915" t="s">
        <v>31</v>
      </c>
      <c r="L915">
        <v>1.1902964959568747</v>
      </c>
      <c r="M915">
        <v>1</v>
      </c>
      <c r="N915" s="2">
        <v>5.0198246099953074</v>
      </c>
      <c r="O915" s="2">
        <v>3.1588853240212424</v>
      </c>
      <c r="P915" s="1">
        <v>-0.87451879801526411</v>
      </c>
      <c r="Q915" s="1">
        <v>0.34085344963710096</v>
      </c>
      <c r="R915" s="1">
        <v>-0.67371772101320515</v>
      </c>
      <c r="S915" s="19">
        <v>0</v>
      </c>
      <c r="T915" s="19">
        <v>0</v>
      </c>
      <c r="U915" s="19">
        <v>5.206950325289819</v>
      </c>
      <c r="V915" s="19">
        <v>9.7095551896756813</v>
      </c>
      <c r="W915" s="19">
        <v>16.465476193021228</v>
      </c>
      <c r="X915" s="19">
        <v>26.03015509224084</v>
      </c>
      <c r="Y915" s="19">
        <v>38.88914227990152</v>
      </c>
      <c r="Z915" s="19">
        <v>55.359969746157304</v>
      </c>
      <c r="AA915" s="19">
        <v>75.47895717212981</v>
      </c>
      <c r="AB915" s="19">
        <v>98.893441547765079</v>
      </c>
      <c r="AC915" s="19">
        <v>124.79178770225484</v>
      </c>
      <c r="AD915" s="19">
        <v>151.9099816484995</v>
      </c>
      <c r="AE915" s="19">
        <v>178.64678261450482</v>
      </c>
      <c r="AF915" s="19">
        <v>203.29327778344745</v>
      </c>
      <c r="AG915" s="19">
        <v>224.33930343932593</v>
      </c>
      <c r="AH915" s="19">
        <v>240.77389393053059</v>
      </c>
      <c r="AI915" s="19">
        <v>252.27598612933039</v>
      </c>
      <c r="AJ915" s="19">
        <v>259.93018853014593</v>
      </c>
      <c r="AK915" s="19">
        <v>262.9572921840699</v>
      </c>
      <c r="AL915" s="19">
        <v>264.84521821244448</v>
      </c>
      <c r="AM915" s="19">
        <v>263.5156739443097</v>
      </c>
      <c r="AN915" s="19">
        <v>261.144032878811</v>
      </c>
      <c r="AO915" s="19">
        <v>258.79373658290166</v>
      </c>
      <c r="AP915" s="19">
        <v>256.46459295365554</v>
      </c>
      <c r="AQ915" s="19">
        <v>0</v>
      </c>
      <c r="AR915" s="19">
        <v>3529.7153960804121</v>
      </c>
    </row>
    <row r="916" spans="1:44" x14ac:dyDescent="0.25">
      <c r="A916" t="s">
        <v>250</v>
      </c>
      <c r="B916" t="s">
        <v>369</v>
      </c>
      <c r="C916" t="s">
        <v>45</v>
      </c>
      <c r="D916" t="s">
        <v>358</v>
      </c>
      <c r="E916" t="s">
        <v>148</v>
      </c>
      <c r="F916" t="s">
        <v>368</v>
      </c>
      <c r="G916" t="s">
        <v>31</v>
      </c>
      <c r="H916" t="s">
        <v>278</v>
      </c>
      <c r="I916" t="s">
        <v>135</v>
      </c>
      <c r="J916" t="s">
        <v>39</v>
      </c>
      <c r="K916" t="s">
        <v>31</v>
      </c>
      <c r="L916">
        <v>1.1902964959568747</v>
      </c>
      <c r="M916">
        <v>1</v>
      </c>
      <c r="N916" s="2">
        <v>5.0198246099953074</v>
      </c>
      <c r="O916" s="2">
        <v>3.1588853240212424</v>
      </c>
      <c r="P916" s="1">
        <v>-0.87451879801526411</v>
      </c>
      <c r="Q916" s="1">
        <v>0.34085344963710096</v>
      </c>
      <c r="R916" s="1">
        <v>-0.67371772101320515</v>
      </c>
      <c r="S916" s="19">
        <v>0</v>
      </c>
      <c r="T916" s="19">
        <v>0</v>
      </c>
      <c r="U916" s="19">
        <v>1.945703205527715</v>
      </c>
      <c r="V916" s="19">
        <v>3.6698423015184498</v>
      </c>
      <c r="W916" s="19">
        <v>6.2953623688568072</v>
      </c>
      <c r="X916" s="19">
        <v>10.068503023834106</v>
      </c>
      <c r="Y916" s="19">
        <v>15.219536753579284</v>
      </c>
      <c r="Z916" s="19">
        <v>21.92284449515067</v>
      </c>
      <c r="AA916" s="19">
        <v>30.248083521364777</v>
      </c>
      <c r="AB916" s="19">
        <v>40.110044525510339</v>
      </c>
      <c r="AC916" s="19">
        <v>51.230423424204872</v>
      </c>
      <c r="AD916" s="19">
        <v>63.128718105084033</v>
      </c>
      <c r="AE916" s="19">
        <v>75.158280345193589</v>
      </c>
      <c r="AF916" s="19">
        <v>86.593979917146086</v>
      </c>
      <c r="AG916" s="19">
        <v>96.759802579804926</v>
      </c>
      <c r="AH916" s="19">
        <v>105.1636387228928</v>
      </c>
      <c r="AI916" s="19">
        <v>111.59383234775773</v>
      </c>
      <c r="AJ916" s="19">
        <v>116.4582687770646</v>
      </c>
      <c r="AK916" s="19">
        <v>119.34086755788354</v>
      </c>
      <c r="AL916" s="19">
        <v>121.76634776283321</v>
      </c>
      <c r="AM916" s="19">
        <v>122.74769435778336</v>
      </c>
      <c r="AN916" s="19">
        <v>123.2534487275167</v>
      </c>
      <c r="AO916" s="19">
        <v>123.77271177535386</v>
      </c>
      <c r="AP916" s="19">
        <v>124.30556445892316</v>
      </c>
      <c r="AQ916" s="19">
        <v>0</v>
      </c>
      <c r="AR916" s="19">
        <v>1570.7534990547845</v>
      </c>
    </row>
    <row r="917" spans="1:44" x14ac:dyDescent="0.25">
      <c r="A917" t="s">
        <v>250</v>
      </c>
      <c r="B917" t="s">
        <v>370</v>
      </c>
      <c r="C917" t="s">
        <v>45</v>
      </c>
      <c r="D917" t="s">
        <v>358</v>
      </c>
      <c r="E917" t="s">
        <v>145</v>
      </c>
      <c r="F917" t="s">
        <v>368</v>
      </c>
      <c r="G917" t="s">
        <v>31</v>
      </c>
      <c r="H917" t="s">
        <v>272</v>
      </c>
      <c r="I917" t="s">
        <v>135</v>
      </c>
      <c r="J917" t="s">
        <v>39</v>
      </c>
      <c r="K917" t="s">
        <v>31</v>
      </c>
      <c r="L917">
        <v>0.71805929919137568</v>
      </c>
      <c r="M917">
        <v>1</v>
      </c>
      <c r="N917" s="2">
        <v>4.5538628518455466</v>
      </c>
      <c r="O917" s="2">
        <v>3.1588853240212424</v>
      </c>
      <c r="P917" s="1">
        <v>-0.83964188629624992</v>
      </c>
      <c r="Q917" s="1">
        <v>0.37573036135611498</v>
      </c>
      <c r="R917" s="1">
        <v>-0.67371772101320493</v>
      </c>
      <c r="S917" s="19">
        <v>0</v>
      </c>
      <c r="T917" s="19">
        <v>0</v>
      </c>
      <c r="U917" s="19">
        <v>1.1395024238516664</v>
      </c>
      <c r="V917" s="19">
        <v>2.1342983831491651</v>
      </c>
      <c r="W917" s="19">
        <v>3.635415696256123</v>
      </c>
      <c r="X917" s="19">
        <v>5.7727203630912856</v>
      </c>
      <c r="Y917" s="19">
        <v>8.6627565820953194</v>
      </c>
      <c r="Z917" s="19">
        <v>12.38647049664776</v>
      </c>
      <c r="AA917" s="19">
        <v>16.962958579455961</v>
      </c>
      <c r="AB917" s="19">
        <v>22.32375168840538</v>
      </c>
      <c r="AC917" s="19">
        <v>28.294998838062277</v>
      </c>
      <c r="AD917" s="19">
        <v>34.596643577788896</v>
      </c>
      <c r="AE917" s="19">
        <v>40.866442867296442</v>
      </c>
      <c r="AF917" s="19">
        <v>46.710943354505218</v>
      </c>
      <c r="AG917" s="19">
        <v>51.77557956236668</v>
      </c>
      <c r="AH917" s="19">
        <v>55.81526361935228</v>
      </c>
      <c r="AI917" s="19">
        <v>58.741289798427374</v>
      </c>
      <c r="AJ917" s="19">
        <v>60.792257274047891</v>
      </c>
      <c r="AK917" s="19">
        <v>61.77329232580783</v>
      </c>
      <c r="AL917" s="19">
        <v>62.493039428963968</v>
      </c>
      <c r="AM917" s="19">
        <v>62.455393019669394</v>
      </c>
      <c r="AN917" s="19">
        <v>62.168098211778911</v>
      </c>
      <c r="AO917" s="19">
        <v>61.882124960004717</v>
      </c>
      <c r="AP917" s="19">
        <v>61.597467185188698</v>
      </c>
      <c r="AQ917" s="19">
        <v>0</v>
      </c>
      <c r="AR917" s="19">
        <v>822.9807082362131</v>
      </c>
    </row>
    <row r="918" spans="1:44" x14ac:dyDescent="0.25">
      <c r="A918" t="s">
        <v>250</v>
      </c>
      <c r="B918" t="s">
        <v>370</v>
      </c>
      <c r="C918" t="s">
        <v>45</v>
      </c>
      <c r="D918" t="s">
        <v>358</v>
      </c>
      <c r="E918" t="s">
        <v>148</v>
      </c>
      <c r="F918" t="s">
        <v>368</v>
      </c>
      <c r="G918" t="s">
        <v>31</v>
      </c>
      <c r="H918" t="s">
        <v>272</v>
      </c>
      <c r="I918" t="s">
        <v>135</v>
      </c>
      <c r="J918" t="s">
        <v>39</v>
      </c>
      <c r="K918" t="s">
        <v>31</v>
      </c>
      <c r="L918">
        <v>0.71805929919137568</v>
      </c>
      <c r="M918">
        <v>1</v>
      </c>
      <c r="N918" s="2">
        <v>4.5538628518455466</v>
      </c>
      <c r="O918" s="2">
        <v>3.1588853240212424</v>
      </c>
      <c r="P918" s="1">
        <v>-0.83964188629624992</v>
      </c>
      <c r="Q918" s="1">
        <v>0.37573036135611498</v>
      </c>
      <c r="R918" s="1">
        <v>-0.67371772101320493</v>
      </c>
      <c r="S918" s="19">
        <v>0</v>
      </c>
      <c r="T918" s="19">
        <v>0</v>
      </c>
      <c r="U918" s="19">
        <v>0.33220075000548877</v>
      </c>
      <c r="V918" s="19">
        <v>0.62927980228612757</v>
      </c>
      <c r="W918" s="19">
        <v>1.0840963715956502</v>
      </c>
      <c r="X918" s="19">
        <v>1.7411700645719217</v>
      </c>
      <c r="Y918" s="19">
        <v>2.6429271517595159</v>
      </c>
      <c r="Z918" s="19">
        <v>3.8226669550058734</v>
      </c>
      <c r="AA918" s="19">
        <v>5.2957996214900129</v>
      </c>
      <c r="AB918" s="19">
        <v>7.0506518154527749</v>
      </c>
      <c r="AC918" s="19">
        <v>9.0411743066511203</v>
      </c>
      <c r="AD918" s="19">
        <v>11.184665060676537</v>
      </c>
      <c r="AE918" s="19">
        <v>13.367504127178954</v>
      </c>
      <c r="AF918" s="19">
        <v>15.460269632183342</v>
      </c>
      <c r="AG918" s="19">
        <v>17.340380927637746</v>
      </c>
      <c r="AH918" s="19">
        <v>18.916554135958265</v>
      </c>
      <c r="AI918" s="19">
        <v>20.146884269581282</v>
      </c>
      <c r="AJ918" s="19">
        <v>21.101234894903804</v>
      </c>
      <c r="AK918" s="19">
        <v>21.700772890160071</v>
      </c>
      <c r="AL918" s="19">
        <v>22.219815677838792</v>
      </c>
      <c r="AM918" s="19">
        <v>22.476694310626758</v>
      </c>
      <c r="AN918" s="19">
        <v>22.646596406529561</v>
      </c>
      <c r="AO918" s="19">
        <v>22.818781767234142</v>
      </c>
      <c r="AP918" s="19">
        <v>22.993274259510173</v>
      </c>
      <c r="AQ918" s="19">
        <v>0</v>
      </c>
      <c r="AR918" s="19">
        <v>284.01339519883788</v>
      </c>
    </row>
    <row r="919" spans="1:44" x14ac:dyDescent="0.25">
      <c r="A919" t="s">
        <v>250</v>
      </c>
      <c r="B919" t="s">
        <v>370</v>
      </c>
      <c r="C919" t="s">
        <v>45</v>
      </c>
      <c r="D919" t="s">
        <v>358</v>
      </c>
      <c r="E919" t="s">
        <v>145</v>
      </c>
      <c r="F919" t="s">
        <v>368</v>
      </c>
      <c r="G919" t="s">
        <v>31</v>
      </c>
      <c r="H919" t="s">
        <v>273</v>
      </c>
      <c r="I919" t="s">
        <v>135</v>
      </c>
      <c r="J919" t="s">
        <v>39</v>
      </c>
      <c r="K919" t="s">
        <v>31</v>
      </c>
      <c r="L919">
        <v>0.71805929919137568</v>
      </c>
      <c r="M919">
        <v>1</v>
      </c>
      <c r="N919" s="2">
        <v>4.5538628518455466</v>
      </c>
      <c r="O919" s="2">
        <v>3.1588853240212424</v>
      </c>
      <c r="P919" s="1">
        <v>-0.83964188629624992</v>
      </c>
      <c r="Q919" s="1">
        <v>0.37573036135611498</v>
      </c>
      <c r="R919" s="1">
        <v>-0.67371772101320493</v>
      </c>
      <c r="S919" s="19">
        <v>0</v>
      </c>
      <c r="T919" s="19">
        <v>0</v>
      </c>
      <c r="U919" s="19">
        <v>0.34271281484112337</v>
      </c>
      <c r="V919" s="19">
        <v>0.64190421300510114</v>
      </c>
      <c r="W919" s="19">
        <v>1.0933750734555019</v>
      </c>
      <c r="X919" s="19">
        <v>1.7361834459627443</v>
      </c>
      <c r="Y919" s="19">
        <v>2.6053807612785049</v>
      </c>
      <c r="Z919" s="19">
        <v>3.7253121020173192</v>
      </c>
      <c r="AA919" s="19">
        <v>5.1017208573796724</v>
      </c>
      <c r="AB919" s="19">
        <v>6.7140144845743714</v>
      </c>
      <c r="AC919" s="19">
        <v>8.5099061614466063</v>
      </c>
      <c r="AD919" s="19">
        <v>10.405167076803462</v>
      </c>
      <c r="AE919" s="19">
        <v>12.290850264499534</v>
      </c>
      <c r="AF919" s="19">
        <v>14.048622052769446</v>
      </c>
      <c r="AG919" s="19">
        <v>15.571844552880959</v>
      </c>
      <c r="AH919" s="19">
        <v>16.786805982764299</v>
      </c>
      <c r="AI919" s="19">
        <v>17.666827514214916</v>
      </c>
      <c r="AJ919" s="19">
        <v>18.283669411173442</v>
      </c>
      <c r="AK919" s="19">
        <v>18.578722126296256</v>
      </c>
      <c r="AL919" s="19">
        <v>18.795190780099212</v>
      </c>
      <c r="AM919" s="19">
        <v>18.783868376014809</v>
      </c>
      <c r="AN919" s="19">
        <v>18.697462581485141</v>
      </c>
      <c r="AO919" s="19">
        <v>18.611454253610312</v>
      </c>
      <c r="AP919" s="19">
        <v>18.525841564043699</v>
      </c>
      <c r="AQ919" s="19">
        <v>0</v>
      </c>
      <c r="AR919" s="19">
        <v>247.51683645061641</v>
      </c>
    </row>
    <row r="920" spans="1:44" x14ac:dyDescent="0.25">
      <c r="A920" t="s">
        <v>250</v>
      </c>
      <c r="B920" t="s">
        <v>370</v>
      </c>
      <c r="C920" t="s">
        <v>45</v>
      </c>
      <c r="D920" t="s">
        <v>358</v>
      </c>
      <c r="E920" t="s">
        <v>148</v>
      </c>
      <c r="F920" t="s">
        <v>368</v>
      </c>
      <c r="G920" t="s">
        <v>31</v>
      </c>
      <c r="H920" t="s">
        <v>273</v>
      </c>
      <c r="I920" t="s">
        <v>135</v>
      </c>
      <c r="J920" t="s">
        <v>39</v>
      </c>
      <c r="K920" t="s">
        <v>31</v>
      </c>
      <c r="L920">
        <v>0.71805929919137568</v>
      </c>
      <c r="M920">
        <v>1</v>
      </c>
      <c r="N920" s="2">
        <v>4.5538628518455466</v>
      </c>
      <c r="O920" s="2">
        <v>3.1588853240212424</v>
      </c>
      <c r="P920" s="1">
        <v>-0.83964188629624992</v>
      </c>
      <c r="Q920" s="1">
        <v>0.37573036135611498</v>
      </c>
      <c r="R920" s="1">
        <v>-0.67371772101320493</v>
      </c>
      <c r="S920" s="19">
        <v>0</v>
      </c>
      <c r="T920" s="19">
        <v>0</v>
      </c>
      <c r="U920" s="19">
        <v>9.991155064145138E-2</v>
      </c>
      <c r="V920" s="19">
        <v>0.18926002073359419</v>
      </c>
      <c r="W920" s="19">
        <v>0.32604908185518422</v>
      </c>
      <c r="X920" s="19">
        <v>0.52366829719374453</v>
      </c>
      <c r="Y920" s="19">
        <v>0.79487764540064387</v>
      </c>
      <c r="Z920" s="19">
        <v>1.1496921155480804</v>
      </c>
      <c r="AA920" s="19">
        <v>1.5927464102978246</v>
      </c>
      <c r="AB920" s="19">
        <v>2.1205296974892911</v>
      </c>
      <c r="AC920" s="19">
        <v>2.7191923696206275</v>
      </c>
      <c r="AD920" s="19">
        <v>3.3638612483536252</v>
      </c>
      <c r="AE920" s="19">
        <v>4.0203643896962289</v>
      </c>
      <c r="AF920" s="19">
        <v>4.6497773176637747</v>
      </c>
      <c r="AG920" s="19">
        <v>5.2152330997600664</v>
      </c>
      <c r="AH920" s="19">
        <v>5.689277512122862</v>
      </c>
      <c r="AI920" s="19">
        <v>6.059307355370211</v>
      </c>
      <c r="AJ920" s="19">
        <v>6.3463345545262486</v>
      </c>
      <c r="AK920" s="19">
        <v>6.5266495320616666</v>
      </c>
      <c r="AL920" s="19">
        <v>6.6827550488777119</v>
      </c>
      <c r="AM920" s="19">
        <v>6.760012979595964</v>
      </c>
      <c r="AN920" s="19">
        <v>6.8111121473691494</v>
      </c>
      <c r="AO920" s="19">
        <v>6.8628980219809463</v>
      </c>
      <c r="AP920" s="19">
        <v>6.915377781518834</v>
      </c>
      <c r="AQ920" s="19">
        <v>0</v>
      </c>
      <c r="AR920" s="19">
        <v>85.418888177677729</v>
      </c>
    </row>
    <row r="921" spans="1:44" x14ac:dyDescent="0.25">
      <c r="A921" t="s">
        <v>250</v>
      </c>
      <c r="B921" t="s">
        <v>370</v>
      </c>
      <c r="C921" t="s">
        <v>45</v>
      </c>
      <c r="D921" t="s">
        <v>358</v>
      </c>
      <c r="E921" t="s">
        <v>145</v>
      </c>
      <c r="F921" t="s">
        <v>368</v>
      </c>
      <c r="G921" t="s">
        <v>31</v>
      </c>
      <c r="H921" t="s">
        <v>274</v>
      </c>
      <c r="I921" t="s">
        <v>135</v>
      </c>
      <c r="J921" t="s">
        <v>39</v>
      </c>
      <c r="K921" t="s">
        <v>31</v>
      </c>
      <c r="L921">
        <v>0.71805929919137568</v>
      </c>
      <c r="M921">
        <v>1</v>
      </c>
      <c r="N921" s="2">
        <v>4.5538628518455466</v>
      </c>
      <c r="O921" s="2">
        <v>3.1588853240212424</v>
      </c>
      <c r="P921" s="1">
        <v>-0.83964188629624992</v>
      </c>
      <c r="Q921" s="1">
        <v>0.37573036135611498</v>
      </c>
      <c r="R921" s="1">
        <v>-0.67371772101320493</v>
      </c>
      <c r="S921" s="19">
        <v>0</v>
      </c>
      <c r="T921" s="19">
        <v>0</v>
      </c>
      <c r="U921" s="19">
        <v>0.53949134029157586</v>
      </c>
      <c r="V921" s="19">
        <v>1.0104721773344587</v>
      </c>
      <c r="W921" s="19">
        <v>1.7211681567651986</v>
      </c>
      <c r="X921" s="19">
        <v>2.7330636430642601</v>
      </c>
      <c r="Y921" s="19">
        <v>4.1013358649096148</v>
      </c>
      <c r="Z921" s="19">
        <v>5.8643083418209878</v>
      </c>
      <c r="AA921" s="19">
        <v>8.0310221968711311</v>
      </c>
      <c r="AB921" s="19">
        <v>10.569061080191178</v>
      </c>
      <c r="AC921" s="19">
        <v>13.396116170685657</v>
      </c>
      <c r="AD921" s="19">
        <v>16.379596236647341</v>
      </c>
      <c r="AE921" s="19">
        <v>19.347999244183125</v>
      </c>
      <c r="AF921" s="19">
        <v>22.11504680387263</v>
      </c>
      <c r="AG921" s="19">
        <v>24.512871783158577</v>
      </c>
      <c r="AH921" s="19">
        <v>26.42543863746252</v>
      </c>
      <c r="AI921" s="19">
        <v>27.810750113801191</v>
      </c>
      <c r="AJ921" s="19">
        <v>28.781769717758586</v>
      </c>
      <c r="AK921" s="19">
        <v>29.246235526578911</v>
      </c>
      <c r="AL921" s="19">
        <v>29.586995950800016</v>
      </c>
      <c r="AM921" s="19">
        <v>29.569172459263392</v>
      </c>
      <c r="AN921" s="19">
        <v>29.433154265950776</v>
      </c>
      <c r="AO921" s="19">
        <v>29.297761756327407</v>
      </c>
      <c r="AP921" s="19">
        <v>29.162992052248299</v>
      </c>
      <c r="AQ921" s="19">
        <v>0</v>
      </c>
      <c r="AR921" s="19">
        <v>389.63582351998679</v>
      </c>
    </row>
    <row r="922" spans="1:44" x14ac:dyDescent="0.25">
      <c r="A922" t="s">
        <v>250</v>
      </c>
      <c r="B922" t="s">
        <v>370</v>
      </c>
      <c r="C922" t="s">
        <v>45</v>
      </c>
      <c r="D922" t="s">
        <v>358</v>
      </c>
      <c r="E922" t="s">
        <v>148</v>
      </c>
      <c r="F922" t="s">
        <v>368</v>
      </c>
      <c r="G922" t="s">
        <v>31</v>
      </c>
      <c r="H922" t="s">
        <v>274</v>
      </c>
      <c r="I922" t="s">
        <v>135</v>
      </c>
      <c r="J922" t="s">
        <v>39</v>
      </c>
      <c r="K922" t="s">
        <v>31</v>
      </c>
      <c r="L922">
        <v>0.71805929919137568</v>
      </c>
      <c r="M922">
        <v>1</v>
      </c>
      <c r="N922" s="2">
        <v>4.5538628518455466</v>
      </c>
      <c r="O922" s="2">
        <v>3.1588853240212424</v>
      </c>
      <c r="P922" s="1">
        <v>-0.83964188629624992</v>
      </c>
      <c r="Q922" s="1">
        <v>0.37573036135611498</v>
      </c>
      <c r="R922" s="1">
        <v>-0.67371772101320493</v>
      </c>
      <c r="S922" s="19">
        <v>0</v>
      </c>
      <c r="T922" s="19">
        <v>0</v>
      </c>
      <c r="U922" s="19">
        <v>0.15727867191413344</v>
      </c>
      <c r="V922" s="19">
        <v>0.29792916350826038</v>
      </c>
      <c r="W922" s="19">
        <v>0.51325964058985452</v>
      </c>
      <c r="X922" s="19">
        <v>0.82434767329090874</v>
      </c>
      <c r="Y922" s="19">
        <v>1.2512797529435773</v>
      </c>
      <c r="Z922" s="19">
        <v>1.8098212657359665</v>
      </c>
      <c r="AA922" s="19">
        <v>2.5072680635957836</v>
      </c>
      <c r="AB922" s="19">
        <v>3.3380934680161789</v>
      </c>
      <c r="AC922" s="19">
        <v>4.2804957167339168</v>
      </c>
      <c r="AD922" s="19">
        <v>5.2953199729939575</v>
      </c>
      <c r="AE922" s="19">
        <v>6.3287734777681184</v>
      </c>
      <c r="AF922" s="19">
        <v>7.3195821356335138</v>
      </c>
      <c r="AG922" s="19">
        <v>8.2097107930642217</v>
      </c>
      <c r="AH922" s="19">
        <v>8.9559415854605451</v>
      </c>
      <c r="AI922" s="19">
        <v>9.5384348201357447</v>
      </c>
      <c r="AJ922" s="19">
        <v>9.9902670296915961</v>
      </c>
      <c r="AK922" s="19">
        <v>10.274115093413371</v>
      </c>
      <c r="AL922" s="19">
        <v>10.519853130763972</v>
      </c>
      <c r="AM922" s="19">
        <v>10.641470948325519</v>
      </c>
      <c r="AN922" s="19">
        <v>10.721910188750511</v>
      </c>
      <c r="AO922" s="19">
        <v>10.803430428708417</v>
      </c>
      <c r="AP922" s="19">
        <v>10.886042967794287</v>
      </c>
      <c r="AQ922" s="19">
        <v>0</v>
      </c>
      <c r="AR922" s="19">
        <v>134.46462598883235</v>
      </c>
    </row>
    <row r="923" spans="1:44" x14ac:dyDescent="0.25">
      <c r="A923" t="s">
        <v>250</v>
      </c>
      <c r="B923" t="s">
        <v>370</v>
      </c>
      <c r="C923" t="s">
        <v>45</v>
      </c>
      <c r="D923" t="s">
        <v>358</v>
      </c>
      <c r="E923" t="s">
        <v>145</v>
      </c>
      <c r="F923" t="s">
        <v>368</v>
      </c>
      <c r="G923" t="s">
        <v>31</v>
      </c>
      <c r="H923" t="s">
        <v>275</v>
      </c>
      <c r="I923" t="s">
        <v>135</v>
      </c>
      <c r="J923" t="s">
        <v>39</v>
      </c>
      <c r="K923" t="s">
        <v>31</v>
      </c>
      <c r="L923">
        <v>0.71805929919137568</v>
      </c>
      <c r="M923">
        <v>1</v>
      </c>
      <c r="N923" s="2">
        <v>4.5538628518455466</v>
      </c>
      <c r="O923" s="2">
        <v>3.1588853240212424</v>
      </c>
      <c r="P923" s="1">
        <v>-0.83964188629624992</v>
      </c>
      <c r="Q923" s="1">
        <v>0.37573036135611498</v>
      </c>
      <c r="R923" s="1">
        <v>-0.67371772101320493</v>
      </c>
      <c r="S923" s="19">
        <v>0</v>
      </c>
      <c r="T923" s="19">
        <v>0</v>
      </c>
      <c r="U923" s="19">
        <v>0.82417412242182853</v>
      </c>
      <c r="V923" s="19">
        <v>1.5436856123329059</v>
      </c>
      <c r="W923" s="19">
        <v>2.6294069046144135</v>
      </c>
      <c r="X923" s="19">
        <v>4.1752668881173962</v>
      </c>
      <c r="Y923" s="19">
        <v>6.2655591198037861</v>
      </c>
      <c r="Z923" s="19">
        <v>8.9588299575284029</v>
      </c>
      <c r="AA923" s="19">
        <v>12.2688914110821</v>
      </c>
      <c r="AB923" s="19">
        <v>16.14622143124932</v>
      </c>
      <c r="AC923" s="19">
        <v>20.465077869217662</v>
      </c>
      <c r="AD923" s="19">
        <v>25.022902771092909</v>
      </c>
      <c r="AE923" s="19">
        <v>29.557694640797223</v>
      </c>
      <c r="AF923" s="19">
        <v>33.784878330110963</v>
      </c>
      <c r="AG923" s="19">
        <v>37.448005335923632</v>
      </c>
      <c r="AH923" s="19">
        <v>40.369809618948985</v>
      </c>
      <c r="AI923" s="19">
        <v>42.486132505012826</v>
      </c>
      <c r="AJ923" s="19">
        <v>43.969546918140288</v>
      </c>
      <c r="AK923" s="19">
        <v>44.679105481531792</v>
      </c>
      <c r="AL923" s="19">
        <v>45.199680887685169</v>
      </c>
      <c r="AM923" s="19">
        <v>45.172452164258857</v>
      </c>
      <c r="AN923" s="19">
        <v>44.964658884303262</v>
      </c>
      <c r="AO923" s="19">
        <v>44.757821453435469</v>
      </c>
      <c r="AP923" s="19">
        <v>44.551935474749655</v>
      </c>
      <c r="AQ923" s="19">
        <v>0</v>
      </c>
      <c r="AR923" s="19">
        <v>595.24173778235877</v>
      </c>
    </row>
    <row r="924" spans="1:44" x14ac:dyDescent="0.25">
      <c r="A924" t="s">
        <v>250</v>
      </c>
      <c r="B924" t="s">
        <v>370</v>
      </c>
      <c r="C924" t="s">
        <v>45</v>
      </c>
      <c r="D924" t="s">
        <v>358</v>
      </c>
      <c r="E924" t="s">
        <v>148</v>
      </c>
      <c r="F924" t="s">
        <v>368</v>
      </c>
      <c r="G924" t="s">
        <v>31</v>
      </c>
      <c r="H924" t="s">
        <v>275</v>
      </c>
      <c r="I924" t="s">
        <v>135</v>
      </c>
      <c r="J924" t="s">
        <v>39</v>
      </c>
      <c r="K924" t="s">
        <v>31</v>
      </c>
      <c r="L924">
        <v>0.71805929919137568</v>
      </c>
      <c r="M924">
        <v>1</v>
      </c>
      <c r="N924" s="2">
        <v>4.5538628518455466</v>
      </c>
      <c r="O924" s="2">
        <v>3.1588853240212424</v>
      </c>
      <c r="P924" s="1">
        <v>-0.83964188629624992</v>
      </c>
      <c r="Q924" s="1">
        <v>0.37573036135611498</v>
      </c>
      <c r="R924" s="1">
        <v>-0.67371772101320493</v>
      </c>
      <c r="S924" s="19">
        <v>0</v>
      </c>
      <c r="T924" s="19">
        <v>0</v>
      </c>
      <c r="U924" s="19">
        <v>0.24027264521140249</v>
      </c>
      <c r="V924" s="19">
        <v>0.45514262887997903</v>
      </c>
      <c r="W924" s="19">
        <v>0.78410028533369669</v>
      </c>
      <c r="X924" s="19">
        <v>1.2593455528643382</v>
      </c>
      <c r="Y924" s="19">
        <v>1.9115643111696941</v>
      </c>
      <c r="Z924" s="19">
        <v>2.7648411420693817</v>
      </c>
      <c r="AA924" s="19">
        <v>3.8303218266182113</v>
      </c>
      <c r="AB924" s="19">
        <v>5.0995633277029784</v>
      </c>
      <c r="AC924" s="19">
        <v>6.5392593678387394</v>
      </c>
      <c r="AD924" s="19">
        <v>8.0895935963056953</v>
      </c>
      <c r="AE924" s="19">
        <v>9.6683874929799689</v>
      </c>
      <c r="AF924" s="19">
        <v>11.18203339440041</v>
      </c>
      <c r="AG924" s="19">
        <v>12.541871727827465</v>
      </c>
      <c r="AH924" s="19">
        <v>13.681879106101642</v>
      </c>
      <c r="AI924" s="19">
        <v>14.571746680705584</v>
      </c>
      <c r="AJ924" s="19">
        <v>15.262005053697184</v>
      </c>
      <c r="AK924" s="19">
        <v>15.695636163869334</v>
      </c>
      <c r="AL924" s="19">
        <v>16.071047066979638</v>
      </c>
      <c r="AM924" s="19">
        <v>16.256841074360029</v>
      </c>
      <c r="AN924" s="19">
        <v>16.37972708834037</v>
      </c>
      <c r="AO924" s="19">
        <v>16.50426453168625</v>
      </c>
      <c r="AP924" s="19">
        <v>16.63047066664501</v>
      </c>
      <c r="AQ924" s="19">
        <v>0</v>
      </c>
      <c r="AR924" s="19">
        <v>205.41991473158703</v>
      </c>
    </row>
    <row r="925" spans="1:44" x14ac:dyDescent="0.25">
      <c r="A925" t="s">
        <v>250</v>
      </c>
      <c r="B925" t="s">
        <v>370</v>
      </c>
      <c r="C925" t="s">
        <v>45</v>
      </c>
      <c r="D925" t="s">
        <v>358</v>
      </c>
      <c r="E925" t="s">
        <v>145</v>
      </c>
      <c r="F925" t="s">
        <v>368</v>
      </c>
      <c r="G925" t="s">
        <v>31</v>
      </c>
      <c r="H925" t="s">
        <v>274</v>
      </c>
      <c r="I925" t="s">
        <v>135</v>
      </c>
      <c r="J925" t="s">
        <v>39</v>
      </c>
      <c r="K925" t="s">
        <v>33</v>
      </c>
      <c r="L925">
        <v>0.71805929919137568</v>
      </c>
      <c r="M925">
        <v>1</v>
      </c>
      <c r="N925" s="2">
        <v>4.5538628518455466</v>
      </c>
      <c r="O925" s="2">
        <v>3.1588853240212424</v>
      </c>
      <c r="P925" s="1">
        <v>-0.83964188629624992</v>
      </c>
      <c r="Q925" s="1">
        <v>0.37573036135611498</v>
      </c>
      <c r="R925" s="1">
        <v>-0.67371772101320493</v>
      </c>
      <c r="S925" s="19">
        <v>0</v>
      </c>
      <c r="T925" s="19">
        <v>0</v>
      </c>
      <c r="U925" s="19">
        <v>1.7358040130107672E-3</v>
      </c>
      <c r="V925" s="19">
        <v>3.2511766722796999E-3</v>
      </c>
      <c r="W925" s="19">
        <v>5.5378286368131125E-3</v>
      </c>
      <c r="X925" s="19">
        <v>8.7935847809545442E-3</v>
      </c>
      <c r="Y925" s="19">
        <v>1.319597687919785E-2</v>
      </c>
      <c r="Z925" s="19">
        <v>1.8868310189675788E-2</v>
      </c>
      <c r="AA925" s="19">
        <v>2.5839674368773421E-2</v>
      </c>
      <c r="AB925" s="19">
        <v>3.4005770374064756E-2</v>
      </c>
      <c r="AC925" s="19">
        <v>4.3101771003899982E-2</v>
      </c>
      <c r="AD925" s="19">
        <v>5.2701066274209611E-2</v>
      </c>
      <c r="AE925" s="19">
        <v>6.2251851371017762E-2</v>
      </c>
      <c r="AF925" s="19">
        <v>7.1154778813198427E-2</v>
      </c>
      <c r="AG925" s="19">
        <v>7.8869739018662566E-2</v>
      </c>
      <c r="AH925" s="19">
        <v>8.5023389639000399E-2</v>
      </c>
      <c r="AI925" s="19">
        <v>8.9480605242496306E-2</v>
      </c>
      <c r="AJ925" s="19">
        <v>9.260484394547612E-2</v>
      </c>
      <c r="AK925" s="19">
        <v>9.4099254614646202E-2</v>
      </c>
      <c r="AL925" s="19">
        <v>9.5195645358413461E-2</v>
      </c>
      <c r="AM925" s="19">
        <v>9.5138298584101139E-2</v>
      </c>
      <c r="AN925" s="19">
        <v>9.4700662410614284E-2</v>
      </c>
      <c r="AO925" s="19">
        <v>9.4265039363525455E-2</v>
      </c>
      <c r="AP925" s="19">
        <v>9.3831420182453232E-2</v>
      </c>
      <c r="AQ925" s="19">
        <v>0</v>
      </c>
      <c r="AR925" s="19">
        <v>1.2536464917364849</v>
      </c>
    </row>
    <row r="926" spans="1:44" x14ac:dyDescent="0.25">
      <c r="A926" t="s">
        <v>250</v>
      </c>
      <c r="B926" t="s">
        <v>370</v>
      </c>
      <c r="C926" t="s">
        <v>45</v>
      </c>
      <c r="D926" t="s">
        <v>358</v>
      </c>
      <c r="E926" t="s">
        <v>148</v>
      </c>
      <c r="F926" t="s">
        <v>368</v>
      </c>
      <c r="G926" t="s">
        <v>31</v>
      </c>
      <c r="H926" t="s">
        <v>274</v>
      </c>
      <c r="I926" t="s">
        <v>135</v>
      </c>
      <c r="J926" t="s">
        <v>39</v>
      </c>
      <c r="K926" t="s">
        <v>33</v>
      </c>
      <c r="L926">
        <v>0.71805929919137568</v>
      </c>
      <c r="M926">
        <v>1</v>
      </c>
      <c r="N926" s="2">
        <v>4.5538628518455466</v>
      </c>
      <c r="O926" s="2">
        <v>3.1588853240212424</v>
      </c>
      <c r="P926" s="1">
        <v>-0.83964188629624992</v>
      </c>
      <c r="Q926" s="1">
        <v>0.37573036135611498</v>
      </c>
      <c r="R926" s="1">
        <v>-0.67371772101320493</v>
      </c>
      <c r="S926" s="19">
        <v>0</v>
      </c>
      <c r="T926" s="19">
        <v>0</v>
      </c>
      <c r="U926" s="19">
        <v>5.0604139395825755E-4</v>
      </c>
      <c r="V926" s="19">
        <v>9.5858190667357261E-4</v>
      </c>
      <c r="W926" s="19">
        <v>1.6514039750310258E-3</v>
      </c>
      <c r="X926" s="19">
        <v>2.652324314679661E-3</v>
      </c>
      <c r="Y926" s="19">
        <v>4.0259708624511125E-3</v>
      </c>
      <c r="Z926" s="19">
        <v>5.8230684744612514E-3</v>
      </c>
      <c r="AA926" s="19">
        <v>8.0670914275122897E-3</v>
      </c>
      <c r="AB926" s="19">
        <v>1.0740257729541843E-2</v>
      </c>
      <c r="AC926" s="19">
        <v>1.3772420589302612E-2</v>
      </c>
      <c r="AD926" s="19">
        <v>1.7037599999902203E-2</v>
      </c>
      <c r="AE926" s="19">
        <v>2.0362718693888112E-2</v>
      </c>
      <c r="AF926" s="19">
        <v>2.3550628333955884E-2</v>
      </c>
      <c r="AG926" s="19">
        <v>2.6414601822073235E-2</v>
      </c>
      <c r="AH926" s="19">
        <v>2.8815586429858892E-2</v>
      </c>
      <c r="AI926" s="19">
        <v>3.0689748290834207E-2</v>
      </c>
      <c r="AJ926" s="19">
        <v>3.2143510573896396E-2</v>
      </c>
      <c r="AK926" s="19">
        <v>3.3056786786684791E-2</v>
      </c>
      <c r="AL926" s="19">
        <v>3.3847444651835902E-2</v>
      </c>
      <c r="AM926" s="19">
        <v>3.4238747866569448E-2</v>
      </c>
      <c r="AN926" s="19">
        <v>3.449755972489868E-2</v>
      </c>
      <c r="AO926" s="19">
        <v>3.4759849680440782E-2</v>
      </c>
      <c r="AP926" s="19">
        <v>3.5025654089446828E-2</v>
      </c>
      <c r="AQ926" s="19">
        <v>0</v>
      </c>
      <c r="AR926" s="19">
        <v>0.432637597617897</v>
      </c>
    </row>
    <row r="927" spans="1:44" x14ac:dyDescent="0.25">
      <c r="A927" t="s">
        <v>250</v>
      </c>
      <c r="B927" t="s">
        <v>370</v>
      </c>
      <c r="C927" t="s">
        <v>45</v>
      </c>
      <c r="D927" t="s">
        <v>358</v>
      </c>
      <c r="E927" t="s">
        <v>145</v>
      </c>
      <c r="F927" t="s">
        <v>368</v>
      </c>
      <c r="G927" t="s">
        <v>31</v>
      </c>
      <c r="H927" t="s">
        <v>272</v>
      </c>
      <c r="I927" t="s">
        <v>135</v>
      </c>
      <c r="J927" t="s">
        <v>40</v>
      </c>
      <c r="K927" t="s">
        <v>31</v>
      </c>
      <c r="L927">
        <v>0.71805929919137568</v>
      </c>
      <c r="M927">
        <v>1</v>
      </c>
      <c r="N927" s="2">
        <v>4.5538628518455466</v>
      </c>
      <c r="O927" s="2">
        <v>1.9798085216903565</v>
      </c>
      <c r="P927" s="1">
        <v>-0.83964188629624992</v>
      </c>
      <c r="Q927" s="1">
        <v>0.4672931329656026</v>
      </c>
      <c r="R927" s="1">
        <v>-0.53071772101320502</v>
      </c>
      <c r="S927" s="19">
        <v>0</v>
      </c>
      <c r="T927" s="19">
        <v>0</v>
      </c>
      <c r="U927" s="19">
        <v>0.11271484142293614</v>
      </c>
      <c r="V927" s="19">
        <v>0.21111592109891181</v>
      </c>
      <c r="W927" s="19">
        <v>0.3596002036791654</v>
      </c>
      <c r="X927" s="19">
        <v>0.57101349385939437</v>
      </c>
      <c r="Y927" s="19">
        <v>0.85688385912856524</v>
      </c>
      <c r="Z927" s="19">
        <v>1.2252181553948762</v>
      </c>
      <c r="AA927" s="19">
        <v>1.6779053263304886</v>
      </c>
      <c r="AB927" s="19">
        <v>2.208172689109754</v>
      </c>
      <c r="AC927" s="19">
        <v>2.7988236271707234</v>
      </c>
      <c r="AD927" s="19">
        <v>3.4221561209631419</v>
      </c>
      <c r="AE927" s="19">
        <v>4.0423385952414721</v>
      </c>
      <c r="AF927" s="19">
        <v>4.6204522804983323</v>
      </c>
      <c r="AG927" s="19">
        <v>5.121425034118622</v>
      </c>
      <c r="AH927" s="19">
        <v>5.5210137829892183</v>
      </c>
      <c r="AI927" s="19">
        <v>5.8104441254530954</v>
      </c>
      <c r="AJ927" s="19">
        <v>6.013317299690641</v>
      </c>
      <c r="AK927" s="19">
        <v>6.1103572076143973</v>
      </c>
      <c r="AL927" s="19">
        <v>6.1815515981648295</v>
      </c>
      <c r="AM927" s="19">
        <v>6.1778277719008754</v>
      </c>
      <c r="AN927" s="19">
        <v>6.149409764150132</v>
      </c>
      <c r="AO927" s="19">
        <v>6.1211224792350398</v>
      </c>
      <c r="AP927" s="19">
        <v>6.0929653158305577</v>
      </c>
      <c r="AQ927" s="19">
        <v>0</v>
      </c>
      <c r="AR927" s="19">
        <v>81.405829493045161</v>
      </c>
    </row>
    <row r="928" spans="1:44" x14ac:dyDescent="0.25">
      <c r="A928" t="s">
        <v>250</v>
      </c>
      <c r="B928" t="s">
        <v>370</v>
      </c>
      <c r="C928" t="s">
        <v>45</v>
      </c>
      <c r="D928" t="s">
        <v>358</v>
      </c>
      <c r="E928" t="s">
        <v>148</v>
      </c>
      <c r="F928" t="s">
        <v>368</v>
      </c>
      <c r="G928" t="s">
        <v>31</v>
      </c>
      <c r="H928" t="s">
        <v>272</v>
      </c>
      <c r="I928" t="s">
        <v>135</v>
      </c>
      <c r="J928" t="s">
        <v>40</v>
      </c>
      <c r="K928" t="s">
        <v>31</v>
      </c>
      <c r="L928">
        <v>0.71805929919137568</v>
      </c>
      <c r="M928">
        <v>1</v>
      </c>
      <c r="N928" s="2">
        <v>4.5538628518455466</v>
      </c>
      <c r="O928" s="2">
        <v>1.9798085216903565</v>
      </c>
      <c r="P928" s="1">
        <v>-0.83964188629624992</v>
      </c>
      <c r="Q928" s="1">
        <v>0.4672931329656026</v>
      </c>
      <c r="R928" s="1">
        <v>-0.53071772101320502</v>
      </c>
      <c r="S928" s="19">
        <v>0</v>
      </c>
      <c r="T928" s="19">
        <v>0</v>
      </c>
      <c r="U928" s="19">
        <v>3.2859916814290999E-2</v>
      </c>
      <c r="V928" s="19">
        <v>6.2245741334703591E-2</v>
      </c>
      <c r="W928" s="19">
        <v>0.10723430512640147</v>
      </c>
      <c r="X928" s="19">
        <v>0.17222930255402066</v>
      </c>
      <c r="Y928" s="19">
        <v>0.26142736388046722</v>
      </c>
      <c r="Z928" s="19">
        <v>0.37812231955573966</v>
      </c>
      <c r="AA928" s="19">
        <v>0.52383847725944455</v>
      </c>
      <c r="AB928" s="19">
        <v>0.69742115915897573</v>
      </c>
      <c r="AC928" s="19">
        <v>0.89431536688328783</v>
      </c>
      <c r="AD928" s="19">
        <v>1.1063405590850537</v>
      </c>
      <c r="AE928" s="19">
        <v>1.3222579227365934</v>
      </c>
      <c r="AF928" s="19">
        <v>1.5292655842338221</v>
      </c>
      <c r="AG928" s="19">
        <v>1.7152383755933247</v>
      </c>
      <c r="AH928" s="19">
        <v>1.871146875226392</v>
      </c>
      <c r="AI928" s="19">
        <v>1.992846016014888</v>
      </c>
      <c r="AJ928" s="19">
        <v>2.0872464114361673</v>
      </c>
      <c r="AK928" s="19">
        <v>2.1465502168935671</v>
      </c>
      <c r="AL928" s="19">
        <v>2.1978917711372041</v>
      </c>
      <c r="AM928" s="19">
        <v>2.2233011373250866</v>
      </c>
      <c r="AN928" s="19">
        <v>2.2401071461551312</v>
      </c>
      <c r="AO928" s="19">
        <v>2.2571390060449765</v>
      </c>
      <c r="AP928" s="19">
        <v>2.2743990777962062</v>
      </c>
      <c r="AQ928" s="19">
        <v>0</v>
      </c>
      <c r="AR928" s="19">
        <v>28.093424052245748</v>
      </c>
    </row>
    <row r="929" spans="1:44" x14ac:dyDescent="0.25">
      <c r="A929" t="s">
        <v>250</v>
      </c>
      <c r="B929" t="s">
        <v>371</v>
      </c>
      <c r="C929" t="s">
        <v>45</v>
      </c>
      <c r="D929" t="s">
        <v>358</v>
      </c>
      <c r="E929" t="s">
        <v>145</v>
      </c>
      <c r="F929" t="s">
        <v>368</v>
      </c>
      <c r="G929" t="s">
        <v>31</v>
      </c>
      <c r="H929" t="s">
        <v>277</v>
      </c>
      <c r="I929" t="s">
        <v>135</v>
      </c>
      <c r="J929" t="s">
        <v>39</v>
      </c>
      <c r="K929" t="s">
        <v>31</v>
      </c>
      <c r="L929">
        <v>0.71805929919137568</v>
      </c>
      <c r="M929">
        <v>1</v>
      </c>
      <c r="N929" s="2">
        <v>4.5538628518455466</v>
      </c>
      <c r="O929" s="2">
        <v>3.1588853240212424</v>
      </c>
      <c r="P929" s="1">
        <v>-0.83964188629624992</v>
      </c>
      <c r="Q929" s="1">
        <v>0.37573036135611498</v>
      </c>
      <c r="R929" s="1">
        <v>-0.67371772101320493</v>
      </c>
      <c r="S929" s="19">
        <v>0</v>
      </c>
      <c r="T929" s="19">
        <v>0</v>
      </c>
      <c r="U929" s="19">
        <v>6.7658454412998514</v>
      </c>
      <c r="V929" s="19">
        <v>12.67096219886978</v>
      </c>
      <c r="W929" s="19">
        <v>21.580235442872969</v>
      </c>
      <c r="X929" s="19">
        <v>34.26338463185914</v>
      </c>
      <c r="Y929" s="19">
        <v>51.410697147133504</v>
      </c>
      <c r="Z929" s="19">
        <v>73.500889538399747</v>
      </c>
      <c r="AA929" s="19">
        <v>100.64547754867586</v>
      </c>
      <c r="AB929" s="19">
        <v>132.43643664637307</v>
      </c>
      <c r="AC929" s="19">
        <v>167.84083251791608</v>
      </c>
      <c r="AD929" s="19">
        <v>205.1963128179728</v>
      </c>
      <c r="AE929" s="19">
        <v>242.35392800545611</v>
      </c>
      <c r="AF929" s="19">
        <v>276.98069763620322</v>
      </c>
      <c r="AG929" s="19">
        <v>306.97533093726884</v>
      </c>
      <c r="AH929" s="19">
        <v>330.88656071068243</v>
      </c>
      <c r="AI929" s="19">
        <v>348.19077990215681</v>
      </c>
      <c r="AJ929" s="19">
        <v>360.30451033891546</v>
      </c>
      <c r="AK929" s="19">
        <v>366.07478707199323</v>
      </c>
      <c r="AL929" s="19">
        <v>370.29543512316877</v>
      </c>
      <c r="AM929" s="19">
        <v>370.02775167609178</v>
      </c>
      <c r="AN929" s="19">
        <v>368.28122068818067</v>
      </c>
      <c r="AO929" s="19">
        <v>366.54293332653242</v>
      </c>
      <c r="AP929" s="19">
        <v>364.81285068123128</v>
      </c>
      <c r="AQ929" s="19">
        <v>0</v>
      </c>
      <c r="AR929" s="19">
        <v>4878.0378600292543</v>
      </c>
    </row>
    <row r="930" spans="1:44" x14ac:dyDescent="0.25">
      <c r="A930" t="s">
        <v>250</v>
      </c>
      <c r="B930" t="s">
        <v>371</v>
      </c>
      <c r="C930" t="s">
        <v>45</v>
      </c>
      <c r="D930" t="s">
        <v>358</v>
      </c>
      <c r="E930" t="s">
        <v>148</v>
      </c>
      <c r="F930" t="s">
        <v>368</v>
      </c>
      <c r="G930" t="s">
        <v>31</v>
      </c>
      <c r="H930" t="s">
        <v>277</v>
      </c>
      <c r="I930" t="s">
        <v>135</v>
      </c>
      <c r="J930" t="s">
        <v>39</v>
      </c>
      <c r="K930" t="s">
        <v>31</v>
      </c>
      <c r="L930">
        <v>0.71805929919137568</v>
      </c>
      <c r="M930">
        <v>1</v>
      </c>
      <c r="N930" s="2">
        <v>4.5538628518455466</v>
      </c>
      <c r="O930" s="2">
        <v>3.1588853240212424</v>
      </c>
      <c r="P930" s="1">
        <v>-0.83964188629624992</v>
      </c>
      <c r="Q930" s="1">
        <v>0.37573036135611498</v>
      </c>
      <c r="R930" s="1">
        <v>-0.67371772101320493</v>
      </c>
      <c r="S930" s="19">
        <v>0</v>
      </c>
      <c r="T930" s="19">
        <v>0</v>
      </c>
      <c r="U930" s="19">
        <v>1.9875478024066409</v>
      </c>
      <c r="V930" s="19">
        <v>3.7645222321575642</v>
      </c>
      <c r="W930" s="19">
        <v>6.4846067622947032</v>
      </c>
      <c r="X930" s="19">
        <v>10.413751385627858</v>
      </c>
      <c r="Y930" s="19">
        <v>15.805274501504782</v>
      </c>
      <c r="Z930" s="19">
        <v>22.857815620857615</v>
      </c>
      <c r="AA930" s="19">
        <v>31.662980506707587</v>
      </c>
      <c r="AB930" s="19">
        <v>42.150436443494371</v>
      </c>
      <c r="AC930" s="19">
        <v>54.044409702330242</v>
      </c>
      <c r="AD930" s="19">
        <v>66.85018507812903</v>
      </c>
      <c r="AE930" s="19">
        <v>79.888491056287734</v>
      </c>
      <c r="AF930" s="19">
        <v>92.385917977901684</v>
      </c>
      <c r="AG930" s="19">
        <v>103.6102523877792</v>
      </c>
      <c r="AH930" s="19">
        <v>113.01655540123704</v>
      </c>
      <c r="AI930" s="19">
        <v>120.35508007169751</v>
      </c>
      <c r="AJ930" s="19">
        <v>126.04379015716248</v>
      </c>
      <c r="AK930" s="19">
        <v>129.61234867815276</v>
      </c>
      <c r="AL930" s="19">
        <v>132.69964869581403</v>
      </c>
      <c r="AM930" s="19">
        <v>134.22099244503076</v>
      </c>
      <c r="AN930" s="19">
        <v>135.22287715234944</v>
      </c>
      <c r="AO930" s="19">
        <v>136.23837293875465</v>
      </c>
      <c r="AP930" s="19">
        <v>137.26762123017232</v>
      </c>
      <c r="AQ930" s="19">
        <v>0</v>
      </c>
      <c r="AR930" s="19">
        <v>1696.58347822785</v>
      </c>
    </row>
    <row r="931" spans="1:44" x14ac:dyDescent="0.25">
      <c r="A931" t="s">
        <v>250</v>
      </c>
      <c r="B931" t="s">
        <v>371</v>
      </c>
      <c r="C931" t="s">
        <v>45</v>
      </c>
      <c r="D931" t="s">
        <v>358</v>
      </c>
      <c r="E931" t="s">
        <v>145</v>
      </c>
      <c r="F931" t="s">
        <v>368</v>
      </c>
      <c r="G931" t="s">
        <v>31</v>
      </c>
      <c r="H931" t="s">
        <v>277</v>
      </c>
      <c r="I931" t="s">
        <v>135</v>
      </c>
      <c r="J931" t="s">
        <v>40</v>
      </c>
      <c r="K931" t="s">
        <v>31</v>
      </c>
      <c r="L931">
        <v>0.71805929919137568</v>
      </c>
      <c r="M931">
        <v>1</v>
      </c>
      <c r="N931" s="2">
        <v>4.5538628518455466</v>
      </c>
      <c r="O931" s="2">
        <v>1.9798085216903565</v>
      </c>
      <c r="P931" s="1">
        <v>-0.83964188629624992</v>
      </c>
      <c r="Q931" s="1">
        <v>0.4672931329656026</v>
      </c>
      <c r="R931" s="1">
        <v>-0.53071772101320502</v>
      </c>
      <c r="S931" s="19">
        <v>0</v>
      </c>
      <c r="T931" s="19">
        <v>0</v>
      </c>
      <c r="U931" s="19">
        <v>1.0672809279609756</v>
      </c>
      <c r="V931" s="19">
        <v>1.9987858740045441</v>
      </c>
      <c r="W931" s="19">
        <v>3.4041826566852325</v>
      </c>
      <c r="X931" s="19">
        <v>5.4048909721988734</v>
      </c>
      <c r="Y931" s="19">
        <v>8.1098004727361612</v>
      </c>
      <c r="Z931" s="19">
        <v>11.594426487139716</v>
      </c>
      <c r="AA931" s="19">
        <v>15.876360109785397</v>
      </c>
      <c r="AB931" s="19">
        <v>20.891237351799528</v>
      </c>
      <c r="AC931" s="19">
        <v>26.476117587020891</v>
      </c>
      <c r="AD931" s="19">
        <v>32.368772396382454</v>
      </c>
      <c r="AE931" s="19">
        <v>38.230214896389526</v>
      </c>
      <c r="AF931" s="19">
        <v>43.692428176965834</v>
      </c>
      <c r="AG931" s="19">
        <v>48.423943305585176</v>
      </c>
      <c r="AH931" s="19">
        <v>52.195829572078758</v>
      </c>
      <c r="AI931" s="19">
        <v>54.925490377450132</v>
      </c>
      <c r="AJ931" s="19">
        <v>56.836375509808263</v>
      </c>
      <c r="AK931" s="19">
        <v>57.746610063597856</v>
      </c>
      <c r="AL931" s="19">
        <v>58.412397836572744</v>
      </c>
      <c r="AM931" s="19">
        <v>58.370172006811359</v>
      </c>
      <c r="AN931" s="19">
        <v>58.094664794939213</v>
      </c>
      <c r="AO931" s="19">
        <v>57.820457977107111</v>
      </c>
      <c r="AP931" s="19">
        <v>57.547545415455168</v>
      </c>
      <c r="AQ931" s="19">
        <v>0</v>
      </c>
      <c r="AR931" s="19">
        <v>769.48798476847503</v>
      </c>
    </row>
    <row r="932" spans="1:44" x14ac:dyDescent="0.25">
      <c r="A932" t="s">
        <v>250</v>
      </c>
      <c r="B932" t="s">
        <v>371</v>
      </c>
      <c r="C932" t="s">
        <v>45</v>
      </c>
      <c r="D932" t="s">
        <v>358</v>
      </c>
      <c r="E932" t="s">
        <v>148</v>
      </c>
      <c r="F932" t="s">
        <v>368</v>
      </c>
      <c r="G932" t="s">
        <v>31</v>
      </c>
      <c r="H932" t="s">
        <v>277</v>
      </c>
      <c r="I932" t="s">
        <v>135</v>
      </c>
      <c r="J932" t="s">
        <v>40</v>
      </c>
      <c r="K932" t="s">
        <v>31</v>
      </c>
      <c r="L932">
        <v>0.71805929919137568</v>
      </c>
      <c r="M932">
        <v>1</v>
      </c>
      <c r="N932" s="2">
        <v>4.5538628518455466</v>
      </c>
      <c r="O932" s="2">
        <v>1.9798085216903565</v>
      </c>
      <c r="P932" s="1">
        <v>-0.83964188629624992</v>
      </c>
      <c r="Q932" s="1">
        <v>0.4672931329656026</v>
      </c>
      <c r="R932" s="1">
        <v>-0.53071772101320502</v>
      </c>
      <c r="S932" s="19">
        <v>0</v>
      </c>
      <c r="T932" s="19">
        <v>0</v>
      </c>
      <c r="U932" s="19">
        <v>0.31352650327640513</v>
      </c>
      <c r="V932" s="19">
        <v>0.59383602775515998</v>
      </c>
      <c r="W932" s="19">
        <v>1.022916822852266</v>
      </c>
      <c r="X932" s="19">
        <v>1.6427212739096335</v>
      </c>
      <c r="Y932" s="19">
        <v>2.4932091906319345</v>
      </c>
      <c r="Z932" s="19">
        <v>3.6057150401447502</v>
      </c>
      <c r="AA932" s="19">
        <v>4.9946892092641653</v>
      </c>
      <c r="AB932" s="19">
        <v>6.6490370363426097</v>
      </c>
      <c r="AC932" s="19">
        <v>8.5252564869594654</v>
      </c>
      <c r="AD932" s="19">
        <v>10.545308518138626</v>
      </c>
      <c r="AE932" s="19">
        <v>12.60204117987888</v>
      </c>
      <c r="AF932" s="19">
        <v>14.573452663890471</v>
      </c>
      <c r="AG932" s="19">
        <v>16.344039673104515</v>
      </c>
      <c r="AH932" s="19">
        <v>17.827840610620321</v>
      </c>
      <c r="AI932" s="19">
        <v>18.985459046942118</v>
      </c>
      <c r="AJ932" s="19">
        <v>19.882826838091525</v>
      </c>
      <c r="AK932" s="19">
        <v>20.445750493798212</v>
      </c>
      <c r="AL932" s="19">
        <v>20.932757839196935</v>
      </c>
      <c r="AM932" s="19">
        <v>21.172742802273209</v>
      </c>
      <c r="AN932" s="19">
        <v>21.330785496185527</v>
      </c>
      <c r="AO932" s="19">
        <v>21.490975275077194</v>
      </c>
      <c r="AP932" s="19">
        <v>21.653334448235203</v>
      </c>
      <c r="AQ932" s="19">
        <v>0</v>
      </c>
      <c r="AR932" s="19">
        <v>267.62822247656914</v>
      </c>
    </row>
    <row r="933" spans="1:44" x14ac:dyDescent="0.25">
      <c r="A933" t="s">
        <v>250</v>
      </c>
      <c r="B933" t="s">
        <v>372</v>
      </c>
      <c r="C933" t="s">
        <v>45</v>
      </c>
      <c r="D933" t="s">
        <v>358</v>
      </c>
      <c r="E933" t="s">
        <v>145</v>
      </c>
      <c r="F933" t="s">
        <v>368</v>
      </c>
      <c r="G933" t="s">
        <v>31</v>
      </c>
      <c r="H933" t="s">
        <v>276</v>
      </c>
      <c r="I933" t="s">
        <v>135</v>
      </c>
      <c r="J933" t="s">
        <v>39</v>
      </c>
      <c r="K933" t="s">
        <v>31</v>
      </c>
      <c r="L933">
        <v>0.61808625336927292</v>
      </c>
      <c r="M933">
        <v>1</v>
      </c>
      <c r="N933" s="2">
        <v>4.3970333984141936</v>
      </c>
      <c r="O933" s="2">
        <v>3.1597702595673298</v>
      </c>
      <c r="P933" s="1">
        <v>-0.82613165992981141</v>
      </c>
      <c r="Q933" s="1">
        <v>0.38924058772255321</v>
      </c>
      <c r="R933" s="1">
        <v>-0.67371772101320504</v>
      </c>
      <c r="S933" s="19">
        <v>0</v>
      </c>
      <c r="T933" s="19">
        <v>0</v>
      </c>
      <c r="U933" s="19">
        <v>4.6521801176074824</v>
      </c>
      <c r="V933" s="19">
        <v>8.7354601963326441</v>
      </c>
      <c r="W933" s="19">
        <v>14.916746800471971</v>
      </c>
      <c r="X933" s="19">
        <v>23.745971735433638</v>
      </c>
      <c r="Y933" s="19">
        <v>35.723575793912239</v>
      </c>
      <c r="Z933" s="19">
        <v>51.207759110589834</v>
      </c>
      <c r="AA933" s="19">
        <v>70.303862604280866</v>
      </c>
      <c r="AB933" s="19">
        <v>92.754321783471568</v>
      </c>
      <c r="AC933" s="19">
        <v>117.85989171609634</v>
      </c>
      <c r="AD933" s="19">
        <v>144.47067799788934</v>
      </c>
      <c r="AE933" s="19">
        <v>171.08107356308508</v>
      </c>
      <c r="AF933" s="19">
        <v>196.03930499667501</v>
      </c>
      <c r="AG933" s="19">
        <v>217.84062339614869</v>
      </c>
      <c r="AH933" s="19">
        <v>235.42700008741559</v>
      </c>
      <c r="AI933" s="19">
        <v>248.39116982210976</v>
      </c>
      <c r="AJ933" s="19">
        <v>257.70944181868902</v>
      </c>
      <c r="AK933" s="19">
        <v>262.52592390734617</v>
      </c>
      <c r="AL933" s="19">
        <v>266.25175611150229</v>
      </c>
      <c r="AM933" s="19">
        <v>266.7596660880202</v>
      </c>
      <c r="AN933" s="19">
        <v>266.19947078923536</v>
      </c>
      <c r="AO933" s="19">
        <v>265.64045190057794</v>
      </c>
      <c r="AP933" s="19">
        <v>265.0826069515868</v>
      </c>
      <c r="AQ933" s="19">
        <v>0</v>
      </c>
      <c r="AR933" s="19">
        <v>3483.3189372884781</v>
      </c>
    </row>
    <row r="934" spans="1:44" x14ac:dyDescent="0.25">
      <c r="A934" t="s">
        <v>250</v>
      </c>
      <c r="B934" t="s">
        <v>372</v>
      </c>
      <c r="C934" t="s">
        <v>45</v>
      </c>
      <c r="D934" t="s">
        <v>358</v>
      </c>
      <c r="E934" t="s">
        <v>148</v>
      </c>
      <c r="F934" t="s">
        <v>368</v>
      </c>
      <c r="G934" t="s">
        <v>31</v>
      </c>
      <c r="H934" t="s">
        <v>276</v>
      </c>
      <c r="I934" t="s">
        <v>135</v>
      </c>
      <c r="J934" t="s">
        <v>39</v>
      </c>
      <c r="K934" t="s">
        <v>31</v>
      </c>
      <c r="L934">
        <v>0.61808625336927292</v>
      </c>
      <c r="M934">
        <v>1</v>
      </c>
      <c r="N934" s="2">
        <v>4.3970333984141936</v>
      </c>
      <c r="O934" s="2">
        <v>3.1597702595673298</v>
      </c>
      <c r="P934" s="1">
        <v>-0.82613165992981141</v>
      </c>
      <c r="Q934" s="1">
        <v>0.38924058772255321</v>
      </c>
      <c r="R934" s="1">
        <v>-0.67371772101320504</v>
      </c>
      <c r="S934" s="19">
        <v>0</v>
      </c>
      <c r="T934" s="19">
        <v>0</v>
      </c>
      <c r="U934" s="19">
        <v>1.1406479917844516</v>
      </c>
      <c r="V934" s="19">
        <v>2.1659716581794402</v>
      </c>
      <c r="W934" s="19">
        <v>3.7404412192303806</v>
      </c>
      <c r="X934" s="19">
        <v>6.0218534565874995</v>
      </c>
      <c r="Y934" s="19">
        <v>9.1621283908262541</v>
      </c>
      <c r="Z934" s="19">
        <v>13.282751214742968</v>
      </c>
      <c r="AA934" s="19">
        <v>18.443858664313307</v>
      </c>
      <c r="AB934" s="19">
        <v>24.611410854672886</v>
      </c>
      <c r="AC934" s="19">
        <v>31.630604202775505</v>
      </c>
      <c r="AD934" s="19">
        <v>39.216560702932561</v>
      </c>
      <c r="AE934" s="19">
        <v>46.97310430822256</v>
      </c>
      <c r="AF934" s="19">
        <v>54.444877640525661</v>
      </c>
      <c r="AG934" s="19">
        <v>61.196742623075011</v>
      </c>
      <c r="AH934" s="19">
        <v>66.900623749865844</v>
      </c>
      <c r="AI934" s="19">
        <v>71.400841238094898</v>
      </c>
      <c r="AJ934" s="19">
        <v>74.937553836710137</v>
      </c>
      <c r="AK934" s="19">
        <v>77.223952842893723</v>
      </c>
      <c r="AL934" s="19">
        <v>79.230340616437957</v>
      </c>
      <c r="AM934" s="19">
        <v>80.305796192448938</v>
      </c>
      <c r="AN934" s="19">
        <v>81.071832919777222</v>
      </c>
      <c r="AO934" s="19">
        <v>81.846742751735306</v>
      </c>
      <c r="AP934" s="19">
        <v>82.630624600784685</v>
      </c>
      <c r="AQ934" s="19">
        <v>0</v>
      </c>
      <c r="AR934" s="19">
        <v>1007.5792616766172</v>
      </c>
    </row>
    <row r="935" spans="1:44" x14ac:dyDescent="0.25">
      <c r="A935" t="s">
        <v>250</v>
      </c>
      <c r="B935" t="s">
        <v>373</v>
      </c>
      <c r="C935" t="s">
        <v>45</v>
      </c>
      <c r="D935" t="s">
        <v>358</v>
      </c>
      <c r="E935" t="s">
        <v>145</v>
      </c>
      <c r="F935" t="s">
        <v>368</v>
      </c>
      <c r="G935" t="s">
        <v>31</v>
      </c>
      <c r="H935" t="s">
        <v>253</v>
      </c>
      <c r="I935" t="s">
        <v>135</v>
      </c>
      <c r="J935" t="s">
        <v>39</v>
      </c>
      <c r="K935" t="s">
        <v>31</v>
      </c>
      <c r="L935">
        <v>0.40754716981132122</v>
      </c>
      <c r="M935">
        <v>1</v>
      </c>
      <c r="N935" s="2">
        <v>3.8941300308350058</v>
      </c>
      <c r="O935" s="2">
        <v>3.1590792310146658</v>
      </c>
      <c r="P935" s="1">
        <v>-0.77595970828116723</v>
      </c>
      <c r="Q935" s="1">
        <v>0.43941253937119779</v>
      </c>
      <c r="R935" s="1">
        <v>-0.67371772101320504</v>
      </c>
      <c r="S935" s="19">
        <v>0</v>
      </c>
      <c r="T935" s="19">
        <v>0</v>
      </c>
      <c r="U935" s="19">
        <v>0.89704427028509937</v>
      </c>
      <c r="V935" s="19">
        <v>1.6810160290083502</v>
      </c>
      <c r="W935" s="19">
        <v>2.864764281561782</v>
      </c>
      <c r="X935" s="19">
        <v>4.5512787091186819</v>
      </c>
      <c r="Y935" s="19">
        <v>6.8332469829403291</v>
      </c>
      <c r="Z935" s="19">
        <v>9.7754481296166951</v>
      </c>
      <c r="AA935" s="19">
        <v>13.393953925273202</v>
      </c>
      <c r="AB935" s="19">
        <v>17.635690890178466</v>
      </c>
      <c r="AC935" s="19">
        <v>22.36418475484351</v>
      </c>
      <c r="AD935" s="19">
        <v>27.358699816847725</v>
      </c>
      <c r="AE935" s="19">
        <v>32.333031100257941</v>
      </c>
      <c r="AF935" s="19">
        <v>36.975692551957131</v>
      </c>
      <c r="AG935" s="19">
        <v>41.00537083081791</v>
      </c>
      <c r="AH935" s="19">
        <v>44.226935811697466</v>
      </c>
      <c r="AI935" s="19">
        <v>46.56884266741767</v>
      </c>
      <c r="AJ935" s="19">
        <v>48.219014735502959</v>
      </c>
      <c r="AK935" s="19">
        <v>49.021760874568379</v>
      </c>
      <c r="AL935" s="19">
        <v>49.617845477921165</v>
      </c>
      <c r="AM935" s="19">
        <v>49.612863766527795</v>
      </c>
      <c r="AN935" s="19">
        <v>49.409451025085026</v>
      </c>
      <c r="AO935" s="19">
        <v>49.206872275882162</v>
      </c>
      <c r="AP935" s="19">
        <v>49.005124099551075</v>
      </c>
      <c r="AQ935" s="19">
        <v>0</v>
      </c>
      <c r="AR935" s="19">
        <v>652.55813300686043</v>
      </c>
    </row>
    <row r="936" spans="1:44" x14ac:dyDescent="0.25">
      <c r="A936" t="s">
        <v>250</v>
      </c>
      <c r="B936" t="s">
        <v>373</v>
      </c>
      <c r="C936" t="s">
        <v>45</v>
      </c>
      <c r="D936" t="s">
        <v>358</v>
      </c>
      <c r="E936" t="s">
        <v>148</v>
      </c>
      <c r="F936" t="s">
        <v>368</v>
      </c>
      <c r="G936" t="s">
        <v>31</v>
      </c>
      <c r="H936" t="s">
        <v>253</v>
      </c>
      <c r="I936" t="s">
        <v>135</v>
      </c>
      <c r="J936" t="s">
        <v>39</v>
      </c>
      <c r="K936" t="s">
        <v>31</v>
      </c>
      <c r="L936">
        <v>0.40754716981132122</v>
      </c>
      <c r="M936">
        <v>1</v>
      </c>
      <c r="N936" s="2">
        <v>3.8941300308350058</v>
      </c>
      <c r="O936" s="2">
        <v>3.1590792310146658</v>
      </c>
      <c r="P936" s="1">
        <v>-0.77595970828116723</v>
      </c>
      <c r="Q936" s="1">
        <v>0.43941253937119779</v>
      </c>
      <c r="R936" s="1">
        <v>-0.67371772101320504</v>
      </c>
      <c r="S936" s="19">
        <v>0</v>
      </c>
      <c r="T936" s="19">
        <v>0</v>
      </c>
      <c r="U936" s="19">
        <v>0.25318486338238039</v>
      </c>
      <c r="V936" s="19">
        <v>0.47983607535133832</v>
      </c>
      <c r="W936" s="19">
        <v>0.82704007648247857</v>
      </c>
      <c r="X936" s="19">
        <v>1.3289450082900818</v>
      </c>
      <c r="Y936" s="19">
        <v>2.0181608040285104</v>
      </c>
      <c r="Z936" s="19">
        <v>2.9203802564989294</v>
      </c>
      <c r="AA936" s="19">
        <v>4.0476641667530382</v>
      </c>
      <c r="AB936" s="19">
        <v>5.3913783679541343</v>
      </c>
      <c r="AC936" s="19">
        <v>6.9165678297313447</v>
      </c>
      <c r="AD936" s="19">
        <v>8.5601561208513086</v>
      </c>
      <c r="AE936" s="19">
        <v>10.235276833677686</v>
      </c>
      <c r="AF936" s="19">
        <v>11.842804667896036</v>
      </c>
      <c r="AG936" s="19">
        <v>13.288686456581477</v>
      </c>
      <c r="AH936" s="19">
        <v>14.50270662086157</v>
      </c>
      <c r="AI936" s="19">
        <v>15.452410819728872</v>
      </c>
      <c r="AJ936" s="19">
        <v>16.191059390190979</v>
      </c>
      <c r="AK936" s="19">
        <v>16.657866140818729</v>
      </c>
      <c r="AL936" s="19">
        <v>17.063147142219982</v>
      </c>
      <c r="AM936" s="19">
        <v>17.267258879627175</v>
      </c>
      <c r="AN936" s="19">
        <v>17.404596207922907</v>
      </c>
      <c r="AO936" s="19">
        <v>17.543704522792364</v>
      </c>
      <c r="AP936" s="19">
        <v>17.684602738177031</v>
      </c>
      <c r="AQ936" s="19">
        <v>0</v>
      </c>
      <c r="AR936" s="19">
        <v>217.87743398981831</v>
      </c>
    </row>
    <row r="937" spans="1:44" x14ac:dyDescent="0.25">
      <c r="A937" t="s">
        <v>250</v>
      </c>
      <c r="B937" t="s">
        <v>373</v>
      </c>
      <c r="C937" t="s">
        <v>45</v>
      </c>
      <c r="D937" t="s">
        <v>358</v>
      </c>
      <c r="E937" t="s">
        <v>145</v>
      </c>
      <c r="F937" t="s">
        <v>368</v>
      </c>
      <c r="G937" t="s">
        <v>31</v>
      </c>
      <c r="H937" t="s">
        <v>253</v>
      </c>
      <c r="I937" t="s">
        <v>256</v>
      </c>
      <c r="J937" t="s">
        <v>39</v>
      </c>
      <c r="K937" t="s">
        <v>31</v>
      </c>
      <c r="L937">
        <v>0.40754716981132122</v>
      </c>
      <c r="M937">
        <v>1</v>
      </c>
      <c r="N937" s="2">
        <v>3.2703374573869155</v>
      </c>
      <c r="O937" s="2">
        <v>2.6530329131883197</v>
      </c>
      <c r="P937" s="1">
        <v>-0.5018574295414473</v>
      </c>
      <c r="Q937" s="1">
        <v>0.4672931329656026</v>
      </c>
      <c r="R937" s="1">
        <v>-0.39961544227348522</v>
      </c>
      <c r="S937" s="19">
        <v>0</v>
      </c>
      <c r="T937" s="19">
        <v>0</v>
      </c>
      <c r="U937" s="19">
        <v>0.47055436061314571</v>
      </c>
      <c r="V937" s="19">
        <v>0.88179530142818285</v>
      </c>
      <c r="W937" s="19">
        <v>1.5027433644821686</v>
      </c>
      <c r="X937" s="19">
        <v>2.3874229108680578</v>
      </c>
      <c r="Y937" s="19">
        <v>3.5844542699629169</v>
      </c>
      <c r="Z937" s="19">
        <v>5.1278179870396103</v>
      </c>
      <c r="AA937" s="19">
        <v>7.0259446876415268</v>
      </c>
      <c r="AB937" s="19">
        <v>9.2509940988325496</v>
      </c>
      <c r="AC937" s="19">
        <v>11.731377153331612</v>
      </c>
      <c r="AD937" s="19">
        <v>14.351304529744352</v>
      </c>
      <c r="AE937" s="19">
        <v>16.960644284848232</v>
      </c>
      <c r="AF937" s="19">
        <v>19.396003010514349</v>
      </c>
      <c r="AG937" s="19">
        <v>21.509814723935538</v>
      </c>
      <c r="AH937" s="19">
        <v>23.199721788689093</v>
      </c>
      <c r="AI937" s="19">
        <v>24.42819458497452</v>
      </c>
      <c r="AJ937" s="19">
        <v>25.293810350128194</v>
      </c>
      <c r="AK937" s="19">
        <v>25.714899597019592</v>
      </c>
      <c r="AL937" s="19">
        <v>26.027582280241969</v>
      </c>
      <c r="AM937" s="19">
        <v>26.024969069169657</v>
      </c>
      <c r="AN937" s="19">
        <v>25.918266695986063</v>
      </c>
      <c r="AO937" s="19">
        <v>25.812001802532514</v>
      </c>
      <c r="AP937" s="19">
        <v>25.706172595142135</v>
      </c>
      <c r="AQ937" s="19">
        <v>0</v>
      </c>
      <c r="AR937" s="19">
        <v>342.30648944712595</v>
      </c>
    </row>
    <row r="938" spans="1:44" x14ac:dyDescent="0.25">
      <c r="A938" t="s">
        <v>250</v>
      </c>
      <c r="B938" t="s">
        <v>373</v>
      </c>
      <c r="C938" t="s">
        <v>45</v>
      </c>
      <c r="D938" t="s">
        <v>358</v>
      </c>
      <c r="E938" t="s">
        <v>148</v>
      </c>
      <c r="F938" t="s">
        <v>368</v>
      </c>
      <c r="G938" t="s">
        <v>31</v>
      </c>
      <c r="H938" t="s">
        <v>253</v>
      </c>
      <c r="I938" t="s">
        <v>256</v>
      </c>
      <c r="J938" t="s">
        <v>39</v>
      </c>
      <c r="K938" t="s">
        <v>31</v>
      </c>
      <c r="L938">
        <v>0.40754716981132122</v>
      </c>
      <c r="M938">
        <v>1</v>
      </c>
      <c r="N938" s="2">
        <v>3.2703374573869155</v>
      </c>
      <c r="O938" s="2">
        <v>2.6530329131883197</v>
      </c>
      <c r="P938" s="1">
        <v>-0.5018574295414473</v>
      </c>
      <c r="Q938" s="1">
        <v>0.4672931329656026</v>
      </c>
      <c r="R938" s="1">
        <v>-0.39961544227348522</v>
      </c>
      <c r="S938" s="19">
        <v>0</v>
      </c>
      <c r="T938" s="19">
        <v>0</v>
      </c>
      <c r="U938" s="19">
        <v>0.13281088286529891</v>
      </c>
      <c r="V938" s="19">
        <v>0.25170324934387966</v>
      </c>
      <c r="W938" s="19">
        <v>0.43383289686135174</v>
      </c>
      <c r="X938" s="19">
        <v>0.69711260567689814</v>
      </c>
      <c r="Y938" s="19">
        <v>1.0586482721218795</v>
      </c>
      <c r="Z938" s="19">
        <v>1.5319173310224057</v>
      </c>
      <c r="AA938" s="19">
        <v>2.1232464071788768</v>
      </c>
      <c r="AB938" s="19">
        <v>2.8281063541601199</v>
      </c>
      <c r="AC938" s="19">
        <v>3.628161129352411</v>
      </c>
      <c r="AD938" s="19">
        <v>4.4903233024560416</v>
      </c>
      <c r="AE938" s="19">
        <v>5.3690261514507798</v>
      </c>
      <c r="AF938" s="19">
        <v>6.2122724183914544</v>
      </c>
      <c r="AG938" s="19">
        <v>6.9707254882503253</v>
      </c>
      <c r="AH938" s="19">
        <v>7.6075530129306816</v>
      </c>
      <c r="AI938" s="19">
        <v>8.1057307137118215</v>
      </c>
      <c r="AJ938" s="19">
        <v>8.4931968815533629</v>
      </c>
      <c r="AK938" s="19">
        <v>8.7380654564363294</v>
      </c>
      <c r="AL938" s="19">
        <v>8.9506600281873769</v>
      </c>
      <c r="AM938" s="19">
        <v>9.0577290673316089</v>
      </c>
      <c r="AN938" s="19">
        <v>9.1297708615275877</v>
      </c>
      <c r="AO938" s="19">
        <v>9.2027416460557667</v>
      </c>
      <c r="AP938" s="19">
        <v>9.2766513424311441</v>
      </c>
      <c r="AQ938" s="19">
        <v>0</v>
      </c>
      <c r="AR938" s="19">
        <v>114.2899854992974</v>
      </c>
    </row>
    <row r="939" spans="1:44" x14ac:dyDescent="0.25">
      <c r="A939" t="s">
        <v>250</v>
      </c>
      <c r="B939" t="s">
        <v>373</v>
      </c>
      <c r="C939" t="s">
        <v>45</v>
      </c>
      <c r="D939" t="s">
        <v>358</v>
      </c>
      <c r="E939" t="s">
        <v>145</v>
      </c>
      <c r="F939" t="s">
        <v>368</v>
      </c>
      <c r="G939" t="s">
        <v>31</v>
      </c>
      <c r="H939" t="s">
        <v>253</v>
      </c>
      <c r="I939" t="s">
        <v>135</v>
      </c>
      <c r="J939" t="s">
        <v>40</v>
      </c>
      <c r="K939" t="s">
        <v>31</v>
      </c>
      <c r="L939">
        <v>0.40754716981132122</v>
      </c>
      <c r="M939">
        <v>1</v>
      </c>
      <c r="N939" s="2">
        <v>3.8941300308350058</v>
      </c>
      <c r="O939" s="2">
        <v>1.9798085216903556</v>
      </c>
      <c r="P939" s="1">
        <v>-0.77595970828116723</v>
      </c>
      <c r="Q939" s="1">
        <v>0.4672931329656026</v>
      </c>
      <c r="R939" s="1">
        <v>-0.53071772101320469</v>
      </c>
      <c r="S939" s="19">
        <v>0</v>
      </c>
      <c r="T939" s="19">
        <v>0</v>
      </c>
      <c r="U939" s="19">
        <v>0.4718639302871761</v>
      </c>
      <c r="V939" s="19">
        <v>0.88424936940015564</v>
      </c>
      <c r="W939" s="19">
        <v>1.5069255531997741</v>
      </c>
      <c r="X939" s="19">
        <v>2.3940671945148706</v>
      </c>
      <c r="Y939" s="19">
        <v>3.5944299348441779</v>
      </c>
      <c r="Z939" s="19">
        <v>5.1420888885376339</v>
      </c>
      <c r="AA939" s="19">
        <v>7.0454981438720914</v>
      </c>
      <c r="AB939" s="19">
        <v>9.276739947432656</v>
      </c>
      <c r="AC939" s="19">
        <v>11.764025996994652</v>
      </c>
      <c r="AD939" s="19">
        <v>14.391244725326516</v>
      </c>
      <c r="AE939" s="19">
        <v>17.007846366619436</v>
      </c>
      <c r="AF939" s="19">
        <v>19.449982783025387</v>
      </c>
      <c r="AG939" s="19">
        <v>21.569677310310855</v>
      </c>
      <c r="AH939" s="19">
        <v>23.264287447077272</v>
      </c>
      <c r="AI939" s="19">
        <v>24.496179127245306</v>
      </c>
      <c r="AJ939" s="19">
        <v>25.364203932140803</v>
      </c>
      <c r="AK939" s="19">
        <v>25.786465085519424</v>
      </c>
      <c r="AL939" s="19">
        <v>26.100017975871552</v>
      </c>
      <c r="AM939" s="19">
        <v>26.097397492139031</v>
      </c>
      <c r="AN939" s="19">
        <v>25.990398162421261</v>
      </c>
      <c r="AO939" s="19">
        <v>25.88383752995534</v>
      </c>
      <c r="AP939" s="19">
        <v>25.777713796082519</v>
      </c>
      <c r="AQ939" s="19">
        <v>0</v>
      </c>
      <c r="AR939" s="19">
        <v>343.25914069281788</v>
      </c>
    </row>
    <row r="940" spans="1:44" x14ac:dyDescent="0.25">
      <c r="A940" t="s">
        <v>250</v>
      </c>
      <c r="B940" t="s">
        <v>373</v>
      </c>
      <c r="C940" t="s">
        <v>45</v>
      </c>
      <c r="D940" t="s">
        <v>358</v>
      </c>
      <c r="E940" t="s">
        <v>148</v>
      </c>
      <c r="F940" t="s">
        <v>368</v>
      </c>
      <c r="G940" t="s">
        <v>31</v>
      </c>
      <c r="H940" t="s">
        <v>253</v>
      </c>
      <c r="I940" t="s">
        <v>135</v>
      </c>
      <c r="J940" t="s">
        <v>40</v>
      </c>
      <c r="K940" t="s">
        <v>31</v>
      </c>
      <c r="L940">
        <v>0.40754716981132122</v>
      </c>
      <c r="M940">
        <v>1</v>
      </c>
      <c r="N940" s="2">
        <v>3.8941300308350058</v>
      </c>
      <c r="O940" s="2">
        <v>1.9798085216903556</v>
      </c>
      <c r="P940" s="1">
        <v>-0.77595970828116723</v>
      </c>
      <c r="Q940" s="1">
        <v>0.4672931329656026</v>
      </c>
      <c r="R940" s="1">
        <v>-0.53071772101320469</v>
      </c>
      <c r="S940" s="19">
        <v>0</v>
      </c>
      <c r="T940" s="19">
        <v>0</v>
      </c>
      <c r="U940" s="19">
        <v>0.13318050031896483</v>
      </c>
      <c r="V940" s="19">
        <v>0.25240374852056946</v>
      </c>
      <c r="W940" s="19">
        <v>0.43504026938380946</v>
      </c>
      <c r="X940" s="19">
        <v>0.69905269507822987</v>
      </c>
      <c r="Y940" s="19">
        <v>1.0615945282586401</v>
      </c>
      <c r="Z940" s="19">
        <v>1.5361807119359625</v>
      </c>
      <c r="AA940" s="19">
        <v>2.1291554781344644</v>
      </c>
      <c r="AB940" s="19">
        <v>2.8359770756460025</v>
      </c>
      <c r="AC940" s="19">
        <v>3.638258431991972</v>
      </c>
      <c r="AD940" s="19">
        <v>4.5028200333668664</v>
      </c>
      <c r="AE940" s="19">
        <v>5.3839683439273713</v>
      </c>
      <c r="AF940" s="19">
        <v>6.2295613954935849</v>
      </c>
      <c r="AG940" s="19">
        <v>6.9901252674671026</v>
      </c>
      <c r="AH940" s="19">
        <v>7.628725106004719</v>
      </c>
      <c r="AI940" s="19">
        <v>8.1282892532070896</v>
      </c>
      <c r="AJ940" s="19">
        <v>8.5168337533000216</v>
      </c>
      <c r="AK940" s="19">
        <v>8.7623838062153627</v>
      </c>
      <c r="AL940" s="19">
        <v>8.9755700362896906</v>
      </c>
      <c r="AM940" s="19">
        <v>9.0829370524126691</v>
      </c>
      <c r="AN940" s="19">
        <v>9.1551793415074343</v>
      </c>
      <c r="AO940" s="19">
        <v>9.2283532063481015</v>
      </c>
      <c r="AP940" s="19">
        <v>9.3024685960609901</v>
      </c>
      <c r="AQ940" s="19">
        <v>0</v>
      </c>
      <c r="AR940" s="19">
        <v>114.60805863086962</v>
      </c>
    </row>
    <row r="941" spans="1:44" x14ac:dyDescent="0.25">
      <c r="A941" t="s">
        <v>250</v>
      </c>
      <c r="B941" t="s">
        <v>374</v>
      </c>
      <c r="C941" t="s">
        <v>45</v>
      </c>
      <c r="D941" t="s">
        <v>358</v>
      </c>
      <c r="E941" t="s">
        <v>145</v>
      </c>
      <c r="F941" t="s">
        <v>368</v>
      </c>
      <c r="G941" t="s">
        <v>31</v>
      </c>
      <c r="H941" t="s">
        <v>252</v>
      </c>
      <c r="I941" t="s">
        <v>135</v>
      </c>
      <c r="J941" t="s">
        <v>39</v>
      </c>
      <c r="K941" t="s">
        <v>31</v>
      </c>
      <c r="L941">
        <v>1.2291105121293815</v>
      </c>
      <c r="M941">
        <v>1</v>
      </c>
      <c r="N941" s="2">
        <v>5.0188091618005437</v>
      </c>
      <c r="O941" s="2">
        <v>3.1557944646272493</v>
      </c>
      <c r="P941" s="1">
        <v>-0.87478341436528484</v>
      </c>
      <c r="Q941" s="1">
        <v>0.3405888332870794</v>
      </c>
      <c r="R941" s="1">
        <v>-0.67371772101320493</v>
      </c>
      <c r="S941" s="19">
        <v>0</v>
      </c>
      <c r="T941" s="19">
        <v>0</v>
      </c>
      <c r="U941" s="19">
        <v>9.0037854960264241</v>
      </c>
      <c r="V941" s="19">
        <v>16.879419856591987</v>
      </c>
      <c r="W941" s="19">
        <v>28.77722765107962</v>
      </c>
      <c r="X941" s="19">
        <v>45.73702252323023</v>
      </c>
      <c r="Y941" s="19">
        <v>68.696715529810874</v>
      </c>
      <c r="Z941" s="19">
        <v>98.3150328602527</v>
      </c>
      <c r="AA941" s="19">
        <v>134.76169093424747</v>
      </c>
      <c r="AB941" s="19">
        <v>177.51069611890813</v>
      </c>
      <c r="AC941" s="19">
        <v>225.19540169460345</v>
      </c>
      <c r="AD941" s="19">
        <v>275.59815078192435</v>
      </c>
      <c r="AE941" s="19">
        <v>325.83794857190048</v>
      </c>
      <c r="AF941" s="19">
        <v>372.77429525573905</v>
      </c>
      <c r="AG941" s="19">
        <v>413.5659572241284</v>
      </c>
      <c r="AH941" s="19">
        <v>446.23670255048438</v>
      </c>
      <c r="AI941" s="19">
        <v>470.0545702154775</v>
      </c>
      <c r="AJ941" s="19">
        <v>486.9064915679532</v>
      </c>
      <c r="AK941" s="19">
        <v>495.21129041475922</v>
      </c>
      <c r="AL941" s="19">
        <v>501.4341761282281</v>
      </c>
      <c r="AM941" s="19">
        <v>501.58521051862817</v>
      </c>
      <c r="AN941" s="19">
        <v>499.72934523970929</v>
      </c>
      <c r="AO941" s="19">
        <v>497.88034666232232</v>
      </c>
      <c r="AP941" s="19">
        <v>496.03818937967168</v>
      </c>
      <c r="AQ941" s="19">
        <v>0</v>
      </c>
      <c r="AR941" s="19">
        <v>6587.7296671756767</v>
      </c>
    </row>
    <row r="942" spans="1:44" x14ac:dyDescent="0.25">
      <c r="A942" t="s">
        <v>250</v>
      </c>
      <c r="B942" t="s">
        <v>374</v>
      </c>
      <c r="C942" t="s">
        <v>45</v>
      </c>
      <c r="D942" t="s">
        <v>358</v>
      </c>
      <c r="E942" t="s">
        <v>148</v>
      </c>
      <c r="F942" t="s">
        <v>368</v>
      </c>
      <c r="G942" t="s">
        <v>31</v>
      </c>
      <c r="H942" t="s">
        <v>252</v>
      </c>
      <c r="I942" t="s">
        <v>135</v>
      </c>
      <c r="J942" t="s">
        <v>39</v>
      </c>
      <c r="K942" t="s">
        <v>31</v>
      </c>
      <c r="L942">
        <v>1.2291105121293815</v>
      </c>
      <c r="M942">
        <v>1</v>
      </c>
      <c r="N942" s="2">
        <v>5.0188091618005437</v>
      </c>
      <c r="O942" s="2">
        <v>3.1557944646272493</v>
      </c>
      <c r="P942" s="1">
        <v>-0.87478341436528484</v>
      </c>
      <c r="Q942" s="1">
        <v>0.3405888332870794</v>
      </c>
      <c r="R942" s="1">
        <v>-0.67371772101320493</v>
      </c>
      <c r="S942" s="19">
        <v>0</v>
      </c>
      <c r="T942" s="19">
        <v>0</v>
      </c>
      <c r="U942" s="19">
        <v>2.4744190329774587</v>
      </c>
      <c r="V942" s="19">
        <v>4.6913502023164302</v>
      </c>
      <c r="W942" s="19">
        <v>8.089078224349489</v>
      </c>
      <c r="X942" s="19">
        <v>13.0030459230231</v>
      </c>
      <c r="Y942" s="19">
        <v>19.754113751332447</v>
      </c>
      <c r="Z942" s="19">
        <v>28.595848204118571</v>
      </c>
      <c r="AA942" s="19">
        <v>39.648609020071326</v>
      </c>
      <c r="AB942" s="19">
        <v>52.830085876687349</v>
      </c>
      <c r="AC942" s="19">
        <v>67.799781248223951</v>
      </c>
      <c r="AD942" s="19">
        <v>83.940899899191123</v>
      </c>
      <c r="AE942" s="19">
        <v>100.40236836332268</v>
      </c>
      <c r="AF942" s="19">
        <v>116.21160893681242</v>
      </c>
      <c r="AG942" s="19">
        <v>130.44449383092035</v>
      </c>
      <c r="AH942" s="19">
        <v>142.40973716498814</v>
      </c>
      <c r="AI942" s="19">
        <v>151.78609288170804</v>
      </c>
      <c r="AJ942" s="19">
        <v>159.09418739431069</v>
      </c>
      <c r="AK942" s="19">
        <v>163.73440074791429</v>
      </c>
      <c r="AL942" s="19">
        <v>167.77198507876105</v>
      </c>
      <c r="AM942" s="19">
        <v>169.83284312067607</v>
      </c>
      <c r="AN942" s="19">
        <v>171.23733031872078</v>
      </c>
      <c r="AO942" s="19">
        <v>172.65941814027235</v>
      </c>
      <c r="AP942" s="19">
        <v>174.09929711826322</v>
      </c>
      <c r="AQ942" s="19">
        <v>0</v>
      </c>
      <c r="AR942" s="19">
        <v>2140.510994478961</v>
      </c>
    </row>
    <row r="943" spans="1:44" x14ac:dyDescent="0.25">
      <c r="A943" t="s">
        <v>250</v>
      </c>
      <c r="B943" t="s">
        <v>375</v>
      </c>
      <c r="C943" t="s">
        <v>45</v>
      </c>
      <c r="D943" t="s">
        <v>358</v>
      </c>
      <c r="E943" t="s">
        <v>145</v>
      </c>
      <c r="F943" t="s">
        <v>368</v>
      </c>
      <c r="G943" t="s">
        <v>31</v>
      </c>
      <c r="H943" t="s">
        <v>254</v>
      </c>
      <c r="I943" t="s">
        <v>135</v>
      </c>
      <c r="J943" t="s">
        <v>39</v>
      </c>
      <c r="K943" t="s">
        <v>31</v>
      </c>
      <c r="L943">
        <v>0.56280323450134839</v>
      </c>
      <c r="M943">
        <v>1</v>
      </c>
      <c r="N943" s="2">
        <v>4.2704524277700431</v>
      </c>
      <c r="O943" s="2">
        <v>3.1588853240212429</v>
      </c>
      <c r="P943" s="1">
        <v>-0.81470637820874159</v>
      </c>
      <c r="Q943" s="1">
        <v>0.40066586944362315</v>
      </c>
      <c r="R943" s="1">
        <v>-0.67371772101320482</v>
      </c>
      <c r="S943" s="19">
        <v>0</v>
      </c>
      <c r="T943" s="19">
        <v>0</v>
      </c>
      <c r="U943" s="19">
        <v>2.9668067503198245</v>
      </c>
      <c r="V943" s="19">
        <v>5.5574886604560216</v>
      </c>
      <c r="W943" s="19">
        <v>9.4673181646032809</v>
      </c>
      <c r="X943" s="19">
        <v>15.034980166478366</v>
      </c>
      <c r="Y943" s="19">
        <v>22.564613293096485</v>
      </c>
      <c r="Z943" s="19">
        <v>32.267758739609505</v>
      </c>
      <c r="AA943" s="19">
        <v>44.194912144522831</v>
      </c>
      <c r="AB943" s="19">
        <v>58.168424508429858</v>
      </c>
      <c r="AC943" s="19">
        <v>73.735943734986705</v>
      </c>
      <c r="AD943" s="19">
        <v>90.168111690473722</v>
      </c>
      <c r="AE943" s="19">
        <v>106.52101331185315</v>
      </c>
      <c r="AF943" s="19">
        <v>121.76894263458864</v>
      </c>
      <c r="AG943" s="19">
        <v>134.98711339706836</v>
      </c>
      <c r="AH943" s="19">
        <v>145.53577615616118</v>
      </c>
      <c r="AI943" s="19">
        <v>153.18269606381295</v>
      </c>
      <c r="AJ943" s="19">
        <v>158.54915979442146</v>
      </c>
      <c r="AK943" s="19">
        <v>161.12609011756351</v>
      </c>
      <c r="AL943" s="19">
        <v>163.02199834251337</v>
      </c>
      <c r="AM943" s="19">
        <v>162.94234234600066</v>
      </c>
      <c r="AN943" s="19">
        <v>162.21127437000828</v>
      </c>
      <c r="AO943" s="19">
        <v>161.48348645233486</v>
      </c>
      <c r="AP943" s="19">
        <v>160.75896387645204</v>
      </c>
      <c r="AQ943" s="19">
        <v>0</v>
      </c>
      <c r="AR943" s="19">
        <v>2146.2152147157549</v>
      </c>
    </row>
    <row r="944" spans="1:44" x14ac:dyDescent="0.25">
      <c r="A944" t="s">
        <v>250</v>
      </c>
      <c r="B944" t="s">
        <v>375</v>
      </c>
      <c r="C944" t="s">
        <v>45</v>
      </c>
      <c r="D944" t="s">
        <v>358</v>
      </c>
      <c r="E944" t="s">
        <v>148</v>
      </c>
      <c r="F944" t="s">
        <v>368</v>
      </c>
      <c r="G944" t="s">
        <v>31</v>
      </c>
      <c r="H944" t="s">
        <v>254</v>
      </c>
      <c r="I944" t="s">
        <v>135</v>
      </c>
      <c r="J944" t="s">
        <v>39</v>
      </c>
      <c r="K944" t="s">
        <v>31</v>
      </c>
      <c r="L944">
        <v>0.56280323450134839</v>
      </c>
      <c r="M944">
        <v>1</v>
      </c>
      <c r="N944" s="2">
        <v>4.2704524277700431</v>
      </c>
      <c r="O944" s="2">
        <v>3.1588853240212429</v>
      </c>
      <c r="P944" s="1">
        <v>-0.81470637820874159</v>
      </c>
      <c r="Q944" s="1">
        <v>0.40066586944362315</v>
      </c>
      <c r="R944" s="1">
        <v>-0.67371772101320482</v>
      </c>
      <c r="S944" s="19">
        <v>0</v>
      </c>
      <c r="T944" s="19">
        <v>0</v>
      </c>
      <c r="U944" s="19">
        <v>0.85866896849138763</v>
      </c>
      <c r="V944" s="19">
        <v>1.626735766276235</v>
      </c>
      <c r="W944" s="19">
        <v>2.8027775421320289</v>
      </c>
      <c r="X944" s="19">
        <v>4.5020353304262182</v>
      </c>
      <c r="Y944" s="19">
        <v>6.8343831699848216</v>
      </c>
      <c r="Z944" s="19">
        <v>9.8861335932411087</v>
      </c>
      <c r="AA944" s="19">
        <v>13.697360846259784</v>
      </c>
      <c r="AB944" s="19">
        <v>18.238092849653416</v>
      </c>
      <c r="AC944" s="19">
        <v>23.389409659409687</v>
      </c>
      <c r="AD944" s="19">
        <v>28.9375081690028</v>
      </c>
      <c r="AE944" s="19">
        <v>34.588495491710688</v>
      </c>
      <c r="AF944" s="19">
        <v>40.007468849876055</v>
      </c>
      <c r="AG944" s="19">
        <v>44.877100030698962</v>
      </c>
      <c r="AH944" s="19">
        <v>48.960945186844015</v>
      </c>
      <c r="AI944" s="19">
        <v>52.150292580690078</v>
      </c>
      <c r="AJ944" s="19">
        <v>54.625736059052898</v>
      </c>
      <c r="AK944" s="19">
        <v>56.182969198910016</v>
      </c>
      <c r="AL944" s="19">
        <v>57.532000978674901</v>
      </c>
      <c r="AM944" s="19">
        <v>58.202346892189325</v>
      </c>
      <c r="AN944" s="19">
        <v>58.647502346953225</v>
      </c>
      <c r="AO944" s="19">
        <v>59.098581094552294</v>
      </c>
      <c r="AP944" s="19">
        <v>59.555645382748907</v>
      </c>
      <c r="AQ944" s="19">
        <v>0</v>
      </c>
      <c r="AR944" s="19">
        <v>735.20218998777887</v>
      </c>
    </row>
    <row r="945" spans="1:44" x14ac:dyDescent="0.25">
      <c r="A945" t="s">
        <v>250</v>
      </c>
      <c r="B945" t="s">
        <v>375</v>
      </c>
      <c r="C945" t="s">
        <v>45</v>
      </c>
      <c r="D945" t="s">
        <v>358</v>
      </c>
      <c r="E945" t="s">
        <v>145</v>
      </c>
      <c r="F945" t="s">
        <v>368</v>
      </c>
      <c r="G945" t="s">
        <v>31</v>
      </c>
      <c r="H945" t="s">
        <v>255</v>
      </c>
      <c r="I945" t="s">
        <v>135</v>
      </c>
      <c r="J945" t="s">
        <v>39</v>
      </c>
      <c r="K945" t="s">
        <v>31</v>
      </c>
      <c r="L945">
        <v>0.56280323450134839</v>
      </c>
      <c r="M945">
        <v>1</v>
      </c>
      <c r="N945" s="2">
        <v>4.2704524277700431</v>
      </c>
      <c r="O945" s="2">
        <v>3.1588853240212429</v>
      </c>
      <c r="P945" s="1">
        <v>-0.81470637820874159</v>
      </c>
      <c r="Q945" s="1">
        <v>0.40066586944362315</v>
      </c>
      <c r="R945" s="1">
        <v>-0.67371772101320482</v>
      </c>
      <c r="S945" s="19">
        <v>0</v>
      </c>
      <c r="T945" s="19">
        <v>0</v>
      </c>
      <c r="U945" s="19">
        <v>0.64748633315441839</v>
      </c>
      <c r="V945" s="19">
        <v>1.2073870295610392</v>
      </c>
      <c r="W945" s="19">
        <v>2.0474884794041679</v>
      </c>
      <c r="X945" s="19">
        <v>3.2368600849246114</v>
      </c>
      <c r="Y945" s="19">
        <v>4.8358802295530561</v>
      </c>
      <c r="Z945" s="19">
        <v>6.8840341419012523</v>
      </c>
      <c r="AA945" s="19">
        <v>9.3858381886870639</v>
      </c>
      <c r="AB945" s="19">
        <v>12.297438585074106</v>
      </c>
      <c r="AC945" s="19">
        <v>15.517908176437276</v>
      </c>
      <c r="AD945" s="19">
        <v>18.890066323355459</v>
      </c>
      <c r="AE945" s="19">
        <v>22.214798102277257</v>
      </c>
      <c r="AF945" s="19">
        <v>25.279599528274833</v>
      </c>
      <c r="AG945" s="19">
        <v>27.896681145745436</v>
      </c>
      <c r="AH945" s="19">
        <v>29.940328975908351</v>
      </c>
      <c r="AI945" s="19">
        <v>31.370618691796956</v>
      </c>
      <c r="AJ945" s="19">
        <v>32.32242178883341</v>
      </c>
      <c r="AK945" s="19">
        <v>32.69884332591586</v>
      </c>
      <c r="AL945" s="19">
        <v>32.933607674529277</v>
      </c>
      <c r="AM945" s="19">
        <v>32.768278318733444</v>
      </c>
      <c r="AN945" s="19">
        <v>32.473363813864843</v>
      </c>
      <c r="AO945" s="19">
        <v>32.181103539540061</v>
      </c>
      <c r="AP945" s="19">
        <v>31.89147360768419</v>
      </c>
      <c r="AQ945" s="19">
        <v>0</v>
      </c>
      <c r="AR945" s="19">
        <v>438.92150608515641</v>
      </c>
    </row>
    <row r="946" spans="1:44" x14ac:dyDescent="0.25">
      <c r="A946" t="s">
        <v>250</v>
      </c>
      <c r="B946" t="s">
        <v>375</v>
      </c>
      <c r="C946" t="s">
        <v>45</v>
      </c>
      <c r="D946" t="s">
        <v>358</v>
      </c>
      <c r="E946" t="s">
        <v>148</v>
      </c>
      <c r="F946" t="s">
        <v>368</v>
      </c>
      <c r="G946" t="s">
        <v>31</v>
      </c>
      <c r="H946" t="s">
        <v>255</v>
      </c>
      <c r="I946" t="s">
        <v>135</v>
      </c>
      <c r="J946" t="s">
        <v>39</v>
      </c>
      <c r="K946" t="s">
        <v>31</v>
      </c>
      <c r="L946">
        <v>0.56280323450134839</v>
      </c>
      <c r="M946">
        <v>1</v>
      </c>
      <c r="N946" s="2">
        <v>4.2704524277700431</v>
      </c>
      <c r="O946" s="2">
        <v>3.1588853240212429</v>
      </c>
      <c r="P946" s="1">
        <v>-0.81470637820874159</v>
      </c>
      <c r="Q946" s="1">
        <v>0.40066586944362315</v>
      </c>
      <c r="R946" s="1">
        <v>-0.67371772101320482</v>
      </c>
      <c r="S946" s="19">
        <v>0</v>
      </c>
      <c r="T946" s="19">
        <v>0</v>
      </c>
      <c r="U946" s="19">
        <v>0.24194896345276995</v>
      </c>
      <c r="V946" s="19">
        <v>0.45634634221959769</v>
      </c>
      <c r="W946" s="19">
        <v>0.78283080141781813</v>
      </c>
      <c r="X946" s="19">
        <v>1.2520223347615052</v>
      </c>
      <c r="Y946" s="19">
        <v>1.8925554171357464</v>
      </c>
      <c r="Z946" s="19">
        <v>2.7261143870600599</v>
      </c>
      <c r="AA946" s="19">
        <v>3.7613611539701144</v>
      </c>
      <c r="AB946" s="19">
        <v>4.9876999068620185</v>
      </c>
      <c r="AC946" s="19">
        <v>6.3705234228521315</v>
      </c>
      <c r="AD946" s="19">
        <v>7.8500810741505891</v>
      </c>
      <c r="AE946" s="19">
        <v>9.3459618983771779</v>
      </c>
      <c r="AF946" s="19">
        <v>10.76799566484808</v>
      </c>
      <c r="AG946" s="19">
        <v>12.032119735203429</v>
      </c>
      <c r="AH946" s="19">
        <v>13.077140084694747</v>
      </c>
      <c r="AI946" s="19">
        <v>13.87673720614514</v>
      </c>
      <c r="AJ946" s="19">
        <v>14.481631800813402</v>
      </c>
      <c r="AK946" s="19">
        <v>14.840084099749845</v>
      </c>
      <c r="AL946" s="19">
        <v>15.141693522911437</v>
      </c>
      <c r="AM946" s="19">
        <v>15.263724360277468</v>
      </c>
      <c r="AN946" s="19">
        <v>15.326615116262824</v>
      </c>
      <c r="AO946" s="19">
        <v>15.391185681715053</v>
      </c>
      <c r="AP946" s="19">
        <v>15.457446123747722</v>
      </c>
      <c r="AQ946" s="19">
        <v>0</v>
      </c>
      <c r="AR946" s="19">
        <v>195.32381909862869</v>
      </c>
    </row>
    <row r="947" spans="1:44" x14ac:dyDescent="0.25">
      <c r="A947" t="s">
        <v>250</v>
      </c>
      <c r="B947" t="s">
        <v>376</v>
      </c>
      <c r="C947" t="s">
        <v>45</v>
      </c>
      <c r="D947" t="s">
        <v>377</v>
      </c>
      <c r="E947" t="s">
        <v>145</v>
      </c>
      <c r="F947" t="s">
        <v>377</v>
      </c>
      <c r="G947" t="s">
        <v>31</v>
      </c>
      <c r="H947" t="s">
        <v>288</v>
      </c>
      <c r="I947" t="s">
        <v>135</v>
      </c>
      <c r="J947" t="s">
        <v>39</v>
      </c>
      <c r="K947" t="s">
        <v>31</v>
      </c>
      <c r="L947">
        <v>0.44</v>
      </c>
      <c r="M947">
        <v>1</v>
      </c>
      <c r="N947" s="2">
        <v>2.9514343843691035</v>
      </c>
      <c r="O947" s="2">
        <v>3.1585068309872639</v>
      </c>
      <c r="P947" s="1">
        <v>-0.63571527425478014</v>
      </c>
      <c r="Q947" s="1">
        <v>0.57965697339758471</v>
      </c>
      <c r="R947" s="1">
        <v>-0.67371772101320537</v>
      </c>
      <c r="S947" s="19">
        <v>16.71992137797524</v>
      </c>
      <c r="T947" s="19">
        <v>31.36690256612324</v>
      </c>
      <c r="U947" s="19">
        <v>53.514084419264179</v>
      </c>
      <c r="V947" s="19">
        <v>85.112248451156262</v>
      </c>
      <c r="W947" s="19">
        <v>127.92787219843061</v>
      </c>
      <c r="X947" s="19">
        <v>183.21210295052671</v>
      </c>
      <c r="Y947" s="19">
        <v>251.30765092475201</v>
      </c>
      <c r="Z947" s="19">
        <v>331.25986006761747</v>
      </c>
      <c r="AA947" s="19">
        <v>420.54147468475338</v>
      </c>
      <c r="AB947" s="19">
        <v>515.02776473831284</v>
      </c>
      <c r="AC947" s="19">
        <v>609.34188786534298</v>
      </c>
      <c r="AD947" s="19">
        <v>697.60624017421549</v>
      </c>
      <c r="AE947" s="19">
        <v>774.48713738673234</v>
      </c>
      <c r="AF947" s="19">
        <v>836.25695482074275</v>
      </c>
      <c r="AG947" s="19">
        <v>881.51105365571902</v>
      </c>
      <c r="AH947" s="19">
        <v>913.75565059679468</v>
      </c>
      <c r="AI947" s="19">
        <v>929.99384997094171</v>
      </c>
      <c r="AJ947" s="19">
        <v>942.34189076259679</v>
      </c>
      <c r="AK947" s="19">
        <v>943.28801715894497</v>
      </c>
      <c r="AL947" s="19">
        <v>940.45815310746821</v>
      </c>
      <c r="AM947" s="19">
        <v>937.63677864814565</v>
      </c>
      <c r="AN947" s="19">
        <v>934.82386831220128</v>
      </c>
      <c r="AO947" s="19">
        <v>932.0193967072646</v>
      </c>
      <c r="AP947" s="19">
        <v>607.02426597785006</v>
      </c>
      <c r="AQ947" s="19">
        <v>0</v>
      </c>
      <c r="AR947" s="19">
        <v>13896.535027523876</v>
      </c>
    </row>
    <row r="948" spans="1:44" x14ac:dyDescent="0.25">
      <c r="A948" t="s">
        <v>250</v>
      </c>
      <c r="B948" t="s">
        <v>376</v>
      </c>
      <c r="C948" t="s">
        <v>45</v>
      </c>
      <c r="D948" t="s">
        <v>377</v>
      </c>
      <c r="E948" t="s">
        <v>148</v>
      </c>
      <c r="F948" t="s">
        <v>377</v>
      </c>
      <c r="G948" t="s">
        <v>31</v>
      </c>
      <c r="H948" t="s">
        <v>288</v>
      </c>
      <c r="I948" t="s">
        <v>135</v>
      </c>
      <c r="J948" t="s">
        <v>39</v>
      </c>
      <c r="K948" t="s">
        <v>31</v>
      </c>
      <c r="L948">
        <v>0.44</v>
      </c>
      <c r="M948">
        <v>1</v>
      </c>
      <c r="N948" s="2">
        <v>2.9514343843691035</v>
      </c>
      <c r="O948" s="2">
        <v>3.1585068309872639</v>
      </c>
      <c r="P948" s="1">
        <v>-0.63571527425478014</v>
      </c>
      <c r="Q948" s="1">
        <v>0.57965697339758471</v>
      </c>
      <c r="R948" s="1">
        <v>-0.67371772101320537</v>
      </c>
      <c r="S948" s="19">
        <v>2.8444348650385205</v>
      </c>
      <c r="T948" s="19">
        <v>6.7680306650934998</v>
      </c>
      <c r="U948" s="19">
        <v>11.676910267446845</v>
      </c>
      <c r="V948" s="19">
        <v>18.781719352180943</v>
      </c>
      <c r="W948" s="19">
        <v>28.549996539002219</v>
      </c>
      <c r="X948" s="19">
        <v>41.352968049059768</v>
      </c>
      <c r="Y948" s="19">
        <v>57.369861763724614</v>
      </c>
      <c r="Z948" s="19">
        <v>76.486762581190575</v>
      </c>
      <c r="AA948" s="19">
        <v>98.215347656947216</v>
      </c>
      <c r="AB948" s="19">
        <v>121.66559847394656</v>
      </c>
      <c r="AC948" s="19">
        <v>145.60566425769707</v>
      </c>
      <c r="AD948" s="19">
        <v>168.62462966970369</v>
      </c>
      <c r="AE948" s="19">
        <v>189.37885853631136</v>
      </c>
      <c r="AF948" s="19">
        <v>206.86011448007881</v>
      </c>
      <c r="AG948" s="19">
        <v>220.59593055637009</v>
      </c>
      <c r="AH948" s="19">
        <v>231.33715599985121</v>
      </c>
      <c r="AI948" s="19">
        <v>238.2065646346843</v>
      </c>
      <c r="AJ948" s="19">
        <v>244.20419148369143</v>
      </c>
      <c r="AK948" s="19">
        <v>247.32750660708072</v>
      </c>
      <c r="AL948" s="19">
        <v>249.49593053235881</v>
      </c>
      <c r="AM948" s="19">
        <v>251.69048739477333</v>
      </c>
      <c r="AN948" s="19">
        <v>253.9114648106017</v>
      </c>
      <c r="AO948" s="19">
        <v>256.15915363788997</v>
      </c>
      <c r="AP948" s="19">
        <v>258.43384801273839</v>
      </c>
      <c r="AQ948" s="19">
        <v>260.73584538603075</v>
      </c>
      <c r="AR948" s="19">
        <v>3886.2789762134921</v>
      </c>
    </row>
    <row r="949" spans="1:44" x14ac:dyDescent="0.25">
      <c r="A949" t="s">
        <v>250</v>
      </c>
      <c r="B949" t="s">
        <v>376</v>
      </c>
      <c r="C949" t="s">
        <v>45</v>
      </c>
      <c r="D949" t="s">
        <v>377</v>
      </c>
      <c r="E949" t="s">
        <v>145</v>
      </c>
      <c r="F949" t="s">
        <v>377</v>
      </c>
      <c r="G949" t="s">
        <v>31</v>
      </c>
      <c r="H949" t="s">
        <v>289</v>
      </c>
      <c r="I949" t="s">
        <v>135</v>
      </c>
      <c r="J949" t="s">
        <v>39</v>
      </c>
      <c r="K949" t="s">
        <v>31</v>
      </c>
      <c r="L949">
        <v>0.44</v>
      </c>
      <c r="M949">
        <v>1</v>
      </c>
      <c r="N949" s="2">
        <v>2.9514343843691035</v>
      </c>
      <c r="O949" s="2">
        <v>3.1585068309872639</v>
      </c>
      <c r="P949" s="1">
        <v>-0.63571527425478014</v>
      </c>
      <c r="Q949" s="1">
        <v>0.57965697339758471</v>
      </c>
      <c r="R949" s="1">
        <v>-0.67371772101320537</v>
      </c>
      <c r="S949" s="19">
        <v>15.891560491497414</v>
      </c>
      <c r="T949" s="19">
        <v>29.812881190761725</v>
      </c>
      <c r="U949" s="19">
        <v>50.862817502005562</v>
      </c>
      <c r="V949" s="19">
        <v>80.895502691215455</v>
      </c>
      <c r="W949" s="19">
        <v>121.58989708336181</v>
      </c>
      <c r="X949" s="19">
        <v>174.13516194209103</v>
      </c>
      <c r="Y949" s="19">
        <v>238.8570284730873</v>
      </c>
      <c r="Z949" s="19">
        <v>314.848137480118</v>
      </c>
      <c r="AA949" s="19">
        <v>399.70644197763551</v>
      </c>
      <c r="AB949" s="19">
        <v>489.5115648642327</v>
      </c>
      <c r="AC949" s="19">
        <v>579.15305055028796</v>
      </c>
      <c r="AD949" s="19">
        <v>663.04449132027719</v>
      </c>
      <c r="AE949" s="19">
        <v>736.1164514733133</v>
      </c>
      <c r="AF949" s="19">
        <v>794.82598533478176</v>
      </c>
      <c r="AG949" s="19">
        <v>837.83804459431633</v>
      </c>
      <c r="AH949" s="19">
        <v>868.48513624201109</v>
      </c>
      <c r="AI949" s="19">
        <v>883.9188408506451</v>
      </c>
      <c r="AJ949" s="19">
        <v>895.65511835793973</v>
      </c>
      <c r="AK949" s="19">
        <v>896.55437048480508</v>
      </c>
      <c r="AL949" s="19">
        <v>893.8647073733506</v>
      </c>
      <c r="AM949" s="19">
        <v>891.18311325123045</v>
      </c>
      <c r="AN949" s="19">
        <v>888.5095639114769</v>
      </c>
      <c r="AO949" s="19">
        <v>885.84403521974252</v>
      </c>
      <c r="AP949" s="19">
        <v>576.9502514109289</v>
      </c>
      <c r="AQ949" s="19">
        <v>0</v>
      </c>
      <c r="AR949" s="19">
        <v>13208.054154071113</v>
      </c>
    </row>
    <row r="950" spans="1:44" x14ac:dyDescent="0.25">
      <c r="A950" t="s">
        <v>250</v>
      </c>
      <c r="B950" t="s">
        <v>376</v>
      </c>
      <c r="C950" t="s">
        <v>45</v>
      </c>
      <c r="D950" t="s">
        <v>377</v>
      </c>
      <c r="E950" t="s">
        <v>148</v>
      </c>
      <c r="F950" t="s">
        <v>377</v>
      </c>
      <c r="G950" t="s">
        <v>31</v>
      </c>
      <c r="H950" t="s">
        <v>289</v>
      </c>
      <c r="I950" t="s">
        <v>135</v>
      </c>
      <c r="J950" t="s">
        <v>39</v>
      </c>
      <c r="K950" t="s">
        <v>31</v>
      </c>
      <c r="L950">
        <v>0.44</v>
      </c>
      <c r="M950">
        <v>1</v>
      </c>
      <c r="N950" s="2">
        <v>2.9514343843691035</v>
      </c>
      <c r="O950" s="2">
        <v>3.1585068309872639</v>
      </c>
      <c r="P950" s="1">
        <v>-0.63571527425478014</v>
      </c>
      <c r="Q950" s="1">
        <v>0.57965697339758471</v>
      </c>
      <c r="R950" s="1">
        <v>-0.67371772101320537</v>
      </c>
      <c r="S950" s="19">
        <v>2.7035120381264557</v>
      </c>
      <c r="T950" s="19">
        <v>6.4327197653166461</v>
      </c>
      <c r="U950" s="19">
        <v>11.09839703632581</v>
      </c>
      <c r="V950" s="19">
        <v>17.85121009077702</v>
      </c>
      <c r="W950" s="19">
        <v>27.135534119750496</v>
      </c>
      <c r="X950" s="19">
        <v>39.304203554465651</v>
      </c>
      <c r="Y950" s="19">
        <v>54.527566726959897</v>
      </c>
      <c r="Z950" s="19">
        <v>72.697352270982364</v>
      </c>
      <c r="AA950" s="19">
        <v>93.349430490733397</v>
      </c>
      <c r="AB950" s="19">
        <v>115.63787736644839</v>
      </c>
      <c r="AC950" s="19">
        <v>138.39187213547015</v>
      </c>
      <c r="AD950" s="19">
        <v>160.2704009291792</v>
      </c>
      <c r="AE950" s="19">
        <v>179.99639580870942</v>
      </c>
      <c r="AF950" s="19">
        <v>196.61157180251811</v>
      </c>
      <c r="AG950" s="19">
        <v>209.66686956031799</v>
      </c>
      <c r="AH950" s="19">
        <v>219.87593873170644</v>
      </c>
      <c r="AI950" s="19">
        <v>226.40501386270307</v>
      </c>
      <c r="AJ950" s="19">
        <v>232.10549819644748</v>
      </c>
      <c r="AK950" s="19">
        <v>235.07407383117896</v>
      </c>
      <c r="AL950" s="19">
        <v>237.13506677490989</v>
      </c>
      <c r="AM950" s="19">
        <v>239.2208979425763</v>
      </c>
      <c r="AN950" s="19">
        <v>241.33184070097528</v>
      </c>
      <c r="AO950" s="19">
        <v>243.46817149808177</v>
      </c>
      <c r="AP950" s="19">
        <v>245.63016989749889</v>
      </c>
      <c r="AQ950" s="19">
        <v>247.81811861340017</v>
      </c>
      <c r="AR950" s="19">
        <v>3693.7397037455594</v>
      </c>
    </row>
    <row r="951" spans="1:44" x14ac:dyDescent="0.25">
      <c r="A951" t="s">
        <v>250</v>
      </c>
      <c r="B951" t="s">
        <v>376</v>
      </c>
      <c r="C951" t="s">
        <v>45</v>
      </c>
      <c r="D951" t="s">
        <v>377</v>
      </c>
      <c r="E951" t="s">
        <v>145</v>
      </c>
      <c r="F951" t="s">
        <v>377</v>
      </c>
      <c r="G951" t="s">
        <v>31</v>
      </c>
      <c r="H951" t="s">
        <v>290</v>
      </c>
      <c r="I951" t="s">
        <v>135</v>
      </c>
      <c r="J951" t="s">
        <v>39</v>
      </c>
      <c r="K951" t="s">
        <v>31</v>
      </c>
      <c r="L951">
        <v>0.44</v>
      </c>
      <c r="M951">
        <v>1</v>
      </c>
      <c r="N951" s="2">
        <v>2.9514343843691035</v>
      </c>
      <c r="O951" s="2">
        <v>3.1585068309872639</v>
      </c>
      <c r="P951" s="1">
        <v>-0.63571527425478014</v>
      </c>
      <c r="Q951" s="1">
        <v>0.57965697339758471</v>
      </c>
      <c r="R951" s="1">
        <v>-0.67371772101320537</v>
      </c>
      <c r="S951" s="19">
        <v>23.012061961010485</v>
      </c>
      <c r="T951" s="19">
        <v>43.171082510438104</v>
      </c>
      <c r="U951" s="19">
        <v>73.65282399384003</v>
      </c>
      <c r="V951" s="19">
        <v>117.14219766481408</v>
      </c>
      <c r="W951" s="19">
        <v>176.07045242739153</v>
      </c>
      <c r="X951" s="19">
        <v>252.15957478474201</v>
      </c>
      <c r="Y951" s="19">
        <v>345.88124570814915</v>
      </c>
      <c r="Z951" s="19">
        <v>455.92154728151064</v>
      </c>
      <c r="AA951" s="19">
        <v>578.80215186706846</v>
      </c>
      <c r="AB951" s="19">
        <v>708.84608640630074</v>
      </c>
      <c r="AC951" s="19">
        <v>838.65306313386805</v>
      </c>
      <c r="AD951" s="19">
        <v>960.13358318917244</v>
      </c>
      <c r="AE951" s="19">
        <v>1065.9467583996147</v>
      </c>
      <c r="AF951" s="19">
        <v>1150.9621621194071</v>
      </c>
      <c r="AG951" s="19">
        <v>1213.2465534654075</v>
      </c>
      <c r="AH951" s="19">
        <v>1257.6256295353032</v>
      </c>
      <c r="AI951" s="19">
        <v>1279.9746849935038</v>
      </c>
      <c r="AJ951" s="19">
        <v>1296.9696141783361</v>
      </c>
      <c r="AK951" s="19">
        <v>1298.2717925058239</v>
      </c>
      <c r="AL951" s="19">
        <v>1294.3769771283066</v>
      </c>
      <c r="AM951" s="19">
        <v>1290.493846196922</v>
      </c>
      <c r="AN951" s="19">
        <v>1286.622364658331</v>
      </c>
      <c r="AO951" s="19">
        <v>1282.762497564356</v>
      </c>
      <c r="AP951" s="19">
        <v>835.46325994809649</v>
      </c>
      <c r="AQ951" s="19">
        <v>0</v>
      </c>
      <c r="AR951" s="19">
        <v>19126.162011621713</v>
      </c>
    </row>
    <row r="952" spans="1:44" x14ac:dyDescent="0.25">
      <c r="A952" t="s">
        <v>250</v>
      </c>
      <c r="B952" t="s">
        <v>376</v>
      </c>
      <c r="C952" t="s">
        <v>45</v>
      </c>
      <c r="D952" t="s">
        <v>377</v>
      </c>
      <c r="E952" t="s">
        <v>148</v>
      </c>
      <c r="F952" t="s">
        <v>377</v>
      </c>
      <c r="G952" t="s">
        <v>31</v>
      </c>
      <c r="H952" t="s">
        <v>290</v>
      </c>
      <c r="I952" t="s">
        <v>135</v>
      </c>
      <c r="J952" t="s">
        <v>39</v>
      </c>
      <c r="K952" t="s">
        <v>31</v>
      </c>
      <c r="L952">
        <v>0.44</v>
      </c>
      <c r="M952">
        <v>1</v>
      </c>
      <c r="N952" s="2">
        <v>2.9514343843691035</v>
      </c>
      <c r="O952" s="2">
        <v>3.1585068309872639</v>
      </c>
      <c r="P952" s="1">
        <v>-0.63571527425478014</v>
      </c>
      <c r="Q952" s="1">
        <v>0.57965697339758471</v>
      </c>
      <c r="R952" s="1">
        <v>-0.67371772101320537</v>
      </c>
      <c r="S952" s="19">
        <v>3.9148695665847457</v>
      </c>
      <c r="T952" s="19">
        <v>9.3150163507533641</v>
      </c>
      <c r="U952" s="19">
        <v>16.071234817025612</v>
      </c>
      <c r="V952" s="19">
        <v>25.849768051901993</v>
      </c>
      <c r="W952" s="19">
        <v>39.294101598324467</v>
      </c>
      <c r="X952" s="19">
        <v>56.915163744143534</v>
      </c>
      <c r="Y952" s="19">
        <v>78.959630476521269</v>
      </c>
      <c r="Z952" s="19">
        <v>105.27071748280036</v>
      </c>
      <c r="AA952" s="19">
        <v>135.17633335172653</v>
      </c>
      <c r="AB952" s="19">
        <v>167.4515224870598</v>
      </c>
      <c r="AC952" s="19">
        <v>200.40085668022459</v>
      </c>
      <c r="AD952" s="19">
        <v>232.08245651341565</v>
      </c>
      <c r="AE952" s="19">
        <v>260.64704063045076</v>
      </c>
      <c r="AF952" s="19">
        <v>284.70694712404065</v>
      </c>
      <c r="AG952" s="19">
        <v>303.61190746966548</v>
      </c>
      <c r="AH952" s="19">
        <v>318.39533496641513</v>
      </c>
      <c r="AI952" s="19">
        <v>327.84988044941366</v>
      </c>
      <c r="AJ952" s="19">
        <v>336.10457002290963</v>
      </c>
      <c r="AK952" s="19">
        <v>340.40326973078157</v>
      </c>
      <c r="AL952" s="19">
        <v>343.38772788690494</v>
      </c>
      <c r="AM952" s="19">
        <v>346.40815348300578</v>
      </c>
      <c r="AN952" s="19">
        <v>349.46494237283639</v>
      </c>
      <c r="AO952" s="19">
        <v>352.5584948718826</v>
      </c>
      <c r="AP952" s="19">
        <v>355.68921580728926</v>
      </c>
      <c r="AQ952" s="19">
        <v>358.85751456843411</v>
      </c>
      <c r="AR952" s="19">
        <v>5348.7866705045126</v>
      </c>
    </row>
    <row r="953" spans="1:44" x14ac:dyDescent="0.25">
      <c r="A953" t="s">
        <v>250</v>
      </c>
      <c r="B953" t="s">
        <v>376</v>
      </c>
      <c r="C953" t="s">
        <v>45</v>
      </c>
      <c r="D953" t="s">
        <v>377</v>
      </c>
      <c r="E953" t="s">
        <v>145</v>
      </c>
      <c r="F953" t="s">
        <v>377</v>
      </c>
      <c r="G953" t="s">
        <v>31</v>
      </c>
      <c r="H953" t="s">
        <v>288</v>
      </c>
      <c r="I953" t="s">
        <v>135</v>
      </c>
      <c r="J953" t="s">
        <v>39</v>
      </c>
      <c r="K953" t="s">
        <v>33</v>
      </c>
      <c r="L953">
        <v>0.44</v>
      </c>
      <c r="M953">
        <v>1</v>
      </c>
      <c r="N953" s="2">
        <v>2.9514343843691035</v>
      </c>
      <c r="O953" s="2">
        <v>3.1585068309872639</v>
      </c>
      <c r="P953" s="1">
        <v>-0.63571527425478014</v>
      </c>
      <c r="Q953" s="1">
        <v>0.57965697339758471</v>
      </c>
      <c r="R953" s="1">
        <v>-0.67371772101320537</v>
      </c>
      <c r="S953" s="19">
        <v>0.15728619603006799</v>
      </c>
      <c r="T953" s="19">
        <v>0.29507200867404759</v>
      </c>
      <c r="U953" s="19">
        <v>0.50341305931172298</v>
      </c>
      <c r="V953" s="19">
        <v>0.80066057081361475</v>
      </c>
      <c r="W953" s="19">
        <v>1.2034319976418757</v>
      </c>
      <c r="X953" s="19">
        <v>1.7234970241975636</v>
      </c>
      <c r="Y953" s="19">
        <v>2.3640795643497907</v>
      </c>
      <c r="Z953" s="19">
        <v>3.1161990603688916</v>
      </c>
      <c r="AA953" s="19">
        <v>3.9560813314093553</v>
      </c>
      <c r="AB953" s="19">
        <v>4.8449245743623131</v>
      </c>
      <c r="AC953" s="19">
        <v>5.7321482235179211</v>
      </c>
      <c r="AD953" s="19">
        <v>6.5624609926920501</v>
      </c>
      <c r="AE953" s="19">
        <v>7.2856883091712001</v>
      </c>
      <c r="AF953" s="19">
        <v>7.8667639849495155</v>
      </c>
      <c r="AG953" s="19">
        <v>8.2924744233908321</v>
      </c>
      <c r="AH953" s="19">
        <v>8.5958030025589913</v>
      </c>
      <c r="AI953" s="19">
        <v>8.7485575850836348</v>
      </c>
      <c r="AJ953" s="19">
        <v>8.8647170047745583</v>
      </c>
      <c r="AK953" s="19">
        <v>8.8736173230524464</v>
      </c>
      <c r="AL953" s="19">
        <v>8.8469964710832905</v>
      </c>
      <c r="AM953" s="19">
        <v>8.820455481670038</v>
      </c>
      <c r="AN953" s="19">
        <v>8.7939941152250292</v>
      </c>
      <c r="AO953" s="19">
        <v>8.7676121328793553</v>
      </c>
      <c r="AP953" s="19">
        <v>5.7103460916609921</v>
      </c>
      <c r="AQ953" s="19">
        <v>0</v>
      </c>
      <c r="AR953" s="19">
        <v>130.7262805288691</v>
      </c>
    </row>
    <row r="954" spans="1:44" x14ac:dyDescent="0.25">
      <c r="A954" t="s">
        <v>250</v>
      </c>
      <c r="B954" t="s">
        <v>376</v>
      </c>
      <c r="C954" t="s">
        <v>45</v>
      </c>
      <c r="D954" t="s">
        <v>377</v>
      </c>
      <c r="E954" t="s">
        <v>148</v>
      </c>
      <c r="F954" t="s">
        <v>377</v>
      </c>
      <c r="G954" t="s">
        <v>31</v>
      </c>
      <c r="H954" t="s">
        <v>288</v>
      </c>
      <c r="I954" t="s">
        <v>135</v>
      </c>
      <c r="J954" t="s">
        <v>39</v>
      </c>
      <c r="K954" t="s">
        <v>33</v>
      </c>
      <c r="L954">
        <v>0.44</v>
      </c>
      <c r="M954">
        <v>1</v>
      </c>
      <c r="N954" s="2">
        <v>2.9514343843691035</v>
      </c>
      <c r="O954" s="2">
        <v>3.1585068309872639</v>
      </c>
      <c r="P954" s="1">
        <v>-0.63571527425478014</v>
      </c>
      <c r="Q954" s="1">
        <v>0.57965697339758471</v>
      </c>
      <c r="R954" s="1">
        <v>-0.67371772101320537</v>
      </c>
      <c r="S954" s="19">
        <v>2.6757921264303638E-2</v>
      </c>
      <c r="T954" s="19">
        <v>6.3667631794588397E-2</v>
      </c>
      <c r="U954" s="19">
        <v>0.10984601876002256</v>
      </c>
      <c r="V954" s="19">
        <v>0.17668176333055055</v>
      </c>
      <c r="W954" s="19">
        <v>0.26857305430912842</v>
      </c>
      <c r="X954" s="19">
        <v>0.38901205884601325</v>
      </c>
      <c r="Y954" s="19">
        <v>0.53968479394127833</v>
      </c>
      <c r="Z954" s="19">
        <v>0.71951964731710216</v>
      </c>
      <c r="AA954" s="19">
        <v>0.92392291061135634</v>
      </c>
      <c r="AB954" s="19">
        <v>1.1445220787279988</v>
      </c>
      <c r="AC954" s="19">
        <v>1.3697289917697919</v>
      </c>
      <c r="AD954" s="19">
        <v>1.5862710091845047</v>
      </c>
      <c r="AE954" s="19">
        <v>1.781508393151314</v>
      </c>
      <c r="AF954" s="19">
        <v>1.9459565497583668</v>
      </c>
      <c r="AG954" s="19">
        <v>2.0751709288914193</v>
      </c>
      <c r="AH954" s="19">
        <v>2.1762148544287903</v>
      </c>
      <c r="AI954" s="19">
        <v>2.240836160278445</v>
      </c>
      <c r="AJ954" s="19">
        <v>2.2972565160303486</v>
      </c>
      <c r="AK954" s="19">
        <v>2.3266378955030542</v>
      </c>
      <c r="AL954" s="19">
        <v>2.3470365052140862</v>
      </c>
      <c r="AM954" s="19">
        <v>2.367680950427494</v>
      </c>
      <c r="AN954" s="19">
        <v>2.3885739367823664</v>
      </c>
      <c r="AO954" s="19">
        <v>2.4097182004132605</v>
      </c>
      <c r="AP954" s="19">
        <v>2.4311165082918018</v>
      </c>
      <c r="AQ954" s="19">
        <v>2.4527716585721677</v>
      </c>
      <c r="AR954" s="19">
        <v>36.558666937599554</v>
      </c>
    </row>
    <row r="955" spans="1:44" x14ac:dyDescent="0.25">
      <c r="A955" t="s">
        <v>250</v>
      </c>
      <c r="B955" t="s">
        <v>378</v>
      </c>
      <c r="C955" t="s">
        <v>45</v>
      </c>
      <c r="D955" t="s">
        <v>377</v>
      </c>
      <c r="E955" t="s">
        <v>145</v>
      </c>
      <c r="F955" t="s">
        <v>377</v>
      </c>
      <c r="G955" t="s">
        <v>31</v>
      </c>
      <c r="H955" t="s">
        <v>278</v>
      </c>
      <c r="I955" t="s">
        <v>135</v>
      </c>
      <c r="J955" t="s">
        <v>39</v>
      </c>
      <c r="K955" t="s">
        <v>31</v>
      </c>
      <c r="L955">
        <v>0.15</v>
      </c>
      <c r="M955">
        <v>1</v>
      </c>
      <c r="N955" s="2">
        <v>1.4949741446569866</v>
      </c>
      <c r="O955" s="2">
        <v>3.1588853240212433</v>
      </c>
      <c r="P955" s="1">
        <v>-7.0854437090028394E-2</v>
      </c>
      <c r="Q955" s="1">
        <v>1.1445178105623359</v>
      </c>
      <c r="R955" s="1">
        <v>-0.6737177210132046</v>
      </c>
      <c r="S955" s="19">
        <v>2.6725892721161264</v>
      </c>
      <c r="T955" s="19">
        <v>4.9836567310640367</v>
      </c>
      <c r="U955" s="19">
        <v>8.4512915016723653</v>
      </c>
      <c r="V955" s="19">
        <v>13.360587081684836</v>
      </c>
      <c r="W955" s="19">
        <v>19.960763588286667</v>
      </c>
      <c r="X955" s="19">
        <v>28.414801756346343</v>
      </c>
      <c r="Y955" s="19">
        <v>38.741343513300883</v>
      </c>
      <c r="Z955" s="19">
        <v>50.759376305071427</v>
      </c>
      <c r="AA955" s="19">
        <v>64.05230936069583</v>
      </c>
      <c r="AB955" s="19">
        <v>77.971357880880092</v>
      </c>
      <c r="AC955" s="19">
        <v>91.694647516540769</v>
      </c>
      <c r="AD955" s="19">
        <v>104.345038718441</v>
      </c>
      <c r="AE955" s="19">
        <v>115.14740457075033</v>
      </c>
      <c r="AF955" s="19">
        <v>123.58284326220176</v>
      </c>
      <c r="AG955" s="19">
        <v>129.48656161881809</v>
      </c>
      <c r="AH955" s="19">
        <v>133.41526036665692</v>
      </c>
      <c r="AI955" s="19">
        <v>134.9689922530103</v>
      </c>
      <c r="AJ955" s="19">
        <v>135.9380145280023</v>
      </c>
      <c r="AK955" s="19">
        <v>135.25559477635568</v>
      </c>
      <c r="AL955" s="19">
        <v>134.03829442336846</v>
      </c>
      <c r="AM955" s="19">
        <v>132.83194977355814</v>
      </c>
      <c r="AN955" s="19">
        <v>131.63646222559615</v>
      </c>
      <c r="AO955" s="19">
        <v>110.00340061825482</v>
      </c>
      <c r="AP955" s="19">
        <v>0</v>
      </c>
      <c r="AQ955" s="19">
        <v>0</v>
      </c>
      <c r="AR955" s="19">
        <v>1921.7125416426732</v>
      </c>
    </row>
    <row r="956" spans="1:44" x14ac:dyDescent="0.25">
      <c r="A956" t="s">
        <v>250</v>
      </c>
      <c r="B956" t="s">
        <v>378</v>
      </c>
      <c r="C956" t="s">
        <v>45</v>
      </c>
      <c r="D956" t="s">
        <v>377</v>
      </c>
      <c r="E956" t="s">
        <v>148</v>
      </c>
      <c r="F956" t="s">
        <v>377</v>
      </c>
      <c r="G956" t="s">
        <v>31</v>
      </c>
      <c r="H956" t="s">
        <v>278</v>
      </c>
      <c r="I956" t="s">
        <v>135</v>
      </c>
      <c r="J956" t="s">
        <v>39</v>
      </c>
      <c r="K956" t="s">
        <v>31</v>
      </c>
      <c r="L956">
        <v>0.15</v>
      </c>
      <c r="M956">
        <v>1</v>
      </c>
      <c r="N956" s="2">
        <v>1.4949741446569866</v>
      </c>
      <c r="O956" s="2">
        <v>3.1588853240212433</v>
      </c>
      <c r="P956" s="1">
        <v>-7.0854437090028394E-2</v>
      </c>
      <c r="Q956" s="1">
        <v>1.1445178105623359</v>
      </c>
      <c r="R956" s="1">
        <v>-0.6737177210132046</v>
      </c>
      <c r="S956" s="19">
        <v>0.45466757490552434</v>
      </c>
      <c r="T956" s="19">
        <v>1.5344357345813866</v>
      </c>
      <c r="U956" s="19">
        <v>2.6316916074314256</v>
      </c>
      <c r="V956" s="19">
        <v>4.2081611608071414</v>
      </c>
      <c r="W956" s="19">
        <v>6.359783670706876</v>
      </c>
      <c r="X956" s="19">
        <v>9.1590732745544248</v>
      </c>
      <c r="Y956" s="19">
        <v>12.634745563854764</v>
      </c>
      <c r="Z956" s="19">
        <v>16.750820711990457</v>
      </c>
      <c r="AA956" s="19">
        <v>21.39072570540251</v>
      </c>
      <c r="AB956" s="19">
        <v>26.353572992047749</v>
      </c>
      <c r="AC956" s="19">
        <v>31.36928922768049</v>
      </c>
      <c r="AD956" s="19">
        <v>36.135262823843568</v>
      </c>
      <c r="AE956" s="19">
        <v>40.369608989939231</v>
      </c>
      <c r="AF956" s="19">
        <v>43.86737215412839</v>
      </c>
      <c r="AG956" s="19">
        <v>46.540715881747545</v>
      </c>
      <c r="AH956" s="19">
        <v>48.560200375405323</v>
      </c>
      <c r="AI956" s="19">
        <v>49.752744090311424</v>
      </c>
      <c r="AJ956" s="19">
        <v>50.754351653817736</v>
      </c>
      <c r="AK956" s="19">
        <v>51.153807425658478</v>
      </c>
      <c r="AL956" s="19">
        <v>51.355006779849312</v>
      </c>
      <c r="AM956" s="19">
        <v>51.56181454567205</v>
      </c>
      <c r="AN956" s="19">
        <v>51.774263448719033</v>
      </c>
      <c r="AO956" s="19">
        <v>51.992386853098083</v>
      </c>
      <c r="AP956" s="19">
        <v>52.216218766146319</v>
      </c>
      <c r="AQ956" s="19">
        <v>52.445793843228238</v>
      </c>
      <c r="AR956" s="19">
        <v>811.32651485552731</v>
      </c>
    </row>
    <row r="957" spans="1:44" x14ac:dyDescent="0.25">
      <c r="A957" t="s">
        <v>250</v>
      </c>
      <c r="B957" t="s">
        <v>379</v>
      </c>
      <c r="C957" t="s">
        <v>45</v>
      </c>
      <c r="D957" t="s">
        <v>377</v>
      </c>
      <c r="E957" t="s">
        <v>145</v>
      </c>
      <c r="F957" t="s">
        <v>377</v>
      </c>
      <c r="G957" t="s">
        <v>31</v>
      </c>
      <c r="H957" t="s">
        <v>272</v>
      </c>
      <c r="I957" t="s">
        <v>135</v>
      </c>
      <c r="J957" t="s">
        <v>39</v>
      </c>
      <c r="K957" t="s">
        <v>31</v>
      </c>
      <c r="L957">
        <v>0.9</v>
      </c>
      <c r="M957">
        <v>1</v>
      </c>
      <c r="N957" s="2">
        <v>3.925396992140191</v>
      </c>
      <c r="O957" s="2">
        <v>3.1588853240212433</v>
      </c>
      <c r="P957" s="1">
        <v>-0.77948651728774332</v>
      </c>
      <c r="Q957" s="1">
        <v>0.43588573036462142</v>
      </c>
      <c r="R957" s="1">
        <v>-0.67371772101320515</v>
      </c>
      <c r="S957" s="19">
        <v>5.7658344727536157</v>
      </c>
      <c r="T957" s="19">
        <v>10.799460304005184</v>
      </c>
      <c r="U957" s="19">
        <v>18.395050949879991</v>
      </c>
      <c r="V957" s="19">
        <v>29.209722923249601</v>
      </c>
      <c r="W957" s="19">
        <v>43.833184980236979</v>
      </c>
      <c r="X957" s="19">
        <v>62.675021211375736</v>
      </c>
      <c r="Y957" s="19">
        <v>85.831858967638908</v>
      </c>
      <c r="Z957" s="19">
        <v>112.95724726159504</v>
      </c>
      <c r="AA957" s="19">
        <v>143.17150739844331</v>
      </c>
      <c r="AB957" s="19">
        <v>175.05756548382038</v>
      </c>
      <c r="AC957" s="19">
        <v>206.78248692672085</v>
      </c>
      <c r="AD957" s="19">
        <v>236.35541426747071</v>
      </c>
      <c r="AE957" s="19">
        <v>261.98226106305503</v>
      </c>
      <c r="AF957" s="19">
        <v>282.42289296278415</v>
      </c>
      <c r="AG957" s="19">
        <v>297.22846270827398</v>
      </c>
      <c r="AH957" s="19">
        <v>307.6062721151705</v>
      </c>
      <c r="AI957" s="19">
        <v>312.57026833142908</v>
      </c>
      <c r="AJ957" s="19">
        <v>316.21215848644499</v>
      </c>
      <c r="AK957" s="19">
        <v>316.02166923434459</v>
      </c>
      <c r="AL957" s="19">
        <v>314.56796955586668</v>
      </c>
      <c r="AM957" s="19">
        <v>313.12095689590973</v>
      </c>
      <c r="AN957" s="19">
        <v>311.68060049418847</v>
      </c>
      <c r="AO957" s="19">
        <v>310.24686973191513</v>
      </c>
      <c r="AP957" s="19">
        <v>136.49271358560327</v>
      </c>
      <c r="AQ957" s="19">
        <v>0</v>
      </c>
      <c r="AR957" s="19">
        <v>4610.9874503121755</v>
      </c>
    </row>
    <row r="958" spans="1:44" x14ac:dyDescent="0.25">
      <c r="A958" t="s">
        <v>250</v>
      </c>
      <c r="B958" t="s">
        <v>379</v>
      </c>
      <c r="C958" t="s">
        <v>45</v>
      </c>
      <c r="D958" t="s">
        <v>377</v>
      </c>
      <c r="E958" t="s">
        <v>148</v>
      </c>
      <c r="F958" t="s">
        <v>377</v>
      </c>
      <c r="G958" t="s">
        <v>31</v>
      </c>
      <c r="H958" t="s">
        <v>272</v>
      </c>
      <c r="I958" t="s">
        <v>135</v>
      </c>
      <c r="J958" t="s">
        <v>39</v>
      </c>
      <c r="K958" t="s">
        <v>31</v>
      </c>
      <c r="L958">
        <v>0.9</v>
      </c>
      <c r="M958">
        <v>1</v>
      </c>
      <c r="N958" s="2">
        <v>3.925396992140191</v>
      </c>
      <c r="O958" s="2">
        <v>3.1588853240212433</v>
      </c>
      <c r="P958" s="1">
        <v>-0.77948651728774332</v>
      </c>
      <c r="Q958" s="1">
        <v>0.43588573036462142</v>
      </c>
      <c r="R958" s="1">
        <v>-0.67371772101320515</v>
      </c>
      <c r="S958" s="19">
        <v>0.98089818902769677</v>
      </c>
      <c r="T958" s="19">
        <v>2.5943278809001291</v>
      </c>
      <c r="U958" s="19">
        <v>4.4689459729886929</v>
      </c>
      <c r="V958" s="19">
        <v>7.1768661819962709</v>
      </c>
      <c r="W958" s="19">
        <v>10.892701312785444</v>
      </c>
      <c r="X958" s="19">
        <v>15.753386021632354</v>
      </c>
      <c r="Y958" s="19">
        <v>21.822090578383495</v>
      </c>
      <c r="Z958" s="19">
        <v>29.050375067981609</v>
      </c>
      <c r="AA958" s="19">
        <v>37.248200303488758</v>
      </c>
      <c r="AB958" s="19">
        <v>46.074615918625</v>
      </c>
      <c r="AC958" s="19">
        <v>55.061453279167864</v>
      </c>
      <c r="AD958" s="19">
        <v>63.675640911889793</v>
      </c>
      <c r="AE958" s="19">
        <v>71.41248235094524</v>
      </c>
      <c r="AF958" s="19">
        <v>77.896344374241977</v>
      </c>
      <c r="AG958" s="19">
        <v>82.955047042484651</v>
      </c>
      <c r="AH958" s="19">
        <v>86.876634360423338</v>
      </c>
      <c r="AI958" s="19">
        <v>89.336890680512155</v>
      </c>
      <c r="AJ958" s="19">
        <v>91.465417527980293</v>
      </c>
      <c r="AK958" s="19">
        <v>92.514556240225403</v>
      </c>
      <c r="AL958" s="19">
        <v>93.205610917523487</v>
      </c>
      <c r="AM958" s="19">
        <v>93.906008887866165</v>
      </c>
      <c r="AN958" s="19">
        <v>94.61584759935198</v>
      </c>
      <c r="AO958" s="19">
        <v>95.335225626620016</v>
      </c>
      <c r="AP958" s="19">
        <v>96.064242683313751</v>
      </c>
      <c r="AQ958" s="19">
        <v>96.802999634713615</v>
      </c>
      <c r="AR958" s="19">
        <v>1457.1868095450693</v>
      </c>
    </row>
    <row r="959" spans="1:44" x14ac:dyDescent="0.25">
      <c r="A959" t="s">
        <v>250</v>
      </c>
      <c r="B959" t="s">
        <v>379</v>
      </c>
      <c r="C959" t="s">
        <v>45</v>
      </c>
      <c r="D959" t="s">
        <v>377</v>
      </c>
      <c r="E959" t="s">
        <v>145</v>
      </c>
      <c r="F959" t="s">
        <v>377</v>
      </c>
      <c r="G959" t="s">
        <v>31</v>
      </c>
      <c r="H959" t="s">
        <v>273</v>
      </c>
      <c r="I959" t="s">
        <v>135</v>
      </c>
      <c r="J959" t="s">
        <v>39</v>
      </c>
      <c r="K959" t="s">
        <v>31</v>
      </c>
      <c r="L959">
        <v>0.9</v>
      </c>
      <c r="M959">
        <v>1</v>
      </c>
      <c r="N959" s="2">
        <v>3.925396992140191</v>
      </c>
      <c r="O959" s="2">
        <v>3.1588853240212433</v>
      </c>
      <c r="P959" s="1">
        <v>-0.77948651728774332</v>
      </c>
      <c r="Q959" s="1">
        <v>0.43588573036462142</v>
      </c>
      <c r="R959" s="1">
        <v>-0.67371772101320515</v>
      </c>
      <c r="S959" s="19">
        <v>1.7341124693584715</v>
      </c>
      <c r="T959" s="19">
        <v>3.2480083956647894</v>
      </c>
      <c r="U959" s="19">
        <v>5.5324320143788457</v>
      </c>
      <c r="V959" s="19">
        <v>8.7850154192030683</v>
      </c>
      <c r="W959" s="19">
        <v>13.183117379646896</v>
      </c>
      <c r="X959" s="19">
        <v>18.849922992681375</v>
      </c>
      <c r="Y959" s="19">
        <v>25.814493566777184</v>
      </c>
      <c r="Z959" s="19">
        <v>33.972631699083863</v>
      </c>
      <c r="AA959" s="19">
        <v>43.059768262462647</v>
      </c>
      <c r="AB959" s="19">
        <v>52.649709004922755</v>
      </c>
      <c r="AC959" s="19">
        <v>62.191186847119283</v>
      </c>
      <c r="AD959" s="19">
        <v>71.085438372958691</v>
      </c>
      <c r="AE959" s="19">
        <v>78.792880337961691</v>
      </c>
      <c r="AF959" s="19">
        <v>84.940534216405126</v>
      </c>
      <c r="AG959" s="19">
        <v>89.39340625651225</v>
      </c>
      <c r="AH959" s="19">
        <v>92.51460038412138</v>
      </c>
      <c r="AI959" s="19">
        <v>94.007554747820166</v>
      </c>
      <c r="AJ959" s="19">
        <v>95.102877057139011</v>
      </c>
      <c r="AK959" s="19">
        <v>95.045586167345562</v>
      </c>
      <c r="AL959" s="19">
        <v>94.60837647097577</v>
      </c>
      <c r="AM959" s="19">
        <v>94.173177939209268</v>
      </c>
      <c r="AN959" s="19">
        <v>93.739981320688898</v>
      </c>
      <c r="AO959" s="19">
        <v>93.308777406613729</v>
      </c>
      <c r="AP959" s="19">
        <v>41.05107729399149</v>
      </c>
      <c r="AQ959" s="19">
        <v>0</v>
      </c>
      <c r="AR959" s="19">
        <v>1386.7846660230423</v>
      </c>
    </row>
    <row r="960" spans="1:44" x14ac:dyDescent="0.25">
      <c r="A960" t="s">
        <v>250</v>
      </c>
      <c r="B960" t="s">
        <v>379</v>
      </c>
      <c r="C960" t="s">
        <v>45</v>
      </c>
      <c r="D960" t="s">
        <v>377</v>
      </c>
      <c r="E960" t="s">
        <v>148</v>
      </c>
      <c r="F960" t="s">
        <v>377</v>
      </c>
      <c r="G960" t="s">
        <v>31</v>
      </c>
      <c r="H960" t="s">
        <v>273</v>
      </c>
      <c r="I960" t="s">
        <v>135</v>
      </c>
      <c r="J960" t="s">
        <v>39</v>
      </c>
      <c r="K960" t="s">
        <v>31</v>
      </c>
      <c r="L960">
        <v>0.9</v>
      </c>
      <c r="M960">
        <v>1</v>
      </c>
      <c r="N960" s="2">
        <v>3.925396992140191</v>
      </c>
      <c r="O960" s="2">
        <v>3.1588853240212433</v>
      </c>
      <c r="P960" s="1">
        <v>-0.77948651728774332</v>
      </c>
      <c r="Q960" s="1">
        <v>0.43588573036462142</v>
      </c>
      <c r="R960" s="1">
        <v>-0.67371772101320515</v>
      </c>
      <c r="S960" s="19">
        <v>0.29501155275998114</v>
      </c>
      <c r="T960" s="19">
        <v>0.78026109648699771</v>
      </c>
      <c r="U960" s="19">
        <v>1.3440647617044594</v>
      </c>
      <c r="V960" s="19">
        <v>2.1584894946131485</v>
      </c>
      <c r="W960" s="19">
        <v>3.2760512395489534</v>
      </c>
      <c r="X960" s="19">
        <v>4.737933990963807</v>
      </c>
      <c r="Y960" s="19">
        <v>6.5631366211199227</v>
      </c>
      <c r="Z960" s="19">
        <v>8.7370905084044015</v>
      </c>
      <c r="AA960" s="19">
        <v>11.202640123068702</v>
      </c>
      <c r="AB960" s="19">
        <v>13.857242410088144</v>
      </c>
      <c r="AC960" s="19">
        <v>16.560092587396834</v>
      </c>
      <c r="AD960" s="19">
        <v>19.150865919147201</v>
      </c>
      <c r="AE960" s="19">
        <v>21.477771638746479</v>
      </c>
      <c r="AF960" s="19">
        <v>23.427835595201419</v>
      </c>
      <c r="AG960" s="19">
        <v>24.949273544422407</v>
      </c>
      <c r="AH960" s="19">
        <v>26.128716606801746</v>
      </c>
      <c r="AI960" s="19">
        <v>26.868654803544068</v>
      </c>
      <c r="AJ960" s="19">
        <v>27.508823189404065</v>
      </c>
      <c r="AK960" s="19">
        <v>27.824358526324637</v>
      </c>
      <c r="AL960" s="19">
        <v>28.032197745188263</v>
      </c>
      <c r="AM960" s="19">
        <v>28.242847020609226</v>
      </c>
      <c r="AN960" s="19">
        <v>28.456335660742688</v>
      </c>
      <c r="AO960" s="19">
        <v>28.672693312555491</v>
      </c>
      <c r="AP960" s="19">
        <v>28.891949965579773</v>
      </c>
      <c r="AQ960" s="19">
        <v>29.114135955708505</v>
      </c>
      <c r="AR960" s="19">
        <v>438.25847387013147</v>
      </c>
    </row>
    <row r="961" spans="1:44" x14ac:dyDescent="0.25">
      <c r="A961" t="s">
        <v>250</v>
      </c>
      <c r="B961" t="s">
        <v>379</v>
      </c>
      <c r="C961" t="s">
        <v>45</v>
      </c>
      <c r="D961" t="s">
        <v>377</v>
      </c>
      <c r="E961" t="s">
        <v>145</v>
      </c>
      <c r="F961" t="s">
        <v>377</v>
      </c>
      <c r="G961" t="s">
        <v>31</v>
      </c>
      <c r="H961" t="s">
        <v>274</v>
      </c>
      <c r="I961" t="s">
        <v>135</v>
      </c>
      <c r="J961" t="s">
        <v>39</v>
      </c>
      <c r="K961" t="s">
        <v>31</v>
      </c>
      <c r="L961">
        <v>0.9</v>
      </c>
      <c r="M961">
        <v>1</v>
      </c>
      <c r="N961" s="2">
        <v>3.925396992140191</v>
      </c>
      <c r="O961" s="2">
        <v>3.1588853240212433</v>
      </c>
      <c r="P961" s="1">
        <v>-0.77948651728774332</v>
      </c>
      <c r="Q961" s="1">
        <v>0.43588573036462142</v>
      </c>
      <c r="R961" s="1">
        <v>-0.67371772101320515</v>
      </c>
      <c r="S961" s="19">
        <v>2.7298035550384601</v>
      </c>
      <c r="T961" s="19">
        <v>5.1129468370414362</v>
      </c>
      <c r="U961" s="19">
        <v>8.7090386856205804</v>
      </c>
      <c r="V961" s="19">
        <v>13.829187406327824</v>
      </c>
      <c r="W961" s="19">
        <v>20.75258746208242</v>
      </c>
      <c r="X961" s="19">
        <v>29.673154254325286</v>
      </c>
      <c r="Y961" s="19">
        <v>40.636635486610253</v>
      </c>
      <c r="Z961" s="19">
        <v>53.479005788176885</v>
      </c>
      <c r="AA961" s="19">
        <v>67.783785976400978</v>
      </c>
      <c r="AB961" s="19">
        <v>82.880069979860366</v>
      </c>
      <c r="AC961" s="19">
        <v>97.900064700032473</v>
      </c>
      <c r="AD961" s="19">
        <v>111.90120929916267</v>
      </c>
      <c r="AE961" s="19">
        <v>124.03410312703608</v>
      </c>
      <c r="AF961" s="19">
        <v>133.71161119473902</v>
      </c>
      <c r="AG961" s="19">
        <v>140.72122916358543</v>
      </c>
      <c r="AH961" s="19">
        <v>145.63454763402163</v>
      </c>
      <c r="AI961" s="19">
        <v>147.98472514646559</v>
      </c>
      <c r="AJ961" s="19">
        <v>149.70895860117213</v>
      </c>
      <c r="AK961" s="19">
        <v>149.61877248153286</v>
      </c>
      <c r="AL961" s="19">
        <v>148.93052612811778</v>
      </c>
      <c r="AM961" s="19">
        <v>148.24544570792844</v>
      </c>
      <c r="AN961" s="19">
        <v>147.56351665767195</v>
      </c>
      <c r="AO961" s="19">
        <v>146.88472448104665</v>
      </c>
      <c r="AP961" s="19">
        <v>64.621746694868634</v>
      </c>
      <c r="AQ961" s="19">
        <v>0</v>
      </c>
      <c r="AR961" s="19">
        <v>2183.047396448866</v>
      </c>
    </row>
    <row r="962" spans="1:44" x14ac:dyDescent="0.25">
      <c r="A962" t="s">
        <v>250</v>
      </c>
      <c r="B962" t="s">
        <v>379</v>
      </c>
      <c r="C962" t="s">
        <v>45</v>
      </c>
      <c r="D962" t="s">
        <v>377</v>
      </c>
      <c r="E962" t="s">
        <v>148</v>
      </c>
      <c r="F962" t="s">
        <v>377</v>
      </c>
      <c r="G962" t="s">
        <v>31</v>
      </c>
      <c r="H962" t="s">
        <v>274</v>
      </c>
      <c r="I962" t="s">
        <v>135</v>
      </c>
      <c r="J962" t="s">
        <v>39</v>
      </c>
      <c r="K962" t="s">
        <v>31</v>
      </c>
      <c r="L962">
        <v>0.9</v>
      </c>
      <c r="M962">
        <v>1</v>
      </c>
      <c r="N962" s="2">
        <v>3.925396992140191</v>
      </c>
      <c r="O962" s="2">
        <v>3.1588853240212433</v>
      </c>
      <c r="P962" s="1">
        <v>-0.77948651728774332</v>
      </c>
      <c r="Q962" s="1">
        <v>0.43588573036462142</v>
      </c>
      <c r="R962" s="1">
        <v>-0.67371772101320515</v>
      </c>
      <c r="S962" s="19">
        <v>0.46440101189027205</v>
      </c>
      <c r="T962" s="19">
        <v>1.2282706875618037</v>
      </c>
      <c r="U962" s="19">
        <v>2.1157986171797125</v>
      </c>
      <c r="V962" s="19">
        <v>3.3978489861663359</v>
      </c>
      <c r="W962" s="19">
        <v>5.1570912949593035</v>
      </c>
      <c r="X962" s="19">
        <v>7.4583565256613342</v>
      </c>
      <c r="Y962" s="19">
        <v>10.331552305349597</v>
      </c>
      <c r="Z962" s="19">
        <v>13.75374501479642</v>
      </c>
      <c r="AA962" s="19">
        <v>17.634961615311241</v>
      </c>
      <c r="AB962" s="19">
        <v>21.813780975857146</v>
      </c>
      <c r="AC962" s="19">
        <v>26.068551155488471</v>
      </c>
      <c r="AD962" s="19">
        <v>30.146892310562016</v>
      </c>
      <c r="AE962" s="19">
        <v>33.809858593223062</v>
      </c>
      <c r="AF962" s="19">
        <v>36.879608459476565</v>
      </c>
      <c r="AG962" s="19">
        <v>39.27462423610168</v>
      </c>
      <c r="AH962" s="19">
        <v>41.131278819663919</v>
      </c>
      <c r="AI962" s="19">
        <v>42.296074042389257</v>
      </c>
      <c r="AJ962" s="19">
        <v>43.303813716961272</v>
      </c>
      <c r="AK962" s="19">
        <v>43.800522840324</v>
      </c>
      <c r="AL962" s="19">
        <v>44.127698988673465</v>
      </c>
      <c r="AM962" s="19">
        <v>44.459298669242834</v>
      </c>
      <c r="AN962" s="19">
        <v>44.795368018315706</v>
      </c>
      <c r="AO962" s="19">
        <v>45.135953705527207</v>
      </c>
      <c r="AP962" s="19">
        <v>45.481102939771112</v>
      </c>
      <c r="AQ962" s="19">
        <v>45.83086347517461</v>
      </c>
      <c r="AR962" s="19">
        <v>689.89731700562822</v>
      </c>
    </row>
    <row r="963" spans="1:44" x14ac:dyDescent="0.25">
      <c r="A963" t="s">
        <v>250</v>
      </c>
      <c r="B963" t="s">
        <v>379</v>
      </c>
      <c r="C963" t="s">
        <v>45</v>
      </c>
      <c r="D963" t="s">
        <v>377</v>
      </c>
      <c r="E963" t="s">
        <v>145</v>
      </c>
      <c r="F963" t="s">
        <v>377</v>
      </c>
      <c r="G963" t="s">
        <v>31</v>
      </c>
      <c r="H963" t="s">
        <v>275</v>
      </c>
      <c r="I963" t="s">
        <v>135</v>
      </c>
      <c r="J963" t="s">
        <v>39</v>
      </c>
      <c r="K963" t="s">
        <v>31</v>
      </c>
      <c r="L963">
        <v>0.9</v>
      </c>
      <c r="M963">
        <v>1</v>
      </c>
      <c r="N963" s="2">
        <v>3.925396992140191</v>
      </c>
      <c r="O963" s="2">
        <v>3.1588853240212433</v>
      </c>
      <c r="P963" s="1">
        <v>-0.77948651728774332</v>
      </c>
      <c r="Q963" s="1">
        <v>0.43588573036462142</v>
      </c>
      <c r="R963" s="1">
        <v>-0.67371772101320515</v>
      </c>
      <c r="S963" s="19">
        <v>4.1702864927208187</v>
      </c>
      <c r="T963" s="19">
        <v>7.8109844545986462</v>
      </c>
      <c r="U963" s="19">
        <v>13.304688657244746</v>
      </c>
      <c r="V963" s="19">
        <v>21.12667533876856</v>
      </c>
      <c r="W963" s="19">
        <v>31.7034663620366</v>
      </c>
      <c r="X963" s="19">
        <v>45.331303842298126</v>
      </c>
      <c r="Y963" s="19">
        <v>62.080075969804611</v>
      </c>
      <c r="Z963" s="19">
        <v>81.699203252532357</v>
      </c>
      <c r="AA963" s="19">
        <v>103.55243569124929</v>
      </c>
      <c r="AB963" s="19">
        <v>126.61483853474518</v>
      </c>
      <c r="AC963" s="19">
        <v>149.56069520148583</v>
      </c>
      <c r="AD963" s="19">
        <v>170.95006737686245</v>
      </c>
      <c r="AE963" s="19">
        <v>189.4853363908569</v>
      </c>
      <c r="AF963" s="19">
        <v>204.26954351940597</v>
      </c>
      <c r="AG963" s="19">
        <v>214.97804856207071</v>
      </c>
      <c r="AH963" s="19">
        <v>222.48406327652771</v>
      </c>
      <c r="AI963" s="19">
        <v>226.07439984765267</v>
      </c>
      <c r="AJ963" s="19">
        <v>228.7084895693061</v>
      </c>
      <c r="AK963" s="19">
        <v>228.57071337077039</v>
      </c>
      <c r="AL963" s="19">
        <v>227.51928808926479</v>
      </c>
      <c r="AM963" s="19">
        <v>226.47269936405425</v>
      </c>
      <c r="AN963" s="19">
        <v>225.43092494697953</v>
      </c>
      <c r="AO963" s="19">
        <v>224.39394269222345</v>
      </c>
      <c r="AP963" s="19">
        <v>98.721828125775616</v>
      </c>
      <c r="AQ963" s="19">
        <v>0</v>
      </c>
      <c r="AR963" s="19">
        <v>3335.0139989292356</v>
      </c>
    </row>
    <row r="964" spans="1:44" x14ac:dyDescent="0.25">
      <c r="A964" t="s">
        <v>250</v>
      </c>
      <c r="B964" t="s">
        <v>379</v>
      </c>
      <c r="C964" t="s">
        <v>45</v>
      </c>
      <c r="D964" t="s">
        <v>377</v>
      </c>
      <c r="E964" t="s">
        <v>148</v>
      </c>
      <c r="F964" t="s">
        <v>377</v>
      </c>
      <c r="G964" t="s">
        <v>31</v>
      </c>
      <c r="H964" t="s">
        <v>275</v>
      </c>
      <c r="I964" t="s">
        <v>135</v>
      </c>
      <c r="J964" t="s">
        <v>39</v>
      </c>
      <c r="K964" t="s">
        <v>31</v>
      </c>
      <c r="L964">
        <v>0.9</v>
      </c>
      <c r="M964">
        <v>1</v>
      </c>
      <c r="N964" s="2">
        <v>3.925396992140191</v>
      </c>
      <c r="O964" s="2">
        <v>3.1588853240212433</v>
      </c>
      <c r="P964" s="1">
        <v>-0.77948651728774332</v>
      </c>
      <c r="Q964" s="1">
        <v>0.43588573036462142</v>
      </c>
      <c r="R964" s="1">
        <v>-0.67371772101320515</v>
      </c>
      <c r="S964" s="19">
        <v>0.70945957393794834</v>
      </c>
      <c r="T964" s="19">
        <v>1.8764136519236361</v>
      </c>
      <c r="U964" s="19">
        <v>3.2322788862430221</v>
      </c>
      <c r="V964" s="19">
        <v>5.1908510798005167</v>
      </c>
      <c r="W964" s="19">
        <v>7.8784233866944771</v>
      </c>
      <c r="X964" s="19">
        <v>11.394037281347057</v>
      </c>
      <c r="Y964" s="19">
        <v>15.783382268776956</v>
      </c>
      <c r="Z964" s="19">
        <v>21.011422947877168</v>
      </c>
      <c r="AA964" s="19">
        <v>26.940708641192519</v>
      </c>
      <c r="AB964" s="19">
        <v>33.324638320908385</v>
      </c>
      <c r="AC964" s="19">
        <v>39.824597109883754</v>
      </c>
      <c r="AD964" s="19">
        <v>46.055027501228246</v>
      </c>
      <c r="AE964" s="19">
        <v>51.650894934134648</v>
      </c>
      <c r="AF964" s="19">
        <v>56.340513122828206</v>
      </c>
      <c r="AG964" s="19">
        <v>59.999348545134247</v>
      </c>
      <c r="AH964" s="19">
        <v>62.83573635669957</v>
      </c>
      <c r="AI964" s="19">
        <v>64.615179340848343</v>
      </c>
      <c r="AJ964" s="19">
        <v>66.154690543144255</v>
      </c>
      <c r="AK964" s="19">
        <v>66.913506811862433</v>
      </c>
      <c r="AL964" s="19">
        <v>67.413329690942106</v>
      </c>
      <c r="AM964" s="19">
        <v>67.919910344454522</v>
      </c>
      <c r="AN964" s="19">
        <v>68.433319254214737</v>
      </c>
      <c r="AO964" s="19">
        <v>68.953627716842234</v>
      </c>
      <c r="AP964" s="19">
        <v>69.480907852762257</v>
      </c>
      <c r="AQ964" s="19">
        <v>70.015232615360333</v>
      </c>
      <c r="AR964" s="19">
        <v>1053.9474377790416</v>
      </c>
    </row>
    <row r="965" spans="1:44" x14ac:dyDescent="0.25">
      <c r="A965" t="s">
        <v>250</v>
      </c>
      <c r="B965" t="s">
        <v>379</v>
      </c>
      <c r="C965" t="s">
        <v>45</v>
      </c>
      <c r="D965" t="s">
        <v>377</v>
      </c>
      <c r="E965" t="s">
        <v>145</v>
      </c>
      <c r="F965" t="s">
        <v>377</v>
      </c>
      <c r="G965" t="s">
        <v>31</v>
      </c>
      <c r="H965" t="s">
        <v>274</v>
      </c>
      <c r="I965" t="s">
        <v>135</v>
      </c>
      <c r="J965" t="s">
        <v>39</v>
      </c>
      <c r="K965" t="s">
        <v>33</v>
      </c>
      <c r="L965">
        <v>0.9</v>
      </c>
      <c r="M965">
        <v>1</v>
      </c>
      <c r="N965" s="2">
        <v>3.925396992140191</v>
      </c>
      <c r="O965" s="2">
        <v>3.1588853240212433</v>
      </c>
      <c r="P965" s="1">
        <v>-0.77948651728774332</v>
      </c>
      <c r="Q965" s="1">
        <v>0.43588573036462142</v>
      </c>
      <c r="R965" s="1">
        <v>-0.67371772101320515</v>
      </c>
      <c r="S965" s="19">
        <v>8.7830955043798811E-3</v>
      </c>
      <c r="T965" s="19">
        <v>1.6450817603949994E-2</v>
      </c>
      <c r="U965" s="19">
        <v>2.8021180639889263E-2</v>
      </c>
      <c r="V965" s="19">
        <v>4.4495170179391717E-2</v>
      </c>
      <c r="W965" s="19">
        <v>6.6771089555526061E-2</v>
      </c>
      <c r="X965" s="19">
        <v>9.5472858202891198E-2</v>
      </c>
      <c r="Y965" s="19">
        <v>0.13074766856274464</v>
      </c>
      <c r="Z965" s="19">
        <v>0.17206777185482283</v>
      </c>
      <c r="AA965" s="19">
        <v>0.21809315354591055</v>
      </c>
      <c r="AB965" s="19">
        <v>0.2666651850090897</v>
      </c>
      <c r="AC965" s="19">
        <v>0.31499175702891929</v>
      </c>
      <c r="AD965" s="19">
        <v>0.36004019648816837</v>
      </c>
      <c r="AE965" s="19">
        <v>0.39907757155423312</v>
      </c>
      <c r="AF965" s="19">
        <v>0.43021478560253273</v>
      </c>
      <c r="AG965" s="19">
        <v>0.4527681096158897</v>
      </c>
      <c r="AH965" s="19">
        <v>0.46857662641909453</v>
      </c>
      <c r="AI965" s="19">
        <v>0.47613828172793282</v>
      </c>
      <c r="AJ965" s="19">
        <v>0.48168597290760851</v>
      </c>
      <c r="AK965" s="19">
        <v>0.48139580063477255</v>
      </c>
      <c r="AL965" s="19">
        <v>0.47918137995185262</v>
      </c>
      <c r="AM965" s="19">
        <v>0.47697714560407406</v>
      </c>
      <c r="AN965" s="19">
        <v>0.47478305073429528</v>
      </c>
      <c r="AO965" s="19">
        <v>0.47259904870091746</v>
      </c>
      <c r="AP965" s="19">
        <v>0.2079193471022058</v>
      </c>
      <c r="AQ965" s="19">
        <v>0</v>
      </c>
      <c r="AR965" s="19">
        <v>7.0239170647310933</v>
      </c>
    </row>
    <row r="966" spans="1:44" x14ac:dyDescent="0.25">
      <c r="A966" t="s">
        <v>250</v>
      </c>
      <c r="B966" t="s">
        <v>379</v>
      </c>
      <c r="C966" t="s">
        <v>45</v>
      </c>
      <c r="D966" t="s">
        <v>377</v>
      </c>
      <c r="E966" t="s">
        <v>148</v>
      </c>
      <c r="F966" t="s">
        <v>377</v>
      </c>
      <c r="G966" t="s">
        <v>31</v>
      </c>
      <c r="H966" t="s">
        <v>274</v>
      </c>
      <c r="I966" t="s">
        <v>135</v>
      </c>
      <c r="J966" t="s">
        <v>39</v>
      </c>
      <c r="K966" t="s">
        <v>33</v>
      </c>
      <c r="L966">
        <v>0.9</v>
      </c>
      <c r="M966">
        <v>1</v>
      </c>
      <c r="N966" s="2">
        <v>3.925396992140191</v>
      </c>
      <c r="O966" s="2">
        <v>3.1588853240212433</v>
      </c>
      <c r="P966" s="1">
        <v>-0.77948651728774332</v>
      </c>
      <c r="Q966" s="1">
        <v>0.43588573036462142</v>
      </c>
      <c r="R966" s="1">
        <v>-0.67371772101320515</v>
      </c>
      <c r="S966" s="19">
        <v>1.4942021861735948E-3</v>
      </c>
      <c r="T966" s="19">
        <v>3.9519395943982466E-3</v>
      </c>
      <c r="U966" s="19">
        <v>6.8075452859693245E-3</v>
      </c>
      <c r="V966" s="19">
        <v>1.0932520070858676E-2</v>
      </c>
      <c r="W966" s="19">
        <v>1.6592851630232067E-2</v>
      </c>
      <c r="X966" s="19">
        <v>2.3997132522481569E-2</v>
      </c>
      <c r="Y966" s="19">
        <v>3.3241590018041861E-2</v>
      </c>
      <c r="Z966" s="19">
        <v>4.4252435595551087E-2</v>
      </c>
      <c r="AA966" s="19">
        <v>5.6740182566422569E-2</v>
      </c>
      <c r="AB966" s="19">
        <v>7.018546124645153E-2</v>
      </c>
      <c r="AC966" s="19">
        <v>8.3875110367142444E-2</v>
      </c>
      <c r="AD966" s="19">
        <v>9.6997102167006188E-2</v>
      </c>
      <c r="AE966" s="19">
        <v>0.10878263253257194</v>
      </c>
      <c r="AF966" s="19">
        <v>0.11865949938626864</v>
      </c>
      <c r="AG966" s="19">
        <v>0.12636542103098386</v>
      </c>
      <c r="AH966" s="19">
        <v>0.13233917489176011</v>
      </c>
      <c r="AI966" s="19">
        <v>0.1360868832810182</v>
      </c>
      <c r="AJ966" s="19">
        <v>0.13932926817314051</v>
      </c>
      <c r="AK966" s="19">
        <v>0.14092742114658074</v>
      </c>
      <c r="AL966" s="19">
        <v>0.14198010471877492</v>
      </c>
      <c r="AM966" s="19">
        <v>0.14304702092902305</v>
      </c>
      <c r="AN966" s="19">
        <v>0.14412831822001565</v>
      </c>
      <c r="AO966" s="19">
        <v>0.14522414675049</v>
      </c>
      <c r="AP966" s="19">
        <v>0.14633465841424276</v>
      </c>
      <c r="AQ966" s="19">
        <v>0.14746000685935259</v>
      </c>
      <c r="AR966" s="19">
        <v>2.2197326295849527</v>
      </c>
    </row>
    <row r="967" spans="1:44" x14ac:dyDescent="0.25">
      <c r="A967" t="s">
        <v>250</v>
      </c>
      <c r="B967" t="s">
        <v>379</v>
      </c>
      <c r="C967" t="s">
        <v>45</v>
      </c>
      <c r="D967" t="s">
        <v>377</v>
      </c>
      <c r="E967" t="s">
        <v>145</v>
      </c>
      <c r="F967" t="s">
        <v>377</v>
      </c>
      <c r="G967" t="s">
        <v>31</v>
      </c>
      <c r="H967" t="s">
        <v>272</v>
      </c>
      <c r="I967" t="s">
        <v>135</v>
      </c>
      <c r="J967" t="s">
        <v>40</v>
      </c>
      <c r="K967" t="s">
        <v>31</v>
      </c>
      <c r="L967">
        <v>0.9</v>
      </c>
      <c r="M967">
        <v>1</v>
      </c>
      <c r="N967" s="2">
        <v>3.925396992140191</v>
      </c>
      <c r="O967" s="2">
        <v>1.9798085216903567</v>
      </c>
      <c r="P967" s="1">
        <v>-0.77948651728774332</v>
      </c>
      <c r="Q967" s="1">
        <v>0.4672931329656026</v>
      </c>
      <c r="R967" s="1">
        <v>-0.53071772101320502</v>
      </c>
      <c r="S967" s="19">
        <v>0.5703323702204971</v>
      </c>
      <c r="T967" s="19">
        <v>1.0682377063356678</v>
      </c>
      <c r="U967" s="19">
        <v>1.81956194860403</v>
      </c>
      <c r="V967" s="19">
        <v>2.8893043300191894</v>
      </c>
      <c r="W967" s="19">
        <v>4.3357963885759849</v>
      </c>
      <c r="X967" s="19">
        <v>6.1995524793538976</v>
      </c>
      <c r="Y967" s="19">
        <v>8.4901305781097758</v>
      </c>
      <c r="Z967" s="19">
        <v>11.173261193799304</v>
      </c>
      <c r="AA967" s="19">
        <v>14.161930167863304</v>
      </c>
      <c r="AB967" s="19">
        <v>17.315966443229453</v>
      </c>
      <c r="AC967" s="19">
        <v>20.454063751969457</v>
      </c>
      <c r="AD967" s="19">
        <v>23.379294752670287</v>
      </c>
      <c r="AE967" s="19">
        <v>25.914195874662266</v>
      </c>
      <c r="AF967" s="19">
        <v>27.93609818477309</v>
      </c>
      <c r="AG967" s="19">
        <v>29.400603578625901</v>
      </c>
      <c r="AH967" s="19">
        <v>30.427133331552564</v>
      </c>
      <c r="AI967" s="19">
        <v>30.918151195690506</v>
      </c>
      <c r="AJ967" s="19">
        <v>31.278391825907718</v>
      </c>
      <c r="AK967" s="19">
        <v>31.259549421193313</v>
      </c>
      <c r="AL967" s="19">
        <v>31.115755493855815</v>
      </c>
      <c r="AM967" s="19">
        <v>30.972623018584084</v>
      </c>
      <c r="AN967" s="19">
        <v>30.83014895269859</v>
      </c>
      <c r="AO967" s="19">
        <v>30.688330267516172</v>
      </c>
      <c r="AP967" s="19">
        <v>13.501291656041388</v>
      </c>
      <c r="AQ967" s="19">
        <v>0</v>
      </c>
      <c r="AR967" s="19">
        <v>456.09970491185231</v>
      </c>
    </row>
    <row r="968" spans="1:44" x14ac:dyDescent="0.25">
      <c r="A968" t="s">
        <v>250</v>
      </c>
      <c r="B968" t="s">
        <v>379</v>
      </c>
      <c r="C968" t="s">
        <v>45</v>
      </c>
      <c r="D968" t="s">
        <v>377</v>
      </c>
      <c r="E968" t="s">
        <v>148</v>
      </c>
      <c r="F968" t="s">
        <v>377</v>
      </c>
      <c r="G968" t="s">
        <v>31</v>
      </c>
      <c r="H968" t="s">
        <v>272</v>
      </c>
      <c r="I968" t="s">
        <v>135</v>
      </c>
      <c r="J968" t="s">
        <v>40</v>
      </c>
      <c r="K968" t="s">
        <v>31</v>
      </c>
      <c r="L968">
        <v>0.9</v>
      </c>
      <c r="M968">
        <v>1</v>
      </c>
      <c r="N968" s="2">
        <v>3.925396992140191</v>
      </c>
      <c r="O968" s="2">
        <v>1.9798085216903567</v>
      </c>
      <c r="P968" s="1">
        <v>-0.77948651728774332</v>
      </c>
      <c r="Q968" s="1">
        <v>0.4672931329656026</v>
      </c>
      <c r="R968" s="1">
        <v>-0.53071772101320502</v>
      </c>
      <c r="S968" s="19">
        <v>9.7026370031393916E-2</v>
      </c>
      <c r="T968" s="19">
        <v>0.25662012609533963</v>
      </c>
      <c r="U968" s="19">
        <v>0.44204955262004331</v>
      </c>
      <c r="V968" s="19">
        <v>0.70990575946564072</v>
      </c>
      <c r="W968" s="19">
        <v>1.0774607192040848</v>
      </c>
      <c r="X968" s="19">
        <v>1.5582594386247135</v>
      </c>
      <c r="Y968" s="19">
        <v>2.1585504581424328</v>
      </c>
      <c r="Z968" s="19">
        <v>2.8735423027854523</v>
      </c>
      <c r="AA968" s="19">
        <v>3.6844370864138698</v>
      </c>
      <c r="AB968" s="19">
        <v>4.5575094165543497</v>
      </c>
      <c r="AC968" s="19">
        <v>5.4464499986756181</v>
      </c>
      <c r="AD968" s="19">
        <v>6.2985296192944817</v>
      </c>
      <c r="AE968" s="19">
        <v>7.0638258026670107</v>
      </c>
      <c r="AF968" s="19">
        <v>7.7051824724437923</v>
      </c>
      <c r="AG968" s="19">
        <v>8.2055683049981774</v>
      </c>
      <c r="AH968" s="19">
        <v>8.5934754155190181</v>
      </c>
      <c r="AI968" s="19">
        <v>8.8368337403228825</v>
      </c>
      <c r="AJ968" s="19">
        <v>9.0473787651117448</v>
      </c>
      <c r="AK968" s="19">
        <v>9.1511552039381368</v>
      </c>
      <c r="AL968" s="19">
        <v>9.2195114590332228</v>
      </c>
      <c r="AM968" s="19">
        <v>9.288791913824392</v>
      </c>
      <c r="AN968" s="19">
        <v>9.3590062074724383</v>
      </c>
      <c r="AO968" s="19">
        <v>9.4301640905707771</v>
      </c>
      <c r="AP968" s="19">
        <v>9.5022754263782812</v>
      </c>
      <c r="AQ968" s="19">
        <v>9.5753501920690738</v>
      </c>
      <c r="AR968" s="19">
        <v>144.13885984225635</v>
      </c>
    </row>
    <row r="969" spans="1:44" x14ac:dyDescent="0.25">
      <c r="A969" t="s">
        <v>250</v>
      </c>
      <c r="B969" t="s">
        <v>380</v>
      </c>
      <c r="C969" t="s">
        <v>45</v>
      </c>
      <c r="D969" t="s">
        <v>377</v>
      </c>
      <c r="E969" t="s">
        <v>145</v>
      </c>
      <c r="F969" t="s">
        <v>377</v>
      </c>
      <c r="G969" t="s">
        <v>31</v>
      </c>
      <c r="H969" t="s">
        <v>277</v>
      </c>
      <c r="I969" t="s">
        <v>135</v>
      </c>
      <c r="J969" t="s">
        <v>39</v>
      </c>
      <c r="K969" t="s">
        <v>31</v>
      </c>
      <c r="L969">
        <v>0.9</v>
      </c>
      <c r="M969">
        <v>1</v>
      </c>
      <c r="N969" s="2">
        <v>3.925396992140191</v>
      </c>
      <c r="O969" s="2">
        <v>3.1588853240212433</v>
      </c>
      <c r="P969" s="1">
        <v>-0.77948651728774332</v>
      </c>
      <c r="Q969" s="1">
        <v>0.43588573036462142</v>
      </c>
      <c r="R969" s="1">
        <v>-0.67371772101320515</v>
      </c>
      <c r="S969" s="19">
        <v>34.243150003742848</v>
      </c>
      <c r="T969" s="19">
        <v>64.129998687095892</v>
      </c>
      <c r="U969" s="19">
        <v>109.2214189339234</v>
      </c>
      <c r="V969" s="19">
        <v>173.41309815071372</v>
      </c>
      <c r="W969" s="19">
        <v>260.19870383974762</v>
      </c>
      <c r="X969" s="19">
        <v>372.00110580539808</v>
      </c>
      <c r="Y969" s="19">
        <v>509.38470510427675</v>
      </c>
      <c r="Z969" s="19">
        <v>670.28441683877247</v>
      </c>
      <c r="AA969" s="19">
        <v>849.47237629476388</v>
      </c>
      <c r="AB969" s="19">
        <v>1038.5351218857938</v>
      </c>
      <c r="AC969" s="19">
        <v>1226.5964368663931</v>
      </c>
      <c r="AD969" s="19">
        <v>1401.8486912813155</v>
      </c>
      <c r="AE969" s="19">
        <v>1553.6568779073343</v>
      </c>
      <c r="AF969" s="19">
        <v>1674.6758747213769</v>
      </c>
      <c r="AG969" s="19">
        <v>1762.2556130722221</v>
      </c>
      <c r="AH969" s="19">
        <v>1823.5653624671388</v>
      </c>
      <c r="AI969" s="19">
        <v>1852.7697617470501</v>
      </c>
      <c r="AJ969" s="19">
        <v>1874.1312139976703</v>
      </c>
      <c r="AK969" s="19">
        <v>1872.7764203489976</v>
      </c>
      <c r="AL969" s="19">
        <v>1863.9369156449509</v>
      </c>
      <c r="AM969" s="19">
        <v>1855.1391334031064</v>
      </c>
      <c r="AN969" s="19">
        <v>1846.3828766934437</v>
      </c>
      <c r="AO969" s="19">
        <v>1837.6679495154508</v>
      </c>
      <c r="AP969" s="19">
        <v>779.13234239440578</v>
      </c>
      <c r="AQ969" s="19">
        <v>0</v>
      </c>
      <c r="AR969" s="19">
        <v>27305.41956560508</v>
      </c>
    </row>
    <row r="970" spans="1:44" x14ac:dyDescent="0.25">
      <c r="A970" t="s">
        <v>250</v>
      </c>
      <c r="B970" t="s">
        <v>380</v>
      </c>
      <c r="C970" t="s">
        <v>45</v>
      </c>
      <c r="D970" t="s">
        <v>377</v>
      </c>
      <c r="E970" t="s">
        <v>148</v>
      </c>
      <c r="F970" t="s">
        <v>377</v>
      </c>
      <c r="G970" t="s">
        <v>31</v>
      </c>
      <c r="H970" t="s">
        <v>277</v>
      </c>
      <c r="I970" t="s">
        <v>135</v>
      </c>
      <c r="J970" t="s">
        <v>39</v>
      </c>
      <c r="K970" t="s">
        <v>31</v>
      </c>
      <c r="L970">
        <v>0.9</v>
      </c>
      <c r="M970">
        <v>1</v>
      </c>
      <c r="N970" s="2">
        <v>3.925396992140191</v>
      </c>
      <c r="O970" s="2">
        <v>3.1588853240212433</v>
      </c>
      <c r="P970" s="1">
        <v>-0.77948651728774332</v>
      </c>
      <c r="Q970" s="1">
        <v>0.43588573036462142</v>
      </c>
      <c r="R970" s="1">
        <v>-0.67371772101320515</v>
      </c>
      <c r="S970" s="19">
        <v>5.8255303692812817</v>
      </c>
      <c r="T970" s="19">
        <v>15.523631303453559</v>
      </c>
      <c r="U970" s="19">
        <v>26.737578851164319</v>
      </c>
      <c r="V970" s="19">
        <v>42.933957519679197</v>
      </c>
      <c r="W970" s="19">
        <v>65.155540082270946</v>
      </c>
      <c r="X970" s="19">
        <v>94.219311972514134</v>
      </c>
      <c r="Y970" s="19">
        <v>130.50080913446072</v>
      </c>
      <c r="Z970" s="19">
        <v>173.70807471237379</v>
      </c>
      <c r="AA970" s="19">
        <v>222.70273129923947</v>
      </c>
      <c r="AB970" s="19">
        <v>275.44477032322465</v>
      </c>
      <c r="AC970" s="19">
        <v>329.13464986909378</v>
      </c>
      <c r="AD970" s="19">
        <v>380.58612902895794</v>
      </c>
      <c r="AE970" s="19">
        <v>426.78389348698641</v>
      </c>
      <c r="AF970" s="19">
        <v>465.48510817406674</v>
      </c>
      <c r="AG970" s="19">
        <v>495.66346880032557</v>
      </c>
      <c r="AH970" s="19">
        <v>519.04262740981608</v>
      </c>
      <c r="AI970" s="19">
        <v>533.6879135918615</v>
      </c>
      <c r="AJ970" s="19">
        <v>546.34944120347689</v>
      </c>
      <c r="AK970" s="19">
        <v>552.56229729263885</v>
      </c>
      <c r="AL970" s="19">
        <v>556.63611276351958</v>
      </c>
      <c r="AM970" s="19">
        <v>560.76563285029647</v>
      </c>
      <c r="AN970" s="19">
        <v>564.95143494956733</v>
      </c>
      <c r="AO970" s="19">
        <v>569.19410315628272</v>
      </c>
      <c r="AP970" s="19">
        <v>573.49422833776862</v>
      </c>
      <c r="AQ970" s="19">
        <v>577.85240820864101</v>
      </c>
      <c r="AR970" s="19">
        <v>8704.9413846909611</v>
      </c>
    </row>
    <row r="971" spans="1:44" x14ac:dyDescent="0.25">
      <c r="A971" t="s">
        <v>250</v>
      </c>
      <c r="B971" t="s">
        <v>380</v>
      </c>
      <c r="C971" t="s">
        <v>45</v>
      </c>
      <c r="D971" t="s">
        <v>377</v>
      </c>
      <c r="E971" t="s">
        <v>145</v>
      </c>
      <c r="F971" t="s">
        <v>377</v>
      </c>
      <c r="G971" t="s">
        <v>31</v>
      </c>
      <c r="H971" t="s">
        <v>277</v>
      </c>
      <c r="I971" t="s">
        <v>135</v>
      </c>
      <c r="J971" t="s">
        <v>40</v>
      </c>
      <c r="K971" t="s">
        <v>31</v>
      </c>
      <c r="L971">
        <v>0.9</v>
      </c>
      <c r="M971">
        <v>1</v>
      </c>
      <c r="N971" s="2">
        <v>3.925396992140191</v>
      </c>
      <c r="O971" s="2">
        <v>1.9798085216903567</v>
      </c>
      <c r="P971" s="1">
        <v>-0.77948651728774332</v>
      </c>
      <c r="Q971" s="1">
        <v>0.4672931329656026</v>
      </c>
      <c r="R971" s="1">
        <v>-0.53071772101320502</v>
      </c>
      <c r="S971" s="19">
        <v>5.4016990528947328</v>
      </c>
      <c r="T971" s="19">
        <v>10.11621165495473</v>
      </c>
      <c r="U971" s="19">
        <v>17.229175328400189</v>
      </c>
      <c r="V971" s="19">
        <v>27.355116802568268</v>
      </c>
      <c r="W971" s="19">
        <v>41.045146020210645</v>
      </c>
      <c r="X971" s="19">
        <v>58.681459523588714</v>
      </c>
      <c r="Y971" s="19">
        <v>80.353088977506033</v>
      </c>
      <c r="Z971" s="19">
        <v>105.7342767593621</v>
      </c>
      <c r="AA971" s="19">
        <v>134.00035131084965</v>
      </c>
      <c r="AB971" s="19">
        <v>163.82412785258489</v>
      </c>
      <c r="AC971" s="19">
        <v>193.48993333209847</v>
      </c>
      <c r="AD971" s="19">
        <v>221.13516855687416</v>
      </c>
      <c r="AE971" s="19">
        <v>245.0822101646061</v>
      </c>
      <c r="AF971" s="19">
        <v>264.172399017011</v>
      </c>
      <c r="AG971" s="19">
        <v>277.98769900111944</v>
      </c>
      <c r="AH971" s="19">
        <v>287.65902933152239</v>
      </c>
      <c r="AI971" s="19">
        <v>292.26588868626675</v>
      </c>
      <c r="AJ971" s="19">
        <v>295.63555930296008</v>
      </c>
      <c r="AK971" s="19">
        <v>295.42184685045197</v>
      </c>
      <c r="AL971" s="19">
        <v>294.02745573331788</v>
      </c>
      <c r="AM971" s="19">
        <v>292.63964614225654</v>
      </c>
      <c r="AN971" s="19">
        <v>291.25838701246522</v>
      </c>
      <c r="AO971" s="19">
        <v>289.88364742576636</v>
      </c>
      <c r="AP971" s="19">
        <v>122.90453522913268</v>
      </c>
      <c r="AQ971" s="19">
        <v>0</v>
      </c>
      <c r="AR971" s="19">
        <v>4307.3040590687688</v>
      </c>
    </row>
    <row r="972" spans="1:44" x14ac:dyDescent="0.25">
      <c r="A972" t="s">
        <v>250</v>
      </c>
      <c r="B972" t="s">
        <v>380</v>
      </c>
      <c r="C972" t="s">
        <v>45</v>
      </c>
      <c r="D972" t="s">
        <v>377</v>
      </c>
      <c r="E972" t="s">
        <v>148</v>
      </c>
      <c r="F972" t="s">
        <v>377</v>
      </c>
      <c r="G972" t="s">
        <v>31</v>
      </c>
      <c r="H972" t="s">
        <v>277</v>
      </c>
      <c r="I972" t="s">
        <v>135</v>
      </c>
      <c r="J972" t="s">
        <v>40</v>
      </c>
      <c r="K972" t="s">
        <v>31</v>
      </c>
      <c r="L972">
        <v>0.9</v>
      </c>
      <c r="M972">
        <v>1</v>
      </c>
      <c r="N972" s="2">
        <v>3.925396992140191</v>
      </c>
      <c r="O972" s="2">
        <v>1.9798085216903567</v>
      </c>
      <c r="P972" s="1">
        <v>-0.77948651728774332</v>
      </c>
      <c r="Q972" s="1">
        <v>0.4672931329656026</v>
      </c>
      <c r="R972" s="1">
        <v>-0.53071772101320502</v>
      </c>
      <c r="S972" s="19">
        <v>0.91895056018259813</v>
      </c>
      <c r="T972" s="19">
        <v>2.4487812745085447</v>
      </c>
      <c r="U972" s="19">
        <v>4.2177298040993767</v>
      </c>
      <c r="V972" s="19">
        <v>6.7726338740952787</v>
      </c>
      <c r="W972" s="19">
        <v>10.277986082319527</v>
      </c>
      <c r="X972" s="19">
        <v>14.862662114632958</v>
      </c>
      <c r="Y972" s="19">
        <v>20.58590103499715</v>
      </c>
      <c r="Z972" s="19">
        <v>27.401647995334301</v>
      </c>
      <c r="AA972" s="19">
        <v>35.130329207584488</v>
      </c>
      <c r="AB972" s="19">
        <v>43.450142723935542</v>
      </c>
      <c r="AC972" s="19">
        <v>51.919473713090419</v>
      </c>
      <c r="AD972" s="19">
        <v>60.035707360330328</v>
      </c>
      <c r="AE972" s="19">
        <v>67.323191732868949</v>
      </c>
      <c r="AF972" s="19">
        <v>73.428129937977502</v>
      </c>
      <c r="AG972" s="19">
        <v>78.188627205164963</v>
      </c>
      <c r="AH972" s="19">
        <v>81.876581698388094</v>
      </c>
      <c r="AI972" s="19">
        <v>84.186808079146175</v>
      </c>
      <c r="AJ972" s="19">
        <v>86.184105690505547</v>
      </c>
      <c r="AK972" s="19">
        <v>87.164155097434346</v>
      </c>
      <c r="AL972" s="19">
        <v>87.806780707764105</v>
      </c>
      <c r="AM972" s="19">
        <v>88.458193464452151</v>
      </c>
      <c r="AN972" s="19">
        <v>89.118484449153371</v>
      </c>
      <c r="AO972" s="19">
        <v>89.787745800153459</v>
      </c>
      <c r="AP972" s="19">
        <v>90.466070724045593</v>
      </c>
      <c r="AQ972" s="19">
        <v>91.153553507560645</v>
      </c>
      <c r="AR972" s="19">
        <v>1373.1643738397258</v>
      </c>
    </row>
    <row r="973" spans="1:44" x14ac:dyDescent="0.25">
      <c r="A973" t="s">
        <v>250</v>
      </c>
      <c r="B973" t="s">
        <v>381</v>
      </c>
      <c r="C973" t="s">
        <v>45</v>
      </c>
      <c r="D973" t="s">
        <v>377</v>
      </c>
      <c r="E973" t="s">
        <v>145</v>
      </c>
      <c r="F973" t="s">
        <v>377</v>
      </c>
      <c r="G973" t="s">
        <v>31</v>
      </c>
      <c r="H973" t="s">
        <v>276</v>
      </c>
      <c r="I973" t="s">
        <v>135</v>
      </c>
      <c r="J973" t="s">
        <v>39</v>
      </c>
      <c r="K973" t="s">
        <v>31</v>
      </c>
      <c r="L973">
        <v>0.28000000000000003</v>
      </c>
      <c r="M973">
        <v>1</v>
      </c>
      <c r="N973" s="2">
        <v>2.2977958968393288</v>
      </c>
      <c r="O973" s="2">
        <v>3.1597702595673303</v>
      </c>
      <c r="P973" s="1">
        <v>-0.47052634267505622</v>
      </c>
      <c r="Q973" s="1">
        <v>0.74484590497730885</v>
      </c>
      <c r="R973" s="1">
        <v>-0.67371772101320537</v>
      </c>
      <c r="S973" s="19">
        <v>8.4654765999709021</v>
      </c>
      <c r="T973" s="19">
        <v>15.895737484915372</v>
      </c>
      <c r="U973" s="19">
        <v>27.143697749180905</v>
      </c>
      <c r="V973" s="19">
        <v>43.210057002965911</v>
      </c>
      <c r="W973" s="19">
        <v>65.005457077224634</v>
      </c>
      <c r="X973" s="19">
        <v>93.181707399279276</v>
      </c>
      <c r="Y973" s="19">
        <v>127.9304946752976</v>
      </c>
      <c r="Z973" s="19">
        <v>168.78313409068238</v>
      </c>
      <c r="AA973" s="19">
        <v>214.46722400568507</v>
      </c>
      <c r="AB973" s="19">
        <v>262.89032519274713</v>
      </c>
      <c r="AC973" s="19">
        <v>311.31271540084282</v>
      </c>
      <c r="AD973" s="19">
        <v>356.72869647561936</v>
      </c>
      <c r="AE973" s="19">
        <v>396.40010774809912</v>
      </c>
      <c r="AF973" s="19">
        <v>428.40167617291729</v>
      </c>
      <c r="AG973" s="19">
        <v>451.99230954322314</v>
      </c>
      <c r="AH973" s="19">
        <v>468.9485776895591</v>
      </c>
      <c r="AI973" s="19">
        <v>477.71303121133622</v>
      </c>
      <c r="AJ973" s="19">
        <v>484.49285154123402</v>
      </c>
      <c r="AK973" s="19">
        <v>485.41708489256757</v>
      </c>
      <c r="AL973" s="19">
        <v>484.3977090142933</v>
      </c>
      <c r="AM973" s="19">
        <v>483.38047382536325</v>
      </c>
      <c r="AN973" s="19">
        <v>482.36537483032998</v>
      </c>
      <c r="AO973" s="19">
        <v>481.3524075431863</v>
      </c>
      <c r="AP973" s="19">
        <v>370.11642576781298</v>
      </c>
      <c r="AQ973" s="19">
        <v>0</v>
      </c>
      <c r="AR973" s="19">
        <v>7189.9927529343331</v>
      </c>
    </row>
    <row r="974" spans="1:44" x14ac:dyDescent="0.25">
      <c r="A974" t="s">
        <v>250</v>
      </c>
      <c r="B974" t="s">
        <v>381</v>
      </c>
      <c r="C974" t="s">
        <v>45</v>
      </c>
      <c r="D974" t="s">
        <v>377</v>
      </c>
      <c r="E974" t="s">
        <v>148</v>
      </c>
      <c r="F974" t="s">
        <v>377</v>
      </c>
      <c r="G974" t="s">
        <v>31</v>
      </c>
      <c r="H974" t="s">
        <v>276</v>
      </c>
      <c r="I974" t="s">
        <v>135</v>
      </c>
      <c r="J974" t="s">
        <v>39</v>
      </c>
      <c r="K974" t="s">
        <v>31</v>
      </c>
      <c r="L974">
        <v>0.28000000000000003</v>
      </c>
      <c r="M974">
        <v>1</v>
      </c>
      <c r="N974" s="2">
        <v>2.2977958968393288</v>
      </c>
      <c r="O974" s="2">
        <v>3.1597702595673303</v>
      </c>
      <c r="P974" s="1">
        <v>-0.47052634267505622</v>
      </c>
      <c r="Q974" s="1">
        <v>0.74484590497730885</v>
      </c>
      <c r="R974" s="1">
        <v>-0.67371772101320537</v>
      </c>
      <c r="S974" s="19">
        <v>1.4401680633405578</v>
      </c>
      <c r="T974" s="19">
        <v>3.2116829035716381</v>
      </c>
      <c r="U974" s="19">
        <v>5.5460385497588547</v>
      </c>
      <c r="V974" s="19">
        <v>8.9283369844703202</v>
      </c>
      <c r="W974" s="19">
        <v>13.583675134785921</v>
      </c>
      <c r="X974" s="19">
        <v>19.691992149408232</v>
      </c>
      <c r="Y974" s="19">
        <v>27.342252076492255</v>
      </c>
      <c r="Z974" s="19">
        <v>36.483800149137743</v>
      </c>
      <c r="AA974" s="19">
        <v>46.886982463933826</v>
      </c>
      <c r="AB974" s="19">
        <v>58.129383071957712</v>
      </c>
      <c r="AC974" s="19">
        <v>69.623694291856438</v>
      </c>
      <c r="AD974" s="19">
        <v>80.694993923602695</v>
      </c>
      <c r="AE974" s="19">
        <v>90.698439153450337</v>
      </c>
      <c r="AF974" s="19">
        <v>99.147961002965616</v>
      </c>
      <c r="AG974" s="19">
        <v>105.8130503985653</v>
      </c>
      <c r="AH974" s="19">
        <v>111.04982415778896</v>
      </c>
      <c r="AI974" s="19">
        <v>114.43345699217625</v>
      </c>
      <c r="AJ974" s="19">
        <v>117.40194981361977</v>
      </c>
      <c r="AK974" s="19">
        <v>118.99087118379376</v>
      </c>
      <c r="AL974" s="19">
        <v>120.12125929087485</v>
      </c>
      <c r="AM974" s="19">
        <v>121.26475235084364</v>
      </c>
      <c r="AN974" s="19">
        <v>122.42149642705576</v>
      </c>
      <c r="AO974" s="19">
        <v>123.59163922274442</v>
      </c>
      <c r="AP974" s="19">
        <v>124.7753300994215</v>
      </c>
      <c r="AQ974" s="19">
        <v>125.97272009547376</v>
      </c>
      <c r="AR974" s="19">
        <v>1867.2457499510899</v>
      </c>
    </row>
    <row r="975" spans="1:44" x14ac:dyDescent="0.25">
      <c r="A975" t="s">
        <v>250</v>
      </c>
      <c r="B975" t="s">
        <v>382</v>
      </c>
      <c r="C975" t="s">
        <v>45</v>
      </c>
      <c r="D975" t="s">
        <v>377</v>
      </c>
      <c r="E975" t="s">
        <v>145</v>
      </c>
      <c r="F975" t="s">
        <v>377</v>
      </c>
      <c r="G975" t="s">
        <v>31</v>
      </c>
      <c r="H975" t="s">
        <v>253</v>
      </c>
      <c r="I975" t="s">
        <v>135</v>
      </c>
      <c r="J975" t="s">
        <v>39</v>
      </c>
      <c r="K975" t="s">
        <v>31</v>
      </c>
      <c r="L975">
        <v>0.34632732967893509</v>
      </c>
      <c r="M975">
        <v>1</v>
      </c>
      <c r="N975" s="2">
        <v>2.6703026842173858</v>
      </c>
      <c r="O975" s="2">
        <v>3.1590792310146663</v>
      </c>
      <c r="P975" s="1">
        <v>-0.57457239540926608</v>
      </c>
      <c r="Q975" s="1">
        <v>0.64079985224309877</v>
      </c>
      <c r="R975" s="1">
        <v>-0.67371772101320482</v>
      </c>
      <c r="S975" s="19">
        <v>3.0743356835362734</v>
      </c>
      <c r="T975" s="19">
        <v>5.7611510755587556</v>
      </c>
      <c r="U975" s="19">
        <v>9.8180740320947777</v>
      </c>
      <c r="V975" s="19">
        <v>15.598069130652243</v>
      </c>
      <c r="W975" s="19">
        <v>23.418794066198497</v>
      </c>
      <c r="X975" s="19">
        <v>33.502258475924563</v>
      </c>
      <c r="Y975" s="19">
        <v>45.903543292262583</v>
      </c>
      <c r="Z975" s="19">
        <v>60.440755939792837</v>
      </c>
      <c r="AA975" s="19">
        <v>76.646173998928262</v>
      </c>
      <c r="AB975" s="19">
        <v>93.763295623481795</v>
      </c>
      <c r="AC975" s="19">
        <v>110.8112437269332</v>
      </c>
      <c r="AD975" s="19">
        <v>126.72249832198332</v>
      </c>
      <c r="AE975" s="19">
        <v>140.53294685417822</v>
      </c>
      <c r="AF975" s="19">
        <v>151.57384249960847</v>
      </c>
      <c r="AG975" s="19">
        <v>159.59998797821524</v>
      </c>
      <c r="AH975" s="19">
        <v>165.25543112738904</v>
      </c>
      <c r="AI975" s="19">
        <v>168.00658977351193</v>
      </c>
      <c r="AJ975" s="19">
        <v>170.04948133103952</v>
      </c>
      <c r="AK975" s="19">
        <v>170.03240808994201</v>
      </c>
      <c r="AL975" s="19">
        <v>169.33527521677323</v>
      </c>
      <c r="AM975" s="19">
        <v>168.64100058838449</v>
      </c>
      <c r="AN975" s="19">
        <v>167.94957248597211</v>
      </c>
      <c r="AO975" s="19">
        <v>167.26097923877961</v>
      </c>
      <c r="AP975" s="19">
        <v>84.686054440097934</v>
      </c>
      <c r="AQ975" s="19">
        <v>0</v>
      </c>
      <c r="AR975" s="19">
        <v>2488.3837629912391</v>
      </c>
    </row>
    <row r="976" spans="1:44" x14ac:dyDescent="0.25">
      <c r="A976" t="s">
        <v>250</v>
      </c>
      <c r="B976" t="s">
        <v>382</v>
      </c>
      <c r="C976" t="s">
        <v>45</v>
      </c>
      <c r="D976" t="s">
        <v>377</v>
      </c>
      <c r="E976" t="s">
        <v>148</v>
      </c>
      <c r="F976" t="s">
        <v>377</v>
      </c>
      <c r="G976" t="s">
        <v>31</v>
      </c>
      <c r="H976" t="s">
        <v>253</v>
      </c>
      <c r="I976" t="s">
        <v>135</v>
      </c>
      <c r="J976" t="s">
        <v>39</v>
      </c>
      <c r="K976" t="s">
        <v>31</v>
      </c>
      <c r="L976">
        <v>0.34632732967893509</v>
      </c>
      <c r="M976">
        <v>1</v>
      </c>
      <c r="N976" s="2">
        <v>2.6703026842173858</v>
      </c>
      <c r="O976" s="2">
        <v>3.1590792310146663</v>
      </c>
      <c r="P976" s="1">
        <v>-0.57457239540926608</v>
      </c>
      <c r="Q976" s="1">
        <v>0.64079985224309877</v>
      </c>
      <c r="R976" s="1">
        <v>-0.67371772101320482</v>
      </c>
      <c r="S976" s="19">
        <v>0.52301367975341451</v>
      </c>
      <c r="T976" s="19">
        <v>1.3399058428797599</v>
      </c>
      <c r="U976" s="19">
        <v>2.3092391821643123</v>
      </c>
      <c r="V976" s="19">
        <v>3.7103137554683889</v>
      </c>
      <c r="W976" s="19">
        <v>5.6340531983423841</v>
      </c>
      <c r="X976" s="19">
        <v>8.1520421720202449</v>
      </c>
      <c r="Y976" s="19">
        <v>11.297792990379024</v>
      </c>
      <c r="Z976" s="19">
        <v>15.047050187539805</v>
      </c>
      <c r="AA976" s="19">
        <v>19.302115326626883</v>
      </c>
      <c r="AB976" s="19">
        <v>23.886853789874067</v>
      </c>
      <c r="AC976" s="19">
        <v>28.558812968736987</v>
      </c>
      <c r="AD976" s="19">
        <v>33.041420612164472</v>
      </c>
      <c r="AE976" s="19">
        <v>37.072346925060202</v>
      </c>
      <c r="AF976" s="19">
        <v>40.455843771845018</v>
      </c>
      <c r="AG976" s="19">
        <v>43.101553035314339</v>
      </c>
      <c r="AH976" s="19">
        <v>45.158208663995403</v>
      </c>
      <c r="AI976" s="19">
        <v>46.456434118098237</v>
      </c>
      <c r="AJ976" s="19">
        <v>47.582910092707181</v>
      </c>
      <c r="AK976" s="19">
        <v>48.1482958287732</v>
      </c>
      <c r="AL976" s="19">
        <v>48.527444940447133</v>
      </c>
      <c r="AM976" s="19">
        <v>48.911505232835822</v>
      </c>
      <c r="AN976" s="19">
        <v>49.30052907839395</v>
      </c>
      <c r="AO976" s="19">
        <v>49.694569447980129</v>
      </c>
      <c r="AP976" s="19">
        <v>50.093679917518259</v>
      </c>
      <c r="AQ976" s="19">
        <v>50.497914674747513</v>
      </c>
      <c r="AR976" s="19">
        <v>757.80384943366619</v>
      </c>
    </row>
    <row r="977" spans="1:44" x14ac:dyDescent="0.25">
      <c r="A977" t="s">
        <v>250</v>
      </c>
      <c r="B977" t="s">
        <v>382</v>
      </c>
      <c r="C977" t="s">
        <v>45</v>
      </c>
      <c r="D977" t="s">
        <v>377</v>
      </c>
      <c r="E977" t="s">
        <v>145</v>
      </c>
      <c r="F977" t="s">
        <v>377</v>
      </c>
      <c r="G977" t="s">
        <v>31</v>
      </c>
      <c r="H977" t="s">
        <v>253</v>
      </c>
      <c r="I977" t="s">
        <v>256</v>
      </c>
      <c r="J977" t="s">
        <v>39</v>
      </c>
      <c r="K977" t="s">
        <v>31</v>
      </c>
      <c r="L977">
        <v>0.34632732967893509</v>
      </c>
      <c r="M977">
        <v>1</v>
      </c>
      <c r="N977" s="2">
        <v>2.2425524627086975</v>
      </c>
      <c r="O977" s="2">
        <v>2.6530329131883188</v>
      </c>
      <c r="P977" s="1">
        <v>-0.30047011666954615</v>
      </c>
      <c r="Q977" s="1">
        <v>0.4672931329656026</v>
      </c>
      <c r="R977" s="1">
        <v>-0.39961544227348494</v>
      </c>
      <c r="S977" s="19">
        <v>1.6126763302515901</v>
      </c>
      <c r="T977" s="19">
        <v>3.0220746629301751</v>
      </c>
      <c r="U977" s="19">
        <v>5.15017786932252</v>
      </c>
      <c r="V977" s="19">
        <v>8.1821373701444973</v>
      </c>
      <c r="W977" s="19">
        <v>12.284583975603162</v>
      </c>
      <c r="X977" s="19">
        <v>17.573975263478015</v>
      </c>
      <c r="Y977" s="19">
        <v>24.079204537924873</v>
      </c>
      <c r="Z977" s="19">
        <v>31.704858063677698</v>
      </c>
      <c r="AA977" s="19">
        <v>40.205586941709129</v>
      </c>
      <c r="AB977" s="19">
        <v>49.184559873579424</v>
      </c>
      <c r="AC977" s="19">
        <v>58.127247080127333</v>
      </c>
      <c r="AD977" s="19">
        <v>66.47366930313224</v>
      </c>
      <c r="AE977" s="19">
        <v>73.718090781664571</v>
      </c>
      <c r="AF977" s="19">
        <v>79.509713071811618</v>
      </c>
      <c r="AG977" s="19">
        <v>83.719915264701754</v>
      </c>
      <c r="AH977" s="19">
        <v>86.686539681351476</v>
      </c>
      <c r="AI977" s="19">
        <v>88.129689970088322</v>
      </c>
      <c r="AJ977" s="19">
        <v>89.201311028822587</v>
      </c>
      <c r="AK977" s="19">
        <v>89.192355073899975</v>
      </c>
      <c r="AL977" s="19">
        <v>88.826666418097005</v>
      </c>
      <c r="AM977" s="19">
        <v>88.462477085782822</v>
      </c>
      <c r="AN977" s="19">
        <v>88.099780929731082</v>
      </c>
      <c r="AO977" s="19">
        <v>87.738571827919188</v>
      </c>
      <c r="AP977" s="19">
        <v>44.422993959089283</v>
      </c>
      <c r="AQ977" s="19">
        <v>0</v>
      </c>
      <c r="AR977" s="19">
        <v>1305.3088563648405</v>
      </c>
    </row>
    <row r="978" spans="1:44" x14ac:dyDescent="0.25">
      <c r="A978" t="s">
        <v>250</v>
      </c>
      <c r="B978" t="s">
        <v>382</v>
      </c>
      <c r="C978" t="s">
        <v>45</v>
      </c>
      <c r="D978" t="s">
        <v>377</v>
      </c>
      <c r="E978" t="s">
        <v>148</v>
      </c>
      <c r="F978" t="s">
        <v>377</v>
      </c>
      <c r="G978" t="s">
        <v>31</v>
      </c>
      <c r="H978" t="s">
        <v>253</v>
      </c>
      <c r="I978" t="s">
        <v>256</v>
      </c>
      <c r="J978" t="s">
        <v>39</v>
      </c>
      <c r="K978" t="s">
        <v>31</v>
      </c>
      <c r="L978">
        <v>0.34632732967893509</v>
      </c>
      <c r="M978">
        <v>1</v>
      </c>
      <c r="N978" s="2">
        <v>2.2425524627086975</v>
      </c>
      <c r="O978" s="2">
        <v>2.6530329131883188</v>
      </c>
      <c r="P978" s="1">
        <v>-0.30047011666954615</v>
      </c>
      <c r="Q978" s="1">
        <v>0.4672931329656026</v>
      </c>
      <c r="R978" s="1">
        <v>-0.39961544227348494</v>
      </c>
      <c r="S978" s="19">
        <v>0.27435253289124595</v>
      </c>
      <c r="T978" s="19">
        <v>0.70286223106661161</v>
      </c>
      <c r="U978" s="19">
        <v>1.2113366116488238</v>
      </c>
      <c r="V978" s="19">
        <v>1.9462855677386937</v>
      </c>
      <c r="W978" s="19">
        <v>2.9554040845318372</v>
      </c>
      <c r="X978" s="19">
        <v>4.2762426772173345</v>
      </c>
      <c r="Y978" s="19">
        <v>5.9263805957290145</v>
      </c>
      <c r="Z978" s="19">
        <v>7.8930943707619923</v>
      </c>
      <c r="AA978" s="19">
        <v>10.125135221158626</v>
      </c>
      <c r="AB978" s="19">
        <v>12.530109811170886</v>
      </c>
      <c r="AC978" s="19">
        <v>14.980836979320376</v>
      </c>
      <c r="AD978" s="19">
        <v>17.332237733334512</v>
      </c>
      <c r="AE978" s="19">
        <v>19.446704116627711</v>
      </c>
      <c r="AF978" s="19">
        <v>21.221554308658199</v>
      </c>
      <c r="AG978" s="19">
        <v>22.609389973050018</v>
      </c>
      <c r="AH978" s="19">
        <v>23.688231125502949</v>
      </c>
      <c r="AI978" s="19">
        <v>24.369229453815791</v>
      </c>
      <c r="AJ978" s="19">
        <v>24.960134718513189</v>
      </c>
      <c r="AK978" s="19">
        <v>25.25671397591157</v>
      </c>
      <c r="AL978" s="19">
        <v>25.455600779752341</v>
      </c>
      <c r="AM978" s="19">
        <v>25.657063797028371</v>
      </c>
      <c r="AN978" s="19">
        <v>25.86113050028241</v>
      </c>
      <c r="AO978" s="19">
        <v>26.067828675955511</v>
      </c>
      <c r="AP978" s="19">
        <v>26.27718642788491</v>
      </c>
      <c r="AQ978" s="19">
        <v>26.489232180838851</v>
      </c>
      <c r="AR978" s="19">
        <v>397.51427845039166</v>
      </c>
    </row>
    <row r="979" spans="1:44" x14ac:dyDescent="0.25">
      <c r="A979" t="s">
        <v>250</v>
      </c>
      <c r="B979" t="s">
        <v>382</v>
      </c>
      <c r="C979" t="s">
        <v>45</v>
      </c>
      <c r="D979" t="s">
        <v>377</v>
      </c>
      <c r="E979" t="s">
        <v>145</v>
      </c>
      <c r="F979" t="s">
        <v>377</v>
      </c>
      <c r="G979" t="s">
        <v>31</v>
      </c>
      <c r="H979" t="s">
        <v>253</v>
      </c>
      <c r="I979" t="s">
        <v>135</v>
      </c>
      <c r="J979" t="s">
        <v>40</v>
      </c>
      <c r="K979" t="s">
        <v>31</v>
      </c>
      <c r="L979">
        <v>0.34632732967893509</v>
      </c>
      <c r="M979">
        <v>1</v>
      </c>
      <c r="N979" s="2">
        <v>2.6703026842173858</v>
      </c>
      <c r="O979" s="2">
        <v>1.979808521690356</v>
      </c>
      <c r="P979" s="1">
        <v>-0.57457239540926608</v>
      </c>
      <c r="Q979" s="1">
        <v>0.4672931329656026</v>
      </c>
      <c r="R979" s="1">
        <v>-0.53071772101320491</v>
      </c>
      <c r="S979" s="19">
        <v>1.6171644663584843</v>
      </c>
      <c r="T979" s="19">
        <v>3.0304852051809639</v>
      </c>
      <c r="U979" s="19">
        <v>5.1645109991754437</v>
      </c>
      <c r="V979" s="19">
        <v>8.2049085521068328</v>
      </c>
      <c r="W979" s="19">
        <v>12.31877241370746</v>
      </c>
      <c r="X979" s="19">
        <v>17.622884267375515</v>
      </c>
      <c r="Y979" s="19">
        <v>24.146217828369267</v>
      </c>
      <c r="Z979" s="19">
        <v>31.793093821572981</v>
      </c>
      <c r="AA979" s="19">
        <v>40.317480533167632</v>
      </c>
      <c r="AB979" s="19">
        <v>49.321442268967381</v>
      </c>
      <c r="AC979" s="19">
        <v>58.289017294968886</v>
      </c>
      <c r="AD979" s="19">
        <v>66.658667910577904</v>
      </c>
      <c r="AE979" s="19">
        <v>73.92325087409111</v>
      </c>
      <c r="AF979" s="19">
        <v>79.730991456936039</v>
      </c>
      <c r="AG979" s="19">
        <v>83.952910793635397</v>
      </c>
      <c r="AH979" s="19">
        <v>86.927791432510347</v>
      </c>
      <c r="AI979" s="19">
        <v>88.374958060296166</v>
      </c>
      <c r="AJ979" s="19">
        <v>89.449561478897905</v>
      </c>
      <c r="AK979" s="19">
        <v>89.440580599231339</v>
      </c>
      <c r="AL979" s="19">
        <v>89.073874218774506</v>
      </c>
      <c r="AM979" s="19">
        <v>88.708671334477529</v>
      </c>
      <c r="AN979" s="19">
        <v>88.34496578200617</v>
      </c>
      <c r="AO979" s="19">
        <v>87.98275142229997</v>
      </c>
      <c r="AP979" s="19">
        <v>44.546624745642518</v>
      </c>
      <c r="AQ979" s="19">
        <v>0</v>
      </c>
      <c r="AR979" s="19">
        <v>1308.9415777603276</v>
      </c>
    </row>
    <row r="980" spans="1:44" x14ac:dyDescent="0.25">
      <c r="A980" t="s">
        <v>250</v>
      </c>
      <c r="B980" t="s">
        <v>382</v>
      </c>
      <c r="C980" t="s">
        <v>45</v>
      </c>
      <c r="D980" t="s">
        <v>377</v>
      </c>
      <c r="E980" t="s">
        <v>148</v>
      </c>
      <c r="F980" t="s">
        <v>377</v>
      </c>
      <c r="G980" t="s">
        <v>31</v>
      </c>
      <c r="H980" t="s">
        <v>253</v>
      </c>
      <c r="I980" t="s">
        <v>135</v>
      </c>
      <c r="J980" t="s">
        <v>40</v>
      </c>
      <c r="K980" t="s">
        <v>31</v>
      </c>
      <c r="L980">
        <v>0.34632732967893509</v>
      </c>
      <c r="M980">
        <v>1</v>
      </c>
      <c r="N980" s="2">
        <v>2.6703026842173858</v>
      </c>
      <c r="O980" s="2">
        <v>1.979808521690356</v>
      </c>
      <c r="P980" s="1">
        <v>-0.57457239540926608</v>
      </c>
      <c r="Q980" s="1">
        <v>0.4672931329656026</v>
      </c>
      <c r="R980" s="1">
        <v>-0.53071772101320491</v>
      </c>
      <c r="S980" s="19">
        <v>0.27511606583693937</v>
      </c>
      <c r="T980" s="19">
        <v>0.70481832188176452</v>
      </c>
      <c r="U980" s="19">
        <v>1.214707804914545</v>
      </c>
      <c r="V980" s="19">
        <v>1.9517021503269527</v>
      </c>
      <c r="W980" s="19">
        <v>2.9636290801701088</v>
      </c>
      <c r="X980" s="19">
        <v>4.2881436140645981</v>
      </c>
      <c r="Y980" s="19">
        <v>5.9428739256278549</v>
      </c>
      <c r="Z980" s="19">
        <v>7.9150611356831453</v>
      </c>
      <c r="AA980" s="19">
        <v>10.153313835875435</v>
      </c>
      <c r="AB980" s="19">
        <v>12.564981556487741</v>
      </c>
      <c r="AC980" s="19">
        <v>15.022529186303789</v>
      </c>
      <c r="AD980" s="19">
        <v>17.380473973009607</v>
      </c>
      <c r="AE980" s="19">
        <v>19.500824992136483</v>
      </c>
      <c r="AF980" s="19">
        <v>21.280614655952014</v>
      </c>
      <c r="AG980" s="19">
        <v>22.672312716807816</v>
      </c>
      <c r="AH980" s="19">
        <v>23.754156322908209</v>
      </c>
      <c r="AI980" s="19">
        <v>24.437049894010435</v>
      </c>
      <c r="AJ980" s="19">
        <v>25.029599669267142</v>
      </c>
      <c r="AK980" s="19">
        <v>25.327004317383292</v>
      </c>
      <c r="AL980" s="19">
        <v>25.52644463033721</v>
      </c>
      <c r="AM980" s="19">
        <v>25.728468326421066</v>
      </c>
      <c r="AN980" s="19">
        <v>25.933102954634091</v>
      </c>
      <c r="AO980" s="19">
        <v>26.140376378749131</v>
      </c>
      <c r="AP980" s="19">
        <v>26.35031678081565</v>
      </c>
      <c r="AQ980" s="19">
        <v>26.562952664710437</v>
      </c>
      <c r="AR980" s="19">
        <v>398.62057495431554</v>
      </c>
    </row>
    <row r="981" spans="1:44" x14ac:dyDescent="0.25">
      <c r="A981" t="s">
        <v>250</v>
      </c>
      <c r="B981" t="s">
        <v>383</v>
      </c>
      <c r="C981" t="s">
        <v>45</v>
      </c>
      <c r="D981" t="s">
        <v>189</v>
      </c>
      <c r="E981" t="s">
        <v>134</v>
      </c>
      <c r="F981" t="s">
        <v>189</v>
      </c>
      <c r="G981" t="s">
        <v>31</v>
      </c>
      <c r="H981" t="s">
        <v>288</v>
      </c>
      <c r="I981" t="s">
        <v>135</v>
      </c>
      <c r="J981" t="s">
        <v>39</v>
      </c>
      <c r="K981" t="s">
        <v>31</v>
      </c>
      <c r="L981">
        <v>2.9543406024031427</v>
      </c>
      <c r="M981">
        <v>1</v>
      </c>
      <c r="N981" s="2">
        <v>2.1184513426101939</v>
      </c>
      <c r="O981" s="2">
        <v>3.1588853240212438</v>
      </c>
      <c r="P981" s="1">
        <v>-1.6498768461339095</v>
      </c>
      <c r="Q981" s="1">
        <v>-0.22061295249342769</v>
      </c>
      <c r="R981" s="1">
        <v>-0.67371772101320548</v>
      </c>
      <c r="S981" s="19">
        <v>2.0577890736631899</v>
      </c>
      <c r="T981" s="19">
        <v>4.1010452278187675</v>
      </c>
      <c r="U981" s="19">
        <v>7.259746740642453</v>
      </c>
      <c r="V981" s="19">
        <v>11.773546183768891</v>
      </c>
      <c r="W981" s="19">
        <v>17.816986872922254</v>
      </c>
      <c r="X981" s="19">
        <v>25.441179097279331</v>
      </c>
      <c r="Y981" s="19">
        <v>34.503169302496559</v>
      </c>
      <c r="Z981" s="19">
        <v>44.594383374049173</v>
      </c>
      <c r="AA981" s="19">
        <v>54.990099780232995</v>
      </c>
      <c r="AB981" s="19">
        <v>64.651851446919437</v>
      </c>
      <c r="AC981" s="19">
        <v>72.31757021934844</v>
      </c>
      <c r="AD981" s="19">
        <v>76.701482061156327</v>
      </c>
      <c r="AE981" s="19">
        <v>76.79063551232629</v>
      </c>
      <c r="AF981" s="19">
        <v>72.170960073682423</v>
      </c>
      <c r="AG981" s="19">
        <v>63.264052162275789</v>
      </c>
      <c r="AH981" s="19">
        <v>52.16171610536523</v>
      </c>
      <c r="AI981" s="19">
        <v>39.768706025978744</v>
      </c>
      <c r="AJ981" s="19">
        <v>26.254674777352527</v>
      </c>
      <c r="AK981" s="19">
        <v>0</v>
      </c>
      <c r="AL981" s="19">
        <v>0</v>
      </c>
      <c r="AM981" s="19">
        <v>0</v>
      </c>
      <c r="AN981" s="19">
        <v>0</v>
      </c>
      <c r="AO981" s="19">
        <v>0</v>
      </c>
      <c r="AP981" s="19">
        <v>0</v>
      </c>
      <c r="AQ981" s="19">
        <v>0</v>
      </c>
      <c r="AR981" s="19">
        <v>746.61959403727883</v>
      </c>
    </row>
    <row r="982" spans="1:44" x14ac:dyDescent="0.25">
      <c r="A982" t="s">
        <v>250</v>
      </c>
      <c r="B982" t="s">
        <v>383</v>
      </c>
      <c r="C982" t="s">
        <v>45</v>
      </c>
      <c r="D982" t="s">
        <v>189</v>
      </c>
      <c r="E982" t="s">
        <v>134</v>
      </c>
      <c r="F982" t="s">
        <v>189</v>
      </c>
      <c r="G982" t="s">
        <v>31</v>
      </c>
      <c r="H982" t="s">
        <v>289</v>
      </c>
      <c r="I982" t="s">
        <v>135</v>
      </c>
      <c r="J982" t="s">
        <v>39</v>
      </c>
      <c r="K982" t="s">
        <v>31</v>
      </c>
      <c r="L982">
        <v>2.9543406024031427</v>
      </c>
      <c r="M982">
        <v>1</v>
      </c>
      <c r="N982" s="2">
        <v>2.1184513426101939</v>
      </c>
      <c r="O982" s="2">
        <v>3.1588853240212438</v>
      </c>
      <c r="P982" s="1">
        <v>-1.6498768461339095</v>
      </c>
      <c r="Q982" s="1">
        <v>-0.22061295249342769</v>
      </c>
      <c r="R982" s="1">
        <v>-0.67371772101320548</v>
      </c>
      <c r="S982" s="19">
        <v>1.9558393130925793</v>
      </c>
      <c r="T982" s="19">
        <v>3.8978657161688761</v>
      </c>
      <c r="U982" s="19">
        <v>6.9000745801259118</v>
      </c>
      <c r="V982" s="19">
        <v>11.190245285798076</v>
      </c>
      <c r="W982" s="19">
        <v>16.934273688645014</v>
      </c>
      <c r="X982" s="19">
        <v>24.180737902990931</v>
      </c>
      <c r="Y982" s="19">
        <v>32.793766772209558</v>
      </c>
      <c r="Z982" s="19">
        <v>42.385028311392013</v>
      </c>
      <c r="AA982" s="19">
        <v>52.265706120017477</v>
      </c>
      <c r="AB982" s="19">
        <v>61.448782259790995</v>
      </c>
      <c r="AC982" s="19">
        <v>68.734715657978697</v>
      </c>
      <c r="AD982" s="19">
        <v>72.901433828989539</v>
      </c>
      <c r="AE982" s="19">
        <v>72.986170319686167</v>
      </c>
      <c r="AF982" s="19">
        <v>68.595369069807063</v>
      </c>
      <c r="AG982" s="19">
        <v>60.129739198319257</v>
      </c>
      <c r="AH982" s="19">
        <v>49.577450042358336</v>
      </c>
      <c r="AI982" s="19">
        <v>37.79843117641213</v>
      </c>
      <c r="AJ982" s="19">
        <v>24.953930283338277</v>
      </c>
      <c r="AK982" s="19">
        <v>0</v>
      </c>
      <c r="AL982" s="19">
        <v>0</v>
      </c>
      <c r="AM982" s="19">
        <v>0</v>
      </c>
      <c r="AN982" s="19">
        <v>0</v>
      </c>
      <c r="AO982" s="19">
        <v>0</v>
      </c>
      <c r="AP982" s="19">
        <v>0</v>
      </c>
      <c r="AQ982" s="19">
        <v>0</v>
      </c>
      <c r="AR982" s="19">
        <v>709.62955952712093</v>
      </c>
    </row>
    <row r="983" spans="1:44" x14ac:dyDescent="0.25">
      <c r="A983" t="s">
        <v>250</v>
      </c>
      <c r="B983" t="s">
        <v>383</v>
      </c>
      <c r="C983" t="s">
        <v>45</v>
      </c>
      <c r="D983" t="s">
        <v>189</v>
      </c>
      <c r="E983" t="s">
        <v>134</v>
      </c>
      <c r="F983" t="s">
        <v>189</v>
      </c>
      <c r="G983" t="s">
        <v>31</v>
      </c>
      <c r="H983" t="s">
        <v>290</v>
      </c>
      <c r="I983" t="s">
        <v>135</v>
      </c>
      <c r="J983" t="s">
        <v>39</v>
      </c>
      <c r="K983" t="s">
        <v>31</v>
      </c>
      <c r="L983">
        <v>2.9543406024031427</v>
      </c>
      <c r="M983">
        <v>1</v>
      </c>
      <c r="N983" s="2">
        <v>2.1184513426101939</v>
      </c>
      <c r="O983" s="2">
        <v>3.1588853240212438</v>
      </c>
      <c r="P983" s="1">
        <v>-1.6498768461339095</v>
      </c>
      <c r="Q983" s="1">
        <v>-0.22061295249342769</v>
      </c>
      <c r="R983" s="1">
        <v>-0.67371772101320548</v>
      </c>
      <c r="S983" s="19">
        <v>2.8321885369751789</v>
      </c>
      <c r="T983" s="19">
        <v>5.644375039453708</v>
      </c>
      <c r="U983" s="19">
        <v>9.9917779539905371</v>
      </c>
      <c r="V983" s="19">
        <v>16.204237338017798</v>
      </c>
      <c r="W983" s="19">
        <v>24.521981689356995</v>
      </c>
      <c r="X983" s="19">
        <v>35.015355426190091</v>
      </c>
      <c r="Y983" s="19">
        <v>47.487607859579363</v>
      </c>
      <c r="Z983" s="19">
        <v>61.376407826204037</v>
      </c>
      <c r="AA983" s="19">
        <v>75.684302263035747</v>
      </c>
      <c r="AB983" s="19">
        <v>88.982021969933655</v>
      </c>
      <c r="AC983" s="19">
        <v>99.532549773203698</v>
      </c>
      <c r="AD983" s="19">
        <v>105.56624147872698</v>
      </c>
      <c r="AE983" s="19">
        <v>105.68894568863216</v>
      </c>
      <c r="AF983" s="19">
        <v>99.330766422677669</v>
      </c>
      <c r="AG983" s="19">
        <v>87.071957777303268</v>
      </c>
      <c r="AH983" s="19">
        <v>71.791524366286453</v>
      </c>
      <c r="AI983" s="19">
        <v>54.73470278302581</v>
      </c>
      <c r="AJ983" s="19">
        <v>36.134990654829238</v>
      </c>
      <c r="AK983" s="19">
        <v>0</v>
      </c>
      <c r="AL983" s="19">
        <v>0</v>
      </c>
      <c r="AM983" s="19">
        <v>0</v>
      </c>
      <c r="AN983" s="19">
        <v>0</v>
      </c>
      <c r="AO983" s="19">
        <v>0</v>
      </c>
      <c r="AP983" s="19">
        <v>0</v>
      </c>
      <c r="AQ983" s="19">
        <v>0</v>
      </c>
      <c r="AR983" s="19">
        <v>1027.5919348474224</v>
      </c>
    </row>
    <row r="984" spans="1:44" x14ac:dyDescent="0.25">
      <c r="A984" t="s">
        <v>250</v>
      </c>
      <c r="B984" t="s">
        <v>383</v>
      </c>
      <c r="C984" t="s">
        <v>45</v>
      </c>
      <c r="D984" t="s">
        <v>189</v>
      </c>
      <c r="E984" t="s">
        <v>134</v>
      </c>
      <c r="F984" t="s">
        <v>189</v>
      </c>
      <c r="G984" t="s">
        <v>31</v>
      </c>
      <c r="H984" t="s">
        <v>276</v>
      </c>
      <c r="I984" t="s">
        <v>135</v>
      </c>
      <c r="J984" t="s">
        <v>39</v>
      </c>
      <c r="K984" t="s">
        <v>31</v>
      </c>
      <c r="L984">
        <v>2.9543406024031427</v>
      </c>
      <c r="M984">
        <v>1</v>
      </c>
      <c r="N984" s="2">
        <v>2.1184513426101939</v>
      </c>
      <c r="O984" s="2">
        <v>3.1588853240212438</v>
      </c>
      <c r="P984" s="1">
        <v>-1.6498768461339095</v>
      </c>
      <c r="Q984" s="1">
        <v>-0.22061295249342769</v>
      </c>
      <c r="R984" s="1">
        <v>-0.67371772101320548</v>
      </c>
      <c r="S984" s="19">
        <v>1.4634402256154733</v>
      </c>
      <c r="T984" s="19">
        <v>2.9191778470452179</v>
      </c>
      <c r="U984" s="19">
        <v>5.1722478823531954</v>
      </c>
      <c r="V984" s="19">
        <v>8.3957020178234192</v>
      </c>
      <c r="W984" s="19">
        <v>12.71674165988388</v>
      </c>
      <c r="X984" s="19">
        <v>18.174843848791891</v>
      </c>
      <c r="Y984" s="19">
        <v>24.670861006135155</v>
      </c>
      <c r="Z984" s="19">
        <v>31.915183422744903</v>
      </c>
      <c r="AA984" s="19">
        <v>39.390686854127175</v>
      </c>
      <c r="AB984" s="19">
        <v>46.353430063810436</v>
      </c>
      <c r="AC984" s="19">
        <v>51.896324501680759</v>
      </c>
      <c r="AD984" s="19">
        <v>55.091981699337744</v>
      </c>
      <c r="AE984" s="19">
        <v>55.205807278378678</v>
      </c>
      <c r="AF984" s="19">
        <v>51.931497983837744</v>
      </c>
      <c r="AG984" s="19">
        <v>45.563516801199128</v>
      </c>
      <c r="AH984" s="19">
        <v>37.601395852276461</v>
      </c>
      <c r="AI984" s="19">
        <v>28.693625174872167</v>
      </c>
      <c r="AJ984" s="19">
        <v>19.823101312157263</v>
      </c>
      <c r="AK984" s="19">
        <v>5.6185214678291953</v>
      </c>
      <c r="AL984" s="19">
        <v>0</v>
      </c>
      <c r="AM984" s="19">
        <v>0</v>
      </c>
      <c r="AN984" s="19">
        <v>0</v>
      </c>
      <c r="AO984" s="19">
        <v>0</v>
      </c>
      <c r="AP984" s="19">
        <v>0</v>
      </c>
      <c r="AQ984" s="19">
        <v>0</v>
      </c>
      <c r="AR984" s="19">
        <v>542.59808689989995</v>
      </c>
    </row>
    <row r="985" spans="1:44" x14ac:dyDescent="0.25">
      <c r="A985" t="s">
        <v>250</v>
      </c>
      <c r="B985" t="s">
        <v>383</v>
      </c>
      <c r="C985" t="s">
        <v>45</v>
      </c>
      <c r="D985" t="s">
        <v>189</v>
      </c>
      <c r="E985" t="s">
        <v>134</v>
      </c>
      <c r="F985" t="s">
        <v>189</v>
      </c>
      <c r="G985" t="s">
        <v>31</v>
      </c>
      <c r="H985" t="s">
        <v>252</v>
      </c>
      <c r="I985" t="s">
        <v>135</v>
      </c>
      <c r="J985" t="s">
        <v>39</v>
      </c>
      <c r="K985" t="s">
        <v>31</v>
      </c>
      <c r="L985">
        <v>2.9543406024031427</v>
      </c>
      <c r="M985">
        <v>1</v>
      </c>
      <c r="N985" s="2">
        <v>2.1184513426101939</v>
      </c>
      <c r="O985" s="2">
        <v>3.1588853240212438</v>
      </c>
      <c r="P985" s="1">
        <v>-1.6498768461339095</v>
      </c>
      <c r="Q985" s="1">
        <v>-0.22061295249342769</v>
      </c>
      <c r="R985" s="1">
        <v>-0.67371772101320548</v>
      </c>
      <c r="S985" s="19">
        <v>24.270045496242265</v>
      </c>
      <c r="T985" s="19">
        <v>48.334726381339301</v>
      </c>
      <c r="U985" s="19">
        <v>85.502959663729285</v>
      </c>
      <c r="V985" s="19">
        <v>138.56767858202039</v>
      </c>
      <c r="W985" s="19">
        <v>209.54817441049912</v>
      </c>
      <c r="X985" s="19">
        <v>299.00732580264412</v>
      </c>
      <c r="Y985" s="19">
        <v>405.22716832046808</v>
      </c>
      <c r="Z985" s="19">
        <v>523.37708102607201</v>
      </c>
      <c r="AA985" s="19">
        <v>644.93213541050523</v>
      </c>
      <c r="AB985" s="19">
        <v>757.71423790104541</v>
      </c>
      <c r="AC985" s="19">
        <v>846.96074010777261</v>
      </c>
      <c r="AD985" s="19">
        <v>897.67303828191905</v>
      </c>
      <c r="AE985" s="19">
        <v>898.08544799985748</v>
      </c>
      <c r="AF985" s="19">
        <v>843.4645848859318</v>
      </c>
      <c r="AG985" s="19">
        <v>738.85011858383825</v>
      </c>
      <c r="AH985" s="19">
        <v>608.76010710201842</v>
      </c>
      <c r="AI985" s="19">
        <v>463.80000183380184</v>
      </c>
      <c r="AJ985" s="19">
        <v>224.53973710749551</v>
      </c>
      <c r="AK985" s="19">
        <v>0</v>
      </c>
      <c r="AL985" s="19">
        <v>0</v>
      </c>
      <c r="AM985" s="19">
        <v>0</v>
      </c>
      <c r="AN985" s="19">
        <v>0</v>
      </c>
      <c r="AO985" s="19">
        <v>0</v>
      </c>
      <c r="AP985" s="19">
        <v>0</v>
      </c>
      <c r="AQ985" s="19">
        <v>0</v>
      </c>
      <c r="AR985" s="19">
        <v>8658.6153088972005</v>
      </c>
    </row>
    <row r="986" spans="1:44" x14ac:dyDescent="0.25">
      <c r="A986" t="s">
        <v>250</v>
      </c>
      <c r="B986" t="s">
        <v>383</v>
      </c>
      <c r="C986" t="s">
        <v>45</v>
      </c>
      <c r="D986" t="s">
        <v>189</v>
      </c>
      <c r="E986" t="s">
        <v>134</v>
      </c>
      <c r="F986" t="s">
        <v>189</v>
      </c>
      <c r="G986" t="s">
        <v>31</v>
      </c>
      <c r="H986" t="s">
        <v>253</v>
      </c>
      <c r="I986" t="s">
        <v>135</v>
      </c>
      <c r="J986" t="s">
        <v>39</v>
      </c>
      <c r="K986" t="s">
        <v>31</v>
      </c>
      <c r="L986">
        <v>2.9543406024031427</v>
      </c>
      <c r="M986">
        <v>1</v>
      </c>
      <c r="N986" s="2">
        <v>2.1184513426101939</v>
      </c>
      <c r="O986" s="2">
        <v>3.1588853240212438</v>
      </c>
      <c r="P986" s="1">
        <v>-1.6498768461339095</v>
      </c>
      <c r="Q986" s="1">
        <v>-0.22061295249342769</v>
      </c>
      <c r="R986" s="1">
        <v>-0.67371772101320548</v>
      </c>
      <c r="S986" s="19">
        <v>2.1650537311793689</v>
      </c>
      <c r="T986" s="19">
        <v>4.3100564170190365</v>
      </c>
      <c r="U986" s="19">
        <v>7.6213242751295249</v>
      </c>
      <c r="V986" s="19">
        <v>12.346300294226545</v>
      </c>
      <c r="W986" s="19">
        <v>18.663125577147618</v>
      </c>
      <c r="X986" s="19">
        <v>26.619992426304226</v>
      </c>
      <c r="Y986" s="19">
        <v>36.062037078037527</v>
      </c>
      <c r="Z986" s="19">
        <v>46.557752100257773</v>
      </c>
      <c r="AA986" s="19">
        <v>57.347821158898022</v>
      </c>
      <c r="AB986" s="19">
        <v>67.349434717113709</v>
      </c>
      <c r="AC986" s="19">
        <v>75.251885941591354</v>
      </c>
      <c r="AD986" s="19">
        <v>79.725617621622646</v>
      </c>
      <c r="AE986" s="19">
        <v>79.730221848701831</v>
      </c>
      <c r="AF986" s="19">
        <v>74.851027680873358</v>
      </c>
      <c r="AG986" s="19">
        <v>65.540969993316821</v>
      </c>
      <c r="AH986" s="19">
        <v>53.979431212065201</v>
      </c>
      <c r="AI986" s="19">
        <v>41.109147180779082</v>
      </c>
      <c r="AJ986" s="19">
        <v>15.768003692994728</v>
      </c>
      <c r="AK986" s="19">
        <v>0</v>
      </c>
      <c r="AL986" s="19">
        <v>0</v>
      </c>
      <c r="AM986" s="19">
        <v>0</v>
      </c>
      <c r="AN986" s="19">
        <v>0</v>
      </c>
      <c r="AO986" s="19">
        <v>0</v>
      </c>
      <c r="AP986" s="19">
        <v>0</v>
      </c>
      <c r="AQ986" s="19">
        <v>0</v>
      </c>
      <c r="AR986" s="19">
        <v>764.99920294725837</v>
      </c>
    </row>
    <row r="987" spans="1:44" x14ac:dyDescent="0.25">
      <c r="A987" t="s">
        <v>250</v>
      </c>
      <c r="B987" t="s">
        <v>383</v>
      </c>
      <c r="C987" t="s">
        <v>45</v>
      </c>
      <c r="D987" t="s">
        <v>189</v>
      </c>
      <c r="E987" t="s">
        <v>134</v>
      </c>
      <c r="F987" t="s">
        <v>189</v>
      </c>
      <c r="G987" t="s">
        <v>31</v>
      </c>
      <c r="H987" t="s">
        <v>254</v>
      </c>
      <c r="I987" t="s">
        <v>135</v>
      </c>
      <c r="J987" t="s">
        <v>39</v>
      </c>
      <c r="K987" t="s">
        <v>31</v>
      </c>
      <c r="L987">
        <v>2.9543406024031427</v>
      </c>
      <c r="M987">
        <v>1</v>
      </c>
      <c r="N987" s="2">
        <v>2.1184513426101939</v>
      </c>
      <c r="O987" s="2">
        <v>3.1588853240212438</v>
      </c>
      <c r="P987" s="1">
        <v>-1.6498768461339095</v>
      </c>
      <c r="Q987" s="1">
        <v>-0.22061295249342769</v>
      </c>
      <c r="R987" s="1">
        <v>-0.67371772101320548</v>
      </c>
      <c r="S987" s="19">
        <v>0.52447268196822905</v>
      </c>
      <c r="T987" s="19">
        <v>1.0436827293792139</v>
      </c>
      <c r="U987" s="19">
        <v>1.8447916798250119</v>
      </c>
      <c r="V987" s="19">
        <v>2.987342897980914</v>
      </c>
      <c r="W987" s="19">
        <v>4.5140250666844013</v>
      </c>
      <c r="X987" s="19">
        <v>6.4360419244818985</v>
      </c>
      <c r="Y987" s="19">
        <v>8.7155046945994297</v>
      </c>
      <c r="Z987" s="19">
        <v>11.247749559667644</v>
      </c>
      <c r="AA987" s="19">
        <v>13.849111290340105</v>
      </c>
      <c r="AB987" s="19">
        <v>16.258118575264316</v>
      </c>
      <c r="AC987" s="19">
        <v>18.158713184560625</v>
      </c>
      <c r="AD987" s="19">
        <v>19.230780972445125</v>
      </c>
      <c r="AE987" s="19">
        <v>19.224424621688872</v>
      </c>
      <c r="AF987" s="19">
        <v>18.040953788695145</v>
      </c>
      <c r="AG987" s="19">
        <v>15.790865700367746</v>
      </c>
      <c r="AH987" s="19">
        <v>13.000280654669282</v>
      </c>
      <c r="AI987" s="19">
        <v>9.8967873808460407</v>
      </c>
      <c r="AJ987" s="19">
        <v>2.8341831920510416</v>
      </c>
      <c r="AK987" s="19">
        <v>0</v>
      </c>
      <c r="AL987" s="19">
        <v>0</v>
      </c>
      <c r="AM987" s="19">
        <v>0</v>
      </c>
      <c r="AN987" s="19">
        <v>0</v>
      </c>
      <c r="AO987" s="19">
        <v>0</v>
      </c>
      <c r="AP987" s="19">
        <v>0</v>
      </c>
      <c r="AQ987" s="19">
        <v>0</v>
      </c>
      <c r="AR987" s="19">
        <v>183.59783059551503</v>
      </c>
    </row>
    <row r="988" spans="1:44" x14ac:dyDescent="0.25">
      <c r="A988" t="s">
        <v>250</v>
      </c>
      <c r="B988" t="s">
        <v>383</v>
      </c>
      <c r="C988" t="s">
        <v>45</v>
      </c>
      <c r="D988" t="s">
        <v>189</v>
      </c>
      <c r="E988" t="s">
        <v>134</v>
      </c>
      <c r="F988" t="s">
        <v>189</v>
      </c>
      <c r="G988" t="s">
        <v>31</v>
      </c>
      <c r="H988" t="s">
        <v>255</v>
      </c>
      <c r="I988" t="s">
        <v>135</v>
      </c>
      <c r="J988" t="s">
        <v>39</v>
      </c>
      <c r="K988" t="s">
        <v>31</v>
      </c>
      <c r="L988">
        <v>2.9543406024031427</v>
      </c>
      <c r="M988">
        <v>1</v>
      </c>
      <c r="N988" s="2">
        <v>2.1184513426101939</v>
      </c>
      <c r="O988" s="2">
        <v>3.1588853240212438</v>
      </c>
      <c r="P988" s="1">
        <v>-1.6498768461339095</v>
      </c>
      <c r="Q988" s="1">
        <v>-0.22061295249342769</v>
      </c>
      <c r="R988" s="1">
        <v>-0.67371772101320548</v>
      </c>
      <c r="S988" s="19">
        <v>0.1155077363397736</v>
      </c>
      <c r="T988" s="19">
        <v>0.22881435707490325</v>
      </c>
      <c r="U988" s="19">
        <v>0.40261382042322474</v>
      </c>
      <c r="V988" s="19">
        <v>0.64901240258715676</v>
      </c>
      <c r="W988" s="19">
        <v>0.97624418648290323</v>
      </c>
      <c r="X988" s="19">
        <v>1.385606564131334</v>
      </c>
      <c r="Y988" s="19">
        <v>1.8678421959079139</v>
      </c>
      <c r="Z988" s="19">
        <v>2.3996055199600725</v>
      </c>
      <c r="AA988" s="19">
        <v>2.9411873747634698</v>
      </c>
      <c r="AB988" s="19">
        <v>3.4371433707851402</v>
      </c>
      <c r="AC988" s="19">
        <v>3.8215452264777809</v>
      </c>
      <c r="AD988" s="19">
        <v>4.0288159661858627</v>
      </c>
      <c r="AE988" s="19">
        <v>4.0092250188512253</v>
      </c>
      <c r="AF988" s="19">
        <v>3.7453563857815673</v>
      </c>
      <c r="AG988" s="19">
        <v>3.2633688829441563</v>
      </c>
      <c r="AH988" s="19">
        <v>2.6744810785375921</v>
      </c>
      <c r="AI988" s="19">
        <v>0.31076689297371074</v>
      </c>
      <c r="AJ988" s="19">
        <v>0</v>
      </c>
      <c r="AK988" s="19">
        <v>0</v>
      </c>
      <c r="AL988" s="19">
        <v>0</v>
      </c>
      <c r="AM988" s="19">
        <v>0</v>
      </c>
      <c r="AN988" s="19">
        <v>0</v>
      </c>
      <c r="AO988" s="19">
        <v>0</v>
      </c>
      <c r="AP988" s="19">
        <v>0</v>
      </c>
      <c r="AQ988" s="19">
        <v>0</v>
      </c>
      <c r="AR988" s="19">
        <v>36.257136980207783</v>
      </c>
    </row>
    <row r="989" spans="1:44" x14ac:dyDescent="0.25">
      <c r="A989" t="s">
        <v>250</v>
      </c>
      <c r="B989" t="s">
        <v>383</v>
      </c>
      <c r="C989" t="s">
        <v>45</v>
      </c>
      <c r="D989" t="s">
        <v>189</v>
      </c>
      <c r="E989" t="s">
        <v>134</v>
      </c>
      <c r="F989" t="s">
        <v>189</v>
      </c>
      <c r="G989" t="s">
        <v>31</v>
      </c>
      <c r="H989" t="s">
        <v>288</v>
      </c>
      <c r="I989" t="s">
        <v>135</v>
      </c>
      <c r="J989" t="s">
        <v>39</v>
      </c>
      <c r="K989" t="s">
        <v>33</v>
      </c>
      <c r="L989">
        <v>2.9543406024031427</v>
      </c>
      <c r="M989">
        <v>1</v>
      </c>
      <c r="N989" s="2">
        <v>2.1184513426101939</v>
      </c>
      <c r="O989" s="2">
        <v>3.1588853240212438</v>
      </c>
      <c r="P989" s="1">
        <v>-1.6498768461339095</v>
      </c>
      <c r="Q989" s="1">
        <v>-0.22061295249342769</v>
      </c>
      <c r="R989" s="1">
        <v>-0.67371772101320548</v>
      </c>
      <c r="S989" s="19">
        <v>1.9357855118569679E-2</v>
      </c>
      <c r="T989" s="19">
        <v>3.8578997415655965E-2</v>
      </c>
      <c r="U989" s="19">
        <v>6.8293260665775554E-2</v>
      </c>
      <c r="V989" s="19">
        <v>0.11075508378099716</v>
      </c>
      <c r="W989" s="19">
        <v>0.16760641552125294</v>
      </c>
      <c r="X989" s="19">
        <v>0.23932805617147759</v>
      </c>
      <c r="Y989" s="19">
        <v>0.32457522543854722</v>
      </c>
      <c r="Z989" s="19">
        <v>0.41950442030488183</v>
      </c>
      <c r="AA989" s="19">
        <v>0.51729810315616065</v>
      </c>
      <c r="AB989" s="19">
        <v>0.60818729648945535</v>
      </c>
      <c r="AC989" s="19">
        <v>0.68029958208548036</v>
      </c>
      <c r="AD989" s="19">
        <v>0.72153953780904245</v>
      </c>
      <c r="AE989" s="19">
        <v>0.72237821443200445</v>
      </c>
      <c r="AF989" s="19">
        <v>0.67892040382321905</v>
      </c>
      <c r="AG989" s="19">
        <v>0.59513211127654009</v>
      </c>
      <c r="AH989" s="19">
        <v>0.49069117725760297</v>
      </c>
      <c r="AI989" s="19">
        <v>0.3741087263785759</v>
      </c>
      <c r="AJ989" s="19">
        <v>0.24698070226430915</v>
      </c>
      <c r="AK989" s="19">
        <v>0</v>
      </c>
      <c r="AL989" s="19">
        <v>0</v>
      </c>
      <c r="AM989" s="19">
        <v>0</v>
      </c>
      <c r="AN989" s="19">
        <v>0</v>
      </c>
      <c r="AO989" s="19">
        <v>0</v>
      </c>
      <c r="AP989" s="19">
        <v>0</v>
      </c>
      <c r="AQ989" s="19">
        <v>0</v>
      </c>
      <c r="AR989" s="19">
        <v>7.0235351693895494</v>
      </c>
    </row>
    <row r="990" spans="1:44" x14ac:dyDescent="0.25">
      <c r="A990" t="s">
        <v>250</v>
      </c>
      <c r="B990" t="s">
        <v>383</v>
      </c>
      <c r="C990" t="s">
        <v>45</v>
      </c>
      <c r="D990" t="s">
        <v>189</v>
      </c>
      <c r="E990" t="s">
        <v>134</v>
      </c>
      <c r="F990" t="s">
        <v>189</v>
      </c>
      <c r="G990" t="s">
        <v>31</v>
      </c>
      <c r="H990" t="s">
        <v>253</v>
      </c>
      <c r="I990" t="s">
        <v>256</v>
      </c>
      <c r="J990" t="s">
        <v>39</v>
      </c>
      <c r="K990" t="s">
        <v>31</v>
      </c>
      <c r="L990">
        <v>2.9543406024031427</v>
      </c>
      <c r="M990">
        <v>1</v>
      </c>
      <c r="N990" s="2">
        <v>1.9755634848316397</v>
      </c>
      <c r="O990" s="2">
        <v>2.6528390061948972</v>
      </c>
      <c r="P990" s="1">
        <v>-1.3757745673941897</v>
      </c>
      <c r="Q990" s="1">
        <v>0.4672931329656026</v>
      </c>
      <c r="R990" s="1">
        <v>-0.39961544227348567</v>
      </c>
      <c r="S990" s="19">
        <v>1.1357025599688912</v>
      </c>
      <c r="T990" s="19">
        <v>2.2608871253058682</v>
      </c>
      <c r="U990" s="19">
        <v>3.9978488131574998</v>
      </c>
      <c r="V990" s="19">
        <v>6.4763865433767842</v>
      </c>
      <c r="W990" s="19">
        <v>9.7899461753503356</v>
      </c>
      <c r="X990" s="19">
        <v>13.963807507187234</v>
      </c>
      <c r="Y990" s="19">
        <v>18.916735061771647</v>
      </c>
      <c r="Z990" s="19">
        <v>24.422376906949452</v>
      </c>
      <c r="AA990" s="19">
        <v>30.082425373951494</v>
      </c>
      <c r="AB990" s="19">
        <v>35.328880904502057</v>
      </c>
      <c r="AC990" s="19">
        <v>39.474197926624974</v>
      </c>
      <c r="AD990" s="19">
        <v>41.820942697184456</v>
      </c>
      <c r="AE990" s="19">
        <v>41.82335789474061</v>
      </c>
      <c r="AF990" s="19">
        <v>39.26392335176066</v>
      </c>
      <c r="AG990" s="19">
        <v>34.380230999489889</v>
      </c>
      <c r="AH990" s="19">
        <v>28.315499671138724</v>
      </c>
      <c r="AI990" s="19">
        <v>21.564251740725393</v>
      </c>
      <c r="AJ990" s="19">
        <v>8.2712783991638013</v>
      </c>
      <c r="AK990" s="19">
        <v>0</v>
      </c>
      <c r="AL990" s="19">
        <v>0</v>
      </c>
      <c r="AM990" s="19">
        <v>0</v>
      </c>
      <c r="AN990" s="19">
        <v>0</v>
      </c>
      <c r="AO990" s="19">
        <v>0</v>
      </c>
      <c r="AP990" s="19">
        <v>0</v>
      </c>
      <c r="AQ990" s="19">
        <v>0</v>
      </c>
      <c r="AR990" s="19">
        <v>401.28867965234974</v>
      </c>
    </row>
    <row r="991" spans="1:44" x14ac:dyDescent="0.25">
      <c r="A991" t="s">
        <v>250</v>
      </c>
      <c r="B991" t="s">
        <v>383</v>
      </c>
      <c r="C991" t="s">
        <v>45</v>
      </c>
      <c r="D991" t="s">
        <v>189</v>
      </c>
      <c r="E991" t="s">
        <v>134</v>
      </c>
      <c r="F991" t="s">
        <v>189</v>
      </c>
      <c r="G991" t="s">
        <v>31</v>
      </c>
      <c r="H991" t="s">
        <v>253</v>
      </c>
      <c r="I991" t="s">
        <v>135</v>
      </c>
      <c r="J991" t="s">
        <v>40</v>
      </c>
      <c r="K991" t="s">
        <v>31</v>
      </c>
      <c r="L991">
        <v>2.9543406024031427</v>
      </c>
      <c r="M991">
        <v>1</v>
      </c>
      <c r="N991" s="2">
        <v>2.1184513426101939</v>
      </c>
      <c r="O991" s="2">
        <v>1.9798085216903567</v>
      </c>
      <c r="P991" s="1">
        <v>-1.6498768461339095</v>
      </c>
      <c r="Q991" s="1">
        <v>0.4672931329656026</v>
      </c>
      <c r="R991" s="1">
        <v>-0.53071772101320525</v>
      </c>
      <c r="S991" s="19">
        <v>1.1388632609542484</v>
      </c>
      <c r="T991" s="19">
        <v>2.2671792553200252</v>
      </c>
      <c r="U991" s="19">
        <v>4.0089749698894188</v>
      </c>
      <c r="V991" s="19">
        <v>6.4944105595679282</v>
      </c>
      <c r="W991" s="19">
        <v>9.8171919469226641</v>
      </c>
      <c r="X991" s="19">
        <v>14.002669284648148</v>
      </c>
      <c r="Y991" s="19">
        <v>18.969381014380151</v>
      </c>
      <c r="Z991" s="19">
        <v>24.490345258413477</v>
      </c>
      <c r="AA991" s="19">
        <v>30.166145843441313</v>
      </c>
      <c r="AB991" s="19">
        <v>35.427202448031458</v>
      </c>
      <c r="AC991" s="19">
        <v>39.584056036204558</v>
      </c>
      <c r="AD991" s="19">
        <v>41.937331881686397</v>
      </c>
      <c r="AE991" s="19">
        <v>41.93975380082405</v>
      </c>
      <c r="AF991" s="19">
        <v>39.373196259651536</v>
      </c>
      <c r="AG991" s="19">
        <v>34.475912416286107</v>
      </c>
      <c r="AH991" s="19">
        <v>28.394302722981735</v>
      </c>
      <c r="AI991" s="19">
        <v>21.624265827272207</v>
      </c>
      <c r="AJ991" s="19">
        <v>8.2942976638095658</v>
      </c>
      <c r="AK991" s="19">
        <v>0</v>
      </c>
      <c r="AL991" s="19">
        <v>0</v>
      </c>
      <c r="AM991" s="19">
        <v>0</v>
      </c>
      <c r="AN991" s="19">
        <v>0</v>
      </c>
      <c r="AO991" s="19">
        <v>0</v>
      </c>
      <c r="AP991" s="19">
        <v>0</v>
      </c>
      <c r="AQ991" s="19">
        <v>0</v>
      </c>
      <c r="AR991" s="19">
        <v>402.4054804502851</v>
      </c>
    </row>
    <row r="992" spans="1:44" x14ac:dyDescent="0.25">
      <c r="A992" t="s">
        <v>250</v>
      </c>
      <c r="B992" t="s">
        <v>384</v>
      </c>
      <c r="C992" t="s">
        <v>44</v>
      </c>
      <c r="D992" t="s">
        <v>191</v>
      </c>
      <c r="E992" t="s">
        <v>134</v>
      </c>
      <c r="F992" t="s">
        <v>385</v>
      </c>
      <c r="G992" t="s">
        <v>31</v>
      </c>
      <c r="H992" t="s">
        <v>288</v>
      </c>
      <c r="I992" t="s">
        <v>135</v>
      </c>
      <c r="J992" t="s">
        <v>39</v>
      </c>
      <c r="K992" t="s">
        <v>31</v>
      </c>
      <c r="L992">
        <v>0.47</v>
      </c>
      <c r="M992">
        <v>1</v>
      </c>
      <c r="N992" s="2">
        <v>5.3213707330090463</v>
      </c>
      <c r="O992" s="2">
        <v>6.6226500173868947</v>
      </c>
      <c r="P992" s="1">
        <v>-2.3861665887837624</v>
      </c>
      <c r="Q992" s="1">
        <v>0.67410983752979503</v>
      </c>
      <c r="R992" s="1">
        <v>-2.5186218996743959</v>
      </c>
      <c r="S992" s="19">
        <v>2.1635677188740483</v>
      </c>
      <c r="T992" s="19">
        <v>4.311855467652963</v>
      </c>
      <c r="U992" s="19">
        <v>7.6329269584925106</v>
      </c>
      <c r="V992" s="19">
        <v>12.378753870302839</v>
      </c>
      <c r="W992" s="19">
        <v>18.732851748131431</v>
      </c>
      <c r="X992" s="19">
        <v>26.748958155842583</v>
      </c>
      <c r="Y992" s="19">
        <v>36.276771150718019</v>
      </c>
      <c r="Z992" s="19">
        <v>46.886714263396968</v>
      </c>
      <c r="AA992" s="19">
        <v>57.816812356954081</v>
      </c>
      <c r="AB992" s="19">
        <v>67.975216967689079</v>
      </c>
      <c r="AC992" s="19">
        <v>76.034984555272658</v>
      </c>
      <c r="AD992" s="19">
        <v>80.644247119992443</v>
      </c>
      <c r="AE992" s="19">
        <v>80.737983417578192</v>
      </c>
      <c r="AF992" s="19">
        <v>75.880838057712637</v>
      </c>
      <c r="AG992" s="19">
        <v>66.516079211074228</v>
      </c>
      <c r="AH992" s="19">
        <v>54.84303837114863</v>
      </c>
      <c r="AI992" s="19">
        <v>41.812977666379837</v>
      </c>
      <c r="AJ992" s="19">
        <v>27.604270789861395</v>
      </c>
      <c r="AK992" s="19">
        <v>0</v>
      </c>
      <c r="AL992" s="19">
        <v>0</v>
      </c>
      <c r="AM992" s="19">
        <v>0</v>
      </c>
      <c r="AN992" s="19">
        <v>0</v>
      </c>
      <c r="AO992" s="19">
        <v>0</v>
      </c>
      <c r="AP992" s="19">
        <v>0</v>
      </c>
      <c r="AQ992" s="19">
        <v>0</v>
      </c>
      <c r="AR992" s="19">
        <v>784.99884784707456</v>
      </c>
    </row>
    <row r="993" spans="1:44" x14ac:dyDescent="0.25">
      <c r="A993" t="s">
        <v>250</v>
      </c>
      <c r="B993" t="s">
        <v>384</v>
      </c>
      <c r="C993" t="s">
        <v>44</v>
      </c>
      <c r="D993" t="s">
        <v>191</v>
      </c>
      <c r="E993" t="s">
        <v>134</v>
      </c>
      <c r="F993" t="s">
        <v>385</v>
      </c>
      <c r="G993" t="s">
        <v>31</v>
      </c>
      <c r="H993" t="s">
        <v>289</v>
      </c>
      <c r="I993" t="s">
        <v>135</v>
      </c>
      <c r="J993" t="s">
        <v>39</v>
      </c>
      <c r="K993" t="s">
        <v>31</v>
      </c>
      <c r="L993">
        <v>0.47</v>
      </c>
      <c r="M993">
        <v>1</v>
      </c>
      <c r="N993" s="2">
        <v>5.3213707330090463</v>
      </c>
      <c r="O993" s="2">
        <v>6.6226500173868947</v>
      </c>
      <c r="P993" s="1">
        <v>-2.3861665887837624</v>
      </c>
      <c r="Q993" s="1">
        <v>0.67410983752979503</v>
      </c>
      <c r="R993" s="1">
        <v>-2.5186218996743959</v>
      </c>
      <c r="S993" s="19">
        <v>2.0563773300530723</v>
      </c>
      <c r="T993" s="19">
        <v>4.0982317108897126</v>
      </c>
      <c r="U993" s="19">
        <v>7.2547662005067552</v>
      </c>
      <c r="V993" s="19">
        <v>11.765468957193004</v>
      </c>
      <c r="W993" s="19">
        <v>17.804763551450034</v>
      </c>
      <c r="X993" s="19">
        <v>25.423725208304933</v>
      </c>
      <c r="Y993" s="19">
        <v>34.479498446520573</v>
      </c>
      <c r="Z993" s="19">
        <v>44.563789453330472</v>
      </c>
      <c r="AA993" s="19">
        <v>54.952373891327241</v>
      </c>
      <c r="AB993" s="19">
        <v>64.607497125414568</v>
      </c>
      <c r="AC993" s="19">
        <v>72.267956841105189</v>
      </c>
      <c r="AD993" s="19">
        <v>76.648861105698685</v>
      </c>
      <c r="AE993" s="19">
        <v>76.737953393255424</v>
      </c>
      <c r="AF993" s="19">
        <v>72.121447277145506</v>
      </c>
      <c r="AG993" s="19">
        <v>63.220649938727554</v>
      </c>
      <c r="AH993" s="19">
        <v>52.125930625528149</v>
      </c>
      <c r="AI993" s="19">
        <v>39.741422755145315</v>
      </c>
      <c r="AJ993" s="19">
        <v>26.236662790688424</v>
      </c>
      <c r="AK993" s="19">
        <v>0</v>
      </c>
      <c r="AL993" s="19">
        <v>0</v>
      </c>
      <c r="AM993" s="19">
        <v>0</v>
      </c>
      <c r="AN993" s="19">
        <v>0</v>
      </c>
      <c r="AO993" s="19">
        <v>0</v>
      </c>
      <c r="AP993" s="19">
        <v>0</v>
      </c>
      <c r="AQ993" s="19">
        <v>0</v>
      </c>
      <c r="AR993" s="19">
        <v>746.1073766022846</v>
      </c>
    </row>
    <row r="994" spans="1:44" x14ac:dyDescent="0.25">
      <c r="A994" t="s">
        <v>250</v>
      </c>
      <c r="B994" t="s">
        <v>384</v>
      </c>
      <c r="C994" t="s">
        <v>44</v>
      </c>
      <c r="D994" t="s">
        <v>191</v>
      </c>
      <c r="E994" t="s">
        <v>134</v>
      </c>
      <c r="F994" t="s">
        <v>385</v>
      </c>
      <c r="G994" t="s">
        <v>31</v>
      </c>
      <c r="H994" t="s">
        <v>290</v>
      </c>
      <c r="I994" t="s">
        <v>135</v>
      </c>
      <c r="J994" t="s">
        <v>39</v>
      </c>
      <c r="K994" t="s">
        <v>31</v>
      </c>
      <c r="L994">
        <v>0.47</v>
      </c>
      <c r="M994">
        <v>1</v>
      </c>
      <c r="N994" s="2">
        <v>5.3213707330090463</v>
      </c>
      <c r="O994" s="2">
        <v>6.6226500173868947</v>
      </c>
      <c r="P994" s="1">
        <v>-2.3861665887837624</v>
      </c>
      <c r="Q994" s="1">
        <v>0.67410983752979503</v>
      </c>
      <c r="R994" s="1">
        <v>-2.5186218996743959</v>
      </c>
      <c r="S994" s="19">
        <v>2.9777744331475442</v>
      </c>
      <c r="T994" s="19">
        <v>5.9345186466760671</v>
      </c>
      <c r="U994" s="19">
        <v>10.50539557823973</v>
      </c>
      <c r="V994" s="19">
        <v>17.037200392505888</v>
      </c>
      <c r="W994" s="19">
        <v>25.782510299496849</v>
      </c>
      <c r="X994" s="19">
        <v>36.815285703769781</v>
      </c>
      <c r="Y994" s="19">
        <v>49.928662138650211</v>
      </c>
      <c r="Z994" s="19">
        <v>64.531402354485593</v>
      </c>
      <c r="AA994" s="19">
        <v>79.57478018401207</v>
      </c>
      <c r="AB994" s="19">
        <v>93.556056234459504</v>
      </c>
      <c r="AC994" s="19">
        <v>104.64892365434667</v>
      </c>
      <c r="AD994" s="19">
        <v>110.99277141152692</v>
      </c>
      <c r="AE994" s="19">
        <v>111.12178311195753</v>
      </c>
      <c r="AF994" s="19">
        <v>104.43676782701148</v>
      </c>
      <c r="AG994" s="19">
        <v>91.547807050399172</v>
      </c>
      <c r="AH994" s="19">
        <v>75.481897826949037</v>
      </c>
      <c r="AI994" s="19">
        <v>57.548286925593331</v>
      </c>
      <c r="AJ994" s="19">
        <v>37.992474691990601</v>
      </c>
      <c r="AK994" s="19">
        <v>0</v>
      </c>
      <c r="AL994" s="19">
        <v>0</v>
      </c>
      <c r="AM994" s="19">
        <v>0</v>
      </c>
      <c r="AN994" s="19">
        <v>0</v>
      </c>
      <c r="AO994" s="19">
        <v>0</v>
      </c>
      <c r="AP994" s="19">
        <v>0</v>
      </c>
      <c r="AQ994" s="19">
        <v>0</v>
      </c>
      <c r="AR994" s="19">
        <v>1080.4142984652178</v>
      </c>
    </row>
    <row r="995" spans="1:44" x14ac:dyDescent="0.25">
      <c r="A995" t="s">
        <v>250</v>
      </c>
      <c r="B995" t="s">
        <v>384</v>
      </c>
      <c r="C995" t="s">
        <v>44</v>
      </c>
      <c r="D995" t="s">
        <v>191</v>
      </c>
      <c r="E995" t="s">
        <v>134</v>
      </c>
      <c r="F995" t="s">
        <v>385</v>
      </c>
      <c r="G995" t="s">
        <v>31</v>
      </c>
      <c r="H995" t="s">
        <v>272</v>
      </c>
      <c r="I995" t="s">
        <v>135</v>
      </c>
      <c r="J995" t="s">
        <v>39</v>
      </c>
      <c r="K995" t="s">
        <v>31</v>
      </c>
      <c r="L995">
        <v>0.47</v>
      </c>
      <c r="M995">
        <v>1</v>
      </c>
      <c r="N995" s="2">
        <v>5.3213707330090463</v>
      </c>
      <c r="O995" s="2">
        <v>6.6226500173868947</v>
      </c>
      <c r="P995" s="1">
        <v>-2.3861665887837624</v>
      </c>
      <c r="Q995" s="1">
        <v>0.67410983752979503</v>
      </c>
      <c r="R995" s="1">
        <v>-2.5186218996743959</v>
      </c>
      <c r="S995" s="19">
        <v>2.4675917336256377</v>
      </c>
      <c r="T995" s="19">
        <v>4.9098642730042181</v>
      </c>
      <c r="U995" s="19">
        <v>8.677584999523976</v>
      </c>
      <c r="V995" s="19">
        <v>14.050351067463616</v>
      </c>
      <c r="W995" s="19">
        <v>21.228368711660863</v>
      </c>
      <c r="X995" s="19">
        <v>30.263703647230969</v>
      </c>
      <c r="Y995" s="19">
        <v>40.97758007041709</v>
      </c>
      <c r="Z995" s="19">
        <v>52.877383807041276</v>
      </c>
      <c r="AA995" s="19">
        <v>65.099369488394217</v>
      </c>
      <c r="AB995" s="19">
        <v>76.41449001941362</v>
      </c>
      <c r="AC995" s="19">
        <v>85.337724175515476</v>
      </c>
      <c r="AD995" s="19">
        <v>90.365668249248316</v>
      </c>
      <c r="AE995" s="19">
        <v>90.325515482461469</v>
      </c>
      <c r="AF995" s="19">
        <v>84.755355085269628</v>
      </c>
      <c r="AG995" s="19">
        <v>74.176126204580768</v>
      </c>
      <c r="AH995" s="19">
        <v>61.060659735936049</v>
      </c>
      <c r="AI995" s="19">
        <v>46.478655830291736</v>
      </c>
      <c r="AJ995" s="19">
        <v>11.986451160015587</v>
      </c>
      <c r="AK995" s="19">
        <v>0</v>
      </c>
      <c r="AL995" s="19">
        <v>0</v>
      </c>
      <c r="AM995" s="19">
        <v>0</v>
      </c>
      <c r="AN995" s="19">
        <v>0</v>
      </c>
      <c r="AO995" s="19">
        <v>0</v>
      </c>
      <c r="AP995" s="19">
        <v>0</v>
      </c>
      <c r="AQ995" s="19">
        <v>0</v>
      </c>
      <c r="AR995" s="19">
        <v>861.4524437410945</v>
      </c>
    </row>
    <row r="996" spans="1:44" x14ac:dyDescent="0.25">
      <c r="A996" t="s">
        <v>250</v>
      </c>
      <c r="B996" t="s">
        <v>384</v>
      </c>
      <c r="C996" t="s">
        <v>44</v>
      </c>
      <c r="D996" t="s">
        <v>191</v>
      </c>
      <c r="E996" t="s">
        <v>134</v>
      </c>
      <c r="F996" t="s">
        <v>385</v>
      </c>
      <c r="G996" t="s">
        <v>31</v>
      </c>
      <c r="H996" t="s">
        <v>273</v>
      </c>
      <c r="I996" t="s">
        <v>135</v>
      </c>
      <c r="J996" t="s">
        <v>39</v>
      </c>
      <c r="K996" t="s">
        <v>31</v>
      </c>
      <c r="L996">
        <v>0.47</v>
      </c>
      <c r="M996">
        <v>1</v>
      </c>
      <c r="N996" s="2">
        <v>5.3213707330090463</v>
      </c>
      <c r="O996" s="2">
        <v>6.6226500173868947</v>
      </c>
      <c r="P996" s="1">
        <v>-2.3861665887837624</v>
      </c>
      <c r="Q996" s="1">
        <v>0.67410983752979503</v>
      </c>
      <c r="R996" s="1">
        <v>-2.5186218996743959</v>
      </c>
      <c r="S996" s="19">
        <v>0.74214437039198</v>
      </c>
      <c r="T996" s="19">
        <v>1.4766738273372744</v>
      </c>
      <c r="U996" s="19">
        <v>2.6098405049089188</v>
      </c>
      <c r="V996" s="19">
        <v>4.2257350779126197</v>
      </c>
      <c r="W996" s="19">
        <v>6.3845708823218557</v>
      </c>
      <c r="X996" s="19">
        <v>9.1020070228566965</v>
      </c>
      <c r="Y996" s="19">
        <v>12.324275506006533</v>
      </c>
      <c r="Z996" s="19">
        <v>15.903219393506555</v>
      </c>
      <c r="AA996" s="19">
        <v>19.579061610363159</v>
      </c>
      <c r="AB996" s="19">
        <v>22.982158195576773</v>
      </c>
      <c r="AC996" s="19">
        <v>25.665879292709089</v>
      </c>
      <c r="AD996" s="19">
        <v>27.178066393240467</v>
      </c>
      <c r="AE996" s="19">
        <v>27.165990185729942</v>
      </c>
      <c r="AF996" s="19">
        <v>25.490727975768493</v>
      </c>
      <c r="AG996" s="19">
        <v>22.308955622626613</v>
      </c>
      <c r="AH996" s="19">
        <v>18.364393208945678</v>
      </c>
      <c r="AI996" s="19">
        <v>13.978760058964642</v>
      </c>
      <c r="AJ996" s="19">
        <v>3.6050036674071206</v>
      </c>
      <c r="AK996" s="19">
        <v>0</v>
      </c>
      <c r="AL996" s="19">
        <v>0</v>
      </c>
      <c r="AM996" s="19">
        <v>0</v>
      </c>
      <c r="AN996" s="19">
        <v>0</v>
      </c>
      <c r="AO996" s="19">
        <v>0</v>
      </c>
      <c r="AP996" s="19">
        <v>0</v>
      </c>
      <c r="AQ996" s="19">
        <v>0</v>
      </c>
      <c r="AR996" s="19">
        <v>259.08746279657441</v>
      </c>
    </row>
    <row r="997" spans="1:44" x14ac:dyDescent="0.25">
      <c r="A997" t="s">
        <v>250</v>
      </c>
      <c r="B997" t="s">
        <v>384</v>
      </c>
      <c r="C997" t="s">
        <v>44</v>
      </c>
      <c r="D997" t="s">
        <v>191</v>
      </c>
      <c r="E997" t="s">
        <v>134</v>
      </c>
      <c r="F997" t="s">
        <v>385</v>
      </c>
      <c r="G997" t="s">
        <v>31</v>
      </c>
      <c r="H997" t="s">
        <v>274</v>
      </c>
      <c r="I997" t="s">
        <v>135</v>
      </c>
      <c r="J997" t="s">
        <v>39</v>
      </c>
      <c r="K997" t="s">
        <v>31</v>
      </c>
      <c r="L997">
        <v>0.47</v>
      </c>
      <c r="M997">
        <v>1</v>
      </c>
      <c r="N997" s="2">
        <v>5.3213707330090463</v>
      </c>
      <c r="O997" s="2">
        <v>6.6226500173868947</v>
      </c>
      <c r="P997" s="1">
        <v>-2.3861665887837624</v>
      </c>
      <c r="Q997" s="1">
        <v>0.67410983752979503</v>
      </c>
      <c r="R997" s="1">
        <v>-2.5186218996743959</v>
      </c>
      <c r="S997" s="19">
        <v>1.1682681351096471</v>
      </c>
      <c r="T997" s="19">
        <v>2.3245490328483736</v>
      </c>
      <c r="U997" s="19">
        <v>4.1083562999921019</v>
      </c>
      <c r="V997" s="19">
        <v>6.6520637168384358</v>
      </c>
      <c r="W997" s="19">
        <v>10.05045785663769</v>
      </c>
      <c r="X997" s="19">
        <v>14.328188954301902</v>
      </c>
      <c r="Y997" s="19">
        <v>19.400616559787551</v>
      </c>
      <c r="Z997" s="19">
        <v>25.034515121738984</v>
      </c>
      <c r="AA997" s="19">
        <v>30.820949005723321</v>
      </c>
      <c r="AB997" s="19">
        <v>36.178032424823641</v>
      </c>
      <c r="AC997" s="19">
        <v>40.40269000680491</v>
      </c>
      <c r="AD997" s="19">
        <v>42.783143291037959</v>
      </c>
      <c r="AE997" s="19">
        <v>42.764133177924698</v>
      </c>
      <c r="AF997" s="19">
        <v>40.126970469518504</v>
      </c>
      <c r="AG997" s="19">
        <v>35.11829102432484</v>
      </c>
      <c r="AH997" s="19">
        <v>28.908843430697409</v>
      </c>
      <c r="AI997" s="19">
        <v>22.005071515406499</v>
      </c>
      <c r="AJ997" s="19">
        <v>5.6749213220611523</v>
      </c>
      <c r="AK997" s="19">
        <v>0</v>
      </c>
      <c r="AL997" s="19">
        <v>0</v>
      </c>
      <c r="AM997" s="19">
        <v>0</v>
      </c>
      <c r="AN997" s="19">
        <v>0</v>
      </c>
      <c r="AO997" s="19">
        <v>0</v>
      </c>
      <c r="AP997" s="19">
        <v>0</v>
      </c>
      <c r="AQ997" s="19">
        <v>0</v>
      </c>
      <c r="AR997" s="19">
        <v>407.85006134557761</v>
      </c>
    </row>
    <row r="998" spans="1:44" x14ac:dyDescent="0.25">
      <c r="A998" t="s">
        <v>250</v>
      </c>
      <c r="B998" t="s">
        <v>384</v>
      </c>
      <c r="C998" t="s">
        <v>44</v>
      </c>
      <c r="D998" t="s">
        <v>191</v>
      </c>
      <c r="E998" t="s">
        <v>134</v>
      </c>
      <c r="F998" t="s">
        <v>385</v>
      </c>
      <c r="G998" t="s">
        <v>31</v>
      </c>
      <c r="H998" t="s">
        <v>275</v>
      </c>
      <c r="I998" t="s">
        <v>135</v>
      </c>
      <c r="J998" t="s">
        <v>39</v>
      </c>
      <c r="K998" t="s">
        <v>31</v>
      </c>
      <c r="L998">
        <v>0.47</v>
      </c>
      <c r="M998">
        <v>1</v>
      </c>
      <c r="N998" s="2">
        <v>5.3213707330090463</v>
      </c>
      <c r="O998" s="2">
        <v>6.6226500173868947</v>
      </c>
      <c r="P998" s="1">
        <v>-2.3861665887837624</v>
      </c>
      <c r="Q998" s="1">
        <v>0.67410983752979503</v>
      </c>
      <c r="R998" s="1">
        <v>-2.5186218996743959</v>
      </c>
      <c r="S998" s="19">
        <v>1.7847485086359118</v>
      </c>
      <c r="T998" s="19">
        <v>3.5511842657916968</v>
      </c>
      <c r="U998" s="19">
        <v>6.2762841500146562</v>
      </c>
      <c r="V998" s="19">
        <v>10.162273917420675</v>
      </c>
      <c r="W998" s="19">
        <v>15.353957821556683</v>
      </c>
      <c r="X998" s="19">
        <v>21.888993715679668</v>
      </c>
      <c r="Y998" s="19">
        <v>29.638077450814219</v>
      </c>
      <c r="Z998" s="19">
        <v>38.244913291034344</v>
      </c>
      <c r="AA998" s="19">
        <v>47.084775420623359</v>
      </c>
      <c r="AB998" s="19">
        <v>55.268724255263194</v>
      </c>
      <c r="AC998" s="19">
        <v>61.722680408257801</v>
      </c>
      <c r="AD998" s="19">
        <v>65.359268894439239</v>
      </c>
      <c r="AE998" s="19">
        <v>65.330227384182948</v>
      </c>
      <c r="AF998" s="19">
        <v>61.301467145492992</v>
      </c>
      <c r="AG998" s="19">
        <v>53.64977067154463</v>
      </c>
      <c r="AH998" s="19">
        <v>44.163675828138423</v>
      </c>
      <c r="AI998" s="19">
        <v>33.616870467722158</v>
      </c>
      <c r="AJ998" s="19">
        <v>8.6695057939112612</v>
      </c>
      <c r="AK998" s="19">
        <v>0</v>
      </c>
      <c r="AL998" s="19">
        <v>0</v>
      </c>
      <c r="AM998" s="19">
        <v>0</v>
      </c>
      <c r="AN998" s="19">
        <v>0</v>
      </c>
      <c r="AO998" s="19">
        <v>0</v>
      </c>
      <c r="AP998" s="19">
        <v>0</v>
      </c>
      <c r="AQ998" s="19">
        <v>0</v>
      </c>
      <c r="AR998" s="19">
        <v>623.06739939052386</v>
      </c>
    </row>
    <row r="999" spans="1:44" x14ac:dyDescent="0.25">
      <c r="A999" t="s">
        <v>250</v>
      </c>
      <c r="B999" t="s">
        <v>384</v>
      </c>
      <c r="C999" t="s">
        <v>44</v>
      </c>
      <c r="D999" t="s">
        <v>191</v>
      </c>
      <c r="E999" t="s">
        <v>134</v>
      </c>
      <c r="F999" t="s">
        <v>385</v>
      </c>
      <c r="G999" t="s">
        <v>31</v>
      </c>
      <c r="H999" t="s">
        <v>276</v>
      </c>
      <c r="I999" t="s">
        <v>135</v>
      </c>
      <c r="J999" t="s">
        <v>39</v>
      </c>
      <c r="K999" t="s">
        <v>31</v>
      </c>
      <c r="L999">
        <v>0.47</v>
      </c>
      <c r="M999">
        <v>1</v>
      </c>
      <c r="N999" s="2">
        <v>5.3213707330090463</v>
      </c>
      <c r="O999" s="2">
        <v>6.6226500173868947</v>
      </c>
      <c r="P999" s="1">
        <v>-2.3861665887837624</v>
      </c>
      <c r="Q999" s="1">
        <v>0.67410983752979503</v>
      </c>
      <c r="R999" s="1">
        <v>-2.5186218996743959</v>
      </c>
      <c r="S999" s="19">
        <v>6.1925901153928349</v>
      </c>
      <c r="T999" s="19">
        <v>12.352586435898507</v>
      </c>
      <c r="U999" s="19">
        <v>21.886518185019376</v>
      </c>
      <c r="V999" s="19">
        <v>35.52665863444561</v>
      </c>
      <c r="W999" s="19">
        <v>53.811264255690247</v>
      </c>
      <c r="X999" s="19">
        <v>76.90738329917265</v>
      </c>
      <c r="Y999" s="19">
        <v>104.39546988710828</v>
      </c>
      <c r="Z999" s="19">
        <v>135.05003206504023</v>
      </c>
      <c r="AA999" s="19">
        <v>166.68284346824865</v>
      </c>
      <c r="AB999" s="19">
        <v>196.14589499682711</v>
      </c>
      <c r="AC999" s="19">
        <v>219.60081492168143</v>
      </c>
      <c r="AD999" s="19">
        <v>233.1233318157841</v>
      </c>
      <c r="AE999" s="19">
        <v>233.60498808251089</v>
      </c>
      <c r="AF999" s="19">
        <v>219.74965254013469</v>
      </c>
      <c r="AG999" s="19">
        <v>192.80335392378311</v>
      </c>
      <c r="AH999" s="19">
        <v>159.11140626317797</v>
      </c>
      <c r="AI999" s="19">
        <v>121.41791411943107</v>
      </c>
      <c r="AJ999" s="19">
        <v>83.882032961386329</v>
      </c>
      <c r="AK999" s="19">
        <v>23.774937913961775</v>
      </c>
      <c r="AL999" s="19">
        <v>0</v>
      </c>
      <c r="AM999" s="19">
        <v>0</v>
      </c>
      <c r="AN999" s="19">
        <v>0</v>
      </c>
      <c r="AO999" s="19">
        <v>0</v>
      </c>
      <c r="AP999" s="19">
        <v>0</v>
      </c>
      <c r="AQ999" s="19">
        <v>0</v>
      </c>
      <c r="AR999" s="19">
        <v>2296.0196738846948</v>
      </c>
    </row>
    <row r="1000" spans="1:44" x14ac:dyDescent="0.25">
      <c r="A1000" t="s">
        <v>250</v>
      </c>
      <c r="B1000" t="s">
        <v>384</v>
      </c>
      <c r="C1000" t="s">
        <v>44</v>
      </c>
      <c r="D1000" t="s">
        <v>191</v>
      </c>
      <c r="E1000" t="s">
        <v>134</v>
      </c>
      <c r="F1000" t="s">
        <v>385</v>
      </c>
      <c r="G1000" t="s">
        <v>31</v>
      </c>
      <c r="H1000" t="s">
        <v>277</v>
      </c>
      <c r="I1000" t="s">
        <v>135</v>
      </c>
      <c r="J1000" t="s">
        <v>39</v>
      </c>
      <c r="K1000" t="s">
        <v>31</v>
      </c>
      <c r="L1000">
        <v>0.47</v>
      </c>
      <c r="M1000">
        <v>1</v>
      </c>
      <c r="N1000" s="2">
        <v>5.3213707330090463</v>
      </c>
      <c r="O1000" s="2">
        <v>6.6226500173868947</v>
      </c>
      <c r="P1000" s="1">
        <v>-2.3861665887837624</v>
      </c>
      <c r="Q1000" s="1">
        <v>0.67410983752979503</v>
      </c>
      <c r="R1000" s="1">
        <v>-2.5186218996743959</v>
      </c>
      <c r="S1000" s="19">
        <v>3.1787135201887109</v>
      </c>
      <c r="T1000" s="19">
        <v>6.324048761025165</v>
      </c>
      <c r="U1000" s="19">
        <v>11.175635798690564</v>
      </c>
      <c r="V1000" s="19">
        <v>18.092899892433884</v>
      </c>
      <c r="W1000" s="19">
        <v>27.332871983933774</v>
      </c>
      <c r="X1000" s="19">
        <v>38.961741563376435</v>
      </c>
      <c r="Y1000" s="19">
        <v>52.748514553452559</v>
      </c>
      <c r="Z1000" s="19">
        <v>68.058367364115838</v>
      </c>
      <c r="AA1000" s="19">
        <v>83.77915776229581</v>
      </c>
      <c r="AB1000" s="19">
        <v>98.329213965836601</v>
      </c>
      <c r="AC1000" s="19">
        <v>109.7982822547982</v>
      </c>
      <c r="AD1000" s="19">
        <v>116.25338152328328</v>
      </c>
      <c r="AE1000" s="19">
        <v>116.18771725312008</v>
      </c>
      <c r="AF1000" s="19">
        <v>109.00955300433844</v>
      </c>
      <c r="AG1000" s="19">
        <v>95.391395153857701</v>
      </c>
      <c r="AH1000" s="19">
        <v>78.51528018205174</v>
      </c>
      <c r="AI1000" s="19">
        <v>59.757702633805984</v>
      </c>
      <c r="AJ1000" s="19">
        <v>13.608956059233504</v>
      </c>
      <c r="AK1000" s="19">
        <v>0</v>
      </c>
      <c r="AL1000" s="19">
        <v>0</v>
      </c>
      <c r="AM1000" s="19">
        <v>0</v>
      </c>
      <c r="AN1000" s="19">
        <v>0</v>
      </c>
      <c r="AO1000" s="19">
        <v>0</v>
      </c>
      <c r="AP1000" s="19">
        <v>0</v>
      </c>
      <c r="AQ1000" s="19">
        <v>0</v>
      </c>
      <c r="AR1000" s="19">
        <v>1106.5034332298387</v>
      </c>
    </row>
    <row r="1001" spans="1:44" x14ac:dyDescent="0.25">
      <c r="A1001" t="s">
        <v>250</v>
      </c>
      <c r="B1001" t="s">
        <v>384</v>
      </c>
      <c r="C1001" t="s">
        <v>44</v>
      </c>
      <c r="D1001" t="s">
        <v>191</v>
      </c>
      <c r="E1001" t="s">
        <v>134</v>
      </c>
      <c r="F1001" t="s">
        <v>385</v>
      </c>
      <c r="G1001" t="s">
        <v>31</v>
      </c>
      <c r="H1001" t="s">
        <v>278</v>
      </c>
      <c r="I1001" t="s">
        <v>135</v>
      </c>
      <c r="J1001" t="s">
        <v>39</v>
      </c>
      <c r="K1001" t="s">
        <v>31</v>
      </c>
      <c r="L1001">
        <v>0.47</v>
      </c>
      <c r="M1001">
        <v>1</v>
      </c>
      <c r="N1001" s="2">
        <v>5.3213707330090463</v>
      </c>
      <c r="O1001" s="2">
        <v>6.6226500173868947</v>
      </c>
      <c r="P1001" s="1">
        <v>-2.3861665887837624</v>
      </c>
      <c r="Q1001" s="1">
        <v>0.67410983752979503</v>
      </c>
      <c r="R1001" s="1">
        <v>-2.5186218996743959</v>
      </c>
      <c r="S1001" s="19">
        <v>0.6200255093442798</v>
      </c>
      <c r="T1001" s="19">
        <v>1.2282358116111696</v>
      </c>
      <c r="U1001" s="19">
        <v>2.1611612086540313</v>
      </c>
      <c r="V1001" s="19">
        <v>3.4837860929172573</v>
      </c>
      <c r="W1001" s="19">
        <v>5.2403095943975151</v>
      </c>
      <c r="X1001" s="19">
        <v>7.4376958886041633</v>
      </c>
      <c r="Y1001" s="19">
        <v>10.026253180876877</v>
      </c>
      <c r="Z1001" s="19">
        <v>12.880666541348182</v>
      </c>
      <c r="AA1001" s="19">
        <v>15.787784073184616</v>
      </c>
      <c r="AB1001" s="19">
        <v>18.449989902767655</v>
      </c>
      <c r="AC1001" s="19">
        <v>20.513392441171025</v>
      </c>
      <c r="AD1001" s="19">
        <v>21.625985848608597</v>
      </c>
      <c r="AE1001" s="19">
        <v>21.520825038738984</v>
      </c>
      <c r="AF1001" s="19">
        <v>20.104423949051473</v>
      </c>
      <c r="AG1001" s="19">
        <v>17.517198569919525</v>
      </c>
      <c r="AH1001" s="19">
        <v>14.356150899486662</v>
      </c>
      <c r="AI1001" s="19">
        <v>1.6681428206381292</v>
      </c>
      <c r="AJ1001" s="19">
        <v>0</v>
      </c>
      <c r="AK1001" s="19">
        <v>0</v>
      </c>
      <c r="AL1001" s="19">
        <v>0</v>
      </c>
      <c r="AM1001" s="19">
        <v>0</v>
      </c>
      <c r="AN1001" s="19">
        <v>0</v>
      </c>
      <c r="AO1001" s="19">
        <v>0</v>
      </c>
      <c r="AP1001" s="19">
        <v>0</v>
      </c>
      <c r="AQ1001" s="19">
        <v>0</v>
      </c>
      <c r="AR1001" s="19">
        <v>194.62202737132012</v>
      </c>
    </row>
    <row r="1002" spans="1:44" x14ac:dyDescent="0.25">
      <c r="A1002" t="s">
        <v>250</v>
      </c>
      <c r="B1002" t="s">
        <v>384</v>
      </c>
      <c r="C1002" t="s">
        <v>44</v>
      </c>
      <c r="D1002" t="s">
        <v>191</v>
      </c>
      <c r="E1002" t="s">
        <v>134</v>
      </c>
      <c r="F1002" t="s">
        <v>385</v>
      </c>
      <c r="G1002" t="s">
        <v>31</v>
      </c>
      <c r="H1002" t="s">
        <v>252</v>
      </c>
      <c r="I1002" t="s">
        <v>135</v>
      </c>
      <c r="J1002" t="s">
        <v>39</v>
      </c>
      <c r="K1002" t="s">
        <v>31</v>
      </c>
      <c r="L1002">
        <v>0.47</v>
      </c>
      <c r="M1002">
        <v>1</v>
      </c>
      <c r="N1002" s="2">
        <v>5.3213707330090463</v>
      </c>
      <c r="O1002" s="2">
        <v>6.6226500173868947</v>
      </c>
      <c r="P1002" s="1">
        <v>-2.3861665887837624</v>
      </c>
      <c r="Q1002" s="1">
        <v>0.67410983752979503</v>
      </c>
      <c r="R1002" s="1">
        <v>-2.5186218996743959</v>
      </c>
      <c r="S1002" s="19">
        <v>0.10966349721353788</v>
      </c>
      <c r="T1002" s="19">
        <v>0.218399060383212</v>
      </c>
      <c r="U1002" s="19">
        <v>0.38634264531083762</v>
      </c>
      <c r="V1002" s="19">
        <v>0.62611403989409786</v>
      </c>
      <c r="W1002" s="19">
        <v>0.94683735323552132</v>
      </c>
      <c r="X1002" s="19">
        <v>1.351055936218273</v>
      </c>
      <c r="Y1002" s="19">
        <v>1.8310072163169997</v>
      </c>
      <c r="Z1002" s="19">
        <v>2.3648641728182485</v>
      </c>
      <c r="AA1002" s="19">
        <v>2.9141071633121332</v>
      </c>
      <c r="AB1002" s="19">
        <v>3.4237098249191442</v>
      </c>
      <c r="AC1002" s="19">
        <v>3.8269675587202912</v>
      </c>
      <c r="AD1002" s="19">
        <v>4.0561096083457731</v>
      </c>
      <c r="AE1002" s="19">
        <v>4.0579730697043832</v>
      </c>
      <c r="AF1002" s="19">
        <v>3.8111702826711888</v>
      </c>
      <c r="AG1002" s="19">
        <v>3.3384728484784234</v>
      </c>
      <c r="AH1002" s="19">
        <v>2.7506649016884399</v>
      </c>
      <c r="AI1002" s="19">
        <v>2.0956668670693235</v>
      </c>
      <c r="AJ1002" s="19">
        <v>1.0145762948169561</v>
      </c>
      <c r="AK1002" s="19">
        <v>0</v>
      </c>
      <c r="AL1002" s="19">
        <v>0</v>
      </c>
      <c r="AM1002" s="19">
        <v>0</v>
      </c>
      <c r="AN1002" s="19">
        <v>0</v>
      </c>
      <c r="AO1002" s="19">
        <v>0</v>
      </c>
      <c r="AP1002" s="19">
        <v>0</v>
      </c>
      <c r="AQ1002" s="19">
        <v>0</v>
      </c>
      <c r="AR1002" s="19">
        <v>39.123702341116775</v>
      </c>
    </row>
    <row r="1003" spans="1:44" x14ac:dyDescent="0.25">
      <c r="A1003" t="s">
        <v>250</v>
      </c>
      <c r="B1003" t="s">
        <v>384</v>
      </c>
      <c r="C1003" t="s">
        <v>44</v>
      </c>
      <c r="D1003" t="s">
        <v>191</v>
      </c>
      <c r="E1003" t="s">
        <v>134</v>
      </c>
      <c r="F1003" t="s">
        <v>385</v>
      </c>
      <c r="G1003" t="s">
        <v>31</v>
      </c>
      <c r="H1003" t="s">
        <v>253</v>
      </c>
      <c r="I1003" t="s">
        <v>135</v>
      </c>
      <c r="J1003" t="s">
        <v>39</v>
      </c>
      <c r="K1003" t="s">
        <v>31</v>
      </c>
      <c r="L1003">
        <v>0.47</v>
      </c>
      <c r="M1003">
        <v>1</v>
      </c>
      <c r="N1003" s="2">
        <v>5.3213707330090463</v>
      </c>
      <c r="O1003" s="2">
        <v>6.6226500173868947</v>
      </c>
      <c r="P1003" s="1">
        <v>-2.3861665887837624</v>
      </c>
      <c r="Q1003" s="1">
        <v>0.67410983752979503</v>
      </c>
      <c r="R1003" s="1">
        <v>-2.5186218996743959</v>
      </c>
      <c r="S1003" s="19">
        <v>0.31568953365423841</v>
      </c>
      <c r="T1003" s="19">
        <v>0.62845539614899815</v>
      </c>
      <c r="U1003" s="19">
        <v>1.1112760258992564</v>
      </c>
      <c r="V1003" s="19">
        <v>1.800231433571132</v>
      </c>
      <c r="W1003" s="19">
        <v>2.7212966242508938</v>
      </c>
      <c r="X1003" s="19">
        <v>3.8814985854238455</v>
      </c>
      <c r="Y1003" s="19">
        <v>5.2582564136115435</v>
      </c>
      <c r="Z1003" s="19">
        <v>6.7886514024359528</v>
      </c>
      <c r="AA1003" s="19">
        <v>8.3619665678584969</v>
      </c>
      <c r="AB1003" s="19">
        <v>9.820315926358294</v>
      </c>
      <c r="AC1003" s="19">
        <v>10.972583468661623</v>
      </c>
      <c r="AD1003" s="19">
        <v>11.624904585419293</v>
      </c>
      <c r="AE1003" s="19">
        <v>11.625575934253977</v>
      </c>
      <c r="AF1003" s="19">
        <v>10.914133761125459</v>
      </c>
      <c r="AG1003" s="19">
        <v>9.5566211380656299</v>
      </c>
      <c r="AH1003" s="19">
        <v>7.8708168859048628</v>
      </c>
      <c r="AI1003" s="19">
        <v>5.9941826456908514</v>
      </c>
      <c r="AJ1003" s="19">
        <v>2.2991548250343889</v>
      </c>
      <c r="AK1003" s="19">
        <v>0</v>
      </c>
      <c r="AL1003" s="19">
        <v>0</v>
      </c>
      <c r="AM1003" s="19">
        <v>0</v>
      </c>
      <c r="AN1003" s="19">
        <v>0</v>
      </c>
      <c r="AO1003" s="19">
        <v>0</v>
      </c>
      <c r="AP1003" s="19">
        <v>0</v>
      </c>
      <c r="AQ1003" s="19">
        <v>0</v>
      </c>
      <c r="AR1003" s="19">
        <v>111.54561115336874</v>
      </c>
    </row>
    <row r="1004" spans="1:44" x14ac:dyDescent="0.25">
      <c r="A1004" t="s">
        <v>250</v>
      </c>
      <c r="B1004" t="s">
        <v>384</v>
      </c>
      <c r="C1004" t="s">
        <v>44</v>
      </c>
      <c r="D1004" t="s">
        <v>191</v>
      </c>
      <c r="E1004" t="s">
        <v>134</v>
      </c>
      <c r="F1004" t="s">
        <v>385</v>
      </c>
      <c r="G1004" t="s">
        <v>31</v>
      </c>
      <c r="H1004" t="s">
        <v>254</v>
      </c>
      <c r="I1004" t="s">
        <v>135</v>
      </c>
      <c r="J1004" t="s">
        <v>39</v>
      </c>
      <c r="K1004" t="s">
        <v>31</v>
      </c>
      <c r="L1004">
        <v>0.47</v>
      </c>
      <c r="M1004">
        <v>1</v>
      </c>
      <c r="N1004" s="2">
        <v>5.3213707330090463</v>
      </c>
      <c r="O1004" s="2">
        <v>6.6226500173868947</v>
      </c>
      <c r="P1004" s="1">
        <v>-2.3861665887837624</v>
      </c>
      <c r="Q1004" s="1">
        <v>0.67410983752979503</v>
      </c>
      <c r="R1004" s="1">
        <v>-2.5186218996743959</v>
      </c>
      <c r="S1004" s="19">
        <v>1.3984218851216703</v>
      </c>
      <c r="T1004" s="19">
        <v>2.7828118032958362</v>
      </c>
      <c r="U1004" s="19">
        <v>4.9188397170206528</v>
      </c>
      <c r="V1004" s="19">
        <v>7.965268412497351</v>
      </c>
      <c r="W1004" s="19">
        <v>12.035920383021336</v>
      </c>
      <c r="X1004" s="19">
        <v>17.160668591889198</v>
      </c>
      <c r="Y1004" s="19">
        <v>23.238488721795456</v>
      </c>
      <c r="Z1004" s="19">
        <v>29.990311570812541</v>
      </c>
      <c r="AA1004" s="19">
        <v>36.926423403441255</v>
      </c>
      <c r="AB1004" s="19">
        <v>43.349653105345226</v>
      </c>
      <c r="AC1004" s="19">
        <v>48.417282340885137</v>
      </c>
      <c r="AD1004" s="19">
        <v>51.275778328293839</v>
      </c>
      <c r="AE1004" s="19">
        <v>51.258830143359411</v>
      </c>
      <c r="AF1004" s="19">
        <v>48.103295889314403</v>
      </c>
      <c r="AG1004" s="19">
        <v>42.103798614527399</v>
      </c>
      <c r="AH1004" s="19">
        <v>34.663153306647693</v>
      </c>
      <c r="AI1004" s="19">
        <v>26.388188635169858</v>
      </c>
      <c r="AJ1004" s="19">
        <v>7.5568927390735565</v>
      </c>
      <c r="AK1004" s="19">
        <v>0</v>
      </c>
      <c r="AL1004" s="19">
        <v>0</v>
      </c>
      <c r="AM1004" s="19">
        <v>0</v>
      </c>
      <c r="AN1004" s="19">
        <v>0</v>
      </c>
      <c r="AO1004" s="19">
        <v>0</v>
      </c>
      <c r="AP1004" s="19">
        <v>0</v>
      </c>
      <c r="AQ1004" s="19">
        <v>0</v>
      </c>
      <c r="AR1004" s="19">
        <v>489.5340275915118</v>
      </c>
    </row>
    <row r="1005" spans="1:44" x14ac:dyDescent="0.25">
      <c r="A1005" t="s">
        <v>250</v>
      </c>
      <c r="B1005" t="s">
        <v>384</v>
      </c>
      <c r="C1005" t="s">
        <v>44</v>
      </c>
      <c r="D1005" t="s">
        <v>191</v>
      </c>
      <c r="E1005" t="s">
        <v>134</v>
      </c>
      <c r="F1005" t="s">
        <v>385</v>
      </c>
      <c r="G1005" t="s">
        <v>31</v>
      </c>
      <c r="H1005" t="s">
        <v>255</v>
      </c>
      <c r="I1005" t="s">
        <v>135</v>
      </c>
      <c r="J1005" t="s">
        <v>39</v>
      </c>
      <c r="K1005" t="s">
        <v>31</v>
      </c>
      <c r="L1005">
        <v>0.47</v>
      </c>
      <c r="M1005">
        <v>1</v>
      </c>
      <c r="N1005" s="2">
        <v>5.3213707330090463</v>
      </c>
      <c r="O1005" s="2">
        <v>6.6226500173868947</v>
      </c>
      <c r="P1005" s="1">
        <v>-2.3861665887837624</v>
      </c>
      <c r="Q1005" s="1">
        <v>0.67410983752979503</v>
      </c>
      <c r="R1005" s="1">
        <v>-2.5186218996743959</v>
      </c>
      <c r="S1005" s="19">
        <v>0.29316338571102907</v>
      </c>
      <c r="T1005" s="19">
        <v>0.58074024948468217</v>
      </c>
      <c r="U1005" s="19">
        <v>1.0218504359061027</v>
      </c>
      <c r="V1005" s="19">
        <v>1.6472201719131476</v>
      </c>
      <c r="W1005" s="19">
        <v>2.4777478986183565</v>
      </c>
      <c r="X1005" s="19">
        <v>3.5167264503329654</v>
      </c>
      <c r="Y1005" s="19">
        <v>4.7406603183317211</v>
      </c>
      <c r="Z1005" s="19">
        <v>6.0902975064202369</v>
      </c>
      <c r="AA1005" s="19">
        <v>7.4648545293956046</v>
      </c>
      <c r="AB1005" s="19">
        <v>8.7236112461726201</v>
      </c>
      <c r="AC1005" s="19">
        <v>9.6992389665269059</v>
      </c>
      <c r="AD1005" s="19">
        <v>10.225300629036758</v>
      </c>
      <c r="AE1005" s="19">
        <v>10.175577998917726</v>
      </c>
      <c r="AF1005" s="19">
        <v>9.5058685551615731</v>
      </c>
      <c r="AG1005" s="19">
        <v>8.2825644486160765</v>
      </c>
      <c r="AH1005" s="19">
        <v>6.7879429798347122</v>
      </c>
      <c r="AI1005" s="19">
        <v>0.7887391563373376</v>
      </c>
      <c r="AJ1005" s="19">
        <v>0</v>
      </c>
      <c r="AK1005" s="19">
        <v>0</v>
      </c>
      <c r="AL1005" s="19">
        <v>0</v>
      </c>
      <c r="AM1005" s="19">
        <v>0</v>
      </c>
      <c r="AN1005" s="19">
        <v>0</v>
      </c>
      <c r="AO1005" s="19">
        <v>0</v>
      </c>
      <c r="AP1005" s="19">
        <v>0</v>
      </c>
      <c r="AQ1005" s="19">
        <v>0</v>
      </c>
      <c r="AR1005" s="19">
        <v>92.02210492671756</v>
      </c>
    </row>
    <row r="1006" spans="1:44" x14ac:dyDescent="0.25">
      <c r="A1006" t="s">
        <v>250</v>
      </c>
      <c r="B1006" t="s">
        <v>384</v>
      </c>
      <c r="C1006" t="s">
        <v>44</v>
      </c>
      <c r="D1006" t="s">
        <v>191</v>
      </c>
      <c r="E1006" t="s">
        <v>134</v>
      </c>
      <c r="F1006" t="s">
        <v>385</v>
      </c>
      <c r="G1006" t="s">
        <v>31</v>
      </c>
      <c r="H1006" t="s">
        <v>288</v>
      </c>
      <c r="I1006" t="s">
        <v>135</v>
      </c>
      <c r="J1006" t="s">
        <v>39</v>
      </c>
      <c r="K1006" t="s">
        <v>33</v>
      </c>
      <c r="L1006">
        <v>0.47</v>
      </c>
      <c r="M1006">
        <v>1</v>
      </c>
      <c r="N1006" s="2">
        <v>5.3213707330090463</v>
      </c>
      <c r="O1006" s="2">
        <v>6.6226500173868947</v>
      </c>
      <c r="P1006" s="1">
        <v>-2.3861665887837624</v>
      </c>
      <c r="Q1006" s="1">
        <v>0.67410983752979503</v>
      </c>
      <c r="R1006" s="1">
        <v>-2.5186218996743959</v>
      </c>
      <c r="S1006" s="19">
        <v>2.0352926826762412E-2</v>
      </c>
      <c r="T1006" s="19">
        <v>4.0562113242467474E-2</v>
      </c>
      <c r="U1006" s="19">
        <v>7.1803809284540401E-2</v>
      </c>
      <c r="V1006" s="19">
        <v>0.11644834110387405</v>
      </c>
      <c r="W1006" s="19">
        <v>0.17622206023887477</v>
      </c>
      <c r="X1006" s="19">
        <v>0.25163048204533101</v>
      </c>
      <c r="Y1006" s="19">
        <v>0.34125969910755155</v>
      </c>
      <c r="Z1006" s="19">
        <v>0.44106863687486431</v>
      </c>
      <c r="AA1006" s="19">
        <v>0.54388930884499076</v>
      </c>
      <c r="AB1006" s="19">
        <v>0.63945057273116723</v>
      </c>
      <c r="AC1006" s="19">
        <v>0.71526972020678592</v>
      </c>
      <c r="AD1006" s="19">
        <v>0.75862957573000411</v>
      </c>
      <c r="AE1006" s="19">
        <v>0.75951136370878158</v>
      </c>
      <c r="AF1006" s="19">
        <v>0.71381964662782105</v>
      </c>
      <c r="AG1006" s="19">
        <v>0.62572429842439237</v>
      </c>
      <c r="AH1006" s="19">
        <v>0.51591467980776073</v>
      </c>
      <c r="AI1006" s="19">
        <v>0.39333942146990497</v>
      </c>
      <c r="AJ1006" s="19">
        <v>0.25967650496493999</v>
      </c>
      <c r="AK1006" s="19">
        <v>0</v>
      </c>
      <c r="AL1006" s="19">
        <v>0</v>
      </c>
      <c r="AM1006" s="19">
        <v>0</v>
      </c>
      <c r="AN1006" s="19">
        <v>0</v>
      </c>
      <c r="AO1006" s="19">
        <v>0</v>
      </c>
      <c r="AP1006" s="19">
        <v>0</v>
      </c>
      <c r="AQ1006" s="19">
        <v>0</v>
      </c>
      <c r="AR1006" s="19">
        <v>7.3845731612408159</v>
      </c>
    </row>
    <row r="1007" spans="1:44" x14ac:dyDescent="0.25">
      <c r="A1007" t="s">
        <v>250</v>
      </c>
      <c r="B1007" t="s">
        <v>384</v>
      </c>
      <c r="C1007" t="s">
        <v>44</v>
      </c>
      <c r="D1007" t="s">
        <v>191</v>
      </c>
      <c r="E1007" t="s">
        <v>134</v>
      </c>
      <c r="F1007" t="s">
        <v>385</v>
      </c>
      <c r="G1007" t="s">
        <v>31</v>
      </c>
      <c r="H1007" t="s">
        <v>274</v>
      </c>
      <c r="I1007" t="s">
        <v>135</v>
      </c>
      <c r="J1007" t="s">
        <v>39</v>
      </c>
      <c r="K1007" t="s">
        <v>33</v>
      </c>
      <c r="L1007">
        <v>0.47</v>
      </c>
      <c r="M1007">
        <v>1</v>
      </c>
      <c r="N1007" s="2">
        <v>5.3213707330090463</v>
      </c>
      <c r="O1007" s="2">
        <v>6.6226500173868947</v>
      </c>
      <c r="P1007" s="1">
        <v>-2.3861665887837624</v>
      </c>
      <c r="Q1007" s="1">
        <v>0.67410983752979503</v>
      </c>
      <c r="R1007" s="1">
        <v>-2.5186218996743959</v>
      </c>
      <c r="S1007" s="19">
        <v>3.7588824245073714E-3</v>
      </c>
      <c r="T1007" s="19">
        <v>7.4791961210679521E-3</v>
      </c>
      <c r="U1007" s="19">
        <v>1.3218565007086383E-2</v>
      </c>
      <c r="V1007" s="19">
        <v>2.1402899420500252E-2</v>
      </c>
      <c r="W1007" s="19">
        <v>3.2337173513700072E-2</v>
      </c>
      <c r="X1007" s="19">
        <v>4.6100698989184771E-2</v>
      </c>
      <c r="Y1007" s="19">
        <v>6.2421146669679399E-2</v>
      </c>
      <c r="Z1007" s="19">
        <v>8.0548117396300314E-2</v>
      </c>
      <c r="AA1007" s="19">
        <v>9.9165867871058647E-2</v>
      </c>
      <c r="AB1007" s="19">
        <v>0.11640219068558628</v>
      </c>
      <c r="AC1007" s="19">
        <v>0.12999495304658379</v>
      </c>
      <c r="AD1007" s="19">
        <v>0.13765402012507141</v>
      </c>
      <c r="AE1007" s="19">
        <v>0.13759285541645544</v>
      </c>
      <c r="AF1007" s="19">
        <v>0.12910783022635733</v>
      </c>
      <c r="AG1007" s="19">
        <v>0.1129924911438934</v>
      </c>
      <c r="AH1007" s="19">
        <v>9.3013701408782498E-2</v>
      </c>
      <c r="AI1007" s="19">
        <v>7.0800935233525111E-2</v>
      </c>
      <c r="AJ1007" s="19">
        <v>1.8258960744449992E-2</v>
      </c>
      <c r="AK1007" s="19">
        <v>0</v>
      </c>
      <c r="AL1007" s="19">
        <v>0</v>
      </c>
      <c r="AM1007" s="19">
        <v>0</v>
      </c>
      <c r="AN1007" s="19">
        <v>0</v>
      </c>
      <c r="AO1007" s="19">
        <v>0</v>
      </c>
      <c r="AP1007" s="19">
        <v>0</v>
      </c>
      <c r="AQ1007" s="19">
        <v>0</v>
      </c>
      <c r="AR1007" s="19">
        <v>1.3122504854437902</v>
      </c>
    </row>
    <row r="1008" spans="1:44" x14ac:dyDescent="0.25">
      <c r="A1008" t="s">
        <v>250</v>
      </c>
      <c r="B1008" t="s">
        <v>384</v>
      </c>
      <c r="C1008" t="s">
        <v>44</v>
      </c>
      <c r="D1008" t="s">
        <v>191</v>
      </c>
      <c r="E1008" t="s">
        <v>134</v>
      </c>
      <c r="F1008" t="s">
        <v>385</v>
      </c>
      <c r="G1008" t="s">
        <v>31</v>
      </c>
      <c r="H1008" t="s">
        <v>253</v>
      </c>
      <c r="I1008" t="s">
        <v>256</v>
      </c>
      <c r="J1008" t="s">
        <v>39</v>
      </c>
      <c r="K1008" t="s">
        <v>31</v>
      </c>
      <c r="L1008">
        <v>0.47</v>
      </c>
      <c r="M1008">
        <v>1</v>
      </c>
      <c r="N1008" s="2">
        <v>3.1511947914894107</v>
      </c>
      <c r="O1008" s="2">
        <v>3.921782805169451</v>
      </c>
      <c r="P1008" s="1">
        <v>-0.92322963743489139</v>
      </c>
      <c r="Q1008" s="1">
        <v>0.4672931329656026</v>
      </c>
      <c r="R1008" s="1">
        <v>-1.0556849483255246</v>
      </c>
      <c r="S1008" s="19">
        <v>0.16559838971349794</v>
      </c>
      <c r="T1008" s="19">
        <v>0.32966313581690482</v>
      </c>
      <c r="U1008" s="19">
        <v>0.58293196573848971</v>
      </c>
      <c r="V1008" s="19">
        <v>0.94433104278178226</v>
      </c>
      <c r="W1008" s="19">
        <v>1.4274858393065879</v>
      </c>
      <c r="X1008" s="19">
        <v>2.0360824382775009</v>
      </c>
      <c r="Y1008" s="19">
        <v>2.7582757803698694</v>
      </c>
      <c r="Z1008" s="19">
        <v>3.5610611715779958</v>
      </c>
      <c r="AA1008" s="19">
        <v>4.3863608097698528</v>
      </c>
      <c r="AB1008" s="19">
        <v>5.1513538794222145</v>
      </c>
      <c r="AC1008" s="19">
        <v>5.755788392393911</v>
      </c>
      <c r="AD1008" s="19">
        <v>6.0979705523811765</v>
      </c>
      <c r="AE1008" s="19">
        <v>6.0983227157382389</v>
      </c>
      <c r="AF1008" s="19">
        <v>5.7251279604968719</v>
      </c>
      <c r="AG1008" s="19">
        <v>5.0130299007598955</v>
      </c>
      <c r="AH1008" s="19">
        <v>4.1287228846275505</v>
      </c>
      <c r="AI1008" s="19">
        <v>3.1443139159063231</v>
      </c>
      <c r="AJ1008" s="19">
        <v>1.2060467520748384</v>
      </c>
      <c r="AK1008" s="19">
        <v>0</v>
      </c>
      <c r="AL1008" s="19">
        <v>0</v>
      </c>
      <c r="AM1008" s="19">
        <v>0</v>
      </c>
      <c r="AN1008" s="19">
        <v>0</v>
      </c>
      <c r="AO1008" s="19">
        <v>0</v>
      </c>
      <c r="AP1008" s="19">
        <v>0</v>
      </c>
      <c r="AQ1008" s="19">
        <v>0</v>
      </c>
      <c r="AR1008" s="19">
        <v>58.512467527153504</v>
      </c>
    </row>
    <row r="1009" spans="1:44" x14ac:dyDescent="0.25">
      <c r="A1009" t="s">
        <v>250</v>
      </c>
      <c r="B1009" t="s">
        <v>384</v>
      </c>
      <c r="C1009" t="s">
        <v>44</v>
      </c>
      <c r="D1009" t="s">
        <v>191</v>
      </c>
      <c r="E1009" t="s">
        <v>134</v>
      </c>
      <c r="F1009" t="s">
        <v>385</v>
      </c>
      <c r="G1009" t="s">
        <v>31</v>
      </c>
      <c r="H1009" t="s">
        <v>272</v>
      </c>
      <c r="I1009" t="s">
        <v>135</v>
      </c>
      <c r="J1009" t="s">
        <v>40</v>
      </c>
      <c r="K1009" t="s">
        <v>31</v>
      </c>
      <c r="L1009">
        <v>0.47</v>
      </c>
      <c r="M1009">
        <v>1</v>
      </c>
      <c r="N1009" s="2">
        <v>5.3213707330090463</v>
      </c>
      <c r="O1009" s="2">
        <v>5.385861804598159</v>
      </c>
      <c r="P1009" s="1">
        <v>-2.3861665887837624</v>
      </c>
      <c r="Q1009" s="1">
        <v>0.4672931329656026</v>
      </c>
      <c r="R1009" s="1">
        <v>-2.3756218996743956</v>
      </c>
      <c r="S1009" s="19">
        <v>0.24408391340847885</v>
      </c>
      <c r="T1009" s="19">
        <v>0.48566335740576722</v>
      </c>
      <c r="U1009" s="19">
        <v>0.85835062452023059</v>
      </c>
      <c r="V1009" s="19">
        <v>1.3898023026161612</v>
      </c>
      <c r="W1009" s="19">
        <v>2.0998219599346348</v>
      </c>
      <c r="X1009" s="19">
        <v>2.9935597205122031</v>
      </c>
      <c r="Y1009" s="19">
        <v>4.0533318252370618</v>
      </c>
      <c r="Z1009" s="19">
        <v>5.2304109284160978</v>
      </c>
      <c r="AA1009" s="19">
        <v>6.4393589298522249</v>
      </c>
      <c r="AB1009" s="19">
        <v>7.5586036015961442</v>
      </c>
      <c r="AC1009" s="19">
        <v>8.4412528192126199</v>
      </c>
      <c r="AD1009" s="19">
        <v>8.9385961395002482</v>
      </c>
      <c r="AE1009" s="19">
        <v>8.9346243947752342</v>
      </c>
      <c r="AF1009" s="19">
        <v>8.3836472904461221</v>
      </c>
      <c r="AG1009" s="19">
        <v>7.3371939607259407</v>
      </c>
      <c r="AH1009" s="19">
        <v>6.0398665551340756</v>
      </c>
      <c r="AI1009" s="19">
        <v>4.5974753645144677</v>
      </c>
      <c r="AJ1009" s="19">
        <v>1.1856499059986203</v>
      </c>
      <c r="AK1009" s="19">
        <v>0</v>
      </c>
      <c r="AL1009" s="19">
        <v>0</v>
      </c>
      <c r="AM1009" s="19">
        <v>0</v>
      </c>
      <c r="AN1009" s="19">
        <v>0</v>
      </c>
      <c r="AO1009" s="19">
        <v>0</v>
      </c>
      <c r="AP1009" s="19">
        <v>0</v>
      </c>
      <c r="AQ1009" s="19">
        <v>0</v>
      </c>
      <c r="AR1009" s="19">
        <v>85.211293593806332</v>
      </c>
    </row>
    <row r="1010" spans="1:44" x14ac:dyDescent="0.25">
      <c r="A1010" t="s">
        <v>250</v>
      </c>
      <c r="B1010" t="s">
        <v>384</v>
      </c>
      <c r="C1010" t="s">
        <v>44</v>
      </c>
      <c r="D1010" t="s">
        <v>191</v>
      </c>
      <c r="E1010" t="s">
        <v>134</v>
      </c>
      <c r="F1010" t="s">
        <v>385</v>
      </c>
      <c r="G1010" t="s">
        <v>31</v>
      </c>
      <c r="H1010" t="s">
        <v>277</v>
      </c>
      <c r="I1010" t="s">
        <v>135</v>
      </c>
      <c r="J1010" t="s">
        <v>40</v>
      </c>
      <c r="K1010" t="s">
        <v>31</v>
      </c>
      <c r="L1010">
        <v>0.47</v>
      </c>
      <c r="M1010">
        <v>1</v>
      </c>
      <c r="N1010" s="2">
        <v>5.3213707330090463</v>
      </c>
      <c r="O1010" s="2">
        <v>5.385861804598159</v>
      </c>
      <c r="P1010" s="1">
        <v>-2.3861665887837624</v>
      </c>
      <c r="Q1010" s="1">
        <v>0.4672931329656026</v>
      </c>
      <c r="R1010" s="1">
        <v>-2.3756218996743956</v>
      </c>
      <c r="S1010" s="19">
        <v>0.50142740400781682</v>
      </c>
      <c r="T1010" s="19">
        <v>0.99758953832097597</v>
      </c>
      <c r="U1010" s="19">
        <v>1.762905027799283</v>
      </c>
      <c r="V1010" s="19">
        <v>2.854071550146438</v>
      </c>
      <c r="W1010" s="19">
        <v>4.311634551505052</v>
      </c>
      <c r="X1010" s="19">
        <v>6.1460351188198574</v>
      </c>
      <c r="Y1010" s="19">
        <v>8.3208350012731067</v>
      </c>
      <c r="Z1010" s="19">
        <v>10.735893704058292</v>
      </c>
      <c r="AA1010" s="19">
        <v>13.215775916860659</v>
      </c>
      <c r="AB1010" s="19">
        <v>15.510980207518529</v>
      </c>
      <c r="AC1010" s="19">
        <v>17.320172857940506</v>
      </c>
      <c r="AD1010" s="19">
        <v>18.338435009673216</v>
      </c>
      <c r="AE1010" s="19">
        <v>18.328076773765865</v>
      </c>
      <c r="AF1010" s="19">
        <v>17.1957544547056</v>
      </c>
      <c r="AG1010" s="19">
        <v>15.047552833211308</v>
      </c>
      <c r="AH1010" s="19">
        <v>12.385423494941232</v>
      </c>
      <c r="AI1010" s="19">
        <v>9.426502108740376</v>
      </c>
      <c r="AJ1010" s="19">
        <v>2.1467500813451559</v>
      </c>
      <c r="AK1010" s="19">
        <v>0</v>
      </c>
      <c r="AL1010" s="19">
        <v>0</v>
      </c>
      <c r="AM1010" s="19">
        <v>0</v>
      </c>
      <c r="AN1010" s="19">
        <v>0</v>
      </c>
      <c r="AO1010" s="19">
        <v>0</v>
      </c>
      <c r="AP1010" s="19">
        <v>0</v>
      </c>
      <c r="AQ1010" s="19">
        <v>0</v>
      </c>
      <c r="AR1010" s="19">
        <v>174.54581563463324</v>
      </c>
    </row>
    <row r="1011" spans="1:44" x14ac:dyDescent="0.25">
      <c r="A1011" t="s">
        <v>250</v>
      </c>
      <c r="B1011" t="s">
        <v>384</v>
      </c>
      <c r="C1011" t="s">
        <v>44</v>
      </c>
      <c r="D1011" t="s">
        <v>191</v>
      </c>
      <c r="E1011" t="s">
        <v>134</v>
      </c>
      <c r="F1011" t="s">
        <v>385</v>
      </c>
      <c r="G1011" t="s">
        <v>31</v>
      </c>
      <c r="H1011" t="s">
        <v>253</v>
      </c>
      <c r="I1011" t="s">
        <v>135</v>
      </c>
      <c r="J1011" t="s">
        <v>40</v>
      </c>
      <c r="K1011" t="s">
        <v>31</v>
      </c>
      <c r="L1011">
        <v>0.47</v>
      </c>
      <c r="M1011">
        <v>1</v>
      </c>
      <c r="N1011" s="2">
        <v>5.3213707330090463</v>
      </c>
      <c r="O1011" s="2">
        <v>5.385861804598159</v>
      </c>
      <c r="P1011" s="1">
        <v>-2.3861665887837624</v>
      </c>
      <c r="Q1011" s="1">
        <v>0.4672931329656026</v>
      </c>
      <c r="R1011" s="1">
        <v>-2.3756218996743956</v>
      </c>
      <c r="S1011" s="19">
        <v>0.16605925597548413</v>
      </c>
      <c r="T1011" s="19">
        <v>0.33058060015566715</v>
      </c>
      <c r="U1011" s="19">
        <v>0.58455428632087558</v>
      </c>
      <c r="V1011" s="19">
        <v>0.94695914996638308</v>
      </c>
      <c r="W1011" s="19">
        <v>1.4314585836305975</v>
      </c>
      <c r="X1011" s="19">
        <v>2.0417489287792994</v>
      </c>
      <c r="Y1011" s="19">
        <v>2.7659521608626108</v>
      </c>
      <c r="Z1011" s="19">
        <v>3.5709717326268606</v>
      </c>
      <c r="AA1011" s="19">
        <v>4.3985682093322431</v>
      </c>
      <c r="AB1011" s="19">
        <v>5.1656902821534532</v>
      </c>
      <c r="AC1011" s="19">
        <v>5.7718069580682263</v>
      </c>
      <c r="AD1011" s="19">
        <v>6.1149414232878341</v>
      </c>
      <c r="AE1011" s="19">
        <v>6.1152945667281564</v>
      </c>
      <c r="AF1011" s="19">
        <v>5.7410611970887988</v>
      </c>
      <c r="AG1011" s="19">
        <v>5.0269813428939987</v>
      </c>
      <c r="AH1011" s="19">
        <v>4.1402132685975115</v>
      </c>
      <c r="AI1011" s="19">
        <v>3.1530646543853762</v>
      </c>
      <c r="AJ1011" s="19">
        <v>1.2094032234715644</v>
      </c>
      <c r="AK1011" s="19">
        <v>0</v>
      </c>
      <c r="AL1011" s="19">
        <v>0</v>
      </c>
      <c r="AM1011" s="19">
        <v>0</v>
      </c>
      <c r="AN1011" s="19">
        <v>0</v>
      </c>
      <c r="AO1011" s="19">
        <v>0</v>
      </c>
      <c r="AP1011" s="19">
        <v>0</v>
      </c>
      <c r="AQ1011" s="19">
        <v>0</v>
      </c>
      <c r="AR1011" s="19">
        <v>58.675309824324934</v>
      </c>
    </row>
    <row r="1012" spans="1:44" x14ac:dyDescent="0.25">
      <c r="A1012" t="s">
        <v>250</v>
      </c>
      <c r="B1012" t="s">
        <v>386</v>
      </c>
      <c r="C1012" t="s">
        <v>44</v>
      </c>
      <c r="D1012" t="s">
        <v>191</v>
      </c>
      <c r="E1012" t="s">
        <v>134</v>
      </c>
      <c r="F1012" t="s">
        <v>387</v>
      </c>
      <c r="G1012" t="s">
        <v>31</v>
      </c>
      <c r="H1012" t="s">
        <v>288</v>
      </c>
      <c r="I1012" t="s">
        <v>135</v>
      </c>
      <c r="J1012" t="s">
        <v>39</v>
      </c>
      <c r="K1012" t="s">
        <v>31</v>
      </c>
      <c r="L1012">
        <v>0.115</v>
      </c>
      <c r="M1012">
        <v>1</v>
      </c>
      <c r="N1012" s="2">
        <v>2.7606638800723569</v>
      </c>
      <c r="O1012" s="2">
        <v>7.2695359336160141</v>
      </c>
      <c r="P1012" s="1">
        <v>-1.984349841954884</v>
      </c>
      <c r="Q1012" s="1">
        <v>1.4263152691032981</v>
      </c>
      <c r="R1012" s="1">
        <v>-2.869010584419021</v>
      </c>
      <c r="S1012" s="19">
        <v>0</v>
      </c>
      <c r="T1012" s="19">
        <v>0</v>
      </c>
      <c r="U1012" s="19">
        <v>0</v>
      </c>
      <c r="V1012" s="19">
        <v>0</v>
      </c>
      <c r="W1012" s="19">
        <v>0</v>
      </c>
      <c r="X1012" s="19">
        <v>0</v>
      </c>
      <c r="Y1012" s="19">
        <v>0</v>
      </c>
      <c r="Z1012" s="19">
        <v>0</v>
      </c>
      <c r="AA1012" s="19">
        <v>0</v>
      </c>
      <c r="AB1012" s="19">
        <v>0</v>
      </c>
      <c r="AC1012" s="19">
        <v>0</v>
      </c>
      <c r="AD1012" s="19">
        <v>0</v>
      </c>
      <c r="AE1012" s="19">
        <v>0</v>
      </c>
      <c r="AF1012" s="19">
        <v>0</v>
      </c>
      <c r="AG1012" s="19">
        <v>0</v>
      </c>
      <c r="AH1012" s="19">
        <v>0</v>
      </c>
      <c r="AI1012" s="19">
        <v>0</v>
      </c>
      <c r="AJ1012" s="19">
        <v>0</v>
      </c>
      <c r="AK1012" s="19">
        <v>0</v>
      </c>
      <c r="AL1012" s="19">
        <v>0</v>
      </c>
      <c r="AM1012" s="19">
        <v>0</v>
      </c>
      <c r="AN1012" s="19">
        <v>0</v>
      </c>
      <c r="AO1012" s="19">
        <v>0</v>
      </c>
      <c r="AP1012" s="19">
        <v>0</v>
      </c>
      <c r="AQ1012" s="19">
        <v>0</v>
      </c>
      <c r="AR1012" s="19">
        <v>0</v>
      </c>
    </row>
    <row r="1013" spans="1:44" x14ac:dyDescent="0.25">
      <c r="A1013" t="s">
        <v>250</v>
      </c>
      <c r="B1013" t="s">
        <v>386</v>
      </c>
      <c r="C1013" t="s">
        <v>44</v>
      </c>
      <c r="D1013" t="s">
        <v>191</v>
      </c>
      <c r="E1013" t="s">
        <v>134</v>
      </c>
      <c r="F1013" t="s">
        <v>387</v>
      </c>
      <c r="G1013" t="s">
        <v>31</v>
      </c>
      <c r="H1013" t="s">
        <v>289</v>
      </c>
      <c r="I1013" t="s">
        <v>135</v>
      </c>
      <c r="J1013" t="s">
        <v>39</v>
      </c>
      <c r="K1013" t="s">
        <v>31</v>
      </c>
      <c r="L1013">
        <v>0.115</v>
      </c>
      <c r="M1013">
        <v>1</v>
      </c>
      <c r="N1013" s="2">
        <v>2.7606638800723569</v>
      </c>
      <c r="O1013" s="2">
        <v>7.2695359336160141</v>
      </c>
      <c r="P1013" s="1">
        <v>-1.984349841954884</v>
      </c>
      <c r="Q1013" s="1">
        <v>1.4263152691032981</v>
      </c>
      <c r="R1013" s="1">
        <v>-2.869010584419021</v>
      </c>
      <c r="S1013" s="19">
        <v>0</v>
      </c>
      <c r="T1013" s="19">
        <v>0</v>
      </c>
      <c r="U1013" s="19">
        <v>0</v>
      </c>
      <c r="V1013" s="19">
        <v>0</v>
      </c>
      <c r="W1013" s="19">
        <v>0</v>
      </c>
      <c r="X1013" s="19">
        <v>0</v>
      </c>
      <c r="Y1013" s="19">
        <v>0</v>
      </c>
      <c r="Z1013" s="19">
        <v>0</v>
      </c>
      <c r="AA1013" s="19">
        <v>0</v>
      </c>
      <c r="AB1013" s="19">
        <v>0</v>
      </c>
      <c r="AC1013" s="19">
        <v>0</v>
      </c>
      <c r="AD1013" s="19">
        <v>0</v>
      </c>
      <c r="AE1013" s="19">
        <v>0</v>
      </c>
      <c r="AF1013" s="19">
        <v>0</v>
      </c>
      <c r="AG1013" s="19">
        <v>0</v>
      </c>
      <c r="AH1013" s="19">
        <v>0</v>
      </c>
      <c r="AI1013" s="19">
        <v>0</v>
      </c>
      <c r="AJ1013" s="19">
        <v>0</v>
      </c>
      <c r="AK1013" s="19">
        <v>0</v>
      </c>
      <c r="AL1013" s="19">
        <v>0</v>
      </c>
      <c r="AM1013" s="19">
        <v>0</v>
      </c>
      <c r="AN1013" s="19">
        <v>0</v>
      </c>
      <c r="AO1013" s="19">
        <v>0</v>
      </c>
      <c r="AP1013" s="19">
        <v>0</v>
      </c>
      <c r="AQ1013" s="19">
        <v>0</v>
      </c>
      <c r="AR1013" s="19">
        <v>0</v>
      </c>
    </row>
    <row r="1014" spans="1:44" x14ac:dyDescent="0.25">
      <c r="A1014" t="s">
        <v>250</v>
      </c>
      <c r="B1014" t="s">
        <v>386</v>
      </c>
      <c r="C1014" t="s">
        <v>44</v>
      </c>
      <c r="D1014" t="s">
        <v>191</v>
      </c>
      <c r="E1014" t="s">
        <v>134</v>
      </c>
      <c r="F1014" t="s">
        <v>387</v>
      </c>
      <c r="G1014" t="s">
        <v>31</v>
      </c>
      <c r="H1014" t="s">
        <v>290</v>
      </c>
      <c r="I1014" t="s">
        <v>135</v>
      </c>
      <c r="J1014" t="s">
        <v>39</v>
      </c>
      <c r="K1014" t="s">
        <v>31</v>
      </c>
      <c r="L1014">
        <v>0.115</v>
      </c>
      <c r="M1014">
        <v>1</v>
      </c>
      <c r="N1014" s="2">
        <v>2.7606638800723569</v>
      </c>
      <c r="O1014" s="2">
        <v>7.2695359336160141</v>
      </c>
      <c r="P1014" s="1">
        <v>-1.984349841954884</v>
      </c>
      <c r="Q1014" s="1">
        <v>1.4263152691032981</v>
      </c>
      <c r="R1014" s="1">
        <v>-2.869010584419021</v>
      </c>
      <c r="S1014" s="19">
        <v>0</v>
      </c>
      <c r="T1014" s="19">
        <v>0</v>
      </c>
      <c r="U1014" s="19">
        <v>0</v>
      </c>
      <c r="V1014" s="19">
        <v>0</v>
      </c>
      <c r="W1014" s="19">
        <v>0</v>
      </c>
      <c r="X1014" s="19">
        <v>0</v>
      </c>
      <c r="Y1014" s="19">
        <v>0</v>
      </c>
      <c r="Z1014" s="19">
        <v>0</v>
      </c>
      <c r="AA1014" s="19">
        <v>0</v>
      </c>
      <c r="AB1014" s="19">
        <v>0</v>
      </c>
      <c r="AC1014" s="19">
        <v>0</v>
      </c>
      <c r="AD1014" s="19">
        <v>0</v>
      </c>
      <c r="AE1014" s="19">
        <v>0</v>
      </c>
      <c r="AF1014" s="19">
        <v>0</v>
      </c>
      <c r="AG1014" s="19">
        <v>0</v>
      </c>
      <c r="AH1014" s="19">
        <v>0</v>
      </c>
      <c r="AI1014" s="19">
        <v>0</v>
      </c>
      <c r="AJ1014" s="19">
        <v>0</v>
      </c>
      <c r="AK1014" s="19">
        <v>0</v>
      </c>
      <c r="AL1014" s="19">
        <v>0</v>
      </c>
      <c r="AM1014" s="19">
        <v>0</v>
      </c>
      <c r="AN1014" s="19">
        <v>0</v>
      </c>
      <c r="AO1014" s="19">
        <v>0</v>
      </c>
      <c r="AP1014" s="19">
        <v>0</v>
      </c>
      <c r="AQ1014" s="19">
        <v>0</v>
      </c>
      <c r="AR1014" s="19">
        <v>0</v>
      </c>
    </row>
    <row r="1015" spans="1:44" x14ac:dyDescent="0.25">
      <c r="A1015" t="s">
        <v>250</v>
      </c>
      <c r="B1015" t="s">
        <v>386</v>
      </c>
      <c r="C1015" t="s">
        <v>44</v>
      </c>
      <c r="D1015" t="s">
        <v>191</v>
      </c>
      <c r="E1015" t="s">
        <v>134</v>
      </c>
      <c r="F1015" t="s">
        <v>387</v>
      </c>
      <c r="G1015" t="s">
        <v>31</v>
      </c>
      <c r="H1015" t="s">
        <v>272</v>
      </c>
      <c r="I1015" t="s">
        <v>135</v>
      </c>
      <c r="J1015" t="s">
        <v>39</v>
      </c>
      <c r="K1015" t="s">
        <v>31</v>
      </c>
      <c r="L1015">
        <v>0.115</v>
      </c>
      <c r="M1015">
        <v>1</v>
      </c>
      <c r="N1015" s="2">
        <v>2.7606638800723569</v>
      </c>
      <c r="O1015" s="2">
        <v>7.2695359336160141</v>
      </c>
      <c r="P1015" s="1">
        <v>-1.984349841954884</v>
      </c>
      <c r="Q1015" s="1">
        <v>1.4263152691032981</v>
      </c>
      <c r="R1015" s="1">
        <v>-2.869010584419021</v>
      </c>
      <c r="S1015" s="19">
        <v>0</v>
      </c>
      <c r="T1015" s="19">
        <v>0</v>
      </c>
      <c r="U1015" s="19">
        <v>0</v>
      </c>
      <c r="V1015" s="19">
        <v>0</v>
      </c>
      <c r="W1015" s="19">
        <v>0</v>
      </c>
      <c r="X1015" s="19">
        <v>0</v>
      </c>
      <c r="Y1015" s="19">
        <v>0</v>
      </c>
      <c r="Z1015" s="19">
        <v>0</v>
      </c>
      <c r="AA1015" s="19">
        <v>0</v>
      </c>
      <c r="AB1015" s="19">
        <v>0</v>
      </c>
      <c r="AC1015" s="19">
        <v>0</v>
      </c>
      <c r="AD1015" s="19">
        <v>0</v>
      </c>
      <c r="AE1015" s="19">
        <v>0</v>
      </c>
      <c r="AF1015" s="19">
        <v>0</v>
      </c>
      <c r="AG1015" s="19">
        <v>0</v>
      </c>
      <c r="AH1015" s="19">
        <v>0</v>
      </c>
      <c r="AI1015" s="19">
        <v>0</v>
      </c>
      <c r="AJ1015" s="19">
        <v>0</v>
      </c>
      <c r="AK1015" s="19">
        <v>0</v>
      </c>
      <c r="AL1015" s="19">
        <v>0</v>
      </c>
      <c r="AM1015" s="19">
        <v>0</v>
      </c>
      <c r="AN1015" s="19">
        <v>0</v>
      </c>
      <c r="AO1015" s="19">
        <v>0</v>
      </c>
      <c r="AP1015" s="19">
        <v>0</v>
      </c>
      <c r="AQ1015" s="19">
        <v>0</v>
      </c>
      <c r="AR1015" s="19">
        <v>0</v>
      </c>
    </row>
    <row r="1016" spans="1:44" x14ac:dyDescent="0.25">
      <c r="A1016" t="s">
        <v>250</v>
      </c>
      <c r="B1016" t="s">
        <v>386</v>
      </c>
      <c r="C1016" t="s">
        <v>44</v>
      </c>
      <c r="D1016" t="s">
        <v>191</v>
      </c>
      <c r="E1016" t="s">
        <v>134</v>
      </c>
      <c r="F1016" t="s">
        <v>387</v>
      </c>
      <c r="G1016" t="s">
        <v>31</v>
      </c>
      <c r="H1016" t="s">
        <v>273</v>
      </c>
      <c r="I1016" t="s">
        <v>135</v>
      </c>
      <c r="J1016" t="s">
        <v>39</v>
      </c>
      <c r="K1016" t="s">
        <v>31</v>
      </c>
      <c r="L1016">
        <v>0.115</v>
      </c>
      <c r="M1016">
        <v>1</v>
      </c>
      <c r="N1016" s="2">
        <v>2.7606638800723569</v>
      </c>
      <c r="O1016" s="2">
        <v>7.2695359336160141</v>
      </c>
      <c r="P1016" s="1">
        <v>-1.984349841954884</v>
      </c>
      <c r="Q1016" s="1">
        <v>1.4263152691032981</v>
      </c>
      <c r="R1016" s="1">
        <v>-2.869010584419021</v>
      </c>
      <c r="S1016" s="19">
        <v>0</v>
      </c>
      <c r="T1016" s="19">
        <v>0</v>
      </c>
      <c r="U1016" s="19">
        <v>0</v>
      </c>
      <c r="V1016" s="19">
        <v>0</v>
      </c>
      <c r="W1016" s="19">
        <v>0</v>
      </c>
      <c r="X1016" s="19">
        <v>0</v>
      </c>
      <c r="Y1016" s="19">
        <v>0</v>
      </c>
      <c r="Z1016" s="19">
        <v>0</v>
      </c>
      <c r="AA1016" s="19">
        <v>0</v>
      </c>
      <c r="AB1016" s="19">
        <v>0</v>
      </c>
      <c r="AC1016" s="19">
        <v>0</v>
      </c>
      <c r="AD1016" s="19">
        <v>0</v>
      </c>
      <c r="AE1016" s="19">
        <v>0</v>
      </c>
      <c r="AF1016" s="19">
        <v>0</v>
      </c>
      <c r="AG1016" s="19">
        <v>0</v>
      </c>
      <c r="AH1016" s="19">
        <v>0</v>
      </c>
      <c r="AI1016" s="19">
        <v>0</v>
      </c>
      <c r="AJ1016" s="19">
        <v>0</v>
      </c>
      <c r="AK1016" s="19">
        <v>0</v>
      </c>
      <c r="AL1016" s="19">
        <v>0</v>
      </c>
      <c r="AM1016" s="19">
        <v>0</v>
      </c>
      <c r="AN1016" s="19">
        <v>0</v>
      </c>
      <c r="AO1016" s="19">
        <v>0</v>
      </c>
      <c r="AP1016" s="19">
        <v>0</v>
      </c>
      <c r="AQ1016" s="19">
        <v>0</v>
      </c>
      <c r="AR1016" s="19">
        <v>0</v>
      </c>
    </row>
    <row r="1017" spans="1:44" x14ac:dyDescent="0.25">
      <c r="A1017" t="s">
        <v>250</v>
      </c>
      <c r="B1017" t="s">
        <v>386</v>
      </c>
      <c r="C1017" t="s">
        <v>44</v>
      </c>
      <c r="D1017" t="s">
        <v>191</v>
      </c>
      <c r="E1017" t="s">
        <v>134</v>
      </c>
      <c r="F1017" t="s">
        <v>387</v>
      </c>
      <c r="G1017" t="s">
        <v>31</v>
      </c>
      <c r="H1017" t="s">
        <v>274</v>
      </c>
      <c r="I1017" t="s">
        <v>135</v>
      </c>
      <c r="J1017" t="s">
        <v>39</v>
      </c>
      <c r="K1017" t="s">
        <v>31</v>
      </c>
      <c r="L1017">
        <v>0.115</v>
      </c>
      <c r="M1017">
        <v>1</v>
      </c>
      <c r="N1017" s="2">
        <v>2.7606638800723569</v>
      </c>
      <c r="O1017" s="2">
        <v>7.2695359336160141</v>
      </c>
      <c r="P1017" s="1">
        <v>-1.984349841954884</v>
      </c>
      <c r="Q1017" s="1">
        <v>1.4263152691032981</v>
      </c>
      <c r="R1017" s="1">
        <v>-2.869010584419021</v>
      </c>
      <c r="S1017" s="19">
        <v>0</v>
      </c>
      <c r="T1017" s="19">
        <v>0</v>
      </c>
      <c r="U1017" s="19">
        <v>0</v>
      </c>
      <c r="V1017" s="19">
        <v>0</v>
      </c>
      <c r="W1017" s="19">
        <v>0</v>
      </c>
      <c r="X1017" s="19">
        <v>0</v>
      </c>
      <c r="Y1017" s="19">
        <v>0</v>
      </c>
      <c r="Z1017" s="19">
        <v>0</v>
      </c>
      <c r="AA1017" s="19">
        <v>0</v>
      </c>
      <c r="AB1017" s="19">
        <v>0</v>
      </c>
      <c r="AC1017" s="19">
        <v>0</v>
      </c>
      <c r="AD1017" s="19">
        <v>0</v>
      </c>
      <c r="AE1017" s="19">
        <v>0</v>
      </c>
      <c r="AF1017" s="19">
        <v>0</v>
      </c>
      <c r="AG1017" s="19">
        <v>0</v>
      </c>
      <c r="AH1017" s="19">
        <v>0</v>
      </c>
      <c r="AI1017" s="19">
        <v>0</v>
      </c>
      <c r="AJ1017" s="19">
        <v>0</v>
      </c>
      <c r="AK1017" s="19">
        <v>0</v>
      </c>
      <c r="AL1017" s="19">
        <v>0</v>
      </c>
      <c r="AM1017" s="19">
        <v>0</v>
      </c>
      <c r="AN1017" s="19">
        <v>0</v>
      </c>
      <c r="AO1017" s="19">
        <v>0</v>
      </c>
      <c r="AP1017" s="19">
        <v>0</v>
      </c>
      <c r="AQ1017" s="19">
        <v>0</v>
      </c>
      <c r="AR1017" s="19">
        <v>0</v>
      </c>
    </row>
    <row r="1018" spans="1:44" x14ac:dyDescent="0.25">
      <c r="A1018" t="s">
        <v>250</v>
      </c>
      <c r="B1018" t="s">
        <v>386</v>
      </c>
      <c r="C1018" t="s">
        <v>44</v>
      </c>
      <c r="D1018" t="s">
        <v>191</v>
      </c>
      <c r="E1018" t="s">
        <v>134</v>
      </c>
      <c r="F1018" t="s">
        <v>387</v>
      </c>
      <c r="G1018" t="s">
        <v>31</v>
      </c>
      <c r="H1018" t="s">
        <v>275</v>
      </c>
      <c r="I1018" t="s">
        <v>135</v>
      </c>
      <c r="J1018" t="s">
        <v>39</v>
      </c>
      <c r="K1018" t="s">
        <v>31</v>
      </c>
      <c r="L1018">
        <v>0.115</v>
      </c>
      <c r="M1018">
        <v>1</v>
      </c>
      <c r="N1018" s="2">
        <v>2.7606638800723569</v>
      </c>
      <c r="O1018" s="2">
        <v>7.2695359336160141</v>
      </c>
      <c r="P1018" s="1">
        <v>-1.984349841954884</v>
      </c>
      <c r="Q1018" s="1">
        <v>1.4263152691032981</v>
      </c>
      <c r="R1018" s="1">
        <v>-2.869010584419021</v>
      </c>
      <c r="S1018" s="19">
        <v>0</v>
      </c>
      <c r="T1018" s="19">
        <v>0</v>
      </c>
      <c r="U1018" s="19">
        <v>0</v>
      </c>
      <c r="V1018" s="19">
        <v>0</v>
      </c>
      <c r="W1018" s="19">
        <v>0</v>
      </c>
      <c r="X1018" s="19">
        <v>0</v>
      </c>
      <c r="Y1018" s="19">
        <v>0</v>
      </c>
      <c r="Z1018" s="19">
        <v>0</v>
      </c>
      <c r="AA1018" s="19">
        <v>0</v>
      </c>
      <c r="AB1018" s="19">
        <v>0</v>
      </c>
      <c r="AC1018" s="19">
        <v>0</v>
      </c>
      <c r="AD1018" s="19">
        <v>0</v>
      </c>
      <c r="AE1018" s="19">
        <v>0</v>
      </c>
      <c r="AF1018" s="19">
        <v>0</v>
      </c>
      <c r="AG1018" s="19">
        <v>0</v>
      </c>
      <c r="AH1018" s="19">
        <v>0</v>
      </c>
      <c r="AI1018" s="19">
        <v>0</v>
      </c>
      <c r="AJ1018" s="19">
        <v>0</v>
      </c>
      <c r="AK1018" s="19">
        <v>0</v>
      </c>
      <c r="AL1018" s="19">
        <v>0</v>
      </c>
      <c r="AM1018" s="19">
        <v>0</v>
      </c>
      <c r="AN1018" s="19">
        <v>0</v>
      </c>
      <c r="AO1018" s="19">
        <v>0</v>
      </c>
      <c r="AP1018" s="19">
        <v>0</v>
      </c>
      <c r="AQ1018" s="19">
        <v>0</v>
      </c>
      <c r="AR1018" s="19">
        <v>0</v>
      </c>
    </row>
    <row r="1019" spans="1:44" x14ac:dyDescent="0.25">
      <c r="A1019" t="s">
        <v>250</v>
      </c>
      <c r="B1019" t="s">
        <v>386</v>
      </c>
      <c r="C1019" t="s">
        <v>44</v>
      </c>
      <c r="D1019" t="s">
        <v>191</v>
      </c>
      <c r="E1019" t="s">
        <v>134</v>
      </c>
      <c r="F1019" t="s">
        <v>387</v>
      </c>
      <c r="G1019" t="s">
        <v>31</v>
      </c>
      <c r="H1019" t="s">
        <v>276</v>
      </c>
      <c r="I1019" t="s">
        <v>135</v>
      </c>
      <c r="J1019" t="s">
        <v>39</v>
      </c>
      <c r="K1019" t="s">
        <v>31</v>
      </c>
      <c r="L1019">
        <v>0.115</v>
      </c>
      <c r="M1019">
        <v>1</v>
      </c>
      <c r="N1019" s="2">
        <v>2.7606638800723569</v>
      </c>
      <c r="O1019" s="2">
        <v>7.2695359336160141</v>
      </c>
      <c r="P1019" s="1">
        <v>-1.984349841954884</v>
      </c>
      <c r="Q1019" s="1">
        <v>1.4263152691032981</v>
      </c>
      <c r="R1019" s="1">
        <v>-2.869010584419021</v>
      </c>
      <c r="S1019" s="19">
        <v>0</v>
      </c>
      <c r="T1019" s="19">
        <v>0</v>
      </c>
      <c r="U1019" s="19">
        <v>0</v>
      </c>
      <c r="V1019" s="19">
        <v>0</v>
      </c>
      <c r="W1019" s="19">
        <v>0</v>
      </c>
      <c r="X1019" s="19">
        <v>0</v>
      </c>
      <c r="Y1019" s="19">
        <v>0</v>
      </c>
      <c r="Z1019" s="19">
        <v>0</v>
      </c>
      <c r="AA1019" s="19">
        <v>0</v>
      </c>
      <c r="AB1019" s="19">
        <v>0</v>
      </c>
      <c r="AC1019" s="19">
        <v>0</v>
      </c>
      <c r="AD1019" s="19">
        <v>0</v>
      </c>
      <c r="AE1019" s="19">
        <v>0</v>
      </c>
      <c r="AF1019" s="19">
        <v>0</v>
      </c>
      <c r="AG1019" s="19">
        <v>0</v>
      </c>
      <c r="AH1019" s="19">
        <v>0</v>
      </c>
      <c r="AI1019" s="19">
        <v>0</v>
      </c>
      <c r="AJ1019" s="19">
        <v>0</v>
      </c>
      <c r="AK1019" s="19">
        <v>0</v>
      </c>
      <c r="AL1019" s="19">
        <v>0</v>
      </c>
      <c r="AM1019" s="19">
        <v>0</v>
      </c>
      <c r="AN1019" s="19">
        <v>0</v>
      </c>
      <c r="AO1019" s="19">
        <v>0</v>
      </c>
      <c r="AP1019" s="19">
        <v>0</v>
      </c>
      <c r="AQ1019" s="19">
        <v>0</v>
      </c>
      <c r="AR1019" s="19">
        <v>0</v>
      </c>
    </row>
    <row r="1020" spans="1:44" x14ac:dyDescent="0.25">
      <c r="A1020" t="s">
        <v>250</v>
      </c>
      <c r="B1020" t="s">
        <v>386</v>
      </c>
      <c r="C1020" t="s">
        <v>44</v>
      </c>
      <c r="D1020" t="s">
        <v>191</v>
      </c>
      <c r="E1020" t="s">
        <v>134</v>
      </c>
      <c r="F1020" t="s">
        <v>387</v>
      </c>
      <c r="G1020" t="s">
        <v>31</v>
      </c>
      <c r="H1020" t="s">
        <v>277</v>
      </c>
      <c r="I1020" t="s">
        <v>135</v>
      </c>
      <c r="J1020" t="s">
        <v>39</v>
      </c>
      <c r="K1020" t="s">
        <v>31</v>
      </c>
      <c r="L1020">
        <v>0.115</v>
      </c>
      <c r="M1020">
        <v>1</v>
      </c>
      <c r="N1020" s="2">
        <v>2.7606638800723569</v>
      </c>
      <c r="O1020" s="2">
        <v>7.2695359336160141</v>
      </c>
      <c r="P1020" s="1">
        <v>-1.984349841954884</v>
      </c>
      <c r="Q1020" s="1">
        <v>1.4263152691032981</v>
      </c>
      <c r="R1020" s="1">
        <v>-2.869010584419021</v>
      </c>
      <c r="S1020" s="19">
        <v>0</v>
      </c>
      <c r="T1020" s="19">
        <v>0</v>
      </c>
      <c r="U1020" s="19">
        <v>0</v>
      </c>
      <c r="V1020" s="19">
        <v>0</v>
      </c>
      <c r="W1020" s="19">
        <v>0</v>
      </c>
      <c r="X1020" s="19">
        <v>0</v>
      </c>
      <c r="Y1020" s="19">
        <v>0</v>
      </c>
      <c r="Z1020" s="19">
        <v>0</v>
      </c>
      <c r="AA1020" s="19">
        <v>0</v>
      </c>
      <c r="AB1020" s="19">
        <v>0</v>
      </c>
      <c r="AC1020" s="19">
        <v>0</v>
      </c>
      <c r="AD1020" s="19">
        <v>0</v>
      </c>
      <c r="AE1020" s="19">
        <v>0</v>
      </c>
      <c r="AF1020" s="19">
        <v>0</v>
      </c>
      <c r="AG1020" s="19">
        <v>0</v>
      </c>
      <c r="AH1020" s="19">
        <v>0</v>
      </c>
      <c r="AI1020" s="19">
        <v>0</v>
      </c>
      <c r="AJ1020" s="19">
        <v>0</v>
      </c>
      <c r="AK1020" s="19">
        <v>0</v>
      </c>
      <c r="AL1020" s="19">
        <v>0</v>
      </c>
      <c r="AM1020" s="19">
        <v>0</v>
      </c>
      <c r="AN1020" s="19">
        <v>0</v>
      </c>
      <c r="AO1020" s="19">
        <v>0</v>
      </c>
      <c r="AP1020" s="19">
        <v>0</v>
      </c>
      <c r="AQ1020" s="19">
        <v>0</v>
      </c>
      <c r="AR1020" s="19">
        <v>0</v>
      </c>
    </row>
    <row r="1021" spans="1:44" x14ac:dyDescent="0.25">
      <c r="A1021" t="s">
        <v>250</v>
      </c>
      <c r="B1021" t="s">
        <v>386</v>
      </c>
      <c r="C1021" t="s">
        <v>44</v>
      </c>
      <c r="D1021" t="s">
        <v>191</v>
      </c>
      <c r="E1021" t="s">
        <v>134</v>
      </c>
      <c r="F1021" t="s">
        <v>387</v>
      </c>
      <c r="G1021" t="s">
        <v>31</v>
      </c>
      <c r="H1021" t="s">
        <v>278</v>
      </c>
      <c r="I1021" t="s">
        <v>135</v>
      </c>
      <c r="J1021" t="s">
        <v>39</v>
      </c>
      <c r="K1021" t="s">
        <v>31</v>
      </c>
      <c r="L1021">
        <v>0.115</v>
      </c>
      <c r="M1021">
        <v>1</v>
      </c>
      <c r="N1021" s="2">
        <v>2.7606638800723569</v>
      </c>
      <c r="O1021" s="2">
        <v>7.2695359336160141</v>
      </c>
      <c r="P1021" s="1">
        <v>-1.984349841954884</v>
      </c>
      <c r="Q1021" s="1">
        <v>1.4263152691032981</v>
      </c>
      <c r="R1021" s="1">
        <v>-2.869010584419021</v>
      </c>
      <c r="S1021" s="19">
        <v>0</v>
      </c>
      <c r="T1021" s="19">
        <v>0</v>
      </c>
      <c r="U1021" s="19">
        <v>0</v>
      </c>
      <c r="V1021" s="19">
        <v>0</v>
      </c>
      <c r="W1021" s="19">
        <v>0</v>
      </c>
      <c r="X1021" s="19">
        <v>0</v>
      </c>
      <c r="Y1021" s="19">
        <v>0</v>
      </c>
      <c r="Z1021" s="19">
        <v>0</v>
      </c>
      <c r="AA1021" s="19">
        <v>0</v>
      </c>
      <c r="AB1021" s="19">
        <v>0</v>
      </c>
      <c r="AC1021" s="19">
        <v>0</v>
      </c>
      <c r="AD1021" s="19">
        <v>0</v>
      </c>
      <c r="AE1021" s="19">
        <v>0</v>
      </c>
      <c r="AF1021" s="19">
        <v>0</v>
      </c>
      <c r="AG1021" s="19">
        <v>0</v>
      </c>
      <c r="AH1021" s="19">
        <v>0</v>
      </c>
      <c r="AI1021" s="19">
        <v>0</v>
      </c>
      <c r="AJ1021" s="19">
        <v>0</v>
      </c>
      <c r="AK1021" s="19">
        <v>0</v>
      </c>
      <c r="AL1021" s="19">
        <v>0</v>
      </c>
      <c r="AM1021" s="19">
        <v>0</v>
      </c>
      <c r="AN1021" s="19">
        <v>0</v>
      </c>
      <c r="AO1021" s="19">
        <v>0</v>
      </c>
      <c r="AP1021" s="19">
        <v>0</v>
      </c>
      <c r="AQ1021" s="19">
        <v>0</v>
      </c>
      <c r="AR1021" s="19">
        <v>0</v>
      </c>
    </row>
    <row r="1022" spans="1:44" x14ac:dyDescent="0.25">
      <c r="A1022" t="s">
        <v>250</v>
      </c>
      <c r="B1022" t="s">
        <v>386</v>
      </c>
      <c r="C1022" t="s">
        <v>44</v>
      </c>
      <c r="D1022" t="s">
        <v>191</v>
      </c>
      <c r="E1022" t="s">
        <v>134</v>
      </c>
      <c r="F1022" t="s">
        <v>387</v>
      </c>
      <c r="G1022" t="s">
        <v>31</v>
      </c>
      <c r="H1022" t="s">
        <v>252</v>
      </c>
      <c r="I1022" t="s">
        <v>135</v>
      </c>
      <c r="J1022" t="s">
        <v>39</v>
      </c>
      <c r="K1022" t="s">
        <v>31</v>
      </c>
      <c r="L1022">
        <v>0.115</v>
      </c>
      <c r="M1022">
        <v>1</v>
      </c>
      <c r="N1022" s="2">
        <v>2.7606638800723569</v>
      </c>
      <c r="O1022" s="2">
        <v>7.2695359336160141</v>
      </c>
      <c r="P1022" s="1">
        <v>-1.984349841954884</v>
      </c>
      <c r="Q1022" s="1">
        <v>1.4263152691032981</v>
      </c>
      <c r="R1022" s="1">
        <v>-2.869010584419021</v>
      </c>
      <c r="S1022" s="19">
        <v>0</v>
      </c>
      <c r="T1022" s="19">
        <v>0</v>
      </c>
      <c r="U1022" s="19">
        <v>0</v>
      </c>
      <c r="V1022" s="19">
        <v>0</v>
      </c>
      <c r="W1022" s="19">
        <v>0</v>
      </c>
      <c r="X1022" s="19">
        <v>0</v>
      </c>
      <c r="Y1022" s="19">
        <v>0</v>
      </c>
      <c r="Z1022" s="19">
        <v>0</v>
      </c>
      <c r="AA1022" s="19">
        <v>0</v>
      </c>
      <c r="AB1022" s="19">
        <v>0</v>
      </c>
      <c r="AC1022" s="19">
        <v>0</v>
      </c>
      <c r="AD1022" s="19">
        <v>0</v>
      </c>
      <c r="AE1022" s="19">
        <v>0</v>
      </c>
      <c r="AF1022" s="19">
        <v>0</v>
      </c>
      <c r="AG1022" s="19">
        <v>0</v>
      </c>
      <c r="AH1022" s="19">
        <v>0</v>
      </c>
      <c r="AI1022" s="19">
        <v>0</v>
      </c>
      <c r="AJ1022" s="19">
        <v>0</v>
      </c>
      <c r="AK1022" s="19">
        <v>0</v>
      </c>
      <c r="AL1022" s="19">
        <v>0</v>
      </c>
      <c r="AM1022" s="19">
        <v>0</v>
      </c>
      <c r="AN1022" s="19">
        <v>0</v>
      </c>
      <c r="AO1022" s="19">
        <v>0</v>
      </c>
      <c r="AP1022" s="19">
        <v>0</v>
      </c>
      <c r="AQ1022" s="19">
        <v>0</v>
      </c>
      <c r="AR1022" s="19">
        <v>0</v>
      </c>
    </row>
    <row r="1023" spans="1:44" x14ac:dyDescent="0.25">
      <c r="A1023" t="s">
        <v>250</v>
      </c>
      <c r="B1023" t="s">
        <v>386</v>
      </c>
      <c r="C1023" t="s">
        <v>44</v>
      </c>
      <c r="D1023" t="s">
        <v>191</v>
      </c>
      <c r="E1023" t="s">
        <v>134</v>
      </c>
      <c r="F1023" t="s">
        <v>387</v>
      </c>
      <c r="G1023" t="s">
        <v>31</v>
      </c>
      <c r="H1023" t="s">
        <v>253</v>
      </c>
      <c r="I1023" t="s">
        <v>135</v>
      </c>
      <c r="J1023" t="s">
        <v>39</v>
      </c>
      <c r="K1023" t="s">
        <v>31</v>
      </c>
      <c r="L1023">
        <v>0.115</v>
      </c>
      <c r="M1023">
        <v>1</v>
      </c>
      <c r="N1023" s="2">
        <v>2.7606638800723569</v>
      </c>
      <c r="O1023" s="2">
        <v>7.2695359336160141</v>
      </c>
      <c r="P1023" s="1">
        <v>-1.984349841954884</v>
      </c>
      <c r="Q1023" s="1">
        <v>1.4263152691032981</v>
      </c>
      <c r="R1023" s="1">
        <v>-2.869010584419021</v>
      </c>
      <c r="S1023" s="19">
        <v>0</v>
      </c>
      <c r="T1023" s="19">
        <v>0</v>
      </c>
      <c r="U1023" s="19">
        <v>0</v>
      </c>
      <c r="V1023" s="19">
        <v>0</v>
      </c>
      <c r="W1023" s="19">
        <v>0</v>
      </c>
      <c r="X1023" s="19">
        <v>0</v>
      </c>
      <c r="Y1023" s="19">
        <v>0</v>
      </c>
      <c r="Z1023" s="19">
        <v>0</v>
      </c>
      <c r="AA1023" s="19">
        <v>0</v>
      </c>
      <c r="AB1023" s="19">
        <v>0</v>
      </c>
      <c r="AC1023" s="19">
        <v>0</v>
      </c>
      <c r="AD1023" s="19">
        <v>0</v>
      </c>
      <c r="AE1023" s="19">
        <v>0</v>
      </c>
      <c r="AF1023" s="19">
        <v>0</v>
      </c>
      <c r="AG1023" s="19">
        <v>0</v>
      </c>
      <c r="AH1023" s="19">
        <v>0</v>
      </c>
      <c r="AI1023" s="19">
        <v>0</v>
      </c>
      <c r="AJ1023" s="19">
        <v>0</v>
      </c>
      <c r="AK1023" s="19">
        <v>0</v>
      </c>
      <c r="AL1023" s="19">
        <v>0</v>
      </c>
      <c r="AM1023" s="19">
        <v>0</v>
      </c>
      <c r="AN1023" s="19">
        <v>0</v>
      </c>
      <c r="AO1023" s="19">
        <v>0</v>
      </c>
      <c r="AP1023" s="19">
        <v>0</v>
      </c>
      <c r="AQ1023" s="19">
        <v>0</v>
      </c>
      <c r="AR1023" s="19">
        <v>0</v>
      </c>
    </row>
    <row r="1024" spans="1:44" x14ac:dyDescent="0.25">
      <c r="A1024" t="s">
        <v>250</v>
      </c>
      <c r="B1024" t="s">
        <v>386</v>
      </c>
      <c r="C1024" t="s">
        <v>44</v>
      </c>
      <c r="D1024" t="s">
        <v>191</v>
      </c>
      <c r="E1024" t="s">
        <v>134</v>
      </c>
      <c r="F1024" t="s">
        <v>387</v>
      </c>
      <c r="G1024" t="s">
        <v>31</v>
      </c>
      <c r="H1024" t="s">
        <v>254</v>
      </c>
      <c r="I1024" t="s">
        <v>135</v>
      </c>
      <c r="J1024" t="s">
        <v>39</v>
      </c>
      <c r="K1024" t="s">
        <v>31</v>
      </c>
      <c r="L1024">
        <v>0.115</v>
      </c>
      <c r="M1024">
        <v>1</v>
      </c>
      <c r="N1024" s="2">
        <v>2.7606638800723569</v>
      </c>
      <c r="O1024" s="2">
        <v>7.2695359336160141</v>
      </c>
      <c r="P1024" s="1">
        <v>-1.984349841954884</v>
      </c>
      <c r="Q1024" s="1">
        <v>1.4263152691032981</v>
      </c>
      <c r="R1024" s="1">
        <v>-2.869010584419021</v>
      </c>
      <c r="S1024" s="19">
        <v>0</v>
      </c>
      <c r="T1024" s="19">
        <v>0</v>
      </c>
      <c r="U1024" s="19">
        <v>0</v>
      </c>
      <c r="V1024" s="19">
        <v>0</v>
      </c>
      <c r="W1024" s="19">
        <v>0</v>
      </c>
      <c r="X1024" s="19">
        <v>0</v>
      </c>
      <c r="Y1024" s="19">
        <v>0</v>
      </c>
      <c r="Z1024" s="19">
        <v>0</v>
      </c>
      <c r="AA1024" s="19">
        <v>0</v>
      </c>
      <c r="AB1024" s="19">
        <v>0</v>
      </c>
      <c r="AC1024" s="19">
        <v>0</v>
      </c>
      <c r="AD1024" s="19">
        <v>0</v>
      </c>
      <c r="AE1024" s="19">
        <v>0</v>
      </c>
      <c r="AF1024" s="19">
        <v>0</v>
      </c>
      <c r="AG1024" s="19">
        <v>0</v>
      </c>
      <c r="AH1024" s="19">
        <v>0</v>
      </c>
      <c r="AI1024" s="19">
        <v>0</v>
      </c>
      <c r="AJ1024" s="19">
        <v>0</v>
      </c>
      <c r="AK1024" s="19">
        <v>0</v>
      </c>
      <c r="AL1024" s="19">
        <v>0</v>
      </c>
      <c r="AM1024" s="19">
        <v>0</v>
      </c>
      <c r="AN1024" s="19">
        <v>0</v>
      </c>
      <c r="AO1024" s="19">
        <v>0</v>
      </c>
      <c r="AP1024" s="19">
        <v>0</v>
      </c>
      <c r="AQ1024" s="19">
        <v>0</v>
      </c>
      <c r="AR1024" s="19">
        <v>0</v>
      </c>
    </row>
    <row r="1025" spans="1:44" x14ac:dyDescent="0.25">
      <c r="A1025" t="s">
        <v>250</v>
      </c>
      <c r="B1025" t="s">
        <v>386</v>
      </c>
      <c r="C1025" t="s">
        <v>44</v>
      </c>
      <c r="D1025" t="s">
        <v>191</v>
      </c>
      <c r="E1025" t="s">
        <v>134</v>
      </c>
      <c r="F1025" t="s">
        <v>387</v>
      </c>
      <c r="G1025" t="s">
        <v>31</v>
      </c>
      <c r="H1025" t="s">
        <v>255</v>
      </c>
      <c r="I1025" t="s">
        <v>135</v>
      </c>
      <c r="J1025" t="s">
        <v>39</v>
      </c>
      <c r="K1025" t="s">
        <v>31</v>
      </c>
      <c r="L1025">
        <v>0.115</v>
      </c>
      <c r="M1025">
        <v>1</v>
      </c>
      <c r="N1025" s="2">
        <v>2.7606638800723569</v>
      </c>
      <c r="O1025" s="2">
        <v>7.2695359336160141</v>
      </c>
      <c r="P1025" s="1">
        <v>-1.984349841954884</v>
      </c>
      <c r="Q1025" s="1">
        <v>1.4263152691032981</v>
      </c>
      <c r="R1025" s="1">
        <v>-2.869010584419021</v>
      </c>
      <c r="S1025" s="19">
        <v>0</v>
      </c>
      <c r="T1025" s="19">
        <v>0</v>
      </c>
      <c r="U1025" s="19">
        <v>0</v>
      </c>
      <c r="V1025" s="19">
        <v>0</v>
      </c>
      <c r="W1025" s="19">
        <v>0</v>
      </c>
      <c r="X1025" s="19">
        <v>0</v>
      </c>
      <c r="Y1025" s="19">
        <v>0</v>
      </c>
      <c r="Z1025" s="19">
        <v>0</v>
      </c>
      <c r="AA1025" s="19">
        <v>0</v>
      </c>
      <c r="AB1025" s="19">
        <v>0</v>
      </c>
      <c r="AC1025" s="19">
        <v>0</v>
      </c>
      <c r="AD1025" s="19">
        <v>0</v>
      </c>
      <c r="AE1025" s="19">
        <v>0</v>
      </c>
      <c r="AF1025" s="19">
        <v>0</v>
      </c>
      <c r="AG1025" s="19">
        <v>0</v>
      </c>
      <c r="AH1025" s="19">
        <v>0</v>
      </c>
      <c r="AI1025" s="19">
        <v>0</v>
      </c>
      <c r="AJ1025" s="19">
        <v>0</v>
      </c>
      <c r="AK1025" s="19">
        <v>0</v>
      </c>
      <c r="AL1025" s="19">
        <v>0</v>
      </c>
      <c r="AM1025" s="19">
        <v>0</v>
      </c>
      <c r="AN1025" s="19">
        <v>0</v>
      </c>
      <c r="AO1025" s="19">
        <v>0</v>
      </c>
      <c r="AP1025" s="19">
        <v>0</v>
      </c>
      <c r="AQ1025" s="19">
        <v>0</v>
      </c>
      <c r="AR1025" s="19">
        <v>0</v>
      </c>
    </row>
    <row r="1026" spans="1:44" x14ac:dyDescent="0.25">
      <c r="A1026" t="s">
        <v>250</v>
      </c>
      <c r="B1026" t="s">
        <v>386</v>
      </c>
      <c r="C1026" t="s">
        <v>44</v>
      </c>
      <c r="D1026" t="s">
        <v>191</v>
      </c>
      <c r="E1026" t="s">
        <v>134</v>
      </c>
      <c r="F1026" t="s">
        <v>387</v>
      </c>
      <c r="G1026" t="s">
        <v>31</v>
      </c>
      <c r="H1026" t="s">
        <v>288</v>
      </c>
      <c r="I1026" t="s">
        <v>135</v>
      </c>
      <c r="J1026" t="s">
        <v>39</v>
      </c>
      <c r="K1026" t="s">
        <v>33</v>
      </c>
      <c r="L1026">
        <v>0.115</v>
      </c>
      <c r="M1026">
        <v>1</v>
      </c>
      <c r="N1026" s="2">
        <v>2.7606638800723569</v>
      </c>
      <c r="O1026" s="2">
        <v>7.2695359336160141</v>
      </c>
      <c r="P1026" s="1">
        <v>-1.984349841954884</v>
      </c>
      <c r="Q1026" s="1">
        <v>1.4263152691032981</v>
      </c>
      <c r="R1026" s="1">
        <v>-2.869010584419021</v>
      </c>
      <c r="S1026" s="19">
        <v>0</v>
      </c>
      <c r="T1026" s="19">
        <v>0</v>
      </c>
      <c r="U1026" s="19">
        <v>0</v>
      </c>
      <c r="V1026" s="19">
        <v>0</v>
      </c>
      <c r="W1026" s="19">
        <v>0</v>
      </c>
      <c r="X1026" s="19">
        <v>0</v>
      </c>
      <c r="Y1026" s="19">
        <v>0</v>
      </c>
      <c r="Z1026" s="19">
        <v>0</v>
      </c>
      <c r="AA1026" s="19">
        <v>0</v>
      </c>
      <c r="AB1026" s="19">
        <v>0</v>
      </c>
      <c r="AC1026" s="19">
        <v>0</v>
      </c>
      <c r="AD1026" s="19">
        <v>0</v>
      </c>
      <c r="AE1026" s="19">
        <v>0</v>
      </c>
      <c r="AF1026" s="19">
        <v>0</v>
      </c>
      <c r="AG1026" s="19">
        <v>0</v>
      </c>
      <c r="AH1026" s="19">
        <v>0</v>
      </c>
      <c r="AI1026" s="19">
        <v>0</v>
      </c>
      <c r="AJ1026" s="19">
        <v>0</v>
      </c>
      <c r="AK1026" s="19">
        <v>0</v>
      </c>
      <c r="AL1026" s="19">
        <v>0</v>
      </c>
      <c r="AM1026" s="19">
        <v>0</v>
      </c>
      <c r="AN1026" s="19">
        <v>0</v>
      </c>
      <c r="AO1026" s="19">
        <v>0</v>
      </c>
      <c r="AP1026" s="19">
        <v>0</v>
      </c>
      <c r="AQ1026" s="19">
        <v>0</v>
      </c>
      <c r="AR1026" s="19">
        <v>0</v>
      </c>
    </row>
    <row r="1027" spans="1:44" x14ac:dyDescent="0.25">
      <c r="A1027" t="s">
        <v>250</v>
      </c>
      <c r="B1027" t="s">
        <v>386</v>
      </c>
      <c r="C1027" t="s">
        <v>44</v>
      </c>
      <c r="D1027" t="s">
        <v>191</v>
      </c>
      <c r="E1027" t="s">
        <v>134</v>
      </c>
      <c r="F1027" t="s">
        <v>387</v>
      </c>
      <c r="G1027" t="s">
        <v>31</v>
      </c>
      <c r="H1027" t="s">
        <v>274</v>
      </c>
      <c r="I1027" t="s">
        <v>135</v>
      </c>
      <c r="J1027" t="s">
        <v>39</v>
      </c>
      <c r="K1027" t="s">
        <v>33</v>
      </c>
      <c r="L1027">
        <v>0.115</v>
      </c>
      <c r="M1027">
        <v>1</v>
      </c>
      <c r="N1027" s="2">
        <v>2.7606638800723569</v>
      </c>
      <c r="O1027" s="2">
        <v>7.2695359336160141</v>
      </c>
      <c r="P1027" s="1">
        <v>-1.984349841954884</v>
      </c>
      <c r="Q1027" s="1">
        <v>1.4263152691032981</v>
      </c>
      <c r="R1027" s="1">
        <v>-2.869010584419021</v>
      </c>
      <c r="S1027" s="19">
        <v>0</v>
      </c>
      <c r="T1027" s="19">
        <v>0</v>
      </c>
      <c r="U1027" s="19">
        <v>0</v>
      </c>
      <c r="V1027" s="19">
        <v>0</v>
      </c>
      <c r="W1027" s="19">
        <v>0</v>
      </c>
      <c r="X1027" s="19">
        <v>0</v>
      </c>
      <c r="Y1027" s="19">
        <v>0</v>
      </c>
      <c r="Z1027" s="19">
        <v>0</v>
      </c>
      <c r="AA1027" s="19">
        <v>0</v>
      </c>
      <c r="AB1027" s="19">
        <v>0</v>
      </c>
      <c r="AC1027" s="19">
        <v>0</v>
      </c>
      <c r="AD1027" s="19">
        <v>0</v>
      </c>
      <c r="AE1027" s="19">
        <v>0</v>
      </c>
      <c r="AF1027" s="19">
        <v>0</v>
      </c>
      <c r="AG1027" s="19">
        <v>0</v>
      </c>
      <c r="AH1027" s="19">
        <v>0</v>
      </c>
      <c r="AI1027" s="19">
        <v>0</v>
      </c>
      <c r="AJ1027" s="19">
        <v>0</v>
      </c>
      <c r="AK1027" s="19">
        <v>0</v>
      </c>
      <c r="AL1027" s="19">
        <v>0</v>
      </c>
      <c r="AM1027" s="19">
        <v>0</v>
      </c>
      <c r="AN1027" s="19">
        <v>0</v>
      </c>
      <c r="AO1027" s="19">
        <v>0</v>
      </c>
      <c r="AP1027" s="19">
        <v>0</v>
      </c>
      <c r="AQ1027" s="19">
        <v>0</v>
      </c>
      <c r="AR1027" s="19">
        <v>0</v>
      </c>
    </row>
    <row r="1028" spans="1:44" x14ac:dyDescent="0.25">
      <c r="A1028" t="s">
        <v>250</v>
      </c>
      <c r="B1028" t="s">
        <v>386</v>
      </c>
      <c r="C1028" t="s">
        <v>44</v>
      </c>
      <c r="D1028" t="s">
        <v>191</v>
      </c>
      <c r="E1028" t="s">
        <v>134</v>
      </c>
      <c r="F1028" t="s">
        <v>387</v>
      </c>
      <c r="G1028" t="s">
        <v>31</v>
      </c>
      <c r="H1028" t="s">
        <v>253</v>
      </c>
      <c r="I1028" t="s">
        <v>256</v>
      </c>
      <c r="J1028" t="s">
        <v>39</v>
      </c>
      <c r="K1028" t="s">
        <v>31</v>
      </c>
      <c r="L1028">
        <v>0.115</v>
      </c>
      <c r="M1028">
        <v>1</v>
      </c>
      <c r="N1028" s="2">
        <v>1.7349881525253912</v>
      </c>
      <c r="O1028" s="2">
        <v>4.5686687213985717</v>
      </c>
      <c r="P1028" s="1">
        <v>-0.52141289060601304</v>
      </c>
      <c r="Q1028" s="1">
        <v>0.4672931329656026</v>
      </c>
      <c r="R1028" s="1">
        <v>-1.4060736330701491</v>
      </c>
      <c r="S1028" s="19">
        <v>0</v>
      </c>
      <c r="T1028" s="19">
        <v>0</v>
      </c>
      <c r="U1028" s="19">
        <v>0</v>
      </c>
      <c r="V1028" s="19">
        <v>0</v>
      </c>
      <c r="W1028" s="19">
        <v>0</v>
      </c>
      <c r="X1028" s="19">
        <v>0</v>
      </c>
      <c r="Y1028" s="19">
        <v>0</v>
      </c>
      <c r="Z1028" s="19">
        <v>0</v>
      </c>
      <c r="AA1028" s="19">
        <v>0</v>
      </c>
      <c r="AB1028" s="19">
        <v>0</v>
      </c>
      <c r="AC1028" s="19">
        <v>0</v>
      </c>
      <c r="AD1028" s="19">
        <v>0</v>
      </c>
      <c r="AE1028" s="19">
        <v>0</v>
      </c>
      <c r="AF1028" s="19">
        <v>0</v>
      </c>
      <c r="AG1028" s="19">
        <v>0</v>
      </c>
      <c r="AH1028" s="19">
        <v>0</v>
      </c>
      <c r="AI1028" s="19">
        <v>0</v>
      </c>
      <c r="AJ1028" s="19">
        <v>0</v>
      </c>
      <c r="AK1028" s="19">
        <v>0</v>
      </c>
      <c r="AL1028" s="19">
        <v>0</v>
      </c>
      <c r="AM1028" s="19">
        <v>0</v>
      </c>
      <c r="AN1028" s="19">
        <v>0</v>
      </c>
      <c r="AO1028" s="19">
        <v>0</v>
      </c>
      <c r="AP1028" s="19">
        <v>0</v>
      </c>
      <c r="AQ1028" s="19">
        <v>0</v>
      </c>
      <c r="AR1028" s="19">
        <v>0</v>
      </c>
    </row>
    <row r="1029" spans="1:44" x14ac:dyDescent="0.25">
      <c r="A1029" t="s">
        <v>250</v>
      </c>
      <c r="B1029" t="s">
        <v>386</v>
      </c>
      <c r="C1029" t="s">
        <v>44</v>
      </c>
      <c r="D1029" t="s">
        <v>191</v>
      </c>
      <c r="E1029" t="s">
        <v>134</v>
      </c>
      <c r="F1029" t="s">
        <v>387</v>
      </c>
      <c r="G1029" t="s">
        <v>31</v>
      </c>
      <c r="H1029" t="s">
        <v>272</v>
      </c>
      <c r="I1029" t="s">
        <v>135</v>
      </c>
      <c r="J1029" t="s">
        <v>40</v>
      </c>
      <c r="K1029" t="s">
        <v>31</v>
      </c>
      <c r="L1029">
        <v>0.115</v>
      </c>
      <c r="M1029">
        <v>1</v>
      </c>
      <c r="N1029" s="2">
        <v>2.7606638800723569</v>
      </c>
      <c r="O1029" s="2">
        <v>6.0327477208272802</v>
      </c>
      <c r="P1029" s="1">
        <v>-1.984349841954884</v>
      </c>
      <c r="Q1029" s="1">
        <v>0.4672931329656026</v>
      </c>
      <c r="R1029" s="1">
        <v>-2.7260105844190208</v>
      </c>
      <c r="S1029" s="19">
        <v>0</v>
      </c>
      <c r="T1029" s="19">
        <v>0</v>
      </c>
      <c r="U1029" s="19">
        <v>0</v>
      </c>
      <c r="V1029" s="19">
        <v>0</v>
      </c>
      <c r="W1029" s="19">
        <v>0</v>
      </c>
      <c r="X1029" s="19">
        <v>0</v>
      </c>
      <c r="Y1029" s="19">
        <v>0</v>
      </c>
      <c r="Z1029" s="19">
        <v>0</v>
      </c>
      <c r="AA1029" s="19">
        <v>0</v>
      </c>
      <c r="AB1029" s="19">
        <v>0</v>
      </c>
      <c r="AC1029" s="19">
        <v>0</v>
      </c>
      <c r="AD1029" s="19">
        <v>0</v>
      </c>
      <c r="AE1029" s="19">
        <v>0</v>
      </c>
      <c r="AF1029" s="19">
        <v>0</v>
      </c>
      <c r="AG1029" s="19">
        <v>0</v>
      </c>
      <c r="AH1029" s="19">
        <v>0</v>
      </c>
      <c r="AI1029" s="19">
        <v>0</v>
      </c>
      <c r="AJ1029" s="19">
        <v>0</v>
      </c>
      <c r="AK1029" s="19">
        <v>0</v>
      </c>
      <c r="AL1029" s="19">
        <v>0</v>
      </c>
      <c r="AM1029" s="19">
        <v>0</v>
      </c>
      <c r="AN1029" s="19">
        <v>0</v>
      </c>
      <c r="AO1029" s="19">
        <v>0</v>
      </c>
      <c r="AP1029" s="19">
        <v>0</v>
      </c>
      <c r="AQ1029" s="19">
        <v>0</v>
      </c>
      <c r="AR1029" s="19">
        <v>0</v>
      </c>
    </row>
    <row r="1030" spans="1:44" x14ac:dyDescent="0.25">
      <c r="A1030" t="s">
        <v>250</v>
      </c>
      <c r="B1030" t="s">
        <v>386</v>
      </c>
      <c r="C1030" t="s">
        <v>44</v>
      </c>
      <c r="D1030" t="s">
        <v>191</v>
      </c>
      <c r="E1030" t="s">
        <v>134</v>
      </c>
      <c r="F1030" t="s">
        <v>387</v>
      </c>
      <c r="G1030" t="s">
        <v>31</v>
      </c>
      <c r="H1030" t="s">
        <v>277</v>
      </c>
      <c r="I1030" t="s">
        <v>135</v>
      </c>
      <c r="J1030" t="s">
        <v>40</v>
      </c>
      <c r="K1030" t="s">
        <v>31</v>
      </c>
      <c r="L1030">
        <v>0.115</v>
      </c>
      <c r="M1030">
        <v>1</v>
      </c>
      <c r="N1030" s="2">
        <v>2.7606638800723569</v>
      </c>
      <c r="O1030" s="2">
        <v>6.0327477208272802</v>
      </c>
      <c r="P1030" s="1">
        <v>-1.984349841954884</v>
      </c>
      <c r="Q1030" s="1">
        <v>0.4672931329656026</v>
      </c>
      <c r="R1030" s="1">
        <v>-2.7260105844190208</v>
      </c>
      <c r="S1030" s="19">
        <v>0</v>
      </c>
      <c r="T1030" s="19">
        <v>0</v>
      </c>
      <c r="U1030" s="19">
        <v>0</v>
      </c>
      <c r="V1030" s="19">
        <v>0</v>
      </c>
      <c r="W1030" s="19">
        <v>0</v>
      </c>
      <c r="X1030" s="19">
        <v>0</v>
      </c>
      <c r="Y1030" s="19">
        <v>0</v>
      </c>
      <c r="Z1030" s="19">
        <v>0</v>
      </c>
      <c r="AA1030" s="19">
        <v>0</v>
      </c>
      <c r="AB1030" s="19">
        <v>0</v>
      </c>
      <c r="AC1030" s="19">
        <v>0</v>
      </c>
      <c r="AD1030" s="19">
        <v>0</v>
      </c>
      <c r="AE1030" s="19">
        <v>0</v>
      </c>
      <c r="AF1030" s="19">
        <v>0</v>
      </c>
      <c r="AG1030" s="19">
        <v>0</v>
      </c>
      <c r="AH1030" s="19">
        <v>0</v>
      </c>
      <c r="AI1030" s="19">
        <v>0</v>
      </c>
      <c r="AJ1030" s="19">
        <v>0</v>
      </c>
      <c r="AK1030" s="19">
        <v>0</v>
      </c>
      <c r="AL1030" s="19">
        <v>0</v>
      </c>
      <c r="AM1030" s="19">
        <v>0</v>
      </c>
      <c r="AN1030" s="19">
        <v>0</v>
      </c>
      <c r="AO1030" s="19">
        <v>0</v>
      </c>
      <c r="AP1030" s="19">
        <v>0</v>
      </c>
      <c r="AQ1030" s="19">
        <v>0</v>
      </c>
      <c r="AR1030" s="19">
        <v>0</v>
      </c>
    </row>
    <row r="1031" spans="1:44" x14ac:dyDescent="0.25">
      <c r="A1031" t="s">
        <v>250</v>
      </c>
      <c r="B1031" t="s">
        <v>386</v>
      </c>
      <c r="C1031" t="s">
        <v>44</v>
      </c>
      <c r="D1031" t="s">
        <v>191</v>
      </c>
      <c r="E1031" t="s">
        <v>134</v>
      </c>
      <c r="F1031" t="s">
        <v>387</v>
      </c>
      <c r="G1031" t="s">
        <v>31</v>
      </c>
      <c r="H1031" t="s">
        <v>253</v>
      </c>
      <c r="I1031" t="s">
        <v>135</v>
      </c>
      <c r="J1031" t="s">
        <v>40</v>
      </c>
      <c r="K1031" t="s">
        <v>31</v>
      </c>
      <c r="L1031">
        <v>0.115</v>
      </c>
      <c r="M1031">
        <v>1</v>
      </c>
      <c r="N1031" s="2">
        <v>2.7606638800723569</v>
      </c>
      <c r="O1031" s="2">
        <v>6.0327477208272802</v>
      </c>
      <c r="P1031" s="1">
        <v>-1.984349841954884</v>
      </c>
      <c r="Q1031" s="1">
        <v>0.4672931329656026</v>
      </c>
      <c r="R1031" s="1">
        <v>-2.7260105844190208</v>
      </c>
      <c r="S1031" s="19">
        <v>0</v>
      </c>
      <c r="T1031" s="19">
        <v>0</v>
      </c>
      <c r="U1031" s="19">
        <v>0</v>
      </c>
      <c r="V1031" s="19">
        <v>0</v>
      </c>
      <c r="W1031" s="19">
        <v>0</v>
      </c>
      <c r="X1031" s="19">
        <v>0</v>
      </c>
      <c r="Y1031" s="19">
        <v>0</v>
      </c>
      <c r="Z1031" s="19">
        <v>0</v>
      </c>
      <c r="AA1031" s="19">
        <v>0</v>
      </c>
      <c r="AB1031" s="19">
        <v>0</v>
      </c>
      <c r="AC1031" s="19">
        <v>0</v>
      </c>
      <c r="AD1031" s="19">
        <v>0</v>
      </c>
      <c r="AE1031" s="19">
        <v>0</v>
      </c>
      <c r="AF1031" s="19">
        <v>0</v>
      </c>
      <c r="AG1031" s="19">
        <v>0</v>
      </c>
      <c r="AH1031" s="19">
        <v>0</v>
      </c>
      <c r="AI1031" s="19">
        <v>0</v>
      </c>
      <c r="AJ1031" s="19">
        <v>0</v>
      </c>
      <c r="AK1031" s="19">
        <v>0</v>
      </c>
      <c r="AL1031" s="19">
        <v>0</v>
      </c>
      <c r="AM1031" s="19">
        <v>0</v>
      </c>
      <c r="AN1031" s="19">
        <v>0</v>
      </c>
      <c r="AO1031" s="19">
        <v>0</v>
      </c>
      <c r="AP1031" s="19">
        <v>0</v>
      </c>
      <c r="AQ1031" s="19">
        <v>0</v>
      </c>
      <c r="AR1031" s="19">
        <v>0</v>
      </c>
    </row>
    <row r="1032" spans="1:44" x14ac:dyDescent="0.25">
      <c r="A1032" t="s">
        <v>250</v>
      </c>
      <c r="B1032" t="s">
        <v>388</v>
      </c>
      <c r="C1032" t="s">
        <v>44</v>
      </c>
      <c r="D1032" t="s">
        <v>212</v>
      </c>
      <c r="E1032" t="s">
        <v>134</v>
      </c>
      <c r="F1032" t="s">
        <v>212</v>
      </c>
      <c r="G1032" t="s">
        <v>31</v>
      </c>
      <c r="H1032" t="s">
        <v>288</v>
      </c>
      <c r="I1032" t="s">
        <v>135</v>
      </c>
      <c r="J1032" t="s">
        <v>39</v>
      </c>
      <c r="K1032" t="s">
        <v>31</v>
      </c>
      <c r="L1032">
        <v>0.19</v>
      </c>
      <c r="M1032">
        <v>1</v>
      </c>
      <c r="N1032" s="2">
        <v>4.850758436844905</v>
      </c>
      <c r="O1032" s="2">
        <v>6.9281219368152529</v>
      </c>
      <c r="P1032" s="1">
        <v>-2.4521156710348886</v>
      </c>
      <c r="Q1032" s="1">
        <v>0.77362100319819394</v>
      </c>
      <c r="R1032" s="1">
        <v>-2.6840821475939207</v>
      </c>
      <c r="S1032" s="19">
        <v>2.4685137082364204</v>
      </c>
      <c r="T1032" s="19">
        <v>4.9195937973111965</v>
      </c>
      <c r="U1032" s="19">
        <v>8.7087566830640881</v>
      </c>
      <c r="V1032" s="19">
        <v>14.12348841830085</v>
      </c>
      <c r="W1032" s="19">
        <v>21.373170310882713</v>
      </c>
      <c r="X1032" s="19">
        <v>30.519114013728625</v>
      </c>
      <c r="Y1032" s="19">
        <v>41.38983314222579</v>
      </c>
      <c r="Z1032" s="19">
        <v>53.49520418690318</v>
      </c>
      <c r="AA1032" s="19">
        <v>65.96585474290049</v>
      </c>
      <c r="AB1032" s="19">
        <v>77.556044787176731</v>
      </c>
      <c r="AC1032" s="19">
        <v>86.751803533985708</v>
      </c>
      <c r="AD1032" s="19">
        <v>92.010722737953628</v>
      </c>
      <c r="AE1032" s="19">
        <v>92.117670781932645</v>
      </c>
      <c r="AF1032" s="19">
        <v>86.575930720306687</v>
      </c>
      <c r="AG1032" s="19">
        <v>75.891247552965993</v>
      </c>
      <c r="AH1032" s="19">
        <v>62.572939519993646</v>
      </c>
      <c r="AI1032" s="19">
        <v>47.706345242272789</v>
      </c>
      <c r="AJ1032" s="19">
        <v>31.494979452783127</v>
      </c>
      <c r="AK1032" s="19">
        <v>0</v>
      </c>
      <c r="AL1032" s="19">
        <v>0</v>
      </c>
      <c r="AM1032" s="19">
        <v>0</v>
      </c>
      <c r="AN1032" s="19">
        <v>0</v>
      </c>
      <c r="AO1032" s="19">
        <v>0</v>
      </c>
      <c r="AP1032" s="19">
        <v>0</v>
      </c>
      <c r="AQ1032" s="19">
        <v>0</v>
      </c>
      <c r="AR1032" s="19">
        <v>895.64121333292428</v>
      </c>
    </row>
    <row r="1033" spans="1:44" x14ac:dyDescent="0.25">
      <c r="A1033" t="s">
        <v>250</v>
      </c>
      <c r="B1033" t="s">
        <v>388</v>
      </c>
      <c r="C1033" t="s">
        <v>44</v>
      </c>
      <c r="D1033" t="s">
        <v>212</v>
      </c>
      <c r="E1033" t="s">
        <v>134</v>
      </c>
      <c r="F1033" t="s">
        <v>212</v>
      </c>
      <c r="G1033" t="s">
        <v>31</v>
      </c>
      <c r="H1033" t="s">
        <v>289</v>
      </c>
      <c r="I1033" t="s">
        <v>135</v>
      </c>
      <c r="J1033" t="s">
        <v>39</v>
      </c>
      <c r="K1033" t="s">
        <v>31</v>
      </c>
      <c r="L1033">
        <v>0.19</v>
      </c>
      <c r="M1033">
        <v>1</v>
      </c>
      <c r="N1033" s="2">
        <v>4.850758436844905</v>
      </c>
      <c r="O1033" s="2">
        <v>6.9281219368152529</v>
      </c>
      <c r="P1033" s="1">
        <v>-2.4521156710348886</v>
      </c>
      <c r="Q1033" s="1">
        <v>0.77362100319819394</v>
      </c>
      <c r="R1033" s="1">
        <v>-2.6840821475939207</v>
      </c>
      <c r="S1033" s="19">
        <v>2.3462152740864268</v>
      </c>
      <c r="T1033" s="19">
        <v>4.6758606488754832</v>
      </c>
      <c r="U1033" s="19">
        <v>8.2772957184446341</v>
      </c>
      <c r="V1033" s="19">
        <v>13.423763513986753</v>
      </c>
      <c r="W1033" s="19">
        <v>20.314271892323983</v>
      </c>
      <c r="X1033" s="19">
        <v>29.007094921806829</v>
      </c>
      <c r="Y1033" s="19">
        <v>39.339242227484569</v>
      </c>
      <c r="Z1033" s="19">
        <v>50.844872659570271</v>
      </c>
      <c r="AA1033" s="19">
        <v>62.697685432961201</v>
      </c>
      <c r="AB1033" s="19">
        <v>73.71365865632761</v>
      </c>
      <c r="AC1033" s="19">
        <v>82.453828725705549</v>
      </c>
      <c r="AD1033" s="19">
        <v>87.452203464467303</v>
      </c>
      <c r="AE1033" s="19">
        <v>87.5538529442656</v>
      </c>
      <c r="AF1033" s="19">
        <v>82.28666924007112</v>
      </c>
      <c r="AG1033" s="19">
        <v>72.131341051151125</v>
      </c>
      <c r="AH1033" s="19">
        <v>59.472866590309685</v>
      </c>
      <c r="AI1033" s="19">
        <v>45.342813169235519</v>
      </c>
      <c r="AJ1033" s="19">
        <v>29.934612719631367</v>
      </c>
      <c r="AK1033" s="19">
        <v>0</v>
      </c>
      <c r="AL1033" s="19">
        <v>0</v>
      </c>
      <c r="AM1033" s="19">
        <v>0</v>
      </c>
      <c r="AN1033" s="19">
        <v>0</v>
      </c>
      <c r="AO1033" s="19">
        <v>0</v>
      </c>
      <c r="AP1033" s="19">
        <v>0</v>
      </c>
      <c r="AQ1033" s="19">
        <v>0</v>
      </c>
      <c r="AR1033" s="19">
        <v>851.26814885070496</v>
      </c>
    </row>
    <row r="1034" spans="1:44" x14ac:dyDescent="0.25">
      <c r="A1034" t="s">
        <v>250</v>
      </c>
      <c r="B1034" t="s">
        <v>388</v>
      </c>
      <c r="C1034" t="s">
        <v>44</v>
      </c>
      <c r="D1034" t="s">
        <v>212</v>
      </c>
      <c r="E1034" t="s">
        <v>134</v>
      </c>
      <c r="F1034" t="s">
        <v>212</v>
      </c>
      <c r="G1034" t="s">
        <v>31</v>
      </c>
      <c r="H1034" t="s">
        <v>290</v>
      </c>
      <c r="I1034" t="s">
        <v>135</v>
      </c>
      <c r="J1034" t="s">
        <v>39</v>
      </c>
      <c r="K1034" t="s">
        <v>31</v>
      </c>
      <c r="L1034">
        <v>0.19</v>
      </c>
      <c r="M1034">
        <v>1</v>
      </c>
      <c r="N1034" s="2">
        <v>4.850758436844905</v>
      </c>
      <c r="O1034" s="2">
        <v>6.9281219368152529</v>
      </c>
      <c r="P1034" s="1">
        <v>-2.4521156710348886</v>
      </c>
      <c r="Q1034" s="1">
        <v>0.77362100319819394</v>
      </c>
      <c r="R1034" s="1">
        <v>-2.6840821475939207</v>
      </c>
      <c r="S1034" s="19">
        <v>3.3974795168815186</v>
      </c>
      <c r="T1034" s="19">
        <v>6.7709646910096755</v>
      </c>
      <c r="U1034" s="19">
        <v>11.98608796438635</v>
      </c>
      <c r="V1034" s="19">
        <v>19.438523856678056</v>
      </c>
      <c r="W1034" s="19">
        <v>29.416449298927507</v>
      </c>
      <c r="X1034" s="19">
        <v>42.004249111135195</v>
      </c>
      <c r="Y1034" s="19">
        <v>56.965902129147914</v>
      </c>
      <c r="Z1034" s="19">
        <v>73.626838639775968</v>
      </c>
      <c r="AA1034" s="19">
        <v>90.79051882709706</v>
      </c>
      <c r="AB1034" s="19">
        <v>106.742398349097</v>
      </c>
      <c r="AC1034" s="19">
        <v>119.39875989986513</v>
      </c>
      <c r="AD1034" s="19">
        <v>126.63674695936608</v>
      </c>
      <c r="AE1034" s="19">
        <v>126.78394232942895</v>
      </c>
      <c r="AF1034" s="19">
        <v>119.15670157948506</v>
      </c>
      <c r="AG1034" s="19">
        <v>104.45109468563352</v>
      </c>
      <c r="AH1034" s="19">
        <v>86.120761501513073</v>
      </c>
      <c r="AI1034" s="19">
        <v>65.659481754183005</v>
      </c>
      <c r="AJ1034" s="19">
        <v>43.347358055338034</v>
      </c>
      <c r="AK1034" s="19">
        <v>0</v>
      </c>
      <c r="AL1034" s="19">
        <v>0</v>
      </c>
      <c r="AM1034" s="19">
        <v>0</v>
      </c>
      <c r="AN1034" s="19">
        <v>0</v>
      </c>
      <c r="AO1034" s="19">
        <v>0</v>
      </c>
      <c r="AP1034" s="19">
        <v>0</v>
      </c>
      <c r="AQ1034" s="19">
        <v>0</v>
      </c>
      <c r="AR1034" s="19">
        <v>1232.694259148949</v>
      </c>
    </row>
    <row r="1035" spans="1:44" x14ac:dyDescent="0.25">
      <c r="A1035" t="s">
        <v>250</v>
      </c>
      <c r="B1035" t="s">
        <v>388</v>
      </c>
      <c r="C1035" t="s">
        <v>44</v>
      </c>
      <c r="D1035" t="s">
        <v>212</v>
      </c>
      <c r="E1035" t="s">
        <v>134</v>
      </c>
      <c r="F1035" t="s">
        <v>212</v>
      </c>
      <c r="G1035" t="s">
        <v>31</v>
      </c>
      <c r="H1035" t="s">
        <v>272</v>
      </c>
      <c r="I1035" t="s">
        <v>135</v>
      </c>
      <c r="J1035" t="s">
        <v>39</v>
      </c>
      <c r="K1035" t="s">
        <v>31</v>
      </c>
      <c r="L1035">
        <v>0.19</v>
      </c>
      <c r="M1035">
        <v>1</v>
      </c>
      <c r="N1035" s="2">
        <v>4.850758436844905</v>
      </c>
      <c r="O1035" s="2">
        <v>6.9281219368152529</v>
      </c>
      <c r="P1035" s="1">
        <v>-2.4521156710348886</v>
      </c>
      <c r="Q1035" s="1">
        <v>0.77362100319819394</v>
      </c>
      <c r="R1035" s="1">
        <v>-2.6840821475939207</v>
      </c>
      <c r="S1035" s="19">
        <v>1.3779379748194955</v>
      </c>
      <c r="T1035" s="19">
        <v>2.7417373550046222</v>
      </c>
      <c r="U1035" s="19">
        <v>4.8456856689981693</v>
      </c>
      <c r="V1035" s="19">
        <v>7.8459139052785325</v>
      </c>
      <c r="W1035" s="19">
        <v>11.854220044856612</v>
      </c>
      <c r="X1035" s="19">
        <v>16.899678316287236</v>
      </c>
      <c r="Y1035" s="19">
        <v>22.882457793076956</v>
      </c>
      <c r="Z1035" s="19">
        <v>29.52747578294554</v>
      </c>
      <c r="AA1035" s="19">
        <v>36.352404707995738</v>
      </c>
      <c r="AB1035" s="19">
        <v>42.670927361839567</v>
      </c>
      <c r="AC1035" s="19">
        <v>47.653786979314901</v>
      </c>
      <c r="AD1035" s="19">
        <v>50.461461757948371</v>
      </c>
      <c r="AE1035" s="19">
        <v>50.439039887508557</v>
      </c>
      <c r="AF1035" s="19">
        <v>47.328583877895952</v>
      </c>
      <c r="AG1035" s="19">
        <v>41.420993485059952</v>
      </c>
      <c r="AH1035" s="19">
        <v>34.097132305616128</v>
      </c>
      <c r="AI1035" s="19">
        <v>25.954335968301987</v>
      </c>
      <c r="AJ1035" s="19">
        <v>6.6934031313343763</v>
      </c>
      <c r="AK1035" s="19">
        <v>0</v>
      </c>
      <c r="AL1035" s="19">
        <v>0</v>
      </c>
      <c r="AM1035" s="19">
        <v>0</v>
      </c>
      <c r="AN1035" s="19">
        <v>0</v>
      </c>
      <c r="AO1035" s="19">
        <v>0</v>
      </c>
      <c r="AP1035" s="19">
        <v>0</v>
      </c>
      <c r="AQ1035" s="19">
        <v>0</v>
      </c>
      <c r="AR1035" s="19">
        <v>481.04717630408265</v>
      </c>
    </row>
    <row r="1036" spans="1:44" x14ac:dyDescent="0.25">
      <c r="A1036" t="s">
        <v>250</v>
      </c>
      <c r="B1036" t="s">
        <v>388</v>
      </c>
      <c r="C1036" t="s">
        <v>44</v>
      </c>
      <c r="D1036" t="s">
        <v>212</v>
      </c>
      <c r="E1036" t="s">
        <v>134</v>
      </c>
      <c r="F1036" t="s">
        <v>212</v>
      </c>
      <c r="G1036" t="s">
        <v>31</v>
      </c>
      <c r="H1036" t="s">
        <v>273</v>
      </c>
      <c r="I1036" t="s">
        <v>135</v>
      </c>
      <c r="J1036" t="s">
        <v>39</v>
      </c>
      <c r="K1036" t="s">
        <v>31</v>
      </c>
      <c r="L1036">
        <v>0.19</v>
      </c>
      <c r="M1036">
        <v>1</v>
      </c>
      <c r="N1036" s="2">
        <v>4.850758436844905</v>
      </c>
      <c r="O1036" s="2">
        <v>6.9281219368152529</v>
      </c>
      <c r="P1036" s="1">
        <v>-2.4521156710348886</v>
      </c>
      <c r="Q1036" s="1">
        <v>0.77362100319819394</v>
      </c>
      <c r="R1036" s="1">
        <v>-2.6840821475939207</v>
      </c>
      <c r="S1036" s="19">
        <v>0.41442386794636554</v>
      </c>
      <c r="T1036" s="19">
        <v>0.82459546098429859</v>
      </c>
      <c r="U1036" s="19">
        <v>1.4573716919744193</v>
      </c>
      <c r="V1036" s="19">
        <v>2.3597099779659105</v>
      </c>
      <c r="W1036" s="19">
        <v>3.5652342937426886</v>
      </c>
      <c r="X1036" s="19">
        <v>5.0826889039055061</v>
      </c>
      <c r="Y1036" s="19">
        <v>6.8820490036706108</v>
      </c>
      <c r="Z1036" s="19">
        <v>8.8805816722366711</v>
      </c>
      <c r="AA1036" s="19">
        <v>10.933223732521601</v>
      </c>
      <c r="AB1036" s="19">
        <v>12.833560791056987</v>
      </c>
      <c r="AC1036" s="19">
        <v>14.33218844617941</v>
      </c>
      <c r="AD1036" s="19">
        <v>15.176615019043956</v>
      </c>
      <c r="AE1036" s="19">
        <v>15.169871494702466</v>
      </c>
      <c r="AF1036" s="19">
        <v>14.234381484167312</v>
      </c>
      <c r="AG1036" s="19">
        <v>12.457634993700209</v>
      </c>
      <c r="AH1036" s="19">
        <v>10.254935791158134</v>
      </c>
      <c r="AI1036" s="19">
        <v>7.8059364779261484</v>
      </c>
      <c r="AJ1036" s="19">
        <v>2.0130848166625253</v>
      </c>
      <c r="AK1036" s="19">
        <v>0</v>
      </c>
      <c r="AL1036" s="19">
        <v>0</v>
      </c>
      <c r="AM1036" s="19">
        <v>0</v>
      </c>
      <c r="AN1036" s="19">
        <v>0</v>
      </c>
      <c r="AO1036" s="19">
        <v>0</v>
      </c>
      <c r="AP1036" s="19">
        <v>0</v>
      </c>
      <c r="AQ1036" s="19">
        <v>0</v>
      </c>
      <c r="AR1036" s="19">
        <v>144.67808791954519</v>
      </c>
    </row>
    <row r="1037" spans="1:44" x14ac:dyDescent="0.25">
      <c r="A1037" t="s">
        <v>250</v>
      </c>
      <c r="B1037" t="s">
        <v>388</v>
      </c>
      <c r="C1037" t="s">
        <v>44</v>
      </c>
      <c r="D1037" t="s">
        <v>212</v>
      </c>
      <c r="E1037" t="s">
        <v>134</v>
      </c>
      <c r="F1037" t="s">
        <v>212</v>
      </c>
      <c r="G1037" t="s">
        <v>31</v>
      </c>
      <c r="H1037" t="s">
        <v>274</v>
      </c>
      <c r="I1037" t="s">
        <v>135</v>
      </c>
      <c r="J1037" t="s">
        <v>39</v>
      </c>
      <c r="K1037" t="s">
        <v>31</v>
      </c>
      <c r="L1037">
        <v>0.19</v>
      </c>
      <c r="M1037">
        <v>1</v>
      </c>
      <c r="N1037" s="2">
        <v>4.850758436844905</v>
      </c>
      <c r="O1037" s="2">
        <v>6.9281219368152529</v>
      </c>
      <c r="P1037" s="1">
        <v>-2.4521156710348886</v>
      </c>
      <c r="Q1037" s="1">
        <v>0.77362100319819394</v>
      </c>
      <c r="R1037" s="1">
        <v>-2.6840821475939207</v>
      </c>
      <c r="S1037" s="19">
        <v>0.65237737920845262</v>
      </c>
      <c r="T1037" s="19">
        <v>1.2980609162543295</v>
      </c>
      <c r="U1037" s="19">
        <v>2.2941640153455309</v>
      </c>
      <c r="V1037" s="19">
        <v>3.7146060596024064</v>
      </c>
      <c r="W1037" s="19">
        <v>5.6123172063945121</v>
      </c>
      <c r="X1037" s="19">
        <v>8.0010624940426727</v>
      </c>
      <c r="Y1037" s="19">
        <v>10.833577503262502</v>
      </c>
      <c r="Z1037" s="19">
        <v>13.97962580169289</v>
      </c>
      <c r="AA1037" s="19">
        <v>17.210851972080899</v>
      </c>
      <c r="AB1037" s="19">
        <v>20.20232279639275</v>
      </c>
      <c r="AC1037" s="19">
        <v>22.561431085456363</v>
      </c>
      <c r="AD1037" s="19">
        <v>23.890709722975959</v>
      </c>
      <c r="AE1037" s="19">
        <v>23.880094208096644</v>
      </c>
      <c r="AF1037" s="19">
        <v>22.407465412914419</v>
      </c>
      <c r="AG1037" s="19">
        <v>19.610548274158415</v>
      </c>
      <c r="AH1037" s="19">
        <v>16.143105291060451</v>
      </c>
      <c r="AI1037" s="19">
        <v>12.28794182866943</v>
      </c>
      <c r="AJ1037" s="19">
        <v>3.1689559853937026</v>
      </c>
      <c r="AK1037" s="19">
        <v>0</v>
      </c>
      <c r="AL1037" s="19">
        <v>0</v>
      </c>
      <c r="AM1037" s="19">
        <v>0</v>
      </c>
      <c r="AN1037" s="19">
        <v>0</v>
      </c>
      <c r="AO1037" s="19">
        <v>0</v>
      </c>
      <c r="AP1037" s="19">
        <v>0</v>
      </c>
      <c r="AQ1037" s="19">
        <v>0</v>
      </c>
      <c r="AR1037" s="19">
        <v>227.74921795300233</v>
      </c>
    </row>
    <row r="1038" spans="1:44" x14ac:dyDescent="0.25">
      <c r="A1038" t="s">
        <v>250</v>
      </c>
      <c r="B1038" t="s">
        <v>388</v>
      </c>
      <c r="C1038" t="s">
        <v>44</v>
      </c>
      <c r="D1038" t="s">
        <v>212</v>
      </c>
      <c r="E1038" t="s">
        <v>134</v>
      </c>
      <c r="F1038" t="s">
        <v>212</v>
      </c>
      <c r="G1038" t="s">
        <v>31</v>
      </c>
      <c r="H1038" t="s">
        <v>275</v>
      </c>
      <c r="I1038" t="s">
        <v>135</v>
      </c>
      <c r="J1038" t="s">
        <v>39</v>
      </c>
      <c r="K1038" t="s">
        <v>31</v>
      </c>
      <c r="L1038">
        <v>0.19</v>
      </c>
      <c r="M1038">
        <v>1</v>
      </c>
      <c r="N1038" s="2">
        <v>4.850758436844905</v>
      </c>
      <c r="O1038" s="2">
        <v>6.9281219368152529</v>
      </c>
      <c r="P1038" s="1">
        <v>-2.4521156710348886</v>
      </c>
      <c r="Q1038" s="1">
        <v>0.77362100319819394</v>
      </c>
      <c r="R1038" s="1">
        <v>-2.6840821475939207</v>
      </c>
      <c r="S1038" s="19">
        <v>0.99662870159581429</v>
      </c>
      <c r="T1038" s="19">
        <v>1.9830313048691055</v>
      </c>
      <c r="U1038" s="19">
        <v>3.5047654574348415</v>
      </c>
      <c r="V1038" s="19">
        <v>5.6747568694262931</v>
      </c>
      <c r="W1038" s="19">
        <v>8.5738662752829224</v>
      </c>
      <c r="X1038" s="19">
        <v>12.223122350593906</v>
      </c>
      <c r="Y1038" s="19">
        <v>16.55031983759843</v>
      </c>
      <c r="Z1038" s="19">
        <v>21.356498179690419</v>
      </c>
      <c r="AA1038" s="19">
        <v>26.292801683443933</v>
      </c>
      <c r="AB1038" s="19">
        <v>30.862833966158995</v>
      </c>
      <c r="AC1038" s="19">
        <v>34.466813972188802</v>
      </c>
      <c r="AD1038" s="19">
        <v>36.497536196459706</v>
      </c>
      <c r="AE1038" s="19">
        <v>36.481319008144894</v>
      </c>
      <c r="AF1038" s="19">
        <v>34.231602554371129</v>
      </c>
      <c r="AG1038" s="19">
        <v>29.958787485504693</v>
      </c>
      <c r="AH1038" s="19">
        <v>24.661618533547152</v>
      </c>
      <c r="AI1038" s="19">
        <v>18.772133891047456</v>
      </c>
      <c r="AJ1038" s="19">
        <v>4.841174126805674</v>
      </c>
      <c r="AK1038" s="19">
        <v>0</v>
      </c>
      <c r="AL1038" s="19">
        <v>0</v>
      </c>
      <c r="AM1038" s="19">
        <v>0</v>
      </c>
      <c r="AN1038" s="19">
        <v>0</v>
      </c>
      <c r="AO1038" s="19">
        <v>0</v>
      </c>
      <c r="AP1038" s="19">
        <v>0</v>
      </c>
      <c r="AQ1038" s="19">
        <v>0</v>
      </c>
      <c r="AR1038" s="19">
        <v>347.92961039416417</v>
      </c>
    </row>
    <row r="1039" spans="1:44" x14ac:dyDescent="0.25">
      <c r="A1039" t="s">
        <v>250</v>
      </c>
      <c r="B1039" t="s">
        <v>388</v>
      </c>
      <c r="C1039" t="s">
        <v>44</v>
      </c>
      <c r="D1039" t="s">
        <v>212</v>
      </c>
      <c r="E1039" t="s">
        <v>134</v>
      </c>
      <c r="F1039" t="s">
        <v>212</v>
      </c>
      <c r="G1039" t="s">
        <v>31</v>
      </c>
      <c r="H1039" t="s">
        <v>276</v>
      </c>
      <c r="I1039" t="s">
        <v>135</v>
      </c>
      <c r="J1039" t="s">
        <v>39</v>
      </c>
      <c r="K1039" t="s">
        <v>31</v>
      </c>
      <c r="L1039">
        <v>0.19</v>
      </c>
      <c r="M1039">
        <v>1</v>
      </c>
      <c r="N1039" s="2">
        <v>4.850758436844905</v>
      </c>
      <c r="O1039" s="2">
        <v>6.9281219368152529</v>
      </c>
      <c r="P1039" s="1">
        <v>-2.4521156710348886</v>
      </c>
      <c r="Q1039" s="1">
        <v>0.77362100319819394</v>
      </c>
      <c r="R1039" s="1">
        <v>-2.6840821475939207</v>
      </c>
      <c r="S1039" s="19">
        <v>4.7483149954343027</v>
      </c>
      <c r="T1039" s="19">
        <v>9.4716379274287696</v>
      </c>
      <c r="U1039" s="19">
        <v>16.782005680862106</v>
      </c>
      <c r="V1039" s="19">
        <v>27.240906113307727</v>
      </c>
      <c r="W1039" s="19">
        <v>41.261060110122138</v>
      </c>
      <c r="X1039" s="19">
        <v>58.970555869885729</v>
      </c>
      <c r="Y1039" s="19">
        <v>80.047696663824979</v>
      </c>
      <c r="Z1039" s="19">
        <v>103.5528075391818</v>
      </c>
      <c r="AA1039" s="19">
        <v>127.8080141546243</v>
      </c>
      <c r="AB1039" s="19">
        <v>150.39950604695147</v>
      </c>
      <c r="AC1039" s="19">
        <v>168.38412087218629</v>
      </c>
      <c r="AD1039" s="19">
        <v>178.75283066046657</v>
      </c>
      <c r="AE1039" s="19">
        <v>179.12215199957129</v>
      </c>
      <c r="AF1039" s="19">
        <v>168.49824563782025</v>
      </c>
      <c r="AG1039" s="19">
        <v>147.83653359047665</v>
      </c>
      <c r="AH1039" s="19">
        <v>122.0024355279262</v>
      </c>
      <c r="AI1039" s="19">
        <v>93.100058551360476</v>
      </c>
      <c r="AJ1039" s="19">
        <v>64.318533527355669</v>
      </c>
      <c r="AK1039" s="19">
        <v>18.229996190409967</v>
      </c>
      <c r="AL1039" s="19">
        <v>0</v>
      </c>
      <c r="AM1039" s="19">
        <v>0</v>
      </c>
      <c r="AN1039" s="19">
        <v>0</v>
      </c>
      <c r="AO1039" s="19">
        <v>0</v>
      </c>
      <c r="AP1039" s="19">
        <v>0</v>
      </c>
      <c r="AQ1039" s="19">
        <v>0</v>
      </c>
      <c r="AR1039" s="19">
        <v>1760.5274116591966</v>
      </c>
    </row>
    <row r="1040" spans="1:44" x14ac:dyDescent="0.25">
      <c r="A1040" t="s">
        <v>250</v>
      </c>
      <c r="B1040" t="s">
        <v>388</v>
      </c>
      <c r="C1040" t="s">
        <v>44</v>
      </c>
      <c r="D1040" t="s">
        <v>212</v>
      </c>
      <c r="E1040" t="s">
        <v>134</v>
      </c>
      <c r="F1040" t="s">
        <v>212</v>
      </c>
      <c r="G1040" t="s">
        <v>31</v>
      </c>
      <c r="H1040" t="s">
        <v>277</v>
      </c>
      <c r="I1040" t="s">
        <v>135</v>
      </c>
      <c r="J1040" t="s">
        <v>39</v>
      </c>
      <c r="K1040" t="s">
        <v>31</v>
      </c>
      <c r="L1040">
        <v>0.19</v>
      </c>
      <c r="M1040">
        <v>1</v>
      </c>
      <c r="N1040" s="2">
        <v>4.850758436844905</v>
      </c>
      <c r="O1040" s="2">
        <v>6.9281219368152529</v>
      </c>
      <c r="P1040" s="1">
        <v>-2.4521156710348886</v>
      </c>
      <c r="Q1040" s="1">
        <v>0.77362100319819394</v>
      </c>
      <c r="R1040" s="1">
        <v>-2.6840821475939207</v>
      </c>
      <c r="S1040" s="19">
        <v>2.7391502168289832</v>
      </c>
      <c r="T1040" s="19">
        <v>5.4495378161573838</v>
      </c>
      <c r="U1040" s="19">
        <v>9.6302309178738685</v>
      </c>
      <c r="V1040" s="19">
        <v>15.590952235444975</v>
      </c>
      <c r="W1040" s="19">
        <v>23.553189598824328</v>
      </c>
      <c r="X1040" s="19">
        <v>33.573979590655767</v>
      </c>
      <c r="Y1040" s="19">
        <v>45.454270779305283</v>
      </c>
      <c r="Z1040" s="19">
        <v>58.647025137193594</v>
      </c>
      <c r="AA1040" s="19">
        <v>72.193891237080848</v>
      </c>
      <c r="AB1040" s="19">
        <v>84.731916243636491</v>
      </c>
      <c r="AC1040" s="19">
        <v>94.615002810264414</v>
      </c>
      <c r="AD1040" s="19">
        <v>100.17746902454402</v>
      </c>
      <c r="AE1040" s="19">
        <v>100.12088503271428</v>
      </c>
      <c r="AF1040" s="19">
        <v>93.935341719796611</v>
      </c>
      <c r="AG1040" s="19">
        <v>82.200348996469614</v>
      </c>
      <c r="AH1040" s="19">
        <v>67.657920529525271</v>
      </c>
      <c r="AI1040" s="19">
        <v>51.494204522360995</v>
      </c>
      <c r="AJ1040" s="19">
        <v>11.727063387030883</v>
      </c>
      <c r="AK1040" s="19">
        <v>0</v>
      </c>
      <c r="AL1040" s="19">
        <v>0</v>
      </c>
      <c r="AM1040" s="19">
        <v>0</v>
      </c>
      <c r="AN1040" s="19">
        <v>0</v>
      </c>
      <c r="AO1040" s="19">
        <v>0</v>
      </c>
      <c r="AP1040" s="19">
        <v>0</v>
      </c>
      <c r="AQ1040" s="19">
        <v>0</v>
      </c>
      <c r="AR1040" s="19">
        <v>953.49237979570751</v>
      </c>
    </row>
    <row r="1041" spans="1:44" x14ac:dyDescent="0.25">
      <c r="A1041" t="s">
        <v>250</v>
      </c>
      <c r="B1041" t="s">
        <v>388</v>
      </c>
      <c r="C1041" t="s">
        <v>44</v>
      </c>
      <c r="D1041" t="s">
        <v>212</v>
      </c>
      <c r="E1041" t="s">
        <v>134</v>
      </c>
      <c r="F1041" t="s">
        <v>212</v>
      </c>
      <c r="G1041" t="s">
        <v>31</v>
      </c>
      <c r="H1041" t="s">
        <v>278</v>
      </c>
      <c r="I1041" t="s">
        <v>135</v>
      </c>
      <c r="J1041" t="s">
        <v>39</v>
      </c>
      <c r="K1041" t="s">
        <v>31</v>
      </c>
      <c r="L1041">
        <v>0.19</v>
      </c>
      <c r="M1041">
        <v>1</v>
      </c>
      <c r="N1041" s="2">
        <v>4.850758436844905</v>
      </c>
      <c r="O1041" s="2">
        <v>6.9281219368152529</v>
      </c>
      <c r="P1041" s="1">
        <v>-2.4521156710348886</v>
      </c>
      <c r="Q1041" s="1">
        <v>0.77362100319819394</v>
      </c>
      <c r="R1041" s="1">
        <v>-2.6840821475939207</v>
      </c>
      <c r="S1041" s="19">
        <v>0.7349809987450604</v>
      </c>
      <c r="T1041" s="19">
        <v>1.4559561984266216</v>
      </c>
      <c r="U1041" s="19">
        <v>2.5618501168854793</v>
      </c>
      <c r="V1041" s="19">
        <v>4.1296955421953569</v>
      </c>
      <c r="W1041" s="19">
        <v>6.2118863198013701</v>
      </c>
      <c r="X1041" s="19">
        <v>8.8166778143524951</v>
      </c>
      <c r="Y1041" s="19">
        <v>11.885165151261385</v>
      </c>
      <c r="Z1041" s="19">
        <v>15.268799454838932</v>
      </c>
      <c r="AA1041" s="19">
        <v>18.71490951775893</v>
      </c>
      <c r="AB1041" s="19">
        <v>21.870700158633003</v>
      </c>
      <c r="AC1041" s="19">
        <v>24.31666671264249</v>
      </c>
      <c r="AD1041" s="19">
        <v>25.635539890393591</v>
      </c>
      <c r="AE1041" s="19">
        <v>25.510881798263561</v>
      </c>
      <c r="AF1041" s="19">
        <v>23.831873641610329</v>
      </c>
      <c r="AG1041" s="19">
        <v>20.764965160467355</v>
      </c>
      <c r="AH1041" s="19">
        <v>17.017845180915945</v>
      </c>
      <c r="AI1041" s="19">
        <v>1.9774239251198535</v>
      </c>
      <c r="AJ1041" s="19">
        <v>0</v>
      </c>
      <c r="AK1041" s="19">
        <v>0</v>
      </c>
      <c r="AL1041" s="19">
        <v>0</v>
      </c>
      <c r="AM1041" s="19">
        <v>0</v>
      </c>
      <c r="AN1041" s="19">
        <v>0</v>
      </c>
      <c r="AO1041" s="19">
        <v>0</v>
      </c>
      <c r="AP1041" s="19">
        <v>0</v>
      </c>
      <c r="AQ1041" s="19">
        <v>0</v>
      </c>
      <c r="AR1041" s="19">
        <v>230.70581758231177</v>
      </c>
    </row>
    <row r="1042" spans="1:44" x14ac:dyDescent="0.25">
      <c r="A1042" t="s">
        <v>250</v>
      </c>
      <c r="B1042" t="s">
        <v>388</v>
      </c>
      <c r="C1042" t="s">
        <v>44</v>
      </c>
      <c r="D1042" t="s">
        <v>212</v>
      </c>
      <c r="E1042" t="s">
        <v>134</v>
      </c>
      <c r="F1042" t="s">
        <v>212</v>
      </c>
      <c r="G1042" t="s">
        <v>31</v>
      </c>
      <c r="H1042" t="s">
        <v>252</v>
      </c>
      <c r="I1042" t="s">
        <v>135</v>
      </c>
      <c r="J1042" t="s">
        <v>39</v>
      </c>
      <c r="K1042" t="s">
        <v>31</v>
      </c>
      <c r="L1042">
        <v>0.19</v>
      </c>
      <c r="M1042">
        <v>1</v>
      </c>
      <c r="N1042" s="2">
        <v>4.850758436844905</v>
      </c>
      <c r="O1042" s="2">
        <v>6.9281219368152529</v>
      </c>
      <c r="P1042" s="1">
        <v>-2.4521156710348886</v>
      </c>
      <c r="Q1042" s="1">
        <v>0.77362100319819394</v>
      </c>
      <c r="R1042" s="1">
        <v>-2.6840821475939207</v>
      </c>
      <c r="S1042" s="19">
        <v>0.16799646902038703</v>
      </c>
      <c r="T1042" s="19">
        <v>0.33457141085247566</v>
      </c>
      <c r="U1042" s="19">
        <v>0.59184871806371797</v>
      </c>
      <c r="V1042" s="19">
        <v>0.95916098409191675</v>
      </c>
      <c r="W1042" s="19">
        <v>1.4504856777496606</v>
      </c>
      <c r="X1042" s="19">
        <v>2.0697190268493779</v>
      </c>
      <c r="Y1042" s="19">
        <v>2.8049693371818769</v>
      </c>
      <c r="Z1042" s="19">
        <v>3.6227992070385935</v>
      </c>
      <c r="AA1042" s="19">
        <v>4.464199357331994</v>
      </c>
      <c r="AB1042" s="19">
        <v>5.2448734186986989</v>
      </c>
      <c r="AC1042" s="19">
        <v>5.8626348170228892</v>
      </c>
      <c r="AD1042" s="19">
        <v>6.213663702835432</v>
      </c>
      <c r="AE1042" s="19">
        <v>6.2165183895484848</v>
      </c>
      <c r="AF1042" s="19">
        <v>5.83843454378865</v>
      </c>
      <c r="AG1042" s="19">
        <v>5.1142965956366737</v>
      </c>
      <c r="AH1042" s="19">
        <v>4.2138177486913282</v>
      </c>
      <c r="AI1042" s="19">
        <v>3.2104085940750133</v>
      </c>
      <c r="AJ1042" s="19">
        <v>1.5542567892864263</v>
      </c>
      <c r="AK1042" s="19">
        <v>0</v>
      </c>
      <c r="AL1042" s="19">
        <v>0</v>
      </c>
      <c r="AM1042" s="19">
        <v>0</v>
      </c>
      <c r="AN1042" s="19">
        <v>0</v>
      </c>
      <c r="AO1042" s="19">
        <v>0</v>
      </c>
      <c r="AP1042" s="19">
        <v>0</v>
      </c>
      <c r="AQ1042" s="19">
        <v>0</v>
      </c>
      <c r="AR1042" s="19">
        <v>59.934654787763598</v>
      </c>
    </row>
    <row r="1043" spans="1:44" x14ac:dyDescent="0.25">
      <c r="A1043" t="s">
        <v>250</v>
      </c>
      <c r="B1043" t="s">
        <v>388</v>
      </c>
      <c r="C1043" t="s">
        <v>44</v>
      </c>
      <c r="D1043" t="s">
        <v>212</v>
      </c>
      <c r="E1043" t="s">
        <v>134</v>
      </c>
      <c r="F1043" t="s">
        <v>212</v>
      </c>
      <c r="G1043" t="s">
        <v>31</v>
      </c>
      <c r="H1043" t="s">
        <v>253</v>
      </c>
      <c r="I1043" t="s">
        <v>135</v>
      </c>
      <c r="J1043" t="s">
        <v>39</v>
      </c>
      <c r="K1043" t="s">
        <v>31</v>
      </c>
      <c r="L1043">
        <v>0.19</v>
      </c>
      <c r="M1043">
        <v>1</v>
      </c>
      <c r="N1043" s="2">
        <v>4.850758436844905</v>
      </c>
      <c r="O1043" s="2">
        <v>6.9281219368152529</v>
      </c>
      <c r="P1043" s="1">
        <v>-2.4521156710348886</v>
      </c>
      <c r="Q1043" s="1">
        <v>0.77362100319819394</v>
      </c>
      <c r="R1043" s="1">
        <v>-2.6840821475939207</v>
      </c>
      <c r="S1043" s="19">
        <v>0.22217109059827575</v>
      </c>
      <c r="T1043" s="19">
        <v>0.44228460518972862</v>
      </c>
      <c r="U1043" s="19">
        <v>0.78207663007341777</v>
      </c>
      <c r="V1043" s="19">
        <v>1.2669389963490356</v>
      </c>
      <c r="W1043" s="19">
        <v>1.915151990795531</v>
      </c>
      <c r="X1043" s="19">
        <v>2.7316609578313864</v>
      </c>
      <c r="Y1043" s="19">
        <v>3.7005742589393922</v>
      </c>
      <c r="Z1043" s="19">
        <v>4.7776119414292184</v>
      </c>
      <c r="AA1043" s="19">
        <v>5.8848553210579384</v>
      </c>
      <c r="AB1043" s="19">
        <v>6.9111898456800391</v>
      </c>
      <c r="AC1043" s="19">
        <v>7.7221148502920478</v>
      </c>
      <c r="AD1043" s="19">
        <v>8.181195302699658</v>
      </c>
      <c r="AE1043" s="19">
        <v>8.1816677741846924</v>
      </c>
      <c r="AF1043" s="19">
        <v>7.6809800203908356</v>
      </c>
      <c r="AG1043" s="19">
        <v>6.7256108116781448</v>
      </c>
      <c r="AH1043" s="19">
        <v>5.5392016048148474</v>
      </c>
      <c r="AI1043" s="19">
        <v>4.2184930245327275</v>
      </c>
      <c r="AJ1043" s="19">
        <v>1.6180635734716464</v>
      </c>
      <c r="AK1043" s="19">
        <v>0</v>
      </c>
      <c r="AL1043" s="19">
        <v>0</v>
      </c>
      <c r="AM1043" s="19">
        <v>0</v>
      </c>
      <c r="AN1043" s="19">
        <v>0</v>
      </c>
      <c r="AO1043" s="19">
        <v>0</v>
      </c>
      <c r="AP1043" s="19">
        <v>0</v>
      </c>
      <c r="AQ1043" s="19">
        <v>0</v>
      </c>
      <c r="AR1043" s="19">
        <v>78.501842600008573</v>
      </c>
    </row>
    <row r="1044" spans="1:44" x14ac:dyDescent="0.25">
      <c r="A1044" t="s">
        <v>250</v>
      </c>
      <c r="B1044" t="s">
        <v>388</v>
      </c>
      <c r="C1044" t="s">
        <v>44</v>
      </c>
      <c r="D1044" t="s">
        <v>212</v>
      </c>
      <c r="E1044" t="s">
        <v>134</v>
      </c>
      <c r="F1044" t="s">
        <v>212</v>
      </c>
      <c r="G1044" t="s">
        <v>31</v>
      </c>
      <c r="H1044" t="s">
        <v>254</v>
      </c>
      <c r="I1044" t="s">
        <v>135</v>
      </c>
      <c r="J1044" t="s">
        <v>39</v>
      </c>
      <c r="K1044" t="s">
        <v>31</v>
      </c>
      <c r="L1044">
        <v>0.19</v>
      </c>
      <c r="M1044">
        <v>1</v>
      </c>
      <c r="N1044" s="2">
        <v>4.850758436844905</v>
      </c>
      <c r="O1044" s="2">
        <v>6.9281219368152529</v>
      </c>
      <c r="P1044" s="1">
        <v>-2.4521156710348886</v>
      </c>
      <c r="Q1044" s="1">
        <v>0.77362100319819394</v>
      </c>
      <c r="R1044" s="1">
        <v>-2.6840821475939207</v>
      </c>
      <c r="S1044" s="19">
        <v>1.4242445170582554</v>
      </c>
      <c r="T1044" s="19">
        <v>2.8341979591546882</v>
      </c>
      <c r="U1044" s="19">
        <v>5.0096688072394659</v>
      </c>
      <c r="V1044" s="19">
        <v>8.1123514899866098</v>
      </c>
      <c r="W1044" s="19">
        <v>12.258170295852011</v>
      </c>
      <c r="X1044" s="19">
        <v>17.47754980888725</v>
      </c>
      <c r="Y1044" s="19">
        <v>23.667600242009676</v>
      </c>
      <c r="Z1044" s="19">
        <v>30.544099226452097</v>
      </c>
      <c r="AA1044" s="19">
        <v>37.608290192302753</v>
      </c>
      <c r="AB1044" s="19">
        <v>44.150128375810944</v>
      </c>
      <c r="AC1044" s="19">
        <v>49.311334182150183</v>
      </c>
      <c r="AD1044" s="19">
        <v>52.222613875649593</v>
      </c>
      <c r="AE1044" s="19">
        <v>52.205352733126183</v>
      </c>
      <c r="AF1044" s="19">
        <v>48.991549797453395</v>
      </c>
      <c r="AG1044" s="19">
        <v>42.88126849419853</v>
      </c>
      <c r="AH1044" s="19">
        <v>35.303227564010378</v>
      </c>
      <c r="AI1044" s="19">
        <v>26.875461102691258</v>
      </c>
      <c r="AJ1044" s="19">
        <v>7.6964349343593037</v>
      </c>
      <c r="AK1044" s="19">
        <v>0</v>
      </c>
      <c r="AL1044" s="19">
        <v>0</v>
      </c>
      <c r="AM1044" s="19">
        <v>0</v>
      </c>
      <c r="AN1044" s="19">
        <v>0</v>
      </c>
      <c r="AO1044" s="19">
        <v>0</v>
      </c>
      <c r="AP1044" s="19">
        <v>0</v>
      </c>
      <c r="AQ1044" s="19">
        <v>0</v>
      </c>
      <c r="AR1044" s="19">
        <v>498.57354359839258</v>
      </c>
    </row>
    <row r="1045" spans="1:44" x14ac:dyDescent="0.25">
      <c r="A1045" t="s">
        <v>250</v>
      </c>
      <c r="B1045" t="s">
        <v>388</v>
      </c>
      <c r="C1045" t="s">
        <v>44</v>
      </c>
      <c r="D1045" t="s">
        <v>212</v>
      </c>
      <c r="E1045" t="s">
        <v>134</v>
      </c>
      <c r="F1045" t="s">
        <v>212</v>
      </c>
      <c r="G1045" t="s">
        <v>31</v>
      </c>
      <c r="H1045" t="s">
        <v>255</v>
      </c>
      <c r="I1045" t="s">
        <v>135</v>
      </c>
      <c r="J1045" t="s">
        <v>39</v>
      </c>
      <c r="K1045" t="s">
        <v>31</v>
      </c>
      <c r="L1045">
        <v>0.19</v>
      </c>
      <c r="M1045">
        <v>1</v>
      </c>
      <c r="N1045" s="2">
        <v>4.850758436844905</v>
      </c>
      <c r="O1045" s="2">
        <v>6.9281219368152529</v>
      </c>
      <c r="P1045" s="1">
        <v>-2.4521156710348886</v>
      </c>
      <c r="Q1045" s="1">
        <v>0.77362100319819394</v>
      </c>
      <c r="R1045" s="1">
        <v>-2.6840821475939207</v>
      </c>
      <c r="S1045" s="19">
        <v>0.29857680943318454</v>
      </c>
      <c r="T1045" s="19">
        <v>0.59146393871806302</v>
      </c>
      <c r="U1045" s="19">
        <v>1.0407194681926979</v>
      </c>
      <c r="V1045" s="19">
        <v>1.6776370015340101</v>
      </c>
      <c r="W1045" s="19">
        <v>2.5235008811041113</v>
      </c>
      <c r="X1045" s="19">
        <v>3.5816647452172017</v>
      </c>
      <c r="Y1045" s="19">
        <v>4.8281992276115906</v>
      </c>
      <c r="Z1045" s="19">
        <v>6.2027582112803472</v>
      </c>
      <c r="AA1045" s="19">
        <v>7.6026971883410894</v>
      </c>
      <c r="AB1045" s="19">
        <v>8.8846975426361272</v>
      </c>
      <c r="AC1045" s="19">
        <v>9.8783407673227455</v>
      </c>
      <c r="AD1045" s="19">
        <v>10.414116448778859</v>
      </c>
      <c r="AE1045" s="19">
        <v>10.363475662851382</v>
      </c>
      <c r="AF1045" s="19">
        <v>9.6813996645850615</v>
      </c>
      <c r="AG1045" s="19">
        <v>8.4355065725367453</v>
      </c>
      <c r="AH1045" s="19">
        <v>6.9132860934113021</v>
      </c>
      <c r="AI1045" s="19">
        <v>0.80330366018610955</v>
      </c>
      <c r="AJ1045" s="19">
        <v>0</v>
      </c>
      <c r="AK1045" s="19">
        <v>0</v>
      </c>
      <c r="AL1045" s="19">
        <v>0</v>
      </c>
      <c r="AM1045" s="19">
        <v>0</v>
      </c>
      <c r="AN1045" s="19">
        <v>0</v>
      </c>
      <c r="AO1045" s="19">
        <v>0</v>
      </c>
      <c r="AP1045" s="19">
        <v>0</v>
      </c>
      <c r="AQ1045" s="19">
        <v>0</v>
      </c>
      <c r="AR1045" s="19">
        <v>93.721343883740644</v>
      </c>
    </row>
    <row r="1046" spans="1:44" x14ac:dyDescent="0.25">
      <c r="A1046" t="s">
        <v>250</v>
      </c>
      <c r="B1046" t="s">
        <v>388</v>
      </c>
      <c r="C1046" t="s">
        <v>44</v>
      </c>
      <c r="D1046" t="s">
        <v>212</v>
      </c>
      <c r="E1046" t="s">
        <v>134</v>
      </c>
      <c r="F1046" t="s">
        <v>212</v>
      </c>
      <c r="G1046" t="s">
        <v>31</v>
      </c>
      <c r="H1046" t="s">
        <v>288</v>
      </c>
      <c r="I1046" t="s">
        <v>135</v>
      </c>
      <c r="J1046" t="s">
        <v>39</v>
      </c>
      <c r="K1046" t="s">
        <v>33</v>
      </c>
      <c r="L1046">
        <v>0.19</v>
      </c>
      <c r="M1046">
        <v>1</v>
      </c>
      <c r="N1046" s="2">
        <v>4.850758436844905</v>
      </c>
      <c r="O1046" s="2">
        <v>6.9281219368152529</v>
      </c>
      <c r="P1046" s="1">
        <v>-2.4521156710348886</v>
      </c>
      <c r="Q1046" s="1">
        <v>0.77362100319819394</v>
      </c>
      <c r="R1046" s="1">
        <v>-2.6840821475939207</v>
      </c>
      <c r="S1046" s="19">
        <v>2.3221588322061951E-2</v>
      </c>
      <c r="T1046" s="19">
        <v>4.6279176612127104E-2</v>
      </c>
      <c r="U1046" s="19">
        <v>8.1924261476190044E-2</v>
      </c>
      <c r="V1046" s="19">
        <v>0.13286125680683528</v>
      </c>
      <c r="W1046" s="19">
        <v>0.20105983630579879</v>
      </c>
      <c r="X1046" s="19">
        <v>0.28709676564332143</v>
      </c>
      <c r="Y1046" s="19">
        <v>0.38935885295701606</v>
      </c>
      <c r="Z1046" s="19">
        <v>0.50323545082534948</v>
      </c>
      <c r="AA1046" s="19">
        <v>0.6205482744703732</v>
      </c>
      <c r="AB1046" s="19">
        <v>0.72957850625909093</v>
      </c>
      <c r="AC1046" s="19">
        <v>0.81608405136297346</v>
      </c>
      <c r="AD1046" s="19">
        <v>0.86555530054666785</v>
      </c>
      <c r="AE1046" s="19">
        <v>0.86656137292165381</v>
      </c>
      <c r="AF1046" s="19">
        <v>0.8144295958650476</v>
      </c>
      <c r="AG1046" s="19">
        <v>0.71391756992985012</v>
      </c>
      <c r="AH1046" s="19">
        <v>0.58863073629543283</v>
      </c>
      <c r="AI1046" s="19">
        <v>0.44877899841912378</v>
      </c>
      <c r="AJ1046" s="19">
        <v>0.29627684246762281</v>
      </c>
      <c r="AK1046" s="19">
        <v>0</v>
      </c>
      <c r="AL1046" s="19">
        <v>0</v>
      </c>
      <c r="AM1046" s="19">
        <v>0</v>
      </c>
      <c r="AN1046" s="19">
        <v>0</v>
      </c>
      <c r="AO1046" s="19">
        <v>0</v>
      </c>
      <c r="AP1046" s="19">
        <v>0</v>
      </c>
      <c r="AQ1046" s="19">
        <v>0</v>
      </c>
      <c r="AR1046" s="19">
        <v>8.4253984374865372</v>
      </c>
    </row>
    <row r="1047" spans="1:44" x14ac:dyDescent="0.25">
      <c r="A1047" t="s">
        <v>250</v>
      </c>
      <c r="B1047" t="s">
        <v>388</v>
      </c>
      <c r="C1047" t="s">
        <v>44</v>
      </c>
      <c r="D1047" t="s">
        <v>212</v>
      </c>
      <c r="E1047" t="s">
        <v>134</v>
      </c>
      <c r="F1047" t="s">
        <v>212</v>
      </c>
      <c r="G1047" t="s">
        <v>31</v>
      </c>
      <c r="H1047" t="s">
        <v>274</v>
      </c>
      <c r="I1047" t="s">
        <v>135</v>
      </c>
      <c r="J1047" t="s">
        <v>39</v>
      </c>
      <c r="K1047" t="s">
        <v>33</v>
      </c>
      <c r="L1047">
        <v>0.19</v>
      </c>
      <c r="M1047">
        <v>1</v>
      </c>
      <c r="N1047" s="2">
        <v>4.850758436844905</v>
      </c>
      <c r="O1047" s="2">
        <v>6.9281219368152529</v>
      </c>
      <c r="P1047" s="1">
        <v>-2.4521156710348886</v>
      </c>
      <c r="Q1047" s="1">
        <v>0.77362100319819394</v>
      </c>
      <c r="R1047" s="1">
        <v>-2.6840821475939207</v>
      </c>
      <c r="S1047" s="19">
        <v>2.0990128816812106E-3</v>
      </c>
      <c r="T1047" s="19">
        <v>4.176488442518716E-3</v>
      </c>
      <c r="U1047" s="19">
        <v>7.381432855232524E-3</v>
      </c>
      <c r="V1047" s="19">
        <v>1.1951680450565057E-2</v>
      </c>
      <c r="W1047" s="19">
        <v>1.805753309012121E-2</v>
      </c>
      <c r="X1047" s="19">
        <v>2.5743279545512424E-2</v>
      </c>
      <c r="Y1047" s="19">
        <v>3.4856847368973161E-2</v>
      </c>
      <c r="Z1047" s="19">
        <v>4.4979203102412227E-2</v>
      </c>
      <c r="AA1047" s="19">
        <v>5.5375617158796478E-2</v>
      </c>
      <c r="AB1047" s="19">
        <v>6.5000622555247731E-2</v>
      </c>
      <c r="AC1047" s="19">
        <v>7.2591012482675299E-2</v>
      </c>
      <c r="AD1047" s="19">
        <v>7.6867943400915711E-2</v>
      </c>
      <c r="AE1047" s="19">
        <v>7.6833788166250166E-2</v>
      </c>
      <c r="AF1047" s="19">
        <v>7.2095630606629324E-2</v>
      </c>
      <c r="AG1047" s="19">
        <v>6.3096598312825769E-2</v>
      </c>
      <c r="AH1047" s="19">
        <v>5.1940160766127549E-2</v>
      </c>
      <c r="AI1047" s="19">
        <v>3.9536239314461381E-2</v>
      </c>
      <c r="AJ1047" s="19">
        <v>1.0196060818192359E-2</v>
      </c>
      <c r="AK1047" s="19">
        <v>0</v>
      </c>
      <c r="AL1047" s="19">
        <v>0</v>
      </c>
      <c r="AM1047" s="19">
        <v>0</v>
      </c>
      <c r="AN1047" s="19">
        <v>0</v>
      </c>
      <c r="AO1047" s="19">
        <v>0</v>
      </c>
      <c r="AP1047" s="19">
        <v>0</v>
      </c>
      <c r="AQ1047" s="19">
        <v>0</v>
      </c>
      <c r="AR1047" s="19">
        <v>0.73277915131913829</v>
      </c>
    </row>
    <row r="1048" spans="1:44" x14ac:dyDescent="0.25">
      <c r="A1048" t="s">
        <v>250</v>
      </c>
      <c r="B1048" t="s">
        <v>388</v>
      </c>
      <c r="C1048" t="s">
        <v>44</v>
      </c>
      <c r="D1048" t="s">
        <v>212</v>
      </c>
      <c r="E1048" t="s">
        <v>134</v>
      </c>
      <c r="F1048" t="s">
        <v>212</v>
      </c>
      <c r="G1048" t="s">
        <v>31</v>
      </c>
      <c r="H1048" t="s">
        <v>253</v>
      </c>
      <c r="I1048" t="s">
        <v>256</v>
      </c>
      <c r="J1048" t="s">
        <v>39</v>
      </c>
      <c r="K1048" t="s">
        <v>31</v>
      </c>
      <c r="L1048">
        <v>0.19</v>
      </c>
      <c r="M1048">
        <v>1</v>
      </c>
      <c r="N1048" s="2">
        <v>2.9597330571033966</v>
      </c>
      <c r="O1048" s="2">
        <v>4.2272547245978105</v>
      </c>
      <c r="P1048" s="1">
        <v>-0.98917871968601667</v>
      </c>
      <c r="Q1048" s="1">
        <v>0.4672931329656026</v>
      </c>
      <c r="R1048" s="1">
        <v>-1.2211451962450488</v>
      </c>
      <c r="S1048" s="19">
        <v>0.11654226992606601</v>
      </c>
      <c r="T1048" s="19">
        <v>0.23200521590528175</v>
      </c>
      <c r="U1048" s="19">
        <v>0.41024683040193743</v>
      </c>
      <c r="V1048" s="19">
        <v>0.66458667549752914</v>
      </c>
      <c r="W1048" s="19">
        <v>1.0046138750982374</v>
      </c>
      <c r="X1048" s="19">
        <v>1.4329225635828604</v>
      </c>
      <c r="Y1048" s="19">
        <v>1.9411766085560771</v>
      </c>
      <c r="Z1048" s="19">
        <v>2.5061484776469878</v>
      </c>
      <c r="AA1048" s="19">
        <v>3.0869650747796364</v>
      </c>
      <c r="AB1048" s="19">
        <v>3.6253400491331966</v>
      </c>
      <c r="AC1048" s="19">
        <v>4.0507196091956459</v>
      </c>
      <c r="AD1048" s="19">
        <v>4.2915352700370004</v>
      </c>
      <c r="AE1048" s="19">
        <v>4.2917831101101287</v>
      </c>
      <c r="AF1048" s="19">
        <v>4.0291418853036642</v>
      </c>
      <c r="AG1048" s="19">
        <v>3.5279925417908742</v>
      </c>
      <c r="AH1048" s="19">
        <v>2.9056486461170552</v>
      </c>
      <c r="AI1048" s="19">
        <v>2.212856548628451</v>
      </c>
      <c r="AJ1048" s="19">
        <v>0.84877290393303295</v>
      </c>
      <c r="AK1048" s="19">
        <v>0</v>
      </c>
      <c r="AL1048" s="19">
        <v>0</v>
      </c>
      <c r="AM1048" s="19">
        <v>0</v>
      </c>
      <c r="AN1048" s="19">
        <v>0</v>
      </c>
      <c r="AO1048" s="19">
        <v>0</v>
      </c>
      <c r="AP1048" s="19">
        <v>0</v>
      </c>
      <c r="AQ1048" s="19">
        <v>0</v>
      </c>
      <c r="AR1048" s="19">
        <v>41.178998155643662</v>
      </c>
    </row>
    <row r="1049" spans="1:44" x14ac:dyDescent="0.25">
      <c r="A1049" t="s">
        <v>250</v>
      </c>
      <c r="B1049" t="s">
        <v>388</v>
      </c>
      <c r="C1049" t="s">
        <v>44</v>
      </c>
      <c r="D1049" t="s">
        <v>212</v>
      </c>
      <c r="E1049" t="s">
        <v>134</v>
      </c>
      <c r="F1049" t="s">
        <v>212</v>
      </c>
      <c r="G1049" t="s">
        <v>31</v>
      </c>
      <c r="H1049" t="s">
        <v>272</v>
      </c>
      <c r="I1049" t="s">
        <v>135</v>
      </c>
      <c r="J1049" t="s">
        <v>40</v>
      </c>
      <c r="K1049" t="s">
        <v>31</v>
      </c>
      <c r="L1049">
        <v>0.19</v>
      </c>
      <c r="M1049">
        <v>1</v>
      </c>
      <c r="N1049" s="2">
        <v>4.850758436844905</v>
      </c>
      <c r="O1049" s="2">
        <v>5.6913337240265207</v>
      </c>
      <c r="P1049" s="1">
        <v>-2.4521156710348886</v>
      </c>
      <c r="Q1049" s="1">
        <v>0.4672931329656026</v>
      </c>
      <c r="R1049" s="1">
        <v>-2.5410821475939209</v>
      </c>
      <c r="S1049" s="19">
        <v>0.13629989464826192</v>
      </c>
      <c r="T1049" s="19">
        <v>0.27120125830720881</v>
      </c>
      <c r="U1049" s="19">
        <v>0.47931507676864887</v>
      </c>
      <c r="V1049" s="19">
        <v>0.77608517818001499</v>
      </c>
      <c r="W1049" s="19">
        <v>1.172570153938115</v>
      </c>
      <c r="X1049" s="19">
        <v>1.6716459058334656</v>
      </c>
      <c r="Y1049" s="19">
        <v>2.2634375737400294</v>
      </c>
      <c r="Z1049" s="19">
        <v>2.9207351216021085</v>
      </c>
      <c r="AA1049" s="19">
        <v>3.5958287110563609</v>
      </c>
      <c r="AB1049" s="19">
        <v>4.2208306979305421</v>
      </c>
      <c r="AC1049" s="19">
        <v>4.7137144512779559</v>
      </c>
      <c r="AD1049" s="19">
        <v>4.991437965345745</v>
      </c>
      <c r="AE1049" s="19">
        <v>4.9892200871577499</v>
      </c>
      <c r="AF1049" s="19">
        <v>4.6815467127638195</v>
      </c>
      <c r="AG1049" s="19">
        <v>4.0971924363863872</v>
      </c>
      <c r="AH1049" s="19">
        <v>3.3727465430162926</v>
      </c>
      <c r="AI1049" s="19">
        <v>2.5672949891729071</v>
      </c>
      <c r="AJ1049" s="19">
        <v>0.66208360485799012</v>
      </c>
      <c r="AK1049" s="19">
        <v>0</v>
      </c>
      <c r="AL1049" s="19">
        <v>0</v>
      </c>
      <c r="AM1049" s="19">
        <v>0</v>
      </c>
      <c r="AN1049" s="19">
        <v>0</v>
      </c>
      <c r="AO1049" s="19">
        <v>0</v>
      </c>
      <c r="AP1049" s="19">
        <v>0</v>
      </c>
      <c r="AQ1049" s="19">
        <v>0</v>
      </c>
      <c r="AR1049" s="19">
        <v>47.5831863619836</v>
      </c>
    </row>
    <row r="1050" spans="1:44" x14ac:dyDescent="0.25">
      <c r="A1050" t="s">
        <v>250</v>
      </c>
      <c r="B1050" t="s">
        <v>388</v>
      </c>
      <c r="C1050" t="s">
        <v>44</v>
      </c>
      <c r="D1050" t="s">
        <v>212</v>
      </c>
      <c r="E1050" t="s">
        <v>134</v>
      </c>
      <c r="F1050" t="s">
        <v>212</v>
      </c>
      <c r="G1050" t="s">
        <v>31</v>
      </c>
      <c r="H1050" t="s">
        <v>277</v>
      </c>
      <c r="I1050" t="s">
        <v>135</v>
      </c>
      <c r="J1050" t="s">
        <v>40</v>
      </c>
      <c r="K1050" t="s">
        <v>31</v>
      </c>
      <c r="L1050">
        <v>0.19</v>
      </c>
      <c r="M1050">
        <v>1</v>
      </c>
      <c r="N1050" s="2">
        <v>4.850758436844905</v>
      </c>
      <c r="O1050" s="2">
        <v>5.6913337240265207</v>
      </c>
      <c r="P1050" s="1">
        <v>-2.4521156710348886</v>
      </c>
      <c r="Q1050" s="1">
        <v>0.4672931329656026</v>
      </c>
      <c r="R1050" s="1">
        <v>-2.5410821475939209</v>
      </c>
      <c r="S1050" s="19">
        <v>0.43208831928033137</v>
      </c>
      <c r="T1050" s="19">
        <v>0.85963946824500315</v>
      </c>
      <c r="U1050" s="19">
        <v>1.5191245321341933</v>
      </c>
      <c r="V1050" s="19">
        <v>2.4594008411821053</v>
      </c>
      <c r="W1050" s="19">
        <v>3.7154070795097192</v>
      </c>
      <c r="X1050" s="19">
        <v>5.2961405050916692</v>
      </c>
      <c r="Y1050" s="19">
        <v>7.1702016722105633</v>
      </c>
      <c r="Z1050" s="19">
        <v>9.2512978538494917</v>
      </c>
      <c r="AA1050" s="19">
        <v>11.388253530341119</v>
      </c>
      <c r="AB1050" s="19">
        <v>13.366069175095753</v>
      </c>
      <c r="AC1050" s="19">
        <v>14.92508052016171</v>
      </c>
      <c r="AD1050" s="19">
        <v>15.80253392261297</v>
      </c>
      <c r="AE1050" s="19">
        <v>15.793608058752836</v>
      </c>
      <c r="AF1050" s="19">
        <v>14.817867116363631</v>
      </c>
      <c r="AG1050" s="19">
        <v>12.966726112326525</v>
      </c>
      <c r="AH1050" s="19">
        <v>10.672725061953043</v>
      </c>
      <c r="AI1050" s="19">
        <v>8.1229733762110676</v>
      </c>
      <c r="AJ1050" s="19">
        <v>1.8498901877905551</v>
      </c>
      <c r="AK1050" s="19">
        <v>0</v>
      </c>
      <c r="AL1050" s="19">
        <v>0</v>
      </c>
      <c r="AM1050" s="19">
        <v>0</v>
      </c>
      <c r="AN1050" s="19">
        <v>0</v>
      </c>
      <c r="AO1050" s="19">
        <v>0</v>
      </c>
      <c r="AP1050" s="19">
        <v>0</v>
      </c>
      <c r="AQ1050" s="19">
        <v>0</v>
      </c>
      <c r="AR1050" s="19">
        <v>150.40902733311225</v>
      </c>
    </row>
    <row r="1051" spans="1:44" x14ac:dyDescent="0.25">
      <c r="A1051" t="s">
        <v>250</v>
      </c>
      <c r="B1051" t="s">
        <v>388</v>
      </c>
      <c r="C1051" t="s">
        <v>44</v>
      </c>
      <c r="D1051" t="s">
        <v>212</v>
      </c>
      <c r="E1051" t="s">
        <v>134</v>
      </c>
      <c r="F1051" t="s">
        <v>212</v>
      </c>
      <c r="G1051" t="s">
        <v>31</v>
      </c>
      <c r="H1051" t="s">
        <v>253</v>
      </c>
      <c r="I1051" t="s">
        <v>135</v>
      </c>
      <c r="J1051" t="s">
        <v>40</v>
      </c>
      <c r="K1051" t="s">
        <v>31</v>
      </c>
      <c r="L1051">
        <v>0.19</v>
      </c>
      <c r="M1051">
        <v>1</v>
      </c>
      <c r="N1051" s="2">
        <v>4.850758436844905</v>
      </c>
      <c r="O1051" s="2">
        <v>5.6913337240265207</v>
      </c>
      <c r="P1051" s="1">
        <v>-2.4521156710348886</v>
      </c>
      <c r="Q1051" s="1">
        <v>0.4672931329656026</v>
      </c>
      <c r="R1051" s="1">
        <v>-2.5410821475939209</v>
      </c>
      <c r="S1051" s="19">
        <v>0.11686661124603376</v>
      </c>
      <c r="T1051" s="19">
        <v>0.23265089474793563</v>
      </c>
      <c r="U1051" s="19">
        <v>0.41138856205492103</v>
      </c>
      <c r="V1051" s="19">
        <v>0.66643624406780488</v>
      </c>
      <c r="W1051" s="19">
        <v>1.0074097515687577</v>
      </c>
      <c r="X1051" s="19">
        <v>1.4369104385056579</v>
      </c>
      <c r="Y1051" s="19">
        <v>1.9465789727275411</v>
      </c>
      <c r="Z1051" s="19">
        <v>2.5131231788072697</v>
      </c>
      <c r="AA1051" s="19">
        <v>3.0955562093755522</v>
      </c>
      <c r="AB1051" s="19">
        <v>3.6354295006053001</v>
      </c>
      <c r="AC1051" s="19">
        <v>4.0619929072505006</v>
      </c>
      <c r="AD1051" s="19">
        <v>4.3034787667189782</v>
      </c>
      <c r="AE1051" s="19">
        <v>4.3037272965399254</v>
      </c>
      <c r="AF1051" s="19">
        <v>4.0403551317784929</v>
      </c>
      <c r="AG1051" s="19">
        <v>3.537811071656193</v>
      </c>
      <c r="AH1051" s="19">
        <v>2.9137351705844612</v>
      </c>
      <c r="AI1051" s="19">
        <v>2.2190150078238728</v>
      </c>
      <c r="AJ1051" s="19">
        <v>0.85113506938761907</v>
      </c>
      <c r="AK1051" s="19">
        <v>0</v>
      </c>
      <c r="AL1051" s="19">
        <v>0</v>
      </c>
      <c r="AM1051" s="19">
        <v>0</v>
      </c>
      <c r="AN1051" s="19">
        <v>0</v>
      </c>
      <c r="AO1051" s="19">
        <v>0</v>
      </c>
      <c r="AP1051" s="19">
        <v>0</v>
      </c>
      <c r="AQ1051" s="19">
        <v>0</v>
      </c>
      <c r="AR1051" s="19">
        <v>41.293600785446813</v>
      </c>
    </row>
    <row r="1052" spans="1:44" x14ac:dyDescent="0.25">
      <c r="A1052" t="s">
        <v>250</v>
      </c>
      <c r="B1052" t="s">
        <v>389</v>
      </c>
      <c r="C1052" t="s">
        <v>44</v>
      </c>
      <c r="D1052" t="s">
        <v>390</v>
      </c>
      <c r="E1052" t="s">
        <v>134</v>
      </c>
      <c r="F1052" t="s">
        <v>390</v>
      </c>
      <c r="G1052" t="s">
        <v>31</v>
      </c>
      <c r="H1052" t="s">
        <v>288</v>
      </c>
      <c r="I1052" t="s">
        <v>135</v>
      </c>
      <c r="J1052" t="s">
        <v>39</v>
      </c>
      <c r="K1052" t="s">
        <v>31</v>
      </c>
      <c r="L1052">
        <v>5.9814813064183341E-2</v>
      </c>
      <c r="M1052">
        <v>0</v>
      </c>
      <c r="N1052" s="2">
        <v>0.16203067434216739</v>
      </c>
      <c r="O1052" s="2">
        <v>7.8628457168505825</v>
      </c>
      <c r="P1052" s="1">
        <v>22.587603914734448</v>
      </c>
      <c r="Q1052" s="1">
        <v>26.28481299660363</v>
      </c>
      <c r="R1052" s="1">
        <v>-3.1555545552300228</v>
      </c>
      <c r="S1052" s="19">
        <v>20.079381942657463</v>
      </c>
      <c r="T1052" s="19">
        <v>32.563881232927407</v>
      </c>
      <c r="U1052" s="19">
        <v>49.279141169745621</v>
      </c>
      <c r="V1052" s="19">
        <v>70.366525226831513</v>
      </c>
      <c r="W1052" s="19">
        <v>95.430645091028737</v>
      </c>
      <c r="X1052" s="19">
        <v>123.34144540496544</v>
      </c>
      <c r="Y1052" s="19">
        <v>152.09445398014381</v>
      </c>
      <c r="Z1052" s="19">
        <v>178.8174250260092</v>
      </c>
      <c r="AA1052" s="19">
        <v>200.01966535140377</v>
      </c>
      <c r="AB1052" s="19">
        <v>212.14491481524519</v>
      </c>
      <c r="AC1052" s="19">
        <v>212.39150002840776</v>
      </c>
      <c r="AD1052" s="19">
        <v>199.61416344938615</v>
      </c>
      <c r="AE1052" s="19">
        <v>174.97897819147954</v>
      </c>
      <c r="AF1052" s="19">
        <v>144.27156454378022</v>
      </c>
      <c r="AG1052" s="19">
        <v>109.99433812070204</v>
      </c>
      <c r="AH1052" s="19">
        <v>62.277536574742598</v>
      </c>
      <c r="AI1052" s="19">
        <v>0</v>
      </c>
      <c r="AJ1052" s="19">
        <v>0</v>
      </c>
      <c r="AK1052" s="19">
        <v>0</v>
      </c>
      <c r="AL1052" s="19">
        <v>0</v>
      </c>
      <c r="AM1052" s="19">
        <v>0</v>
      </c>
      <c r="AN1052" s="19">
        <v>0</v>
      </c>
      <c r="AO1052" s="19">
        <v>0</v>
      </c>
      <c r="AP1052" s="19">
        <v>0</v>
      </c>
      <c r="AQ1052" s="19">
        <v>0</v>
      </c>
      <c r="AR1052" s="19">
        <v>2037.6655601494565</v>
      </c>
    </row>
    <row r="1053" spans="1:44" x14ac:dyDescent="0.25">
      <c r="A1053" t="s">
        <v>250</v>
      </c>
      <c r="B1053" t="s">
        <v>389</v>
      </c>
      <c r="C1053" t="s">
        <v>44</v>
      </c>
      <c r="D1053" t="s">
        <v>390</v>
      </c>
      <c r="E1053" t="s">
        <v>134</v>
      </c>
      <c r="F1053" t="s">
        <v>390</v>
      </c>
      <c r="G1053" t="s">
        <v>31</v>
      </c>
      <c r="H1053" t="s">
        <v>289</v>
      </c>
      <c r="I1053" t="s">
        <v>135</v>
      </c>
      <c r="J1053" t="s">
        <v>39</v>
      </c>
      <c r="K1053" t="s">
        <v>31</v>
      </c>
      <c r="L1053">
        <v>5.9814813064183341E-2</v>
      </c>
      <c r="M1053">
        <v>0</v>
      </c>
      <c r="N1053" s="2">
        <v>0.16203067434216739</v>
      </c>
      <c r="O1053" s="2">
        <v>7.8628457168505825</v>
      </c>
      <c r="P1053" s="1">
        <v>22.587603914734448</v>
      </c>
      <c r="Q1053" s="1">
        <v>26.28481299660363</v>
      </c>
      <c r="R1053" s="1">
        <v>-3.1555545552300228</v>
      </c>
      <c r="S1053" s="19">
        <v>19.08458213170519</v>
      </c>
      <c r="T1053" s="19">
        <v>30.950557526704767</v>
      </c>
      <c r="U1053" s="19">
        <v>46.837687520447446</v>
      </c>
      <c r="V1053" s="19">
        <v>66.880331966853348</v>
      </c>
      <c r="W1053" s="19">
        <v>90.702691413633644</v>
      </c>
      <c r="X1053" s="19">
        <v>117.2306972294566</v>
      </c>
      <c r="Y1053" s="19">
        <v>144.55918548938911</v>
      </c>
      <c r="Z1053" s="19">
        <v>169.95821107615481</v>
      </c>
      <c r="AA1053" s="19">
        <v>190.11002142677719</v>
      </c>
      <c r="AB1053" s="19">
        <v>201.63454543458496</v>
      </c>
      <c r="AC1053" s="19">
        <v>201.86891399067417</v>
      </c>
      <c r="AD1053" s="19">
        <v>189.72460944668143</v>
      </c>
      <c r="AE1053" s="19">
        <v>166.30993374964314</v>
      </c>
      <c r="AF1053" s="19">
        <v>137.12386818819476</v>
      </c>
      <c r="AG1053" s="19">
        <v>104.54485032865836</v>
      </c>
      <c r="AH1053" s="19">
        <v>59.192098896030437</v>
      </c>
      <c r="AI1053" s="19">
        <v>0</v>
      </c>
      <c r="AJ1053" s="19">
        <v>0</v>
      </c>
      <c r="AK1053" s="19">
        <v>0</v>
      </c>
      <c r="AL1053" s="19">
        <v>0</v>
      </c>
      <c r="AM1053" s="19">
        <v>0</v>
      </c>
      <c r="AN1053" s="19">
        <v>0</v>
      </c>
      <c r="AO1053" s="19">
        <v>0</v>
      </c>
      <c r="AP1053" s="19">
        <v>0</v>
      </c>
      <c r="AQ1053" s="19">
        <v>0</v>
      </c>
      <c r="AR1053" s="19">
        <v>1936.7127858155893</v>
      </c>
    </row>
    <row r="1054" spans="1:44" x14ac:dyDescent="0.25">
      <c r="A1054" t="s">
        <v>250</v>
      </c>
      <c r="B1054" t="s">
        <v>389</v>
      </c>
      <c r="C1054" t="s">
        <v>44</v>
      </c>
      <c r="D1054" t="s">
        <v>390</v>
      </c>
      <c r="E1054" t="s">
        <v>134</v>
      </c>
      <c r="F1054" t="s">
        <v>390</v>
      </c>
      <c r="G1054" t="s">
        <v>31</v>
      </c>
      <c r="H1054" t="s">
        <v>290</v>
      </c>
      <c r="I1054" t="s">
        <v>135</v>
      </c>
      <c r="J1054" t="s">
        <v>39</v>
      </c>
      <c r="K1054" t="s">
        <v>31</v>
      </c>
      <c r="L1054">
        <v>5.9814813064183341E-2</v>
      </c>
      <c r="M1054">
        <v>0</v>
      </c>
      <c r="N1054" s="2">
        <v>0.16203067434216739</v>
      </c>
      <c r="O1054" s="2">
        <v>7.8628457168505825</v>
      </c>
      <c r="P1054" s="1">
        <v>22.587603914734448</v>
      </c>
      <c r="Q1054" s="1">
        <v>26.28481299660363</v>
      </c>
      <c r="R1054" s="1">
        <v>-3.1555545552300228</v>
      </c>
      <c r="S1054" s="19">
        <v>27.635774771758197</v>
      </c>
      <c r="T1054" s="19">
        <v>44.818515331670731</v>
      </c>
      <c r="U1054" s="19">
        <v>67.824161630172512</v>
      </c>
      <c r="V1054" s="19">
        <v>96.847275886948395</v>
      </c>
      <c r="W1054" s="19">
        <v>131.3436748994985</v>
      </c>
      <c r="X1054" s="19">
        <v>169.75803413516869</v>
      </c>
      <c r="Y1054" s="19">
        <v>209.33154647052385</v>
      </c>
      <c r="Z1054" s="19">
        <v>246.11106544002112</v>
      </c>
      <c r="AA1054" s="19">
        <v>275.29225936135879</v>
      </c>
      <c r="AB1054" s="19">
        <v>291.98055505646801</v>
      </c>
      <c r="AC1054" s="19">
        <v>292.31993668845587</v>
      </c>
      <c r="AD1054" s="19">
        <v>274.73415656388806</v>
      </c>
      <c r="AE1054" s="19">
        <v>240.82811138817985</v>
      </c>
      <c r="AF1054" s="19">
        <v>198.56470060120819</v>
      </c>
      <c r="AG1054" s="19">
        <v>151.38806379366227</v>
      </c>
      <c r="AH1054" s="19">
        <v>85.71419075719443</v>
      </c>
      <c r="AI1054" s="19">
        <v>0</v>
      </c>
      <c r="AJ1054" s="19">
        <v>0</v>
      </c>
      <c r="AK1054" s="19">
        <v>0</v>
      </c>
      <c r="AL1054" s="19">
        <v>0</v>
      </c>
      <c r="AM1054" s="19">
        <v>0</v>
      </c>
      <c r="AN1054" s="19">
        <v>0</v>
      </c>
      <c r="AO1054" s="19">
        <v>0</v>
      </c>
      <c r="AP1054" s="19">
        <v>0</v>
      </c>
      <c r="AQ1054" s="19">
        <v>0</v>
      </c>
      <c r="AR1054" s="19">
        <v>2804.4920227761777</v>
      </c>
    </row>
    <row r="1055" spans="1:44" x14ac:dyDescent="0.25">
      <c r="A1055" t="s">
        <v>250</v>
      </c>
      <c r="B1055" t="s">
        <v>389</v>
      </c>
      <c r="C1055" t="s">
        <v>44</v>
      </c>
      <c r="D1055" t="s">
        <v>390</v>
      </c>
      <c r="E1055" t="s">
        <v>134</v>
      </c>
      <c r="F1055" t="s">
        <v>390</v>
      </c>
      <c r="G1055" t="s">
        <v>31</v>
      </c>
      <c r="H1055" t="s">
        <v>288</v>
      </c>
      <c r="I1055" t="s">
        <v>135</v>
      </c>
      <c r="J1055" t="s">
        <v>39</v>
      </c>
      <c r="K1055" t="s">
        <v>33</v>
      </c>
      <c r="L1055">
        <v>5.9814813064183341E-2</v>
      </c>
      <c r="M1055">
        <v>0</v>
      </c>
      <c r="N1055" s="2">
        <v>0.16203067434216739</v>
      </c>
      <c r="O1055" s="2">
        <v>7.8628457168505825</v>
      </c>
      <c r="P1055" s="1">
        <v>22.587603914734448</v>
      </c>
      <c r="Q1055" s="1">
        <v>26.28481299660363</v>
      </c>
      <c r="R1055" s="1">
        <v>-3.1555545552300228</v>
      </c>
      <c r="S1055" s="19">
        <v>0.1888890224421548</v>
      </c>
      <c r="T1055" s="19">
        <v>0.30633212270058674</v>
      </c>
      <c r="U1055" s="19">
        <v>0.46357446802519786</v>
      </c>
      <c r="V1055" s="19">
        <v>0.6619458806404046</v>
      </c>
      <c r="W1055" s="19">
        <v>0.89772689785704463</v>
      </c>
      <c r="X1055" s="19">
        <v>1.1602869608078643</v>
      </c>
      <c r="Y1055" s="19">
        <v>1.4307697723578667</v>
      </c>
      <c r="Z1055" s="19">
        <v>1.682155790713344</v>
      </c>
      <c r="AA1055" s="19">
        <v>1.8816076692664032</v>
      </c>
      <c r="AB1055" s="19">
        <v>1.9956712656775359</v>
      </c>
      <c r="AC1055" s="19">
        <v>1.9979909207344493</v>
      </c>
      <c r="AD1055" s="19">
        <v>1.8777930669001908</v>
      </c>
      <c r="AE1055" s="19">
        <v>1.6460470861555507</v>
      </c>
      <c r="AF1055" s="19">
        <v>1.3571789645069243</v>
      </c>
      <c r="AG1055" s="19">
        <v>1.034729209351426</v>
      </c>
      <c r="AH1055" s="19">
        <v>0.58585184729803119</v>
      </c>
      <c r="AI1055" s="19">
        <v>0</v>
      </c>
      <c r="AJ1055" s="19">
        <v>0</v>
      </c>
      <c r="AK1055" s="19">
        <v>0</v>
      </c>
      <c r="AL1055" s="19">
        <v>0</v>
      </c>
      <c r="AM1055" s="19">
        <v>0</v>
      </c>
      <c r="AN1055" s="19">
        <v>0</v>
      </c>
      <c r="AO1055" s="19">
        <v>0</v>
      </c>
      <c r="AP1055" s="19">
        <v>0</v>
      </c>
      <c r="AQ1055" s="19">
        <v>0</v>
      </c>
      <c r="AR1055" s="19">
        <v>19.168550945434973</v>
      </c>
    </row>
    <row r="1056" spans="1:44" x14ac:dyDescent="0.25">
      <c r="A1056" t="s">
        <v>250</v>
      </c>
      <c r="B1056" t="s">
        <v>391</v>
      </c>
      <c r="C1056" t="s">
        <v>44</v>
      </c>
      <c r="D1056" t="s">
        <v>390</v>
      </c>
      <c r="E1056" t="s">
        <v>134</v>
      </c>
      <c r="F1056" t="s">
        <v>390</v>
      </c>
      <c r="G1056" t="s">
        <v>31</v>
      </c>
      <c r="H1056" t="s">
        <v>278</v>
      </c>
      <c r="I1056" t="s">
        <v>135</v>
      </c>
      <c r="J1056" t="s">
        <v>39</v>
      </c>
      <c r="K1056" t="s">
        <v>31</v>
      </c>
      <c r="L1056">
        <v>4.0325188614540375E-2</v>
      </c>
      <c r="M1056">
        <v>0</v>
      </c>
      <c r="N1056" s="2">
        <v>0.18009299470238083</v>
      </c>
      <c r="O1056" s="2">
        <v>12.916489671181225</v>
      </c>
      <c r="P1056" s="1">
        <v>32.408117274389646</v>
      </c>
      <c r="Q1056" s="1">
        <v>38.848124604986538</v>
      </c>
      <c r="R1056" s="1">
        <v>-5.8983528039577333</v>
      </c>
      <c r="S1056" s="19">
        <v>4.048687211269395</v>
      </c>
      <c r="T1056" s="19">
        <v>6.5264729649560502</v>
      </c>
      <c r="U1056" s="19">
        <v>9.8171179239067765</v>
      </c>
      <c r="V1056" s="19">
        <v>13.933668670768393</v>
      </c>
      <c r="W1056" s="19">
        <v>18.783033337733592</v>
      </c>
      <c r="X1056" s="19">
        <v>24.130448802132989</v>
      </c>
      <c r="Y1056" s="19">
        <v>29.576599475980025</v>
      </c>
      <c r="Z1056" s="19">
        <v>34.563936215524997</v>
      </c>
      <c r="AA1056" s="19">
        <v>38.429483790357438</v>
      </c>
      <c r="AB1056" s="19">
        <v>40.513799704412072</v>
      </c>
      <c r="AC1056" s="19">
        <v>40.316793009890205</v>
      </c>
      <c r="AD1056" s="19">
        <v>37.663328310041472</v>
      </c>
      <c r="AE1056" s="19">
        <v>32.816458829311323</v>
      </c>
      <c r="AF1056" s="19">
        <v>24.331955901708316</v>
      </c>
      <c r="AG1056" s="19">
        <v>0</v>
      </c>
      <c r="AH1056" s="19">
        <v>0</v>
      </c>
      <c r="AI1056" s="19">
        <v>0</v>
      </c>
      <c r="AJ1056" s="19">
        <v>0</v>
      </c>
      <c r="AK1056" s="19">
        <v>0</v>
      </c>
      <c r="AL1056" s="19">
        <v>0</v>
      </c>
      <c r="AM1056" s="19">
        <v>0</v>
      </c>
      <c r="AN1056" s="19">
        <v>0</v>
      </c>
      <c r="AO1056" s="19">
        <v>0</v>
      </c>
      <c r="AP1056" s="19">
        <v>0</v>
      </c>
      <c r="AQ1056" s="19">
        <v>0</v>
      </c>
      <c r="AR1056" s="19">
        <v>355.45178414799312</v>
      </c>
    </row>
    <row r="1057" spans="1:44" x14ac:dyDescent="0.25">
      <c r="A1057" t="s">
        <v>250</v>
      </c>
      <c r="B1057" t="s">
        <v>392</v>
      </c>
      <c r="C1057" t="s">
        <v>44</v>
      </c>
      <c r="D1057" t="s">
        <v>390</v>
      </c>
      <c r="E1057" t="s">
        <v>134</v>
      </c>
      <c r="F1057" t="s">
        <v>390</v>
      </c>
      <c r="G1057" t="s">
        <v>31</v>
      </c>
      <c r="H1057" t="s">
        <v>272</v>
      </c>
      <c r="I1057" t="s">
        <v>135</v>
      </c>
      <c r="J1057" t="s">
        <v>39</v>
      </c>
      <c r="K1057" t="s">
        <v>31</v>
      </c>
      <c r="L1057">
        <v>7.4195278969956924E-2</v>
      </c>
      <c r="M1057">
        <v>0</v>
      </c>
      <c r="N1057" s="2">
        <v>0.27950272237800688</v>
      </c>
      <c r="O1057" s="2">
        <v>10.963614690254309</v>
      </c>
      <c r="P1057" s="1">
        <v>15.865375968895169</v>
      </c>
      <c r="Q1057" s="1">
        <v>21.246632142897212</v>
      </c>
      <c r="R1057" s="1">
        <v>-4.8396016473628869</v>
      </c>
      <c r="S1057" s="19">
        <v>10.106222551995684</v>
      </c>
      <c r="T1057" s="19">
        <v>16.363536033268115</v>
      </c>
      <c r="U1057" s="19">
        <v>24.723309380159968</v>
      </c>
      <c r="V1057" s="19">
        <v>35.246180166871028</v>
      </c>
      <c r="W1057" s="19">
        <v>47.723939766257082</v>
      </c>
      <c r="X1057" s="19">
        <v>61.582872279622357</v>
      </c>
      <c r="Y1057" s="19">
        <v>75.817029286420137</v>
      </c>
      <c r="Z1057" s="19">
        <v>88.995019049172171</v>
      </c>
      <c r="AA1057" s="19">
        <v>99.38733330136121</v>
      </c>
      <c r="AB1057" s="19">
        <v>105.2430548864473</v>
      </c>
      <c r="AC1057" s="19">
        <v>105.19629155341759</v>
      </c>
      <c r="AD1057" s="19">
        <v>98.709085651381343</v>
      </c>
      <c r="AE1057" s="19">
        <v>86.38814134457165</v>
      </c>
      <c r="AF1057" s="19">
        <v>71.113404996540339</v>
      </c>
      <c r="AG1057" s="19">
        <v>54.130687255072409</v>
      </c>
      <c r="AH1057" s="19">
        <v>6.0778817144665123</v>
      </c>
      <c r="AI1057" s="19">
        <v>0</v>
      </c>
      <c r="AJ1057" s="19">
        <v>0</v>
      </c>
      <c r="AK1057" s="19">
        <v>0</v>
      </c>
      <c r="AL1057" s="19">
        <v>0</v>
      </c>
      <c r="AM1057" s="19">
        <v>0</v>
      </c>
      <c r="AN1057" s="19">
        <v>0</v>
      </c>
      <c r="AO1057" s="19">
        <v>0</v>
      </c>
      <c r="AP1057" s="19">
        <v>0</v>
      </c>
      <c r="AQ1057" s="19">
        <v>0</v>
      </c>
      <c r="AR1057" s="19">
        <v>986.80398921702499</v>
      </c>
    </row>
    <row r="1058" spans="1:44" x14ac:dyDescent="0.25">
      <c r="A1058" t="s">
        <v>250</v>
      </c>
      <c r="B1058" t="s">
        <v>392</v>
      </c>
      <c r="C1058" t="s">
        <v>44</v>
      </c>
      <c r="D1058" t="s">
        <v>390</v>
      </c>
      <c r="E1058" t="s">
        <v>134</v>
      </c>
      <c r="F1058" t="s">
        <v>390</v>
      </c>
      <c r="G1058" t="s">
        <v>31</v>
      </c>
      <c r="H1058" t="s">
        <v>273</v>
      </c>
      <c r="I1058" t="s">
        <v>135</v>
      </c>
      <c r="J1058" t="s">
        <v>39</v>
      </c>
      <c r="K1058" t="s">
        <v>31</v>
      </c>
      <c r="L1058">
        <v>7.4195278969956924E-2</v>
      </c>
      <c r="M1058">
        <v>0</v>
      </c>
      <c r="N1058" s="2">
        <v>0.27950272237800688</v>
      </c>
      <c r="O1058" s="2">
        <v>10.963614690254309</v>
      </c>
      <c r="P1058" s="1">
        <v>15.865375968895169</v>
      </c>
      <c r="Q1058" s="1">
        <v>21.246632142897212</v>
      </c>
      <c r="R1058" s="1">
        <v>-4.8396016473628869</v>
      </c>
      <c r="S1058" s="19">
        <v>3.0395126027885877</v>
      </c>
      <c r="T1058" s="19">
        <v>4.9214406019073822</v>
      </c>
      <c r="U1058" s="19">
        <v>7.4356971714221967</v>
      </c>
      <c r="V1058" s="19">
        <v>10.600519458796835</v>
      </c>
      <c r="W1058" s="19">
        <v>14.353287356176139</v>
      </c>
      <c r="X1058" s="19">
        <v>18.521452050634792</v>
      </c>
      <c r="Y1058" s="19">
        <v>22.802467968267624</v>
      </c>
      <c r="Z1058" s="19">
        <v>26.765834672021256</v>
      </c>
      <c r="AA1058" s="19">
        <v>29.891391226822279</v>
      </c>
      <c r="AB1058" s="19">
        <v>31.652537833748696</v>
      </c>
      <c r="AC1058" s="19">
        <v>31.638473455158081</v>
      </c>
      <c r="AD1058" s="19">
        <v>29.687403805278855</v>
      </c>
      <c r="AE1058" s="19">
        <v>25.981799133886668</v>
      </c>
      <c r="AF1058" s="19">
        <v>21.387822166206881</v>
      </c>
      <c r="AG1058" s="19">
        <v>16.280158611479425</v>
      </c>
      <c r="AH1058" s="19">
        <v>1.8279627204261557</v>
      </c>
      <c r="AI1058" s="19">
        <v>0</v>
      </c>
      <c r="AJ1058" s="19">
        <v>0</v>
      </c>
      <c r="AK1058" s="19">
        <v>0</v>
      </c>
      <c r="AL1058" s="19">
        <v>0</v>
      </c>
      <c r="AM1058" s="19">
        <v>0</v>
      </c>
      <c r="AN1058" s="19">
        <v>0</v>
      </c>
      <c r="AO1058" s="19">
        <v>0</v>
      </c>
      <c r="AP1058" s="19">
        <v>0</v>
      </c>
      <c r="AQ1058" s="19">
        <v>0</v>
      </c>
      <c r="AR1058" s="19">
        <v>296.78776083502186</v>
      </c>
    </row>
    <row r="1059" spans="1:44" x14ac:dyDescent="0.25">
      <c r="A1059" t="s">
        <v>250</v>
      </c>
      <c r="B1059" t="s">
        <v>392</v>
      </c>
      <c r="C1059" t="s">
        <v>44</v>
      </c>
      <c r="D1059" t="s">
        <v>390</v>
      </c>
      <c r="E1059" t="s">
        <v>134</v>
      </c>
      <c r="F1059" t="s">
        <v>390</v>
      </c>
      <c r="G1059" t="s">
        <v>31</v>
      </c>
      <c r="H1059" t="s">
        <v>274</v>
      </c>
      <c r="I1059" t="s">
        <v>135</v>
      </c>
      <c r="J1059" t="s">
        <v>39</v>
      </c>
      <c r="K1059" t="s">
        <v>31</v>
      </c>
      <c r="L1059">
        <v>7.4195278969956924E-2</v>
      </c>
      <c r="M1059">
        <v>0</v>
      </c>
      <c r="N1059" s="2">
        <v>0.27950272237800688</v>
      </c>
      <c r="O1059" s="2">
        <v>10.963614690254309</v>
      </c>
      <c r="P1059" s="1">
        <v>15.865375968895169</v>
      </c>
      <c r="Q1059" s="1">
        <v>21.246632142897212</v>
      </c>
      <c r="R1059" s="1">
        <v>-4.8396016473628869</v>
      </c>
      <c r="S1059" s="19">
        <v>4.784737123622687</v>
      </c>
      <c r="T1059" s="19">
        <v>7.7472287918945968</v>
      </c>
      <c r="U1059" s="19">
        <v>11.70511886131982</v>
      </c>
      <c r="V1059" s="19">
        <v>16.687115867740253</v>
      </c>
      <c r="W1059" s="19">
        <v>22.594644547982124</v>
      </c>
      <c r="X1059" s="19">
        <v>29.156082172110612</v>
      </c>
      <c r="Y1059" s="19">
        <v>35.895167829832481</v>
      </c>
      <c r="Z1059" s="19">
        <v>42.134216743326689</v>
      </c>
      <c r="AA1059" s="19">
        <v>47.054402455344587</v>
      </c>
      <c r="AB1059" s="19">
        <v>49.82676258392965</v>
      </c>
      <c r="AC1059" s="19">
        <v>49.804622733513703</v>
      </c>
      <c r="AD1059" s="19">
        <v>46.733289725719629</v>
      </c>
      <c r="AE1059" s="19">
        <v>40.900004408720697</v>
      </c>
      <c r="AF1059" s="19">
        <v>33.668262016154635</v>
      </c>
      <c r="AG1059" s="19">
        <v>25.62788494949671</v>
      </c>
      <c r="AH1059" s="19">
        <v>2.8775406560241485</v>
      </c>
      <c r="AI1059" s="19">
        <v>0</v>
      </c>
      <c r="AJ1059" s="19">
        <v>0</v>
      </c>
      <c r="AK1059" s="19">
        <v>0</v>
      </c>
      <c r="AL1059" s="19">
        <v>0</v>
      </c>
      <c r="AM1059" s="19">
        <v>0</v>
      </c>
      <c r="AN1059" s="19">
        <v>0</v>
      </c>
      <c r="AO1059" s="19">
        <v>0</v>
      </c>
      <c r="AP1059" s="19">
        <v>0</v>
      </c>
      <c r="AQ1059" s="19">
        <v>0</v>
      </c>
      <c r="AR1059" s="19">
        <v>467.1970814667331</v>
      </c>
    </row>
    <row r="1060" spans="1:44" x14ac:dyDescent="0.25">
      <c r="A1060" t="s">
        <v>250</v>
      </c>
      <c r="B1060" t="s">
        <v>392</v>
      </c>
      <c r="C1060" t="s">
        <v>44</v>
      </c>
      <c r="D1060" t="s">
        <v>390</v>
      </c>
      <c r="E1060" t="s">
        <v>134</v>
      </c>
      <c r="F1060" t="s">
        <v>390</v>
      </c>
      <c r="G1060" t="s">
        <v>31</v>
      </c>
      <c r="H1060" t="s">
        <v>275</v>
      </c>
      <c r="I1060" t="s">
        <v>135</v>
      </c>
      <c r="J1060" t="s">
        <v>39</v>
      </c>
      <c r="K1060" t="s">
        <v>31</v>
      </c>
      <c r="L1060">
        <v>7.4195278969956924E-2</v>
      </c>
      <c r="M1060">
        <v>0</v>
      </c>
      <c r="N1060" s="2">
        <v>0.27950272237800688</v>
      </c>
      <c r="O1060" s="2">
        <v>10.963614690254309</v>
      </c>
      <c r="P1060" s="1">
        <v>15.865375968895169</v>
      </c>
      <c r="Q1060" s="1">
        <v>21.246632142897212</v>
      </c>
      <c r="R1060" s="1">
        <v>-4.8396016473628869</v>
      </c>
      <c r="S1060" s="19">
        <v>7.309582611186257</v>
      </c>
      <c r="T1060" s="19">
        <v>11.83534380238606</v>
      </c>
      <c r="U1060" s="19">
        <v>17.881762587991801</v>
      </c>
      <c r="V1060" s="19">
        <v>25.492696636452276</v>
      </c>
      <c r="W1060" s="19">
        <v>34.517553760365892</v>
      </c>
      <c r="X1060" s="19">
        <v>44.541379337934856</v>
      </c>
      <c r="Y1060" s="19">
        <v>54.836595577877837</v>
      </c>
      <c r="Z1060" s="19">
        <v>64.367911984637686</v>
      </c>
      <c r="AA1060" s="19">
        <v>71.884417697524825</v>
      </c>
      <c r="AB1060" s="19">
        <v>76.119717331396558</v>
      </c>
      <c r="AC1060" s="19">
        <v>76.085894560900769</v>
      </c>
      <c r="AD1060" s="19">
        <v>71.393857826824984</v>
      </c>
      <c r="AE1060" s="19">
        <v>62.482421353395459</v>
      </c>
      <c r="AF1060" s="19">
        <v>51.434579627608741</v>
      </c>
      <c r="AG1060" s="19">
        <v>39.151396899834275</v>
      </c>
      <c r="AH1060" s="19">
        <v>4.3959826002585007</v>
      </c>
      <c r="AI1060" s="19">
        <v>0</v>
      </c>
      <c r="AJ1060" s="19">
        <v>0</v>
      </c>
      <c r="AK1060" s="19">
        <v>0</v>
      </c>
      <c r="AL1060" s="19">
        <v>0</v>
      </c>
      <c r="AM1060" s="19">
        <v>0</v>
      </c>
      <c r="AN1060" s="19">
        <v>0</v>
      </c>
      <c r="AO1060" s="19">
        <v>0</v>
      </c>
      <c r="AP1060" s="19">
        <v>0</v>
      </c>
      <c r="AQ1060" s="19">
        <v>0</v>
      </c>
      <c r="AR1060" s="19">
        <v>713.73109419657681</v>
      </c>
    </row>
    <row r="1061" spans="1:44" x14ac:dyDescent="0.25">
      <c r="A1061" t="s">
        <v>250</v>
      </c>
      <c r="B1061" t="s">
        <v>392</v>
      </c>
      <c r="C1061" t="s">
        <v>44</v>
      </c>
      <c r="D1061" t="s">
        <v>390</v>
      </c>
      <c r="E1061" t="s">
        <v>134</v>
      </c>
      <c r="F1061" t="s">
        <v>390</v>
      </c>
      <c r="G1061" t="s">
        <v>31</v>
      </c>
      <c r="H1061" t="s">
        <v>274</v>
      </c>
      <c r="I1061" t="s">
        <v>135</v>
      </c>
      <c r="J1061" t="s">
        <v>39</v>
      </c>
      <c r="K1061" t="s">
        <v>33</v>
      </c>
      <c r="L1061">
        <v>7.4195278969956924E-2</v>
      </c>
      <c r="M1061">
        <v>0</v>
      </c>
      <c r="N1061" s="2">
        <v>0.27950272237800688</v>
      </c>
      <c r="O1061" s="2">
        <v>10.963614690254309</v>
      </c>
      <c r="P1061" s="1">
        <v>15.865375968895169</v>
      </c>
      <c r="Q1061" s="1">
        <v>21.246632142897212</v>
      </c>
      <c r="R1061" s="1">
        <v>-4.8396016473628869</v>
      </c>
      <c r="S1061" s="19">
        <v>1.539480855410413E-2</v>
      </c>
      <c r="T1061" s="19">
        <v>2.4926574019548144E-2</v>
      </c>
      <c r="U1061" s="19">
        <v>3.7661016544335867E-2</v>
      </c>
      <c r="V1061" s="19">
        <v>5.3690505343689715E-2</v>
      </c>
      <c r="W1061" s="19">
        <v>7.2697876221224006E-2</v>
      </c>
      <c r="X1061" s="19">
        <v>9.3809187763178523E-2</v>
      </c>
      <c r="Y1061" s="19">
        <v>0.11549207876634962</v>
      </c>
      <c r="Z1061" s="19">
        <v>0.13556611023376966</v>
      </c>
      <c r="AA1061" s="19">
        <v>0.15139672226743653</v>
      </c>
      <c r="AB1061" s="19">
        <v>0.16031674280772576</v>
      </c>
      <c r="AC1061" s="19">
        <v>0.16024550822372166</v>
      </c>
      <c r="AD1061" s="19">
        <v>0.15036354763962773</v>
      </c>
      <c r="AE1061" s="19">
        <v>0.13159505349325071</v>
      </c>
      <c r="AF1061" s="19">
        <v>0.10832704800628244</v>
      </c>
      <c r="AG1061" s="19">
        <v>8.2457274506523293E-2</v>
      </c>
      <c r="AH1061" s="19">
        <v>9.2584370596736076E-3</v>
      </c>
      <c r="AI1061" s="19">
        <v>0</v>
      </c>
      <c r="AJ1061" s="19">
        <v>0</v>
      </c>
      <c r="AK1061" s="19">
        <v>0</v>
      </c>
      <c r="AL1061" s="19">
        <v>0</v>
      </c>
      <c r="AM1061" s="19">
        <v>0</v>
      </c>
      <c r="AN1061" s="19">
        <v>0</v>
      </c>
      <c r="AO1061" s="19">
        <v>0</v>
      </c>
      <c r="AP1061" s="19">
        <v>0</v>
      </c>
      <c r="AQ1061" s="19">
        <v>0</v>
      </c>
      <c r="AR1061" s="19">
        <v>1.503198491450441</v>
      </c>
    </row>
    <row r="1062" spans="1:44" x14ac:dyDescent="0.25">
      <c r="A1062" t="s">
        <v>250</v>
      </c>
      <c r="B1062" t="s">
        <v>392</v>
      </c>
      <c r="C1062" t="s">
        <v>44</v>
      </c>
      <c r="D1062" t="s">
        <v>390</v>
      </c>
      <c r="E1062" t="s">
        <v>134</v>
      </c>
      <c r="F1062" t="s">
        <v>390</v>
      </c>
      <c r="G1062" t="s">
        <v>31</v>
      </c>
      <c r="H1062" t="s">
        <v>272</v>
      </c>
      <c r="I1062" t="s">
        <v>135</v>
      </c>
      <c r="J1062" t="s">
        <v>40</v>
      </c>
      <c r="K1062" t="s">
        <v>31</v>
      </c>
      <c r="L1062">
        <v>7.4195278969956924E-2</v>
      </c>
      <c r="M1062">
        <v>0</v>
      </c>
      <c r="N1062" s="2">
        <v>0.27950272237800688</v>
      </c>
      <c r="O1062" s="2">
        <v>9.6708435291849302</v>
      </c>
      <c r="P1062" s="1">
        <v>15.865375968895169</v>
      </c>
      <c r="Q1062" s="1">
        <v>0.4672931329656026</v>
      </c>
      <c r="R1062" s="1">
        <v>-4.6966016473628862</v>
      </c>
      <c r="S1062" s="19">
        <v>0.99966551056795139</v>
      </c>
      <c r="T1062" s="19">
        <v>1.6186129406148688</v>
      </c>
      <c r="U1062" s="19">
        <v>2.4455269579994101</v>
      </c>
      <c r="V1062" s="19">
        <v>3.4864055794147721</v>
      </c>
      <c r="W1062" s="19">
        <v>4.7206536732489246</v>
      </c>
      <c r="X1062" s="19">
        <v>6.0915216484613115</v>
      </c>
      <c r="Y1062" s="19">
        <v>7.4995052702839891</v>
      </c>
      <c r="Z1062" s="19">
        <v>8.803017220140994</v>
      </c>
      <c r="AA1062" s="19">
        <v>9.8309817320491231</v>
      </c>
      <c r="AB1062" s="19">
        <v>10.410205361647792</v>
      </c>
      <c r="AC1062" s="19">
        <v>10.405579727198472</v>
      </c>
      <c r="AD1062" s="19">
        <v>9.7638922948414741</v>
      </c>
      <c r="AE1062" s="19">
        <v>8.5451557176706086</v>
      </c>
      <c r="AF1062" s="19">
        <v>7.0342423144099353</v>
      </c>
      <c r="AG1062" s="19">
        <v>5.3543824939369076</v>
      </c>
      <c r="AH1062" s="19">
        <v>0.6011987857979465</v>
      </c>
      <c r="AI1062" s="19">
        <v>0</v>
      </c>
      <c r="AJ1062" s="19">
        <v>0</v>
      </c>
      <c r="AK1062" s="19">
        <v>0</v>
      </c>
      <c r="AL1062" s="19">
        <v>0</v>
      </c>
      <c r="AM1062" s="19">
        <v>0</v>
      </c>
      <c r="AN1062" s="19">
        <v>0</v>
      </c>
      <c r="AO1062" s="19">
        <v>0</v>
      </c>
      <c r="AP1062" s="19">
        <v>0</v>
      </c>
      <c r="AQ1062" s="19">
        <v>0</v>
      </c>
      <c r="AR1062" s="19">
        <v>97.610547228284503</v>
      </c>
    </row>
    <row r="1063" spans="1:44" x14ac:dyDescent="0.25">
      <c r="A1063" t="s">
        <v>250</v>
      </c>
      <c r="B1063" t="s">
        <v>393</v>
      </c>
      <c r="C1063" t="s">
        <v>44</v>
      </c>
      <c r="D1063" t="s">
        <v>390</v>
      </c>
      <c r="E1063" t="s">
        <v>134</v>
      </c>
      <c r="F1063" t="s">
        <v>390</v>
      </c>
      <c r="G1063" t="s">
        <v>31</v>
      </c>
      <c r="H1063" t="s">
        <v>277</v>
      </c>
      <c r="I1063" t="s">
        <v>135</v>
      </c>
      <c r="J1063" t="s">
        <v>39</v>
      </c>
      <c r="K1063" t="s">
        <v>31</v>
      </c>
      <c r="L1063">
        <v>1.7330886141164292E-2</v>
      </c>
      <c r="M1063">
        <v>0</v>
      </c>
      <c r="N1063" s="2">
        <v>5.2590649203604373E-2</v>
      </c>
      <c r="O1063" s="2">
        <v>8.7388756588801293</v>
      </c>
      <c r="P1063" s="1">
        <v>85.829647673268298</v>
      </c>
      <c r="Q1063" s="1">
        <v>90.005573805405362</v>
      </c>
      <c r="R1063" s="1">
        <v>-3.6342716054979225</v>
      </c>
      <c r="S1063" s="19">
        <v>3.6234967895703791</v>
      </c>
      <c r="T1063" s="19">
        <v>5.8662939500886386</v>
      </c>
      <c r="U1063" s="19">
        <v>8.8621869634590862</v>
      </c>
      <c r="V1063" s="19">
        <v>12.632636568874853</v>
      </c>
      <c r="W1063" s="19">
        <v>17.102747135105886</v>
      </c>
      <c r="X1063" s="19">
        <v>22.06668865105377</v>
      </c>
      <c r="Y1063" s="19">
        <v>27.163869210927466</v>
      </c>
      <c r="Z1063" s="19">
        <v>31.881460486385443</v>
      </c>
      <c r="AA1063" s="19">
        <v>35.600097427765121</v>
      </c>
      <c r="AB1063" s="19">
        <v>37.693046043579379</v>
      </c>
      <c r="AC1063" s="19">
        <v>37.671755597432799</v>
      </c>
      <c r="AD1063" s="19">
        <v>35.344366303526442</v>
      </c>
      <c r="AE1063" s="19">
        <v>30.928926131714345</v>
      </c>
      <c r="AF1063" s="19">
        <v>25.457152576967292</v>
      </c>
      <c r="AG1063" s="19">
        <v>19.375348977556001</v>
      </c>
      <c r="AH1063" s="19">
        <v>1.5175140039326749</v>
      </c>
      <c r="AI1063" s="19">
        <v>0</v>
      </c>
      <c r="AJ1063" s="19">
        <v>0</v>
      </c>
      <c r="AK1063" s="19">
        <v>0</v>
      </c>
      <c r="AL1063" s="19">
        <v>0</v>
      </c>
      <c r="AM1063" s="19">
        <v>0</v>
      </c>
      <c r="AN1063" s="19">
        <v>0</v>
      </c>
      <c r="AO1063" s="19">
        <v>0</v>
      </c>
      <c r="AP1063" s="19">
        <v>0</v>
      </c>
      <c r="AQ1063" s="19">
        <v>0</v>
      </c>
      <c r="AR1063" s="19">
        <v>352.78758681793954</v>
      </c>
    </row>
    <row r="1064" spans="1:44" x14ac:dyDescent="0.25">
      <c r="A1064" t="s">
        <v>250</v>
      </c>
      <c r="B1064" t="s">
        <v>393</v>
      </c>
      <c r="C1064" t="s">
        <v>44</v>
      </c>
      <c r="D1064" t="s">
        <v>390</v>
      </c>
      <c r="E1064" t="s">
        <v>134</v>
      </c>
      <c r="F1064" t="s">
        <v>390</v>
      </c>
      <c r="G1064" t="s">
        <v>31</v>
      </c>
      <c r="H1064" t="s">
        <v>277</v>
      </c>
      <c r="I1064" t="s">
        <v>135</v>
      </c>
      <c r="J1064" t="s">
        <v>40</v>
      </c>
      <c r="K1064" t="s">
        <v>31</v>
      </c>
      <c r="L1064">
        <v>1.7330886141164292E-2</v>
      </c>
      <c r="M1064">
        <v>0</v>
      </c>
      <c r="N1064" s="2">
        <v>5.2590649203604373E-2</v>
      </c>
      <c r="O1064" s="2">
        <v>7.4455689628598627</v>
      </c>
      <c r="P1064" s="1">
        <v>85.829647673268298</v>
      </c>
      <c r="Q1064" s="1">
        <v>0.4672931329656026</v>
      </c>
      <c r="R1064" s="1">
        <v>-3.4912716054979223</v>
      </c>
      <c r="S1064" s="19">
        <v>0.5715899143113311</v>
      </c>
      <c r="T1064" s="19">
        <v>0.92538082713571435</v>
      </c>
      <c r="U1064" s="19">
        <v>1.3979691389916129</v>
      </c>
      <c r="V1064" s="19">
        <v>1.9927401825531863</v>
      </c>
      <c r="W1064" s="19">
        <v>2.6978795172611698</v>
      </c>
      <c r="X1064" s="19">
        <v>3.4809184077367763</v>
      </c>
      <c r="Y1064" s="19">
        <v>4.2849751431625105</v>
      </c>
      <c r="Z1064" s="19">
        <v>5.029153418870222</v>
      </c>
      <c r="AA1064" s="19">
        <v>5.6157512535353833</v>
      </c>
      <c r="AB1064" s="19">
        <v>5.9459042492313277</v>
      </c>
      <c r="AC1064" s="19">
        <v>5.9425457795002101</v>
      </c>
      <c r="AD1064" s="19">
        <v>5.5754108476017938</v>
      </c>
      <c r="AE1064" s="19">
        <v>4.8788955155840394</v>
      </c>
      <c r="AF1064" s="19">
        <v>4.015748462082799</v>
      </c>
      <c r="AG1064" s="19">
        <v>3.0563719812613521</v>
      </c>
      <c r="AH1064" s="19">
        <v>0.23938083841299643</v>
      </c>
      <c r="AI1064" s="19">
        <v>0</v>
      </c>
      <c r="AJ1064" s="19">
        <v>0</v>
      </c>
      <c r="AK1064" s="19">
        <v>0</v>
      </c>
      <c r="AL1064" s="19">
        <v>0</v>
      </c>
      <c r="AM1064" s="19">
        <v>0</v>
      </c>
      <c r="AN1064" s="19">
        <v>0</v>
      </c>
      <c r="AO1064" s="19">
        <v>0</v>
      </c>
      <c r="AP1064" s="19">
        <v>0</v>
      </c>
      <c r="AQ1064" s="19">
        <v>0</v>
      </c>
      <c r="AR1064" s="19">
        <v>55.650615477232421</v>
      </c>
    </row>
    <row r="1065" spans="1:44" x14ac:dyDescent="0.25">
      <c r="A1065" t="s">
        <v>250</v>
      </c>
      <c r="B1065" t="s">
        <v>394</v>
      </c>
      <c r="C1065" t="s">
        <v>44</v>
      </c>
      <c r="D1065" t="s">
        <v>390</v>
      </c>
      <c r="E1065" t="s">
        <v>134</v>
      </c>
      <c r="F1065" t="s">
        <v>390</v>
      </c>
      <c r="G1065" t="s">
        <v>31</v>
      </c>
      <c r="H1065" t="s">
        <v>276</v>
      </c>
      <c r="I1065" t="s">
        <v>135</v>
      </c>
      <c r="J1065" t="s">
        <v>39</v>
      </c>
      <c r="K1065" t="s">
        <v>31</v>
      </c>
      <c r="L1065">
        <v>0.14568348082595861</v>
      </c>
      <c r="M1065">
        <v>0</v>
      </c>
      <c r="N1065" s="2">
        <v>0.32133818869682679</v>
      </c>
      <c r="O1065" s="2">
        <v>6.5040144936843847</v>
      </c>
      <c r="P1065" s="1">
        <v>7.995752395375872</v>
      </c>
      <c r="Q1065" s="1">
        <v>10.96330599894752</v>
      </c>
      <c r="R1065" s="1">
        <v>-2.4258990769324882</v>
      </c>
      <c r="S1065" s="19">
        <v>43.849527255409519</v>
      </c>
      <c r="T1065" s="19">
        <v>71.177478889768594</v>
      </c>
      <c r="U1065" s="19">
        <v>107.81059274393874</v>
      </c>
      <c r="V1065" s="19">
        <v>154.08354913334583</v>
      </c>
      <c r="W1065" s="19">
        <v>209.15579003741783</v>
      </c>
      <c r="X1065" s="19">
        <v>270.57204859260111</v>
      </c>
      <c r="Y1065" s="19">
        <v>333.94822446783161</v>
      </c>
      <c r="Z1065" s="19">
        <v>392.97729753045462</v>
      </c>
      <c r="AA1065" s="19">
        <v>439.96910965077234</v>
      </c>
      <c r="AB1065" s="19">
        <v>467.0614030935709</v>
      </c>
      <c r="AC1065" s="19">
        <v>468.02639896075402</v>
      </c>
      <c r="AD1065" s="19">
        <v>440.26730505818358</v>
      </c>
      <c r="AE1065" s="19">
        <v>386.28053358446095</v>
      </c>
      <c r="AF1065" s="19">
        <v>318.77888874801778</v>
      </c>
      <c r="AG1065" s="19">
        <v>243.26017000361236</v>
      </c>
      <c r="AH1065" s="19">
        <v>168.05722406303403</v>
      </c>
      <c r="AI1065" s="19">
        <v>32.009973262964394</v>
      </c>
      <c r="AJ1065" s="19">
        <v>0</v>
      </c>
      <c r="AK1065" s="19">
        <v>0</v>
      </c>
      <c r="AL1065" s="19">
        <v>0</v>
      </c>
      <c r="AM1065" s="19">
        <v>0</v>
      </c>
      <c r="AN1065" s="19">
        <v>0</v>
      </c>
      <c r="AO1065" s="19">
        <v>0</v>
      </c>
      <c r="AP1065" s="19">
        <v>0</v>
      </c>
      <c r="AQ1065" s="19">
        <v>0</v>
      </c>
      <c r="AR1065" s="19">
        <v>4547.285515076137</v>
      </c>
    </row>
    <row r="1066" spans="1:44" x14ac:dyDescent="0.25">
      <c r="A1066" t="s">
        <v>250</v>
      </c>
      <c r="B1066" t="s">
        <v>395</v>
      </c>
      <c r="C1066" t="s">
        <v>44</v>
      </c>
      <c r="D1066" t="s">
        <v>390</v>
      </c>
      <c r="E1066" t="s">
        <v>134</v>
      </c>
      <c r="F1066" t="s">
        <v>390</v>
      </c>
      <c r="G1066" t="s">
        <v>31</v>
      </c>
      <c r="H1066" t="s">
        <v>253</v>
      </c>
      <c r="I1066" t="s">
        <v>135</v>
      </c>
      <c r="J1066" t="s">
        <v>39</v>
      </c>
      <c r="K1066" t="s">
        <v>31</v>
      </c>
      <c r="L1066">
        <v>0.26148930323017083</v>
      </c>
      <c r="M1066">
        <v>0</v>
      </c>
      <c r="N1066" s="2">
        <v>0.52383520285766771</v>
      </c>
      <c r="O1066" s="2">
        <v>6.0314982584435803</v>
      </c>
      <c r="P1066" s="1">
        <v>3.4772274133658292</v>
      </c>
      <c r="Q1066" s="1">
        <v>6.2366719843947944</v>
      </c>
      <c r="R1066" s="1">
        <v>-2.2177900443898042</v>
      </c>
      <c r="S1066" s="19">
        <v>8.6142718673965621</v>
      </c>
      <c r="T1066" s="19">
        <v>13.954843469664349</v>
      </c>
      <c r="U1066" s="19">
        <v>21.094659118697539</v>
      </c>
      <c r="V1066" s="19">
        <v>30.088189872267947</v>
      </c>
      <c r="W1066" s="19">
        <v>40.760395473012601</v>
      </c>
      <c r="X1066" s="19">
        <v>52.623549352865936</v>
      </c>
      <c r="Y1066" s="19">
        <v>64.819407314510158</v>
      </c>
      <c r="Z1066" s="19">
        <v>76.12408550334699</v>
      </c>
      <c r="AA1066" s="19">
        <v>85.056111068593594</v>
      </c>
      <c r="AB1066" s="19">
        <v>90.112704852345075</v>
      </c>
      <c r="AC1066" s="19">
        <v>90.117908943178577</v>
      </c>
      <c r="AD1066" s="19">
        <v>84.603026812700548</v>
      </c>
      <c r="AE1066" s="19">
        <v>74.080004155933409</v>
      </c>
      <c r="AF1066" s="19">
        <v>61.012165198843824</v>
      </c>
      <c r="AG1066" s="19">
        <v>46.465070539992432</v>
      </c>
      <c r="AH1066" s="19">
        <v>11.797682836941414</v>
      </c>
      <c r="AI1066" s="19">
        <v>0</v>
      </c>
      <c r="AJ1066" s="19">
        <v>0</v>
      </c>
      <c r="AK1066" s="19">
        <v>0</v>
      </c>
      <c r="AL1066" s="19">
        <v>0</v>
      </c>
      <c r="AM1066" s="19">
        <v>0</v>
      </c>
      <c r="AN1066" s="19">
        <v>0</v>
      </c>
      <c r="AO1066" s="19">
        <v>0</v>
      </c>
      <c r="AP1066" s="19">
        <v>0</v>
      </c>
      <c r="AQ1066" s="19">
        <v>0</v>
      </c>
      <c r="AR1066" s="19">
        <v>851.3240763802911</v>
      </c>
    </row>
    <row r="1067" spans="1:44" x14ac:dyDescent="0.25">
      <c r="A1067" t="s">
        <v>250</v>
      </c>
      <c r="B1067" t="s">
        <v>395</v>
      </c>
      <c r="C1067" t="s">
        <v>44</v>
      </c>
      <c r="D1067" t="s">
        <v>390</v>
      </c>
      <c r="E1067" t="s">
        <v>134</v>
      </c>
      <c r="F1067" t="s">
        <v>390</v>
      </c>
      <c r="G1067" t="s">
        <v>31</v>
      </c>
      <c r="H1067" t="s">
        <v>253</v>
      </c>
      <c r="I1067" t="s">
        <v>256</v>
      </c>
      <c r="J1067" t="s">
        <v>39</v>
      </c>
      <c r="K1067" t="s">
        <v>31</v>
      </c>
      <c r="L1067">
        <v>0.26148930323017083</v>
      </c>
      <c r="M1067">
        <v>0</v>
      </c>
      <c r="N1067" s="2">
        <v>0.28926507394766826</v>
      </c>
      <c r="O1067" s="2">
        <v>3.330631046226137</v>
      </c>
      <c r="P1067" s="1">
        <v>4.9401643647146969</v>
      </c>
      <c r="Q1067" s="1">
        <v>0.4672931329656026</v>
      </c>
      <c r="R1067" s="1">
        <v>-0.75485309304093573</v>
      </c>
      <c r="S1067" s="19">
        <v>4.5187103078227304</v>
      </c>
      <c r="T1067" s="19">
        <v>7.3201654186336462</v>
      </c>
      <c r="U1067" s="19">
        <v>11.065433627702941</v>
      </c>
      <c r="V1067" s="19">
        <v>15.78308832277834</v>
      </c>
      <c r="W1067" s="19">
        <v>21.381310226803635</v>
      </c>
      <c r="X1067" s="19">
        <v>27.604257046379868</v>
      </c>
      <c r="Y1067" s="19">
        <v>34.001727422559107</v>
      </c>
      <c r="Z1067" s="19">
        <v>39.931719724271098</v>
      </c>
      <c r="AA1067" s="19">
        <v>44.617111201660592</v>
      </c>
      <c r="AB1067" s="19">
        <v>47.269602648974967</v>
      </c>
      <c r="AC1067" s="19">
        <v>47.272332511609221</v>
      </c>
      <c r="AD1067" s="19">
        <v>44.379440911132029</v>
      </c>
      <c r="AE1067" s="19">
        <v>38.859474548269063</v>
      </c>
      <c r="AF1067" s="19">
        <v>32.004597025786779</v>
      </c>
      <c r="AG1067" s="19">
        <v>24.373759783161976</v>
      </c>
      <c r="AH1067" s="19">
        <v>6.1886032695902617</v>
      </c>
      <c r="AI1067" s="19">
        <v>0</v>
      </c>
      <c r="AJ1067" s="19">
        <v>0</v>
      </c>
      <c r="AK1067" s="19">
        <v>0</v>
      </c>
      <c r="AL1067" s="19">
        <v>0</v>
      </c>
      <c r="AM1067" s="19">
        <v>0</v>
      </c>
      <c r="AN1067" s="19">
        <v>0</v>
      </c>
      <c r="AO1067" s="19">
        <v>0</v>
      </c>
      <c r="AP1067" s="19">
        <v>0</v>
      </c>
      <c r="AQ1067" s="19">
        <v>0</v>
      </c>
      <c r="AR1067" s="19">
        <v>446.57133399713626</v>
      </c>
    </row>
    <row r="1068" spans="1:44" x14ac:dyDescent="0.25">
      <c r="A1068" t="s">
        <v>250</v>
      </c>
      <c r="B1068" t="s">
        <v>395</v>
      </c>
      <c r="C1068" t="s">
        <v>44</v>
      </c>
      <c r="D1068" t="s">
        <v>390</v>
      </c>
      <c r="E1068" t="s">
        <v>134</v>
      </c>
      <c r="F1068" t="s">
        <v>390</v>
      </c>
      <c r="G1068" t="s">
        <v>31</v>
      </c>
      <c r="H1068" t="s">
        <v>253</v>
      </c>
      <c r="I1068" t="s">
        <v>135</v>
      </c>
      <c r="J1068" t="s">
        <v>40</v>
      </c>
      <c r="K1068" t="s">
        <v>31</v>
      </c>
      <c r="L1068">
        <v>0.26148930323017083</v>
      </c>
      <c r="M1068">
        <v>0</v>
      </c>
      <c r="N1068" s="2">
        <v>0.52383520285766771</v>
      </c>
      <c r="O1068" s="2">
        <v>4.8304674702220067</v>
      </c>
      <c r="P1068" s="1">
        <v>3.4772274133658292</v>
      </c>
      <c r="Q1068" s="1">
        <v>0.4672931329656026</v>
      </c>
      <c r="R1068" s="1">
        <v>-2.0747900443898049</v>
      </c>
      <c r="S1068" s="19">
        <v>4.5312860407882969</v>
      </c>
      <c r="T1068" s="19">
        <v>7.3405377017183007</v>
      </c>
      <c r="U1068" s="19">
        <v>11.09622912663308</v>
      </c>
      <c r="V1068" s="19">
        <v>15.827013224043998</v>
      </c>
      <c r="W1068" s="19">
        <v>21.440815180551329</v>
      </c>
      <c r="X1068" s="19">
        <v>27.68108068447129</v>
      </c>
      <c r="Y1068" s="19">
        <v>34.096355450316011</v>
      </c>
      <c r="Z1068" s="19">
        <v>40.042851133434219</v>
      </c>
      <c r="AA1068" s="19">
        <v>44.741282223466463</v>
      </c>
      <c r="AB1068" s="19">
        <v>47.401155649678017</v>
      </c>
      <c r="AC1068" s="19">
        <v>47.403893109617968</v>
      </c>
      <c r="AD1068" s="19">
        <v>44.502950487989253</v>
      </c>
      <c r="AE1068" s="19">
        <v>38.967621860623929</v>
      </c>
      <c r="AF1068" s="19">
        <v>32.093666967971416</v>
      </c>
      <c r="AG1068" s="19">
        <v>24.441592831425616</v>
      </c>
      <c r="AH1068" s="19">
        <v>6.2058263746021165</v>
      </c>
      <c r="AI1068" s="19">
        <v>0</v>
      </c>
      <c r="AJ1068" s="19">
        <v>0</v>
      </c>
      <c r="AK1068" s="19">
        <v>0</v>
      </c>
      <c r="AL1068" s="19">
        <v>0</v>
      </c>
      <c r="AM1068" s="19">
        <v>0</v>
      </c>
      <c r="AN1068" s="19">
        <v>0</v>
      </c>
      <c r="AO1068" s="19">
        <v>0</v>
      </c>
      <c r="AP1068" s="19">
        <v>0</v>
      </c>
      <c r="AQ1068" s="19">
        <v>0</v>
      </c>
      <c r="AR1068" s="19">
        <v>447.81415804733126</v>
      </c>
    </row>
    <row r="1069" spans="1:44" x14ac:dyDescent="0.25">
      <c r="A1069" t="s">
        <v>250</v>
      </c>
      <c r="B1069" t="s">
        <v>396</v>
      </c>
      <c r="C1069" t="s">
        <v>44</v>
      </c>
      <c r="D1069" t="s">
        <v>390</v>
      </c>
      <c r="E1069" t="s">
        <v>134</v>
      </c>
      <c r="F1069" t="s">
        <v>390</v>
      </c>
      <c r="G1069" t="s">
        <v>31</v>
      </c>
      <c r="H1069" t="s">
        <v>252</v>
      </c>
      <c r="I1069" t="s">
        <v>135</v>
      </c>
      <c r="J1069" t="s">
        <v>39</v>
      </c>
      <c r="K1069" t="s">
        <v>31</v>
      </c>
      <c r="L1069">
        <v>0.29656632466037225</v>
      </c>
      <c r="M1069">
        <v>0</v>
      </c>
      <c r="N1069" s="2">
        <v>0.70838296473979667</v>
      </c>
      <c r="O1069" s="2">
        <v>7.236633810211182</v>
      </c>
      <c r="P1069" s="1">
        <v>2.1571713853867371</v>
      </c>
      <c r="Q1069" s="1">
        <v>5.5333847029631578</v>
      </c>
      <c r="R1069" s="1">
        <v>-2.8345587909372605</v>
      </c>
      <c r="S1069" s="19">
        <v>7.2680155479217357</v>
      </c>
      <c r="T1069" s="19">
        <v>11.77868048467996</v>
      </c>
      <c r="U1069" s="19">
        <v>17.812241770856339</v>
      </c>
      <c r="V1069" s="19">
        <v>25.416545829792991</v>
      </c>
      <c r="W1069" s="19">
        <v>34.445560380324764</v>
      </c>
      <c r="X1069" s="19">
        <v>44.488667728972437</v>
      </c>
      <c r="Y1069" s="19">
        <v>54.821222633142632</v>
      </c>
      <c r="Z1069" s="19">
        <v>64.408049541267445</v>
      </c>
      <c r="AA1069" s="19">
        <v>71.994277762923744</v>
      </c>
      <c r="AB1069" s="19">
        <v>76.304979673712594</v>
      </c>
      <c r="AC1069" s="19">
        <v>76.340035772985402</v>
      </c>
      <c r="AD1069" s="19">
        <v>71.697093775255695</v>
      </c>
      <c r="AE1069" s="19">
        <v>62.804541159399399</v>
      </c>
      <c r="AF1069" s="19">
        <v>51.746488551657173</v>
      </c>
      <c r="AG1069" s="19">
        <v>39.424432063071066</v>
      </c>
      <c r="AH1069" s="19">
        <v>14.482472712628644</v>
      </c>
      <c r="AI1069" s="19">
        <v>0</v>
      </c>
      <c r="AJ1069" s="19">
        <v>0</v>
      </c>
      <c r="AK1069" s="19">
        <v>0</v>
      </c>
      <c r="AL1069" s="19">
        <v>0</v>
      </c>
      <c r="AM1069" s="19">
        <v>0</v>
      </c>
      <c r="AN1069" s="19">
        <v>0</v>
      </c>
      <c r="AO1069" s="19">
        <v>0</v>
      </c>
      <c r="AP1069" s="19">
        <v>0</v>
      </c>
      <c r="AQ1069" s="19">
        <v>0</v>
      </c>
      <c r="AR1069" s="19">
        <v>725.23330538859204</v>
      </c>
    </row>
    <row r="1070" spans="1:44" x14ac:dyDescent="0.25">
      <c r="A1070" t="s">
        <v>250</v>
      </c>
      <c r="B1070" t="s">
        <v>397</v>
      </c>
      <c r="C1070" t="s">
        <v>44</v>
      </c>
      <c r="D1070" t="s">
        <v>390</v>
      </c>
      <c r="E1070" t="s">
        <v>134</v>
      </c>
      <c r="F1070" t="s">
        <v>390</v>
      </c>
      <c r="G1070" t="s">
        <v>31</v>
      </c>
      <c r="H1070" t="s">
        <v>254</v>
      </c>
      <c r="I1070" t="s">
        <v>135</v>
      </c>
      <c r="J1070" t="s">
        <v>39</v>
      </c>
      <c r="K1070" t="s">
        <v>31</v>
      </c>
      <c r="L1070">
        <v>0.18916475889744169</v>
      </c>
      <c r="M1070">
        <v>0</v>
      </c>
      <c r="N1070" s="2">
        <v>0.40629251985025328</v>
      </c>
      <c r="O1070" s="2">
        <v>6.3833710076387984</v>
      </c>
      <c r="P1070" s="1">
        <v>5.5794100196641887</v>
      </c>
      <c r="Q1070" s="1">
        <v>8.5100798872179535</v>
      </c>
      <c r="R1070" s="1">
        <v>-2.3890153409146042</v>
      </c>
      <c r="S1070" s="19">
        <v>23.828635365187623</v>
      </c>
      <c r="T1070" s="19">
        <v>38.586635773163451</v>
      </c>
      <c r="U1070" s="19">
        <v>58.306343485646195</v>
      </c>
      <c r="V1070" s="19">
        <v>83.132473921438532</v>
      </c>
      <c r="W1070" s="19">
        <v>112.57562881619792</v>
      </c>
      <c r="X1070" s="19">
        <v>145.28389620756147</v>
      </c>
      <c r="Y1070" s="19">
        <v>178.88492596666532</v>
      </c>
      <c r="Z1070" s="19">
        <v>210.00136952628975</v>
      </c>
      <c r="AA1070" s="19">
        <v>234.55079503446356</v>
      </c>
      <c r="AB1070" s="19">
        <v>248.39838155799248</v>
      </c>
      <c r="AC1070" s="19">
        <v>248.3162784316176</v>
      </c>
      <c r="AD1070" s="19">
        <v>233.0297313091711</v>
      </c>
      <c r="AE1070" s="19">
        <v>203.96600060035107</v>
      </c>
      <c r="AF1070" s="19">
        <v>167.9208285428744</v>
      </c>
      <c r="AG1070" s="19">
        <v>127.83391228615034</v>
      </c>
      <c r="AH1070" s="19">
        <v>18.454772809401597</v>
      </c>
      <c r="AI1070" s="19">
        <v>0</v>
      </c>
      <c r="AJ1070" s="19">
        <v>0</v>
      </c>
      <c r="AK1070" s="19">
        <v>0</v>
      </c>
      <c r="AL1070" s="19">
        <v>0</v>
      </c>
      <c r="AM1070" s="19">
        <v>0</v>
      </c>
      <c r="AN1070" s="19">
        <v>0</v>
      </c>
      <c r="AO1070" s="19">
        <v>0</v>
      </c>
      <c r="AP1070" s="19">
        <v>0</v>
      </c>
      <c r="AQ1070" s="19">
        <v>0</v>
      </c>
      <c r="AR1070" s="19">
        <v>2333.0706096341723</v>
      </c>
    </row>
    <row r="1071" spans="1:44" x14ac:dyDescent="0.25">
      <c r="A1071" t="s">
        <v>250</v>
      </c>
      <c r="B1071" t="s">
        <v>397</v>
      </c>
      <c r="C1071" t="s">
        <v>44</v>
      </c>
      <c r="D1071" t="s">
        <v>390</v>
      </c>
      <c r="E1071" t="s">
        <v>134</v>
      </c>
      <c r="F1071" t="s">
        <v>390</v>
      </c>
      <c r="G1071" t="s">
        <v>31</v>
      </c>
      <c r="H1071" t="s">
        <v>255</v>
      </c>
      <c r="I1071" t="s">
        <v>135</v>
      </c>
      <c r="J1071" t="s">
        <v>39</v>
      </c>
      <c r="K1071" t="s">
        <v>31</v>
      </c>
      <c r="L1071">
        <v>0.18916475889744169</v>
      </c>
      <c r="M1071">
        <v>0</v>
      </c>
      <c r="N1071" s="2">
        <v>0.40629251985025328</v>
      </c>
      <c r="O1071" s="2">
        <v>6.3833710076387984</v>
      </c>
      <c r="P1071" s="1">
        <v>5.5794100196641887</v>
      </c>
      <c r="Q1071" s="1">
        <v>8.5100798872179535</v>
      </c>
      <c r="R1071" s="1">
        <v>-2.3890153409146042</v>
      </c>
      <c r="S1071" s="19">
        <v>4.9954048165687679</v>
      </c>
      <c r="T1071" s="19">
        <v>8.052579214714239</v>
      </c>
      <c r="U1071" s="19">
        <v>12.11268631110965</v>
      </c>
      <c r="V1071" s="19">
        <v>17.191823412954285</v>
      </c>
      <c r="W1071" s="19">
        <v>23.175130680363857</v>
      </c>
      <c r="X1071" s="19">
        <v>29.772949571559419</v>
      </c>
      <c r="Y1071" s="19">
        <v>36.492591245079758</v>
      </c>
      <c r="Z1071" s="19">
        <v>42.646133040362606</v>
      </c>
      <c r="AA1071" s="19">
        <v>47.415574087881645</v>
      </c>
      <c r="AB1071" s="19">
        <v>49.987272323136253</v>
      </c>
      <c r="AC1071" s="19">
        <v>49.744198917027859</v>
      </c>
      <c r="AD1071" s="19">
        <v>46.470265997407807</v>
      </c>
      <c r="AE1071" s="19">
        <v>40.490037373688502</v>
      </c>
      <c r="AF1071" s="19">
        <v>30.021575726968607</v>
      </c>
      <c r="AG1071" s="19">
        <v>0</v>
      </c>
      <c r="AH1071" s="19">
        <v>0</v>
      </c>
      <c r="AI1071" s="19">
        <v>0</v>
      </c>
      <c r="AJ1071" s="19">
        <v>0</v>
      </c>
      <c r="AK1071" s="19">
        <v>0</v>
      </c>
      <c r="AL1071" s="19">
        <v>0</v>
      </c>
      <c r="AM1071" s="19">
        <v>0</v>
      </c>
      <c r="AN1071" s="19">
        <v>0</v>
      </c>
      <c r="AO1071" s="19">
        <v>0</v>
      </c>
      <c r="AP1071" s="19">
        <v>0</v>
      </c>
      <c r="AQ1071" s="19">
        <v>0</v>
      </c>
      <c r="AR1071" s="19">
        <v>438.56822271882322</v>
      </c>
    </row>
    <row r="1072" spans="1:44" x14ac:dyDescent="0.25">
      <c r="A1072" t="s">
        <v>250</v>
      </c>
      <c r="B1072" t="s">
        <v>398</v>
      </c>
      <c r="C1072" t="s">
        <v>44</v>
      </c>
      <c r="D1072" t="s">
        <v>219</v>
      </c>
      <c r="E1072" t="s">
        <v>134</v>
      </c>
      <c r="F1072" t="s">
        <v>399</v>
      </c>
      <c r="G1072" t="s">
        <v>31</v>
      </c>
      <c r="H1072" t="s">
        <v>288</v>
      </c>
      <c r="I1072" t="s">
        <v>135</v>
      </c>
      <c r="J1072" t="s">
        <v>39</v>
      </c>
      <c r="K1072" t="s">
        <v>31</v>
      </c>
      <c r="L1072">
        <v>0.10766666351552968</v>
      </c>
      <c r="M1072">
        <v>0</v>
      </c>
      <c r="N1072" s="2">
        <v>0.18208355552246425</v>
      </c>
      <c r="O1072" s="2">
        <v>7.8628457168505888</v>
      </c>
      <c r="P1072" s="1">
        <v>19.6928546862563</v>
      </c>
      <c r="Q1072" s="1">
        <v>23.390063768125486</v>
      </c>
      <c r="R1072" s="1">
        <v>-3.1555545552300264</v>
      </c>
      <c r="S1072" s="19">
        <v>40.394991908169594</v>
      </c>
      <c r="T1072" s="19">
        <v>65.510866950947872</v>
      </c>
      <c r="U1072" s="19">
        <v>99.13803694148794</v>
      </c>
      <c r="V1072" s="19">
        <v>141.56089192691945</v>
      </c>
      <c r="W1072" s="19">
        <v>191.98400365371609</v>
      </c>
      <c r="X1072" s="19">
        <v>248.13396663822385</v>
      </c>
      <c r="Y1072" s="19">
        <v>305.97825447770015</v>
      </c>
      <c r="Z1072" s="19">
        <v>359.73858446408804</v>
      </c>
      <c r="AA1072" s="19">
        <v>402.39250323635218</v>
      </c>
      <c r="AB1072" s="19">
        <v>426.78565215772721</v>
      </c>
      <c r="AC1072" s="19">
        <v>427.28172358656013</v>
      </c>
      <c r="AD1072" s="19">
        <v>401.5767288217051</v>
      </c>
      <c r="AE1072" s="19">
        <v>352.01653259697542</v>
      </c>
      <c r="AF1072" s="19">
        <v>290.24044161160401</v>
      </c>
      <c r="AG1072" s="19">
        <v>221.28272727811756</v>
      </c>
      <c r="AH1072" s="19">
        <v>125.28775005036432</v>
      </c>
      <c r="AI1072" s="19">
        <v>0</v>
      </c>
      <c r="AJ1072" s="19">
        <v>0</v>
      </c>
      <c r="AK1072" s="19">
        <v>0</v>
      </c>
      <c r="AL1072" s="19">
        <v>0</v>
      </c>
      <c r="AM1072" s="19">
        <v>0</v>
      </c>
      <c r="AN1072" s="19">
        <v>0</v>
      </c>
      <c r="AO1072" s="19">
        <v>0</v>
      </c>
      <c r="AP1072" s="19">
        <v>0</v>
      </c>
      <c r="AQ1072" s="19">
        <v>0</v>
      </c>
      <c r="AR1072" s="19">
        <v>4099.303656300659</v>
      </c>
    </row>
    <row r="1073" spans="1:44" x14ac:dyDescent="0.25">
      <c r="A1073" t="s">
        <v>250</v>
      </c>
      <c r="B1073" t="s">
        <v>398</v>
      </c>
      <c r="C1073" t="s">
        <v>44</v>
      </c>
      <c r="D1073" t="s">
        <v>219</v>
      </c>
      <c r="E1073" t="s">
        <v>134</v>
      </c>
      <c r="F1073" t="s">
        <v>399</v>
      </c>
      <c r="G1073" t="s">
        <v>31</v>
      </c>
      <c r="H1073" t="s">
        <v>289</v>
      </c>
      <c r="I1073" t="s">
        <v>135</v>
      </c>
      <c r="J1073" t="s">
        <v>39</v>
      </c>
      <c r="K1073" t="s">
        <v>31</v>
      </c>
      <c r="L1073">
        <v>0.10766666351552968</v>
      </c>
      <c r="M1073">
        <v>0</v>
      </c>
      <c r="N1073" s="2">
        <v>0.18208355552246425</v>
      </c>
      <c r="O1073" s="2">
        <v>7.8628457168505888</v>
      </c>
      <c r="P1073" s="1">
        <v>19.6928546862563</v>
      </c>
      <c r="Q1073" s="1">
        <v>23.390063768125486</v>
      </c>
      <c r="R1073" s="1">
        <v>-3.1555545552300264</v>
      </c>
      <c r="S1073" s="19">
        <v>38.393688759077385</v>
      </c>
      <c r="T1073" s="19">
        <v>62.26523925960587</v>
      </c>
      <c r="U1073" s="19">
        <v>94.226406658782196</v>
      </c>
      <c r="V1073" s="19">
        <v>134.54749136861042</v>
      </c>
      <c r="W1073" s="19">
        <v>182.47247331448591</v>
      </c>
      <c r="X1073" s="19">
        <v>235.84057913220025</v>
      </c>
      <c r="Y1073" s="19">
        <v>290.81906727865254</v>
      </c>
      <c r="Z1073" s="19">
        <v>341.9159305179104</v>
      </c>
      <c r="AA1073" s="19">
        <v>382.45663134092706</v>
      </c>
      <c r="AB1073" s="19">
        <v>405.64126199192839</v>
      </c>
      <c r="AC1073" s="19">
        <v>406.11275638123726</v>
      </c>
      <c r="AD1073" s="19">
        <v>381.68127312214614</v>
      </c>
      <c r="AE1073" s="19">
        <v>334.5764549551634</v>
      </c>
      <c r="AF1073" s="19">
        <v>275.86095835507336</v>
      </c>
      <c r="AG1073" s="19">
        <v>210.31964007294732</v>
      </c>
      <c r="AH1073" s="19">
        <v>119.08057542613167</v>
      </c>
      <c r="AI1073" s="19">
        <v>0</v>
      </c>
      <c r="AJ1073" s="19">
        <v>0</v>
      </c>
      <c r="AK1073" s="19">
        <v>0</v>
      </c>
      <c r="AL1073" s="19">
        <v>0</v>
      </c>
      <c r="AM1073" s="19">
        <v>0</v>
      </c>
      <c r="AN1073" s="19">
        <v>0</v>
      </c>
      <c r="AO1073" s="19">
        <v>0</v>
      </c>
      <c r="AP1073" s="19">
        <v>0</v>
      </c>
      <c r="AQ1073" s="19">
        <v>0</v>
      </c>
      <c r="AR1073" s="19">
        <v>3896.210427934881</v>
      </c>
    </row>
    <row r="1074" spans="1:44" x14ac:dyDescent="0.25">
      <c r="A1074" t="s">
        <v>250</v>
      </c>
      <c r="B1074" t="s">
        <v>398</v>
      </c>
      <c r="C1074" t="s">
        <v>44</v>
      </c>
      <c r="D1074" t="s">
        <v>219</v>
      </c>
      <c r="E1074" t="s">
        <v>134</v>
      </c>
      <c r="F1074" t="s">
        <v>399</v>
      </c>
      <c r="G1074" t="s">
        <v>31</v>
      </c>
      <c r="H1074" t="s">
        <v>290</v>
      </c>
      <c r="I1074" t="s">
        <v>135</v>
      </c>
      <c r="J1074" t="s">
        <v>39</v>
      </c>
      <c r="K1074" t="s">
        <v>31</v>
      </c>
      <c r="L1074">
        <v>0.10766666351552968</v>
      </c>
      <c r="M1074">
        <v>0</v>
      </c>
      <c r="N1074" s="2">
        <v>0.18208355552246425</v>
      </c>
      <c r="O1074" s="2">
        <v>7.8628457168505888</v>
      </c>
      <c r="P1074" s="1">
        <v>19.6928546862563</v>
      </c>
      <c r="Q1074" s="1">
        <v>23.390063768125486</v>
      </c>
      <c r="R1074" s="1">
        <v>-3.1555545552300264</v>
      </c>
      <c r="S1074" s="19">
        <v>55.59667630553691</v>
      </c>
      <c r="T1074" s="19">
        <v>90.164307314302022</v>
      </c>
      <c r="U1074" s="19">
        <v>136.44625457364077</v>
      </c>
      <c r="V1074" s="19">
        <v>194.83393149021325</v>
      </c>
      <c r="W1074" s="19">
        <v>264.2325695036962</v>
      </c>
      <c r="X1074" s="19">
        <v>341.51322161310304</v>
      </c>
      <c r="Y1074" s="19">
        <v>421.12581701717016</v>
      </c>
      <c r="Z1074" s="19">
        <v>495.11755517933511</v>
      </c>
      <c r="AA1074" s="19">
        <v>553.82325118579058</v>
      </c>
      <c r="AB1074" s="19">
        <v>587.39617546653972</v>
      </c>
      <c r="AC1074" s="19">
        <v>588.07893145559763</v>
      </c>
      <c r="AD1074" s="19">
        <v>552.70047967558503</v>
      </c>
      <c r="AE1074" s="19">
        <v>484.48949467504264</v>
      </c>
      <c r="AF1074" s="19">
        <v>399.46545650360582</v>
      </c>
      <c r="AG1074" s="19">
        <v>304.55716363195489</v>
      </c>
      <c r="AH1074" s="19">
        <v>172.43678375859039</v>
      </c>
      <c r="AI1074" s="19">
        <v>0</v>
      </c>
      <c r="AJ1074" s="19">
        <v>0</v>
      </c>
      <c r="AK1074" s="19">
        <v>0</v>
      </c>
      <c r="AL1074" s="19">
        <v>0</v>
      </c>
      <c r="AM1074" s="19">
        <v>0</v>
      </c>
      <c r="AN1074" s="19">
        <v>0</v>
      </c>
      <c r="AO1074" s="19">
        <v>0</v>
      </c>
      <c r="AP1074" s="19">
        <v>0</v>
      </c>
      <c r="AQ1074" s="19">
        <v>0</v>
      </c>
      <c r="AR1074" s="19">
        <v>5641.9780693497041</v>
      </c>
    </row>
    <row r="1075" spans="1:44" x14ac:dyDescent="0.25">
      <c r="A1075" t="s">
        <v>250</v>
      </c>
      <c r="B1075" t="s">
        <v>398</v>
      </c>
      <c r="C1075" t="s">
        <v>44</v>
      </c>
      <c r="D1075" t="s">
        <v>219</v>
      </c>
      <c r="E1075" t="s">
        <v>134</v>
      </c>
      <c r="F1075" t="s">
        <v>399</v>
      </c>
      <c r="G1075" t="s">
        <v>31</v>
      </c>
      <c r="H1075" t="s">
        <v>288</v>
      </c>
      <c r="I1075" t="s">
        <v>135</v>
      </c>
      <c r="J1075" t="s">
        <v>39</v>
      </c>
      <c r="K1075" t="s">
        <v>33</v>
      </c>
      <c r="L1075">
        <v>0.10766666351552968</v>
      </c>
      <c r="M1075">
        <v>0</v>
      </c>
      <c r="N1075" s="2">
        <v>0.18208355552246425</v>
      </c>
      <c r="O1075" s="2">
        <v>7.8628457168505888</v>
      </c>
      <c r="P1075" s="1">
        <v>19.6928546862563</v>
      </c>
      <c r="Q1075" s="1">
        <v>23.390063768125486</v>
      </c>
      <c r="R1075" s="1">
        <v>-3.1555545552300264</v>
      </c>
      <c r="S1075" s="19">
        <v>0.3800002686777455</v>
      </c>
      <c r="T1075" s="19">
        <v>0.61626815272706081</v>
      </c>
      <c r="U1075" s="19">
        <v>0.9326027533212774</v>
      </c>
      <c r="V1075" s="19">
        <v>1.3316793598765746</v>
      </c>
      <c r="W1075" s="19">
        <v>1.8060152886300489</v>
      </c>
      <c r="X1075" s="19">
        <v>2.3342243564487557</v>
      </c>
      <c r="Y1075" s="19">
        <v>2.8783721302728762</v>
      </c>
      <c r="Z1075" s="19">
        <v>3.3841016495527168</v>
      </c>
      <c r="AA1075" s="19">
        <v>3.785351899347694</v>
      </c>
      <c r="AB1075" s="19">
        <v>4.0148210168336194</v>
      </c>
      <c r="AC1075" s="19">
        <v>4.0194876170069387</v>
      </c>
      <c r="AD1075" s="19">
        <v>3.7776778169403729</v>
      </c>
      <c r="AE1075" s="19">
        <v>3.311459432148216</v>
      </c>
      <c r="AF1075" s="19">
        <v>2.7303247403609809</v>
      </c>
      <c r="AG1075" s="19">
        <v>2.0816317035187448</v>
      </c>
      <c r="AH1075" s="19">
        <v>1.1785960692701565</v>
      </c>
      <c r="AI1075" s="19">
        <v>0</v>
      </c>
      <c r="AJ1075" s="19">
        <v>0</v>
      </c>
      <c r="AK1075" s="19">
        <v>0</v>
      </c>
      <c r="AL1075" s="19">
        <v>0</v>
      </c>
      <c r="AM1075" s="19">
        <v>0</v>
      </c>
      <c r="AN1075" s="19">
        <v>0</v>
      </c>
      <c r="AO1075" s="19">
        <v>0</v>
      </c>
      <c r="AP1075" s="19">
        <v>0</v>
      </c>
      <c r="AQ1075" s="19">
        <v>0</v>
      </c>
      <c r="AR1075" s="19">
        <v>38.562614254933784</v>
      </c>
    </row>
    <row r="1076" spans="1:44" x14ac:dyDescent="0.25">
      <c r="A1076" t="s">
        <v>250</v>
      </c>
      <c r="B1076" t="s">
        <v>400</v>
      </c>
      <c r="C1076" t="s">
        <v>44</v>
      </c>
      <c r="D1076" t="s">
        <v>219</v>
      </c>
      <c r="E1076" t="s">
        <v>134</v>
      </c>
      <c r="F1076" t="s">
        <v>399</v>
      </c>
      <c r="G1076" t="s">
        <v>31</v>
      </c>
      <c r="H1076" t="s">
        <v>278</v>
      </c>
      <c r="I1076" t="s">
        <v>135</v>
      </c>
      <c r="J1076" t="s">
        <v>39</v>
      </c>
      <c r="K1076" t="s">
        <v>31</v>
      </c>
      <c r="L1076">
        <v>7.2585339506172852E-2</v>
      </c>
      <c r="M1076">
        <v>0</v>
      </c>
      <c r="N1076" s="2">
        <v>0.20247185081751548</v>
      </c>
      <c r="O1076" s="2">
        <v>12.916489671181214</v>
      </c>
      <c r="P1076" s="1">
        <v>28.114302665753623</v>
      </c>
      <c r="Q1076" s="1">
        <v>34.554309996350511</v>
      </c>
      <c r="R1076" s="1">
        <v>-5.8983528039577262</v>
      </c>
      <c r="S1076" s="19">
        <v>8.145006036789038</v>
      </c>
      <c r="T1076" s="19">
        <v>13.129727964793968</v>
      </c>
      <c r="U1076" s="19">
        <v>19.74973135280074</v>
      </c>
      <c r="V1076" s="19">
        <v>28.031262855310601</v>
      </c>
      <c r="W1076" s="19">
        <v>37.787043538264143</v>
      </c>
      <c r="X1076" s="19">
        <v>48.544785237232368</v>
      </c>
      <c r="Y1076" s="19">
        <v>59.501158945795261</v>
      </c>
      <c r="Z1076" s="19">
        <v>69.534506974762223</v>
      </c>
      <c r="AA1076" s="19">
        <v>77.311079154719266</v>
      </c>
      <c r="AB1076" s="19">
        <v>81.50423234652331</v>
      </c>
      <c r="AC1076" s="19">
        <v>81.107901231661685</v>
      </c>
      <c r="AD1076" s="19">
        <v>75.769754600201239</v>
      </c>
      <c r="AE1076" s="19">
        <v>66.018993644849999</v>
      </c>
      <c r="AF1076" s="19">
        <v>48.950170108142714</v>
      </c>
      <c r="AG1076" s="19">
        <v>0</v>
      </c>
      <c r="AH1076" s="19">
        <v>0</v>
      </c>
      <c r="AI1076" s="19">
        <v>0</v>
      </c>
      <c r="AJ1076" s="19">
        <v>0</v>
      </c>
      <c r="AK1076" s="19">
        <v>0</v>
      </c>
      <c r="AL1076" s="19">
        <v>0</v>
      </c>
      <c r="AM1076" s="19">
        <v>0</v>
      </c>
      <c r="AN1076" s="19">
        <v>0</v>
      </c>
      <c r="AO1076" s="19">
        <v>0</v>
      </c>
      <c r="AP1076" s="19">
        <v>0</v>
      </c>
      <c r="AQ1076" s="19">
        <v>0</v>
      </c>
      <c r="AR1076" s="19">
        <v>715.08535399184655</v>
      </c>
    </row>
    <row r="1077" spans="1:44" x14ac:dyDescent="0.25">
      <c r="A1077" t="s">
        <v>250</v>
      </c>
      <c r="B1077" t="s">
        <v>401</v>
      </c>
      <c r="C1077" t="s">
        <v>44</v>
      </c>
      <c r="D1077" t="s">
        <v>219</v>
      </c>
      <c r="E1077" t="s">
        <v>134</v>
      </c>
      <c r="F1077" t="s">
        <v>399</v>
      </c>
      <c r="G1077" t="s">
        <v>31</v>
      </c>
      <c r="H1077" t="s">
        <v>272</v>
      </c>
      <c r="I1077" t="s">
        <v>135</v>
      </c>
      <c r="J1077" t="s">
        <v>39</v>
      </c>
      <c r="K1077" t="s">
        <v>31</v>
      </c>
      <c r="L1077">
        <v>0.1335515021459226</v>
      </c>
      <c r="M1077">
        <v>0</v>
      </c>
      <c r="N1077" s="2">
        <v>0.3139909125706512</v>
      </c>
      <c r="O1077" s="2">
        <v>10.9636146902543</v>
      </c>
      <c r="P1077" s="1">
        <v>13.531684575414111</v>
      </c>
      <c r="Q1077" s="1">
        <v>18.912940749416155</v>
      </c>
      <c r="R1077" s="1">
        <v>-4.8396016473628842</v>
      </c>
      <c r="S1077" s="19">
        <v>20.331341839897217</v>
      </c>
      <c r="T1077" s="19">
        <v>32.919584255162945</v>
      </c>
      <c r="U1077" s="19">
        <v>49.737481223615987</v>
      </c>
      <c r="V1077" s="19">
        <v>70.907021276881778</v>
      </c>
      <c r="W1077" s="19">
        <v>96.0093376474114</v>
      </c>
      <c r="X1077" s="19">
        <v>123.8902489390051</v>
      </c>
      <c r="Y1077" s="19">
        <v>152.52602362326888</v>
      </c>
      <c r="Z1077" s="19">
        <v>179.03703832245242</v>
      </c>
      <c r="AA1077" s="19">
        <v>199.94392934744457</v>
      </c>
      <c r="AB1077" s="19">
        <v>211.72426335979421</v>
      </c>
      <c r="AC1077" s="19">
        <v>211.63018653687561</v>
      </c>
      <c r="AD1077" s="19">
        <v>198.57945466336733</v>
      </c>
      <c r="AE1077" s="19">
        <v>173.79261376378545</v>
      </c>
      <c r="AF1077" s="19">
        <v>143.06343828715774</v>
      </c>
      <c r="AG1077" s="19">
        <v>108.8982061249105</v>
      </c>
      <c r="AH1077" s="19">
        <v>12.227267919691323</v>
      </c>
      <c r="AI1077" s="19">
        <v>0</v>
      </c>
      <c r="AJ1077" s="19">
        <v>0</v>
      </c>
      <c r="AK1077" s="19">
        <v>0</v>
      </c>
      <c r="AL1077" s="19">
        <v>0</v>
      </c>
      <c r="AM1077" s="19">
        <v>0</v>
      </c>
      <c r="AN1077" s="19">
        <v>0</v>
      </c>
      <c r="AO1077" s="19">
        <v>0</v>
      </c>
      <c r="AP1077" s="19">
        <v>0</v>
      </c>
      <c r="AQ1077" s="19">
        <v>0</v>
      </c>
      <c r="AR1077" s="19">
        <v>1985.2174371307224</v>
      </c>
    </row>
    <row r="1078" spans="1:44" x14ac:dyDescent="0.25">
      <c r="A1078" t="s">
        <v>250</v>
      </c>
      <c r="B1078" t="s">
        <v>401</v>
      </c>
      <c r="C1078" t="s">
        <v>44</v>
      </c>
      <c r="D1078" t="s">
        <v>219</v>
      </c>
      <c r="E1078" t="s">
        <v>134</v>
      </c>
      <c r="F1078" t="s">
        <v>399</v>
      </c>
      <c r="G1078" t="s">
        <v>31</v>
      </c>
      <c r="H1078" t="s">
        <v>273</v>
      </c>
      <c r="I1078" t="s">
        <v>135</v>
      </c>
      <c r="J1078" t="s">
        <v>39</v>
      </c>
      <c r="K1078" t="s">
        <v>31</v>
      </c>
      <c r="L1078">
        <v>0.1335515021459226</v>
      </c>
      <c r="M1078">
        <v>0</v>
      </c>
      <c r="N1078" s="2">
        <v>0.3139909125706512</v>
      </c>
      <c r="O1078" s="2">
        <v>10.9636146902543</v>
      </c>
      <c r="P1078" s="1">
        <v>13.531684575414111</v>
      </c>
      <c r="Q1078" s="1">
        <v>18.912940749416155</v>
      </c>
      <c r="R1078" s="1">
        <v>-4.8396016473628842</v>
      </c>
      <c r="S1078" s="19">
        <v>6.1147841773746947</v>
      </c>
      <c r="T1078" s="19">
        <v>9.9007805050136835</v>
      </c>
      <c r="U1078" s="19">
        <v>14.958873133096434</v>
      </c>
      <c r="V1078" s="19">
        <v>21.325750911226599</v>
      </c>
      <c r="W1078" s="19">
        <v>28.875436916542615</v>
      </c>
      <c r="X1078" s="19">
        <v>37.26080353715944</v>
      </c>
      <c r="Y1078" s="19">
        <v>45.873200265573736</v>
      </c>
      <c r="Z1078" s="19">
        <v>53.846561516654582</v>
      </c>
      <c r="AA1078" s="19">
        <v>60.134445879842531</v>
      </c>
      <c r="AB1078" s="19">
        <v>63.677458465541555</v>
      </c>
      <c r="AC1078" s="19">
        <v>63.649164245082787</v>
      </c>
      <c r="AD1078" s="19">
        <v>59.724071184737518</v>
      </c>
      <c r="AE1078" s="19">
        <v>52.269266492877939</v>
      </c>
      <c r="AF1078" s="19">
        <v>43.027265769663302</v>
      </c>
      <c r="AG1078" s="19">
        <v>32.751848500740991</v>
      </c>
      <c r="AH1078" s="19">
        <v>3.6774308846221127</v>
      </c>
      <c r="AI1078" s="19">
        <v>0</v>
      </c>
      <c r="AJ1078" s="19">
        <v>0</v>
      </c>
      <c r="AK1078" s="19">
        <v>0</v>
      </c>
      <c r="AL1078" s="19">
        <v>0</v>
      </c>
      <c r="AM1078" s="19">
        <v>0</v>
      </c>
      <c r="AN1078" s="19">
        <v>0</v>
      </c>
      <c r="AO1078" s="19">
        <v>0</v>
      </c>
      <c r="AP1078" s="19">
        <v>0</v>
      </c>
      <c r="AQ1078" s="19">
        <v>0</v>
      </c>
      <c r="AR1078" s="19">
        <v>597.06714238575046</v>
      </c>
    </row>
    <row r="1079" spans="1:44" x14ac:dyDescent="0.25">
      <c r="A1079" t="s">
        <v>250</v>
      </c>
      <c r="B1079" t="s">
        <v>401</v>
      </c>
      <c r="C1079" t="s">
        <v>44</v>
      </c>
      <c r="D1079" t="s">
        <v>219</v>
      </c>
      <c r="E1079" t="s">
        <v>134</v>
      </c>
      <c r="F1079" t="s">
        <v>399</v>
      </c>
      <c r="G1079" t="s">
        <v>31</v>
      </c>
      <c r="H1079" t="s">
        <v>274</v>
      </c>
      <c r="I1079" t="s">
        <v>135</v>
      </c>
      <c r="J1079" t="s">
        <v>39</v>
      </c>
      <c r="K1079" t="s">
        <v>31</v>
      </c>
      <c r="L1079">
        <v>0.1335515021459226</v>
      </c>
      <c r="M1079">
        <v>0</v>
      </c>
      <c r="N1079" s="2">
        <v>0.3139909125706512</v>
      </c>
      <c r="O1079" s="2">
        <v>10.9636146902543</v>
      </c>
      <c r="P1079" s="1">
        <v>13.531684575414111</v>
      </c>
      <c r="Q1079" s="1">
        <v>18.912940749416155</v>
      </c>
      <c r="R1079" s="1">
        <v>-4.8396016473628842</v>
      </c>
      <c r="S1079" s="19">
        <v>9.6257652722291791</v>
      </c>
      <c r="T1079" s="19">
        <v>15.585601451929149</v>
      </c>
      <c r="U1079" s="19">
        <v>23.547945003361072</v>
      </c>
      <c r="V1079" s="19">
        <v>33.570550745689246</v>
      </c>
      <c r="W1079" s="19">
        <v>45.455108443587619</v>
      </c>
      <c r="X1079" s="19">
        <v>58.655177075657882</v>
      </c>
      <c r="Y1079" s="19">
        <v>72.212631751780705</v>
      </c>
      <c r="Z1079" s="19">
        <v>84.764130154222016</v>
      </c>
      <c r="AA1079" s="19">
        <v>94.662386116046278</v>
      </c>
      <c r="AB1079" s="19">
        <v>100.23972237472915</v>
      </c>
      <c r="AC1079" s="19">
        <v>100.19518220506885</v>
      </c>
      <c r="AD1079" s="19">
        <v>94.016382859977242</v>
      </c>
      <c r="AE1079" s="19">
        <v>82.281185339897007</v>
      </c>
      <c r="AF1079" s="19">
        <v>67.732621232499397</v>
      </c>
      <c r="AG1079" s="19">
        <v>51.557274427811087</v>
      </c>
      <c r="AH1079" s="19">
        <v>5.7889347315307971</v>
      </c>
      <c r="AI1079" s="19">
        <v>0</v>
      </c>
      <c r="AJ1079" s="19">
        <v>0</v>
      </c>
      <c r="AK1079" s="19">
        <v>0</v>
      </c>
      <c r="AL1079" s="19">
        <v>0</v>
      </c>
      <c r="AM1079" s="19">
        <v>0</v>
      </c>
      <c r="AN1079" s="19">
        <v>0</v>
      </c>
      <c r="AO1079" s="19">
        <v>0</v>
      </c>
      <c r="AP1079" s="19">
        <v>0</v>
      </c>
      <c r="AQ1079" s="19">
        <v>0</v>
      </c>
      <c r="AR1079" s="19">
        <v>939.89059918601663</v>
      </c>
    </row>
    <row r="1080" spans="1:44" x14ac:dyDescent="0.25">
      <c r="A1080" t="s">
        <v>250</v>
      </c>
      <c r="B1080" t="s">
        <v>401</v>
      </c>
      <c r="C1080" t="s">
        <v>44</v>
      </c>
      <c r="D1080" t="s">
        <v>219</v>
      </c>
      <c r="E1080" t="s">
        <v>134</v>
      </c>
      <c r="F1080" t="s">
        <v>399</v>
      </c>
      <c r="G1080" t="s">
        <v>31</v>
      </c>
      <c r="H1080" t="s">
        <v>275</v>
      </c>
      <c r="I1080" t="s">
        <v>135</v>
      </c>
      <c r="J1080" t="s">
        <v>39</v>
      </c>
      <c r="K1080" t="s">
        <v>31</v>
      </c>
      <c r="L1080">
        <v>0.1335515021459226</v>
      </c>
      <c r="M1080">
        <v>0</v>
      </c>
      <c r="N1080" s="2">
        <v>0.3139909125706512</v>
      </c>
      <c r="O1080" s="2">
        <v>10.9636146902543</v>
      </c>
      <c r="P1080" s="1">
        <v>13.531684575414111</v>
      </c>
      <c r="Q1080" s="1">
        <v>18.912940749416155</v>
      </c>
      <c r="R1080" s="1">
        <v>-4.8396016473628842</v>
      </c>
      <c r="S1080" s="19">
        <v>14.705160311915895</v>
      </c>
      <c r="T1080" s="19">
        <v>23.809926943623744</v>
      </c>
      <c r="U1080" s="19">
        <v>35.973898853489416</v>
      </c>
      <c r="V1080" s="19">
        <v>51.28530735098051</v>
      </c>
      <c r="W1080" s="19">
        <v>69.441196388500842</v>
      </c>
      <c r="X1080" s="19">
        <v>89.606774903374927</v>
      </c>
      <c r="Y1080" s="19">
        <v>110.31832757431906</v>
      </c>
      <c r="Z1080" s="19">
        <v>129.49309352203596</v>
      </c>
      <c r="AA1080" s="19">
        <v>144.61453442678535</v>
      </c>
      <c r="AB1080" s="19">
        <v>153.13496074904498</v>
      </c>
      <c r="AC1080" s="19">
        <v>153.06691729310643</v>
      </c>
      <c r="AD1080" s="19">
        <v>143.62764339278922</v>
      </c>
      <c r="AE1080" s="19">
        <v>125.69993001683098</v>
      </c>
      <c r="AF1080" s="19">
        <v>103.47427195671884</v>
      </c>
      <c r="AG1080" s="19">
        <v>78.763398469078439</v>
      </c>
      <c r="AH1080" s="19">
        <v>8.8436826428726931</v>
      </c>
      <c r="AI1080" s="19">
        <v>0</v>
      </c>
      <c r="AJ1080" s="19">
        <v>0</v>
      </c>
      <c r="AK1080" s="19">
        <v>0</v>
      </c>
      <c r="AL1080" s="19">
        <v>0</v>
      </c>
      <c r="AM1080" s="19">
        <v>0</v>
      </c>
      <c r="AN1080" s="19">
        <v>0</v>
      </c>
      <c r="AO1080" s="19">
        <v>0</v>
      </c>
      <c r="AP1080" s="19">
        <v>0</v>
      </c>
      <c r="AQ1080" s="19">
        <v>0</v>
      </c>
      <c r="AR1080" s="19">
        <v>1435.8590247954669</v>
      </c>
    </row>
    <row r="1081" spans="1:44" x14ac:dyDescent="0.25">
      <c r="A1081" t="s">
        <v>250</v>
      </c>
      <c r="B1081" t="s">
        <v>401</v>
      </c>
      <c r="C1081" t="s">
        <v>44</v>
      </c>
      <c r="D1081" t="s">
        <v>219</v>
      </c>
      <c r="E1081" t="s">
        <v>134</v>
      </c>
      <c r="F1081" t="s">
        <v>399</v>
      </c>
      <c r="G1081" t="s">
        <v>31</v>
      </c>
      <c r="H1081" t="s">
        <v>274</v>
      </c>
      <c r="I1081" t="s">
        <v>135</v>
      </c>
      <c r="J1081" t="s">
        <v>39</v>
      </c>
      <c r="K1081" t="s">
        <v>33</v>
      </c>
      <c r="L1081">
        <v>0.1335515021459226</v>
      </c>
      <c r="M1081">
        <v>0</v>
      </c>
      <c r="N1081" s="2">
        <v>0.3139909125706512</v>
      </c>
      <c r="O1081" s="2">
        <v>10.9636146902543</v>
      </c>
      <c r="P1081" s="1">
        <v>13.531684575414111</v>
      </c>
      <c r="Q1081" s="1">
        <v>18.912940749416155</v>
      </c>
      <c r="R1081" s="1">
        <v>-4.8396016473628842</v>
      </c>
      <c r="S1081" s="19">
        <v>3.0970732502962457E-2</v>
      </c>
      <c r="T1081" s="19">
        <v>5.0146401851091024E-2</v>
      </c>
      <c r="U1081" s="19">
        <v>7.5765103871546335E-2</v>
      </c>
      <c r="V1081" s="19">
        <v>0.10801266369142291</v>
      </c>
      <c r="W1081" s="19">
        <v>0.14625102157446257</v>
      </c>
      <c r="X1081" s="19">
        <v>0.18872201302945343</v>
      </c>
      <c r="Y1081" s="19">
        <v>0.23234288787112711</v>
      </c>
      <c r="Z1081" s="19">
        <v>0.27272711588205456</v>
      </c>
      <c r="AA1081" s="19">
        <v>0.30457458244390206</v>
      </c>
      <c r="AB1081" s="19">
        <v>0.32251956494260153</v>
      </c>
      <c r="AC1081" s="19">
        <v>0.32237625772066397</v>
      </c>
      <c r="AD1081" s="19">
        <v>0.30249607819266305</v>
      </c>
      <c r="AE1081" s="19">
        <v>0.26473828408642225</v>
      </c>
      <c r="AF1081" s="19">
        <v>0.21792853187146255</v>
      </c>
      <c r="AG1081" s="19">
        <v>0.16588463459547642</v>
      </c>
      <c r="AH1081" s="19">
        <v>1.8625796908284125E-2</v>
      </c>
      <c r="AI1081" s="19">
        <v>0</v>
      </c>
      <c r="AJ1081" s="19">
        <v>0</v>
      </c>
      <c r="AK1081" s="19">
        <v>0</v>
      </c>
      <c r="AL1081" s="19">
        <v>0</v>
      </c>
      <c r="AM1081" s="19">
        <v>0</v>
      </c>
      <c r="AN1081" s="19">
        <v>0</v>
      </c>
      <c r="AO1081" s="19">
        <v>0</v>
      </c>
      <c r="AP1081" s="19">
        <v>0</v>
      </c>
      <c r="AQ1081" s="19">
        <v>0</v>
      </c>
      <c r="AR1081" s="19">
        <v>3.0240816710355962</v>
      </c>
    </row>
    <row r="1082" spans="1:44" x14ac:dyDescent="0.25">
      <c r="A1082" t="s">
        <v>250</v>
      </c>
      <c r="B1082" t="s">
        <v>401</v>
      </c>
      <c r="C1082" t="s">
        <v>44</v>
      </c>
      <c r="D1082" t="s">
        <v>219</v>
      </c>
      <c r="E1082" t="s">
        <v>134</v>
      </c>
      <c r="F1082" t="s">
        <v>399</v>
      </c>
      <c r="G1082" t="s">
        <v>31</v>
      </c>
      <c r="H1082" t="s">
        <v>272</v>
      </c>
      <c r="I1082" t="s">
        <v>135</v>
      </c>
      <c r="J1082" t="s">
        <v>40</v>
      </c>
      <c r="K1082" t="s">
        <v>31</v>
      </c>
      <c r="L1082">
        <v>0.1335515021459226</v>
      </c>
      <c r="M1082">
        <v>0</v>
      </c>
      <c r="N1082" s="2">
        <v>0.3139909125706512</v>
      </c>
      <c r="O1082" s="2">
        <v>9.6708435291849266</v>
      </c>
      <c r="P1082" s="1">
        <v>13.531684575414111</v>
      </c>
      <c r="Q1082" s="1">
        <v>0.4672931329656026</v>
      </c>
      <c r="R1082" s="1">
        <v>-4.6966016473628844</v>
      </c>
      <c r="S1082" s="19">
        <v>2.0110917918484685</v>
      </c>
      <c r="T1082" s="19">
        <v>3.2562683864134452</v>
      </c>
      <c r="U1082" s="19">
        <v>4.9198248213870528</v>
      </c>
      <c r="V1082" s="19">
        <v>7.0138276950579588</v>
      </c>
      <c r="W1082" s="19">
        <v>9.4968444485360806</v>
      </c>
      <c r="X1082" s="19">
        <v>12.254708257492767</v>
      </c>
      <c r="Y1082" s="19">
        <v>15.087240014336038</v>
      </c>
      <c r="Z1082" s="19">
        <v>17.709599348754253</v>
      </c>
      <c r="AA1082" s="19">
        <v>19.77762207271061</v>
      </c>
      <c r="AB1082" s="19">
        <v>20.942883727550289</v>
      </c>
      <c r="AC1082" s="19">
        <v>20.93357803942283</v>
      </c>
      <c r="AD1082" s="19">
        <v>19.642653910798749</v>
      </c>
      <c r="AE1082" s="19">
        <v>17.190842679078536</v>
      </c>
      <c r="AF1082" s="19">
        <v>14.151240420754119</v>
      </c>
      <c r="AG1082" s="19">
        <v>10.771757723096613</v>
      </c>
      <c r="AH1082" s="19">
        <v>1.2094704984876363</v>
      </c>
      <c r="AI1082" s="19">
        <v>0</v>
      </c>
      <c r="AJ1082" s="19">
        <v>0</v>
      </c>
      <c r="AK1082" s="19">
        <v>0</v>
      </c>
      <c r="AL1082" s="19">
        <v>0</v>
      </c>
      <c r="AM1082" s="19">
        <v>0</v>
      </c>
      <c r="AN1082" s="19">
        <v>0</v>
      </c>
      <c r="AO1082" s="19">
        <v>0</v>
      </c>
      <c r="AP1082" s="19">
        <v>0</v>
      </c>
      <c r="AQ1082" s="19">
        <v>0</v>
      </c>
      <c r="AR1082" s="19">
        <v>196.36945383572544</v>
      </c>
    </row>
    <row r="1083" spans="1:44" x14ac:dyDescent="0.25">
      <c r="A1083" t="s">
        <v>250</v>
      </c>
      <c r="B1083" t="s">
        <v>402</v>
      </c>
      <c r="C1083" t="s">
        <v>44</v>
      </c>
      <c r="D1083" t="s">
        <v>219</v>
      </c>
      <c r="E1083" t="s">
        <v>134</v>
      </c>
      <c r="F1083" t="s">
        <v>399</v>
      </c>
      <c r="G1083" t="s">
        <v>31</v>
      </c>
      <c r="H1083" t="s">
        <v>277</v>
      </c>
      <c r="I1083" t="s">
        <v>135</v>
      </c>
      <c r="J1083" t="s">
        <v>39</v>
      </c>
      <c r="K1083" t="s">
        <v>31</v>
      </c>
      <c r="L1083">
        <v>3.1195595054096081E-2</v>
      </c>
      <c r="M1083">
        <v>0</v>
      </c>
      <c r="N1083" s="2">
        <v>5.9157197014019343E-2</v>
      </c>
      <c r="O1083" s="2">
        <v>8.738875658880076</v>
      </c>
      <c r="P1083" s="1">
        <v>75.838878444344346</v>
      </c>
      <c r="Q1083" s="1">
        <v>80.014804576481396</v>
      </c>
      <c r="R1083" s="1">
        <v>-3.6342716054978919</v>
      </c>
      <c r="S1083" s="19">
        <v>7.2896229531357868</v>
      </c>
      <c r="T1083" s="19">
        <v>11.80160312311963</v>
      </c>
      <c r="U1083" s="19">
        <v>17.828634950017896</v>
      </c>
      <c r="V1083" s="19">
        <v>25.413892391501463</v>
      </c>
      <c r="W1083" s="19">
        <v>34.406703060036939</v>
      </c>
      <c r="X1083" s="19">
        <v>44.392985403885142</v>
      </c>
      <c r="Y1083" s="19">
        <v>54.647313353748807</v>
      </c>
      <c r="Z1083" s="19">
        <v>64.137996978493803</v>
      </c>
      <c r="AA1083" s="19">
        <v>71.619019531151821</v>
      </c>
      <c r="AB1083" s="19">
        <v>75.829539687672323</v>
      </c>
      <c r="AC1083" s="19">
        <v>75.786708319542143</v>
      </c>
      <c r="AD1083" s="19">
        <v>71.104548681212833</v>
      </c>
      <c r="AE1083" s="19">
        <v>62.221721982626043</v>
      </c>
      <c r="AF1083" s="19">
        <v>51.21380106660537</v>
      </c>
      <c r="AG1083" s="19">
        <v>38.978643237201339</v>
      </c>
      <c r="AH1083" s="19">
        <v>3.0528811137940441</v>
      </c>
      <c r="AI1083" s="19">
        <v>0</v>
      </c>
      <c r="AJ1083" s="19">
        <v>0</v>
      </c>
      <c r="AK1083" s="19">
        <v>0</v>
      </c>
      <c r="AL1083" s="19">
        <v>0</v>
      </c>
      <c r="AM1083" s="19">
        <v>0</v>
      </c>
      <c r="AN1083" s="19">
        <v>0</v>
      </c>
      <c r="AO1083" s="19">
        <v>0</v>
      </c>
      <c r="AP1083" s="19">
        <v>0</v>
      </c>
      <c r="AQ1083" s="19">
        <v>0</v>
      </c>
      <c r="AR1083" s="19">
        <v>709.72561583374534</v>
      </c>
    </row>
    <row r="1084" spans="1:44" x14ac:dyDescent="0.25">
      <c r="A1084" t="s">
        <v>250</v>
      </c>
      <c r="B1084" t="s">
        <v>402</v>
      </c>
      <c r="C1084" t="s">
        <v>44</v>
      </c>
      <c r="D1084" t="s">
        <v>219</v>
      </c>
      <c r="E1084" t="s">
        <v>134</v>
      </c>
      <c r="F1084" t="s">
        <v>399</v>
      </c>
      <c r="G1084" t="s">
        <v>31</v>
      </c>
      <c r="H1084" t="s">
        <v>277</v>
      </c>
      <c r="I1084" t="s">
        <v>135</v>
      </c>
      <c r="J1084" t="s">
        <v>40</v>
      </c>
      <c r="K1084" t="s">
        <v>31</v>
      </c>
      <c r="L1084">
        <v>3.1195595054096081E-2</v>
      </c>
      <c r="M1084">
        <v>0</v>
      </c>
      <c r="N1084" s="2">
        <v>5.9157197014019343E-2</v>
      </c>
      <c r="O1084" s="2">
        <v>7.4455689628598076</v>
      </c>
      <c r="P1084" s="1">
        <v>75.838878444344346</v>
      </c>
      <c r="Q1084" s="1">
        <v>0.4672931329656026</v>
      </c>
      <c r="R1084" s="1">
        <v>-3.4912716054978921</v>
      </c>
      <c r="S1084" s="19">
        <v>1.1499044158498677</v>
      </c>
      <c r="T1084" s="19">
        <v>1.8616484875318704</v>
      </c>
      <c r="U1084" s="19">
        <v>2.8123849737360995</v>
      </c>
      <c r="V1084" s="19">
        <v>4.0089243672541031</v>
      </c>
      <c r="W1084" s="19">
        <v>5.4274987935490033</v>
      </c>
      <c r="X1084" s="19">
        <v>7.0027887967411235</v>
      </c>
      <c r="Y1084" s="19">
        <v>8.6203617585976176</v>
      </c>
      <c r="Z1084" s="19">
        <v>10.117473348550796</v>
      </c>
      <c r="AA1084" s="19">
        <v>11.297570168877195</v>
      </c>
      <c r="AB1084" s="19">
        <v>11.961760313159632</v>
      </c>
      <c r="AC1084" s="19">
        <v>11.955003862288796</v>
      </c>
      <c r="AD1084" s="19">
        <v>11.21641476399903</v>
      </c>
      <c r="AE1084" s="19">
        <v>9.8151898019397663</v>
      </c>
      <c r="AF1084" s="19">
        <v>8.0787410237196049</v>
      </c>
      <c r="AG1084" s="19">
        <v>6.1487012799493774</v>
      </c>
      <c r="AH1084" s="19">
        <v>0.48157792198378319</v>
      </c>
      <c r="AI1084" s="19">
        <v>0</v>
      </c>
      <c r="AJ1084" s="19">
        <v>0</v>
      </c>
      <c r="AK1084" s="19">
        <v>0</v>
      </c>
      <c r="AL1084" s="19">
        <v>0</v>
      </c>
      <c r="AM1084" s="19">
        <v>0</v>
      </c>
      <c r="AN1084" s="19">
        <v>0</v>
      </c>
      <c r="AO1084" s="19">
        <v>0</v>
      </c>
      <c r="AP1084" s="19">
        <v>0</v>
      </c>
      <c r="AQ1084" s="19">
        <v>0</v>
      </c>
      <c r="AR1084" s="19">
        <v>111.95594407772764</v>
      </c>
    </row>
    <row r="1085" spans="1:44" x14ac:dyDescent="0.25">
      <c r="A1085" t="s">
        <v>250</v>
      </c>
      <c r="B1085" t="s">
        <v>403</v>
      </c>
      <c r="C1085" t="s">
        <v>44</v>
      </c>
      <c r="D1085" t="s">
        <v>219</v>
      </c>
      <c r="E1085" t="s">
        <v>134</v>
      </c>
      <c r="F1085" t="s">
        <v>399</v>
      </c>
      <c r="G1085" t="s">
        <v>31</v>
      </c>
      <c r="H1085" t="s">
        <v>276</v>
      </c>
      <c r="I1085" t="s">
        <v>135</v>
      </c>
      <c r="J1085" t="s">
        <v>39</v>
      </c>
      <c r="K1085" t="s">
        <v>31</v>
      </c>
      <c r="L1085">
        <v>0.26223026548672568</v>
      </c>
      <c r="M1085">
        <v>0</v>
      </c>
      <c r="N1085" s="2">
        <v>0.36041011491017527</v>
      </c>
      <c r="O1085" s="2">
        <v>6.504014493684382</v>
      </c>
      <c r="P1085" s="1">
        <v>6.8072244786385783</v>
      </c>
      <c r="Q1085" s="1">
        <v>9.7747780822102239</v>
      </c>
      <c r="R1085" s="1">
        <v>-2.4258990769324864</v>
      </c>
      <c r="S1085" s="19">
        <v>88.214931302059227</v>
      </c>
      <c r="T1085" s="19">
        <v>143.19233988412279</v>
      </c>
      <c r="U1085" s="19">
        <v>216.8895454025122</v>
      </c>
      <c r="V1085" s="19">
        <v>309.97984590355469</v>
      </c>
      <c r="W1085" s="19">
        <v>420.7722364282173</v>
      </c>
      <c r="X1085" s="19">
        <v>544.32729775688017</v>
      </c>
      <c r="Y1085" s="19">
        <v>671.8252515764616</v>
      </c>
      <c r="Z1085" s="19">
        <v>790.57785738479765</v>
      </c>
      <c r="AA1085" s="19">
        <v>885.11432647390723</v>
      </c>
      <c r="AB1085" s="19">
        <v>939.61764622353724</v>
      </c>
      <c r="AC1085" s="19">
        <v>941.5589908504586</v>
      </c>
      <c r="AD1085" s="19">
        <v>885.71422546999349</v>
      </c>
      <c r="AE1085" s="19">
        <v>777.10554403462197</v>
      </c>
      <c r="AF1085" s="19">
        <v>641.30811736365956</v>
      </c>
      <c r="AG1085" s="19">
        <v>489.38222436020862</v>
      </c>
      <c r="AH1085" s="19">
        <v>338.0915919385746</v>
      </c>
      <c r="AI1085" s="19">
        <v>64.396534446672163</v>
      </c>
      <c r="AJ1085" s="19">
        <v>0</v>
      </c>
      <c r="AK1085" s="19">
        <v>0</v>
      </c>
      <c r="AL1085" s="19">
        <v>0</v>
      </c>
      <c r="AM1085" s="19">
        <v>0</v>
      </c>
      <c r="AN1085" s="19">
        <v>0</v>
      </c>
      <c r="AO1085" s="19">
        <v>0</v>
      </c>
      <c r="AP1085" s="19">
        <v>0</v>
      </c>
      <c r="AQ1085" s="19">
        <v>0</v>
      </c>
      <c r="AR1085" s="19">
        <v>9148.0685068002385</v>
      </c>
    </row>
    <row r="1086" spans="1:44" x14ac:dyDescent="0.25">
      <c r="A1086" t="s">
        <v>250</v>
      </c>
      <c r="B1086" t="s">
        <v>404</v>
      </c>
      <c r="C1086" t="s">
        <v>44</v>
      </c>
      <c r="D1086" t="s">
        <v>219</v>
      </c>
      <c r="E1086" t="s">
        <v>134</v>
      </c>
      <c r="F1086" t="s">
        <v>399</v>
      </c>
      <c r="G1086" t="s">
        <v>31</v>
      </c>
      <c r="H1086" t="s">
        <v>253</v>
      </c>
      <c r="I1086" t="s">
        <v>135</v>
      </c>
      <c r="J1086" t="s">
        <v>39</v>
      </c>
      <c r="K1086" t="s">
        <v>31</v>
      </c>
      <c r="L1086">
        <v>0.47068074581430608</v>
      </c>
      <c r="M1086">
        <v>0</v>
      </c>
      <c r="N1086" s="2">
        <v>0.58605863060095531</v>
      </c>
      <c r="O1086" s="2">
        <v>6.0314982584435839</v>
      </c>
      <c r="P1086" s="1">
        <v>2.8150631036590616</v>
      </c>
      <c r="Q1086" s="1">
        <v>5.5745076746880287</v>
      </c>
      <c r="R1086" s="1">
        <v>-2.217790044389806</v>
      </c>
      <c r="S1086" s="19">
        <v>17.329888109703617</v>
      </c>
      <c r="T1086" s="19">
        <v>28.073861568383482</v>
      </c>
      <c r="U1086" s="19">
        <v>42.437490697614919</v>
      </c>
      <c r="V1086" s="19">
        <v>60.530358448915337</v>
      </c>
      <c r="W1086" s="19">
        <v>82.000325010413349</v>
      </c>
      <c r="X1086" s="19">
        <v>105.86619928635352</v>
      </c>
      <c r="Y1086" s="19">
        <v>130.40139589154356</v>
      </c>
      <c r="Z1086" s="19">
        <v>153.14374848320347</v>
      </c>
      <c r="AA1086" s="19">
        <v>171.11288226740541</v>
      </c>
      <c r="AB1086" s="19">
        <v>181.28555917354075</v>
      </c>
      <c r="AC1086" s="19">
        <v>181.29602857980575</v>
      </c>
      <c r="AD1086" s="19">
        <v>170.20138335260879</v>
      </c>
      <c r="AE1086" s="19">
        <v>149.03153777252442</v>
      </c>
      <c r="AF1086" s="19">
        <v>122.7421205764972</v>
      </c>
      <c r="AG1086" s="19">
        <v>93.476788968690371</v>
      </c>
      <c r="AH1086" s="19">
        <v>23.734161942552767</v>
      </c>
      <c r="AI1086" s="19">
        <v>0</v>
      </c>
      <c r="AJ1086" s="19">
        <v>0</v>
      </c>
      <c r="AK1086" s="19">
        <v>0</v>
      </c>
      <c r="AL1086" s="19">
        <v>0</v>
      </c>
      <c r="AM1086" s="19">
        <v>0</v>
      </c>
      <c r="AN1086" s="19">
        <v>0</v>
      </c>
      <c r="AO1086" s="19">
        <v>0</v>
      </c>
      <c r="AP1086" s="19">
        <v>0</v>
      </c>
      <c r="AQ1086" s="19">
        <v>0</v>
      </c>
      <c r="AR1086" s="19">
        <v>1712.6637301297567</v>
      </c>
    </row>
    <row r="1087" spans="1:44" x14ac:dyDescent="0.25">
      <c r="A1087" t="s">
        <v>250</v>
      </c>
      <c r="B1087" t="s">
        <v>404</v>
      </c>
      <c r="C1087" t="s">
        <v>44</v>
      </c>
      <c r="D1087" t="s">
        <v>219</v>
      </c>
      <c r="E1087" t="s">
        <v>134</v>
      </c>
      <c r="F1087" t="s">
        <v>399</v>
      </c>
      <c r="G1087" t="s">
        <v>31</v>
      </c>
      <c r="H1087" t="s">
        <v>253</v>
      </c>
      <c r="I1087" t="s">
        <v>256</v>
      </c>
      <c r="J1087" t="s">
        <v>39</v>
      </c>
      <c r="K1087" t="s">
        <v>31</v>
      </c>
      <c r="L1087">
        <v>0.47068074581430608</v>
      </c>
      <c r="M1087">
        <v>0</v>
      </c>
      <c r="N1087" s="2">
        <v>0.32362523975792612</v>
      </c>
      <c r="O1087" s="2">
        <v>3.3306310462261401</v>
      </c>
      <c r="P1087" s="1">
        <v>4.2780000550079311</v>
      </c>
      <c r="Q1087" s="1">
        <v>0.4672931329656026</v>
      </c>
      <c r="R1087" s="1">
        <v>-0.75485309304093695</v>
      </c>
      <c r="S1087" s="19">
        <v>9.0905819133845238</v>
      </c>
      <c r="T1087" s="19">
        <v>14.726450430427644</v>
      </c>
      <c r="U1087" s="19">
        <v>22.261048827496435</v>
      </c>
      <c r="V1087" s="19">
        <v>31.751860037589267</v>
      </c>
      <c r="W1087" s="19">
        <v>43.014165279804836</v>
      </c>
      <c r="X1087" s="19">
        <v>55.533270058011098</v>
      </c>
      <c r="Y1087" s="19">
        <v>68.403475167736346</v>
      </c>
      <c r="Z1087" s="19">
        <v>80.333224386474541</v>
      </c>
      <c r="AA1087" s="19">
        <v>89.759129593928677</v>
      </c>
      <c r="AB1087" s="19">
        <v>95.095318270290534</v>
      </c>
      <c r="AC1087" s="19">
        <v>95.100810111590022</v>
      </c>
      <c r="AD1087" s="19">
        <v>89.280992891806505</v>
      </c>
      <c r="AE1087" s="19">
        <v>78.176119385341067</v>
      </c>
      <c r="AF1087" s="19">
        <v>64.385718722464972</v>
      </c>
      <c r="AG1087" s="19">
        <v>49.034269681419822</v>
      </c>
      <c r="AH1087" s="19">
        <v>12.450013636469826</v>
      </c>
      <c r="AI1087" s="19">
        <v>0</v>
      </c>
      <c r="AJ1087" s="19">
        <v>0</v>
      </c>
      <c r="AK1087" s="19">
        <v>0</v>
      </c>
      <c r="AL1087" s="19">
        <v>0</v>
      </c>
      <c r="AM1087" s="19">
        <v>0</v>
      </c>
      <c r="AN1087" s="19">
        <v>0</v>
      </c>
      <c r="AO1087" s="19">
        <v>0</v>
      </c>
      <c r="AP1087" s="19">
        <v>0</v>
      </c>
      <c r="AQ1087" s="19">
        <v>0</v>
      </c>
      <c r="AR1087" s="19">
        <v>898.39644839423602</v>
      </c>
    </row>
    <row r="1088" spans="1:44" x14ac:dyDescent="0.25">
      <c r="A1088" t="s">
        <v>250</v>
      </c>
      <c r="B1088" t="s">
        <v>404</v>
      </c>
      <c r="C1088" t="s">
        <v>44</v>
      </c>
      <c r="D1088" t="s">
        <v>219</v>
      </c>
      <c r="E1088" t="s">
        <v>134</v>
      </c>
      <c r="F1088" t="s">
        <v>399</v>
      </c>
      <c r="G1088" t="s">
        <v>31</v>
      </c>
      <c r="H1088" t="s">
        <v>253</v>
      </c>
      <c r="I1088" t="s">
        <v>135</v>
      </c>
      <c r="J1088" t="s">
        <v>40</v>
      </c>
      <c r="K1088" t="s">
        <v>31</v>
      </c>
      <c r="L1088">
        <v>0.47068074581430608</v>
      </c>
      <c r="M1088">
        <v>0</v>
      </c>
      <c r="N1088" s="2">
        <v>0.58605863060095531</v>
      </c>
      <c r="O1088" s="2">
        <v>4.8304674702220103</v>
      </c>
      <c r="P1088" s="1">
        <v>2.8150631036590616</v>
      </c>
      <c r="Q1088" s="1">
        <v>0.4672931329656026</v>
      </c>
      <c r="R1088" s="1">
        <v>-2.0747900443898062</v>
      </c>
      <c r="S1088" s="19">
        <v>9.1158813291152541</v>
      </c>
      <c r="T1088" s="19">
        <v>14.767434670515597</v>
      </c>
      <c r="U1088" s="19">
        <v>22.323002125344129</v>
      </c>
      <c r="V1088" s="19">
        <v>31.840226603664888</v>
      </c>
      <c r="W1088" s="19">
        <v>43.133875245579603</v>
      </c>
      <c r="X1088" s="19">
        <v>55.687821141700894</v>
      </c>
      <c r="Y1088" s="19">
        <v>68.593844494164941</v>
      </c>
      <c r="Z1088" s="19">
        <v>80.55679463314388</v>
      </c>
      <c r="AA1088" s="19">
        <v>90.008932473091079</v>
      </c>
      <c r="AB1088" s="19">
        <v>95.359971954057841</v>
      </c>
      <c r="AC1088" s="19">
        <v>95.365479079348788</v>
      </c>
      <c r="AD1088" s="19">
        <v>89.529465099366348</v>
      </c>
      <c r="AE1088" s="19">
        <v>78.393686331372606</v>
      </c>
      <c r="AF1088" s="19">
        <v>64.564906488507006</v>
      </c>
      <c r="AG1088" s="19">
        <v>49.170733813809044</v>
      </c>
      <c r="AH1088" s="19">
        <v>12.484662471258414</v>
      </c>
      <c r="AI1088" s="19">
        <v>0</v>
      </c>
      <c r="AJ1088" s="19">
        <v>0</v>
      </c>
      <c r="AK1088" s="19">
        <v>0</v>
      </c>
      <c r="AL1088" s="19">
        <v>0</v>
      </c>
      <c r="AM1088" s="19">
        <v>0</v>
      </c>
      <c r="AN1088" s="19">
        <v>0</v>
      </c>
      <c r="AO1088" s="19">
        <v>0</v>
      </c>
      <c r="AP1088" s="19">
        <v>0</v>
      </c>
      <c r="AQ1088" s="19">
        <v>0</v>
      </c>
      <c r="AR1088" s="19">
        <v>900.89671795404035</v>
      </c>
    </row>
    <row r="1089" spans="1:44" x14ac:dyDescent="0.25">
      <c r="A1089" t="s">
        <v>250</v>
      </c>
      <c r="B1089" t="s">
        <v>405</v>
      </c>
      <c r="C1089" t="s">
        <v>44</v>
      </c>
      <c r="D1089" t="s">
        <v>219</v>
      </c>
      <c r="E1089" t="s">
        <v>134</v>
      </c>
      <c r="F1089" t="s">
        <v>399</v>
      </c>
      <c r="G1089" t="s">
        <v>31</v>
      </c>
      <c r="H1089" t="s">
        <v>252</v>
      </c>
      <c r="I1089" t="s">
        <v>135</v>
      </c>
      <c r="J1089" t="s">
        <v>39</v>
      </c>
      <c r="K1089" t="s">
        <v>31</v>
      </c>
      <c r="L1089">
        <v>0.5338193843886696</v>
      </c>
      <c r="M1089">
        <v>0</v>
      </c>
      <c r="N1089" s="2">
        <v>0.79194349609584402</v>
      </c>
      <c r="O1089" s="2">
        <v>7.236633810211182</v>
      </c>
      <c r="P1089" s="1">
        <v>1.5733259870010581</v>
      </c>
      <c r="Q1089" s="1">
        <v>4.9495393045774785</v>
      </c>
      <c r="R1089" s="1">
        <v>-2.8345587909372605</v>
      </c>
      <c r="S1089" s="19">
        <v>14.621537161113128</v>
      </c>
      <c r="T1089" s="19">
        <v>23.695933680944368</v>
      </c>
      <c r="U1089" s="19">
        <v>35.834039327252135</v>
      </c>
      <c r="V1089" s="19">
        <v>51.132109845818803</v>
      </c>
      <c r="W1089" s="19">
        <v>69.296362647476826</v>
      </c>
      <c r="X1089" s="19">
        <v>89.500731548873873</v>
      </c>
      <c r="Y1089" s="19">
        <v>110.2874008266751</v>
      </c>
      <c r="Z1089" s="19">
        <v>129.5738408418438</v>
      </c>
      <c r="AA1089" s="19">
        <v>144.83554702894057</v>
      </c>
      <c r="AB1089" s="19">
        <v>153.50766499064522</v>
      </c>
      <c r="AC1089" s="19">
        <v>153.57818961388813</v>
      </c>
      <c r="AD1089" s="19">
        <v>144.23768277139661</v>
      </c>
      <c r="AE1089" s="19">
        <v>126.34795927361516</v>
      </c>
      <c r="AF1089" s="19">
        <v>104.10175932156903</v>
      </c>
      <c r="AG1089" s="19">
        <v>79.312680973942918</v>
      </c>
      <c r="AH1089" s="19">
        <v>29.135327457170259</v>
      </c>
      <c r="AI1089" s="19">
        <v>0</v>
      </c>
      <c r="AJ1089" s="19">
        <v>0</v>
      </c>
      <c r="AK1089" s="19">
        <v>0</v>
      </c>
      <c r="AL1089" s="19">
        <v>0</v>
      </c>
      <c r="AM1089" s="19">
        <v>0</v>
      </c>
      <c r="AN1089" s="19">
        <v>0</v>
      </c>
      <c r="AO1089" s="19">
        <v>0</v>
      </c>
      <c r="AP1089" s="19">
        <v>0</v>
      </c>
      <c r="AQ1089" s="19">
        <v>0</v>
      </c>
      <c r="AR1089" s="19">
        <v>1458.9987673111657</v>
      </c>
    </row>
    <row r="1090" spans="1:44" x14ac:dyDescent="0.25">
      <c r="A1090" t="s">
        <v>250</v>
      </c>
      <c r="B1090" t="s">
        <v>406</v>
      </c>
      <c r="C1090" t="s">
        <v>44</v>
      </c>
      <c r="D1090" t="s">
        <v>219</v>
      </c>
      <c r="E1090" t="s">
        <v>134</v>
      </c>
      <c r="F1090" t="s">
        <v>399</v>
      </c>
      <c r="G1090" t="s">
        <v>31</v>
      </c>
      <c r="H1090" t="s">
        <v>254</v>
      </c>
      <c r="I1090" t="s">
        <v>135</v>
      </c>
      <c r="J1090" t="s">
        <v>39</v>
      </c>
      <c r="K1090" t="s">
        <v>31</v>
      </c>
      <c r="L1090">
        <v>0.34049656601539446</v>
      </c>
      <c r="M1090">
        <v>0</v>
      </c>
      <c r="N1090" s="2">
        <v>0.45525969255882226</v>
      </c>
      <c r="O1090" s="2">
        <v>6.3833710076388037</v>
      </c>
      <c r="P1090" s="1">
        <v>4.6640762916573406</v>
      </c>
      <c r="Q1090" s="1">
        <v>7.594746159211109</v>
      </c>
      <c r="R1090" s="1">
        <v>-2.3890153409146069</v>
      </c>
      <c r="S1090" s="19">
        <v>47.937607617024433</v>
      </c>
      <c r="T1090" s="19">
        <v>77.627231967187527</v>
      </c>
      <c r="U1090" s="19">
        <v>117.29864395347626</v>
      </c>
      <c r="V1090" s="19">
        <v>167.24297694783485</v>
      </c>
      <c r="W1090" s="19">
        <v>226.47567679493895</v>
      </c>
      <c r="X1090" s="19">
        <v>292.27701472344665</v>
      </c>
      <c r="Y1090" s="19">
        <v>359.87438047411428</v>
      </c>
      <c r="Z1090" s="19">
        <v>422.47334339994694</v>
      </c>
      <c r="AA1090" s="19">
        <v>471.86101118697883</v>
      </c>
      <c r="AB1090" s="19">
        <v>499.71909701666641</v>
      </c>
      <c r="AC1090" s="19">
        <v>499.5539248447829</v>
      </c>
      <c r="AD1090" s="19">
        <v>468.80098886903744</v>
      </c>
      <c r="AE1090" s="19">
        <v>410.33160120776438</v>
      </c>
      <c r="AF1090" s="19">
        <v>337.81719624507616</v>
      </c>
      <c r="AG1090" s="19">
        <v>257.1717529521373</v>
      </c>
      <c r="AH1090" s="19">
        <v>37.12666059303146</v>
      </c>
      <c r="AI1090" s="19">
        <v>0</v>
      </c>
      <c r="AJ1090" s="19">
        <v>0</v>
      </c>
      <c r="AK1090" s="19">
        <v>0</v>
      </c>
      <c r="AL1090" s="19">
        <v>0</v>
      </c>
      <c r="AM1090" s="19">
        <v>0</v>
      </c>
      <c r="AN1090" s="19">
        <v>0</v>
      </c>
      <c r="AO1090" s="19">
        <v>0</v>
      </c>
      <c r="AP1090" s="19">
        <v>0</v>
      </c>
      <c r="AQ1090" s="19">
        <v>0</v>
      </c>
      <c r="AR1090" s="19">
        <v>4693.5891087934451</v>
      </c>
    </row>
    <row r="1091" spans="1:44" x14ac:dyDescent="0.25">
      <c r="A1091" t="s">
        <v>250</v>
      </c>
      <c r="B1091" t="s">
        <v>406</v>
      </c>
      <c r="C1091" t="s">
        <v>44</v>
      </c>
      <c r="D1091" t="s">
        <v>219</v>
      </c>
      <c r="E1091" t="s">
        <v>134</v>
      </c>
      <c r="F1091" t="s">
        <v>399</v>
      </c>
      <c r="G1091" t="s">
        <v>31</v>
      </c>
      <c r="H1091" t="s">
        <v>255</v>
      </c>
      <c r="I1091" t="s">
        <v>135</v>
      </c>
      <c r="J1091" t="s">
        <v>39</v>
      </c>
      <c r="K1091" t="s">
        <v>31</v>
      </c>
      <c r="L1091">
        <v>0.34049656601539446</v>
      </c>
      <c r="M1091">
        <v>0</v>
      </c>
      <c r="N1091" s="2">
        <v>0.45525969255882226</v>
      </c>
      <c r="O1091" s="2">
        <v>6.3833710076388037</v>
      </c>
      <c r="P1091" s="1">
        <v>4.6640762916573406</v>
      </c>
      <c r="Q1091" s="1">
        <v>7.594746159211109</v>
      </c>
      <c r="R1091" s="1">
        <v>-2.3890153409146069</v>
      </c>
      <c r="S1091" s="19">
        <v>10.04957910156774</v>
      </c>
      <c r="T1091" s="19">
        <v>16.199894655483913</v>
      </c>
      <c r="U1091" s="19">
        <v>24.367874814114664</v>
      </c>
      <c r="V1091" s="19">
        <v>34.58590357194327</v>
      </c>
      <c r="W1091" s="19">
        <v>46.622909956967213</v>
      </c>
      <c r="X1091" s="19">
        <v>59.896169138078264</v>
      </c>
      <c r="Y1091" s="19">
        <v>73.414507093042673</v>
      </c>
      <c r="Z1091" s="19">
        <v>85.793985292964621</v>
      </c>
      <c r="AA1091" s="19">
        <v>95.388978459149953</v>
      </c>
      <c r="AB1091" s="19">
        <v>100.56263020301512</v>
      </c>
      <c r="AC1091" s="19">
        <v>100.07362370366764</v>
      </c>
      <c r="AD1091" s="19">
        <v>93.487241006549681</v>
      </c>
      <c r="AE1091" s="19">
        <v>81.456428128243772</v>
      </c>
      <c r="AF1091" s="19">
        <v>60.396346462489689</v>
      </c>
      <c r="AG1091" s="19">
        <v>0</v>
      </c>
      <c r="AH1091" s="19">
        <v>0</v>
      </c>
      <c r="AI1091" s="19">
        <v>0</v>
      </c>
      <c r="AJ1091" s="19">
        <v>0</v>
      </c>
      <c r="AK1091" s="19">
        <v>0</v>
      </c>
      <c r="AL1091" s="19">
        <v>0</v>
      </c>
      <c r="AM1091" s="19">
        <v>0</v>
      </c>
      <c r="AN1091" s="19">
        <v>0</v>
      </c>
      <c r="AO1091" s="19">
        <v>0</v>
      </c>
      <c r="AP1091" s="19">
        <v>0</v>
      </c>
      <c r="AQ1091" s="19">
        <v>0</v>
      </c>
      <c r="AR1091" s="19">
        <v>882.29607158727822</v>
      </c>
    </row>
    <row r="1092" spans="1:44" x14ac:dyDescent="0.25">
      <c r="A1092" t="s">
        <v>250</v>
      </c>
      <c r="B1092" t="s">
        <v>407</v>
      </c>
      <c r="C1092" t="s">
        <v>44</v>
      </c>
      <c r="D1092" t="s">
        <v>219</v>
      </c>
      <c r="E1092" t="s">
        <v>134</v>
      </c>
      <c r="F1092" t="s">
        <v>408</v>
      </c>
      <c r="G1092" t="s">
        <v>31</v>
      </c>
      <c r="H1092" t="s">
        <v>288</v>
      </c>
      <c r="I1092" t="s">
        <v>135</v>
      </c>
      <c r="J1092" t="s">
        <v>39</v>
      </c>
      <c r="K1092" t="s">
        <v>31</v>
      </c>
      <c r="L1092">
        <v>7.1797440821041114E-2</v>
      </c>
      <c r="M1092">
        <v>0</v>
      </c>
      <c r="N1092" s="2">
        <v>0.18156870013161905</v>
      </c>
      <c r="O1092" s="2">
        <v>7.8628457168505852</v>
      </c>
      <c r="P1092" s="1">
        <v>19.75917944605521</v>
      </c>
      <c r="Q1092" s="1">
        <v>23.4563885279244</v>
      </c>
      <c r="R1092" s="1">
        <v>-3.1555545552300255</v>
      </c>
      <c r="S1092" s="19">
        <v>0</v>
      </c>
      <c r="T1092" s="19">
        <v>0</v>
      </c>
      <c r="U1092" s="19">
        <v>31.054364651716988</v>
      </c>
      <c r="V1092" s="19">
        <v>44.343056347943019</v>
      </c>
      <c r="W1092" s="19">
        <v>60.137777998144649</v>
      </c>
      <c r="X1092" s="19">
        <v>77.72639967652691</v>
      </c>
      <c r="Y1092" s="19">
        <v>95.845757926944742</v>
      </c>
      <c r="Z1092" s="19">
        <v>112.68584214385608</v>
      </c>
      <c r="AA1092" s="19">
        <v>126.04691311362312</v>
      </c>
      <c r="AB1092" s="19">
        <v>133.68791312712057</v>
      </c>
      <c r="AC1092" s="19">
        <v>133.84330437269637</v>
      </c>
      <c r="AD1092" s="19">
        <v>125.79137692461276</v>
      </c>
      <c r="AE1092" s="19">
        <v>110.26695811166242</v>
      </c>
      <c r="AF1092" s="19">
        <v>90.915987329886363</v>
      </c>
      <c r="AG1092" s="19">
        <v>69.315418340156285</v>
      </c>
      <c r="AH1092" s="19">
        <v>47.843634520478645</v>
      </c>
      <c r="AI1092" s="19">
        <v>24.576304967116062</v>
      </c>
      <c r="AJ1092" s="19">
        <v>0</v>
      </c>
      <c r="AK1092" s="19">
        <v>0</v>
      </c>
      <c r="AL1092" s="19">
        <v>0</v>
      </c>
      <c r="AM1092" s="19">
        <v>0</v>
      </c>
      <c r="AN1092" s="19">
        <v>0</v>
      </c>
      <c r="AO1092" s="19">
        <v>0</v>
      </c>
      <c r="AP1092" s="19">
        <v>0</v>
      </c>
      <c r="AQ1092" s="19">
        <v>0</v>
      </c>
      <c r="AR1092" s="19">
        <v>1284.0810095524853</v>
      </c>
    </row>
    <row r="1093" spans="1:44" x14ac:dyDescent="0.25">
      <c r="A1093" t="s">
        <v>250</v>
      </c>
      <c r="B1093" t="s">
        <v>407</v>
      </c>
      <c r="C1093" t="s">
        <v>44</v>
      </c>
      <c r="D1093" t="s">
        <v>219</v>
      </c>
      <c r="E1093" t="s">
        <v>134</v>
      </c>
      <c r="F1093" t="s">
        <v>408</v>
      </c>
      <c r="G1093" t="s">
        <v>31</v>
      </c>
      <c r="H1093" t="s">
        <v>289</v>
      </c>
      <c r="I1093" t="s">
        <v>135</v>
      </c>
      <c r="J1093" t="s">
        <v>39</v>
      </c>
      <c r="K1093" t="s">
        <v>31</v>
      </c>
      <c r="L1093">
        <v>7.1797440821041114E-2</v>
      </c>
      <c r="M1093">
        <v>0</v>
      </c>
      <c r="N1093" s="2">
        <v>0.18156870013161905</v>
      </c>
      <c r="O1093" s="2">
        <v>7.8628457168505852</v>
      </c>
      <c r="P1093" s="1">
        <v>19.75917944605521</v>
      </c>
      <c r="Q1093" s="1">
        <v>23.4563885279244</v>
      </c>
      <c r="R1093" s="1">
        <v>-3.1555545552300255</v>
      </c>
      <c r="S1093" s="19">
        <v>0</v>
      </c>
      <c r="T1093" s="19">
        <v>0</v>
      </c>
      <c r="U1093" s="19">
        <v>29.515827451070351</v>
      </c>
      <c r="V1093" s="19">
        <v>42.146152867648865</v>
      </c>
      <c r="W1093" s="19">
        <v>57.15835112362771</v>
      </c>
      <c r="X1093" s="19">
        <v>73.875573594079469</v>
      </c>
      <c r="Y1093" s="19">
        <v>91.097238169783196</v>
      </c>
      <c r="Z1093" s="19">
        <v>107.10300823084825</v>
      </c>
      <c r="AA1093" s="19">
        <v>119.80212700941728</v>
      </c>
      <c r="AB1093" s="19">
        <v>127.06456629875392</v>
      </c>
      <c r="AC1093" s="19">
        <v>127.21225894174501</v>
      </c>
      <c r="AD1093" s="19">
        <v>119.55925093879326</v>
      </c>
      <c r="AE1093" s="19">
        <v>104.803963812484</v>
      </c>
      <c r="AF1093" s="19">
        <v>86.411704913893814</v>
      </c>
      <c r="AG1093" s="19">
        <v>65.881300434645738</v>
      </c>
      <c r="AH1093" s="19">
        <v>45.47330067692895</v>
      </c>
      <c r="AI1093" s="19">
        <v>23.358712532995991</v>
      </c>
      <c r="AJ1093" s="19">
        <v>0</v>
      </c>
      <c r="AK1093" s="19">
        <v>0</v>
      </c>
      <c r="AL1093" s="19">
        <v>0</v>
      </c>
      <c r="AM1093" s="19">
        <v>0</v>
      </c>
      <c r="AN1093" s="19">
        <v>0</v>
      </c>
      <c r="AO1093" s="19">
        <v>0</v>
      </c>
      <c r="AP1093" s="19">
        <v>0</v>
      </c>
      <c r="AQ1093" s="19">
        <v>0</v>
      </c>
      <c r="AR1093" s="19">
        <v>1220.463336996716</v>
      </c>
    </row>
    <row r="1094" spans="1:44" x14ac:dyDescent="0.25">
      <c r="A1094" t="s">
        <v>250</v>
      </c>
      <c r="B1094" t="s">
        <v>407</v>
      </c>
      <c r="C1094" t="s">
        <v>44</v>
      </c>
      <c r="D1094" t="s">
        <v>219</v>
      </c>
      <c r="E1094" t="s">
        <v>134</v>
      </c>
      <c r="F1094" t="s">
        <v>408</v>
      </c>
      <c r="G1094" t="s">
        <v>31</v>
      </c>
      <c r="H1094" t="s">
        <v>290</v>
      </c>
      <c r="I1094" t="s">
        <v>135</v>
      </c>
      <c r="J1094" t="s">
        <v>39</v>
      </c>
      <c r="K1094" t="s">
        <v>31</v>
      </c>
      <c r="L1094">
        <v>7.1797440821041114E-2</v>
      </c>
      <c r="M1094">
        <v>0</v>
      </c>
      <c r="N1094" s="2">
        <v>0.18156870013161905</v>
      </c>
      <c r="O1094" s="2">
        <v>7.8628457168505852</v>
      </c>
      <c r="P1094" s="1">
        <v>19.75917944605521</v>
      </c>
      <c r="Q1094" s="1">
        <v>23.4563885279244</v>
      </c>
      <c r="R1094" s="1">
        <v>-3.1555545552300255</v>
      </c>
      <c r="S1094" s="19">
        <v>0</v>
      </c>
      <c r="T1094" s="19">
        <v>0</v>
      </c>
      <c r="U1094" s="19">
        <v>42.740928463125677</v>
      </c>
      <c r="V1094" s="19">
        <v>61.030499913930598</v>
      </c>
      <c r="W1094" s="19">
        <v>82.769185464817397</v>
      </c>
      <c r="X1094" s="19">
        <v>106.97686220693852</v>
      </c>
      <c r="Y1094" s="19">
        <v>131.91500547486194</v>
      </c>
      <c r="Z1094" s="19">
        <v>155.09245067138517</v>
      </c>
      <c r="AA1094" s="19">
        <v>173.48163959584718</v>
      </c>
      <c r="AB1094" s="19">
        <v>183.99814632932433</v>
      </c>
      <c r="AC1094" s="19">
        <v>184.2120153356762</v>
      </c>
      <c r="AD1094" s="19">
        <v>173.12993850336872</v>
      </c>
      <c r="AE1094" s="19">
        <v>151.76327776638195</v>
      </c>
      <c r="AF1094" s="19">
        <v>125.13003419009782</v>
      </c>
      <c r="AG1094" s="19">
        <v>95.400610184579847</v>
      </c>
      <c r="AH1094" s="19">
        <v>65.848436552787305</v>
      </c>
      <c r="AI1094" s="19">
        <v>33.825006702539703</v>
      </c>
      <c r="AJ1094" s="19">
        <v>0</v>
      </c>
      <c r="AK1094" s="19">
        <v>0</v>
      </c>
      <c r="AL1094" s="19">
        <v>0</v>
      </c>
      <c r="AM1094" s="19">
        <v>0</v>
      </c>
      <c r="AN1094" s="19">
        <v>0</v>
      </c>
      <c r="AO1094" s="19">
        <v>0</v>
      </c>
      <c r="AP1094" s="19">
        <v>0</v>
      </c>
      <c r="AQ1094" s="19">
        <v>0</v>
      </c>
      <c r="AR1094" s="19">
        <v>1767.3140373556621</v>
      </c>
    </row>
    <row r="1095" spans="1:44" x14ac:dyDescent="0.25">
      <c r="A1095" t="s">
        <v>250</v>
      </c>
      <c r="B1095" t="s">
        <v>407</v>
      </c>
      <c r="C1095" t="s">
        <v>44</v>
      </c>
      <c r="D1095" t="s">
        <v>219</v>
      </c>
      <c r="E1095" t="s">
        <v>134</v>
      </c>
      <c r="F1095" t="s">
        <v>408</v>
      </c>
      <c r="G1095" t="s">
        <v>31</v>
      </c>
      <c r="H1095" t="s">
        <v>288</v>
      </c>
      <c r="I1095" t="s">
        <v>135</v>
      </c>
      <c r="J1095" t="s">
        <v>39</v>
      </c>
      <c r="K1095" t="s">
        <v>33</v>
      </c>
      <c r="L1095">
        <v>7.1797440821041114E-2</v>
      </c>
      <c r="M1095">
        <v>0</v>
      </c>
      <c r="N1095" s="2">
        <v>0.18156870013161905</v>
      </c>
      <c r="O1095" s="2">
        <v>7.8628457168505852</v>
      </c>
      <c r="P1095" s="1">
        <v>19.75917944605521</v>
      </c>
      <c r="Q1095" s="1">
        <v>23.4563885279244</v>
      </c>
      <c r="R1095" s="1">
        <v>-3.1555545552300255</v>
      </c>
      <c r="S1095" s="19">
        <v>0</v>
      </c>
      <c r="T1095" s="19">
        <v>0</v>
      </c>
      <c r="U1095" s="19">
        <v>0.29213192907912289</v>
      </c>
      <c r="V1095" s="19">
        <v>0.41714015847600394</v>
      </c>
      <c r="W1095" s="19">
        <v>0.56572289577203405</v>
      </c>
      <c r="X1095" s="19">
        <v>0.73118105401725852</v>
      </c>
      <c r="Y1095" s="19">
        <v>0.90163191136808229</v>
      </c>
      <c r="Z1095" s="19">
        <v>1.0600484928475298</v>
      </c>
      <c r="AA1095" s="19">
        <v>1.1857376022766388</v>
      </c>
      <c r="AB1095" s="19">
        <v>1.2576173557048964</v>
      </c>
      <c r="AC1095" s="19">
        <v>1.2590791387695697</v>
      </c>
      <c r="AD1095" s="19">
        <v>1.183333744375106</v>
      </c>
      <c r="AE1095" s="19">
        <v>1.0372937765147858</v>
      </c>
      <c r="AF1095" s="19">
        <v>0.85525700044693509</v>
      </c>
      <c r="AG1095" s="19">
        <v>0.65205799898780703</v>
      </c>
      <c r="AH1095" s="19">
        <v>0.4500704942244303</v>
      </c>
      <c r="AI1095" s="19">
        <v>0.23119208717359641</v>
      </c>
      <c r="AJ1095" s="19">
        <v>0</v>
      </c>
      <c r="AK1095" s="19">
        <v>0</v>
      </c>
      <c r="AL1095" s="19">
        <v>0</v>
      </c>
      <c r="AM1095" s="19">
        <v>0</v>
      </c>
      <c r="AN1095" s="19">
        <v>0</v>
      </c>
      <c r="AO1095" s="19">
        <v>0</v>
      </c>
      <c r="AP1095" s="19">
        <v>0</v>
      </c>
      <c r="AQ1095" s="19">
        <v>0</v>
      </c>
      <c r="AR1095" s="19">
        <v>12.079495640033796</v>
      </c>
    </row>
    <row r="1096" spans="1:44" x14ac:dyDescent="0.25">
      <c r="A1096" t="s">
        <v>250</v>
      </c>
      <c r="B1096" t="s">
        <v>409</v>
      </c>
      <c r="C1096" t="s">
        <v>44</v>
      </c>
      <c r="D1096" t="s">
        <v>219</v>
      </c>
      <c r="E1096" t="s">
        <v>134</v>
      </c>
      <c r="F1096" t="s">
        <v>408</v>
      </c>
      <c r="G1096" t="s">
        <v>31</v>
      </c>
      <c r="H1096" t="s">
        <v>278</v>
      </c>
      <c r="I1096" t="s">
        <v>135</v>
      </c>
      <c r="J1096" t="s">
        <v>39</v>
      </c>
      <c r="K1096" t="s">
        <v>31</v>
      </c>
      <c r="L1096">
        <v>4.8403483933705527E-2</v>
      </c>
      <c r="M1096">
        <v>0</v>
      </c>
      <c r="N1096" s="2">
        <v>0.20189702571664056</v>
      </c>
      <c r="O1096" s="2">
        <v>12.9164896711812</v>
      </c>
      <c r="P1096" s="1">
        <v>28.212682939850325</v>
      </c>
      <c r="Q1096" s="1">
        <v>34.652690270447202</v>
      </c>
      <c r="R1096" s="1">
        <v>-5.8983528039577227</v>
      </c>
      <c r="S1096" s="19">
        <v>0</v>
      </c>
      <c r="T1096" s="19">
        <v>0</v>
      </c>
      <c r="U1096" s="19">
        <v>6.1864787535111798</v>
      </c>
      <c r="V1096" s="19">
        <v>8.7806162519711393</v>
      </c>
      <c r="W1096" s="19">
        <v>11.83655300578668</v>
      </c>
      <c r="X1096" s="19">
        <v>15.206347726917926</v>
      </c>
      <c r="Y1096" s="19">
        <v>18.638362671968849</v>
      </c>
      <c r="Z1096" s="19">
        <v>21.781245645867376</v>
      </c>
      <c r="AA1096" s="19">
        <v>24.217207822113775</v>
      </c>
      <c r="AB1096" s="19">
        <v>25.530686606605421</v>
      </c>
      <c r="AC1096" s="19">
        <v>25.406538385161429</v>
      </c>
      <c r="AD1096" s="19">
        <v>23.73439762897976</v>
      </c>
      <c r="AE1096" s="19">
        <v>20.680033273168284</v>
      </c>
      <c r="AF1096" s="19">
        <v>16.948239588139401</v>
      </c>
      <c r="AG1096" s="19">
        <v>5.0492686048300532</v>
      </c>
      <c r="AH1096" s="19">
        <v>0</v>
      </c>
      <c r="AI1096" s="19">
        <v>0</v>
      </c>
      <c r="AJ1096" s="19">
        <v>0</v>
      </c>
      <c r="AK1096" s="19">
        <v>0</v>
      </c>
      <c r="AL1096" s="19">
        <v>0</v>
      </c>
      <c r="AM1096" s="19">
        <v>0</v>
      </c>
      <c r="AN1096" s="19">
        <v>0</v>
      </c>
      <c r="AO1096" s="19">
        <v>0</v>
      </c>
      <c r="AP1096" s="19">
        <v>0</v>
      </c>
      <c r="AQ1096" s="19">
        <v>0</v>
      </c>
      <c r="AR1096" s="19">
        <v>223.99597596502127</v>
      </c>
    </row>
    <row r="1097" spans="1:44" x14ac:dyDescent="0.25">
      <c r="A1097" t="s">
        <v>250</v>
      </c>
      <c r="B1097" t="s">
        <v>410</v>
      </c>
      <c r="C1097" t="s">
        <v>44</v>
      </c>
      <c r="D1097" t="s">
        <v>219</v>
      </c>
      <c r="E1097" t="s">
        <v>134</v>
      </c>
      <c r="F1097" t="s">
        <v>408</v>
      </c>
      <c r="G1097" t="s">
        <v>31</v>
      </c>
      <c r="H1097" t="s">
        <v>272</v>
      </c>
      <c r="I1097" t="s">
        <v>135</v>
      </c>
      <c r="J1097" t="s">
        <v>39</v>
      </c>
      <c r="K1097" t="s">
        <v>31</v>
      </c>
      <c r="L1097">
        <v>8.9058727732376886E-2</v>
      </c>
      <c r="M1097">
        <v>0</v>
      </c>
      <c r="N1097" s="2">
        <v>0.31310571523809327</v>
      </c>
      <c r="O1097" s="2">
        <v>10.963614690254312</v>
      </c>
      <c r="P1097" s="1">
        <v>13.585154326643281</v>
      </c>
      <c r="Q1097" s="1">
        <v>18.966410500645331</v>
      </c>
      <c r="R1097" s="1">
        <v>-4.8396016473628896</v>
      </c>
      <c r="S1097" s="19">
        <v>0</v>
      </c>
      <c r="T1097" s="19">
        <v>0</v>
      </c>
      <c r="U1097" s="19">
        <v>15.579952220434908</v>
      </c>
      <c r="V1097" s="19">
        <v>22.211177092390457</v>
      </c>
      <c r="W1097" s="19">
        <v>30.074319335496178</v>
      </c>
      <c r="X1097" s="19">
        <v>38.807838908637784</v>
      </c>
      <c r="Y1097" s="19">
        <v>47.77781467741746</v>
      </c>
      <c r="Z1097" s="19">
        <v>56.082222785088391</v>
      </c>
      <c r="AA1097" s="19">
        <v>62.631174505879528</v>
      </c>
      <c r="AB1097" s="19">
        <v>66.321289818072401</v>
      </c>
      <c r="AC1097" s="19">
        <v>66.29182084678429</v>
      </c>
      <c r="AD1097" s="19">
        <v>62.203761418989593</v>
      </c>
      <c r="AE1097" s="19">
        <v>54.439439876956115</v>
      </c>
      <c r="AF1097" s="19">
        <v>44.813719516354105</v>
      </c>
      <c r="AG1097" s="19">
        <v>34.111676075619137</v>
      </c>
      <c r="AH1097" s="19">
        <v>20.510631200717501</v>
      </c>
      <c r="AI1097" s="19">
        <v>0</v>
      </c>
      <c r="AJ1097" s="19">
        <v>0</v>
      </c>
      <c r="AK1097" s="19">
        <v>0</v>
      </c>
      <c r="AL1097" s="19">
        <v>0</v>
      </c>
      <c r="AM1097" s="19">
        <v>0</v>
      </c>
      <c r="AN1097" s="19">
        <v>0</v>
      </c>
      <c r="AO1097" s="19">
        <v>0</v>
      </c>
      <c r="AP1097" s="19">
        <v>0</v>
      </c>
      <c r="AQ1097" s="19">
        <v>0</v>
      </c>
      <c r="AR1097" s="19">
        <v>621.85683827883781</v>
      </c>
    </row>
    <row r="1098" spans="1:44" x14ac:dyDescent="0.25">
      <c r="A1098" t="s">
        <v>250</v>
      </c>
      <c r="B1098" t="s">
        <v>410</v>
      </c>
      <c r="C1098" t="s">
        <v>44</v>
      </c>
      <c r="D1098" t="s">
        <v>219</v>
      </c>
      <c r="E1098" t="s">
        <v>134</v>
      </c>
      <c r="F1098" t="s">
        <v>408</v>
      </c>
      <c r="G1098" t="s">
        <v>31</v>
      </c>
      <c r="H1098" t="s">
        <v>273</v>
      </c>
      <c r="I1098" t="s">
        <v>135</v>
      </c>
      <c r="J1098" t="s">
        <v>39</v>
      </c>
      <c r="K1098" t="s">
        <v>31</v>
      </c>
      <c r="L1098">
        <v>8.9058727732376886E-2</v>
      </c>
      <c r="M1098">
        <v>0</v>
      </c>
      <c r="N1098" s="2">
        <v>0.31310571523809327</v>
      </c>
      <c r="O1098" s="2">
        <v>10.963614690254312</v>
      </c>
      <c r="P1098" s="1">
        <v>13.585154326643281</v>
      </c>
      <c r="Q1098" s="1">
        <v>18.966410500645331</v>
      </c>
      <c r="R1098" s="1">
        <v>-4.8396016473628896</v>
      </c>
      <c r="S1098" s="19">
        <v>0</v>
      </c>
      <c r="T1098" s="19">
        <v>0</v>
      </c>
      <c r="U1098" s="19">
        <v>4.6857726396995503</v>
      </c>
      <c r="V1098" s="19">
        <v>6.6801569377431216</v>
      </c>
      <c r="W1098" s="19">
        <v>9.0450484511127307</v>
      </c>
      <c r="X1098" s="19">
        <v>11.671711645267576</v>
      </c>
      <c r="Y1098" s="19">
        <v>14.369490588452454</v>
      </c>
      <c r="Z1098" s="19">
        <v>16.867095699768861</v>
      </c>
      <c r="AA1098" s="19">
        <v>18.836735808918036</v>
      </c>
      <c r="AB1098" s="19">
        <v>19.946562150011086</v>
      </c>
      <c r="AC1098" s="19">
        <v>19.937699163948729</v>
      </c>
      <c r="AD1098" s="19">
        <v>18.708188524557848</v>
      </c>
      <c r="AE1098" s="19">
        <v>16.373017984062137</v>
      </c>
      <c r="AF1098" s="19">
        <v>13.478019561413014</v>
      </c>
      <c r="AG1098" s="19">
        <v>10.259309925211566</v>
      </c>
      <c r="AH1098" s="19">
        <v>6.1687066265345782</v>
      </c>
      <c r="AI1098" s="19">
        <v>0</v>
      </c>
      <c r="AJ1098" s="19">
        <v>0</v>
      </c>
      <c r="AK1098" s="19">
        <v>0</v>
      </c>
      <c r="AL1098" s="19">
        <v>0</v>
      </c>
      <c r="AM1098" s="19">
        <v>0</v>
      </c>
      <c r="AN1098" s="19">
        <v>0</v>
      </c>
      <c r="AO1098" s="19">
        <v>0</v>
      </c>
      <c r="AP1098" s="19">
        <v>0</v>
      </c>
      <c r="AQ1098" s="19">
        <v>0</v>
      </c>
      <c r="AR1098" s="19">
        <v>187.02751570670128</v>
      </c>
    </row>
    <row r="1099" spans="1:44" x14ac:dyDescent="0.25">
      <c r="A1099" t="s">
        <v>250</v>
      </c>
      <c r="B1099" t="s">
        <v>410</v>
      </c>
      <c r="C1099" t="s">
        <v>44</v>
      </c>
      <c r="D1099" t="s">
        <v>219</v>
      </c>
      <c r="E1099" t="s">
        <v>134</v>
      </c>
      <c r="F1099" t="s">
        <v>408</v>
      </c>
      <c r="G1099" t="s">
        <v>31</v>
      </c>
      <c r="H1099" t="s">
        <v>274</v>
      </c>
      <c r="I1099" t="s">
        <v>135</v>
      </c>
      <c r="J1099" t="s">
        <v>39</v>
      </c>
      <c r="K1099" t="s">
        <v>31</v>
      </c>
      <c r="L1099">
        <v>8.9058727732376886E-2</v>
      </c>
      <c r="M1099">
        <v>0</v>
      </c>
      <c r="N1099" s="2">
        <v>0.31310571523809327</v>
      </c>
      <c r="O1099" s="2">
        <v>10.963614690254312</v>
      </c>
      <c r="P1099" s="1">
        <v>13.585154326643281</v>
      </c>
      <c r="Q1099" s="1">
        <v>18.966410500645331</v>
      </c>
      <c r="R1099" s="1">
        <v>-4.8396016473628896</v>
      </c>
      <c r="S1099" s="19">
        <v>0</v>
      </c>
      <c r="T1099" s="19">
        <v>0</v>
      </c>
      <c r="U1099" s="19">
        <v>7.3762452182157796</v>
      </c>
      <c r="V1099" s="19">
        <v>10.515763238593268</v>
      </c>
      <c r="W1099" s="19">
        <v>14.238525962780868</v>
      </c>
      <c r="X1099" s="19">
        <v>18.373364188092292</v>
      </c>
      <c r="Y1099" s="19">
        <v>22.620151337104847</v>
      </c>
      <c r="Z1099" s="19">
        <v>26.55182902954196</v>
      </c>
      <c r="AA1099" s="19">
        <v>29.65239526564709</v>
      </c>
      <c r="AB1099" s="19">
        <v>31.399460663609375</v>
      </c>
      <c r="AC1099" s="19">
        <v>31.385508736448489</v>
      </c>
      <c r="AD1099" s="19">
        <v>29.450038821046476</v>
      </c>
      <c r="AE1099" s="19">
        <v>25.774062230309823</v>
      </c>
      <c r="AF1099" s="19">
        <v>21.216816304443249</v>
      </c>
      <c r="AG1099" s="19">
        <v>16.149990961338613</v>
      </c>
      <c r="AH1099" s="19">
        <v>9.7106488631230832</v>
      </c>
      <c r="AI1099" s="19">
        <v>0</v>
      </c>
      <c r="AJ1099" s="19">
        <v>0</v>
      </c>
      <c r="AK1099" s="19">
        <v>0</v>
      </c>
      <c r="AL1099" s="19">
        <v>0</v>
      </c>
      <c r="AM1099" s="19">
        <v>0</v>
      </c>
      <c r="AN1099" s="19">
        <v>0</v>
      </c>
      <c r="AO1099" s="19">
        <v>0</v>
      </c>
      <c r="AP1099" s="19">
        <v>0</v>
      </c>
      <c r="AQ1099" s="19">
        <v>0</v>
      </c>
      <c r="AR1099" s="19">
        <v>294.41480082029523</v>
      </c>
    </row>
    <row r="1100" spans="1:44" x14ac:dyDescent="0.25">
      <c r="A1100" t="s">
        <v>250</v>
      </c>
      <c r="B1100" t="s">
        <v>410</v>
      </c>
      <c r="C1100" t="s">
        <v>44</v>
      </c>
      <c r="D1100" t="s">
        <v>219</v>
      </c>
      <c r="E1100" t="s">
        <v>134</v>
      </c>
      <c r="F1100" t="s">
        <v>408</v>
      </c>
      <c r="G1100" t="s">
        <v>31</v>
      </c>
      <c r="H1100" t="s">
        <v>275</v>
      </c>
      <c r="I1100" t="s">
        <v>135</v>
      </c>
      <c r="J1100" t="s">
        <v>39</v>
      </c>
      <c r="K1100" t="s">
        <v>31</v>
      </c>
      <c r="L1100">
        <v>8.9058727732376886E-2</v>
      </c>
      <c r="M1100">
        <v>0</v>
      </c>
      <c r="N1100" s="2">
        <v>0.31310571523809327</v>
      </c>
      <c r="O1100" s="2">
        <v>10.963614690254312</v>
      </c>
      <c r="P1100" s="1">
        <v>13.585154326643281</v>
      </c>
      <c r="Q1100" s="1">
        <v>18.966410500645331</v>
      </c>
      <c r="R1100" s="1">
        <v>-4.8396016473628896</v>
      </c>
      <c r="S1100" s="19">
        <v>0</v>
      </c>
      <c r="T1100" s="19">
        <v>0</v>
      </c>
      <c r="U1100" s="19">
        <v>11.268596871648665</v>
      </c>
      <c r="V1100" s="19">
        <v>16.064798990247407</v>
      </c>
      <c r="W1100" s="19">
        <v>21.752016693378209</v>
      </c>
      <c r="X1100" s="19">
        <v>28.068756947003894</v>
      </c>
      <c r="Y1100" s="19">
        <v>34.556520160697076</v>
      </c>
      <c r="Z1100" s="19">
        <v>40.562894628280787</v>
      </c>
      <c r="AA1100" s="19">
        <v>45.299590596878893</v>
      </c>
      <c r="AB1100" s="19">
        <v>47.96856039053845</v>
      </c>
      <c r="AC1100" s="19">
        <v>47.947246207223266</v>
      </c>
      <c r="AD1100" s="19">
        <v>44.9904532063603</v>
      </c>
      <c r="AE1100" s="19">
        <v>39.374710089749485</v>
      </c>
      <c r="AF1100" s="19">
        <v>32.41266291475393</v>
      </c>
      <c r="AG1100" s="19">
        <v>24.672137685264623</v>
      </c>
      <c r="AH1100" s="19">
        <v>14.834835904104867</v>
      </c>
      <c r="AI1100" s="19">
        <v>0</v>
      </c>
      <c r="AJ1100" s="19">
        <v>0</v>
      </c>
      <c r="AK1100" s="19">
        <v>0</v>
      </c>
      <c r="AL1100" s="19">
        <v>0</v>
      </c>
      <c r="AM1100" s="19">
        <v>0</v>
      </c>
      <c r="AN1100" s="19">
        <v>0</v>
      </c>
      <c r="AO1100" s="19">
        <v>0</v>
      </c>
      <c r="AP1100" s="19">
        <v>0</v>
      </c>
      <c r="AQ1100" s="19">
        <v>0</v>
      </c>
      <c r="AR1100" s="19">
        <v>449.77378128612986</v>
      </c>
    </row>
    <row r="1101" spans="1:44" x14ac:dyDescent="0.25">
      <c r="A1101" t="s">
        <v>250</v>
      </c>
      <c r="B1101" t="s">
        <v>410</v>
      </c>
      <c r="C1101" t="s">
        <v>44</v>
      </c>
      <c r="D1101" t="s">
        <v>219</v>
      </c>
      <c r="E1101" t="s">
        <v>134</v>
      </c>
      <c r="F1101" t="s">
        <v>408</v>
      </c>
      <c r="G1101" t="s">
        <v>31</v>
      </c>
      <c r="H1101" t="s">
        <v>274</v>
      </c>
      <c r="I1101" t="s">
        <v>135</v>
      </c>
      <c r="J1101" t="s">
        <v>39</v>
      </c>
      <c r="K1101" t="s">
        <v>33</v>
      </c>
      <c r="L1101">
        <v>8.9058727732376886E-2</v>
      </c>
      <c r="M1101">
        <v>0</v>
      </c>
      <c r="N1101" s="2">
        <v>0.31310571523809327</v>
      </c>
      <c r="O1101" s="2">
        <v>10.963614690254312</v>
      </c>
      <c r="P1101" s="1">
        <v>13.585154326643281</v>
      </c>
      <c r="Q1101" s="1">
        <v>18.966410500645331</v>
      </c>
      <c r="R1101" s="1">
        <v>-4.8396016473628896</v>
      </c>
      <c r="S1101" s="19">
        <v>0</v>
      </c>
      <c r="T1101" s="19">
        <v>0</v>
      </c>
      <c r="U1101" s="19">
        <v>2.3732940817568039E-2</v>
      </c>
      <c r="V1101" s="19">
        <v>3.3834285494844137E-2</v>
      </c>
      <c r="W1101" s="19">
        <v>4.5812209871979231E-2</v>
      </c>
      <c r="X1101" s="19">
        <v>5.9115980013621935E-2</v>
      </c>
      <c r="Y1101" s="19">
        <v>7.2779943872012073E-2</v>
      </c>
      <c r="Z1101" s="19">
        <v>8.543004852931535E-2</v>
      </c>
      <c r="AA1101" s="19">
        <v>9.5406066517534027E-2</v>
      </c>
      <c r="AB1101" s="19">
        <v>0.10102721907789992</v>
      </c>
      <c r="AC1101" s="19">
        <v>0.10098232899469296</v>
      </c>
      <c r="AD1101" s="19">
        <v>9.4754988173243099E-2</v>
      </c>
      <c r="AE1101" s="19">
        <v>8.2927597367515371E-2</v>
      </c>
      <c r="AF1101" s="19">
        <v>6.8264737789230326E-2</v>
      </c>
      <c r="AG1101" s="19">
        <v>5.19623152905999E-2</v>
      </c>
      <c r="AH1101" s="19">
        <v>3.1243843981698979E-2</v>
      </c>
      <c r="AI1101" s="19">
        <v>0</v>
      </c>
      <c r="AJ1101" s="19">
        <v>0</v>
      </c>
      <c r="AK1101" s="19">
        <v>0</v>
      </c>
      <c r="AL1101" s="19">
        <v>0</v>
      </c>
      <c r="AM1101" s="19">
        <v>0</v>
      </c>
      <c r="AN1101" s="19">
        <v>0</v>
      </c>
      <c r="AO1101" s="19">
        <v>0</v>
      </c>
      <c r="AP1101" s="19">
        <v>0</v>
      </c>
      <c r="AQ1101" s="19">
        <v>0</v>
      </c>
      <c r="AR1101" s="19">
        <v>0.94727450579175554</v>
      </c>
    </row>
    <row r="1102" spans="1:44" x14ac:dyDescent="0.25">
      <c r="A1102" t="s">
        <v>250</v>
      </c>
      <c r="B1102" t="s">
        <v>410</v>
      </c>
      <c r="C1102" t="s">
        <v>44</v>
      </c>
      <c r="D1102" t="s">
        <v>219</v>
      </c>
      <c r="E1102" t="s">
        <v>134</v>
      </c>
      <c r="F1102" t="s">
        <v>408</v>
      </c>
      <c r="G1102" t="s">
        <v>31</v>
      </c>
      <c r="H1102" t="s">
        <v>272</v>
      </c>
      <c r="I1102" t="s">
        <v>135</v>
      </c>
      <c r="J1102" t="s">
        <v>40</v>
      </c>
      <c r="K1102" t="s">
        <v>31</v>
      </c>
      <c r="L1102">
        <v>8.9058727732376886E-2</v>
      </c>
      <c r="M1102">
        <v>0</v>
      </c>
      <c r="N1102" s="2">
        <v>0.31310571523809327</v>
      </c>
      <c r="O1102" s="2">
        <v>9.6708435291849373</v>
      </c>
      <c r="P1102" s="1">
        <v>13.585154326643281</v>
      </c>
      <c r="Q1102" s="1">
        <v>0.4672931329656026</v>
      </c>
      <c r="R1102" s="1">
        <v>-4.6966016473628898</v>
      </c>
      <c r="S1102" s="19">
        <v>0</v>
      </c>
      <c r="T1102" s="19">
        <v>0</v>
      </c>
      <c r="U1102" s="19">
        <v>1.5411040881926548</v>
      </c>
      <c r="V1102" s="19">
        <v>2.1970372781861114</v>
      </c>
      <c r="W1102" s="19">
        <v>2.9748266119041271</v>
      </c>
      <c r="X1102" s="19">
        <v>3.838710051856256</v>
      </c>
      <c r="Y1102" s="19">
        <v>4.7259827554351581</v>
      </c>
      <c r="Z1102" s="19">
        <v>5.5474202735788847</v>
      </c>
      <c r="AA1102" s="19">
        <v>6.1952153455721044</v>
      </c>
      <c r="AB1102" s="19">
        <v>6.5602262078046483</v>
      </c>
      <c r="AC1102" s="19">
        <v>6.5573112597043979</v>
      </c>
      <c r="AD1102" s="19">
        <v>6.1529374203106153</v>
      </c>
      <c r="AE1102" s="19">
        <v>5.3849230194207456</v>
      </c>
      <c r="AF1102" s="19">
        <v>4.4327867875736287</v>
      </c>
      <c r="AG1102" s="19">
        <v>3.3741851522682507</v>
      </c>
      <c r="AH1102" s="19">
        <v>2.0288263498894716</v>
      </c>
      <c r="AI1102" s="19">
        <v>0</v>
      </c>
      <c r="AJ1102" s="19">
        <v>0</v>
      </c>
      <c r="AK1102" s="19">
        <v>0</v>
      </c>
      <c r="AL1102" s="19">
        <v>0</v>
      </c>
      <c r="AM1102" s="19">
        <v>0</v>
      </c>
      <c r="AN1102" s="19">
        <v>0</v>
      </c>
      <c r="AO1102" s="19">
        <v>0</v>
      </c>
      <c r="AP1102" s="19">
        <v>0</v>
      </c>
      <c r="AQ1102" s="19">
        <v>0</v>
      </c>
      <c r="AR1102" s="19">
        <v>61.511492601697057</v>
      </c>
    </row>
    <row r="1103" spans="1:44" x14ac:dyDescent="0.25">
      <c r="A1103" t="s">
        <v>250</v>
      </c>
      <c r="B1103" t="s">
        <v>411</v>
      </c>
      <c r="C1103" t="s">
        <v>44</v>
      </c>
      <c r="D1103" t="s">
        <v>219</v>
      </c>
      <c r="E1103" t="s">
        <v>134</v>
      </c>
      <c r="F1103" t="s">
        <v>408</v>
      </c>
      <c r="G1103" t="s">
        <v>31</v>
      </c>
      <c r="H1103" t="s">
        <v>277</v>
      </c>
      <c r="I1103" t="s">
        <v>135</v>
      </c>
      <c r="J1103" t="s">
        <v>39</v>
      </c>
      <c r="K1103" t="s">
        <v>31</v>
      </c>
      <c r="L1103">
        <v>2.0802761194977929E-2</v>
      </c>
      <c r="M1103">
        <v>0</v>
      </c>
      <c r="N1103" s="2">
        <v>5.8988440621383323E-2</v>
      </c>
      <c r="O1103" s="2">
        <v>8.7388756588801648</v>
      </c>
      <c r="P1103" s="1">
        <v>76.067787865166579</v>
      </c>
      <c r="Q1103" s="1">
        <v>80.243713997303686</v>
      </c>
      <c r="R1103" s="1">
        <v>-3.6342716054979398</v>
      </c>
      <c r="S1103" s="19">
        <v>0</v>
      </c>
      <c r="T1103" s="19">
        <v>0</v>
      </c>
      <c r="U1103" s="19">
        <v>5.5847074247291157</v>
      </c>
      <c r="V1103" s="19">
        <v>7.960741466072955</v>
      </c>
      <c r="W1103" s="19">
        <v>10.777682676129134</v>
      </c>
      <c r="X1103" s="19">
        <v>13.905822621081812</v>
      </c>
      <c r="Y1103" s="19">
        <v>17.117926161131763</v>
      </c>
      <c r="Z1103" s="19">
        <v>20.090822933849367</v>
      </c>
      <c r="AA1103" s="19">
        <v>22.434206053842701</v>
      </c>
      <c r="AB1103" s="19">
        <v>23.753124930470889</v>
      </c>
      <c r="AC1103" s="19">
        <v>23.739708274609207</v>
      </c>
      <c r="AD1103" s="19">
        <v>22.273051305679655</v>
      </c>
      <c r="AE1103" s="19">
        <v>19.49056188036727</v>
      </c>
      <c r="AF1103" s="19">
        <v>16.042400097769896</v>
      </c>
      <c r="AG1103" s="19">
        <v>12.209814094177029</v>
      </c>
      <c r="AH1103" s="19">
        <v>6.9365018794186293</v>
      </c>
      <c r="AI1103" s="19">
        <v>0</v>
      </c>
      <c r="AJ1103" s="19">
        <v>0</v>
      </c>
      <c r="AK1103" s="19">
        <v>0</v>
      </c>
      <c r="AL1103" s="19">
        <v>0</v>
      </c>
      <c r="AM1103" s="19">
        <v>0</v>
      </c>
      <c r="AN1103" s="19">
        <v>0</v>
      </c>
      <c r="AO1103" s="19">
        <v>0</v>
      </c>
      <c r="AP1103" s="19">
        <v>0</v>
      </c>
      <c r="AQ1103" s="19">
        <v>0</v>
      </c>
      <c r="AR1103" s="19">
        <v>222.31707179932943</v>
      </c>
    </row>
    <row r="1104" spans="1:44" x14ac:dyDescent="0.25">
      <c r="A1104" t="s">
        <v>250</v>
      </c>
      <c r="B1104" t="s">
        <v>411</v>
      </c>
      <c r="C1104" t="s">
        <v>44</v>
      </c>
      <c r="D1104" t="s">
        <v>219</v>
      </c>
      <c r="E1104" t="s">
        <v>134</v>
      </c>
      <c r="F1104" t="s">
        <v>408</v>
      </c>
      <c r="G1104" t="s">
        <v>31</v>
      </c>
      <c r="H1104" t="s">
        <v>277</v>
      </c>
      <c r="I1104" t="s">
        <v>135</v>
      </c>
      <c r="J1104" t="s">
        <v>40</v>
      </c>
      <c r="K1104" t="s">
        <v>31</v>
      </c>
      <c r="L1104">
        <v>2.0802761194977929E-2</v>
      </c>
      <c r="M1104">
        <v>0</v>
      </c>
      <c r="N1104" s="2">
        <v>5.8988440621383323E-2</v>
      </c>
      <c r="O1104" s="2">
        <v>7.4455689628598973</v>
      </c>
      <c r="P1104" s="1">
        <v>76.067787865166579</v>
      </c>
      <c r="Q1104" s="1">
        <v>0.4672931329656026</v>
      </c>
      <c r="R1104" s="1">
        <v>-3.4912716054979405</v>
      </c>
      <c r="S1104" s="19">
        <v>0</v>
      </c>
      <c r="T1104" s="19">
        <v>0</v>
      </c>
      <c r="U1104" s="19">
        <v>0.88096185086816348</v>
      </c>
      <c r="V1104" s="19">
        <v>1.2557702674235858</v>
      </c>
      <c r="W1104" s="19">
        <v>1.7001297572706773</v>
      </c>
      <c r="X1104" s="19">
        <v>2.1935794129281199</v>
      </c>
      <c r="Y1104" s="19">
        <v>2.7002739386417645</v>
      </c>
      <c r="Z1104" s="19">
        <v>3.1692346995468581</v>
      </c>
      <c r="AA1104" s="19">
        <v>3.5388925837792926</v>
      </c>
      <c r="AB1104" s="19">
        <v>3.7469459563793248</v>
      </c>
      <c r="AC1104" s="19">
        <v>3.7448295407676433</v>
      </c>
      <c r="AD1104" s="19">
        <v>3.5134711651765458</v>
      </c>
      <c r="AE1104" s="19">
        <v>3.0745462855507895</v>
      </c>
      <c r="AF1104" s="19">
        <v>2.5306146602987849</v>
      </c>
      <c r="AG1104" s="19">
        <v>1.926041886372251</v>
      </c>
      <c r="AH1104" s="19">
        <v>1.0942011943516503</v>
      </c>
      <c r="AI1104" s="19">
        <v>0</v>
      </c>
      <c r="AJ1104" s="19">
        <v>0</v>
      </c>
      <c r="AK1104" s="19">
        <v>0</v>
      </c>
      <c r="AL1104" s="19">
        <v>0</v>
      </c>
      <c r="AM1104" s="19">
        <v>0</v>
      </c>
      <c r="AN1104" s="19">
        <v>0</v>
      </c>
      <c r="AO1104" s="19">
        <v>0</v>
      </c>
      <c r="AP1104" s="19">
        <v>0</v>
      </c>
      <c r="AQ1104" s="19">
        <v>0</v>
      </c>
      <c r="AR1104" s="19">
        <v>35.069493199355456</v>
      </c>
    </row>
    <row r="1105" spans="1:44" x14ac:dyDescent="0.25">
      <c r="A1105" t="s">
        <v>250</v>
      </c>
      <c r="B1105" t="s">
        <v>412</v>
      </c>
      <c r="C1105" t="s">
        <v>44</v>
      </c>
      <c r="D1105" t="s">
        <v>219</v>
      </c>
      <c r="E1105" t="s">
        <v>134</v>
      </c>
      <c r="F1105" t="s">
        <v>408</v>
      </c>
      <c r="G1105" t="s">
        <v>31</v>
      </c>
      <c r="H1105" t="s">
        <v>276</v>
      </c>
      <c r="I1105" t="s">
        <v>135</v>
      </c>
      <c r="J1105" t="s">
        <v>39</v>
      </c>
      <c r="K1105" t="s">
        <v>31</v>
      </c>
      <c r="L1105">
        <v>0.17486807293005224</v>
      </c>
      <c r="M1105">
        <v>0</v>
      </c>
      <c r="N1105" s="2">
        <v>0.35940883392867401</v>
      </c>
      <c r="O1105" s="2">
        <v>6.504014493684382</v>
      </c>
      <c r="P1105" s="1">
        <v>6.8344561392661927</v>
      </c>
      <c r="Q1105" s="1">
        <v>9.8020097428378392</v>
      </c>
      <c r="R1105" s="1">
        <v>-2.4258990769324864</v>
      </c>
      <c r="S1105" s="19">
        <v>0</v>
      </c>
      <c r="T1105" s="19">
        <v>0</v>
      </c>
      <c r="U1105" s="19">
        <v>67.939281832360621</v>
      </c>
      <c r="V1105" s="19">
        <v>97.099231196735104</v>
      </c>
      <c r="W1105" s="19">
        <v>131.80424858596342</v>
      </c>
      <c r="X1105" s="19">
        <v>170.50709209021929</v>
      </c>
      <c r="Y1105" s="19">
        <v>210.44502179320395</v>
      </c>
      <c r="Z1105" s="19">
        <v>247.64352640239065</v>
      </c>
      <c r="AA1105" s="19">
        <v>277.25647895370747</v>
      </c>
      <c r="AB1105" s="19">
        <v>294.32930002674425</v>
      </c>
      <c r="AC1105" s="19">
        <v>294.9374139840001</v>
      </c>
      <c r="AD1105" s="19">
        <v>277.44439352972086</v>
      </c>
      <c r="AE1105" s="19">
        <v>243.4234092366103</v>
      </c>
      <c r="AF1105" s="19">
        <v>200.88572202081619</v>
      </c>
      <c r="AG1105" s="19">
        <v>153.2958944740848</v>
      </c>
      <c r="AH1105" s="19">
        <v>105.90505829701564</v>
      </c>
      <c r="AI1105" s="19">
        <v>67.519475736544834</v>
      </c>
      <c r="AJ1105" s="19">
        <v>25.139200276072518</v>
      </c>
      <c r="AK1105" s="19">
        <v>0</v>
      </c>
      <c r="AL1105" s="19">
        <v>0</v>
      </c>
      <c r="AM1105" s="19">
        <v>0</v>
      </c>
      <c r="AN1105" s="19">
        <v>0</v>
      </c>
      <c r="AO1105" s="19">
        <v>0</v>
      </c>
      <c r="AP1105" s="19">
        <v>0</v>
      </c>
      <c r="AQ1105" s="19">
        <v>0</v>
      </c>
      <c r="AR1105" s="19">
        <v>2865.5747484361905</v>
      </c>
    </row>
    <row r="1106" spans="1:44" x14ac:dyDescent="0.25">
      <c r="A1106" t="s">
        <v>250</v>
      </c>
      <c r="B1106" t="s">
        <v>413</v>
      </c>
      <c r="C1106" t="s">
        <v>44</v>
      </c>
      <c r="D1106" t="s">
        <v>219</v>
      </c>
      <c r="E1106" t="s">
        <v>134</v>
      </c>
      <c r="F1106" t="s">
        <v>408</v>
      </c>
      <c r="G1106" t="s">
        <v>31</v>
      </c>
      <c r="H1106" t="s">
        <v>253</v>
      </c>
      <c r="I1106" t="s">
        <v>135</v>
      </c>
      <c r="J1106" t="s">
        <v>39</v>
      </c>
      <c r="K1106" t="s">
        <v>31</v>
      </c>
      <c r="L1106">
        <v>0.31387313296220043</v>
      </c>
      <c r="M1106">
        <v>0</v>
      </c>
      <c r="N1106" s="2">
        <v>0.58446794376671085</v>
      </c>
      <c r="O1106" s="2">
        <v>6.0314982584435723</v>
      </c>
      <c r="P1106" s="1">
        <v>2.830234673049798</v>
      </c>
      <c r="Q1106" s="1">
        <v>5.5896792440787584</v>
      </c>
      <c r="R1106" s="1">
        <v>-2.2177900443898002</v>
      </c>
      <c r="S1106" s="19">
        <v>0</v>
      </c>
      <c r="T1106" s="19">
        <v>0</v>
      </c>
      <c r="U1106" s="19">
        <v>13.293276240737004</v>
      </c>
      <c r="V1106" s="19">
        <v>18.960752923534276</v>
      </c>
      <c r="W1106" s="19">
        <v>25.686084503929052</v>
      </c>
      <c r="X1106" s="19">
        <v>33.16191906109816</v>
      </c>
      <c r="Y1106" s="19">
        <v>40.84741461543156</v>
      </c>
      <c r="Z1106" s="19">
        <v>47.971313092825923</v>
      </c>
      <c r="AA1106" s="19">
        <v>53.600030891015173</v>
      </c>
      <c r="AB1106" s="19">
        <v>56.786557756719397</v>
      </c>
      <c r="AC1106" s="19">
        <v>56.789837232184823</v>
      </c>
      <c r="AD1106" s="19">
        <v>53.314509606218657</v>
      </c>
      <c r="AE1106" s="19">
        <v>46.683189029914573</v>
      </c>
      <c r="AF1106" s="19">
        <v>38.448194942141789</v>
      </c>
      <c r="AG1106" s="19">
        <v>29.281014438672173</v>
      </c>
      <c r="AH1106" s="19">
        <v>20.188358501174044</v>
      </c>
      <c r="AI1106" s="19">
        <v>1.4686561519680179</v>
      </c>
      <c r="AJ1106" s="19">
        <v>0</v>
      </c>
      <c r="AK1106" s="19">
        <v>0</v>
      </c>
      <c r="AL1106" s="19">
        <v>0</v>
      </c>
      <c r="AM1106" s="19">
        <v>0</v>
      </c>
      <c r="AN1106" s="19">
        <v>0</v>
      </c>
      <c r="AO1106" s="19">
        <v>0</v>
      </c>
      <c r="AP1106" s="19">
        <v>0</v>
      </c>
      <c r="AQ1106" s="19">
        <v>0</v>
      </c>
      <c r="AR1106" s="19">
        <v>536.48110898756477</v>
      </c>
    </row>
    <row r="1107" spans="1:44" x14ac:dyDescent="0.25">
      <c r="A1107" t="s">
        <v>250</v>
      </c>
      <c r="B1107" t="s">
        <v>413</v>
      </c>
      <c r="C1107" t="s">
        <v>44</v>
      </c>
      <c r="D1107" t="s">
        <v>219</v>
      </c>
      <c r="E1107" t="s">
        <v>134</v>
      </c>
      <c r="F1107" t="s">
        <v>408</v>
      </c>
      <c r="G1107" t="s">
        <v>31</v>
      </c>
      <c r="H1107" t="s">
        <v>253</v>
      </c>
      <c r="I1107" t="s">
        <v>256</v>
      </c>
      <c r="J1107" t="s">
        <v>39</v>
      </c>
      <c r="K1107" t="s">
        <v>31</v>
      </c>
      <c r="L1107">
        <v>0.31387313296220043</v>
      </c>
      <c r="M1107">
        <v>0</v>
      </c>
      <c r="N1107" s="2">
        <v>0.32274685254334923</v>
      </c>
      <c r="O1107" s="2">
        <v>3.3306310462261299</v>
      </c>
      <c r="P1107" s="1">
        <v>4.2931716243986662</v>
      </c>
      <c r="Q1107" s="1">
        <v>0.4672931329656026</v>
      </c>
      <c r="R1107" s="1">
        <v>-0.7548530930409314</v>
      </c>
      <c r="S1107" s="19">
        <v>0</v>
      </c>
      <c r="T1107" s="19">
        <v>0</v>
      </c>
      <c r="U1107" s="19">
        <v>6.9731331096132934</v>
      </c>
      <c r="V1107" s="19">
        <v>9.9460698476362666</v>
      </c>
      <c r="W1107" s="19">
        <v>13.473915915610457</v>
      </c>
      <c r="X1107" s="19">
        <v>17.395446509613734</v>
      </c>
      <c r="Y1107" s="19">
        <v>21.42695706752092</v>
      </c>
      <c r="Z1107" s="19">
        <v>25.163875750517327</v>
      </c>
      <c r="AA1107" s="19">
        <v>28.116481092678413</v>
      </c>
      <c r="AB1107" s="19">
        <v>29.788008531777376</v>
      </c>
      <c r="AC1107" s="19">
        <v>29.789728816418737</v>
      </c>
      <c r="AD1107" s="19">
        <v>27.966707787102123</v>
      </c>
      <c r="AE1107" s="19">
        <v>24.488176217181017</v>
      </c>
      <c r="AF1107" s="19">
        <v>20.168420207376275</v>
      </c>
      <c r="AG1107" s="19">
        <v>15.359675641108138</v>
      </c>
      <c r="AH1107" s="19">
        <v>10.59002374913972</v>
      </c>
      <c r="AI1107" s="19">
        <v>0.77039961063484785</v>
      </c>
      <c r="AJ1107" s="19">
        <v>0</v>
      </c>
      <c r="AK1107" s="19">
        <v>0</v>
      </c>
      <c r="AL1107" s="19">
        <v>0</v>
      </c>
      <c r="AM1107" s="19">
        <v>0</v>
      </c>
      <c r="AN1107" s="19">
        <v>0</v>
      </c>
      <c r="AO1107" s="19">
        <v>0</v>
      </c>
      <c r="AP1107" s="19">
        <v>0</v>
      </c>
      <c r="AQ1107" s="19">
        <v>0</v>
      </c>
      <c r="AR1107" s="19">
        <v>281.41701985392865</v>
      </c>
    </row>
    <row r="1108" spans="1:44" x14ac:dyDescent="0.25">
      <c r="A1108" t="s">
        <v>250</v>
      </c>
      <c r="B1108" t="s">
        <v>413</v>
      </c>
      <c r="C1108" t="s">
        <v>44</v>
      </c>
      <c r="D1108" t="s">
        <v>219</v>
      </c>
      <c r="E1108" t="s">
        <v>134</v>
      </c>
      <c r="F1108" t="s">
        <v>408</v>
      </c>
      <c r="G1108" t="s">
        <v>31</v>
      </c>
      <c r="H1108" t="s">
        <v>253</v>
      </c>
      <c r="I1108" t="s">
        <v>135</v>
      </c>
      <c r="J1108" t="s">
        <v>40</v>
      </c>
      <c r="K1108" t="s">
        <v>31</v>
      </c>
      <c r="L1108">
        <v>0.31387313296220043</v>
      </c>
      <c r="M1108">
        <v>0</v>
      </c>
      <c r="N1108" s="2">
        <v>0.58446794376671085</v>
      </c>
      <c r="O1108" s="2">
        <v>4.8304674702219987</v>
      </c>
      <c r="P1108" s="1">
        <v>2.830234673049798</v>
      </c>
      <c r="Q1108" s="1">
        <v>0.4672931329656026</v>
      </c>
      <c r="R1108" s="1">
        <v>-2.0747900443897995</v>
      </c>
      <c r="S1108" s="19">
        <v>0</v>
      </c>
      <c r="T1108" s="19">
        <v>0</v>
      </c>
      <c r="U1108" s="19">
        <v>6.9925395893267694</v>
      </c>
      <c r="V1108" s="19">
        <v>9.973750116991928</v>
      </c>
      <c r="W1108" s="19">
        <v>13.511414307189543</v>
      </c>
      <c r="X1108" s="19">
        <v>17.443858661581739</v>
      </c>
      <c r="Y1108" s="19">
        <v>21.486589058064617</v>
      </c>
      <c r="Z1108" s="19">
        <v>25.233907719875781</v>
      </c>
      <c r="AA1108" s="19">
        <v>28.194730268674672</v>
      </c>
      <c r="AB1108" s="19">
        <v>29.870909628628656</v>
      </c>
      <c r="AC1108" s="19">
        <v>29.872634700883911</v>
      </c>
      <c r="AD1108" s="19">
        <v>28.044540138613513</v>
      </c>
      <c r="AE1108" s="19">
        <v>24.556327690486988</v>
      </c>
      <c r="AF1108" s="19">
        <v>20.224549644668649</v>
      </c>
      <c r="AG1108" s="19">
        <v>15.402422169684206</v>
      </c>
      <c r="AH1108" s="19">
        <v>10.619496165315116</v>
      </c>
      <c r="AI1108" s="19">
        <v>0.77254366040143807</v>
      </c>
      <c r="AJ1108" s="19">
        <v>0</v>
      </c>
      <c r="AK1108" s="19">
        <v>0</v>
      </c>
      <c r="AL1108" s="19">
        <v>0</v>
      </c>
      <c r="AM1108" s="19">
        <v>0</v>
      </c>
      <c r="AN1108" s="19">
        <v>0</v>
      </c>
      <c r="AO1108" s="19">
        <v>0</v>
      </c>
      <c r="AP1108" s="19">
        <v>0</v>
      </c>
      <c r="AQ1108" s="19">
        <v>0</v>
      </c>
      <c r="AR1108" s="19">
        <v>282.20021352038754</v>
      </c>
    </row>
    <row r="1109" spans="1:44" x14ac:dyDescent="0.25">
      <c r="A1109" t="s">
        <v>250</v>
      </c>
      <c r="B1109" t="s">
        <v>414</v>
      </c>
      <c r="C1109" t="s">
        <v>44</v>
      </c>
      <c r="D1109" t="s">
        <v>219</v>
      </c>
      <c r="E1109" t="s">
        <v>134</v>
      </c>
      <c r="F1109" t="s">
        <v>408</v>
      </c>
      <c r="G1109" t="s">
        <v>31</v>
      </c>
      <c r="H1109" t="s">
        <v>252</v>
      </c>
      <c r="I1109" t="s">
        <v>135</v>
      </c>
      <c r="J1109" t="s">
        <v>39</v>
      </c>
      <c r="K1109" t="s">
        <v>31</v>
      </c>
      <c r="L1109">
        <v>0.35597709084986917</v>
      </c>
      <c r="M1109">
        <v>0</v>
      </c>
      <c r="N1109" s="2">
        <v>0.7898088797270012</v>
      </c>
      <c r="O1109" s="2">
        <v>7.236633810211182</v>
      </c>
      <c r="P1109" s="1">
        <v>1.5867031063130539</v>
      </c>
      <c r="Q1109" s="1">
        <v>4.9629164238894754</v>
      </c>
      <c r="R1109" s="1">
        <v>-2.8345587909372609</v>
      </c>
      <c r="S1109" s="19">
        <v>0</v>
      </c>
      <c r="T1109" s="19">
        <v>0</v>
      </c>
      <c r="U1109" s="19">
        <v>11.224786757369801</v>
      </c>
      <c r="V1109" s="19">
        <v>16.016810838214177</v>
      </c>
      <c r="W1109" s="19">
        <v>21.706648437697641</v>
      </c>
      <c r="X1109" s="19">
        <v>28.035539535189404</v>
      </c>
      <c r="Y1109" s="19">
        <v>34.546832552101463</v>
      </c>
      <c r="Z1109" s="19">
        <v>40.588188216809712</v>
      </c>
      <c r="AA1109" s="19">
        <v>45.368821400228413</v>
      </c>
      <c r="AB1109" s="19">
        <v>48.085307642985342</v>
      </c>
      <c r="AC1109" s="19">
        <v>48.107399036305999</v>
      </c>
      <c r="AD1109" s="19">
        <v>45.18154419322709</v>
      </c>
      <c r="AE1109" s="19">
        <v>39.577701166292961</v>
      </c>
      <c r="AF1109" s="19">
        <v>32.60921937323922</v>
      </c>
      <c r="AG1109" s="19">
        <v>24.844196964720993</v>
      </c>
      <c r="AH1109" s="19">
        <v>17.136189301812596</v>
      </c>
      <c r="AI1109" s="19">
        <v>3.9929742340685408</v>
      </c>
      <c r="AJ1109" s="19">
        <v>0</v>
      </c>
      <c r="AK1109" s="19">
        <v>0</v>
      </c>
      <c r="AL1109" s="19">
        <v>0</v>
      </c>
      <c r="AM1109" s="19">
        <v>0</v>
      </c>
      <c r="AN1109" s="19">
        <v>0</v>
      </c>
      <c r="AO1109" s="19">
        <v>0</v>
      </c>
      <c r="AP1109" s="19">
        <v>0</v>
      </c>
      <c r="AQ1109" s="19">
        <v>0</v>
      </c>
      <c r="AR1109" s="19">
        <v>457.02215965026329</v>
      </c>
    </row>
    <row r="1110" spans="1:44" x14ac:dyDescent="0.25">
      <c r="A1110" t="s">
        <v>250</v>
      </c>
      <c r="B1110" t="s">
        <v>415</v>
      </c>
      <c r="C1110" t="s">
        <v>44</v>
      </c>
      <c r="D1110" t="s">
        <v>219</v>
      </c>
      <c r="E1110" t="s">
        <v>134</v>
      </c>
      <c r="F1110" t="s">
        <v>408</v>
      </c>
      <c r="G1110" t="s">
        <v>31</v>
      </c>
      <c r="H1110" t="s">
        <v>254</v>
      </c>
      <c r="I1110" t="s">
        <v>135</v>
      </c>
      <c r="J1110" t="s">
        <v>39</v>
      </c>
      <c r="K1110" t="s">
        <v>31</v>
      </c>
      <c r="L1110">
        <v>0.2270599018305397</v>
      </c>
      <c r="M1110">
        <v>0</v>
      </c>
      <c r="N1110" s="2">
        <v>0.45400599572292305</v>
      </c>
      <c r="O1110" s="2">
        <v>6.3833710076388037</v>
      </c>
      <c r="P1110" s="1">
        <v>4.6850485019782608</v>
      </c>
      <c r="Q1110" s="1">
        <v>7.615718369532031</v>
      </c>
      <c r="R1110" s="1">
        <v>-2.3890153409146082</v>
      </c>
      <c r="S1110" s="19">
        <v>0</v>
      </c>
      <c r="T1110" s="19">
        <v>0</v>
      </c>
      <c r="U1110" s="19">
        <v>36.743060230586046</v>
      </c>
      <c r="V1110" s="19">
        <v>52.387807463265219</v>
      </c>
      <c r="W1110" s="19">
        <v>70.942077016164617</v>
      </c>
      <c r="X1110" s="19">
        <v>91.553931009287012</v>
      </c>
      <c r="Y1110" s="19">
        <v>112.72837938731644</v>
      </c>
      <c r="Z1110" s="19">
        <v>132.33710961328879</v>
      </c>
      <c r="AA1110" s="19">
        <v>147.8074849815396</v>
      </c>
      <c r="AB1110" s="19">
        <v>156.53385462273539</v>
      </c>
      <c r="AC1110" s="19">
        <v>156.48211548189468</v>
      </c>
      <c r="AD1110" s="19">
        <v>146.84895229483908</v>
      </c>
      <c r="AE1110" s="19">
        <v>128.53378546873554</v>
      </c>
      <c r="AF1110" s="19">
        <v>105.81910557707424</v>
      </c>
      <c r="AG1110" s="19">
        <v>80.557429223765055</v>
      </c>
      <c r="AH1110" s="19">
        <v>50.962086078231295</v>
      </c>
      <c r="AI1110" s="19">
        <v>0</v>
      </c>
      <c r="AJ1110" s="19">
        <v>0</v>
      </c>
      <c r="AK1110" s="19">
        <v>0</v>
      </c>
      <c r="AL1110" s="19">
        <v>0</v>
      </c>
      <c r="AM1110" s="19">
        <v>0</v>
      </c>
      <c r="AN1110" s="19">
        <v>0</v>
      </c>
      <c r="AO1110" s="19">
        <v>0</v>
      </c>
      <c r="AP1110" s="19">
        <v>0</v>
      </c>
      <c r="AQ1110" s="19">
        <v>0</v>
      </c>
      <c r="AR1110" s="19">
        <v>1470.2371784487227</v>
      </c>
    </row>
    <row r="1111" spans="1:44" x14ac:dyDescent="0.25">
      <c r="A1111" t="s">
        <v>250</v>
      </c>
      <c r="B1111" t="s">
        <v>415</v>
      </c>
      <c r="C1111" t="s">
        <v>44</v>
      </c>
      <c r="D1111" t="s">
        <v>219</v>
      </c>
      <c r="E1111" t="s">
        <v>134</v>
      </c>
      <c r="F1111" t="s">
        <v>408</v>
      </c>
      <c r="G1111" t="s">
        <v>31</v>
      </c>
      <c r="H1111" t="s">
        <v>255</v>
      </c>
      <c r="I1111" t="s">
        <v>135</v>
      </c>
      <c r="J1111" t="s">
        <v>39</v>
      </c>
      <c r="K1111" t="s">
        <v>31</v>
      </c>
      <c r="L1111">
        <v>0.2270599018305397</v>
      </c>
      <c r="M1111">
        <v>0</v>
      </c>
      <c r="N1111" s="2">
        <v>0.45400599572292305</v>
      </c>
      <c r="O1111" s="2">
        <v>6.3833710076388037</v>
      </c>
      <c r="P1111" s="1">
        <v>4.6850485019782608</v>
      </c>
      <c r="Q1111" s="1">
        <v>7.615718369532031</v>
      </c>
      <c r="R1111" s="1">
        <v>-2.3890153409146082</v>
      </c>
      <c r="S1111" s="19">
        <v>0</v>
      </c>
      <c r="T1111" s="19">
        <v>0</v>
      </c>
      <c r="U1111" s="19">
        <v>7.6330830588418035</v>
      </c>
      <c r="V1111" s="19">
        <v>10.833816105983145</v>
      </c>
      <c r="W1111" s="19">
        <v>14.604332419678135</v>
      </c>
      <c r="X1111" s="19">
        <v>18.76209712274817</v>
      </c>
      <c r="Y1111" s="19">
        <v>22.996631205628812</v>
      </c>
      <c r="Z1111" s="19">
        <v>26.874424654829877</v>
      </c>
      <c r="AA1111" s="19">
        <v>29.879995733358623</v>
      </c>
      <c r="AB1111" s="19">
        <v>31.500609503730196</v>
      </c>
      <c r="AC1111" s="19">
        <v>31.347431302746038</v>
      </c>
      <c r="AD1111" s="19">
        <v>29.284288473593811</v>
      </c>
      <c r="AE1111" s="19">
        <v>25.51571223680601</v>
      </c>
      <c r="AF1111" s="19">
        <v>20.911301183083427</v>
      </c>
      <c r="AG1111" s="19">
        <v>6.2299553886279746</v>
      </c>
      <c r="AH1111" s="19">
        <v>0</v>
      </c>
      <c r="AI1111" s="19">
        <v>0</v>
      </c>
      <c r="AJ1111" s="19">
        <v>0</v>
      </c>
      <c r="AK1111" s="19">
        <v>0</v>
      </c>
      <c r="AL1111" s="19">
        <v>0</v>
      </c>
      <c r="AM1111" s="19">
        <v>0</v>
      </c>
      <c r="AN1111" s="19">
        <v>0</v>
      </c>
      <c r="AO1111" s="19">
        <v>0</v>
      </c>
      <c r="AP1111" s="19">
        <v>0</v>
      </c>
      <c r="AQ1111" s="19">
        <v>0</v>
      </c>
      <c r="AR1111" s="19">
        <v>276.37367838965599</v>
      </c>
    </row>
    <row r="1112" spans="1:44" x14ac:dyDescent="0.25">
      <c r="A1112" t="s">
        <v>250</v>
      </c>
      <c r="B1112" t="s">
        <v>416</v>
      </c>
      <c r="C1112" t="s">
        <v>46</v>
      </c>
      <c r="D1112" t="s">
        <v>417</v>
      </c>
      <c r="E1112" t="s">
        <v>134</v>
      </c>
      <c r="F1112" t="s">
        <v>417</v>
      </c>
      <c r="G1112" t="s">
        <v>31</v>
      </c>
      <c r="H1112" t="s">
        <v>288</v>
      </c>
      <c r="I1112" t="s">
        <v>135</v>
      </c>
      <c r="J1112" t="s">
        <v>39</v>
      </c>
      <c r="K1112" t="s">
        <v>31</v>
      </c>
      <c r="L1112">
        <v>14.288847944005283</v>
      </c>
      <c r="M1112">
        <v>1</v>
      </c>
      <c r="N1112" s="2">
        <v>6.2590732420642228</v>
      </c>
      <c r="O1112" s="2">
        <v>11.294165974969015</v>
      </c>
      <c r="P1112" s="1">
        <v>-4.6386228285855591</v>
      </c>
      <c r="Q1112" s="1">
        <v>0.97738688913926242</v>
      </c>
      <c r="R1112" s="1">
        <v>-5.0743551910856617</v>
      </c>
      <c r="S1112" s="19">
        <v>4638.2313827595444</v>
      </c>
      <c r="T1112" s="19">
        <v>5368.1030482681517</v>
      </c>
      <c r="U1112" s="19">
        <v>6104.6323012935118</v>
      </c>
      <c r="V1112" s="19">
        <v>7115.6378077262543</v>
      </c>
      <c r="W1112" s="19">
        <v>7782.5472818974367</v>
      </c>
      <c r="X1112" s="19">
        <v>7926.5705184943854</v>
      </c>
      <c r="Y1112" s="19">
        <v>7447.4319144915153</v>
      </c>
      <c r="Z1112" s="19">
        <v>6382.4934542073415</v>
      </c>
      <c r="AA1112" s="19">
        <v>4924.2257766963439</v>
      </c>
      <c r="AB1112" s="19">
        <v>2989.9264824035645</v>
      </c>
      <c r="AC1112" s="19">
        <v>0</v>
      </c>
      <c r="AD1112" s="19">
        <v>0</v>
      </c>
      <c r="AE1112" s="19">
        <v>0</v>
      </c>
      <c r="AF1112" s="19">
        <v>0</v>
      </c>
      <c r="AG1112" s="19">
        <v>0</v>
      </c>
      <c r="AH1112" s="19">
        <v>0</v>
      </c>
      <c r="AI1112" s="19">
        <v>0</v>
      </c>
      <c r="AJ1112" s="19">
        <v>0</v>
      </c>
      <c r="AK1112" s="19">
        <v>0</v>
      </c>
      <c r="AL1112" s="19">
        <v>0</v>
      </c>
      <c r="AM1112" s="19">
        <v>0</v>
      </c>
      <c r="AN1112" s="19">
        <v>0</v>
      </c>
      <c r="AO1112" s="19">
        <v>0</v>
      </c>
      <c r="AP1112" s="19">
        <v>0</v>
      </c>
      <c r="AQ1112" s="19">
        <v>0</v>
      </c>
      <c r="AR1112" s="19">
        <v>60679.799968238047</v>
      </c>
    </row>
    <row r="1113" spans="1:44" x14ac:dyDescent="0.25">
      <c r="A1113" t="s">
        <v>250</v>
      </c>
      <c r="B1113" t="s">
        <v>416</v>
      </c>
      <c r="C1113" t="s">
        <v>46</v>
      </c>
      <c r="D1113" t="s">
        <v>417</v>
      </c>
      <c r="E1113" t="s">
        <v>134</v>
      </c>
      <c r="F1113" t="s">
        <v>417</v>
      </c>
      <c r="G1113" t="s">
        <v>31</v>
      </c>
      <c r="H1113" t="s">
        <v>289</v>
      </c>
      <c r="I1113" t="s">
        <v>135</v>
      </c>
      <c r="J1113" t="s">
        <v>39</v>
      </c>
      <c r="K1113" t="s">
        <v>31</v>
      </c>
      <c r="L1113">
        <v>14.288847944005283</v>
      </c>
      <c r="M1113">
        <v>1</v>
      </c>
      <c r="N1113" s="2">
        <v>6.2590732420642228</v>
      </c>
      <c r="O1113" s="2">
        <v>11.294165974969015</v>
      </c>
      <c r="P1113" s="1">
        <v>-4.6386228285855591</v>
      </c>
      <c r="Q1113" s="1">
        <v>0.97738688913926242</v>
      </c>
      <c r="R1113" s="1">
        <v>-5.0743551910856617</v>
      </c>
      <c r="S1113" s="19">
        <v>4408.4378703945204</v>
      </c>
      <c r="T1113" s="19">
        <v>5102.1492498474672</v>
      </c>
      <c r="U1113" s="19">
        <v>5802.1883776407421</v>
      </c>
      <c r="V1113" s="19">
        <v>6763.1052862499464</v>
      </c>
      <c r="W1113" s="19">
        <v>7396.9738321334753</v>
      </c>
      <c r="X1113" s="19">
        <v>7533.8616753727711</v>
      </c>
      <c r="Y1113" s="19">
        <v>7078.4612020575487</v>
      </c>
      <c r="Z1113" s="19">
        <v>6066.2833587082941</v>
      </c>
      <c r="AA1113" s="19">
        <v>4680.2631444931603</v>
      </c>
      <c r="AB1113" s="19">
        <v>2841.795513634192</v>
      </c>
      <c r="AC1113" s="19">
        <v>0</v>
      </c>
      <c r="AD1113" s="19">
        <v>0</v>
      </c>
      <c r="AE1113" s="19">
        <v>0</v>
      </c>
      <c r="AF1113" s="19">
        <v>0</v>
      </c>
      <c r="AG1113" s="19">
        <v>0</v>
      </c>
      <c r="AH1113" s="19">
        <v>0</v>
      </c>
      <c r="AI1113" s="19">
        <v>0</v>
      </c>
      <c r="AJ1113" s="19">
        <v>0</v>
      </c>
      <c r="AK1113" s="19">
        <v>0</v>
      </c>
      <c r="AL1113" s="19">
        <v>0</v>
      </c>
      <c r="AM1113" s="19">
        <v>0</v>
      </c>
      <c r="AN1113" s="19">
        <v>0</v>
      </c>
      <c r="AO1113" s="19">
        <v>0</v>
      </c>
      <c r="AP1113" s="19">
        <v>0</v>
      </c>
      <c r="AQ1113" s="19">
        <v>0</v>
      </c>
      <c r="AR1113" s="19">
        <v>57673.519510532118</v>
      </c>
    </row>
    <row r="1114" spans="1:44" x14ac:dyDescent="0.25">
      <c r="A1114" t="s">
        <v>250</v>
      </c>
      <c r="B1114" t="s">
        <v>416</v>
      </c>
      <c r="C1114" t="s">
        <v>46</v>
      </c>
      <c r="D1114" t="s">
        <v>417</v>
      </c>
      <c r="E1114" t="s">
        <v>134</v>
      </c>
      <c r="F1114" t="s">
        <v>417</v>
      </c>
      <c r="G1114" t="s">
        <v>31</v>
      </c>
      <c r="H1114" t="s">
        <v>290</v>
      </c>
      <c r="I1114" t="s">
        <v>135</v>
      </c>
      <c r="J1114" t="s">
        <v>39</v>
      </c>
      <c r="K1114" t="s">
        <v>31</v>
      </c>
      <c r="L1114">
        <v>14.288847944005283</v>
      </c>
      <c r="M1114">
        <v>1</v>
      </c>
      <c r="N1114" s="2">
        <v>6.2590732420642228</v>
      </c>
      <c r="O1114" s="2">
        <v>11.294165974969015</v>
      </c>
      <c r="P1114" s="1">
        <v>-4.6386228285855591</v>
      </c>
      <c r="Q1114" s="1">
        <v>0.97738688913926242</v>
      </c>
      <c r="R1114" s="1">
        <v>-5.0743551910856617</v>
      </c>
      <c r="S1114" s="19">
        <v>6383.7182936856298</v>
      </c>
      <c r="T1114" s="19">
        <v>7388.2596196032737</v>
      </c>
      <c r="U1114" s="19">
        <v>8401.963956098718</v>
      </c>
      <c r="V1114" s="19">
        <v>9793.4370875214481</v>
      </c>
      <c r="W1114" s="19">
        <v>10711.321914553491</v>
      </c>
      <c r="X1114" s="19">
        <v>10909.544834953109</v>
      </c>
      <c r="Y1114" s="19">
        <v>10250.093932405784</v>
      </c>
      <c r="Z1114" s="19">
        <v>8784.3914761128835</v>
      </c>
      <c r="AA1114" s="19">
        <v>6777.3398045166978</v>
      </c>
      <c r="AB1114" s="19">
        <v>4115.1134575651076</v>
      </c>
      <c r="AC1114" s="19">
        <v>0</v>
      </c>
      <c r="AD1114" s="19">
        <v>0</v>
      </c>
      <c r="AE1114" s="19">
        <v>0</v>
      </c>
      <c r="AF1114" s="19">
        <v>0</v>
      </c>
      <c r="AG1114" s="19">
        <v>0</v>
      </c>
      <c r="AH1114" s="19">
        <v>0</v>
      </c>
      <c r="AI1114" s="19">
        <v>0</v>
      </c>
      <c r="AJ1114" s="19">
        <v>0</v>
      </c>
      <c r="AK1114" s="19">
        <v>0</v>
      </c>
      <c r="AL1114" s="19">
        <v>0</v>
      </c>
      <c r="AM1114" s="19">
        <v>0</v>
      </c>
      <c r="AN1114" s="19">
        <v>0</v>
      </c>
      <c r="AO1114" s="19">
        <v>0</v>
      </c>
      <c r="AP1114" s="19">
        <v>0</v>
      </c>
      <c r="AQ1114" s="19">
        <v>0</v>
      </c>
      <c r="AR1114" s="19">
        <v>83515.18437701615</v>
      </c>
    </row>
    <row r="1115" spans="1:44" x14ac:dyDescent="0.25">
      <c r="A1115" t="s">
        <v>250</v>
      </c>
      <c r="B1115" t="s">
        <v>416</v>
      </c>
      <c r="C1115" t="s">
        <v>46</v>
      </c>
      <c r="D1115" t="s">
        <v>417</v>
      </c>
      <c r="E1115" t="s">
        <v>134</v>
      </c>
      <c r="F1115" t="s">
        <v>417</v>
      </c>
      <c r="G1115" t="s">
        <v>31</v>
      </c>
      <c r="H1115" t="s">
        <v>288</v>
      </c>
      <c r="I1115" t="s">
        <v>135</v>
      </c>
      <c r="J1115" t="s">
        <v>39</v>
      </c>
      <c r="K1115" t="s">
        <v>33</v>
      </c>
      <c r="L1115">
        <v>14.288847944005283</v>
      </c>
      <c r="M1115">
        <v>1</v>
      </c>
      <c r="N1115" s="2">
        <v>6.2590732420642228</v>
      </c>
      <c r="O1115" s="2">
        <v>11.294165974969015</v>
      </c>
      <c r="P1115" s="1">
        <v>-4.6386228285855591</v>
      </c>
      <c r="Q1115" s="1">
        <v>0.97738688913926242</v>
      </c>
      <c r="R1115" s="1">
        <v>-5.0743551910856617</v>
      </c>
      <c r="S1115" s="19">
        <v>43.632368478868777</v>
      </c>
      <c r="T1115" s="19">
        <v>50.498353985786338</v>
      </c>
      <c r="U1115" s="19">
        <v>57.426968173280514</v>
      </c>
      <c r="V1115" s="19">
        <v>66.937611595427711</v>
      </c>
      <c r="W1115" s="19">
        <v>73.21130463007168</v>
      </c>
      <c r="X1115" s="19">
        <v>74.566147545428493</v>
      </c>
      <c r="Y1115" s="19">
        <v>70.058836375051783</v>
      </c>
      <c r="Z1115" s="19">
        <v>60.040839541354977</v>
      </c>
      <c r="AA1115" s="19">
        <v>46.322750167355608</v>
      </c>
      <c r="AB1115" s="19">
        <v>28.126577404024168</v>
      </c>
      <c r="AC1115" s="19">
        <v>0</v>
      </c>
      <c r="AD1115" s="19">
        <v>0</v>
      </c>
      <c r="AE1115" s="19">
        <v>0</v>
      </c>
      <c r="AF1115" s="19">
        <v>0</v>
      </c>
      <c r="AG1115" s="19">
        <v>0</v>
      </c>
      <c r="AH1115" s="19">
        <v>0</v>
      </c>
      <c r="AI1115" s="19">
        <v>0</v>
      </c>
      <c r="AJ1115" s="19">
        <v>0</v>
      </c>
      <c r="AK1115" s="19">
        <v>0</v>
      </c>
      <c r="AL1115" s="19">
        <v>0</v>
      </c>
      <c r="AM1115" s="19">
        <v>0</v>
      </c>
      <c r="AN1115" s="19">
        <v>0</v>
      </c>
      <c r="AO1115" s="19">
        <v>0</v>
      </c>
      <c r="AP1115" s="19">
        <v>0</v>
      </c>
      <c r="AQ1115" s="19">
        <v>0</v>
      </c>
      <c r="AR1115" s="19">
        <v>570.82175789665007</v>
      </c>
    </row>
    <row r="1116" spans="1:44" x14ac:dyDescent="0.25">
      <c r="A1116" t="s">
        <v>250</v>
      </c>
      <c r="B1116" t="s">
        <v>418</v>
      </c>
      <c r="C1116" t="s">
        <v>46</v>
      </c>
      <c r="D1116" t="s">
        <v>417</v>
      </c>
      <c r="E1116" t="s">
        <v>134</v>
      </c>
      <c r="F1116" t="s">
        <v>417</v>
      </c>
      <c r="G1116" t="s">
        <v>31</v>
      </c>
      <c r="H1116" t="s">
        <v>253</v>
      </c>
      <c r="I1116" t="s">
        <v>135</v>
      </c>
      <c r="J1116" t="s">
        <v>39</v>
      </c>
      <c r="K1116" t="s">
        <v>31</v>
      </c>
      <c r="L1116">
        <v>132.92529508551502</v>
      </c>
      <c r="M1116">
        <v>1</v>
      </c>
      <c r="N1116" s="2">
        <v>3.7090191236946746</v>
      </c>
      <c r="O1116" s="2">
        <v>6.6927284547203163</v>
      </c>
      <c r="P1116" s="1">
        <v>-2.1462333666955802</v>
      </c>
      <c r="Q1116" s="1">
        <v>0.97738688913926208</v>
      </c>
      <c r="R1116" s="1">
        <v>-2.5819657291956819</v>
      </c>
      <c r="S1116" s="19">
        <v>8364.9708762479495</v>
      </c>
      <c r="T1116" s="19">
        <v>9670.6004725829061</v>
      </c>
      <c r="U1116" s="19">
        <v>10985.319223261093</v>
      </c>
      <c r="V1116" s="19">
        <v>12790.501688569828</v>
      </c>
      <c r="W1116" s="19">
        <v>13973.850328730488</v>
      </c>
      <c r="X1116" s="19">
        <v>14216.746552695437</v>
      </c>
      <c r="Y1116" s="19">
        <v>13342.647393755013</v>
      </c>
      <c r="Z1116" s="19">
        <v>11422.112140400406</v>
      </c>
      <c r="AA1116" s="19">
        <v>8802.6730770738232</v>
      </c>
      <c r="AB1116" s="19">
        <v>3004.2530465296491</v>
      </c>
      <c r="AC1116" s="19">
        <v>0</v>
      </c>
      <c r="AD1116" s="19">
        <v>0</v>
      </c>
      <c r="AE1116" s="19">
        <v>0</v>
      </c>
      <c r="AF1116" s="19">
        <v>0</v>
      </c>
      <c r="AG1116" s="19">
        <v>0</v>
      </c>
      <c r="AH1116" s="19">
        <v>0</v>
      </c>
      <c r="AI1116" s="19">
        <v>0</v>
      </c>
      <c r="AJ1116" s="19">
        <v>0</v>
      </c>
      <c r="AK1116" s="19">
        <v>0</v>
      </c>
      <c r="AL1116" s="19">
        <v>0</v>
      </c>
      <c r="AM1116" s="19">
        <v>0</v>
      </c>
      <c r="AN1116" s="19">
        <v>0</v>
      </c>
      <c r="AO1116" s="19">
        <v>0</v>
      </c>
      <c r="AP1116" s="19">
        <v>0</v>
      </c>
      <c r="AQ1116" s="19">
        <v>0</v>
      </c>
      <c r="AR1116" s="19">
        <v>106573.6747998466</v>
      </c>
    </row>
    <row r="1117" spans="1:44" x14ac:dyDescent="0.25">
      <c r="A1117" t="s">
        <v>250</v>
      </c>
      <c r="B1117" t="s">
        <v>418</v>
      </c>
      <c r="C1117" t="s">
        <v>46</v>
      </c>
      <c r="D1117" t="s">
        <v>417</v>
      </c>
      <c r="E1117" t="s">
        <v>134</v>
      </c>
      <c r="F1117" t="s">
        <v>417</v>
      </c>
      <c r="G1117" t="s">
        <v>31</v>
      </c>
      <c r="H1117" t="s">
        <v>253</v>
      </c>
      <c r="I1117" t="s">
        <v>256</v>
      </c>
      <c r="J1117" t="s">
        <v>39</v>
      </c>
      <c r="K1117" t="s">
        <v>31</v>
      </c>
      <c r="L1117">
        <v>132.92529508551502</v>
      </c>
      <c r="M1117">
        <v>1</v>
      </c>
      <c r="N1117" s="2">
        <v>2.2122352322745571</v>
      </c>
      <c r="O1117" s="2">
        <v>3.9918612425028721</v>
      </c>
      <c r="P1117" s="1">
        <v>-0.68329641534671282</v>
      </c>
      <c r="Q1117" s="1">
        <v>0.4672931329656026</v>
      </c>
      <c r="R1117" s="1">
        <v>-1.1190287778468149</v>
      </c>
      <c r="S1117" s="19">
        <v>4387.9367525188482</v>
      </c>
      <c r="T1117" s="19">
        <v>5072.8190044346165</v>
      </c>
      <c r="U1117" s="19">
        <v>5762.4690714428662</v>
      </c>
      <c r="V1117" s="19">
        <v>6709.3972319487539</v>
      </c>
      <c r="W1117" s="19">
        <v>7330.1356739614994</v>
      </c>
      <c r="X1117" s="19">
        <v>7457.549538749744</v>
      </c>
      <c r="Y1117" s="19">
        <v>6999.031286671755</v>
      </c>
      <c r="Z1117" s="19">
        <v>5991.593562455465</v>
      </c>
      <c r="AA1117" s="19">
        <v>4617.5382182114226</v>
      </c>
      <c r="AB1117" s="19">
        <v>1575.9137182611432</v>
      </c>
      <c r="AC1117" s="19">
        <v>0</v>
      </c>
      <c r="AD1117" s="19">
        <v>0</v>
      </c>
      <c r="AE1117" s="19">
        <v>0</v>
      </c>
      <c r="AF1117" s="19">
        <v>0</v>
      </c>
      <c r="AG1117" s="19">
        <v>0</v>
      </c>
      <c r="AH1117" s="19">
        <v>0</v>
      </c>
      <c r="AI1117" s="19">
        <v>0</v>
      </c>
      <c r="AJ1117" s="19">
        <v>0</v>
      </c>
      <c r="AK1117" s="19">
        <v>0</v>
      </c>
      <c r="AL1117" s="19">
        <v>0</v>
      </c>
      <c r="AM1117" s="19">
        <v>0</v>
      </c>
      <c r="AN1117" s="19">
        <v>0</v>
      </c>
      <c r="AO1117" s="19">
        <v>0</v>
      </c>
      <c r="AP1117" s="19">
        <v>0</v>
      </c>
      <c r="AQ1117" s="19">
        <v>0</v>
      </c>
      <c r="AR1117" s="19">
        <v>55904.384058656113</v>
      </c>
    </row>
    <row r="1118" spans="1:44" x14ac:dyDescent="0.25">
      <c r="A1118" t="s">
        <v>250</v>
      </c>
      <c r="B1118" t="s">
        <v>418</v>
      </c>
      <c r="C1118" t="s">
        <v>46</v>
      </c>
      <c r="D1118" t="s">
        <v>417</v>
      </c>
      <c r="E1118" t="s">
        <v>134</v>
      </c>
      <c r="F1118" t="s">
        <v>417</v>
      </c>
      <c r="G1118" t="s">
        <v>31</v>
      </c>
      <c r="H1118" t="s">
        <v>253</v>
      </c>
      <c r="I1118" t="s">
        <v>135</v>
      </c>
      <c r="J1118" t="s">
        <v>40</v>
      </c>
      <c r="K1118" t="s">
        <v>31</v>
      </c>
      <c r="L1118">
        <v>132.92529508551502</v>
      </c>
      <c r="M1118">
        <v>1</v>
      </c>
      <c r="N1118" s="2">
        <v>3.7090191236946746</v>
      </c>
      <c r="O1118" s="2">
        <v>5.5028068801139645</v>
      </c>
      <c r="P1118" s="1">
        <v>-2.1462333666955802</v>
      </c>
      <c r="Q1118" s="1">
        <v>0.4672931329656026</v>
      </c>
      <c r="R1118" s="1">
        <v>-2.4389657291956826</v>
      </c>
      <c r="S1118" s="19">
        <v>4400.1485379864716</v>
      </c>
      <c r="T1118" s="19">
        <v>5086.9368417901069</v>
      </c>
      <c r="U1118" s="19">
        <v>5778.5062296867445</v>
      </c>
      <c r="V1118" s="19">
        <v>6728.0697252490718</v>
      </c>
      <c r="W1118" s="19">
        <v>7350.535704624569</v>
      </c>
      <c r="X1118" s="19">
        <v>7478.3041667714706</v>
      </c>
      <c r="Y1118" s="19">
        <v>7018.5098419414862</v>
      </c>
      <c r="Z1118" s="19">
        <v>6008.2683823812322</v>
      </c>
      <c r="AA1118" s="19">
        <v>4630.3889927985865</v>
      </c>
      <c r="AB1118" s="19">
        <v>1580.2995426994764</v>
      </c>
      <c r="AC1118" s="19">
        <v>0</v>
      </c>
      <c r="AD1118" s="19">
        <v>0</v>
      </c>
      <c r="AE1118" s="19">
        <v>0</v>
      </c>
      <c r="AF1118" s="19">
        <v>0</v>
      </c>
      <c r="AG1118" s="19">
        <v>0</v>
      </c>
      <c r="AH1118" s="19">
        <v>0</v>
      </c>
      <c r="AI1118" s="19">
        <v>0</v>
      </c>
      <c r="AJ1118" s="19">
        <v>0</v>
      </c>
      <c r="AK1118" s="19">
        <v>0</v>
      </c>
      <c r="AL1118" s="19">
        <v>0</v>
      </c>
      <c r="AM1118" s="19">
        <v>0</v>
      </c>
      <c r="AN1118" s="19">
        <v>0</v>
      </c>
      <c r="AO1118" s="19">
        <v>0</v>
      </c>
      <c r="AP1118" s="19">
        <v>0</v>
      </c>
      <c r="AQ1118" s="19">
        <v>0</v>
      </c>
      <c r="AR1118" s="19">
        <v>56059.967965929216</v>
      </c>
    </row>
    <row r="1119" spans="1:44" x14ac:dyDescent="0.25">
      <c r="A1119" t="s">
        <v>250</v>
      </c>
      <c r="B1119" t="s">
        <v>419</v>
      </c>
      <c r="C1119" t="s">
        <v>46</v>
      </c>
      <c r="D1119" t="s">
        <v>417</v>
      </c>
      <c r="E1119" t="s">
        <v>134</v>
      </c>
      <c r="F1119" t="s">
        <v>417</v>
      </c>
      <c r="G1119" t="s">
        <v>31</v>
      </c>
      <c r="H1119" t="s">
        <v>254</v>
      </c>
      <c r="I1119" t="s">
        <v>135</v>
      </c>
      <c r="J1119" t="s">
        <v>39</v>
      </c>
      <c r="K1119" t="s">
        <v>31</v>
      </c>
      <c r="L1119">
        <v>25.551339726938693</v>
      </c>
      <c r="M1119">
        <v>1</v>
      </c>
      <c r="N1119" s="2">
        <v>3.696448091734216</v>
      </c>
      <c r="O1119" s="2">
        <v>6.6700446937309286</v>
      </c>
      <c r="P1119" s="1">
        <v>-2.1339466048744784</v>
      </c>
      <c r="Q1119" s="1">
        <v>0.97738688913926219</v>
      </c>
      <c r="R1119" s="1">
        <v>-2.569678967374581</v>
      </c>
      <c r="S1119" s="19">
        <v>3600.9298538891576</v>
      </c>
      <c r="T1119" s="19">
        <v>4161.3574123916351</v>
      </c>
      <c r="U1119" s="19">
        <v>4725.2588832263364</v>
      </c>
      <c r="V1119" s="19">
        <v>5499.609502512777</v>
      </c>
      <c r="W1119" s="19">
        <v>6006.0882659426543</v>
      </c>
      <c r="X1119" s="19">
        <v>6108.1148286145226</v>
      </c>
      <c r="Y1119" s="19">
        <v>5730.3391911366152</v>
      </c>
      <c r="Z1119" s="19">
        <v>4903.6118838955135</v>
      </c>
      <c r="AA1119" s="19">
        <v>3777.5967039125185</v>
      </c>
      <c r="AB1119" s="19">
        <v>939.04539001142291</v>
      </c>
      <c r="AC1119" s="19">
        <v>0</v>
      </c>
      <c r="AD1119" s="19">
        <v>0</v>
      </c>
      <c r="AE1119" s="19">
        <v>0</v>
      </c>
      <c r="AF1119" s="19">
        <v>0</v>
      </c>
      <c r="AG1119" s="19">
        <v>0</v>
      </c>
      <c r="AH1119" s="19">
        <v>0</v>
      </c>
      <c r="AI1119" s="19">
        <v>0</v>
      </c>
      <c r="AJ1119" s="19">
        <v>0</v>
      </c>
      <c r="AK1119" s="19">
        <v>0</v>
      </c>
      <c r="AL1119" s="19">
        <v>0</v>
      </c>
      <c r="AM1119" s="19">
        <v>0</v>
      </c>
      <c r="AN1119" s="19">
        <v>0</v>
      </c>
      <c r="AO1119" s="19">
        <v>0</v>
      </c>
      <c r="AP1119" s="19">
        <v>0</v>
      </c>
      <c r="AQ1119" s="19">
        <v>0</v>
      </c>
      <c r="AR1119" s="19">
        <v>45451.951915533151</v>
      </c>
    </row>
    <row r="1120" spans="1:44" x14ac:dyDescent="0.25">
      <c r="A1120" t="s">
        <v>250</v>
      </c>
      <c r="B1120" t="s">
        <v>419</v>
      </c>
      <c r="C1120" t="s">
        <v>46</v>
      </c>
      <c r="D1120" t="s">
        <v>417</v>
      </c>
      <c r="E1120" t="s">
        <v>134</v>
      </c>
      <c r="F1120" t="s">
        <v>417</v>
      </c>
      <c r="G1120" t="s">
        <v>31</v>
      </c>
      <c r="H1120" t="s">
        <v>255</v>
      </c>
      <c r="I1120" t="s">
        <v>135</v>
      </c>
      <c r="J1120" t="s">
        <v>39</v>
      </c>
      <c r="K1120" t="s">
        <v>31</v>
      </c>
      <c r="L1120">
        <v>25.551339726938693</v>
      </c>
      <c r="M1120">
        <v>1</v>
      </c>
      <c r="N1120" s="2">
        <v>3.696448091734216</v>
      </c>
      <c r="O1120" s="2">
        <v>6.6700446937309286</v>
      </c>
      <c r="P1120" s="1">
        <v>-2.1339466048744784</v>
      </c>
      <c r="Q1120" s="1">
        <v>0.97738688913926219</v>
      </c>
      <c r="R1120" s="1">
        <v>-2.569678967374581</v>
      </c>
      <c r="S1120" s="19">
        <v>927.09151379858542</v>
      </c>
      <c r="T1120" s="19">
        <v>1066.5213064582792</v>
      </c>
      <c r="U1120" s="19">
        <v>1205.554083281233</v>
      </c>
      <c r="V1120" s="19">
        <v>1396.7526957175269</v>
      </c>
      <c r="W1120" s="19">
        <v>1518.4690635014852</v>
      </c>
      <c r="X1120" s="19">
        <v>1537.2623977115682</v>
      </c>
      <c r="Y1120" s="19">
        <v>1435.6471537027253</v>
      </c>
      <c r="Z1120" s="19">
        <v>1222.9537891477466</v>
      </c>
      <c r="AA1120" s="19">
        <v>182.71348173220079</v>
      </c>
      <c r="AB1120" s="19">
        <v>0</v>
      </c>
      <c r="AC1120" s="19">
        <v>0</v>
      </c>
      <c r="AD1120" s="19">
        <v>0</v>
      </c>
      <c r="AE1120" s="19">
        <v>0</v>
      </c>
      <c r="AF1120" s="19">
        <v>0</v>
      </c>
      <c r="AG1120" s="19">
        <v>0</v>
      </c>
      <c r="AH1120" s="19">
        <v>0</v>
      </c>
      <c r="AI1120" s="19">
        <v>0</v>
      </c>
      <c r="AJ1120" s="19">
        <v>0</v>
      </c>
      <c r="AK1120" s="19">
        <v>0</v>
      </c>
      <c r="AL1120" s="19">
        <v>0</v>
      </c>
      <c r="AM1120" s="19">
        <v>0</v>
      </c>
      <c r="AN1120" s="19">
        <v>0</v>
      </c>
      <c r="AO1120" s="19">
        <v>0</v>
      </c>
      <c r="AP1120" s="19">
        <v>0</v>
      </c>
      <c r="AQ1120" s="19">
        <v>0</v>
      </c>
      <c r="AR1120" s="19">
        <v>10492.965485051353</v>
      </c>
    </row>
    <row r="1121" spans="1:44" x14ac:dyDescent="0.25">
      <c r="A1121" t="s">
        <v>250</v>
      </c>
      <c r="B1121" t="s">
        <v>420</v>
      </c>
      <c r="C1121" t="s">
        <v>46</v>
      </c>
      <c r="D1121" t="s">
        <v>417</v>
      </c>
      <c r="E1121" t="s">
        <v>134</v>
      </c>
      <c r="F1121" t="s">
        <v>417</v>
      </c>
      <c r="G1121" t="s">
        <v>31</v>
      </c>
      <c r="H1121" t="s">
        <v>276</v>
      </c>
      <c r="I1121" t="s">
        <v>135</v>
      </c>
      <c r="J1121" t="s">
        <v>39</v>
      </c>
      <c r="K1121" t="s">
        <v>31</v>
      </c>
      <c r="L1121">
        <v>18.647305501260348</v>
      </c>
      <c r="M1121">
        <v>1</v>
      </c>
      <c r="N1121" s="2">
        <v>3.992594563639448</v>
      </c>
      <c r="O1121" s="2">
        <v>7.2044253084393324</v>
      </c>
      <c r="P1121" s="1">
        <v>-2.4233962837795024</v>
      </c>
      <c r="Q1121" s="1">
        <v>0.97738688913926275</v>
      </c>
      <c r="R1121" s="1">
        <v>-2.8591286462796051</v>
      </c>
      <c r="S1121" s="19">
        <v>12475.47834214083</v>
      </c>
      <c r="T1121" s="19">
        <v>14451.65232945004</v>
      </c>
      <c r="U1121" s="19">
        <v>16449.323263900489</v>
      </c>
      <c r="V1121" s="19">
        <v>19190.850555595571</v>
      </c>
      <c r="W1121" s="19">
        <v>21008.450495678622</v>
      </c>
      <c r="X1121" s="19">
        <v>21416.546760237296</v>
      </c>
      <c r="Y1121" s="19">
        <v>20140.141799726724</v>
      </c>
      <c r="Z1121" s="19">
        <v>17275.802274621517</v>
      </c>
      <c r="AA1121" s="19">
        <v>13340.670824106468</v>
      </c>
      <c r="AB1121" s="19">
        <v>8810.5977827792249</v>
      </c>
      <c r="AC1121" s="19">
        <v>2224.2148961821517</v>
      </c>
      <c r="AD1121" s="19">
        <v>0</v>
      </c>
      <c r="AE1121" s="19">
        <v>0</v>
      </c>
      <c r="AF1121" s="19">
        <v>0</v>
      </c>
      <c r="AG1121" s="19">
        <v>0</v>
      </c>
      <c r="AH1121" s="19">
        <v>0</v>
      </c>
      <c r="AI1121" s="19">
        <v>0</v>
      </c>
      <c r="AJ1121" s="19">
        <v>0</v>
      </c>
      <c r="AK1121" s="19">
        <v>0</v>
      </c>
      <c r="AL1121" s="19">
        <v>0</v>
      </c>
      <c r="AM1121" s="19">
        <v>0</v>
      </c>
      <c r="AN1121" s="19">
        <v>0</v>
      </c>
      <c r="AO1121" s="19">
        <v>0</v>
      </c>
      <c r="AP1121" s="19">
        <v>0</v>
      </c>
      <c r="AQ1121" s="19">
        <v>0</v>
      </c>
      <c r="AR1121" s="19">
        <v>166783.72932441891</v>
      </c>
    </row>
    <row r="1122" spans="1:44" x14ac:dyDescent="0.25">
      <c r="A1122" t="s">
        <v>250</v>
      </c>
      <c r="B1122" t="s">
        <v>421</v>
      </c>
      <c r="C1122" t="s">
        <v>46</v>
      </c>
      <c r="D1122" t="s">
        <v>417</v>
      </c>
      <c r="E1122" t="s">
        <v>134</v>
      </c>
      <c r="F1122" t="s">
        <v>417</v>
      </c>
      <c r="G1122" t="s">
        <v>31</v>
      </c>
      <c r="H1122" t="s">
        <v>252</v>
      </c>
      <c r="I1122" t="s">
        <v>135</v>
      </c>
      <c r="J1122" t="s">
        <v>39</v>
      </c>
      <c r="K1122" t="s">
        <v>31</v>
      </c>
      <c r="L1122">
        <v>23.32522440484621</v>
      </c>
      <c r="M1122">
        <v>1</v>
      </c>
      <c r="N1122" s="2">
        <v>4.5763392831344119</v>
      </c>
      <c r="O1122" s="2">
        <v>8.2577617200793298</v>
      </c>
      <c r="P1122" s="1">
        <v>-2.9939407192181542</v>
      </c>
      <c r="Q1122" s="1">
        <v>0.97738688913926253</v>
      </c>
      <c r="R1122" s="1">
        <v>-3.4296730817182568</v>
      </c>
      <c r="S1122" s="19">
        <v>3130.5405236487936</v>
      </c>
      <c r="T1122" s="19">
        <v>3620.6182486782832</v>
      </c>
      <c r="U1122" s="19">
        <v>4114.4934398150663</v>
      </c>
      <c r="V1122" s="19">
        <v>4792.5391567020679</v>
      </c>
      <c r="W1122" s="19">
        <v>5238.0371681186807</v>
      </c>
      <c r="X1122" s="19">
        <v>5331.2261738174084</v>
      </c>
      <c r="Y1122" s="19">
        <v>5005.451912368977</v>
      </c>
      <c r="Z1122" s="19">
        <v>4286.6902385438152</v>
      </c>
      <c r="AA1122" s="19">
        <v>3304.9481707713685</v>
      </c>
      <c r="AB1122" s="19">
        <v>1446.267144392579</v>
      </c>
      <c r="AC1122" s="19">
        <v>0</v>
      </c>
      <c r="AD1122" s="19">
        <v>0</v>
      </c>
      <c r="AE1122" s="19">
        <v>0</v>
      </c>
      <c r="AF1122" s="19">
        <v>0</v>
      </c>
      <c r="AG1122" s="19">
        <v>0</v>
      </c>
      <c r="AH1122" s="19">
        <v>0</v>
      </c>
      <c r="AI1122" s="19">
        <v>0</v>
      </c>
      <c r="AJ1122" s="19">
        <v>0</v>
      </c>
      <c r="AK1122" s="19">
        <v>0</v>
      </c>
      <c r="AL1122" s="19">
        <v>0</v>
      </c>
      <c r="AM1122" s="19">
        <v>0</v>
      </c>
      <c r="AN1122" s="19">
        <v>0</v>
      </c>
      <c r="AO1122" s="19">
        <v>0</v>
      </c>
      <c r="AP1122" s="19">
        <v>0</v>
      </c>
      <c r="AQ1122" s="19">
        <v>0</v>
      </c>
      <c r="AR1122" s="19">
        <v>40270.812176857042</v>
      </c>
    </row>
    <row r="1123" spans="1:44" x14ac:dyDescent="0.25">
      <c r="A1123" t="s">
        <v>250</v>
      </c>
      <c r="B1123" t="s">
        <v>422</v>
      </c>
      <c r="C1123" t="s">
        <v>46</v>
      </c>
      <c r="D1123" t="s">
        <v>417</v>
      </c>
      <c r="E1123" t="s">
        <v>134</v>
      </c>
      <c r="F1123" t="s">
        <v>417</v>
      </c>
      <c r="G1123" t="s">
        <v>31</v>
      </c>
      <c r="H1123" t="s">
        <v>272</v>
      </c>
      <c r="I1123" t="s">
        <v>135</v>
      </c>
      <c r="J1123" t="s">
        <v>39</v>
      </c>
      <c r="K1123" t="s">
        <v>31</v>
      </c>
      <c r="L1123">
        <v>20.929193230947988</v>
      </c>
      <c r="M1123">
        <v>1</v>
      </c>
      <c r="N1123" s="2">
        <v>3.3514932674547055</v>
      </c>
      <c r="O1123" s="2">
        <v>6.0475919936896414</v>
      </c>
      <c r="P1123" s="1">
        <v>-1.7967922822783473</v>
      </c>
      <c r="Q1123" s="1">
        <v>0.97738688913926242</v>
      </c>
      <c r="R1123" s="1">
        <v>-2.2325246447784499</v>
      </c>
      <c r="S1123" s="19">
        <v>4537.7013030938288</v>
      </c>
      <c r="T1123" s="19">
        <v>5243.3254745021577</v>
      </c>
      <c r="U1123" s="19">
        <v>5953.165568643949</v>
      </c>
      <c r="V1123" s="19">
        <v>6927.9502931533725</v>
      </c>
      <c r="W1123" s="19">
        <v>7565.1087415759794</v>
      </c>
      <c r="X1123" s="19">
        <v>7692.7428081164062</v>
      </c>
      <c r="Y1123" s="19">
        <v>7216.1392439861966</v>
      </c>
      <c r="Z1123" s="19">
        <v>6174.3496470106511</v>
      </c>
      <c r="AA1123" s="19">
        <v>4755.9937662958919</v>
      </c>
      <c r="AB1123" s="19">
        <v>1053.3798912695208</v>
      </c>
      <c r="AC1123" s="19">
        <v>0</v>
      </c>
      <c r="AD1123" s="19">
        <v>0</v>
      </c>
      <c r="AE1123" s="19">
        <v>0</v>
      </c>
      <c r="AF1123" s="19">
        <v>0</v>
      </c>
      <c r="AG1123" s="19">
        <v>0</v>
      </c>
      <c r="AH1123" s="19">
        <v>0</v>
      </c>
      <c r="AI1123" s="19">
        <v>0</v>
      </c>
      <c r="AJ1123" s="19">
        <v>0</v>
      </c>
      <c r="AK1123" s="19">
        <v>0</v>
      </c>
      <c r="AL1123" s="19">
        <v>0</v>
      </c>
      <c r="AM1123" s="19">
        <v>0</v>
      </c>
      <c r="AN1123" s="19">
        <v>0</v>
      </c>
      <c r="AO1123" s="19">
        <v>0</v>
      </c>
      <c r="AP1123" s="19">
        <v>0</v>
      </c>
      <c r="AQ1123" s="19">
        <v>0</v>
      </c>
      <c r="AR1123" s="19">
        <v>57119.856737647955</v>
      </c>
    </row>
    <row r="1124" spans="1:44" x14ac:dyDescent="0.25">
      <c r="A1124" t="s">
        <v>250</v>
      </c>
      <c r="B1124" t="s">
        <v>422</v>
      </c>
      <c r="C1124" t="s">
        <v>46</v>
      </c>
      <c r="D1124" t="s">
        <v>417</v>
      </c>
      <c r="E1124" t="s">
        <v>134</v>
      </c>
      <c r="F1124" t="s">
        <v>417</v>
      </c>
      <c r="G1124" t="s">
        <v>31</v>
      </c>
      <c r="H1124" t="s">
        <v>273</v>
      </c>
      <c r="I1124" t="s">
        <v>135</v>
      </c>
      <c r="J1124" t="s">
        <v>39</v>
      </c>
      <c r="K1124" t="s">
        <v>31</v>
      </c>
      <c r="L1124">
        <v>20.929193230947988</v>
      </c>
      <c r="M1124">
        <v>1</v>
      </c>
      <c r="N1124" s="2">
        <v>3.3514932674547055</v>
      </c>
      <c r="O1124" s="2">
        <v>6.0475919936896414</v>
      </c>
      <c r="P1124" s="1">
        <v>-1.7967922822783473</v>
      </c>
      <c r="Q1124" s="1">
        <v>0.97738688913926242</v>
      </c>
      <c r="R1124" s="1">
        <v>-2.2325246447784499</v>
      </c>
      <c r="S1124" s="19">
        <v>1364.7433774076444</v>
      </c>
      <c r="T1124" s="19">
        <v>1576.9644670178609</v>
      </c>
      <c r="U1124" s="19">
        <v>1790.4535229938299</v>
      </c>
      <c r="V1124" s="19">
        <v>2083.6264112721628</v>
      </c>
      <c r="W1124" s="19">
        <v>2275.2559864165669</v>
      </c>
      <c r="X1124" s="19">
        <v>2313.6427676099202</v>
      </c>
      <c r="Y1124" s="19">
        <v>2170.301125146123</v>
      </c>
      <c r="Z1124" s="19">
        <v>1856.976082760636</v>
      </c>
      <c r="AA1124" s="19">
        <v>1430.3962649808959</v>
      </c>
      <c r="AB1124" s="19">
        <v>316.81089928159452</v>
      </c>
      <c r="AC1124" s="19">
        <v>0</v>
      </c>
      <c r="AD1124" s="19">
        <v>0</v>
      </c>
      <c r="AE1124" s="19">
        <v>0</v>
      </c>
      <c r="AF1124" s="19">
        <v>0</v>
      </c>
      <c r="AG1124" s="19">
        <v>0</v>
      </c>
      <c r="AH1124" s="19">
        <v>0</v>
      </c>
      <c r="AI1124" s="19">
        <v>0</v>
      </c>
      <c r="AJ1124" s="19">
        <v>0</v>
      </c>
      <c r="AK1124" s="19">
        <v>0</v>
      </c>
      <c r="AL1124" s="19">
        <v>0</v>
      </c>
      <c r="AM1124" s="19">
        <v>0</v>
      </c>
      <c r="AN1124" s="19">
        <v>0</v>
      </c>
      <c r="AO1124" s="19">
        <v>0</v>
      </c>
      <c r="AP1124" s="19">
        <v>0</v>
      </c>
      <c r="AQ1124" s="19">
        <v>0</v>
      </c>
      <c r="AR1124" s="19">
        <v>17179.170904887233</v>
      </c>
    </row>
    <row r="1125" spans="1:44" x14ac:dyDescent="0.25">
      <c r="A1125" t="s">
        <v>250</v>
      </c>
      <c r="B1125" t="s">
        <v>422</v>
      </c>
      <c r="C1125" t="s">
        <v>46</v>
      </c>
      <c r="D1125" t="s">
        <v>417</v>
      </c>
      <c r="E1125" t="s">
        <v>134</v>
      </c>
      <c r="F1125" t="s">
        <v>417</v>
      </c>
      <c r="G1125" t="s">
        <v>31</v>
      </c>
      <c r="H1125" t="s">
        <v>274</v>
      </c>
      <c r="I1125" t="s">
        <v>135</v>
      </c>
      <c r="J1125" t="s">
        <v>39</v>
      </c>
      <c r="K1125" t="s">
        <v>31</v>
      </c>
      <c r="L1125">
        <v>20.929193230947988</v>
      </c>
      <c r="M1125">
        <v>1</v>
      </c>
      <c r="N1125" s="2">
        <v>3.3514932674547055</v>
      </c>
      <c r="O1125" s="2">
        <v>6.0475919936896414</v>
      </c>
      <c r="P1125" s="1">
        <v>-1.7967922822783473</v>
      </c>
      <c r="Q1125" s="1">
        <v>0.97738688913926242</v>
      </c>
      <c r="R1125" s="1">
        <v>-2.2325246447784499</v>
      </c>
      <c r="S1125" s="19">
        <v>2148.3504612251645</v>
      </c>
      <c r="T1125" s="19">
        <v>2482.4244587937433</v>
      </c>
      <c r="U1125" s="19">
        <v>2818.494462477302</v>
      </c>
      <c r="V1125" s="19">
        <v>3280.0010872230173</v>
      </c>
      <c r="W1125" s="19">
        <v>3581.6603536910266</v>
      </c>
      <c r="X1125" s="19">
        <v>3642.0880212268394</v>
      </c>
      <c r="Y1125" s="19">
        <v>3416.4426077390485</v>
      </c>
      <c r="Z1125" s="19">
        <v>2923.2128837737396</v>
      </c>
      <c r="AA1125" s="19">
        <v>2251.699862756373</v>
      </c>
      <c r="AB1125" s="19">
        <v>498.71708693369538</v>
      </c>
      <c r="AC1125" s="19">
        <v>0</v>
      </c>
      <c r="AD1125" s="19">
        <v>0</v>
      </c>
      <c r="AE1125" s="19">
        <v>0</v>
      </c>
      <c r="AF1125" s="19">
        <v>0</v>
      </c>
      <c r="AG1125" s="19">
        <v>0</v>
      </c>
      <c r="AH1125" s="19">
        <v>0</v>
      </c>
      <c r="AI1125" s="19">
        <v>0</v>
      </c>
      <c r="AJ1125" s="19">
        <v>0</v>
      </c>
      <c r="AK1125" s="19">
        <v>0</v>
      </c>
      <c r="AL1125" s="19">
        <v>0</v>
      </c>
      <c r="AM1125" s="19">
        <v>0</v>
      </c>
      <c r="AN1125" s="19">
        <v>0</v>
      </c>
      <c r="AO1125" s="19">
        <v>0</v>
      </c>
      <c r="AP1125" s="19">
        <v>0</v>
      </c>
      <c r="AQ1125" s="19">
        <v>0</v>
      </c>
      <c r="AR1125" s="19">
        <v>27043.09128583995</v>
      </c>
    </row>
    <row r="1126" spans="1:44" x14ac:dyDescent="0.25">
      <c r="A1126" t="s">
        <v>250</v>
      </c>
      <c r="B1126" t="s">
        <v>422</v>
      </c>
      <c r="C1126" t="s">
        <v>46</v>
      </c>
      <c r="D1126" t="s">
        <v>417</v>
      </c>
      <c r="E1126" t="s">
        <v>134</v>
      </c>
      <c r="F1126" t="s">
        <v>417</v>
      </c>
      <c r="G1126" t="s">
        <v>31</v>
      </c>
      <c r="H1126" t="s">
        <v>275</v>
      </c>
      <c r="I1126" t="s">
        <v>135</v>
      </c>
      <c r="J1126" t="s">
        <v>39</v>
      </c>
      <c r="K1126" t="s">
        <v>31</v>
      </c>
      <c r="L1126">
        <v>20.929193230947988</v>
      </c>
      <c r="M1126">
        <v>1</v>
      </c>
      <c r="N1126" s="2">
        <v>3.3514932674547055</v>
      </c>
      <c r="O1126" s="2">
        <v>6.0475919936896414</v>
      </c>
      <c r="P1126" s="1">
        <v>-1.7967922822783473</v>
      </c>
      <c r="Q1126" s="1">
        <v>0.97738688913926242</v>
      </c>
      <c r="R1126" s="1">
        <v>-2.2325246447784499</v>
      </c>
      <c r="S1126" s="19">
        <v>3282.0079282047886</v>
      </c>
      <c r="T1126" s="19">
        <v>3792.3685646169097</v>
      </c>
      <c r="U1126" s="19">
        <v>4305.7784744191667</v>
      </c>
      <c r="V1126" s="19">
        <v>5010.8163295886088</v>
      </c>
      <c r="W1126" s="19">
        <v>5471.6573897570879</v>
      </c>
      <c r="X1126" s="19">
        <v>5563.9719760012513</v>
      </c>
      <c r="Y1126" s="19">
        <v>5219.2563211785073</v>
      </c>
      <c r="Z1126" s="19">
        <v>4465.7554870747272</v>
      </c>
      <c r="AA1126" s="19">
        <v>3439.8935066160557</v>
      </c>
      <c r="AB1126" s="19">
        <v>761.88380936421424</v>
      </c>
      <c r="AC1126" s="19">
        <v>0</v>
      </c>
      <c r="AD1126" s="19">
        <v>0</v>
      </c>
      <c r="AE1126" s="19">
        <v>0</v>
      </c>
      <c r="AF1126" s="19">
        <v>0</v>
      </c>
      <c r="AG1126" s="19">
        <v>0</v>
      </c>
      <c r="AH1126" s="19">
        <v>0</v>
      </c>
      <c r="AI1126" s="19">
        <v>0</v>
      </c>
      <c r="AJ1126" s="19">
        <v>0</v>
      </c>
      <c r="AK1126" s="19">
        <v>0</v>
      </c>
      <c r="AL1126" s="19">
        <v>0</v>
      </c>
      <c r="AM1126" s="19">
        <v>0</v>
      </c>
      <c r="AN1126" s="19">
        <v>0</v>
      </c>
      <c r="AO1126" s="19">
        <v>0</v>
      </c>
      <c r="AP1126" s="19">
        <v>0</v>
      </c>
      <c r="AQ1126" s="19">
        <v>0</v>
      </c>
      <c r="AR1126" s="19">
        <v>41313.389786821317</v>
      </c>
    </row>
    <row r="1127" spans="1:44" x14ac:dyDescent="0.25">
      <c r="A1127" t="s">
        <v>250</v>
      </c>
      <c r="B1127" t="s">
        <v>422</v>
      </c>
      <c r="C1127" t="s">
        <v>46</v>
      </c>
      <c r="D1127" t="s">
        <v>417</v>
      </c>
      <c r="E1127" t="s">
        <v>134</v>
      </c>
      <c r="F1127" t="s">
        <v>417</v>
      </c>
      <c r="G1127" t="s">
        <v>31</v>
      </c>
      <c r="H1127" t="s">
        <v>274</v>
      </c>
      <c r="I1127" t="s">
        <v>135</v>
      </c>
      <c r="J1127" t="s">
        <v>39</v>
      </c>
      <c r="K1127" t="s">
        <v>33</v>
      </c>
      <c r="L1127">
        <v>20.929193230947988</v>
      </c>
      <c r="M1127">
        <v>1</v>
      </c>
      <c r="N1127" s="2">
        <v>3.3514932674547055</v>
      </c>
      <c r="O1127" s="2">
        <v>6.0475919936896414</v>
      </c>
      <c r="P1127" s="1">
        <v>-1.7967922822783473</v>
      </c>
      <c r="Q1127" s="1">
        <v>0.97738688913926242</v>
      </c>
      <c r="R1127" s="1">
        <v>-2.2325246447784499</v>
      </c>
      <c r="S1127" s="19">
        <v>6.9122802785540873</v>
      </c>
      <c r="T1127" s="19">
        <v>7.9871575607523182</v>
      </c>
      <c r="U1127" s="19">
        <v>9.0684569579422369</v>
      </c>
      <c r="V1127" s="19">
        <v>10.553346503772032</v>
      </c>
      <c r="W1127" s="19">
        <v>11.523929951903115</v>
      </c>
      <c r="X1127" s="19">
        <v>11.718354922188745</v>
      </c>
      <c r="Y1127" s="19">
        <v>10.992344725180033</v>
      </c>
      <c r="Z1127" s="19">
        <v>9.4053866588421045</v>
      </c>
      <c r="AA1127" s="19">
        <v>7.2448051821478643</v>
      </c>
      <c r="AB1127" s="19">
        <v>1.60461356133851</v>
      </c>
      <c r="AC1127" s="19">
        <v>0</v>
      </c>
      <c r="AD1127" s="19">
        <v>0</v>
      </c>
      <c r="AE1127" s="19">
        <v>0</v>
      </c>
      <c r="AF1127" s="19">
        <v>0</v>
      </c>
      <c r="AG1127" s="19">
        <v>0</v>
      </c>
      <c r="AH1127" s="19">
        <v>0</v>
      </c>
      <c r="AI1127" s="19">
        <v>0</v>
      </c>
      <c r="AJ1127" s="19">
        <v>0</v>
      </c>
      <c r="AK1127" s="19">
        <v>0</v>
      </c>
      <c r="AL1127" s="19">
        <v>0</v>
      </c>
      <c r="AM1127" s="19">
        <v>0</v>
      </c>
      <c r="AN1127" s="19">
        <v>0</v>
      </c>
      <c r="AO1127" s="19">
        <v>0</v>
      </c>
      <c r="AP1127" s="19">
        <v>0</v>
      </c>
      <c r="AQ1127" s="19">
        <v>0</v>
      </c>
      <c r="AR1127" s="19">
        <v>87.010676302621036</v>
      </c>
    </row>
    <row r="1128" spans="1:44" x14ac:dyDescent="0.25">
      <c r="A1128" t="s">
        <v>250</v>
      </c>
      <c r="B1128" t="s">
        <v>422</v>
      </c>
      <c r="C1128" t="s">
        <v>46</v>
      </c>
      <c r="D1128" t="s">
        <v>417</v>
      </c>
      <c r="E1128" t="s">
        <v>134</v>
      </c>
      <c r="F1128" t="s">
        <v>417</v>
      </c>
      <c r="G1128" t="s">
        <v>31</v>
      </c>
      <c r="H1128" t="s">
        <v>272</v>
      </c>
      <c r="I1128" t="s">
        <v>135</v>
      </c>
      <c r="J1128" t="s">
        <v>40</v>
      </c>
      <c r="K1128" t="s">
        <v>31</v>
      </c>
      <c r="L1128">
        <v>20.929193230947988</v>
      </c>
      <c r="M1128">
        <v>1</v>
      </c>
      <c r="N1128" s="2">
        <v>3.3514932674547055</v>
      </c>
      <c r="O1128" s="2">
        <v>4.8576704190832896</v>
      </c>
      <c r="P1128" s="1">
        <v>-1.7967922822783473</v>
      </c>
      <c r="Q1128" s="1">
        <v>0.4672931329656026</v>
      </c>
      <c r="R1128" s="1">
        <v>-2.0895246447784497</v>
      </c>
      <c r="S1128" s="19">
        <v>448.85054397168273</v>
      </c>
      <c r="T1128" s="19">
        <v>518.6479528404102</v>
      </c>
      <c r="U1128" s="19">
        <v>588.86238325503916</v>
      </c>
      <c r="V1128" s="19">
        <v>685.28403479764506</v>
      </c>
      <c r="W1128" s="19">
        <v>748.30909904672876</v>
      </c>
      <c r="X1128" s="19">
        <v>760.93413017359694</v>
      </c>
      <c r="Y1128" s="19">
        <v>713.79048745016951</v>
      </c>
      <c r="Z1128" s="19">
        <v>610.74099254672637</v>
      </c>
      <c r="AA1128" s="19">
        <v>470.44312671536437</v>
      </c>
      <c r="AB1128" s="19">
        <v>104.19595861957372</v>
      </c>
      <c r="AC1128" s="19">
        <v>0</v>
      </c>
      <c r="AD1128" s="19">
        <v>0</v>
      </c>
      <c r="AE1128" s="19">
        <v>0</v>
      </c>
      <c r="AF1128" s="19">
        <v>0</v>
      </c>
      <c r="AG1128" s="19">
        <v>0</v>
      </c>
      <c r="AH1128" s="19">
        <v>0</v>
      </c>
      <c r="AI1128" s="19">
        <v>0</v>
      </c>
      <c r="AJ1128" s="19">
        <v>0</v>
      </c>
      <c r="AK1128" s="19">
        <v>0</v>
      </c>
      <c r="AL1128" s="19">
        <v>0</v>
      </c>
      <c r="AM1128" s="19">
        <v>0</v>
      </c>
      <c r="AN1128" s="19">
        <v>0</v>
      </c>
      <c r="AO1128" s="19">
        <v>0</v>
      </c>
      <c r="AP1128" s="19">
        <v>0</v>
      </c>
      <c r="AQ1128" s="19">
        <v>0</v>
      </c>
      <c r="AR1128" s="19">
        <v>5650.0587094169359</v>
      </c>
    </row>
    <row r="1129" spans="1:44" x14ac:dyDescent="0.25">
      <c r="A1129" t="s">
        <v>250</v>
      </c>
      <c r="B1129" t="s">
        <v>423</v>
      </c>
      <c r="C1129" t="s">
        <v>46</v>
      </c>
      <c r="D1129" t="s">
        <v>417</v>
      </c>
      <c r="E1129" t="s">
        <v>134</v>
      </c>
      <c r="F1129" t="s">
        <v>417</v>
      </c>
      <c r="G1129" t="s">
        <v>31</v>
      </c>
      <c r="H1129" t="s">
        <v>278</v>
      </c>
      <c r="I1129" t="s">
        <v>135</v>
      </c>
      <c r="J1129" t="s">
        <v>39</v>
      </c>
      <c r="K1129" t="s">
        <v>31</v>
      </c>
      <c r="L1129">
        <v>196.08017298589448</v>
      </c>
      <c r="M1129">
        <v>1</v>
      </c>
      <c r="N1129" s="2">
        <v>3.2126218906728834</v>
      </c>
      <c r="O1129" s="2">
        <v>5.7970059535702099</v>
      </c>
      <c r="P1129" s="1">
        <v>-1.6610612193350758</v>
      </c>
      <c r="Q1129" s="1">
        <v>0.97738688913926253</v>
      </c>
      <c r="R1129" s="1">
        <v>-2.0967935818351786</v>
      </c>
      <c r="S1129" s="19">
        <v>11621.374480334069</v>
      </c>
      <c r="T1129" s="19">
        <v>13369.169396042533</v>
      </c>
      <c r="U1129" s="19">
        <v>15111.987597322372</v>
      </c>
      <c r="V1129" s="19">
        <v>17508.720435635427</v>
      </c>
      <c r="W1129" s="19">
        <v>19034.47217572821</v>
      </c>
      <c r="X1129" s="19">
        <v>19270.052343746975</v>
      </c>
      <c r="Y1129" s="19">
        <v>17996.274312170863</v>
      </c>
      <c r="Z1129" s="19">
        <v>15330.098209611237</v>
      </c>
      <c r="AA1129" s="19">
        <v>2290.3691407069709</v>
      </c>
      <c r="AB1129" s="19">
        <v>0</v>
      </c>
      <c r="AC1129" s="19">
        <v>0</v>
      </c>
      <c r="AD1129" s="19">
        <v>0</v>
      </c>
      <c r="AE1129" s="19">
        <v>0</v>
      </c>
      <c r="AF1129" s="19">
        <v>0</v>
      </c>
      <c r="AG1129" s="19">
        <v>0</v>
      </c>
      <c r="AH1129" s="19">
        <v>0</v>
      </c>
      <c r="AI1129" s="19">
        <v>0</v>
      </c>
      <c r="AJ1129" s="19">
        <v>0</v>
      </c>
      <c r="AK1129" s="19">
        <v>0</v>
      </c>
      <c r="AL1129" s="19">
        <v>0</v>
      </c>
      <c r="AM1129" s="19">
        <v>0</v>
      </c>
      <c r="AN1129" s="19">
        <v>0</v>
      </c>
      <c r="AO1129" s="19">
        <v>0</v>
      </c>
      <c r="AP1129" s="19">
        <v>0</v>
      </c>
      <c r="AQ1129" s="19">
        <v>0</v>
      </c>
      <c r="AR1129" s="19">
        <v>131532.51809129864</v>
      </c>
    </row>
    <row r="1130" spans="1:44" x14ac:dyDescent="0.25">
      <c r="A1130" t="s">
        <v>250</v>
      </c>
      <c r="B1130" t="s">
        <v>424</v>
      </c>
      <c r="C1130" t="s">
        <v>46</v>
      </c>
      <c r="D1130" t="s">
        <v>417</v>
      </c>
      <c r="E1130" t="s">
        <v>134</v>
      </c>
      <c r="F1130" t="s">
        <v>417</v>
      </c>
      <c r="G1130" t="s">
        <v>31</v>
      </c>
      <c r="H1130" t="s">
        <v>277</v>
      </c>
      <c r="I1130" t="s">
        <v>135</v>
      </c>
      <c r="J1130" t="s">
        <v>39</v>
      </c>
      <c r="K1130" t="s">
        <v>31</v>
      </c>
      <c r="L1130">
        <v>23.558166392472799</v>
      </c>
      <c r="M1130">
        <v>1</v>
      </c>
      <c r="N1130" s="2">
        <v>5.8283940021897402</v>
      </c>
      <c r="O1130" s="2">
        <v>10.517028109825306</v>
      </c>
      <c r="P1130" s="1">
        <v>-4.2176825861077756</v>
      </c>
      <c r="Q1130" s="1">
        <v>0.97738688913926242</v>
      </c>
      <c r="R1130" s="1">
        <v>-4.6534149486078791</v>
      </c>
      <c r="S1130" s="19">
        <v>6779.0613555765431</v>
      </c>
      <c r="T1130" s="19">
        <v>7832.278423493427</v>
      </c>
      <c r="U1130" s="19">
        <v>8891.538277091031</v>
      </c>
      <c r="V1130" s="19">
        <v>10346.211326816689</v>
      </c>
      <c r="W1130" s="19">
        <v>11296.382711862872</v>
      </c>
      <c r="X1130" s="19">
        <v>11485.583832562354</v>
      </c>
      <c r="Y1130" s="19">
        <v>10772.696104709181</v>
      </c>
      <c r="Z1130" s="19">
        <v>9216.3373696237886</v>
      </c>
      <c r="AA1130" s="19">
        <v>7098.3279754032965</v>
      </c>
      <c r="AB1130" s="19">
        <v>1368.7655734079212</v>
      </c>
      <c r="AC1130" s="19">
        <v>0</v>
      </c>
      <c r="AD1130" s="19">
        <v>0</v>
      </c>
      <c r="AE1130" s="19">
        <v>0</v>
      </c>
      <c r="AF1130" s="19">
        <v>0</v>
      </c>
      <c r="AG1130" s="19">
        <v>0</v>
      </c>
      <c r="AH1130" s="19">
        <v>0</v>
      </c>
      <c r="AI1130" s="19">
        <v>0</v>
      </c>
      <c r="AJ1130" s="19">
        <v>0</v>
      </c>
      <c r="AK1130" s="19">
        <v>0</v>
      </c>
      <c r="AL1130" s="19">
        <v>0</v>
      </c>
      <c r="AM1130" s="19">
        <v>0</v>
      </c>
      <c r="AN1130" s="19">
        <v>0</v>
      </c>
      <c r="AO1130" s="19">
        <v>0</v>
      </c>
      <c r="AP1130" s="19">
        <v>0</v>
      </c>
      <c r="AQ1130" s="19">
        <v>0</v>
      </c>
      <c r="AR1130" s="19">
        <v>85087.182950547111</v>
      </c>
    </row>
    <row r="1131" spans="1:44" x14ac:dyDescent="0.25">
      <c r="A1131" t="s">
        <v>250</v>
      </c>
      <c r="B1131" t="s">
        <v>424</v>
      </c>
      <c r="C1131" t="s">
        <v>46</v>
      </c>
      <c r="D1131" t="s">
        <v>417</v>
      </c>
      <c r="E1131" t="s">
        <v>134</v>
      </c>
      <c r="F1131" t="s">
        <v>417</v>
      </c>
      <c r="G1131" t="s">
        <v>31</v>
      </c>
      <c r="H1131" t="s">
        <v>277</v>
      </c>
      <c r="I1131" t="s">
        <v>135</v>
      </c>
      <c r="J1131" t="s">
        <v>40</v>
      </c>
      <c r="K1131" t="s">
        <v>31</v>
      </c>
      <c r="L1131">
        <v>23.558166392472799</v>
      </c>
      <c r="M1131">
        <v>1</v>
      </c>
      <c r="N1131" s="2">
        <v>5.8283940021897402</v>
      </c>
      <c r="O1131" s="2">
        <v>9.3271065352189524</v>
      </c>
      <c r="P1131" s="1">
        <v>-4.2176825861077756</v>
      </c>
      <c r="Q1131" s="1">
        <v>0.4672931329656026</v>
      </c>
      <c r="R1131" s="1">
        <v>-4.5104149486078775</v>
      </c>
      <c r="S1131" s="19">
        <v>1069.3656775130394</v>
      </c>
      <c r="T1131" s="19">
        <v>1235.5058146685683</v>
      </c>
      <c r="U1131" s="19">
        <v>1402.5991734081178</v>
      </c>
      <c r="V1131" s="19">
        <v>1632.0671409904139</v>
      </c>
      <c r="W1131" s="19">
        <v>1781.9522967115042</v>
      </c>
      <c r="X1131" s="19">
        <v>1811.7979012886915</v>
      </c>
      <c r="Y1131" s="19">
        <v>1699.3431486171687</v>
      </c>
      <c r="Z1131" s="19">
        <v>1453.8347329382282</v>
      </c>
      <c r="AA1131" s="19">
        <v>1119.7285149783593</v>
      </c>
      <c r="AB1131" s="19">
        <v>215.91645922482135</v>
      </c>
      <c r="AC1131" s="19">
        <v>0</v>
      </c>
      <c r="AD1131" s="19">
        <v>0</v>
      </c>
      <c r="AE1131" s="19">
        <v>0</v>
      </c>
      <c r="AF1131" s="19">
        <v>0</v>
      </c>
      <c r="AG1131" s="19">
        <v>0</v>
      </c>
      <c r="AH1131" s="19">
        <v>0</v>
      </c>
      <c r="AI1131" s="19">
        <v>0</v>
      </c>
      <c r="AJ1131" s="19">
        <v>0</v>
      </c>
      <c r="AK1131" s="19">
        <v>0</v>
      </c>
      <c r="AL1131" s="19">
        <v>0</v>
      </c>
      <c r="AM1131" s="19">
        <v>0</v>
      </c>
      <c r="AN1131" s="19">
        <v>0</v>
      </c>
      <c r="AO1131" s="19">
        <v>0</v>
      </c>
      <c r="AP1131" s="19">
        <v>0</v>
      </c>
      <c r="AQ1131" s="19">
        <v>0</v>
      </c>
      <c r="AR1131" s="19">
        <v>13422.110860338911</v>
      </c>
    </row>
    <row r="1132" spans="1:44" x14ac:dyDescent="0.25">
      <c r="A1132" t="s">
        <v>250</v>
      </c>
      <c r="B1132" t="s">
        <v>425</v>
      </c>
      <c r="C1132" t="s">
        <v>44</v>
      </c>
      <c r="D1132" t="s">
        <v>426</v>
      </c>
      <c r="E1132" t="s">
        <v>134</v>
      </c>
      <c r="F1132" t="s">
        <v>427</v>
      </c>
      <c r="G1132" t="s">
        <v>31</v>
      </c>
      <c r="H1132" t="s">
        <v>288</v>
      </c>
      <c r="I1132" t="s">
        <v>135</v>
      </c>
      <c r="J1132" t="s">
        <v>39</v>
      </c>
      <c r="K1132" t="s">
        <v>31</v>
      </c>
      <c r="L1132">
        <v>2.8887849337297156</v>
      </c>
      <c r="M1132">
        <v>1</v>
      </c>
      <c r="N1132" s="2">
        <v>3.8176751585856912</v>
      </c>
      <c r="O1132" s="2">
        <v>32.467069251224679</v>
      </c>
      <c r="P1132" s="1">
        <v>-12.417746747424893</v>
      </c>
      <c r="Q1132" s="1">
        <v>4.6064513862797822</v>
      </c>
      <c r="R1132" s="1">
        <v>-16.482543607065516</v>
      </c>
      <c r="S1132" s="19">
        <v>4246.3577141582591</v>
      </c>
      <c r="T1132" s="19">
        <v>2721.6119835101467</v>
      </c>
      <c r="U1132" s="19">
        <v>1795.1069676447514</v>
      </c>
      <c r="V1132" s="19">
        <v>851.0823823674516</v>
      </c>
      <c r="W1132" s="19">
        <v>0</v>
      </c>
      <c r="X1132" s="19">
        <v>0</v>
      </c>
      <c r="Y1132" s="19">
        <v>0</v>
      </c>
      <c r="Z1132" s="19">
        <v>0</v>
      </c>
      <c r="AA1132" s="19">
        <v>0</v>
      </c>
      <c r="AB1132" s="19">
        <v>0</v>
      </c>
      <c r="AC1132" s="19">
        <v>0</v>
      </c>
      <c r="AD1132" s="19">
        <v>0</v>
      </c>
      <c r="AE1132" s="19">
        <v>0</v>
      </c>
      <c r="AF1132" s="19">
        <v>0</v>
      </c>
      <c r="AG1132" s="19">
        <v>0</v>
      </c>
      <c r="AH1132" s="19">
        <v>0</v>
      </c>
      <c r="AI1132" s="19">
        <v>0</v>
      </c>
      <c r="AJ1132" s="19">
        <v>0</v>
      </c>
      <c r="AK1132" s="19">
        <v>0</v>
      </c>
      <c r="AL1132" s="19">
        <v>0</v>
      </c>
      <c r="AM1132" s="19">
        <v>0</v>
      </c>
      <c r="AN1132" s="19">
        <v>0</v>
      </c>
      <c r="AO1132" s="19">
        <v>0</v>
      </c>
      <c r="AP1132" s="19">
        <v>0</v>
      </c>
      <c r="AQ1132" s="19">
        <v>0</v>
      </c>
      <c r="AR1132" s="19">
        <v>9614.1590476806086</v>
      </c>
    </row>
    <row r="1133" spans="1:44" x14ac:dyDescent="0.25">
      <c r="A1133" t="s">
        <v>250</v>
      </c>
      <c r="B1133" t="s">
        <v>425</v>
      </c>
      <c r="C1133" t="s">
        <v>44</v>
      </c>
      <c r="D1133" t="s">
        <v>426</v>
      </c>
      <c r="E1133" t="s">
        <v>134</v>
      </c>
      <c r="F1133" t="s">
        <v>427</v>
      </c>
      <c r="G1133" t="s">
        <v>31</v>
      </c>
      <c r="H1133" t="s">
        <v>289</v>
      </c>
      <c r="I1133" t="s">
        <v>135</v>
      </c>
      <c r="J1133" t="s">
        <v>39</v>
      </c>
      <c r="K1133" t="s">
        <v>31</v>
      </c>
      <c r="L1133">
        <v>2.8887849337297156</v>
      </c>
      <c r="M1133">
        <v>1</v>
      </c>
      <c r="N1133" s="2">
        <v>3.8176751585856912</v>
      </c>
      <c r="O1133" s="2">
        <v>32.467069251224679</v>
      </c>
      <c r="P1133" s="1">
        <v>-12.417746747424893</v>
      </c>
      <c r="Q1133" s="1">
        <v>4.6064513862797822</v>
      </c>
      <c r="R1133" s="1">
        <v>-16.482543607065516</v>
      </c>
      <c r="S1133" s="19">
        <v>4035.9789354018226</v>
      </c>
      <c r="T1133" s="19">
        <v>2586.7742133828965</v>
      </c>
      <c r="U1133" s="19">
        <v>1706.1713581149422</v>
      </c>
      <c r="V1133" s="19">
        <v>808.91691156253103</v>
      </c>
      <c r="W1133" s="19">
        <v>0</v>
      </c>
      <c r="X1133" s="19">
        <v>0</v>
      </c>
      <c r="Y1133" s="19">
        <v>0</v>
      </c>
      <c r="Z1133" s="19">
        <v>0</v>
      </c>
      <c r="AA1133" s="19">
        <v>0</v>
      </c>
      <c r="AB1133" s="19">
        <v>0</v>
      </c>
      <c r="AC1133" s="19">
        <v>0</v>
      </c>
      <c r="AD1133" s="19">
        <v>0</v>
      </c>
      <c r="AE1133" s="19">
        <v>0</v>
      </c>
      <c r="AF1133" s="19">
        <v>0</v>
      </c>
      <c r="AG1133" s="19">
        <v>0</v>
      </c>
      <c r="AH1133" s="19">
        <v>0</v>
      </c>
      <c r="AI1133" s="19">
        <v>0</v>
      </c>
      <c r="AJ1133" s="19">
        <v>0</v>
      </c>
      <c r="AK1133" s="19">
        <v>0</v>
      </c>
      <c r="AL1133" s="19">
        <v>0</v>
      </c>
      <c r="AM1133" s="19">
        <v>0</v>
      </c>
      <c r="AN1133" s="19">
        <v>0</v>
      </c>
      <c r="AO1133" s="19">
        <v>0</v>
      </c>
      <c r="AP1133" s="19">
        <v>0</v>
      </c>
      <c r="AQ1133" s="19">
        <v>0</v>
      </c>
      <c r="AR1133" s="19">
        <v>9137.8414184621925</v>
      </c>
    </row>
    <row r="1134" spans="1:44" x14ac:dyDescent="0.25">
      <c r="A1134" t="s">
        <v>250</v>
      </c>
      <c r="B1134" t="s">
        <v>425</v>
      </c>
      <c r="C1134" t="s">
        <v>44</v>
      </c>
      <c r="D1134" t="s">
        <v>426</v>
      </c>
      <c r="E1134" t="s">
        <v>134</v>
      </c>
      <c r="F1134" t="s">
        <v>427</v>
      </c>
      <c r="G1134" t="s">
        <v>31</v>
      </c>
      <c r="H1134" t="s">
        <v>290</v>
      </c>
      <c r="I1134" t="s">
        <v>135</v>
      </c>
      <c r="J1134" t="s">
        <v>39</v>
      </c>
      <c r="K1134" t="s">
        <v>31</v>
      </c>
      <c r="L1134">
        <v>2.8887849337297156</v>
      </c>
      <c r="M1134">
        <v>1</v>
      </c>
      <c r="N1134" s="2">
        <v>3.8176751585856912</v>
      </c>
      <c r="O1134" s="2">
        <v>32.467069251224679</v>
      </c>
      <c r="P1134" s="1">
        <v>-12.417746747424893</v>
      </c>
      <c r="Q1134" s="1">
        <v>4.6064513862797822</v>
      </c>
      <c r="R1134" s="1">
        <v>-16.482543607065516</v>
      </c>
      <c r="S1134" s="19">
        <v>5844.3723877521124</v>
      </c>
      <c r="T1134" s="19">
        <v>3745.8252453785503</v>
      </c>
      <c r="U1134" s="19">
        <v>2470.6523333595464</v>
      </c>
      <c r="V1134" s="19">
        <v>1171.3667830258582</v>
      </c>
      <c r="W1134" s="19">
        <v>0</v>
      </c>
      <c r="X1134" s="19">
        <v>0</v>
      </c>
      <c r="Y1134" s="19">
        <v>0</v>
      </c>
      <c r="Z1134" s="19">
        <v>0</v>
      </c>
      <c r="AA1134" s="19">
        <v>0</v>
      </c>
      <c r="AB1134" s="19">
        <v>0</v>
      </c>
      <c r="AC1134" s="19">
        <v>0</v>
      </c>
      <c r="AD1134" s="19">
        <v>0</v>
      </c>
      <c r="AE1134" s="19">
        <v>0</v>
      </c>
      <c r="AF1134" s="19">
        <v>0</v>
      </c>
      <c r="AG1134" s="19">
        <v>0</v>
      </c>
      <c r="AH1134" s="19">
        <v>0</v>
      </c>
      <c r="AI1134" s="19">
        <v>0</v>
      </c>
      <c r="AJ1134" s="19">
        <v>0</v>
      </c>
      <c r="AK1134" s="19">
        <v>0</v>
      </c>
      <c r="AL1134" s="19">
        <v>0</v>
      </c>
      <c r="AM1134" s="19">
        <v>0</v>
      </c>
      <c r="AN1134" s="19">
        <v>0</v>
      </c>
      <c r="AO1134" s="19">
        <v>0</v>
      </c>
      <c r="AP1134" s="19">
        <v>0</v>
      </c>
      <c r="AQ1134" s="19">
        <v>0</v>
      </c>
      <c r="AR1134" s="19">
        <v>13232.216749516068</v>
      </c>
    </row>
    <row r="1135" spans="1:44" x14ac:dyDescent="0.25">
      <c r="A1135" t="s">
        <v>250</v>
      </c>
      <c r="B1135" t="s">
        <v>425</v>
      </c>
      <c r="C1135" t="s">
        <v>44</v>
      </c>
      <c r="D1135" t="s">
        <v>426</v>
      </c>
      <c r="E1135" t="s">
        <v>134</v>
      </c>
      <c r="F1135" t="s">
        <v>427</v>
      </c>
      <c r="G1135" t="s">
        <v>31</v>
      </c>
      <c r="H1135" t="s">
        <v>288</v>
      </c>
      <c r="I1135" t="s">
        <v>135</v>
      </c>
      <c r="J1135" t="s">
        <v>39</v>
      </c>
      <c r="K1135" t="s">
        <v>33</v>
      </c>
      <c r="L1135">
        <v>2.8887849337297156</v>
      </c>
      <c r="M1135">
        <v>1</v>
      </c>
      <c r="N1135" s="2">
        <v>3.8176751585856912</v>
      </c>
      <c r="O1135" s="2">
        <v>32.467069251224679</v>
      </c>
      <c r="P1135" s="1">
        <v>-12.417746747424893</v>
      </c>
      <c r="Q1135" s="1">
        <v>4.6064513862797822</v>
      </c>
      <c r="R1135" s="1">
        <v>-16.482543607065516</v>
      </c>
      <c r="S1135" s="19">
        <v>39.945968449510048</v>
      </c>
      <c r="T1135" s="19">
        <v>25.60251249267526</v>
      </c>
      <c r="U1135" s="19">
        <v>16.886774765570401</v>
      </c>
      <c r="V1135" s="19">
        <v>8.0062284627199212</v>
      </c>
      <c r="W1135" s="19">
        <v>0</v>
      </c>
      <c r="X1135" s="19">
        <v>0</v>
      </c>
      <c r="Y1135" s="19">
        <v>0</v>
      </c>
      <c r="Z1135" s="19">
        <v>0</v>
      </c>
      <c r="AA1135" s="19">
        <v>0</v>
      </c>
      <c r="AB1135" s="19">
        <v>0</v>
      </c>
      <c r="AC1135" s="19">
        <v>0</v>
      </c>
      <c r="AD1135" s="19">
        <v>0</v>
      </c>
      <c r="AE1135" s="19">
        <v>0</v>
      </c>
      <c r="AF1135" s="19">
        <v>0</v>
      </c>
      <c r="AG1135" s="19">
        <v>0</v>
      </c>
      <c r="AH1135" s="19">
        <v>0</v>
      </c>
      <c r="AI1135" s="19">
        <v>0</v>
      </c>
      <c r="AJ1135" s="19">
        <v>0</v>
      </c>
      <c r="AK1135" s="19">
        <v>0</v>
      </c>
      <c r="AL1135" s="19">
        <v>0</v>
      </c>
      <c r="AM1135" s="19">
        <v>0</v>
      </c>
      <c r="AN1135" s="19">
        <v>0</v>
      </c>
      <c r="AO1135" s="19">
        <v>0</v>
      </c>
      <c r="AP1135" s="19">
        <v>0</v>
      </c>
      <c r="AQ1135" s="19">
        <v>0</v>
      </c>
      <c r="AR1135" s="19">
        <v>90.441484170475633</v>
      </c>
    </row>
    <row r="1136" spans="1:44" x14ac:dyDescent="0.25">
      <c r="A1136" t="s">
        <v>250</v>
      </c>
      <c r="B1136" t="s">
        <v>428</v>
      </c>
      <c r="C1136" t="s">
        <v>44</v>
      </c>
      <c r="D1136" t="s">
        <v>426</v>
      </c>
      <c r="E1136" t="s">
        <v>134</v>
      </c>
      <c r="F1136" t="s">
        <v>427</v>
      </c>
      <c r="G1136" t="s">
        <v>31</v>
      </c>
      <c r="H1136" t="s">
        <v>253</v>
      </c>
      <c r="I1136" t="s">
        <v>135</v>
      </c>
      <c r="J1136" t="s">
        <v>39</v>
      </c>
      <c r="K1136" t="s">
        <v>31</v>
      </c>
      <c r="L1136">
        <v>2.6811632968427466</v>
      </c>
      <c r="M1136">
        <v>1</v>
      </c>
      <c r="N1136" s="2">
        <v>3.805910542982351</v>
      </c>
      <c r="O1136" s="2">
        <v>32.367018153726569</v>
      </c>
      <c r="P1136" s="1">
        <v>-12.417746747424893</v>
      </c>
      <c r="Q1136" s="1">
        <v>4.6064513862797813</v>
      </c>
      <c r="R1136" s="1">
        <v>-16.482543607065516</v>
      </c>
      <c r="S1136" s="19">
        <v>966.33800321066212</v>
      </c>
      <c r="T1136" s="19">
        <v>618.6702968983916</v>
      </c>
      <c r="U1136" s="19">
        <v>407.60918680625878</v>
      </c>
      <c r="V1136" s="19">
        <v>138.05924306430109</v>
      </c>
      <c r="W1136" s="19">
        <v>0</v>
      </c>
      <c r="X1136" s="19">
        <v>0</v>
      </c>
      <c r="Y1136" s="19">
        <v>0</v>
      </c>
      <c r="Z1136" s="19">
        <v>0</v>
      </c>
      <c r="AA1136" s="19">
        <v>0</v>
      </c>
      <c r="AB1136" s="19">
        <v>0</v>
      </c>
      <c r="AC1136" s="19">
        <v>0</v>
      </c>
      <c r="AD1136" s="19">
        <v>0</v>
      </c>
      <c r="AE1136" s="19">
        <v>0</v>
      </c>
      <c r="AF1136" s="19">
        <v>0</v>
      </c>
      <c r="AG1136" s="19">
        <v>0</v>
      </c>
      <c r="AH1136" s="19">
        <v>0</v>
      </c>
      <c r="AI1136" s="19">
        <v>0</v>
      </c>
      <c r="AJ1136" s="19">
        <v>0</v>
      </c>
      <c r="AK1136" s="19">
        <v>0</v>
      </c>
      <c r="AL1136" s="19">
        <v>0</v>
      </c>
      <c r="AM1136" s="19">
        <v>0</v>
      </c>
      <c r="AN1136" s="19">
        <v>0</v>
      </c>
      <c r="AO1136" s="19">
        <v>0</v>
      </c>
      <c r="AP1136" s="19">
        <v>0</v>
      </c>
      <c r="AQ1136" s="19">
        <v>0</v>
      </c>
      <c r="AR1136" s="19">
        <v>2130.6767299796138</v>
      </c>
    </row>
    <row r="1137" spans="1:44" x14ac:dyDescent="0.25">
      <c r="A1137" t="s">
        <v>250</v>
      </c>
      <c r="B1137" t="s">
        <v>428</v>
      </c>
      <c r="C1137" t="s">
        <v>44</v>
      </c>
      <c r="D1137" t="s">
        <v>426</v>
      </c>
      <c r="E1137" t="s">
        <v>134</v>
      </c>
      <c r="F1137" t="s">
        <v>427</v>
      </c>
      <c r="G1137" t="s">
        <v>31</v>
      </c>
      <c r="H1137" t="s">
        <v>253</v>
      </c>
      <c r="I1137" t="s">
        <v>256</v>
      </c>
      <c r="J1137" t="s">
        <v>39</v>
      </c>
      <c r="K1137" t="s">
        <v>31</v>
      </c>
      <c r="L1137">
        <v>2.6811632968427466</v>
      </c>
      <c r="M1137">
        <v>1</v>
      </c>
      <c r="N1137" s="2">
        <v>3.4883261751745867</v>
      </c>
      <c r="O1137" s="2">
        <v>29.66615094150913</v>
      </c>
      <c r="P1137" s="1">
        <v>-10.954809796076024</v>
      </c>
      <c r="Q1137" s="1">
        <v>0.4672931329656026</v>
      </c>
      <c r="R1137" s="1">
        <v>-15.019606655716643</v>
      </c>
      <c r="S1137" s="19">
        <v>506.9031443592624</v>
      </c>
      <c r="T1137" s="19">
        <v>324.53025522903602</v>
      </c>
      <c r="U1137" s="19">
        <v>213.81584681066477</v>
      </c>
      <c r="V1137" s="19">
        <v>72.420482465385462</v>
      </c>
      <c r="W1137" s="19">
        <v>0</v>
      </c>
      <c r="X1137" s="19">
        <v>0</v>
      </c>
      <c r="Y1137" s="19">
        <v>0</v>
      </c>
      <c r="Z1137" s="19">
        <v>0</v>
      </c>
      <c r="AA1137" s="19">
        <v>0</v>
      </c>
      <c r="AB1137" s="19">
        <v>0</v>
      </c>
      <c r="AC1137" s="19">
        <v>0</v>
      </c>
      <c r="AD1137" s="19">
        <v>0</v>
      </c>
      <c r="AE1137" s="19">
        <v>0</v>
      </c>
      <c r="AF1137" s="19">
        <v>0</v>
      </c>
      <c r="AG1137" s="19">
        <v>0</v>
      </c>
      <c r="AH1137" s="19">
        <v>0</v>
      </c>
      <c r="AI1137" s="19">
        <v>0</v>
      </c>
      <c r="AJ1137" s="19">
        <v>0</v>
      </c>
      <c r="AK1137" s="19">
        <v>0</v>
      </c>
      <c r="AL1137" s="19">
        <v>0</v>
      </c>
      <c r="AM1137" s="19">
        <v>0</v>
      </c>
      <c r="AN1137" s="19">
        <v>0</v>
      </c>
      <c r="AO1137" s="19">
        <v>0</v>
      </c>
      <c r="AP1137" s="19">
        <v>0</v>
      </c>
      <c r="AQ1137" s="19">
        <v>0</v>
      </c>
      <c r="AR1137" s="19">
        <v>1117.6697288643488</v>
      </c>
    </row>
    <row r="1138" spans="1:44" x14ac:dyDescent="0.25">
      <c r="A1138" t="s">
        <v>250</v>
      </c>
      <c r="B1138" t="s">
        <v>428</v>
      </c>
      <c r="C1138" t="s">
        <v>44</v>
      </c>
      <c r="D1138" t="s">
        <v>426</v>
      </c>
      <c r="E1138" t="s">
        <v>134</v>
      </c>
      <c r="F1138" t="s">
        <v>427</v>
      </c>
      <c r="G1138" t="s">
        <v>31</v>
      </c>
      <c r="H1138" t="s">
        <v>253</v>
      </c>
      <c r="I1138" t="s">
        <v>135</v>
      </c>
      <c r="J1138" t="s">
        <v>40</v>
      </c>
      <c r="K1138" t="s">
        <v>31</v>
      </c>
      <c r="L1138">
        <v>2.6811632968427466</v>
      </c>
      <c r="M1138">
        <v>1</v>
      </c>
      <c r="N1138" s="2">
        <v>3.805910542982351</v>
      </c>
      <c r="O1138" s="2">
        <v>31.165987365504993</v>
      </c>
      <c r="P1138" s="1">
        <v>-12.417746747424893</v>
      </c>
      <c r="Q1138" s="1">
        <v>0.4672931329656026</v>
      </c>
      <c r="R1138" s="1">
        <v>-16.339543607065512</v>
      </c>
      <c r="S1138" s="19">
        <v>508.31387400303538</v>
      </c>
      <c r="T1138" s="19">
        <v>325.43343457690042</v>
      </c>
      <c r="U1138" s="19">
        <v>214.41090398630229</v>
      </c>
      <c r="V1138" s="19">
        <v>72.622031267296947</v>
      </c>
      <c r="W1138" s="19">
        <v>0</v>
      </c>
      <c r="X1138" s="19">
        <v>0</v>
      </c>
      <c r="Y1138" s="19">
        <v>0</v>
      </c>
      <c r="Z1138" s="19">
        <v>0</v>
      </c>
      <c r="AA1138" s="19">
        <v>0</v>
      </c>
      <c r="AB1138" s="19">
        <v>0</v>
      </c>
      <c r="AC1138" s="19">
        <v>0</v>
      </c>
      <c r="AD1138" s="19">
        <v>0</v>
      </c>
      <c r="AE1138" s="19">
        <v>0</v>
      </c>
      <c r="AF1138" s="19">
        <v>0</v>
      </c>
      <c r="AG1138" s="19">
        <v>0</v>
      </c>
      <c r="AH1138" s="19">
        <v>0</v>
      </c>
      <c r="AI1138" s="19">
        <v>0</v>
      </c>
      <c r="AJ1138" s="19">
        <v>0</v>
      </c>
      <c r="AK1138" s="19">
        <v>0</v>
      </c>
      <c r="AL1138" s="19">
        <v>0</v>
      </c>
      <c r="AM1138" s="19">
        <v>0</v>
      </c>
      <c r="AN1138" s="19">
        <v>0</v>
      </c>
      <c r="AO1138" s="19">
        <v>0</v>
      </c>
      <c r="AP1138" s="19">
        <v>0</v>
      </c>
      <c r="AQ1138" s="19">
        <v>0</v>
      </c>
      <c r="AR1138" s="19">
        <v>1120.780243833535</v>
      </c>
    </row>
    <row r="1139" spans="1:44" x14ac:dyDescent="0.25">
      <c r="A1139" t="s">
        <v>250</v>
      </c>
      <c r="B1139" t="s">
        <v>429</v>
      </c>
      <c r="C1139" t="s">
        <v>44</v>
      </c>
      <c r="D1139" t="s">
        <v>426</v>
      </c>
      <c r="E1139" t="s">
        <v>134</v>
      </c>
      <c r="F1139" t="s">
        <v>427</v>
      </c>
      <c r="G1139" t="s">
        <v>31</v>
      </c>
      <c r="H1139" t="s">
        <v>254</v>
      </c>
      <c r="I1139" t="s">
        <v>135</v>
      </c>
      <c r="J1139" t="s">
        <v>39</v>
      </c>
      <c r="K1139" t="s">
        <v>31</v>
      </c>
      <c r="L1139">
        <v>1.0818728120569481</v>
      </c>
      <c r="M1139">
        <v>1</v>
      </c>
      <c r="N1139" s="2">
        <v>3.8101151180996409</v>
      </c>
      <c r="O1139" s="2">
        <v>32.402775578293678</v>
      </c>
      <c r="P1139" s="1">
        <v>-12.417746747424893</v>
      </c>
      <c r="Q1139" s="1">
        <v>4.6064513862797831</v>
      </c>
      <c r="R1139" s="1">
        <v>-16.482543607065512</v>
      </c>
      <c r="S1139" s="19">
        <v>864.33337237326339</v>
      </c>
      <c r="T1139" s="19">
        <v>553.14989784163834</v>
      </c>
      <c r="U1139" s="19">
        <v>364.29975855818503</v>
      </c>
      <c r="V1139" s="19">
        <v>106.30463370991852</v>
      </c>
      <c r="W1139" s="19">
        <v>0</v>
      </c>
      <c r="X1139" s="19">
        <v>0</v>
      </c>
      <c r="Y1139" s="19">
        <v>0</v>
      </c>
      <c r="Z1139" s="19">
        <v>0</v>
      </c>
      <c r="AA1139" s="19">
        <v>0</v>
      </c>
      <c r="AB1139" s="19">
        <v>0</v>
      </c>
      <c r="AC1139" s="19">
        <v>0</v>
      </c>
      <c r="AD1139" s="19">
        <v>0</v>
      </c>
      <c r="AE1139" s="19">
        <v>0</v>
      </c>
      <c r="AF1139" s="19">
        <v>0</v>
      </c>
      <c r="AG1139" s="19">
        <v>0</v>
      </c>
      <c r="AH1139" s="19">
        <v>0</v>
      </c>
      <c r="AI1139" s="19">
        <v>0</v>
      </c>
      <c r="AJ1139" s="19">
        <v>0</v>
      </c>
      <c r="AK1139" s="19">
        <v>0</v>
      </c>
      <c r="AL1139" s="19">
        <v>0</v>
      </c>
      <c r="AM1139" s="19">
        <v>0</v>
      </c>
      <c r="AN1139" s="19">
        <v>0</v>
      </c>
      <c r="AO1139" s="19">
        <v>0</v>
      </c>
      <c r="AP1139" s="19">
        <v>0</v>
      </c>
      <c r="AQ1139" s="19">
        <v>0</v>
      </c>
      <c r="AR1139" s="19">
        <v>1888.0876624830053</v>
      </c>
    </row>
    <row r="1140" spans="1:44" x14ac:dyDescent="0.25">
      <c r="A1140" t="s">
        <v>250</v>
      </c>
      <c r="B1140" t="s">
        <v>429</v>
      </c>
      <c r="C1140" t="s">
        <v>44</v>
      </c>
      <c r="D1140" t="s">
        <v>426</v>
      </c>
      <c r="E1140" t="s">
        <v>134</v>
      </c>
      <c r="F1140" t="s">
        <v>427</v>
      </c>
      <c r="G1140" t="s">
        <v>31</v>
      </c>
      <c r="H1140" t="s">
        <v>255</v>
      </c>
      <c r="I1140" t="s">
        <v>135</v>
      </c>
      <c r="J1140" t="s">
        <v>39</v>
      </c>
      <c r="K1140" t="s">
        <v>31</v>
      </c>
      <c r="L1140">
        <v>1.0818728120569481</v>
      </c>
      <c r="M1140">
        <v>1</v>
      </c>
      <c r="N1140" s="2">
        <v>3.8101151180996409</v>
      </c>
      <c r="O1140" s="2">
        <v>32.402775578293678</v>
      </c>
      <c r="P1140" s="1">
        <v>-12.417746747424893</v>
      </c>
      <c r="Q1140" s="1">
        <v>4.6064513862797831</v>
      </c>
      <c r="R1140" s="1">
        <v>-16.482543607065512</v>
      </c>
      <c r="S1140" s="19">
        <v>181.1977490654983</v>
      </c>
      <c r="T1140" s="19">
        <v>115.43590885108424</v>
      </c>
      <c r="U1140" s="19">
        <v>58.287126329355381</v>
      </c>
      <c r="V1140" s="19">
        <v>0</v>
      </c>
      <c r="W1140" s="19">
        <v>0</v>
      </c>
      <c r="X1140" s="19">
        <v>0</v>
      </c>
      <c r="Y1140" s="19">
        <v>0</v>
      </c>
      <c r="Z1140" s="19">
        <v>0</v>
      </c>
      <c r="AA1140" s="19">
        <v>0</v>
      </c>
      <c r="AB1140" s="19">
        <v>0</v>
      </c>
      <c r="AC1140" s="19">
        <v>0</v>
      </c>
      <c r="AD1140" s="19">
        <v>0</v>
      </c>
      <c r="AE1140" s="19">
        <v>0</v>
      </c>
      <c r="AF1140" s="19">
        <v>0</v>
      </c>
      <c r="AG1140" s="19">
        <v>0</v>
      </c>
      <c r="AH1140" s="19">
        <v>0</v>
      </c>
      <c r="AI1140" s="19">
        <v>0</v>
      </c>
      <c r="AJ1140" s="19">
        <v>0</v>
      </c>
      <c r="AK1140" s="19">
        <v>0</v>
      </c>
      <c r="AL1140" s="19">
        <v>0</v>
      </c>
      <c r="AM1140" s="19">
        <v>0</v>
      </c>
      <c r="AN1140" s="19">
        <v>0</v>
      </c>
      <c r="AO1140" s="19">
        <v>0</v>
      </c>
      <c r="AP1140" s="19">
        <v>0</v>
      </c>
      <c r="AQ1140" s="19">
        <v>0</v>
      </c>
      <c r="AR1140" s="19">
        <v>354.92078424593791</v>
      </c>
    </row>
    <row r="1141" spans="1:44" x14ac:dyDescent="0.25">
      <c r="A1141" t="s">
        <v>250</v>
      </c>
      <c r="B1141" t="s">
        <v>430</v>
      </c>
      <c r="C1141" t="s">
        <v>44</v>
      </c>
      <c r="D1141" t="s">
        <v>426</v>
      </c>
      <c r="E1141" t="s">
        <v>134</v>
      </c>
      <c r="F1141" t="s">
        <v>427</v>
      </c>
      <c r="G1141" t="s">
        <v>31</v>
      </c>
      <c r="H1141" t="s">
        <v>276</v>
      </c>
      <c r="I1141" t="s">
        <v>135</v>
      </c>
      <c r="J1141" t="s">
        <v>39</v>
      </c>
      <c r="K1141" t="s">
        <v>31</v>
      </c>
      <c r="L1141">
        <v>5.2615885271995229</v>
      </c>
      <c r="M1141">
        <v>1</v>
      </c>
      <c r="N1141" s="2">
        <v>3.8162941378963127</v>
      </c>
      <c r="O1141" s="2">
        <v>32.455324487069326</v>
      </c>
      <c r="P1141" s="1">
        <v>-12.417746747424884</v>
      </c>
      <c r="Q1141" s="1">
        <v>4.6064513862797813</v>
      </c>
      <c r="R1141" s="1">
        <v>-16.482543607065505</v>
      </c>
      <c r="S1141" s="19">
        <v>20157.201847693126</v>
      </c>
      <c r="T1141" s="19">
        <v>12930.988965308332</v>
      </c>
      <c r="U1141" s="19">
        <v>8536.6549863983</v>
      </c>
      <c r="V1141" s="19">
        <v>4259.3640054634561</v>
      </c>
      <c r="W1141" s="19">
        <v>752.69443669370037</v>
      </c>
      <c r="X1141" s="19">
        <v>0</v>
      </c>
      <c r="Y1141" s="19">
        <v>0</v>
      </c>
      <c r="Z1141" s="19">
        <v>0</v>
      </c>
      <c r="AA1141" s="19">
        <v>0</v>
      </c>
      <c r="AB1141" s="19">
        <v>0</v>
      </c>
      <c r="AC1141" s="19">
        <v>0</v>
      </c>
      <c r="AD1141" s="19">
        <v>0</v>
      </c>
      <c r="AE1141" s="19">
        <v>0</v>
      </c>
      <c r="AF1141" s="19">
        <v>0</v>
      </c>
      <c r="AG1141" s="19">
        <v>0</v>
      </c>
      <c r="AH1141" s="19">
        <v>0</v>
      </c>
      <c r="AI1141" s="19">
        <v>0</v>
      </c>
      <c r="AJ1141" s="19">
        <v>0</v>
      </c>
      <c r="AK1141" s="19">
        <v>0</v>
      </c>
      <c r="AL1141" s="19">
        <v>0</v>
      </c>
      <c r="AM1141" s="19">
        <v>0</v>
      </c>
      <c r="AN1141" s="19">
        <v>0</v>
      </c>
      <c r="AO1141" s="19">
        <v>0</v>
      </c>
      <c r="AP1141" s="19">
        <v>0</v>
      </c>
      <c r="AQ1141" s="19">
        <v>0</v>
      </c>
      <c r="AR1141" s="19">
        <v>46636.90424155692</v>
      </c>
    </row>
    <row r="1142" spans="1:44" x14ac:dyDescent="0.25">
      <c r="A1142" t="s">
        <v>250</v>
      </c>
      <c r="B1142" t="s">
        <v>431</v>
      </c>
      <c r="C1142" t="s">
        <v>44</v>
      </c>
      <c r="D1142" t="s">
        <v>426</v>
      </c>
      <c r="E1142" t="s">
        <v>134</v>
      </c>
      <c r="F1142" t="s">
        <v>427</v>
      </c>
      <c r="G1142" t="s">
        <v>31</v>
      </c>
      <c r="H1142" t="s">
        <v>252</v>
      </c>
      <c r="I1142" t="s">
        <v>135</v>
      </c>
      <c r="J1142" t="s">
        <v>39</v>
      </c>
      <c r="K1142" t="s">
        <v>31</v>
      </c>
      <c r="L1142">
        <v>6.7044253476663016</v>
      </c>
      <c r="M1142">
        <v>1</v>
      </c>
      <c r="N1142" s="2">
        <v>3.813725317797616</v>
      </c>
      <c r="O1142" s="2">
        <v>32.433478191464303</v>
      </c>
      <c r="P1142" s="1">
        <v>-12.417746747424887</v>
      </c>
      <c r="Q1142" s="1">
        <v>4.6064513862797822</v>
      </c>
      <c r="R1142" s="1">
        <v>-16.482543607065512</v>
      </c>
      <c r="S1142" s="19">
        <v>830.73439598761445</v>
      </c>
      <c r="T1142" s="19">
        <v>532.06757917872437</v>
      </c>
      <c r="U1142" s="19">
        <v>350.69202733078947</v>
      </c>
      <c r="V1142" s="19">
        <v>135.92896464585283</v>
      </c>
      <c r="W1142" s="19">
        <v>0</v>
      </c>
      <c r="X1142" s="19">
        <v>0</v>
      </c>
      <c r="Y1142" s="19">
        <v>0</v>
      </c>
      <c r="Z1142" s="19">
        <v>0</v>
      </c>
      <c r="AA1142" s="19">
        <v>0</v>
      </c>
      <c r="AB1142" s="19">
        <v>0</v>
      </c>
      <c r="AC1142" s="19">
        <v>0</v>
      </c>
      <c r="AD1142" s="19">
        <v>0</v>
      </c>
      <c r="AE1142" s="19">
        <v>0</v>
      </c>
      <c r="AF1142" s="19">
        <v>0</v>
      </c>
      <c r="AG1142" s="19">
        <v>0</v>
      </c>
      <c r="AH1142" s="19">
        <v>0</v>
      </c>
      <c r="AI1142" s="19">
        <v>0</v>
      </c>
      <c r="AJ1142" s="19">
        <v>0</v>
      </c>
      <c r="AK1142" s="19">
        <v>0</v>
      </c>
      <c r="AL1142" s="19">
        <v>0</v>
      </c>
      <c r="AM1142" s="19">
        <v>0</v>
      </c>
      <c r="AN1142" s="19">
        <v>0</v>
      </c>
      <c r="AO1142" s="19">
        <v>0</v>
      </c>
      <c r="AP1142" s="19">
        <v>0</v>
      </c>
      <c r="AQ1142" s="19">
        <v>0</v>
      </c>
      <c r="AR1142" s="19">
        <v>1849.422967142981</v>
      </c>
    </row>
    <row r="1143" spans="1:44" x14ac:dyDescent="0.25">
      <c r="A1143" t="s">
        <v>250</v>
      </c>
      <c r="B1143" t="s">
        <v>432</v>
      </c>
      <c r="C1143" t="s">
        <v>44</v>
      </c>
      <c r="D1143" t="s">
        <v>426</v>
      </c>
      <c r="E1143" t="s">
        <v>134</v>
      </c>
      <c r="F1143" t="s">
        <v>427</v>
      </c>
      <c r="G1143" t="s">
        <v>31</v>
      </c>
      <c r="H1143" t="s">
        <v>272</v>
      </c>
      <c r="I1143" t="s">
        <v>135</v>
      </c>
      <c r="J1143" t="s">
        <v>39</v>
      </c>
      <c r="K1143" t="s">
        <v>31</v>
      </c>
      <c r="L1143">
        <v>1.3518127382698817</v>
      </c>
      <c r="M1143">
        <v>1</v>
      </c>
      <c r="N1143" s="2">
        <v>3.816697933114499</v>
      </c>
      <c r="O1143" s="2">
        <v>32.458758526574407</v>
      </c>
      <c r="P1143" s="1">
        <v>-12.417746747424886</v>
      </c>
      <c r="Q1143" s="1">
        <v>4.6064513862797805</v>
      </c>
      <c r="R1143" s="1">
        <v>-16.482543607065505</v>
      </c>
      <c r="S1143" s="19">
        <v>1678.2880042229376</v>
      </c>
      <c r="T1143" s="19">
        <v>1073.9364939022571</v>
      </c>
      <c r="U1143" s="19">
        <v>707.20480503035162</v>
      </c>
      <c r="V1143" s="19">
        <v>196.6927941320856</v>
      </c>
      <c r="W1143" s="19">
        <v>0</v>
      </c>
      <c r="X1143" s="19">
        <v>0</v>
      </c>
      <c r="Y1143" s="19">
        <v>0</v>
      </c>
      <c r="Z1143" s="19">
        <v>0</v>
      </c>
      <c r="AA1143" s="19">
        <v>0</v>
      </c>
      <c r="AB1143" s="19">
        <v>0</v>
      </c>
      <c r="AC1143" s="19">
        <v>0</v>
      </c>
      <c r="AD1143" s="19">
        <v>0</v>
      </c>
      <c r="AE1143" s="19">
        <v>0</v>
      </c>
      <c r="AF1143" s="19">
        <v>0</v>
      </c>
      <c r="AG1143" s="19">
        <v>0</v>
      </c>
      <c r="AH1143" s="19">
        <v>0</v>
      </c>
      <c r="AI1143" s="19">
        <v>0</v>
      </c>
      <c r="AJ1143" s="19">
        <v>0</v>
      </c>
      <c r="AK1143" s="19">
        <v>0</v>
      </c>
      <c r="AL1143" s="19">
        <v>0</v>
      </c>
      <c r="AM1143" s="19">
        <v>0</v>
      </c>
      <c r="AN1143" s="19">
        <v>0</v>
      </c>
      <c r="AO1143" s="19">
        <v>0</v>
      </c>
      <c r="AP1143" s="19">
        <v>0</v>
      </c>
      <c r="AQ1143" s="19">
        <v>0</v>
      </c>
      <c r="AR1143" s="19">
        <v>3656.1220972876322</v>
      </c>
    </row>
    <row r="1144" spans="1:44" x14ac:dyDescent="0.25">
      <c r="A1144" t="s">
        <v>250</v>
      </c>
      <c r="B1144" t="s">
        <v>432</v>
      </c>
      <c r="C1144" t="s">
        <v>44</v>
      </c>
      <c r="D1144" t="s">
        <v>426</v>
      </c>
      <c r="E1144" t="s">
        <v>134</v>
      </c>
      <c r="F1144" t="s">
        <v>427</v>
      </c>
      <c r="G1144" t="s">
        <v>31</v>
      </c>
      <c r="H1144" t="s">
        <v>273</v>
      </c>
      <c r="I1144" t="s">
        <v>135</v>
      </c>
      <c r="J1144" t="s">
        <v>39</v>
      </c>
      <c r="K1144" t="s">
        <v>31</v>
      </c>
      <c r="L1144">
        <v>1.3518127382698817</v>
      </c>
      <c r="M1144">
        <v>1</v>
      </c>
      <c r="N1144" s="2">
        <v>3.816697933114499</v>
      </c>
      <c r="O1144" s="2">
        <v>32.458758526574407</v>
      </c>
      <c r="P1144" s="1">
        <v>-12.417746747424886</v>
      </c>
      <c r="Q1144" s="1">
        <v>4.6064513862797805</v>
      </c>
      <c r="R1144" s="1">
        <v>-16.482543607065505</v>
      </c>
      <c r="S1144" s="19">
        <v>504.75610582484074</v>
      </c>
      <c r="T1144" s="19">
        <v>322.99343211731542</v>
      </c>
      <c r="U1144" s="19">
        <v>212.69647552120497</v>
      </c>
      <c r="V1144" s="19">
        <v>59.156645677084803</v>
      </c>
      <c r="W1144" s="19">
        <v>0</v>
      </c>
      <c r="X1144" s="19">
        <v>0</v>
      </c>
      <c r="Y1144" s="19">
        <v>0</v>
      </c>
      <c r="Z1144" s="19">
        <v>0</v>
      </c>
      <c r="AA1144" s="19">
        <v>0</v>
      </c>
      <c r="AB1144" s="19">
        <v>0</v>
      </c>
      <c r="AC1144" s="19">
        <v>0</v>
      </c>
      <c r="AD1144" s="19">
        <v>0</v>
      </c>
      <c r="AE1144" s="19">
        <v>0</v>
      </c>
      <c r="AF1144" s="19">
        <v>0</v>
      </c>
      <c r="AG1144" s="19">
        <v>0</v>
      </c>
      <c r="AH1144" s="19">
        <v>0</v>
      </c>
      <c r="AI1144" s="19">
        <v>0</v>
      </c>
      <c r="AJ1144" s="19">
        <v>0</v>
      </c>
      <c r="AK1144" s="19">
        <v>0</v>
      </c>
      <c r="AL1144" s="19">
        <v>0</v>
      </c>
      <c r="AM1144" s="19">
        <v>0</v>
      </c>
      <c r="AN1144" s="19">
        <v>0</v>
      </c>
      <c r="AO1144" s="19">
        <v>0</v>
      </c>
      <c r="AP1144" s="19">
        <v>0</v>
      </c>
      <c r="AQ1144" s="19">
        <v>0</v>
      </c>
      <c r="AR1144" s="19">
        <v>1099.6026591404459</v>
      </c>
    </row>
    <row r="1145" spans="1:44" x14ac:dyDescent="0.25">
      <c r="A1145" t="s">
        <v>250</v>
      </c>
      <c r="B1145" t="s">
        <v>432</v>
      </c>
      <c r="C1145" t="s">
        <v>44</v>
      </c>
      <c r="D1145" t="s">
        <v>426</v>
      </c>
      <c r="E1145" t="s">
        <v>134</v>
      </c>
      <c r="F1145" t="s">
        <v>427</v>
      </c>
      <c r="G1145" t="s">
        <v>31</v>
      </c>
      <c r="H1145" t="s">
        <v>274</v>
      </c>
      <c r="I1145" t="s">
        <v>135</v>
      </c>
      <c r="J1145" t="s">
        <v>39</v>
      </c>
      <c r="K1145" t="s">
        <v>31</v>
      </c>
      <c r="L1145">
        <v>1.3518127382698817</v>
      </c>
      <c r="M1145">
        <v>1</v>
      </c>
      <c r="N1145" s="2">
        <v>3.816697933114499</v>
      </c>
      <c r="O1145" s="2">
        <v>32.458758526574407</v>
      </c>
      <c r="P1145" s="1">
        <v>-12.417746747424886</v>
      </c>
      <c r="Q1145" s="1">
        <v>4.6064513862797805</v>
      </c>
      <c r="R1145" s="1">
        <v>-16.482543607065505</v>
      </c>
      <c r="S1145" s="19">
        <v>794.57649746199115</v>
      </c>
      <c r="T1145" s="19">
        <v>508.44950072592798</v>
      </c>
      <c r="U1145" s="19">
        <v>334.82234012003511</v>
      </c>
      <c r="V1145" s="19">
        <v>93.123153501802278</v>
      </c>
      <c r="W1145" s="19">
        <v>0</v>
      </c>
      <c r="X1145" s="19">
        <v>0</v>
      </c>
      <c r="Y1145" s="19">
        <v>0</v>
      </c>
      <c r="Z1145" s="19">
        <v>0</v>
      </c>
      <c r="AA1145" s="19">
        <v>0</v>
      </c>
      <c r="AB1145" s="19">
        <v>0</v>
      </c>
      <c r="AC1145" s="19">
        <v>0</v>
      </c>
      <c r="AD1145" s="19">
        <v>0</v>
      </c>
      <c r="AE1145" s="19">
        <v>0</v>
      </c>
      <c r="AF1145" s="19">
        <v>0</v>
      </c>
      <c r="AG1145" s="19">
        <v>0</v>
      </c>
      <c r="AH1145" s="19">
        <v>0</v>
      </c>
      <c r="AI1145" s="19">
        <v>0</v>
      </c>
      <c r="AJ1145" s="19">
        <v>0</v>
      </c>
      <c r="AK1145" s="19">
        <v>0</v>
      </c>
      <c r="AL1145" s="19">
        <v>0</v>
      </c>
      <c r="AM1145" s="19">
        <v>0</v>
      </c>
      <c r="AN1145" s="19">
        <v>0</v>
      </c>
      <c r="AO1145" s="19">
        <v>0</v>
      </c>
      <c r="AP1145" s="19">
        <v>0</v>
      </c>
      <c r="AQ1145" s="19">
        <v>0</v>
      </c>
      <c r="AR1145" s="19">
        <v>1730.9714918097568</v>
      </c>
    </row>
    <row r="1146" spans="1:44" x14ac:dyDescent="0.25">
      <c r="A1146" t="s">
        <v>250</v>
      </c>
      <c r="B1146" t="s">
        <v>432</v>
      </c>
      <c r="C1146" t="s">
        <v>44</v>
      </c>
      <c r="D1146" t="s">
        <v>426</v>
      </c>
      <c r="E1146" t="s">
        <v>134</v>
      </c>
      <c r="F1146" t="s">
        <v>427</v>
      </c>
      <c r="G1146" t="s">
        <v>31</v>
      </c>
      <c r="H1146" t="s">
        <v>275</v>
      </c>
      <c r="I1146" t="s">
        <v>135</v>
      </c>
      <c r="J1146" t="s">
        <v>39</v>
      </c>
      <c r="K1146" t="s">
        <v>31</v>
      </c>
      <c r="L1146">
        <v>1.3518127382698817</v>
      </c>
      <c r="M1146">
        <v>1</v>
      </c>
      <c r="N1146" s="2">
        <v>3.816697933114499</v>
      </c>
      <c r="O1146" s="2">
        <v>32.458758526574407</v>
      </c>
      <c r="P1146" s="1">
        <v>-12.417746747424886</v>
      </c>
      <c r="Q1146" s="1">
        <v>4.6064513862797805</v>
      </c>
      <c r="R1146" s="1">
        <v>-16.482543607065505</v>
      </c>
      <c r="S1146" s="19">
        <v>1213.8645026976949</v>
      </c>
      <c r="T1146" s="19">
        <v>776.75189527625491</v>
      </c>
      <c r="U1146" s="19">
        <v>511.50386989809834</v>
      </c>
      <c r="V1146" s="19">
        <v>142.26306815790707</v>
      </c>
      <c r="W1146" s="19">
        <v>0</v>
      </c>
      <c r="X1146" s="19">
        <v>0</v>
      </c>
      <c r="Y1146" s="19">
        <v>0</v>
      </c>
      <c r="Z1146" s="19">
        <v>0</v>
      </c>
      <c r="AA1146" s="19">
        <v>0</v>
      </c>
      <c r="AB1146" s="19">
        <v>0</v>
      </c>
      <c r="AC1146" s="19">
        <v>0</v>
      </c>
      <c r="AD1146" s="19">
        <v>0</v>
      </c>
      <c r="AE1146" s="19">
        <v>0</v>
      </c>
      <c r="AF1146" s="19">
        <v>0</v>
      </c>
      <c r="AG1146" s="19">
        <v>0</v>
      </c>
      <c r="AH1146" s="19">
        <v>0</v>
      </c>
      <c r="AI1146" s="19">
        <v>0</v>
      </c>
      <c r="AJ1146" s="19">
        <v>0</v>
      </c>
      <c r="AK1146" s="19">
        <v>0</v>
      </c>
      <c r="AL1146" s="19">
        <v>0</v>
      </c>
      <c r="AM1146" s="19">
        <v>0</v>
      </c>
      <c r="AN1146" s="19">
        <v>0</v>
      </c>
      <c r="AO1146" s="19">
        <v>0</v>
      </c>
      <c r="AP1146" s="19">
        <v>0</v>
      </c>
      <c r="AQ1146" s="19">
        <v>0</v>
      </c>
      <c r="AR1146" s="19">
        <v>2644.383336029955</v>
      </c>
    </row>
    <row r="1147" spans="1:44" x14ac:dyDescent="0.25">
      <c r="A1147" t="s">
        <v>250</v>
      </c>
      <c r="B1147" t="s">
        <v>432</v>
      </c>
      <c r="C1147" t="s">
        <v>44</v>
      </c>
      <c r="D1147" t="s">
        <v>426</v>
      </c>
      <c r="E1147" t="s">
        <v>134</v>
      </c>
      <c r="F1147" t="s">
        <v>427</v>
      </c>
      <c r="G1147" t="s">
        <v>31</v>
      </c>
      <c r="H1147" t="s">
        <v>274</v>
      </c>
      <c r="I1147" t="s">
        <v>135</v>
      </c>
      <c r="J1147" t="s">
        <v>39</v>
      </c>
      <c r="K1147" t="s">
        <v>33</v>
      </c>
      <c r="L1147">
        <v>1.3518127382698817</v>
      </c>
      <c r="M1147">
        <v>1</v>
      </c>
      <c r="N1147" s="2">
        <v>3.816697933114499</v>
      </c>
      <c r="O1147" s="2">
        <v>32.458758526574407</v>
      </c>
      <c r="P1147" s="1">
        <v>-12.417746747424886</v>
      </c>
      <c r="Q1147" s="1">
        <v>4.6064513862797805</v>
      </c>
      <c r="R1147" s="1">
        <v>-16.482543607065505</v>
      </c>
      <c r="S1147" s="19">
        <v>2.5565360737637417</v>
      </c>
      <c r="T1147" s="19">
        <v>1.6359274336014178</v>
      </c>
      <c r="U1147" s="19">
        <v>1.0772850613540943</v>
      </c>
      <c r="V1147" s="19">
        <v>0.29962212825378065</v>
      </c>
      <c r="W1147" s="19">
        <v>0</v>
      </c>
      <c r="X1147" s="19">
        <v>0</v>
      </c>
      <c r="Y1147" s="19">
        <v>0</v>
      </c>
      <c r="Z1147" s="19">
        <v>0</v>
      </c>
      <c r="AA1147" s="19">
        <v>0</v>
      </c>
      <c r="AB1147" s="19">
        <v>0</v>
      </c>
      <c r="AC1147" s="19">
        <v>0</v>
      </c>
      <c r="AD1147" s="19">
        <v>0</v>
      </c>
      <c r="AE1147" s="19">
        <v>0</v>
      </c>
      <c r="AF1147" s="19">
        <v>0</v>
      </c>
      <c r="AG1147" s="19">
        <v>0</v>
      </c>
      <c r="AH1147" s="19">
        <v>0</v>
      </c>
      <c r="AI1147" s="19">
        <v>0</v>
      </c>
      <c r="AJ1147" s="19">
        <v>0</v>
      </c>
      <c r="AK1147" s="19">
        <v>0</v>
      </c>
      <c r="AL1147" s="19">
        <v>0</v>
      </c>
      <c r="AM1147" s="19">
        <v>0</v>
      </c>
      <c r="AN1147" s="19">
        <v>0</v>
      </c>
      <c r="AO1147" s="19">
        <v>0</v>
      </c>
      <c r="AP1147" s="19">
        <v>0</v>
      </c>
      <c r="AQ1147" s="19">
        <v>0</v>
      </c>
      <c r="AR1147" s="19">
        <v>5.5693706969730341</v>
      </c>
    </row>
    <row r="1148" spans="1:44" x14ac:dyDescent="0.25">
      <c r="A1148" t="s">
        <v>250</v>
      </c>
      <c r="B1148" t="s">
        <v>432</v>
      </c>
      <c r="C1148" t="s">
        <v>44</v>
      </c>
      <c r="D1148" t="s">
        <v>426</v>
      </c>
      <c r="E1148" t="s">
        <v>134</v>
      </c>
      <c r="F1148" t="s">
        <v>427</v>
      </c>
      <c r="G1148" t="s">
        <v>31</v>
      </c>
      <c r="H1148" t="s">
        <v>272</v>
      </c>
      <c r="I1148" t="s">
        <v>135</v>
      </c>
      <c r="J1148" t="s">
        <v>40</v>
      </c>
      <c r="K1148" t="s">
        <v>31</v>
      </c>
      <c r="L1148">
        <v>1.3518127382698817</v>
      </c>
      <c r="M1148">
        <v>1</v>
      </c>
      <c r="N1148" s="2">
        <v>3.816697933114499</v>
      </c>
      <c r="O1148" s="2">
        <v>31.165987365505025</v>
      </c>
      <c r="P1148" s="1">
        <v>-12.417746747424886</v>
      </c>
      <c r="Q1148" s="1">
        <v>0.4672931329656026</v>
      </c>
      <c r="R1148" s="1">
        <v>-16.339543607065504</v>
      </c>
      <c r="S1148" s="19">
        <v>166.00927062409573</v>
      </c>
      <c r="T1148" s="19">
        <v>106.22933227235886</v>
      </c>
      <c r="U1148" s="19">
        <v>69.95375857393617</v>
      </c>
      <c r="V1148" s="19">
        <v>19.456033296264621</v>
      </c>
      <c r="W1148" s="19">
        <v>0</v>
      </c>
      <c r="X1148" s="19">
        <v>0</v>
      </c>
      <c r="Y1148" s="19">
        <v>0</v>
      </c>
      <c r="Z1148" s="19">
        <v>0</v>
      </c>
      <c r="AA1148" s="19">
        <v>0</v>
      </c>
      <c r="AB1148" s="19">
        <v>0</v>
      </c>
      <c r="AC1148" s="19">
        <v>0</v>
      </c>
      <c r="AD1148" s="19">
        <v>0</v>
      </c>
      <c r="AE1148" s="19">
        <v>0</v>
      </c>
      <c r="AF1148" s="19">
        <v>0</v>
      </c>
      <c r="AG1148" s="19">
        <v>0</v>
      </c>
      <c r="AH1148" s="19">
        <v>0</v>
      </c>
      <c r="AI1148" s="19">
        <v>0</v>
      </c>
      <c r="AJ1148" s="19">
        <v>0</v>
      </c>
      <c r="AK1148" s="19">
        <v>0</v>
      </c>
      <c r="AL1148" s="19">
        <v>0</v>
      </c>
      <c r="AM1148" s="19">
        <v>0</v>
      </c>
      <c r="AN1148" s="19">
        <v>0</v>
      </c>
      <c r="AO1148" s="19">
        <v>0</v>
      </c>
      <c r="AP1148" s="19">
        <v>0</v>
      </c>
      <c r="AQ1148" s="19">
        <v>0</v>
      </c>
      <c r="AR1148" s="19">
        <v>361.64839476665543</v>
      </c>
    </row>
    <row r="1149" spans="1:44" x14ac:dyDescent="0.25">
      <c r="A1149" t="s">
        <v>250</v>
      </c>
      <c r="B1149" t="s">
        <v>433</v>
      </c>
      <c r="C1149" t="s">
        <v>44</v>
      </c>
      <c r="D1149" t="s">
        <v>426</v>
      </c>
      <c r="E1149" t="s">
        <v>134</v>
      </c>
      <c r="F1149" t="s">
        <v>427</v>
      </c>
      <c r="G1149" t="s">
        <v>31</v>
      </c>
      <c r="H1149" t="s">
        <v>278</v>
      </c>
      <c r="I1149" t="s">
        <v>135</v>
      </c>
      <c r="J1149" t="s">
        <v>39</v>
      </c>
      <c r="K1149" t="s">
        <v>31</v>
      </c>
      <c r="L1149">
        <v>5.6706223366326478</v>
      </c>
      <c r="M1149">
        <v>1</v>
      </c>
      <c r="N1149" s="2">
        <v>3.8164878835265905</v>
      </c>
      <c r="O1149" s="2">
        <v>32.456972179063527</v>
      </c>
      <c r="P1149" s="1">
        <v>-12.417746747424896</v>
      </c>
      <c r="Q1149" s="1">
        <v>4.6064513862797822</v>
      </c>
      <c r="R1149" s="1">
        <v>-16.482543607065516</v>
      </c>
      <c r="S1149" s="19">
        <v>1924.8794338543423</v>
      </c>
      <c r="T1149" s="19">
        <v>1226.285690753348</v>
      </c>
      <c r="U1149" s="19">
        <v>619.1892079701837</v>
      </c>
      <c r="V1149" s="19">
        <v>0</v>
      </c>
      <c r="W1149" s="19">
        <v>0</v>
      </c>
      <c r="X1149" s="19">
        <v>0</v>
      </c>
      <c r="Y1149" s="19">
        <v>0</v>
      </c>
      <c r="Z1149" s="19">
        <v>0</v>
      </c>
      <c r="AA1149" s="19">
        <v>0</v>
      </c>
      <c r="AB1149" s="19">
        <v>0</v>
      </c>
      <c r="AC1149" s="19">
        <v>0</v>
      </c>
      <c r="AD1149" s="19">
        <v>0</v>
      </c>
      <c r="AE1149" s="19">
        <v>0</v>
      </c>
      <c r="AF1149" s="19">
        <v>0</v>
      </c>
      <c r="AG1149" s="19">
        <v>0</v>
      </c>
      <c r="AH1149" s="19">
        <v>0</v>
      </c>
      <c r="AI1149" s="19">
        <v>0</v>
      </c>
      <c r="AJ1149" s="19">
        <v>0</v>
      </c>
      <c r="AK1149" s="19">
        <v>0</v>
      </c>
      <c r="AL1149" s="19">
        <v>0</v>
      </c>
      <c r="AM1149" s="19">
        <v>0</v>
      </c>
      <c r="AN1149" s="19">
        <v>0</v>
      </c>
      <c r="AO1149" s="19">
        <v>0</v>
      </c>
      <c r="AP1149" s="19">
        <v>0</v>
      </c>
      <c r="AQ1149" s="19">
        <v>0</v>
      </c>
      <c r="AR1149" s="19">
        <v>3770.3543325778742</v>
      </c>
    </row>
    <row r="1150" spans="1:44" x14ac:dyDescent="0.25">
      <c r="A1150" t="s">
        <v>250</v>
      </c>
      <c r="B1150" t="s">
        <v>434</v>
      </c>
      <c r="C1150" t="s">
        <v>44</v>
      </c>
      <c r="D1150" t="s">
        <v>426</v>
      </c>
      <c r="E1150" t="s">
        <v>134</v>
      </c>
      <c r="F1150" t="s">
        <v>427</v>
      </c>
      <c r="G1150" t="s">
        <v>31</v>
      </c>
      <c r="H1150" t="s">
        <v>277</v>
      </c>
      <c r="I1150" t="s">
        <v>135</v>
      </c>
      <c r="J1150" t="s">
        <v>39</v>
      </c>
      <c r="K1150" t="s">
        <v>31</v>
      </c>
      <c r="L1150">
        <v>1.6183681259174498</v>
      </c>
      <c r="M1150">
        <v>1</v>
      </c>
      <c r="N1150" s="2">
        <v>3.8167609045660575</v>
      </c>
      <c r="O1150" s="2">
        <v>32.459294061525291</v>
      </c>
      <c r="P1150" s="1">
        <v>-12.417746747424893</v>
      </c>
      <c r="Q1150" s="1">
        <v>4.6064513862797813</v>
      </c>
      <c r="R1150" s="1">
        <v>-16.482543607065512</v>
      </c>
      <c r="S1150" s="19">
        <v>2461.7253413652866</v>
      </c>
      <c r="T1150" s="19">
        <v>1575.068141413313</v>
      </c>
      <c r="U1150" s="19">
        <v>1037.0831785479966</v>
      </c>
      <c r="V1150" s="19">
        <v>273.45563029086634</v>
      </c>
      <c r="W1150" s="19">
        <v>0</v>
      </c>
      <c r="X1150" s="19">
        <v>0</v>
      </c>
      <c r="Y1150" s="19">
        <v>0</v>
      </c>
      <c r="Z1150" s="19">
        <v>0</v>
      </c>
      <c r="AA1150" s="19">
        <v>0</v>
      </c>
      <c r="AB1150" s="19">
        <v>0</v>
      </c>
      <c r="AC1150" s="19">
        <v>0</v>
      </c>
      <c r="AD1150" s="19">
        <v>0</v>
      </c>
      <c r="AE1150" s="19">
        <v>0</v>
      </c>
      <c r="AF1150" s="19">
        <v>0</v>
      </c>
      <c r="AG1150" s="19">
        <v>0</v>
      </c>
      <c r="AH1150" s="19">
        <v>0</v>
      </c>
      <c r="AI1150" s="19">
        <v>0</v>
      </c>
      <c r="AJ1150" s="19">
        <v>0</v>
      </c>
      <c r="AK1150" s="19">
        <v>0</v>
      </c>
      <c r="AL1150" s="19">
        <v>0</v>
      </c>
      <c r="AM1150" s="19">
        <v>0</v>
      </c>
      <c r="AN1150" s="19">
        <v>0</v>
      </c>
      <c r="AO1150" s="19">
        <v>0</v>
      </c>
      <c r="AP1150" s="19">
        <v>0</v>
      </c>
      <c r="AQ1150" s="19">
        <v>0</v>
      </c>
      <c r="AR1150" s="19">
        <v>5347.332291617462</v>
      </c>
    </row>
    <row r="1151" spans="1:44" x14ac:dyDescent="0.25">
      <c r="A1151" t="s">
        <v>250</v>
      </c>
      <c r="B1151" t="s">
        <v>434</v>
      </c>
      <c r="C1151" t="s">
        <v>44</v>
      </c>
      <c r="D1151" t="s">
        <v>426</v>
      </c>
      <c r="E1151" t="s">
        <v>134</v>
      </c>
      <c r="F1151" t="s">
        <v>427</v>
      </c>
      <c r="G1151" t="s">
        <v>31</v>
      </c>
      <c r="H1151" t="s">
        <v>277</v>
      </c>
      <c r="I1151" t="s">
        <v>135</v>
      </c>
      <c r="J1151" t="s">
        <v>40</v>
      </c>
      <c r="K1151" t="s">
        <v>31</v>
      </c>
      <c r="L1151">
        <v>1.6183681259174498</v>
      </c>
      <c r="M1151">
        <v>1</v>
      </c>
      <c r="N1151" s="2">
        <v>3.8167609045660575</v>
      </c>
      <c r="O1151" s="2">
        <v>31.165987365505021</v>
      </c>
      <c r="P1151" s="1">
        <v>-12.417746747424893</v>
      </c>
      <c r="Q1151" s="1">
        <v>0.4672931329656026</v>
      </c>
      <c r="R1151" s="1">
        <v>-16.339543607065512</v>
      </c>
      <c r="S1151" s="19">
        <v>388.32582409872902</v>
      </c>
      <c r="T1151" s="19">
        <v>248.45973827720337</v>
      </c>
      <c r="U1151" s="19">
        <v>163.59509048447538</v>
      </c>
      <c r="V1151" s="19">
        <v>43.136365053724681</v>
      </c>
      <c r="W1151" s="19">
        <v>0</v>
      </c>
      <c r="X1151" s="19">
        <v>0</v>
      </c>
      <c r="Y1151" s="19">
        <v>0</v>
      </c>
      <c r="Z1151" s="19">
        <v>0</v>
      </c>
      <c r="AA1151" s="19">
        <v>0</v>
      </c>
      <c r="AB1151" s="19">
        <v>0</v>
      </c>
      <c r="AC1151" s="19">
        <v>0</v>
      </c>
      <c r="AD1151" s="19">
        <v>0</v>
      </c>
      <c r="AE1151" s="19">
        <v>0</v>
      </c>
      <c r="AF1151" s="19">
        <v>0</v>
      </c>
      <c r="AG1151" s="19">
        <v>0</v>
      </c>
      <c r="AH1151" s="19">
        <v>0</v>
      </c>
      <c r="AI1151" s="19">
        <v>0</v>
      </c>
      <c r="AJ1151" s="19">
        <v>0</v>
      </c>
      <c r="AK1151" s="19">
        <v>0</v>
      </c>
      <c r="AL1151" s="19">
        <v>0</v>
      </c>
      <c r="AM1151" s="19">
        <v>0</v>
      </c>
      <c r="AN1151" s="19">
        <v>0</v>
      </c>
      <c r="AO1151" s="19">
        <v>0</v>
      </c>
      <c r="AP1151" s="19">
        <v>0</v>
      </c>
      <c r="AQ1151" s="19">
        <v>0</v>
      </c>
      <c r="AR1151" s="19">
        <v>843.51701791413245</v>
      </c>
    </row>
    <row r="1152" spans="1:44" x14ac:dyDescent="0.25">
      <c r="A1152" t="s">
        <v>435</v>
      </c>
      <c r="B1152" t="s">
        <v>436</v>
      </c>
      <c r="C1152" t="s">
        <v>44</v>
      </c>
      <c r="D1152" t="s">
        <v>144</v>
      </c>
      <c r="E1152" t="s">
        <v>145</v>
      </c>
      <c r="F1152" t="s">
        <v>144</v>
      </c>
      <c r="G1152" t="s">
        <v>33</v>
      </c>
      <c r="H1152" t="s">
        <v>437</v>
      </c>
      <c r="I1152" t="s">
        <v>135</v>
      </c>
      <c r="J1152" t="s">
        <v>39</v>
      </c>
      <c r="K1152" t="s">
        <v>31</v>
      </c>
      <c r="L1152">
        <v>3.2456233234550047E-2</v>
      </c>
      <c r="M1152">
        <v>1</v>
      </c>
      <c r="N1152" s="2">
        <v>2.1457313890213765</v>
      </c>
      <c r="O1152" s="2">
        <v>5.3471683850504297</v>
      </c>
      <c r="P1152" s="1">
        <v>-1.0544023849485795</v>
      </c>
      <c r="Q1152" s="1">
        <v>1.3498045353129324</v>
      </c>
      <c r="R1152" s="1">
        <v>-1.862552393622352</v>
      </c>
      <c r="S1152" s="19">
        <v>0.26687489414735799</v>
      </c>
      <c r="T1152" s="19">
        <v>0.40731386843648454</v>
      </c>
      <c r="U1152" s="19">
        <v>0.88250863117087675</v>
      </c>
      <c r="V1152" s="19">
        <v>1.6477846340679514</v>
      </c>
      <c r="W1152" s="19">
        <v>2.79795674517722</v>
      </c>
      <c r="X1152" s="19">
        <v>4.4290342993969531</v>
      </c>
      <c r="Y1152" s="19">
        <v>6.6256156567786011</v>
      </c>
      <c r="Z1152" s="19">
        <v>9.4440723562014277</v>
      </c>
      <c r="AA1152" s="19">
        <v>12.893028416301965</v>
      </c>
      <c r="AB1152" s="19">
        <v>16.914615360658011</v>
      </c>
      <c r="AC1152" s="19">
        <v>21.372052318377389</v>
      </c>
      <c r="AD1152" s="19">
        <v>26.050263502041197</v>
      </c>
      <c r="AE1152" s="19">
        <v>30.675142953470672</v>
      </c>
      <c r="AF1152" s="19">
        <v>34.952641406819339</v>
      </c>
      <c r="AG1152" s="19">
        <v>38.62139328984474</v>
      </c>
      <c r="AH1152" s="19">
        <v>41.504726221816171</v>
      </c>
      <c r="AI1152" s="19">
        <v>43.544133859803111</v>
      </c>
      <c r="AJ1152" s="19">
        <v>44.923755262403219</v>
      </c>
      <c r="AK1152" s="19">
        <v>45.506154466997096</v>
      </c>
      <c r="AL1152" s="19">
        <v>45.89259766227498</v>
      </c>
      <c r="AM1152" s="19">
        <v>45.72171832263335</v>
      </c>
      <c r="AN1152" s="19">
        <v>45.369269344722369</v>
      </c>
      <c r="AO1152" s="19">
        <v>45.019537243748374</v>
      </c>
      <c r="AP1152" s="19">
        <v>44.672501076480579</v>
      </c>
      <c r="AQ1152" s="19">
        <v>44.32814006113049</v>
      </c>
      <c r="AR1152" s="19">
        <v>654.46283185489983</v>
      </c>
    </row>
    <row r="1153" spans="1:44" x14ac:dyDescent="0.25">
      <c r="A1153" t="s">
        <v>435</v>
      </c>
      <c r="B1153" t="s">
        <v>438</v>
      </c>
      <c r="C1153" t="s">
        <v>44</v>
      </c>
      <c r="D1153" t="s">
        <v>439</v>
      </c>
      <c r="E1153" t="s">
        <v>134</v>
      </c>
      <c r="F1153" t="s">
        <v>439</v>
      </c>
      <c r="G1153" t="s">
        <v>33</v>
      </c>
      <c r="H1153" t="s">
        <v>437</v>
      </c>
      <c r="I1153" t="s">
        <v>135</v>
      </c>
      <c r="J1153" t="s">
        <v>39</v>
      </c>
      <c r="K1153" t="s">
        <v>31</v>
      </c>
      <c r="L1153">
        <v>6.2148735157237955E-2</v>
      </c>
      <c r="M1153">
        <v>1</v>
      </c>
      <c r="N1153" s="2">
        <v>6.9402413781539831</v>
      </c>
      <c r="O1153" s="2">
        <v>5.3471683850504297</v>
      </c>
      <c r="P1153" s="1">
        <v>-1.9868845531200463</v>
      </c>
      <c r="Q1153" s="1">
        <v>0.41732236714146631</v>
      </c>
      <c r="R1153" s="1">
        <v>-1.8625523936223525</v>
      </c>
      <c r="S1153" s="19">
        <v>19.167389248476628</v>
      </c>
      <c r="T1153" s="19">
        <v>30.938045008973724</v>
      </c>
      <c r="U1153" s="19">
        <v>46.597639623256683</v>
      </c>
      <c r="V1153" s="19">
        <v>66.223324119954228</v>
      </c>
      <c r="W1153" s="19">
        <v>89.387504654845358</v>
      </c>
      <c r="X1153" s="19">
        <v>114.98523328896484</v>
      </c>
      <c r="Y1153" s="19">
        <v>141.12062732197367</v>
      </c>
      <c r="Z1153" s="19">
        <v>165.13192364787275</v>
      </c>
      <c r="AA1153" s="19">
        <v>183.83914129348764</v>
      </c>
      <c r="AB1153" s="19">
        <v>194.06266699318607</v>
      </c>
      <c r="AC1153" s="19">
        <v>193.37066233431679</v>
      </c>
      <c r="AD1153" s="19">
        <v>180.87930837543684</v>
      </c>
      <c r="AE1153" s="19">
        <v>157.80744735964177</v>
      </c>
      <c r="AF1153" s="19">
        <v>129.49900852818035</v>
      </c>
      <c r="AG1153" s="19">
        <v>23.205146580694553</v>
      </c>
      <c r="AH1153" s="19">
        <v>0</v>
      </c>
      <c r="AI1153" s="19">
        <v>0</v>
      </c>
      <c r="AJ1153" s="19">
        <v>0</v>
      </c>
      <c r="AK1153" s="19">
        <v>0</v>
      </c>
      <c r="AL1153" s="19">
        <v>0</v>
      </c>
      <c r="AM1153" s="19">
        <v>0</v>
      </c>
      <c r="AN1153" s="19">
        <v>0</v>
      </c>
      <c r="AO1153" s="19">
        <v>0</v>
      </c>
      <c r="AP1153" s="19">
        <v>0</v>
      </c>
      <c r="AQ1153" s="19">
        <v>0</v>
      </c>
      <c r="AR1153" s="19">
        <v>1736.2150683792622</v>
      </c>
    </row>
    <row r="1154" spans="1:44" x14ac:dyDescent="0.25">
      <c r="A1154" t="s">
        <v>435</v>
      </c>
      <c r="B1154" t="s">
        <v>440</v>
      </c>
      <c r="C1154" t="s">
        <v>44</v>
      </c>
      <c r="D1154" t="s">
        <v>441</v>
      </c>
      <c r="E1154" t="s">
        <v>134</v>
      </c>
      <c r="F1154" t="s">
        <v>441</v>
      </c>
      <c r="G1154" t="s">
        <v>33</v>
      </c>
      <c r="H1154" t="s">
        <v>437</v>
      </c>
      <c r="I1154" t="s">
        <v>135</v>
      </c>
      <c r="J1154" t="s">
        <v>39</v>
      </c>
      <c r="K1154" t="s">
        <v>31</v>
      </c>
      <c r="L1154">
        <v>0.11742925210440458</v>
      </c>
      <c r="M1154">
        <v>1</v>
      </c>
      <c r="N1154" s="2">
        <v>6.8697622499189688</v>
      </c>
      <c r="O1154" s="2">
        <v>5.3471683850504297</v>
      </c>
      <c r="P1154" s="1">
        <v>-1.9826031070438808</v>
      </c>
      <c r="Q1154" s="1">
        <v>0.42160381321763152</v>
      </c>
      <c r="R1154" s="1">
        <v>-1.862552393622352</v>
      </c>
      <c r="S1154" s="19">
        <v>43.459848607660334</v>
      </c>
      <c r="T1154" s="19">
        <v>70.148455529166114</v>
      </c>
      <c r="U1154" s="19">
        <v>105.65478361441438</v>
      </c>
      <c r="V1154" s="19">
        <v>150.1537639393415</v>
      </c>
      <c r="W1154" s="19">
        <v>202.67587668596357</v>
      </c>
      <c r="X1154" s="19">
        <v>260.71577960217428</v>
      </c>
      <c r="Y1154" s="19">
        <v>319.97477691535238</v>
      </c>
      <c r="Z1154" s="19">
        <v>374.41762719973218</v>
      </c>
      <c r="AA1154" s="19">
        <v>416.83408967198</v>
      </c>
      <c r="AB1154" s="19">
        <v>440.01475728328393</v>
      </c>
      <c r="AC1154" s="19">
        <v>438.44571638155321</v>
      </c>
      <c r="AD1154" s="19">
        <v>410.12300926061494</v>
      </c>
      <c r="AE1154" s="19">
        <v>357.81022039589647</v>
      </c>
      <c r="AF1154" s="19">
        <v>293.62409415899623</v>
      </c>
      <c r="AG1154" s="19">
        <v>52.614998539549703</v>
      </c>
      <c r="AH1154" s="19">
        <v>0</v>
      </c>
      <c r="AI1154" s="19">
        <v>0</v>
      </c>
      <c r="AJ1154" s="19">
        <v>0</v>
      </c>
      <c r="AK1154" s="19">
        <v>0</v>
      </c>
      <c r="AL1154" s="19">
        <v>0</v>
      </c>
      <c r="AM1154" s="19">
        <v>0</v>
      </c>
      <c r="AN1154" s="19">
        <v>0</v>
      </c>
      <c r="AO1154" s="19">
        <v>0</v>
      </c>
      <c r="AP1154" s="19">
        <v>0</v>
      </c>
      <c r="AQ1154" s="19">
        <v>0</v>
      </c>
      <c r="AR1154" s="19">
        <v>3936.6677977856793</v>
      </c>
    </row>
    <row r="1155" spans="1:44" x14ac:dyDescent="0.25">
      <c r="A1155" t="s">
        <v>435</v>
      </c>
      <c r="B1155" t="s">
        <v>442</v>
      </c>
      <c r="C1155" t="s">
        <v>44</v>
      </c>
      <c r="D1155" t="s">
        <v>443</v>
      </c>
      <c r="E1155" t="s">
        <v>134</v>
      </c>
      <c r="F1155" t="s">
        <v>443</v>
      </c>
      <c r="G1155" t="s">
        <v>33</v>
      </c>
      <c r="H1155" t="s">
        <v>437</v>
      </c>
      <c r="I1155" t="s">
        <v>135</v>
      </c>
      <c r="J1155" t="s">
        <v>39</v>
      </c>
      <c r="K1155" t="s">
        <v>31</v>
      </c>
      <c r="L1155">
        <v>0.10334179344805128</v>
      </c>
      <c r="M1155">
        <v>1</v>
      </c>
      <c r="N1155" s="2">
        <v>5.5922831563196285</v>
      </c>
      <c r="O1155" s="2">
        <v>5.3471683850504297</v>
      </c>
      <c r="P1155" s="1">
        <v>-1.8862935958635241</v>
      </c>
      <c r="Q1155" s="1">
        <v>0.5179133243979881</v>
      </c>
      <c r="R1155" s="1">
        <v>-1.8625523936223525</v>
      </c>
      <c r="S1155" s="19">
        <v>40.370953259378211</v>
      </c>
      <c r="T1155" s="19">
        <v>65.162675667636094</v>
      </c>
      <c r="U1155" s="19">
        <v>98.145402424973355</v>
      </c>
      <c r="V1155" s="19">
        <v>139.48163143500665</v>
      </c>
      <c r="W1155" s="19">
        <v>188.27075120207212</v>
      </c>
      <c r="X1155" s="19">
        <v>242.18548590264783</v>
      </c>
      <c r="Y1155" s="19">
        <v>297.23266824157224</v>
      </c>
      <c r="Z1155" s="19">
        <v>347.80600971774606</v>
      </c>
      <c r="AA1155" s="19">
        <v>387.20773518978223</v>
      </c>
      <c r="AB1155" s="19">
        <v>408.74084399339154</v>
      </c>
      <c r="AC1155" s="19">
        <v>407.28332219027465</v>
      </c>
      <c r="AD1155" s="19">
        <v>380.97364275073522</v>
      </c>
      <c r="AE1155" s="19">
        <v>332.37896923516718</v>
      </c>
      <c r="AF1155" s="19">
        <v>272.75485214255241</v>
      </c>
      <c r="AG1155" s="19">
        <v>48.875403730880826</v>
      </c>
      <c r="AH1155" s="19">
        <v>0</v>
      </c>
      <c r="AI1155" s="19">
        <v>0</v>
      </c>
      <c r="AJ1155" s="19">
        <v>0</v>
      </c>
      <c r="AK1155" s="19">
        <v>0</v>
      </c>
      <c r="AL1155" s="19">
        <v>0</v>
      </c>
      <c r="AM1155" s="19">
        <v>0</v>
      </c>
      <c r="AN1155" s="19">
        <v>0</v>
      </c>
      <c r="AO1155" s="19">
        <v>0</v>
      </c>
      <c r="AP1155" s="19">
        <v>0</v>
      </c>
      <c r="AQ1155" s="19">
        <v>0</v>
      </c>
      <c r="AR1155" s="19">
        <v>3656.8703470838159</v>
      </c>
    </row>
    <row r="1156" spans="1:44" x14ac:dyDescent="0.25">
      <c r="A1156" t="s">
        <v>435</v>
      </c>
      <c r="B1156" t="s">
        <v>444</v>
      </c>
      <c r="C1156" t="s">
        <v>44</v>
      </c>
      <c r="D1156" t="s">
        <v>445</v>
      </c>
      <c r="E1156" t="s">
        <v>134</v>
      </c>
      <c r="F1156" t="s">
        <v>445</v>
      </c>
      <c r="G1156" t="s">
        <v>33</v>
      </c>
      <c r="H1156" t="s">
        <v>437</v>
      </c>
      <c r="I1156" t="s">
        <v>135</v>
      </c>
      <c r="J1156" t="s">
        <v>39</v>
      </c>
      <c r="K1156" t="s">
        <v>31</v>
      </c>
      <c r="L1156">
        <v>0.14174605833793252</v>
      </c>
      <c r="M1156">
        <v>1</v>
      </c>
      <c r="N1156" s="2">
        <v>5.8001361532849725</v>
      </c>
      <c r="O1156" s="2">
        <v>5.3471683850504297</v>
      </c>
      <c r="P1156" s="1">
        <v>-1.9048534768386352</v>
      </c>
      <c r="Q1156" s="1">
        <v>0.49935344342287746</v>
      </c>
      <c r="R1156" s="1">
        <v>-1.8625523936223525</v>
      </c>
      <c r="S1156" s="19">
        <v>55.373758330779957</v>
      </c>
      <c r="T1156" s="19">
        <v>89.378673607823828</v>
      </c>
      <c r="U1156" s="19">
        <v>134.61856499252067</v>
      </c>
      <c r="V1156" s="19">
        <v>191.31631846891736</v>
      </c>
      <c r="W1156" s="19">
        <v>258.23663391936736</v>
      </c>
      <c r="X1156" s="19">
        <v>332.1873645497933</v>
      </c>
      <c r="Y1156" s="19">
        <v>407.69138725745341</v>
      </c>
      <c r="Z1156" s="19">
        <v>477.05898358071141</v>
      </c>
      <c r="AA1156" s="19">
        <v>531.10332605849101</v>
      </c>
      <c r="AB1156" s="19">
        <v>560.63864952089796</v>
      </c>
      <c r="AC1156" s="19">
        <v>558.63947799851417</v>
      </c>
      <c r="AD1156" s="19">
        <v>522.55249680475413</v>
      </c>
      <c r="AE1156" s="19">
        <v>455.89888845110136</v>
      </c>
      <c r="AF1156" s="19">
        <v>374.1170333296692</v>
      </c>
      <c r="AG1156" s="19">
        <v>67.038664584527567</v>
      </c>
      <c r="AH1156" s="19">
        <v>0</v>
      </c>
      <c r="AI1156" s="19">
        <v>0</v>
      </c>
      <c r="AJ1156" s="19">
        <v>0</v>
      </c>
      <c r="AK1156" s="19">
        <v>0</v>
      </c>
      <c r="AL1156" s="19">
        <v>0</v>
      </c>
      <c r="AM1156" s="19">
        <v>0</v>
      </c>
      <c r="AN1156" s="19">
        <v>0</v>
      </c>
      <c r="AO1156" s="19">
        <v>0</v>
      </c>
      <c r="AP1156" s="19">
        <v>0</v>
      </c>
      <c r="AQ1156" s="19">
        <v>0</v>
      </c>
      <c r="AR1156" s="19">
        <v>5015.8502214553228</v>
      </c>
    </row>
    <row r="1157" spans="1:44" x14ac:dyDescent="0.25">
      <c r="A1157" t="s">
        <v>435</v>
      </c>
      <c r="B1157" t="s">
        <v>446</v>
      </c>
      <c r="C1157" t="s">
        <v>44</v>
      </c>
      <c r="D1157" t="s">
        <v>447</v>
      </c>
      <c r="E1157" t="s">
        <v>134</v>
      </c>
      <c r="F1157" t="s">
        <v>447</v>
      </c>
      <c r="G1157" t="s">
        <v>33</v>
      </c>
      <c r="H1157" t="s">
        <v>437</v>
      </c>
      <c r="I1157" t="s">
        <v>135</v>
      </c>
      <c r="J1157" t="s">
        <v>39</v>
      </c>
      <c r="K1157" t="s">
        <v>31</v>
      </c>
      <c r="L1157">
        <v>5.6376249945884194E-2</v>
      </c>
      <c r="M1157">
        <v>1</v>
      </c>
      <c r="N1157" s="2">
        <v>5.4427509606693079</v>
      </c>
      <c r="O1157" s="2">
        <v>5.3471683850504297</v>
      </c>
      <c r="P1157" s="1">
        <v>-1.8720646301964523</v>
      </c>
      <c r="Q1157" s="1">
        <v>0.5321422900650602</v>
      </c>
      <c r="R1157" s="1">
        <v>-1.8625523936223525</v>
      </c>
      <c r="S1157" s="19">
        <v>11.591391998011025</v>
      </c>
      <c r="T1157" s="19">
        <v>18.709642857575123</v>
      </c>
      <c r="U1157" s="19">
        <v>28.179711908242655</v>
      </c>
      <c r="V1157" s="19">
        <v>40.048255885800216</v>
      </c>
      <c r="W1157" s="19">
        <v>54.05668934597842</v>
      </c>
      <c r="X1157" s="19">
        <v>69.536800017825513</v>
      </c>
      <c r="Y1157" s="19">
        <v>85.342061409027295</v>
      </c>
      <c r="Z1157" s="19">
        <v>99.862784314261702</v>
      </c>
      <c r="AA1157" s="19">
        <v>111.17588961573958</v>
      </c>
      <c r="AB1157" s="19">
        <v>117.35852056514562</v>
      </c>
      <c r="AC1157" s="19">
        <v>116.94003387603948</v>
      </c>
      <c r="AD1157" s="19">
        <v>109.38594403906326</v>
      </c>
      <c r="AE1157" s="19">
        <v>95.433340390709603</v>
      </c>
      <c r="AF1157" s="19">
        <v>78.313939981325973</v>
      </c>
      <c r="AG1157" s="19">
        <v>14.03320749118291</v>
      </c>
      <c r="AH1157" s="19">
        <v>0</v>
      </c>
      <c r="AI1157" s="19">
        <v>0</v>
      </c>
      <c r="AJ1157" s="19">
        <v>0</v>
      </c>
      <c r="AK1157" s="19">
        <v>0</v>
      </c>
      <c r="AL1157" s="19">
        <v>0</v>
      </c>
      <c r="AM1157" s="19">
        <v>0</v>
      </c>
      <c r="AN1157" s="19">
        <v>0</v>
      </c>
      <c r="AO1157" s="19">
        <v>0</v>
      </c>
      <c r="AP1157" s="19">
        <v>0</v>
      </c>
      <c r="AQ1157" s="19">
        <v>0</v>
      </c>
      <c r="AR1157" s="19">
        <v>1049.9682136959284</v>
      </c>
    </row>
    <row r="1158" spans="1:44" x14ac:dyDescent="0.25">
      <c r="A1158" t="s">
        <v>435</v>
      </c>
      <c r="B1158" t="s">
        <v>448</v>
      </c>
      <c r="C1158" t="s">
        <v>44</v>
      </c>
      <c r="D1158" t="s">
        <v>449</v>
      </c>
      <c r="E1158" t="s">
        <v>134</v>
      </c>
      <c r="F1158" t="s">
        <v>449</v>
      </c>
      <c r="G1158" t="s">
        <v>33</v>
      </c>
      <c r="H1158" t="s">
        <v>450</v>
      </c>
      <c r="I1158" t="s">
        <v>135</v>
      </c>
      <c r="J1158" t="s">
        <v>39</v>
      </c>
      <c r="K1158" t="s">
        <v>31</v>
      </c>
      <c r="L1158">
        <v>0.11418742367164304</v>
      </c>
      <c r="M1158">
        <v>1</v>
      </c>
      <c r="N1158" s="2">
        <v>3.2114265275821117</v>
      </c>
      <c r="O1158" s="2">
        <v>5.3471683850504297</v>
      </c>
      <c r="P1158" s="1">
        <v>-1.5023279778075442</v>
      </c>
      <c r="Q1158" s="1">
        <v>0.9018789424539676</v>
      </c>
      <c r="R1158" s="1">
        <v>-1.862552393622352</v>
      </c>
      <c r="S1158" s="19">
        <v>6.5337076784292973</v>
      </c>
      <c r="T1158" s="19">
        <v>12.959775699260804</v>
      </c>
      <c r="U1158" s="19">
        <v>22.833289323710176</v>
      </c>
      <c r="V1158" s="19">
        <v>36.855167057037193</v>
      </c>
      <c r="W1158" s="19">
        <v>55.509770972296778</v>
      </c>
      <c r="X1158" s="19">
        <v>78.889007783307093</v>
      </c>
      <c r="Y1158" s="19">
        <v>106.48350326953307</v>
      </c>
      <c r="Z1158" s="19">
        <v>136.97698030783781</v>
      </c>
      <c r="AA1158" s="19">
        <v>168.11095509223824</v>
      </c>
      <c r="AB1158" s="19">
        <v>196.71458331407169</v>
      </c>
      <c r="AC1158" s="19">
        <v>218.9996899296161</v>
      </c>
      <c r="AD1158" s="19">
        <v>231.17853792938493</v>
      </c>
      <c r="AE1158" s="19">
        <v>230.35418243764403</v>
      </c>
      <c r="AF1158" s="19">
        <v>215.47376782871919</v>
      </c>
      <c r="AG1158" s="19">
        <v>187.98924862890456</v>
      </c>
      <c r="AH1158" s="19">
        <v>154.26661870982556</v>
      </c>
      <c r="AI1158" s="19">
        <v>55.873928281636019</v>
      </c>
      <c r="AJ1158" s="19">
        <v>0</v>
      </c>
      <c r="AK1158" s="19">
        <v>0</v>
      </c>
      <c r="AL1158" s="19">
        <v>0</v>
      </c>
      <c r="AM1158" s="19">
        <v>0</v>
      </c>
      <c r="AN1158" s="19">
        <v>0</v>
      </c>
      <c r="AO1158" s="19">
        <v>0</v>
      </c>
      <c r="AP1158" s="19">
        <v>0</v>
      </c>
      <c r="AQ1158" s="19">
        <v>0</v>
      </c>
      <c r="AR1158" s="19">
        <v>2116.0027142434524</v>
      </c>
    </row>
    <row r="1159" spans="1:44" x14ac:dyDescent="0.25">
      <c r="A1159" t="s">
        <v>435</v>
      </c>
      <c r="B1159" t="s">
        <v>448</v>
      </c>
      <c r="C1159" t="s">
        <v>44</v>
      </c>
      <c r="D1159" t="s">
        <v>449</v>
      </c>
      <c r="E1159" t="s">
        <v>134</v>
      </c>
      <c r="F1159" t="s">
        <v>449</v>
      </c>
      <c r="G1159" t="s">
        <v>33</v>
      </c>
      <c r="H1159" t="s">
        <v>451</v>
      </c>
      <c r="I1159" t="s">
        <v>135</v>
      </c>
      <c r="J1159" t="s">
        <v>39</v>
      </c>
      <c r="K1159" t="s">
        <v>31</v>
      </c>
      <c r="L1159">
        <v>0.11418742367164304</v>
      </c>
      <c r="M1159">
        <v>1</v>
      </c>
      <c r="N1159" s="2">
        <v>3.2114265275821117</v>
      </c>
      <c r="O1159" s="2">
        <v>5.3471683850504297</v>
      </c>
      <c r="P1159" s="1">
        <v>-1.5023279778075442</v>
      </c>
      <c r="Q1159" s="1">
        <v>0.9018789424539676</v>
      </c>
      <c r="R1159" s="1">
        <v>-1.862552393622352</v>
      </c>
      <c r="S1159" s="19">
        <v>1.7091056323219187</v>
      </c>
      <c r="T1159" s="19">
        <v>3.3900545802441124</v>
      </c>
      <c r="U1159" s="19">
        <v>5.9727960460224443</v>
      </c>
      <c r="V1159" s="19">
        <v>9.6406782637833164</v>
      </c>
      <c r="W1159" s="19">
        <v>14.520402026994171</v>
      </c>
      <c r="X1159" s="19">
        <v>20.636008552367755</v>
      </c>
      <c r="Y1159" s="19">
        <v>27.854254298545417</v>
      </c>
      <c r="Z1159" s="19">
        <v>35.830823793275933</v>
      </c>
      <c r="AA1159" s="19">
        <v>43.974936490001191</v>
      </c>
      <c r="AB1159" s="19">
        <v>51.457154015614478</v>
      </c>
      <c r="AC1159" s="19">
        <v>57.286554886924584</v>
      </c>
      <c r="AD1159" s="19">
        <v>60.472332202967806</v>
      </c>
      <c r="AE1159" s="19">
        <v>60.256694974718179</v>
      </c>
      <c r="AF1159" s="19">
        <v>56.364234266174101</v>
      </c>
      <c r="AG1159" s="19">
        <v>49.174756426333595</v>
      </c>
      <c r="AH1159" s="19">
        <v>40.353496038194976</v>
      </c>
      <c r="AI1159" s="19">
        <v>14.615659320260818</v>
      </c>
      <c r="AJ1159" s="19">
        <v>0</v>
      </c>
      <c r="AK1159" s="19">
        <v>0</v>
      </c>
      <c r="AL1159" s="19">
        <v>0</v>
      </c>
      <c r="AM1159" s="19">
        <v>0</v>
      </c>
      <c r="AN1159" s="19">
        <v>0</v>
      </c>
      <c r="AO1159" s="19">
        <v>0</v>
      </c>
      <c r="AP1159" s="19">
        <v>0</v>
      </c>
      <c r="AQ1159" s="19">
        <v>0</v>
      </c>
      <c r="AR1159" s="19">
        <v>553.50994181474493</v>
      </c>
    </row>
    <row r="1160" spans="1:44" x14ac:dyDescent="0.25">
      <c r="A1160" t="s">
        <v>435</v>
      </c>
      <c r="B1160" t="s">
        <v>448</v>
      </c>
      <c r="C1160" t="s">
        <v>44</v>
      </c>
      <c r="D1160" t="s">
        <v>449</v>
      </c>
      <c r="E1160" t="s">
        <v>134</v>
      </c>
      <c r="F1160" t="s">
        <v>449</v>
      </c>
      <c r="G1160" t="s">
        <v>33</v>
      </c>
      <c r="H1160" t="s">
        <v>452</v>
      </c>
      <c r="I1160" t="s">
        <v>135</v>
      </c>
      <c r="J1160" t="s">
        <v>39</v>
      </c>
      <c r="K1160" t="s">
        <v>31</v>
      </c>
      <c r="L1160">
        <v>0.11418742367164304</v>
      </c>
      <c r="M1160">
        <v>1</v>
      </c>
      <c r="N1160" s="2">
        <v>3.2114265275821117</v>
      </c>
      <c r="O1160" s="2">
        <v>5.3471683850504297</v>
      </c>
      <c r="P1160" s="1">
        <v>-1.5023279778075442</v>
      </c>
      <c r="Q1160" s="1">
        <v>0.9018789424539676</v>
      </c>
      <c r="R1160" s="1">
        <v>-1.862552393622352</v>
      </c>
      <c r="S1160" s="19">
        <v>38.710073987495811</v>
      </c>
      <c r="T1160" s="19">
        <v>76.78241832520095</v>
      </c>
      <c r="U1160" s="19">
        <v>135.27974660035648</v>
      </c>
      <c r="V1160" s="19">
        <v>218.35477095332772</v>
      </c>
      <c r="W1160" s="19">
        <v>328.8771777256988</v>
      </c>
      <c r="X1160" s="19">
        <v>467.39148403806206</v>
      </c>
      <c r="Y1160" s="19">
        <v>630.87981478263828</v>
      </c>
      <c r="Z1160" s="19">
        <v>811.54365993534179</v>
      </c>
      <c r="AA1160" s="19">
        <v>996.00224405716756</v>
      </c>
      <c r="AB1160" s="19">
        <v>1165.4693551177863</v>
      </c>
      <c r="AC1160" s="19">
        <v>1297.5012990559851</v>
      </c>
      <c r="AD1160" s="19">
        <v>1369.6569770196577</v>
      </c>
      <c r="AE1160" s="19">
        <v>1364.7729412396914</v>
      </c>
      <c r="AF1160" s="19">
        <v>1276.6113676238713</v>
      </c>
      <c r="AG1160" s="19">
        <v>1113.774610288051</v>
      </c>
      <c r="AH1160" s="19">
        <v>913.97909394895692</v>
      </c>
      <c r="AI1160" s="19">
        <v>331.03469028692768</v>
      </c>
      <c r="AJ1160" s="19">
        <v>0</v>
      </c>
      <c r="AK1160" s="19">
        <v>0</v>
      </c>
      <c r="AL1160" s="19">
        <v>0</v>
      </c>
      <c r="AM1160" s="19">
        <v>0</v>
      </c>
      <c r="AN1160" s="19">
        <v>0</v>
      </c>
      <c r="AO1160" s="19">
        <v>0</v>
      </c>
      <c r="AP1160" s="19">
        <v>0</v>
      </c>
      <c r="AQ1160" s="19">
        <v>0</v>
      </c>
      <c r="AR1160" s="19">
        <v>12536.621724986217</v>
      </c>
    </row>
    <row r="1161" spans="1:44" x14ac:dyDescent="0.25">
      <c r="A1161" t="s">
        <v>435</v>
      </c>
      <c r="B1161" t="s">
        <v>448</v>
      </c>
      <c r="C1161" t="s">
        <v>44</v>
      </c>
      <c r="D1161" t="s">
        <v>449</v>
      </c>
      <c r="E1161" t="s">
        <v>134</v>
      </c>
      <c r="F1161" t="s">
        <v>449</v>
      </c>
      <c r="G1161" t="s">
        <v>33</v>
      </c>
      <c r="H1161" t="s">
        <v>453</v>
      </c>
      <c r="I1161" t="s">
        <v>135</v>
      </c>
      <c r="J1161" t="s">
        <v>39</v>
      </c>
      <c r="K1161" t="s">
        <v>31</v>
      </c>
      <c r="L1161">
        <v>0.11418742367164304</v>
      </c>
      <c r="M1161">
        <v>1</v>
      </c>
      <c r="N1161" s="2">
        <v>3.2114265275821117</v>
      </c>
      <c r="O1161" s="2">
        <v>5.3471683850504297</v>
      </c>
      <c r="P1161" s="1">
        <v>-1.5023279778075442</v>
      </c>
      <c r="Q1161" s="1">
        <v>0.9018789424539676</v>
      </c>
      <c r="R1161" s="1">
        <v>-1.862552393622352</v>
      </c>
      <c r="S1161" s="19">
        <v>11.838697237305684</v>
      </c>
      <c r="T1161" s="19">
        <v>23.48235769308614</v>
      </c>
      <c r="U1161" s="19">
        <v>41.372588511672298</v>
      </c>
      <c r="V1161" s="19">
        <v>66.779413143790379</v>
      </c>
      <c r="W1161" s="19">
        <v>100.5804674155828</v>
      </c>
      <c r="X1161" s="19">
        <v>142.94228093206399</v>
      </c>
      <c r="Y1161" s="19">
        <v>192.94189731468157</v>
      </c>
      <c r="Z1161" s="19">
        <v>248.19429918767253</v>
      </c>
      <c r="AA1161" s="19">
        <v>304.6072456198022</v>
      </c>
      <c r="AB1161" s="19">
        <v>356.43535166205857</v>
      </c>
      <c r="AC1161" s="19">
        <v>396.81466507908186</v>
      </c>
      <c r="AD1161" s="19">
        <v>418.88202732799874</v>
      </c>
      <c r="AE1161" s="19">
        <v>417.38834325718392</v>
      </c>
      <c r="AF1161" s="19">
        <v>390.42589988031841</v>
      </c>
      <c r="AG1161" s="19">
        <v>340.62555411435318</v>
      </c>
      <c r="AH1161" s="19">
        <v>279.52211556050929</v>
      </c>
      <c r="AI1161" s="19">
        <v>101.24029922076936</v>
      </c>
      <c r="AJ1161" s="19">
        <v>0</v>
      </c>
      <c r="AK1161" s="19">
        <v>0</v>
      </c>
      <c r="AL1161" s="19">
        <v>0</v>
      </c>
      <c r="AM1161" s="19">
        <v>0</v>
      </c>
      <c r="AN1161" s="19">
        <v>0</v>
      </c>
      <c r="AO1161" s="19">
        <v>0</v>
      </c>
      <c r="AP1161" s="19">
        <v>0</v>
      </c>
      <c r="AQ1161" s="19">
        <v>0</v>
      </c>
      <c r="AR1161" s="19">
        <v>3834.0735031579311</v>
      </c>
    </row>
    <row r="1162" spans="1:44" x14ac:dyDescent="0.25">
      <c r="A1162" t="s">
        <v>435</v>
      </c>
      <c r="B1162" t="s">
        <v>448</v>
      </c>
      <c r="C1162" t="s">
        <v>44</v>
      </c>
      <c r="D1162" t="s">
        <v>449</v>
      </c>
      <c r="E1162" t="s">
        <v>134</v>
      </c>
      <c r="F1162" t="s">
        <v>449</v>
      </c>
      <c r="G1162" t="s">
        <v>33</v>
      </c>
      <c r="H1162" t="s">
        <v>454</v>
      </c>
      <c r="I1162" t="s">
        <v>135</v>
      </c>
      <c r="J1162" t="s">
        <v>39</v>
      </c>
      <c r="K1162" t="s">
        <v>31</v>
      </c>
      <c r="L1162">
        <v>0.11418742367164304</v>
      </c>
      <c r="M1162">
        <v>1</v>
      </c>
      <c r="N1162" s="2">
        <v>3.2114265275821117</v>
      </c>
      <c r="O1162" s="2">
        <v>5.3471683850504297</v>
      </c>
      <c r="P1162" s="1">
        <v>-1.5023279778075442</v>
      </c>
      <c r="Q1162" s="1">
        <v>0.9018789424539676</v>
      </c>
      <c r="R1162" s="1">
        <v>-1.862552393622352</v>
      </c>
      <c r="S1162" s="19">
        <v>0.65188730451674737</v>
      </c>
      <c r="T1162" s="19">
        <v>1.293035082610819</v>
      </c>
      <c r="U1162" s="19">
        <v>2.2781446864581394</v>
      </c>
      <c r="V1162" s="19">
        <v>3.6771488246474631</v>
      </c>
      <c r="W1162" s="19">
        <v>5.5383737311877512</v>
      </c>
      <c r="X1162" s="19">
        <v>7.8709892102524766</v>
      </c>
      <c r="Y1162" s="19">
        <v>10.62417349203532</v>
      </c>
      <c r="Z1162" s="19">
        <v>13.666597721921056</v>
      </c>
      <c r="AA1162" s="19">
        <v>16.772926302873778</v>
      </c>
      <c r="AB1162" s="19">
        <v>19.626794736946845</v>
      </c>
      <c r="AC1162" s="19">
        <v>21.850245616213595</v>
      </c>
      <c r="AD1162" s="19">
        <v>23.065365236716278</v>
      </c>
      <c r="AE1162" s="19">
        <v>22.983116855563768</v>
      </c>
      <c r="AF1162" s="19">
        <v>21.498453958640965</v>
      </c>
      <c r="AG1162" s="19">
        <v>18.756242335635939</v>
      </c>
      <c r="AH1162" s="19">
        <v>15.391635989419818</v>
      </c>
      <c r="AI1162" s="19">
        <v>5.5747067810407209</v>
      </c>
      <c r="AJ1162" s="19">
        <v>0</v>
      </c>
      <c r="AK1162" s="19">
        <v>0</v>
      </c>
      <c r="AL1162" s="19">
        <v>0</v>
      </c>
      <c r="AM1162" s="19">
        <v>0</v>
      </c>
      <c r="AN1162" s="19">
        <v>0</v>
      </c>
      <c r="AO1162" s="19">
        <v>0</v>
      </c>
      <c r="AP1162" s="19">
        <v>0</v>
      </c>
      <c r="AQ1162" s="19">
        <v>0</v>
      </c>
      <c r="AR1162" s="19">
        <v>211.11983786668151</v>
      </c>
    </row>
    <row r="1163" spans="1:44" x14ac:dyDescent="0.25">
      <c r="A1163" t="s">
        <v>435</v>
      </c>
      <c r="B1163" t="s">
        <v>448</v>
      </c>
      <c r="C1163" t="s">
        <v>44</v>
      </c>
      <c r="D1163" t="s">
        <v>449</v>
      </c>
      <c r="E1163" t="s">
        <v>134</v>
      </c>
      <c r="F1163" t="s">
        <v>449</v>
      </c>
      <c r="G1163" t="s">
        <v>33</v>
      </c>
      <c r="H1163" t="s">
        <v>455</v>
      </c>
      <c r="I1163" t="s">
        <v>135</v>
      </c>
      <c r="J1163" t="s">
        <v>39</v>
      </c>
      <c r="K1163" t="s">
        <v>31</v>
      </c>
      <c r="L1163">
        <v>0.11418742367164304</v>
      </c>
      <c r="M1163">
        <v>1</v>
      </c>
      <c r="N1163" s="2">
        <v>3.2114265275821117</v>
      </c>
      <c r="O1163" s="2">
        <v>5.3471683850504297</v>
      </c>
      <c r="P1163" s="1">
        <v>-1.5023279778075442</v>
      </c>
      <c r="Q1163" s="1">
        <v>0.9018789424539676</v>
      </c>
      <c r="R1163" s="1">
        <v>-1.862552393622352</v>
      </c>
      <c r="S1163" s="19">
        <v>0.15359431146043767</v>
      </c>
      <c r="T1163" s="19">
        <v>0.30465823131043451</v>
      </c>
      <c r="U1163" s="19">
        <v>0.53676465563811748</v>
      </c>
      <c r="V1163" s="19">
        <v>0.86639076715563634</v>
      </c>
      <c r="W1163" s="19">
        <v>1.3049229429049325</v>
      </c>
      <c r="X1163" s="19">
        <v>1.8545217246675267</v>
      </c>
      <c r="Y1163" s="19">
        <v>2.5032127501778585</v>
      </c>
      <c r="Z1163" s="19">
        <v>3.2200529946834142</v>
      </c>
      <c r="AA1163" s="19">
        <v>3.9519500515144288</v>
      </c>
      <c r="AB1163" s="19">
        <v>4.6243637556823236</v>
      </c>
      <c r="AC1163" s="19">
        <v>5.1482417396541793</v>
      </c>
      <c r="AD1163" s="19">
        <v>5.4345419331999558</v>
      </c>
      <c r="AE1163" s="19">
        <v>5.4151629954843008</v>
      </c>
      <c r="AF1163" s="19">
        <v>5.0653544107431658</v>
      </c>
      <c r="AG1163" s="19">
        <v>4.4192487062817198</v>
      </c>
      <c r="AH1163" s="19">
        <v>3.6264975796654682</v>
      </c>
      <c r="AI1163" s="19">
        <v>1.3134835479922999</v>
      </c>
      <c r="AJ1163" s="19">
        <v>0</v>
      </c>
      <c r="AK1163" s="19">
        <v>0</v>
      </c>
      <c r="AL1163" s="19">
        <v>0</v>
      </c>
      <c r="AM1163" s="19">
        <v>0</v>
      </c>
      <c r="AN1163" s="19">
        <v>0</v>
      </c>
      <c r="AO1163" s="19">
        <v>0</v>
      </c>
      <c r="AP1163" s="19">
        <v>0</v>
      </c>
      <c r="AQ1163" s="19">
        <v>0</v>
      </c>
      <c r="AR1163" s="19">
        <v>49.742963098216201</v>
      </c>
    </row>
    <row r="1164" spans="1:44" x14ac:dyDescent="0.25">
      <c r="A1164" t="s">
        <v>435</v>
      </c>
      <c r="B1164" t="s">
        <v>448</v>
      </c>
      <c r="C1164" t="s">
        <v>44</v>
      </c>
      <c r="D1164" t="s">
        <v>449</v>
      </c>
      <c r="E1164" t="s">
        <v>134</v>
      </c>
      <c r="F1164" t="s">
        <v>449</v>
      </c>
      <c r="G1164" t="s">
        <v>33</v>
      </c>
      <c r="H1164" t="s">
        <v>456</v>
      </c>
      <c r="I1164" t="s">
        <v>135</v>
      </c>
      <c r="J1164" t="s">
        <v>39</v>
      </c>
      <c r="K1164" t="s">
        <v>31</v>
      </c>
      <c r="L1164">
        <v>0.11418742367164304</v>
      </c>
      <c r="M1164">
        <v>1</v>
      </c>
      <c r="N1164" s="2">
        <v>3.2114265275821117</v>
      </c>
      <c r="O1164" s="2">
        <v>5.3471683850504297</v>
      </c>
      <c r="P1164" s="1">
        <v>-1.5023279778075442</v>
      </c>
      <c r="Q1164" s="1">
        <v>0.9018789424539676</v>
      </c>
      <c r="R1164" s="1">
        <v>-1.862552393622352</v>
      </c>
      <c r="S1164" s="19">
        <v>27.685738362049783</v>
      </c>
      <c r="T1164" s="19">
        <v>54.915367644185935</v>
      </c>
      <c r="U1164" s="19">
        <v>96.753100272339537</v>
      </c>
      <c r="V1164" s="19">
        <v>156.16898744941446</v>
      </c>
      <c r="W1164" s="19">
        <v>235.21545060090105</v>
      </c>
      <c r="X1164" s="19">
        <v>334.28193249922174</v>
      </c>
      <c r="Y1164" s="19">
        <v>451.21002598994176</v>
      </c>
      <c r="Z1164" s="19">
        <v>580.42217758632773</v>
      </c>
      <c r="AA1164" s="19">
        <v>712.34835525988751</v>
      </c>
      <c r="AB1164" s="19">
        <v>833.55251775547697</v>
      </c>
      <c r="AC1164" s="19">
        <v>927.98276494349727</v>
      </c>
      <c r="AD1164" s="19">
        <v>979.58905280757779</v>
      </c>
      <c r="AE1164" s="19">
        <v>976.09595339374789</v>
      </c>
      <c r="AF1164" s="19">
        <v>913.04212762470831</v>
      </c>
      <c r="AG1164" s="19">
        <v>796.58004437525835</v>
      </c>
      <c r="AH1164" s="19">
        <v>653.68477651651972</v>
      </c>
      <c r="AI1164" s="19">
        <v>236.75851993996488</v>
      </c>
      <c r="AJ1164" s="19">
        <v>0</v>
      </c>
      <c r="AK1164" s="19">
        <v>0</v>
      </c>
      <c r="AL1164" s="19">
        <v>0</v>
      </c>
      <c r="AM1164" s="19">
        <v>0</v>
      </c>
      <c r="AN1164" s="19">
        <v>0</v>
      </c>
      <c r="AO1164" s="19">
        <v>0</v>
      </c>
      <c r="AP1164" s="19">
        <v>0</v>
      </c>
      <c r="AQ1164" s="19">
        <v>0</v>
      </c>
      <c r="AR1164" s="19">
        <v>8966.2868930210207</v>
      </c>
    </row>
    <row r="1165" spans="1:44" x14ac:dyDescent="0.25">
      <c r="A1165" t="s">
        <v>435</v>
      </c>
      <c r="B1165" t="s">
        <v>448</v>
      </c>
      <c r="C1165" t="s">
        <v>44</v>
      </c>
      <c r="D1165" t="s">
        <v>449</v>
      </c>
      <c r="E1165" t="s">
        <v>134</v>
      </c>
      <c r="F1165" t="s">
        <v>449</v>
      </c>
      <c r="G1165" t="s">
        <v>33</v>
      </c>
      <c r="H1165" t="s">
        <v>457</v>
      </c>
      <c r="I1165" t="s">
        <v>135</v>
      </c>
      <c r="J1165" t="s">
        <v>39</v>
      </c>
      <c r="K1165" t="s">
        <v>31</v>
      </c>
      <c r="L1165">
        <v>0.11418742367164304</v>
      </c>
      <c r="M1165">
        <v>1</v>
      </c>
      <c r="N1165" s="2">
        <v>3.2114265275821117</v>
      </c>
      <c r="O1165" s="2">
        <v>5.3471683850504297</v>
      </c>
      <c r="P1165" s="1">
        <v>-1.5023279778075442</v>
      </c>
      <c r="Q1165" s="1">
        <v>0.9018789424539676</v>
      </c>
      <c r="R1165" s="1">
        <v>-1.862552393622352</v>
      </c>
      <c r="S1165" s="19">
        <v>10.23538774083106</v>
      </c>
      <c r="T1165" s="19">
        <v>20.302152444632007</v>
      </c>
      <c r="U1165" s="19">
        <v>35.769517267863918</v>
      </c>
      <c r="V1165" s="19">
        <v>57.735506950712626</v>
      </c>
      <c r="W1165" s="19">
        <v>86.958899490093614</v>
      </c>
      <c r="X1165" s="19">
        <v>123.58367146075022</v>
      </c>
      <c r="Y1165" s="19">
        <v>166.81186205559391</v>
      </c>
      <c r="Z1165" s="19">
        <v>214.58145574029476</v>
      </c>
      <c r="AA1165" s="19">
        <v>263.35442195114354</v>
      </c>
      <c r="AB1165" s="19">
        <v>308.16347066503175</v>
      </c>
      <c r="AC1165" s="19">
        <v>343.07423164212679</v>
      </c>
      <c r="AD1165" s="19">
        <v>362.15302084566309</v>
      </c>
      <c r="AE1165" s="19">
        <v>360.86162574359759</v>
      </c>
      <c r="AF1165" s="19">
        <v>337.55069407006926</v>
      </c>
      <c r="AG1165" s="19">
        <v>294.4947869609764</v>
      </c>
      <c r="AH1165" s="19">
        <v>241.66655988833497</v>
      </c>
      <c r="AI1165" s="19">
        <v>87.529370567649423</v>
      </c>
      <c r="AJ1165" s="19">
        <v>0</v>
      </c>
      <c r="AK1165" s="19">
        <v>0</v>
      </c>
      <c r="AL1165" s="19">
        <v>0</v>
      </c>
      <c r="AM1165" s="19">
        <v>0</v>
      </c>
      <c r="AN1165" s="19">
        <v>0</v>
      </c>
      <c r="AO1165" s="19">
        <v>0</v>
      </c>
      <c r="AP1165" s="19">
        <v>0</v>
      </c>
      <c r="AQ1165" s="19">
        <v>0</v>
      </c>
      <c r="AR1165" s="19">
        <v>3314.8266354853654</v>
      </c>
    </row>
    <row r="1166" spans="1:44" x14ac:dyDescent="0.25">
      <c r="A1166" t="s">
        <v>435</v>
      </c>
      <c r="B1166" t="s">
        <v>448</v>
      </c>
      <c r="C1166" t="s">
        <v>44</v>
      </c>
      <c r="D1166" t="s">
        <v>449</v>
      </c>
      <c r="E1166" t="s">
        <v>134</v>
      </c>
      <c r="F1166" t="s">
        <v>449</v>
      </c>
      <c r="G1166" t="s">
        <v>33</v>
      </c>
      <c r="H1166" t="s">
        <v>450</v>
      </c>
      <c r="I1166" t="s">
        <v>135</v>
      </c>
      <c r="J1166" t="s">
        <v>39</v>
      </c>
      <c r="K1166" t="s">
        <v>33</v>
      </c>
      <c r="L1166">
        <v>0.11418742367164304</v>
      </c>
      <c r="M1166">
        <v>1</v>
      </c>
      <c r="N1166" s="2">
        <v>3.2114265275821117</v>
      </c>
      <c r="O1166" s="2">
        <v>5.3471683850504297</v>
      </c>
      <c r="P1166" s="1">
        <v>-1.5023279778075442</v>
      </c>
      <c r="Q1166" s="1">
        <v>0.9018789424539676</v>
      </c>
      <c r="R1166" s="1">
        <v>-1.862552393622352</v>
      </c>
      <c r="S1166" s="19">
        <v>4.025288104274428</v>
      </c>
      <c r="T1166" s="19">
        <v>7.9786959434417843</v>
      </c>
      <c r="U1166" s="19">
        <v>14.047533286454108</v>
      </c>
      <c r="V1166" s="19">
        <v>22.658290180832928</v>
      </c>
      <c r="W1166" s="19">
        <v>34.103216803003178</v>
      </c>
      <c r="X1166" s="19">
        <v>48.432798576362885</v>
      </c>
      <c r="Y1166" s="19">
        <v>65.328481217969426</v>
      </c>
      <c r="Z1166" s="19">
        <v>83.977893932157201</v>
      </c>
      <c r="AA1166" s="19">
        <v>102.99367781118198</v>
      </c>
      <c r="AB1166" s="19">
        <v>120.43376641784296</v>
      </c>
      <c r="AC1166" s="19">
        <v>133.98382483661749</v>
      </c>
      <c r="AD1166" s="19">
        <v>141.33624354910648</v>
      </c>
      <c r="AE1166" s="19">
        <v>140.73408497871608</v>
      </c>
      <c r="AF1166" s="19">
        <v>131.55118299547107</v>
      </c>
      <c r="AG1166" s="19">
        <v>114.6913128935366</v>
      </c>
      <c r="AH1166" s="19">
        <v>94.051696313713194</v>
      </c>
      <c r="AI1166" s="19">
        <v>21.664068861741647</v>
      </c>
      <c r="AJ1166" s="19">
        <v>0</v>
      </c>
      <c r="AK1166" s="19">
        <v>0</v>
      </c>
      <c r="AL1166" s="19">
        <v>0</v>
      </c>
      <c r="AM1166" s="19">
        <v>0</v>
      </c>
      <c r="AN1166" s="19">
        <v>0</v>
      </c>
      <c r="AO1166" s="19">
        <v>0</v>
      </c>
      <c r="AP1166" s="19">
        <v>0</v>
      </c>
      <c r="AQ1166" s="19">
        <v>0</v>
      </c>
      <c r="AR1166" s="19">
        <v>1281.9920567024235</v>
      </c>
    </row>
    <row r="1167" spans="1:44" x14ac:dyDescent="0.25">
      <c r="A1167" t="s">
        <v>435</v>
      </c>
      <c r="B1167" t="s">
        <v>448</v>
      </c>
      <c r="C1167" t="s">
        <v>44</v>
      </c>
      <c r="D1167" t="s">
        <v>449</v>
      </c>
      <c r="E1167" t="s">
        <v>134</v>
      </c>
      <c r="F1167" t="s">
        <v>449</v>
      </c>
      <c r="G1167" t="s">
        <v>33</v>
      </c>
      <c r="H1167" t="s">
        <v>451</v>
      </c>
      <c r="I1167" t="s">
        <v>135</v>
      </c>
      <c r="J1167" t="s">
        <v>39</v>
      </c>
      <c r="K1167" t="s">
        <v>33</v>
      </c>
      <c r="L1167">
        <v>0.11418742367164304</v>
      </c>
      <c r="M1167">
        <v>1</v>
      </c>
      <c r="N1167" s="2">
        <v>3.2114265275821117</v>
      </c>
      <c r="O1167" s="2">
        <v>5.3471683850504297</v>
      </c>
      <c r="P1167" s="1">
        <v>-1.5023279778075442</v>
      </c>
      <c r="Q1167" s="1">
        <v>0.9018789424539676</v>
      </c>
      <c r="R1167" s="1">
        <v>-1.862552393622352</v>
      </c>
      <c r="S1167" s="19">
        <v>7.6992006429804993</v>
      </c>
      <c r="T1167" s="19">
        <v>15.271560698384189</v>
      </c>
      <c r="U1167" s="19">
        <v>26.906327080236156</v>
      </c>
      <c r="V1167" s="19">
        <v>43.429449229799197</v>
      </c>
      <c r="W1167" s="19">
        <v>65.411690482049522</v>
      </c>
      <c r="X1167" s="19">
        <v>92.961352013738434</v>
      </c>
      <c r="Y1167" s="19">
        <v>125.47819663653732</v>
      </c>
      <c r="Z1167" s="19">
        <v>161.41114766143943</v>
      </c>
      <c r="AA1167" s="19">
        <v>198.09884941919847</v>
      </c>
      <c r="AB1167" s="19">
        <v>231.80483744865649</v>
      </c>
      <c r="AC1167" s="19">
        <v>258.06519613439053</v>
      </c>
      <c r="AD1167" s="19">
        <v>272.41652603244376</v>
      </c>
      <c r="AE1167" s="19">
        <v>271.44512072255969</v>
      </c>
      <c r="AF1167" s="19">
        <v>253.91031455069992</v>
      </c>
      <c r="AG1167" s="19">
        <v>221.52306395578287</v>
      </c>
      <c r="AH1167" s="19">
        <v>181.78493872358956</v>
      </c>
      <c r="AI1167" s="19">
        <v>65.840806740106615</v>
      </c>
      <c r="AJ1167" s="19">
        <v>0</v>
      </c>
      <c r="AK1167" s="19">
        <v>0</v>
      </c>
      <c r="AL1167" s="19">
        <v>0</v>
      </c>
      <c r="AM1167" s="19">
        <v>0</v>
      </c>
      <c r="AN1167" s="19">
        <v>0</v>
      </c>
      <c r="AO1167" s="19">
        <v>0</v>
      </c>
      <c r="AP1167" s="19">
        <v>0</v>
      </c>
      <c r="AQ1167" s="19">
        <v>0</v>
      </c>
      <c r="AR1167" s="19">
        <v>2493.4585781725928</v>
      </c>
    </row>
    <row r="1168" spans="1:44" x14ac:dyDescent="0.25">
      <c r="A1168" t="s">
        <v>435</v>
      </c>
      <c r="B1168" t="s">
        <v>448</v>
      </c>
      <c r="C1168" t="s">
        <v>44</v>
      </c>
      <c r="D1168" t="s">
        <v>449</v>
      </c>
      <c r="E1168" t="s">
        <v>134</v>
      </c>
      <c r="F1168" t="s">
        <v>449</v>
      </c>
      <c r="G1168" t="s">
        <v>33</v>
      </c>
      <c r="H1168" t="s">
        <v>452</v>
      </c>
      <c r="I1168" t="s">
        <v>135</v>
      </c>
      <c r="J1168" t="s">
        <v>39</v>
      </c>
      <c r="K1168" t="s">
        <v>33</v>
      </c>
      <c r="L1168">
        <v>0.11418742367164304</v>
      </c>
      <c r="M1168">
        <v>1</v>
      </c>
      <c r="N1168" s="2">
        <v>3.2114265275821117</v>
      </c>
      <c r="O1168" s="2">
        <v>5.3471683850504297</v>
      </c>
      <c r="P1168" s="1">
        <v>-1.5023279778075442</v>
      </c>
      <c r="Q1168" s="1">
        <v>0.9018789424539676</v>
      </c>
      <c r="R1168" s="1">
        <v>-1.862552393622352</v>
      </c>
      <c r="S1168" s="19">
        <v>76.547887127252267</v>
      </c>
      <c r="T1168" s="19">
        <v>151.83468502833449</v>
      </c>
      <c r="U1168" s="19">
        <v>267.51121107937928</v>
      </c>
      <c r="V1168" s="19">
        <v>431.78931577427443</v>
      </c>
      <c r="W1168" s="19">
        <v>650.34370865341418</v>
      </c>
      <c r="X1168" s="19">
        <v>924.25115425874753</v>
      </c>
      <c r="Y1168" s="19">
        <v>1247.5439046808008</v>
      </c>
      <c r="Z1168" s="19">
        <v>1604.800665057744</v>
      </c>
      <c r="AA1168" s="19">
        <v>1969.5613958579831</v>
      </c>
      <c r="AB1168" s="19">
        <v>2304.6769860126315</v>
      </c>
      <c r="AC1168" s="19">
        <v>2565.7657750714607</v>
      </c>
      <c r="AD1168" s="19">
        <v>2708.4512345241524</v>
      </c>
      <c r="AE1168" s="19">
        <v>2698.7932157941686</v>
      </c>
      <c r="AF1168" s="19">
        <v>2524.4566286751497</v>
      </c>
      <c r="AG1168" s="19">
        <v>2202.4523430533623</v>
      </c>
      <c r="AH1168" s="19">
        <v>1807.3633375868176</v>
      </c>
      <c r="AI1168" s="19">
        <v>654.61011816908456</v>
      </c>
      <c r="AJ1168" s="19">
        <v>0</v>
      </c>
      <c r="AK1168" s="19">
        <v>0</v>
      </c>
      <c r="AL1168" s="19">
        <v>0</v>
      </c>
      <c r="AM1168" s="19">
        <v>0</v>
      </c>
      <c r="AN1168" s="19">
        <v>0</v>
      </c>
      <c r="AO1168" s="19">
        <v>0</v>
      </c>
      <c r="AP1168" s="19">
        <v>0</v>
      </c>
      <c r="AQ1168" s="19">
        <v>0</v>
      </c>
      <c r="AR1168" s="19">
        <v>24790.753566404761</v>
      </c>
    </row>
    <row r="1169" spans="1:44" x14ac:dyDescent="0.25">
      <c r="A1169" t="s">
        <v>435</v>
      </c>
      <c r="B1169" t="s">
        <v>448</v>
      </c>
      <c r="C1169" t="s">
        <v>44</v>
      </c>
      <c r="D1169" t="s">
        <v>449</v>
      </c>
      <c r="E1169" t="s">
        <v>134</v>
      </c>
      <c r="F1169" t="s">
        <v>449</v>
      </c>
      <c r="G1169" t="s">
        <v>33</v>
      </c>
      <c r="H1169" t="s">
        <v>453</v>
      </c>
      <c r="I1169" t="s">
        <v>135</v>
      </c>
      <c r="J1169" t="s">
        <v>39</v>
      </c>
      <c r="K1169" t="s">
        <v>33</v>
      </c>
      <c r="L1169">
        <v>0.11418742367164304</v>
      </c>
      <c r="M1169">
        <v>1</v>
      </c>
      <c r="N1169" s="2">
        <v>3.2114265275821117</v>
      </c>
      <c r="O1169" s="2">
        <v>5.3471683850504297</v>
      </c>
      <c r="P1169" s="1">
        <v>-1.5023279778075442</v>
      </c>
      <c r="Q1169" s="1">
        <v>0.9018789424539676</v>
      </c>
      <c r="R1169" s="1">
        <v>-1.862552393622352</v>
      </c>
      <c r="S1169" s="19">
        <v>10.771840294894318</v>
      </c>
      <c r="T1169" s="19">
        <v>21.366219757730221</v>
      </c>
      <c r="U1169" s="19">
        <v>37.644253172533944</v>
      </c>
      <c r="V1169" s="19">
        <v>60.76151445996328</v>
      </c>
      <c r="W1169" s="19">
        <v>91.516550349171212</v>
      </c>
      <c r="X1169" s="19">
        <v>130.06088345059629</v>
      </c>
      <c r="Y1169" s="19">
        <v>175.55473059303009</v>
      </c>
      <c r="Z1169" s="19">
        <v>225.82800280829539</v>
      </c>
      <c r="AA1169" s="19">
        <v>277.15723586076814</v>
      </c>
      <c r="AB1169" s="19">
        <v>324.3147963493318</v>
      </c>
      <c r="AC1169" s="19">
        <v>361.05528448133902</v>
      </c>
      <c r="AD1169" s="19">
        <v>381.13402263217733</v>
      </c>
      <c r="AE1169" s="19">
        <v>379.77494350891504</v>
      </c>
      <c r="AF1169" s="19">
        <v>355.24224973408673</v>
      </c>
      <c r="AG1169" s="19">
        <v>309.92971572222945</v>
      </c>
      <c r="AH1169" s="19">
        <v>254.33267929352448</v>
      </c>
      <c r="AI1169" s="19">
        <v>92.116920701118985</v>
      </c>
      <c r="AJ1169" s="19">
        <v>0</v>
      </c>
      <c r="AK1169" s="19">
        <v>0</v>
      </c>
      <c r="AL1169" s="19">
        <v>0</v>
      </c>
      <c r="AM1169" s="19">
        <v>0</v>
      </c>
      <c r="AN1169" s="19">
        <v>0</v>
      </c>
      <c r="AO1169" s="19">
        <v>0</v>
      </c>
      <c r="AP1169" s="19">
        <v>0</v>
      </c>
      <c r="AQ1169" s="19">
        <v>0</v>
      </c>
      <c r="AR1169" s="19">
        <v>3488.5618431697058</v>
      </c>
    </row>
    <row r="1170" spans="1:44" x14ac:dyDescent="0.25">
      <c r="A1170" t="s">
        <v>435</v>
      </c>
      <c r="B1170" t="s">
        <v>448</v>
      </c>
      <c r="C1170" t="s">
        <v>44</v>
      </c>
      <c r="D1170" t="s">
        <v>449</v>
      </c>
      <c r="E1170" t="s">
        <v>134</v>
      </c>
      <c r="F1170" t="s">
        <v>449</v>
      </c>
      <c r="G1170" t="s">
        <v>33</v>
      </c>
      <c r="H1170" t="s">
        <v>454</v>
      </c>
      <c r="I1170" t="s">
        <v>135</v>
      </c>
      <c r="J1170" t="s">
        <v>39</v>
      </c>
      <c r="K1170" t="s">
        <v>33</v>
      </c>
      <c r="L1170">
        <v>0.11418742367164304</v>
      </c>
      <c r="M1170">
        <v>1</v>
      </c>
      <c r="N1170" s="2">
        <v>3.2114265275821117</v>
      </c>
      <c r="O1170" s="2">
        <v>5.3471683850504297</v>
      </c>
      <c r="P1170" s="1">
        <v>-1.5023279778075442</v>
      </c>
      <c r="Q1170" s="1">
        <v>0.9018789424539676</v>
      </c>
      <c r="R1170" s="1">
        <v>-1.862552393622352</v>
      </c>
      <c r="S1170" s="19">
        <v>5.2313983466566905</v>
      </c>
      <c r="T1170" s="19">
        <v>10.376611948830424</v>
      </c>
      <c r="U1170" s="19">
        <v>18.282120642028332</v>
      </c>
      <c r="V1170" s="19">
        <v>29.509134705317969</v>
      </c>
      <c r="W1170" s="19">
        <v>44.445472368848847</v>
      </c>
      <c r="X1170" s="19">
        <v>63.164721349485376</v>
      </c>
      <c r="Y1170" s="19">
        <v>85.2590367318613</v>
      </c>
      <c r="Z1170" s="19">
        <v>109.67450390812628</v>
      </c>
      <c r="AA1170" s="19">
        <v>134.60280376912013</v>
      </c>
      <c r="AB1170" s="19">
        <v>157.50510989495143</v>
      </c>
      <c r="AC1170" s="19">
        <v>175.34831250539531</v>
      </c>
      <c r="AD1170" s="19">
        <v>185.09965254476029</v>
      </c>
      <c r="AE1170" s="19">
        <v>184.43960894183201</v>
      </c>
      <c r="AF1170" s="19">
        <v>172.5251829812556</v>
      </c>
      <c r="AG1170" s="19">
        <v>150.5189232314882</v>
      </c>
      <c r="AH1170" s="19">
        <v>123.51794322345768</v>
      </c>
      <c r="AI1170" s="19">
        <v>44.737045245959365</v>
      </c>
      <c r="AJ1170" s="19">
        <v>0</v>
      </c>
      <c r="AK1170" s="19">
        <v>0</v>
      </c>
      <c r="AL1170" s="19">
        <v>0</v>
      </c>
      <c r="AM1170" s="19">
        <v>0</v>
      </c>
      <c r="AN1170" s="19">
        <v>0</v>
      </c>
      <c r="AO1170" s="19">
        <v>0</v>
      </c>
      <c r="AP1170" s="19">
        <v>0</v>
      </c>
      <c r="AQ1170" s="19">
        <v>0</v>
      </c>
      <c r="AR1170" s="19">
        <v>1694.2375823393752</v>
      </c>
    </row>
    <row r="1171" spans="1:44" x14ac:dyDescent="0.25">
      <c r="A1171" t="s">
        <v>435</v>
      </c>
      <c r="B1171" t="s">
        <v>448</v>
      </c>
      <c r="C1171" t="s">
        <v>44</v>
      </c>
      <c r="D1171" t="s">
        <v>449</v>
      </c>
      <c r="E1171" t="s">
        <v>134</v>
      </c>
      <c r="F1171" t="s">
        <v>449</v>
      </c>
      <c r="G1171" t="s">
        <v>33</v>
      </c>
      <c r="H1171" t="s">
        <v>455</v>
      </c>
      <c r="I1171" t="s">
        <v>135</v>
      </c>
      <c r="J1171" t="s">
        <v>39</v>
      </c>
      <c r="K1171" t="s">
        <v>33</v>
      </c>
      <c r="L1171">
        <v>0.11418742367164304</v>
      </c>
      <c r="M1171">
        <v>1</v>
      </c>
      <c r="N1171" s="2">
        <v>3.2114265275821117</v>
      </c>
      <c r="O1171" s="2">
        <v>5.3471683850504297</v>
      </c>
      <c r="P1171" s="1">
        <v>-1.5023279778075442</v>
      </c>
      <c r="Q1171" s="1">
        <v>0.9018789424539676</v>
      </c>
      <c r="R1171" s="1">
        <v>-1.862552393622352</v>
      </c>
      <c r="S1171" s="19">
        <v>3.9052548773107074</v>
      </c>
      <c r="T1171" s="19">
        <v>7.7461725790826881</v>
      </c>
      <c r="U1171" s="19">
        <v>13.647659014628902</v>
      </c>
      <c r="V1171" s="19">
        <v>22.0286593749471</v>
      </c>
      <c r="W1171" s="19">
        <v>33.178681155823632</v>
      </c>
      <c r="X1171" s="19">
        <v>47.152657813124755</v>
      </c>
      <c r="Y1171" s="19">
        <v>63.646131869254958</v>
      </c>
      <c r="Z1171" s="19">
        <v>81.872352843779723</v>
      </c>
      <c r="AA1171" s="19">
        <v>100.48140498706104</v>
      </c>
      <c r="AB1171" s="19">
        <v>117.57804660616556</v>
      </c>
      <c r="AC1171" s="19">
        <v>130.89805196683787</v>
      </c>
      <c r="AD1171" s="19">
        <v>138.17745715175988</v>
      </c>
      <c r="AE1171" s="19">
        <v>137.6847325820049</v>
      </c>
      <c r="AF1171" s="19">
        <v>128.79057713642806</v>
      </c>
      <c r="AG1171" s="19">
        <v>112.36283687954852</v>
      </c>
      <c r="AH1171" s="19">
        <v>92.206522662735111</v>
      </c>
      <c r="AI1171" s="19">
        <v>33.396341200992218</v>
      </c>
      <c r="AJ1171" s="19">
        <v>0</v>
      </c>
      <c r="AK1171" s="19">
        <v>0</v>
      </c>
      <c r="AL1171" s="19">
        <v>0</v>
      </c>
      <c r="AM1171" s="19">
        <v>0</v>
      </c>
      <c r="AN1171" s="19">
        <v>0</v>
      </c>
      <c r="AO1171" s="19">
        <v>0</v>
      </c>
      <c r="AP1171" s="19">
        <v>0</v>
      </c>
      <c r="AQ1171" s="19">
        <v>0</v>
      </c>
      <c r="AR1171" s="19">
        <v>1264.7535407014857</v>
      </c>
    </row>
    <row r="1172" spans="1:44" x14ac:dyDescent="0.25">
      <c r="A1172" t="s">
        <v>435</v>
      </c>
      <c r="B1172" t="s">
        <v>448</v>
      </c>
      <c r="C1172" t="s">
        <v>44</v>
      </c>
      <c r="D1172" t="s">
        <v>449</v>
      </c>
      <c r="E1172" t="s">
        <v>134</v>
      </c>
      <c r="F1172" t="s">
        <v>449</v>
      </c>
      <c r="G1172" t="s">
        <v>33</v>
      </c>
      <c r="H1172" t="s">
        <v>456</v>
      </c>
      <c r="I1172" t="s">
        <v>135</v>
      </c>
      <c r="J1172" t="s">
        <v>39</v>
      </c>
      <c r="K1172" t="s">
        <v>33</v>
      </c>
      <c r="L1172">
        <v>0.11418742367164304</v>
      </c>
      <c r="M1172">
        <v>1</v>
      </c>
      <c r="N1172" s="2">
        <v>3.2114265275821117</v>
      </c>
      <c r="O1172" s="2">
        <v>5.3471683850504297</v>
      </c>
      <c r="P1172" s="1">
        <v>-1.5023279778075442</v>
      </c>
      <c r="Q1172" s="1">
        <v>0.9018789424539676</v>
      </c>
      <c r="R1172" s="1">
        <v>-1.862552393622352</v>
      </c>
      <c r="S1172" s="19">
        <v>25.562234653885369</v>
      </c>
      <c r="T1172" s="19">
        <v>50.703343919094024</v>
      </c>
      <c r="U1172" s="19">
        <v>89.332111006387905</v>
      </c>
      <c r="V1172" s="19">
        <v>144.19078337869732</v>
      </c>
      <c r="W1172" s="19">
        <v>217.17436117656257</v>
      </c>
      <c r="X1172" s="19">
        <v>308.64241680519604</v>
      </c>
      <c r="Y1172" s="19">
        <v>416.60209352952438</v>
      </c>
      <c r="Z1172" s="19">
        <v>535.90363774146226</v>
      </c>
      <c r="AA1172" s="19">
        <v>657.71104148780137</v>
      </c>
      <c r="AB1172" s="19">
        <v>769.61881155424203</v>
      </c>
      <c r="AC1172" s="19">
        <v>856.806232943493</v>
      </c>
      <c r="AD1172" s="19">
        <v>904.45430440709663</v>
      </c>
      <c r="AE1172" s="19">
        <v>901.22912667414278</v>
      </c>
      <c r="AF1172" s="19">
        <v>843.01154659534075</v>
      </c>
      <c r="AG1172" s="19">
        <v>735.48213699926021</v>
      </c>
      <c r="AH1172" s="19">
        <v>603.5469752864758</v>
      </c>
      <c r="AI1172" s="19">
        <v>218.59907667508375</v>
      </c>
      <c r="AJ1172" s="19">
        <v>0</v>
      </c>
      <c r="AK1172" s="19">
        <v>0</v>
      </c>
      <c r="AL1172" s="19">
        <v>0</v>
      </c>
      <c r="AM1172" s="19">
        <v>0</v>
      </c>
      <c r="AN1172" s="19">
        <v>0</v>
      </c>
      <c r="AO1172" s="19">
        <v>0</v>
      </c>
      <c r="AP1172" s="19">
        <v>0</v>
      </c>
      <c r="AQ1172" s="19">
        <v>0</v>
      </c>
      <c r="AR1172" s="19">
        <v>8278.5702348337454</v>
      </c>
    </row>
    <row r="1173" spans="1:44" x14ac:dyDescent="0.25">
      <c r="A1173" t="s">
        <v>435</v>
      </c>
      <c r="B1173" t="s">
        <v>448</v>
      </c>
      <c r="C1173" t="s">
        <v>44</v>
      </c>
      <c r="D1173" t="s">
        <v>449</v>
      </c>
      <c r="E1173" t="s">
        <v>134</v>
      </c>
      <c r="F1173" t="s">
        <v>449</v>
      </c>
      <c r="G1173" t="s">
        <v>33</v>
      </c>
      <c r="H1173" t="s">
        <v>457</v>
      </c>
      <c r="I1173" t="s">
        <v>135</v>
      </c>
      <c r="J1173" t="s">
        <v>39</v>
      </c>
      <c r="K1173" t="s">
        <v>33</v>
      </c>
      <c r="L1173">
        <v>0.11418742367164304</v>
      </c>
      <c r="M1173">
        <v>1</v>
      </c>
      <c r="N1173" s="2">
        <v>3.2114265275821117</v>
      </c>
      <c r="O1173" s="2">
        <v>5.3471683850504297</v>
      </c>
      <c r="P1173" s="1">
        <v>-1.5023279778075442</v>
      </c>
      <c r="Q1173" s="1">
        <v>0.9018789424539676</v>
      </c>
      <c r="R1173" s="1">
        <v>-1.862552393622352</v>
      </c>
      <c r="S1173" s="19">
        <v>2.9948188805084421</v>
      </c>
      <c r="T1173" s="19">
        <v>5.9402995759111148</v>
      </c>
      <c r="U1173" s="19">
        <v>10.465966544006449</v>
      </c>
      <c r="V1173" s="19">
        <v>16.8930958621096</v>
      </c>
      <c r="W1173" s="19">
        <v>25.443701852375852</v>
      </c>
      <c r="X1173" s="19">
        <v>36.159911278862424</v>
      </c>
      <c r="Y1173" s="19">
        <v>48.808245141898254</v>
      </c>
      <c r="Z1173" s="19">
        <v>62.785368891735125</v>
      </c>
      <c r="AA1173" s="19">
        <v>77.056073994968514</v>
      </c>
      <c r="AB1173" s="19">
        <v>90.166958360457031</v>
      </c>
      <c r="AC1173" s="19">
        <v>100.38165747635324</v>
      </c>
      <c r="AD1173" s="19">
        <v>105.96400761010123</v>
      </c>
      <c r="AE1173" s="19">
        <v>105.58615241479352</v>
      </c>
      <c r="AF1173" s="19">
        <v>98.765500372503979</v>
      </c>
      <c r="AG1173" s="19">
        <v>86.167575721995348</v>
      </c>
      <c r="AH1173" s="19">
        <v>70.710323308410892</v>
      </c>
      <c r="AI1173" s="19">
        <v>25.61061859232824</v>
      </c>
      <c r="AJ1173" s="19">
        <v>0</v>
      </c>
      <c r="AK1173" s="19">
        <v>0</v>
      </c>
      <c r="AL1173" s="19">
        <v>0</v>
      </c>
      <c r="AM1173" s="19">
        <v>0</v>
      </c>
      <c r="AN1173" s="19">
        <v>0</v>
      </c>
      <c r="AO1173" s="19">
        <v>0</v>
      </c>
      <c r="AP1173" s="19">
        <v>0</v>
      </c>
      <c r="AQ1173" s="19">
        <v>0</v>
      </c>
      <c r="AR1173" s="19">
        <v>969.90027587931934</v>
      </c>
    </row>
    <row r="1174" spans="1:44" x14ac:dyDescent="0.25">
      <c r="A1174" t="s">
        <v>435</v>
      </c>
      <c r="B1174" t="s">
        <v>448</v>
      </c>
      <c r="C1174" t="s">
        <v>44</v>
      </c>
      <c r="D1174" t="s">
        <v>449</v>
      </c>
      <c r="E1174" t="s">
        <v>134</v>
      </c>
      <c r="F1174" t="s">
        <v>449</v>
      </c>
      <c r="G1174" t="s">
        <v>33</v>
      </c>
      <c r="H1174" t="s">
        <v>457</v>
      </c>
      <c r="I1174" t="s">
        <v>256</v>
      </c>
      <c r="J1174" t="s">
        <v>39</v>
      </c>
      <c r="K1174" t="s">
        <v>33</v>
      </c>
      <c r="L1174">
        <v>0.11418742367164304</v>
      </c>
      <c r="M1174">
        <v>1</v>
      </c>
      <c r="N1174" s="2">
        <v>1.5893275046597133</v>
      </c>
      <c r="O1174" s="2">
        <v>2.6463011728329868</v>
      </c>
      <c r="P1174" s="1">
        <v>-3.9391026458677245E-2</v>
      </c>
      <c r="Q1174" s="1">
        <v>1.3498045353129324</v>
      </c>
      <c r="R1174" s="1">
        <v>-0.39961544227348478</v>
      </c>
      <c r="S1174" s="19">
        <v>8.2359528708442475</v>
      </c>
      <c r="T1174" s="19">
        <v>16.336222422103202</v>
      </c>
      <c r="U1174" s="19">
        <v>28.78211025223526</v>
      </c>
      <c r="V1174" s="19">
        <v>46.457147131170728</v>
      </c>
      <c r="W1174" s="19">
        <v>69.971887341782519</v>
      </c>
      <c r="X1174" s="19">
        <v>99.442182311893148</v>
      </c>
      <c r="Y1174" s="19">
        <v>134.2259491261924</v>
      </c>
      <c r="Z1174" s="19">
        <v>172.66397728970884</v>
      </c>
      <c r="AA1174" s="19">
        <v>211.90937387409025</v>
      </c>
      <c r="AB1174" s="19">
        <v>247.965185606825</v>
      </c>
      <c r="AC1174" s="19">
        <v>276.05629357195602</v>
      </c>
      <c r="AD1174" s="19">
        <v>291.40813101004983</v>
      </c>
      <c r="AE1174" s="19">
        <v>290.36900386923605</v>
      </c>
      <c r="AF1174" s="19">
        <v>271.61175309379433</v>
      </c>
      <c r="AG1174" s="19">
        <v>236.96661499635431</v>
      </c>
      <c r="AH1174" s="19">
        <v>194.45813369233232</v>
      </c>
      <c r="AI1174" s="19">
        <v>70.430919576603159</v>
      </c>
      <c r="AJ1174" s="19">
        <v>0</v>
      </c>
      <c r="AK1174" s="19">
        <v>0</v>
      </c>
      <c r="AL1174" s="19">
        <v>0</v>
      </c>
      <c r="AM1174" s="19">
        <v>0</v>
      </c>
      <c r="AN1174" s="19">
        <v>0</v>
      </c>
      <c r="AO1174" s="19">
        <v>0</v>
      </c>
      <c r="AP1174" s="19">
        <v>0</v>
      </c>
      <c r="AQ1174" s="19">
        <v>0</v>
      </c>
      <c r="AR1174" s="19">
        <v>2667.2908380371719</v>
      </c>
    </row>
    <row r="1175" spans="1:44" x14ac:dyDescent="0.25">
      <c r="A1175" t="s">
        <v>435</v>
      </c>
      <c r="B1175" t="s">
        <v>448</v>
      </c>
      <c r="C1175" t="s">
        <v>44</v>
      </c>
      <c r="D1175" t="s">
        <v>449</v>
      </c>
      <c r="E1175" t="s">
        <v>134</v>
      </c>
      <c r="F1175" t="s">
        <v>449</v>
      </c>
      <c r="G1175" t="s">
        <v>33</v>
      </c>
      <c r="H1175" t="s">
        <v>452</v>
      </c>
      <c r="I1175" t="s">
        <v>135</v>
      </c>
      <c r="J1175" t="s">
        <v>40</v>
      </c>
      <c r="K1175" t="s">
        <v>33</v>
      </c>
      <c r="L1175">
        <v>0.11418742367164304</v>
      </c>
      <c r="M1175">
        <v>1</v>
      </c>
      <c r="N1175" s="2">
        <v>3.2114265275821117</v>
      </c>
      <c r="O1175" s="2">
        <v>4.1746294160814514</v>
      </c>
      <c r="P1175" s="1">
        <v>-1.5023279778075442</v>
      </c>
      <c r="Q1175" s="1">
        <v>1.3498045353129324</v>
      </c>
      <c r="R1175" s="1">
        <v>-1.7195523936223516</v>
      </c>
      <c r="S1175" s="19">
        <v>5.6050367123125637</v>
      </c>
      <c r="T1175" s="19">
        <v>11.117733169714702</v>
      </c>
      <c r="U1175" s="19">
        <v>19.587871270209131</v>
      </c>
      <c r="V1175" s="19">
        <v>31.616744207137</v>
      </c>
      <c r="W1175" s="19">
        <v>47.619869070509495</v>
      </c>
      <c r="X1175" s="19">
        <v>67.676089379261441</v>
      </c>
      <c r="Y1175" s="19">
        <v>91.348431006767825</v>
      </c>
      <c r="Z1175" s="19">
        <v>117.50770636737694</v>
      </c>
      <c r="AA1175" s="19">
        <v>144.21644208919446</v>
      </c>
      <c r="AB1175" s="19">
        <v>168.75448299635335</v>
      </c>
      <c r="AC1175" s="19">
        <v>187.87208771110147</v>
      </c>
      <c r="AD1175" s="19">
        <v>198.31989062976359</v>
      </c>
      <c r="AE1175" s="19">
        <v>197.61270521183337</v>
      </c>
      <c r="AF1175" s="19">
        <v>184.84732385680061</v>
      </c>
      <c r="AG1175" s="19">
        <v>161.26932699541436</v>
      </c>
      <c r="AH1175" s="19">
        <v>132.33987559736727</v>
      </c>
      <c r="AI1175" s="19">
        <v>47.93226674551449</v>
      </c>
      <c r="AJ1175" s="19">
        <v>0</v>
      </c>
      <c r="AK1175" s="19">
        <v>0</v>
      </c>
      <c r="AL1175" s="19">
        <v>0</v>
      </c>
      <c r="AM1175" s="19">
        <v>0</v>
      </c>
      <c r="AN1175" s="19">
        <v>0</v>
      </c>
      <c r="AO1175" s="19">
        <v>0</v>
      </c>
      <c r="AP1175" s="19">
        <v>0</v>
      </c>
      <c r="AQ1175" s="19">
        <v>0</v>
      </c>
      <c r="AR1175" s="19">
        <v>1815.243883016632</v>
      </c>
    </row>
    <row r="1176" spans="1:44" x14ac:dyDescent="0.25">
      <c r="A1176" t="s">
        <v>435</v>
      </c>
      <c r="B1176" t="s">
        <v>448</v>
      </c>
      <c r="C1176" t="s">
        <v>44</v>
      </c>
      <c r="D1176" t="s">
        <v>449</v>
      </c>
      <c r="E1176" t="s">
        <v>134</v>
      </c>
      <c r="F1176" t="s">
        <v>449</v>
      </c>
      <c r="G1176" t="s">
        <v>33</v>
      </c>
      <c r="H1176" t="s">
        <v>453</v>
      </c>
      <c r="I1176" t="s">
        <v>135</v>
      </c>
      <c r="J1176" t="s">
        <v>40</v>
      </c>
      <c r="K1176" t="s">
        <v>33</v>
      </c>
      <c r="L1176">
        <v>0.11418742367164304</v>
      </c>
      <c r="M1176">
        <v>1</v>
      </c>
      <c r="N1176" s="2">
        <v>3.2114265275821117</v>
      </c>
      <c r="O1176" s="2">
        <v>4.1746294160814514</v>
      </c>
      <c r="P1176" s="1">
        <v>-1.5023279778075442</v>
      </c>
      <c r="Q1176" s="1">
        <v>1.3498045353129324</v>
      </c>
      <c r="R1176" s="1">
        <v>-1.7195523936223516</v>
      </c>
      <c r="S1176" s="19">
        <v>219.36439457268904</v>
      </c>
      <c r="T1176" s="19">
        <v>435.11486739021518</v>
      </c>
      <c r="U1176" s="19">
        <v>766.6107721860684</v>
      </c>
      <c r="V1176" s="19">
        <v>1237.3849284738496</v>
      </c>
      <c r="W1176" s="19">
        <v>1863.6994339994455</v>
      </c>
      <c r="X1176" s="19">
        <v>2648.6399885869314</v>
      </c>
      <c r="Y1176" s="19">
        <v>3575.1047301699159</v>
      </c>
      <c r="Z1176" s="19">
        <v>4598.900629549973</v>
      </c>
      <c r="AA1176" s="19">
        <v>5644.2007662195756</v>
      </c>
      <c r="AB1176" s="19">
        <v>6604.5463917485704</v>
      </c>
      <c r="AC1176" s="19">
        <v>7352.752335648699</v>
      </c>
      <c r="AD1176" s="19">
        <v>7761.6481341066356</v>
      </c>
      <c r="AE1176" s="19">
        <v>7733.9710092246323</v>
      </c>
      <c r="AF1176" s="19">
        <v>7234.3721134163443</v>
      </c>
      <c r="AG1176" s="19">
        <v>6311.5997441697618</v>
      </c>
      <c r="AH1176" s="19">
        <v>5179.3874292508945</v>
      </c>
      <c r="AI1176" s="19">
        <v>1875.9257458615689</v>
      </c>
      <c r="AJ1176" s="19">
        <v>0</v>
      </c>
      <c r="AK1176" s="19">
        <v>0</v>
      </c>
      <c r="AL1176" s="19">
        <v>0</v>
      </c>
      <c r="AM1176" s="19">
        <v>0</v>
      </c>
      <c r="AN1176" s="19">
        <v>0</v>
      </c>
      <c r="AO1176" s="19">
        <v>0</v>
      </c>
      <c r="AP1176" s="19">
        <v>0</v>
      </c>
      <c r="AQ1176" s="19">
        <v>0</v>
      </c>
      <c r="AR1176" s="19">
        <v>71043.223414575768</v>
      </c>
    </row>
    <row r="1177" spans="1:44" x14ac:dyDescent="0.25">
      <c r="A1177" t="s">
        <v>435</v>
      </c>
      <c r="B1177" t="s">
        <v>448</v>
      </c>
      <c r="C1177" t="s">
        <v>44</v>
      </c>
      <c r="D1177" t="s">
        <v>449</v>
      </c>
      <c r="E1177" t="s">
        <v>134</v>
      </c>
      <c r="F1177" t="s">
        <v>449</v>
      </c>
      <c r="G1177" t="s">
        <v>33</v>
      </c>
      <c r="H1177" t="s">
        <v>456</v>
      </c>
      <c r="I1177" t="s">
        <v>135</v>
      </c>
      <c r="J1177" t="s">
        <v>40</v>
      </c>
      <c r="K1177" t="s">
        <v>33</v>
      </c>
      <c r="L1177">
        <v>0.11418742367164304</v>
      </c>
      <c r="M1177">
        <v>1</v>
      </c>
      <c r="N1177" s="2">
        <v>3.2114265275821117</v>
      </c>
      <c r="O1177" s="2">
        <v>4.1746294160814514</v>
      </c>
      <c r="P1177" s="1">
        <v>-1.5023279778075442</v>
      </c>
      <c r="Q1177" s="1">
        <v>1.3498045353129324</v>
      </c>
      <c r="R1177" s="1">
        <v>-1.7195523936223516</v>
      </c>
      <c r="S1177" s="19">
        <v>94.368453789776396</v>
      </c>
      <c r="T1177" s="19">
        <v>187.18223318120167</v>
      </c>
      <c r="U1177" s="19">
        <v>329.78858474597973</v>
      </c>
      <c r="V1177" s="19">
        <v>532.31110121728091</v>
      </c>
      <c r="W1177" s="19">
        <v>801.74558071743468</v>
      </c>
      <c r="X1177" s="19">
        <v>1139.4194616478487</v>
      </c>
      <c r="Y1177" s="19">
        <v>1537.9756873481886</v>
      </c>
      <c r="Z1177" s="19">
        <v>1978.4028414859824</v>
      </c>
      <c r="AA1177" s="19">
        <v>2428.0809117849685</v>
      </c>
      <c r="AB1177" s="19">
        <v>2841.2123680610998</v>
      </c>
      <c r="AC1177" s="19">
        <v>3163.0833726045425</v>
      </c>
      <c r="AD1177" s="19">
        <v>3338.9864143756404</v>
      </c>
      <c r="AE1177" s="19">
        <v>3327.0799813122931</v>
      </c>
      <c r="AF1177" s="19">
        <v>3112.157338992211</v>
      </c>
      <c r="AG1177" s="19">
        <v>2715.1895363761237</v>
      </c>
      <c r="AH1177" s="19">
        <v>2228.1226824832402</v>
      </c>
      <c r="AI1177" s="19">
        <v>807.00522254868542</v>
      </c>
      <c r="AJ1177" s="19">
        <v>0</v>
      </c>
      <c r="AK1177" s="19">
        <v>0</v>
      </c>
      <c r="AL1177" s="19">
        <v>0</v>
      </c>
      <c r="AM1177" s="19">
        <v>0</v>
      </c>
      <c r="AN1177" s="19">
        <v>0</v>
      </c>
      <c r="AO1177" s="19">
        <v>0</v>
      </c>
      <c r="AP1177" s="19">
        <v>0</v>
      </c>
      <c r="AQ1177" s="19">
        <v>0</v>
      </c>
      <c r="AR1177" s="19">
        <v>30562.111772672502</v>
      </c>
    </row>
    <row r="1178" spans="1:44" x14ac:dyDescent="0.25">
      <c r="A1178" t="s">
        <v>435</v>
      </c>
      <c r="B1178" t="s">
        <v>448</v>
      </c>
      <c r="C1178" t="s">
        <v>44</v>
      </c>
      <c r="D1178" t="s">
        <v>449</v>
      </c>
      <c r="E1178" t="s">
        <v>134</v>
      </c>
      <c r="F1178" t="s">
        <v>449</v>
      </c>
      <c r="G1178" t="s">
        <v>33</v>
      </c>
      <c r="H1178" t="s">
        <v>450</v>
      </c>
      <c r="I1178" t="s">
        <v>256</v>
      </c>
      <c r="J1178" t="s">
        <v>40</v>
      </c>
      <c r="K1178" t="s">
        <v>33</v>
      </c>
      <c r="L1178">
        <v>0.11418742367164304</v>
      </c>
      <c r="M1178">
        <v>1</v>
      </c>
      <c r="N1178" s="2">
        <v>1.5893275046597133</v>
      </c>
      <c r="O1178" s="2">
        <v>1.4737622038640086</v>
      </c>
      <c r="P1178" s="1">
        <v>-3.9391026458677245E-2</v>
      </c>
      <c r="Q1178" s="1">
        <v>1.3498045353129324</v>
      </c>
      <c r="R1178" s="1">
        <v>-0.25661544227348476</v>
      </c>
      <c r="S1178" s="19">
        <v>105.14859331945163</v>
      </c>
      <c r="T1178" s="19">
        <v>208.56491468263545</v>
      </c>
      <c r="U1178" s="19">
        <v>367.46184117948638</v>
      </c>
      <c r="V1178" s="19">
        <v>593.11942978331547</v>
      </c>
      <c r="W1178" s="19">
        <v>893.33264059115299</v>
      </c>
      <c r="X1178" s="19">
        <v>1269.5805513564308</v>
      </c>
      <c r="Y1178" s="19">
        <v>1713.6656752311717</v>
      </c>
      <c r="Z1178" s="19">
        <v>2204.4048349554928</v>
      </c>
      <c r="AA1178" s="19">
        <v>2705.4516852501447</v>
      </c>
      <c r="AB1178" s="19">
        <v>3165.7770348656313</v>
      </c>
      <c r="AC1178" s="19">
        <v>3524.4168344903696</v>
      </c>
      <c r="AD1178" s="19">
        <v>3720.4140842073889</v>
      </c>
      <c r="AE1178" s="19">
        <v>3707.1475249093824</v>
      </c>
      <c r="AF1178" s="19">
        <v>3467.6732874401605</v>
      </c>
      <c r="AG1178" s="19">
        <v>3025.3580394741357</v>
      </c>
      <c r="AH1178" s="19">
        <v>2482.6513140523398</v>
      </c>
      <c r="AI1178" s="19">
        <v>899.19311533361429</v>
      </c>
      <c r="AJ1178" s="19">
        <v>0</v>
      </c>
      <c r="AK1178" s="19">
        <v>0</v>
      </c>
      <c r="AL1178" s="19">
        <v>0</v>
      </c>
      <c r="AM1178" s="19">
        <v>0</v>
      </c>
      <c r="AN1178" s="19">
        <v>0</v>
      </c>
      <c r="AO1178" s="19">
        <v>0</v>
      </c>
      <c r="AP1178" s="19">
        <v>0</v>
      </c>
      <c r="AQ1178" s="19">
        <v>0</v>
      </c>
      <c r="AR1178" s="19">
        <v>34053.361401122304</v>
      </c>
    </row>
    <row r="1179" spans="1:44" x14ac:dyDescent="0.25">
      <c r="A1179" t="s">
        <v>435</v>
      </c>
      <c r="B1179" t="s">
        <v>448</v>
      </c>
      <c r="C1179" t="s">
        <v>44</v>
      </c>
      <c r="D1179" t="s">
        <v>449</v>
      </c>
      <c r="E1179" t="s">
        <v>134</v>
      </c>
      <c r="F1179" t="s">
        <v>449</v>
      </c>
      <c r="G1179" t="s">
        <v>33</v>
      </c>
      <c r="H1179" t="s">
        <v>452</v>
      </c>
      <c r="I1179" t="s">
        <v>256</v>
      </c>
      <c r="J1179" t="s">
        <v>40</v>
      </c>
      <c r="K1179" t="s">
        <v>33</v>
      </c>
      <c r="L1179">
        <v>0.11418742367164304</v>
      </c>
      <c r="M1179">
        <v>1</v>
      </c>
      <c r="N1179" s="2">
        <v>1.5893275046597133</v>
      </c>
      <c r="O1179" s="2">
        <v>1.4737622038640086</v>
      </c>
      <c r="P1179" s="1">
        <v>-3.9391026458677245E-2</v>
      </c>
      <c r="Q1179" s="1">
        <v>1.3498045353129324</v>
      </c>
      <c r="R1179" s="1">
        <v>-0.25661544227348476</v>
      </c>
      <c r="S1179" s="19">
        <v>33.799001754630076</v>
      </c>
      <c r="T1179" s="19">
        <v>67.041181386956382</v>
      </c>
      <c r="U1179" s="19">
        <v>118.11706674051617</v>
      </c>
      <c r="V1179" s="19">
        <v>190.65252339655376</v>
      </c>
      <c r="W1179" s="19">
        <v>287.15316613962824</v>
      </c>
      <c r="X1179" s="19">
        <v>408.09443025617855</v>
      </c>
      <c r="Y1179" s="19">
        <v>550.84131261766436</v>
      </c>
      <c r="Z1179" s="19">
        <v>708.58468508672479</v>
      </c>
      <c r="AA1179" s="19">
        <v>869.64136532980706</v>
      </c>
      <c r="AB1179" s="19">
        <v>1017.6085117098464</v>
      </c>
      <c r="AC1179" s="19">
        <v>1132.889818231655</v>
      </c>
      <c r="AD1179" s="19">
        <v>1195.8912448599915</v>
      </c>
      <c r="AE1179" s="19">
        <v>1191.6268372551372</v>
      </c>
      <c r="AF1179" s="19">
        <v>1114.6501520053339</v>
      </c>
      <c r="AG1179" s="19">
        <v>972.47217919418767</v>
      </c>
      <c r="AH1179" s="19">
        <v>798.02433366711364</v>
      </c>
      <c r="AI1179" s="19">
        <v>289.03695925421306</v>
      </c>
      <c r="AJ1179" s="19">
        <v>0</v>
      </c>
      <c r="AK1179" s="19">
        <v>0</v>
      </c>
      <c r="AL1179" s="19">
        <v>0</v>
      </c>
      <c r="AM1179" s="19">
        <v>0</v>
      </c>
      <c r="AN1179" s="19">
        <v>0</v>
      </c>
      <c r="AO1179" s="19">
        <v>0</v>
      </c>
      <c r="AP1179" s="19">
        <v>0</v>
      </c>
      <c r="AQ1179" s="19">
        <v>0</v>
      </c>
      <c r="AR1179" s="19">
        <v>10946.12476888614</v>
      </c>
    </row>
    <row r="1180" spans="1:44" x14ac:dyDescent="0.25">
      <c r="A1180" t="s">
        <v>435</v>
      </c>
      <c r="B1180" t="s">
        <v>448</v>
      </c>
      <c r="C1180" t="s">
        <v>44</v>
      </c>
      <c r="D1180" t="s">
        <v>449</v>
      </c>
      <c r="E1180" t="s">
        <v>134</v>
      </c>
      <c r="F1180" t="s">
        <v>449</v>
      </c>
      <c r="G1180" t="s">
        <v>33</v>
      </c>
      <c r="H1180" t="s">
        <v>453</v>
      </c>
      <c r="I1180" t="s">
        <v>256</v>
      </c>
      <c r="J1180" t="s">
        <v>40</v>
      </c>
      <c r="K1180" t="s">
        <v>33</v>
      </c>
      <c r="L1180">
        <v>0.11418742367164304</v>
      </c>
      <c r="M1180">
        <v>1</v>
      </c>
      <c r="N1180" s="2">
        <v>1.5893275046597133</v>
      </c>
      <c r="O1180" s="2">
        <v>1.4737622038640086</v>
      </c>
      <c r="P1180" s="1">
        <v>-3.9391026458677245E-2</v>
      </c>
      <c r="Q1180" s="1">
        <v>1.3498045353129324</v>
      </c>
      <c r="R1180" s="1">
        <v>-0.25661544227348476</v>
      </c>
      <c r="S1180" s="19">
        <v>112.92818512563852</v>
      </c>
      <c r="T1180" s="19">
        <v>223.99593330210121</v>
      </c>
      <c r="U1180" s="19">
        <v>394.64911053306935</v>
      </c>
      <c r="V1180" s="19">
        <v>637.00234737988319</v>
      </c>
      <c r="W1180" s="19">
        <v>959.42732689692355</v>
      </c>
      <c r="X1180" s="19">
        <v>1363.512558840544</v>
      </c>
      <c r="Y1180" s="19">
        <v>1840.4540518009785</v>
      </c>
      <c r="Z1180" s="19">
        <v>2367.5013562702102</v>
      </c>
      <c r="AA1180" s="19">
        <v>2905.6189827684561</v>
      </c>
      <c r="AB1180" s="19">
        <v>3400.0022613109504</v>
      </c>
      <c r="AC1180" s="19">
        <v>3785.176617019159</v>
      </c>
      <c r="AD1180" s="19">
        <v>3995.6750459702298</v>
      </c>
      <c r="AE1180" s="19">
        <v>3981.4269384388817</v>
      </c>
      <c r="AF1180" s="19">
        <v>3724.2348052109546</v>
      </c>
      <c r="AG1180" s="19">
        <v>3249.1941353424813</v>
      </c>
      <c r="AH1180" s="19">
        <v>2666.3343592619203</v>
      </c>
      <c r="AI1180" s="19">
        <v>965.72139851260511</v>
      </c>
      <c r="AJ1180" s="19">
        <v>0</v>
      </c>
      <c r="AK1180" s="19">
        <v>0</v>
      </c>
      <c r="AL1180" s="19">
        <v>0</v>
      </c>
      <c r="AM1180" s="19">
        <v>0</v>
      </c>
      <c r="AN1180" s="19">
        <v>0</v>
      </c>
      <c r="AO1180" s="19">
        <v>0</v>
      </c>
      <c r="AP1180" s="19">
        <v>0</v>
      </c>
      <c r="AQ1180" s="19">
        <v>0</v>
      </c>
      <c r="AR1180" s="19">
        <v>36572.855413984995</v>
      </c>
    </row>
    <row r="1181" spans="1:44" x14ac:dyDescent="0.25">
      <c r="A1181" t="s">
        <v>435</v>
      </c>
      <c r="B1181" t="s">
        <v>448</v>
      </c>
      <c r="C1181" t="s">
        <v>44</v>
      </c>
      <c r="D1181" t="s">
        <v>449</v>
      </c>
      <c r="E1181" t="s">
        <v>134</v>
      </c>
      <c r="F1181" t="s">
        <v>449</v>
      </c>
      <c r="G1181" t="s">
        <v>33</v>
      </c>
      <c r="H1181" t="s">
        <v>456</v>
      </c>
      <c r="I1181" t="s">
        <v>256</v>
      </c>
      <c r="J1181" t="s">
        <v>40</v>
      </c>
      <c r="K1181" t="s">
        <v>33</v>
      </c>
      <c r="L1181">
        <v>0.11418742367164304</v>
      </c>
      <c r="M1181">
        <v>1</v>
      </c>
      <c r="N1181" s="2">
        <v>1.5893275046597133</v>
      </c>
      <c r="O1181" s="2">
        <v>1.4737622038640086</v>
      </c>
      <c r="P1181" s="1">
        <v>-3.9391026458677245E-2</v>
      </c>
      <c r="Q1181" s="1">
        <v>1.3498045353129324</v>
      </c>
      <c r="R1181" s="1">
        <v>-0.25661544227348476</v>
      </c>
      <c r="S1181" s="19">
        <v>141.71122771574093</v>
      </c>
      <c r="T1181" s="19">
        <v>281.08783184869679</v>
      </c>
      <c r="U1181" s="19">
        <v>495.23694999920139</v>
      </c>
      <c r="V1181" s="19">
        <v>799.36097976410053</v>
      </c>
      <c r="W1181" s="19">
        <v>1203.9653718629245</v>
      </c>
      <c r="X1181" s="19">
        <v>1711.0435141072353</v>
      </c>
      <c r="Y1181" s="19">
        <v>2309.5474610254155</v>
      </c>
      <c r="Z1181" s="19">
        <v>2970.9281473218598</v>
      </c>
      <c r="AA1181" s="19">
        <v>3646.2007501862968</v>
      </c>
      <c r="AB1181" s="19">
        <v>4266.5920305955678</v>
      </c>
      <c r="AC1181" s="19">
        <v>4749.9393080826076</v>
      </c>
      <c r="AD1181" s="19">
        <v>5014.0894028149669</v>
      </c>
      <c r="AE1181" s="19">
        <v>4996.2097493994197</v>
      </c>
      <c r="AF1181" s="19">
        <v>4673.4646975949408</v>
      </c>
      <c r="AG1181" s="19">
        <v>4077.3460539890607</v>
      </c>
      <c r="AH1181" s="19">
        <v>3345.9274593963664</v>
      </c>
      <c r="AI1181" s="19">
        <v>1211.863671255546</v>
      </c>
      <c r="AJ1181" s="19">
        <v>0</v>
      </c>
      <c r="AK1181" s="19">
        <v>0</v>
      </c>
      <c r="AL1181" s="19">
        <v>0</v>
      </c>
      <c r="AM1181" s="19">
        <v>0</v>
      </c>
      <c r="AN1181" s="19">
        <v>0</v>
      </c>
      <c r="AO1181" s="19">
        <v>0</v>
      </c>
      <c r="AP1181" s="19">
        <v>0</v>
      </c>
      <c r="AQ1181" s="19">
        <v>0</v>
      </c>
      <c r="AR1181" s="19">
        <v>45894.514606959943</v>
      </c>
    </row>
    <row r="1182" spans="1:44" x14ac:dyDescent="0.25">
      <c r="A1182" t="s">
        <v>435</v>
      </c>
      <c r="B1182" t="s">
        <v>448</v>
      </c>
      <c r="C1182" t="s">
        <v>44</v>
      </c>
      <c r="D1182" t="s">
        <v>449</v>
      </c>
      <c r="E1182" t="s">
        <v>134</v>
      </c>
      <c r="F1182" t="s">
        <v>449</v>
      </c>
      <c r="G1182" t="s">
        <v>33</v>
      </c>
      <c r="H1182" t="s">
        <v>457</v>
      </c>
      <c r="I1182" t="s">
        <v>256</v>
      </c>
      <c r="J1182" t="s">
        <v>40</v>
      </c>
      <c r="K1182" t="s">
        <v>33</v>
      </c>
      <c r="L1182">
        <v>0.11418742367164304</v>
      </c>
      <c r="M1182">
        <v>1</v>
      </c>
      <c r="N1182" s="2">
        <v>1.5893275046597133</v>
      </c>
      <c r="O1182" s="2">
        <v>1.4737622038640086</v>
      </c>
      <c r="P1182" s="1">
        <v>-3.9391026458677245E-2</v>
      </c>
      <c r="Q1182" s="1">
        <v>1.3498045353129324</v>
      </c>
      <c r="R1182" s="1">
        <v>-0.25661544227348476</v>
      </c>
      <c r="S1182" s="19">
        <v>75.362128200491824</v>
      </c>
      <c r="T1182" s="19">
        <v>149.48270197666758</v>
      </c>
      <c r="U1182" s="19">
        <v>263.36735004741433</v>
      </c>
      <c r="V1182" s="19">
        <v>425.1007178929508</v>
      </c>
      <c r="W1182" s="19">
        <v>640.26961141913876</v>
      </c>
      <c r="X1182" s="19">
        <v>909.93411563285963</v>
      </c>
      <c r="Y1182" s="19">
        <v>1228.2189255466062</v>
      </c>
      <c r="Z1182" s="19">
        <v>1579.9416286339176</v>
      </c>
      <c r="AA1182" s="19">
        <v>1939.0520624905057</v>
      </c>
      <c r="AB1182" s="19">
        <v>2268.976571383017</v>
      </c>
      <c r="AC1182" s="19">
        <v>2526.0209854248192</v>
      </c>
      <c r="AD1182" s="19">
        <v>2666.4961871732894</v>
      </c>
      <c r="AE1182" s="19">
        <v>2656.9877752104371</v>
      </c>
      <c r="AF1182" s="19">
        <v>2485.3517350587526</v>
      </c>
      <c r="AG1182" s="19">
        <v>2168.335431084276</v>
      </c>
      <c r="AH1182" s="19">
        <v>1779.3665202758382</v>
      </c>
      <c r="AI1182" s="19">
        <v>644.46993245924159</v>
      </c>
      <c r="AJ1182" s="19">
        <v>0</v>
      </c>
      <c r="AK1182" s="19">
        <v>0</v>
      </c>
      <c r="AL1182" s="19">
        <v>0</v>
      </c>
      <c r="AM1182" s="19">
        <v>0</v>
      </c>
      <c r="AN1182" s="19">
        <v>0</v>
      </c>
      <c r="AO1182" s="19">
        <v>0</v>
      </c>
      <c r="AP1182" s="19">
        <v>0</v>
      </c>
      <c r="AQ1182" s="19">
        <v>0</v>
      </c>
      <c r="AR1182" s="19">
        <v>24406.734379910224</v>
      </c>
    </row>
    <row r="1183" spans="1:44" x14ac:dyDescent="0.25">
      <c r="A1183" t="s">
        <v>435</v>
      </c>
      <c r="B1183" t="s">
        <v>458</v>
      </c>
      <c r="C1183" t="s">
        <v>44</v>
      </c>
      <c r="D1183" t="s">
        <v>459</v>
      </c>
      <c r="E1183" t="s">
        <v>134</v>
      </c>
      <c r="F1183" t="s">
        <v>459</v>
      </c>
      <c r="G1183" t="s">
        <v>33</v>
      </c>
      <c r="H1183" t="s">
        <v>450</v>
      </c>
      <c r="I1183" t="s">
        <v>135</v>
      </c>
      <c r="J1183" t="s">
        <v>39</v>
      </c>
      <c r="K1183" t="s">
        <v>31</v>
      </c>
      <c r="L1183">
        <v>8.2450165482258364E-2</v>
      </c>
      <c r="M1183">
        <v>1</v>
      </c>
      <c r="N1183" s="2">
        <v>2.3213699912174603</v>
      </c>
      <c r="O1183" s="2">
        <v>5.3471683850504323</v>
      </c>
      <c r="P1183" s="1">
        <v>-1.1565307758200241</v>
      </c>
      <c r="Q1183" s="1">
        <v>1.247676144441489</v>
      </c>
      <c r="R1183" s="1">
        <v>-1.8625523936223531</v>
      </c>
      <c r="S1183" s="19">
        <v>10.064487771230976</v>
      </c>
      <c r="T1183" s="19">
        <v>19.963167999346872</v>
      </c>
      <c r="U1183" s="19">
        <v>35.172274684732301</v>
      </c>
      <c r="V1183" s="19">
        <v>56.771498880616669</v>
      </c>
      <c r="W1183" s="19">
        <v>85.506949289904412</v>
      </c>
      <c r="X1183" s="19">
        <v>121.5201985146834</v>
      </c>
      <c r="Y1183" s="19">
        <v>164.02660927611106</v>
      </c>
      <c r="Z1183" s="19">
        <v>210.99859545289544</v>
      </c>
      <c r="AA1183" s="19">
        <v>258.95720087411934</v>
      </c>
      <c r="AB1183" s="19">
        <v>303.01807421283689</v>
      </c>
      <c r="AC1183" s="19">
        <v>337.34593123545841</v>
      </c>
      <c r="AD1183" s="19">
        <v>356.10616245394806</v>
      </c>
      <c r="AE1183" s="19">
        <v>354.83632973811279</v>
      </c>
      <c r="AF1183" s="19">
        <v>331.91462000861139</v>
      </c>
      <c r="AG1183" s="19">
        <v>289.57761612061432</v>
      </c>
      <c r="AH1183" s="19">
        <v>237.63146040954183</v>
      </c>
      <c r="AI1183" s="19">
        <v>86.06789522857089</v>
      </c>
      <c r="AJ1183" s="19">
        <v>0</v>
      </c>
      <c r="AK1183" s="19">
        <v>0</v>
      </c>
      <c r="AL1183" s="19">
        <v>0</v>
      </c>
      <c r="AM1183" s="19">
        <v>0</v>
      </c>
      <c r="AN1183" s="19">
        <v>0</v>
      </c>
      <c r="AO1183" s="19">
        <v>0</v>
      </c>
      <c r="AP1183" s="19">
        <v>0</v>
      </c>
      <c r="AQ1183" s="19">
        <v>0</v>
      </c>
      <c r="AR1183" s="19">
        <v>3259.4790721513355</v>
      </c>
    </row>
    <row r="1184" spans="1:44" x14ac:dyDescent="0.25">
      <c r="A1184" t="s">
        <v>435</v>
      </c>
      <c r="B1184" t="s">
        <v>458</v>
      </c>
      <c r="C1184" t="s">
        <v>44</v>
      </c>
      <c r="D1184" t="s">
        <v>459</v>
      </c>
      <c r="E1184" t="s">
        <v>134</v>
      </c>
      <c r="F1184" t="s">
        <v>459</v>
      </c>
      <c r="G1184" t="s">
        <v>33</v>
      </c>
      <c r="H1184" t="s">
        <v>451</v>
      </c>
      <c r="I1184" t="s">
        <v>135</v>
      </c>
      <c r="J1184" t="s">
        <v>39</v>
      </c>
      <c r="K1184" t="s">
        <v>31</v>
      </c>
      <c r="L1184">
        <v>8.2450165482258364E-2</v>
      </c>
      <c r="M1184">
        <v>1</v>
      </c>
      <c r="N1184" s="2">
        <v>2.3213699912174603</v>
      </c>
      <c r="O1184" s="2">
        <v>5.3471683850504323</v>
      </c>
      <c r="P1184" s="1">
        <v>-1.1565307758200241</v>
      </c>
      <c r="Q1184" s="1">
        <v>1.247676144441489</v>
      </c>
      <c r="R1184" s="1">
        <v>-1.8625523936223531</v>
      </c>
      <c r="S1184" s="19">
        <v>2.6326970202592719</v>
      </c>
      <c r="T1184" s="19">
        <v>5.2220216370124897</v>
      </c>
      <c r="U1184" s="19">
        <v>9.2004625434514082</v>
      </c>
      <c r="V1184" s="19">
        <v>14.850448362199318</v>
      </c>
      <c r="W1184" s="19">
        <v>22.367148306392007</v>
      </c>
      <c r="X1184" s="19">
        <v>31.787595335494402</v>
      </c>
      <c r="Y1184" s="19">
        <v>42.906541823104881</v>
      </c>
      <c r="Z1184" s="19">
        <v>55.19360608848821</v>
      </c>
      <c r="AA1184" s="19">
        <v>67.738752990962283</v>
      </c>
      <c r="AB1184" s="19">
        <v>79.264320171881536</v>
      </c>
      <c r="AC1184" s="19">
        <v>88.24389756812775</v>
      </c>
      <c r="AD1184" s="19">
        <v>93.151251618422506</v>
      </c>
      <c r="AE1184" s="19">
        <v>92.819085204870561</v>
      </c>
      <c r="AF1184" s="19">
        <v>86.823159900395254</v>
      </c>
      <c r="AG1184" s="19">
        <v>75.748527339238848</v>
      </c>
      <c r="AH1184" s="19">
        <v>62.16030581589569</v>
      </c>
      <c r="AI1184" s="19">
        <v>22.513882122838815</v>
      </c>
      <c r="AJ1184" s="19">
        <v>0</v>
      </c>
      <c r="AK1184" s="19">
        <v>0</v>
      </c>
      <c r="AL1184" s="19">
        <v>0</v>
      </c>
      <c r="AM1184" s="19">
        <v>0</v>
      </c>
      <c r="AN1184" s="19">
        <v>0</v>
      </c>
      <c r="AO1184" s="19">
        <v>0</v>
      </c>
      <c r="AP1184" s="19">
        <v>0</v>
      </c>
      <c r="AQ1184" s="19">
        <v>0</v>
      </c>
      <c r="AR1184" s="19">
        <v>852.62370384903522</v>
      </c>
    </row>
    <row r="1185" spans="1:44" x14ac:dyDescent="0.25">
      <c r="A1185" t="s">
        <v>435</v>
      </c>
      <c r="B1185" t="s">
        <v>458</v>
      </c>
      <c r="C1185" t="s">
        <v>44</v>
      </c>
      <c r="D1185" t="s">
        <v>459</v>
      </c>
      <c r="E1185" t="s">
        <v>134</v>
      </c>
      <c r="F1185" t="s">
        <v>459</v>
      </c>
      <c r="G1185" t="s">
        <v>33</v>
      </c>
      <c r="H1185" t="s">
        <v>452</v>
      </c>
      <c r="I1185" t="s">
        <v>135</v>
      </c>
      <c r="J1185" t="s">
        <v>39</v>
      </c>
      <c r="K1185" t="s">
        <v>31</v>
      </c>
      <c r="L1185">
        <v>8.2450165482258364E-2</v>
      </c>
      <c r="M1185">
        <v>1</v>
      </c>
      <c r="N1185" s="2">
        <v>2.3213699912174603</v>
      </c>
      <c r="O1185" s="2">
        <v>5.3471683850504323</v>
      </c>
      <c r="P1185" s="1">
        <v>-1.1565307758200241</v>
      </c>
      <c r="Q1185" s="1">
        <v>1.247676144441489</v>
      </c>
      <c r="R1185" s="1">
        <v>-1.8625523936223531</v>
      </c>
      <c r="S1185" s="19">
        <v>59.628787427517246</v>
      </c>
      <c r="T1185" s="19">
        <v>118.27521957108762</v>
      </c>
      <c r="U1185" s="19">
        <v>208.38418588108959</v>
      </c>
      <c r="V1185" s="19">
        <v>336.35250155207694</v>
      </c>
      <c r="W1185" s="19">
        <v>506.60061581649626</v>
      </c>
      <c r="X1185" s="19">
        <v>719.96729988529705</v>
      </c>
      <c r="Y1185" s="19">
        <v>971.80383535657995</v>
      </c>
      <c r="Z1185" s="19">
        <v>1250.0974398050828</v>
      </c>
      <c r="AA1185" s="19">
        <v>1534.2364395221612</v>
      </c>
      <c r="AB1185" s="19">
        <v>1795.2826556738862</v>
      </c>
      <c r="AC1185" s="19">
        <v>1998.6639439988803</v>
      </c>
      <c r="AD1185" s="19">
        <v>2109.8121578817581</v>
      </c>
      <c r="AE1185" s="19">
        <v>2102.2888157304083</v>
      </c>
      <c r="AF1185" s="19">
        <v>1966.4852072405031</v>
      </c>
      <c r="AG1185" s="19">
        <v>1715.6523519041818</v>
      </c>
      <c r="AH1185" s="19">
        <v>1407.8884252166938</v>
      </c>
      <c r="AI1185" s="19">
        <v>509.92403643117723</v>
      </c>
      <c r="AJ1185" s="19">
        <v>0</v>
      </c>
      <c r="AK1185" s="19">
        <v>0</v>
      </c>
      <c r="AL1185" s="19">
        <v>0</v>
      </c>
      <c r="AM1185" s="19">
        <v>0</v>
      </c>
      <c r="AN1185" s="19">
        <v>0</v>
      </c>
      <c r="AO1185" s="19">
        <v>0</v>
      </c>
      <c r="AP1185" s="19">
        <v>0</v>
      </c>
      <c r="AQ1185" s="19">
        <v>0</v>
      </c>
      <c r="AR1185" s="19">
        <v>19311.343918894876</v>
      </c>
    </row>
    <row r="1186" spans="1:44" x14ac:dyDescent="0.25">
      <c r="A1186" t="s">
        <v>435</v>
      </c>
      <c r="B1186" t="s">
        <v>458</v>
      </c>
      <c r="C1186" t="s">
        <v>44</v>
      </c>
      <c r="D1186" t="s">
        <v>459</v>
      </c>
      <c r="E1186" t="s">
        <v>134</v>
      </c>
      <c r="F1186" t="s">
        <v>459</v>
      </c>
      <c r="G1186" t="s">
        <v>33</v>
      </c>
      <c r="H1186" t="s">
        <v>453</v>
      </c>
      <c r="I1186" t="s">
        <v>135</v>
      </c>
      <c r="J1186" t="s">
        <v>39</v>
      </c>
      <c r="K1186" t="s">
        <v>31</v>
      </c>
      <c r="L1186">
        <v>8.2450165482258364E-2</v>
      </c>
      <c r="M1186">
        <v>1</v>
      </c>
      <c r="N1186" s="2">
        <v>2.3213699912174603</v>
      </c>
      <c r="O1186" s="2">
        <v>5.3471683850504323</v>
      </c>
      <c r="P1186" s="1">
        <v>-1.1565307758200241</v>
      </c>
      <c r="Q1186" s="1">
        <v>1.247676144441489</v>
      </c>
      <c r="R1186" s="1">
        <v>-1.8625523936223531</v>
      </c>
      <c r="S1186" s="19">
        <v>18.236264834060151</v>
      </c>
      <c r="T1186" s="19">
        <v>36.172096070657496</v>
      </c>
      <c r="U1186" s="19">
        <v>63.730110319229645</v>
      </c>
      <c r="V1186" s="19">
        <v>102.86664479565948</v>
      </c>
      <c r="W1186" s="19">
        <v>154.93360495310424</v>
      </c>
      <c r="X1186" s="19">
        <v>220.18751208937925</v>
      </c>
      <c r="Y1186" s="19">
        <v>297.2066492188917</v>
      </c>
      <c r="Z1186" s="19">
        <v>382.31714854804744</v>
      </c>
      <c r="AA1186" s="19">
        <v>469.2153444039368</v>
      </c>
      <c r="AB1186" s="19">
        <v>549.05107706006174</v>
      </c>
      <c r="AC1186" s="19">
        <v>611.25115182588456</v>
      </c>
      <c r="AD1186" s="19">
        <v>645.24359661045764</v>
      </c>
      <c r="AE1186" s="19">
        <v>642.94273379187302</v>
      </c>
      <c r="AF1186" s="19">
        <v>601.40993266199348</v>
      </c>
      <c r="AG1186" s="19">
        <v>524.69775090654593</v>
      </c>
      <c r="AH1186" s="19">
        <v>430.57434649780078</v>
      </c>
      <c r="AI1186" s="19">
        <v>155.95000627700915</v>
      </c>
      <c r="AJ1186" s="19">
        <v>0</v>
      </c>
      <c r="AK1186" s="19">
        <v>0</v>
      </c>
      <c r="AL1186" s="19">
        <v>0</v>
      </c>
      <c r="AM1186" s="19">
        <v>0</v>
      </c>
      <c r="AN1186" s="19">
        <v>0</v>
      </c>
      <c r="AO1186" s="19">
        <v>0</v>
      </c>
      <c r="AP1186" s="19">
        <v>0</v>
      </c>
      <c r="AQ1186" s="19">
        <v>0</v>
      </c>
      <c r="AR1186" s="19">
        <v>5905.9859708645927</v>
      </c>
    </row>
    <row r="1187" spans="1:44" x14ac:dyDescent="0.25">
      <c r="A1187" t="s">
        <v>435</v>
      </c>
      <c r="B1187" t="s">
        <v>458</v>
      </c>
      <c r="C1187" t="s">
        <v>44</v>
      </c>
      <c r="D1187" t="s">
        <v>459</v>
      </c>
      <c r="E1187" t="s">
        <v>134</v>
      </c>
      <c r="F1187" t="s">
        <v>459</v>
      </c>
      <c r="G1187" t="s">
        <v>33</v>
      </c>
      <c r="H1187" t="s">
        <v>454</v>
      </c>
      <c r="I1187" t="s">
        <v>135</v>
      </c>
      <c r="J1187" t="s">
        <v>39</v>
      </c>
      <c r="K1187" t="s">
        <v>31</v>
      </c>
      <c r="L1187">
        <v>8.2450165482258364E-2</v>
      </c>
      <c r="M1187">
        <v>1</v>
      </c>
      <c r="N1187" s="2">
        <v>2.3213699912174603</v>
      </c>
      <c r="O1187" s="2">
        <v>5.3471683850504323</v>
      </c>
      <c r="P1187" s="1">
        <v>-1.1565307758200241</v>
      </c>
      <c r="Q1187" s="1">
        <v>1.247676144441489</v>
      </c>
      <c r="R1187" s="1">
        <v>-1.8625523936223531</v>
      </c>
      <c r="S1187" s="19">
        <v>1.0041636582839546</v>
      </c>
      <c r="T1187" s="19">
        <v>1.9917842084783508</v>
      </c>
      <c r="U1187" s="19">
        <v>3.5092416842659762</v>
      </c>
      <c r="V1187" s="19">
        <v>5.6642600495952422</v>
      </c>
      <c r="W1187" s="19">
        <v>8.5312807724887527</v>
      </c>
      <c r="X1187" s="19">
        <v>12.124428969421064</v>
      </c>
      <c r="Y1187" s="19">
        <v>16.365419062600452</v>
      </c>
      <c r="Z1187" s="19">
        <v>21.051952798670957</v>
      </c>
      <c r="AA1187" s="19">
        <v>25.836924449551383</v>
      </c>
      <c r="AB1187" s="19">
        <v>30.233007863300831</v>
      </c>
      <c r="AC1187" s="19">
        <v>33.657999504447012</v>
      </c>
      <c r="AD1187" s="19">
        <v>35.529763158873642</v>
      </c>
      <c r="AE1187" s="19">
        <v>35.403068199892552</v>
      </c>
      <c r="AF1187" s="19">
        <v>33.116101548505405</v>
      </c>
      <c r="AG1187" s="19">
        <v>28.892013679227443</v>
      </c>
      <c r="AH1187" s="19">
        <v>23.709192363499564</v>
      </c>
      <c r="AI1187" s="19">
        <v>8.5872480048680249</v>
      </c>
      <c r="AJ1187" s="19">
        <v>0</v>
      </c>
      <c r="AK1187" s="19">
        <v>0</v>
      </c>
      <c r="AL1187" s="19">
        <v>0</v>
      </c>
      <c r="AM1187" s="19">
        <v>0</v>
      </c>
      <c r="AN1187" s="19">
        <v>0</v>
      </c>
      <c r="AO1187" s="19">
        <v>0</v>
      </c>
      <c r="AP1187" s="19">
        <v>0</v>
      </c>
      <c r="AQ1187" s="19">
        <v>0</v>
      </c>
      <c r="AR1187" s="19">
        <v>325.20784997597053</v>
      </c>
    </row>
    <row r="1188" spans="1:44" x14ac:dyDescent="0.25">
      <c r="A1188" t="s">
        <v>435</v>
      </c>
      <c r="B1188" t="s">
        <v>458</v>
      </c>
      <c r="C1188" t="s">
        <v>44</v>
      </c>
      <c r="D1188" t="s">
        <v>459</v>
      </c>
      <c r="E1188" t="s">
        <v>134</v>
      </c>
      <c r="F1188" t="s">
        <v>459</v>
      </c>
      <c r="G1188" t="s">
        <v>33</v>
      </c>
      <c r="H1188" t="s">
        <v>455</v>
      </c>
      <c r="I1188" t="s">
        <v>135</v>
      </c>
      <c r="J1188" t="s">
        <v>39</v>
      </c>
      <c r="K1188" t="s">
        <v>31</v>
      </c>
      <c r="L1188">
        <v>8.2450165482258364E-2</v>
      </c>
      <c r="M1188">
        <v>1</v>
      </c>
      <c r="N1188" s="2">
        <v>2.3213699912174603</v>
      </c>
      <c r="O1188" s="2">
        <v>5.3471683850504323</v>
      </c>
      <c r="P1188" s="1">
        <v>-1.1565307758200241</v>
      </c>
      <c r="Q1188" s="1">
        <v>1.247676144441489</v>
      </c>
      <c r="R1188" s="1">
        <v>-1.8625523936223531</v>
      </c>
      <c r="S1188" s="19">
        <v>0.23659584197924177</v>
      </c>
      <c r="T1188" s="19">
        <v>0.46929388248447734</v>
      </c>
      <c r="U1188" s="19">
        <v>0.82682935609962016</v>
      </c>
      <c r="V1188" s="19">
        <v>1.3345836254556096</v>
      </c>
      <c r="W1188" s="19">
        <v>2.0100962038177212</v>
      </c>
      <c r="X1188" s="19">
        <v>2.8566951779950949</v>
      </c>
      <c r="Y1188" s="19">
        <v>3.8559353054820238</v>
      </c>
      <c r="Z1188" s="19">
        <v>4.9601521192478311</v>
      </c>
      <c r="AA1188" s="19">
        <v>6.0875623648262671</v>
      </c>
      <c r="AB1188" s="19">
        <v>7.1233447774904342</v>
      </c>
      <c r="AC1188" s="19">
        <v>7.9303235746455316</v>
      </c>
      <c r="AD1188" s="19">
        <v>8.3713388356060925</v>
      </c>
      <c r="AE1188" s="19">
        <v>8.3414876253503039</v>
      </c>
      <c r="AF1188" s="19">
        <v>7.8026443840124644</v>
      </c>
      <c r="AG1188" s="19">
        <v>6.8073866710077651</v>
      </c>
      <c r="AH1188" s="19">
        <v>5.5862371473154342</v>
      </c>
      <c r="AI1188" s="19">
        <v>2.023282913333428</v>
      </c>
      <c r="AJ1188" s="19">
        <v>0</v>
      </c>
      <c r="AK1188" s="19">
        <v>0</v>
      </c>
      <c r="AL1188" s="19">
        <v>0</v>
      </c>
      <c r="AM1188" s="19">
        <v>0</v>
      </c>
      <c r="AN1188" s="19">
        <v>0</v>
      </c>
      <c r="AO1188" s="19">
        <v>0</v>
      </c>
      <c r="AP1188" s="19">
        <v>0</v>
      </c>
      <c r="AQ1188" s="19">
        <v>0</v>
      </c>
      <c r="AR1188" s="19">
        <v>76.623789806149347</v>
      </c>
    </row>
    <row r="1189" spans="1:44" x14ac:dyDescent="0.25">
      <c r="A1189" t="s">
        <v>435</v>
      </c>
      <c r="B1189" t="s">
        <v>458</v>
      </c>
      <c r="C1189" t="s">
        <v>44</v>
      </c>
      <c r="D1189" t="s">
        <v>459</v>
      </c>
      <c r="E1189" t="s">
        <v>134</v>
      </c>
      <c r="F1189" t="s">
        <v>459</v>
      </c>
      <c r="G1189" t="s">
        <v>33</v>
      </c>
      <c r="H1189" t="s">
        <v>456</v>
      </c>
      <c r="I1189" t="s">
        <v>135</v>
      </c>
      <c r="J1189" t="s">
        <v>39</v>
      </c>
      <c r="K1189" t="s">
        <v>31</v>
      </c>
      <c r="L1189">
        <v>8.2450165482258364E-2</v>
      </c>
      <c r="M1189">
        <v>1</v>
      </c>
      <c r="N1189" s="2">
        <v>2.3213699912174603</v>
      </c>
      <c r="O1189" s="2">
        <v>5.3471683850504323</v>
      </c>
      <c r="P1189" s="1">
        <v>-1.1565307758200241</v>
      </c>
      <c r="Q1189" s="1">
        <v>1.247676144441489</v>
      </c>
      <c r="R1189" s="1">
        <v>-1.8625523936223531</v>
      </c>
      <c r="S1189" s="19">
        <v>42.646960791079664</v>
      </c>
      <c r="T1189" s="19">
        <v>84.591333636222643</v>
      </c>
      <c r="U1189" s="19">
        <v>149.03794942257653</v>
      </c>
      <c r="V1189" s="19">
        <v>240.56185886908344</v>
      </c>
      <c r="W1189" s="19">
        <v>362.32460077651598</v>
      </c>
      <c r="X1189" s="19">
        <v>514.92607067334723</v>
      </c>
      <c r="Y1189" s="19">
        <v>695.0414699183915</v>
      </c>
      <c r="Z1189" s="19">
        <v>894.07916545681508</v>
      </c>
      <c r="AA1189" s="19">
        <v>1097.297532003018</v>
      </c>
      <c r="AB1189" s="19">
        <v>1283.9997646857639</v>
      </c>
      <c r="AC1189" s="19">
        <v>1429.4596038511772</v>
      </c>
      <c r="AD1189" s="19">
        <v>1508.9536489921015</v>
      </c>
      <c r="AE1189" s="19">
        <v>1503.572897653891</v>
      </c>
      <c r="AF1189" s="19">
        <v>1406.4451273869502</v>
      </c>
      <c r="AG1189" s="19">
        <v>1227.0475677829445</v>
      </c>
      <c r="AH1189" s="19">
        <v>1006.9324743760128</v>
      </c>
      <c r="AI1189" s="19">
        <v>364.70153639371154</v>
      </c>
      <c r="AJ1189" s="19">
        <v>0</v>
      </c>
      <c r="AK1189" s="19">
        <v>0</v>
      </c>
      <c r="AL1189" s="19">
        <v>0</v>
      </c>
      <c r="AM1189" s="19">
        <v>0</v>
      </c>
      <c r="AN1189" s="19">
        <v>0</v>
      </c>
      <c r="AO1189" s="19">
        <v>0</v>
      </c>
      <c r="AP1189" s="19">
        <v>0</v>
      </c>
      <c r="AQ1189" s="19">
        <v>0</v>
      </c>
      <c r="AR1189" s="19">
        <v>13811.619562669604</v>
      </c>
    </row>
    <row r="1190" spans="1:44" x14ac:dyDescent="0.25">
      <c r="A1190" t="s">
        <v>435</v>
      </c>
      <c r="B1190" t="s">
        <v>458</v>
      </c>
      <c r="C1190" t="s">
        <v>44</v>
      </c>
      <c r="D1190" t="s">
        <v>459</v>
      </c>
      <c r="E1190" t="s">
        <v>134</v>
      </c>
      <c r="F1190" t="s">
        <v>459</v>
      </c>
      <c r="G1190" t="s">
        <v>33</v>
      </c>
      <c r="H1190" t="s">
        <v>457</v>
      </c>
      <c r="I1190" t="s">
        <v>135</v>
      </c>
      <c r="J1190" t="s">
        <v>39</v>
      </c>
      <c r="K1190" t="s">
        <v>31</v>
      </c>
      <c r="L1190">
        <v>8.2450165482258364E-2</v>
      </c>
      <c r="M1190">
        <v>1</v>
      </c>
      <c r="N1190" s="2">
        <v>2.3213699912174603</v>
      </c>
      <c r="O1190" s="2">
        <v>5.3471683850504323</v>
      </c>
      <c r="P1190" s="1">
        <v>-1.1565307758200241</v>
      </c>
      <c r="Q1190" s="1">
        <v>1.247676144441489</v>
      </c>
      <c r="R1190" s="1">
        <v>-1.8625523936223531</v>
      </c>
      <c r="S1190" s="19">
        <v>15.766535606038342</v>
      </c>
      <c r="T1190" s="19">
        <v>31.273325202970668</v>
      </c>
      <c r="U1190" s="19">
        <v>55.099169850187728</v>
      </c>
      <c r="V1190" s="19">
        <v>88.935460885351276</v>
      </c>
      <c r="W1190" s="19">
        <v>133.95101580794139</v>
      </c>
      <c r="X1190" s="19">
        <v>190.36761535060876</v>
      </c>
      <c r="Y1190" s="19">
        <v>256.95608502619683</v>
      </c>
      <c r="Z1190" s="19">
        <v>330.54010732085851</v>
      </c>
      <c r="AA1190" s="19">
        <v>405.66971919748835</v>
      </c>
      <c r="AB1190" s="19">
        <v>474.69333412141714</v>
      </c>
      <c r="AC1190" s="19">
        <v>528.46968045205188</v>
      </c>
      <c r="AD1190" s="19">
        <v>557.85854357227129</v>
      </c>
      <c r="AE1190" s="19">
        <v>555.86928558090506</v>
      </c>
      <c r="AF1190" s="19">
        <v>519.96125321839384</v>
      </c>
      <c r="AG1190" s="19">
        <v>453.63816808721202</v>
      </c>
      <c r="AH1190" s="19">
        <v>372.26185443550759</v>
      </c>
      <c r="AI1190" s="19">
        <v>134.82976635303342</v>
      </c>
      <c r="AJ1190" s="19">
        <v>0</v>
      </c>
      <c r="AK1190" s="19">
        <v>0</v>
      </c>
      <c r="AL1190" s="19">
        <v>0</v>
      </c>
      <c r="AM1190" s="19">
        <v>0</v>
      </c>
      <c r="AN1190" s="19">
        <v>0</v>
      </c>
      <c r="AO1190" s="19">
        <v>0</v>
      </c>
      <c r="AP1190" s="19">
        <v>0</v>
      </c>
      <c r="AQ1190" s="19">
        <v>0</v>
      </c>
      <c r="AR1190" s="19">
        <v>5106.1409200684338</v>
      </c>
    </row>
    <row r="1191" spans="1:44" x14ac:dyDescent="0.25">
      <c r="A1191" t="s">
        <v>435</v>
      </c>
      <c r="B1191" t="s">
        <v>458</v>
      </c>
      <c r="C1191" t="s">
        <v>44</v>
      </c>
      <c r="D1191" t="s">
        <v>459</v>
      </c>
      <c r="E1191" t="s">
        <v>134</v>
      </c>
      <c r="F1191" t="s">
        <v>459</v>
      </c>
      <c r="G1191" t="s">
        <v>33</v>
      </c>
      <c r="H1191" t="s">
        <v>450</v>
      </c>
      <c r="I1191" t="s">
        <v>135</v>
      </c>
      <c r="J1191" t="s">
        <v>39</v>
      </c>
      <c r="K1191" t="s">
        <v>33</v>
      </c>
      <c r="L1191">
        <v>8.2450165482258364E-2</v>
      </c>
      <c r="M1191">
        <v>1</v>
      </c>
      <c r="N1191" s="2">
        <v>2.3213699912174603</v>
      </c>
      <c r="O1191" s="2">
        <v>5.3471683850504323</v>
      </c>
      <c r="P1191" s="1">
        <v>-1.1565307758200241</v>
      </c>
      <c r="Q1191" s="1">
        <v>1.247676144441489</v>
      </c>
      <c r="R1191" s="1">
        <v>-1.8625523936223531</v>
      </c>
      <c r="S1191" s="19">
        <v>6.20053190241451</v>
      </c>
      <c r="T1191" s="19">
        <v>12.290339835412484</v>
      </c>
      <c r="U1191" s="19">
        <v>21.638743870381649</v>
      </c>
      <c r="V1191" s="19">
        <v>34.902706956858786</v>
      </c>
      <c r="W1191" s="19">
        <v>52.532409677069758</v>
      </c>
      <c r="X1191" s="19">
        <v>74.605619502628315</v>
      </c>
      <c r="Y1191" s="19">
        <v>100.63163714869596</v>
      </c>
      <c r="Z1191" s="19">
        <v>129.35909106008745</v>
      </c>
      <c r="AA1191" s="19">
        <v>158.65090112111312</v>
      </c>
      <c r="AB1191" s="19">
        <v>185.51551875474439</v>
      </c>
      <c r="AC1191" s="19">
        <v>206.38795504470201</v>
      </c>
      <c r="AD1191" s="19">
        <v>217.71358083985604</v>
      </c>
      <c r="AE1191" s="19">
        <v>216.78601905314736</v>
      </c>
      <c r="AF1191" s="19">
        <v>202.64072678365909</v>
      </c>
      <c r="AG1191" s="19">
        <v>176.66987457891909</v>
      </c>
      <c r="AH1191" s="19">
        <v>144.87672145755596</v>
      </c>
      <c r="AI1191" s="19">
        <v>33.371213844468116</v>
      </c>
      <c r="AJ1191" s="19">
        <v>0</v>
      </c>
      <c r="AK1191" s="19">
        <v>0</v>
      </c>
      <c r="AL1191" s="19">
        <v>0</v>
      </c>
      <c r="AM1191" s="19">
        <v>0</v>
      </c>
      <c r="AN1191" s="19">
        <v>0</v>
      </c>
      <c r="AO1191" s="19">
        <v>0</v>
      </c>
      <c r="AP1191" s="19">
        <v>0</v>
      </c>
      <c r="AQ1191" s="19">
        <v>0</v>
      </c>
      <c r="AR1191" s="19">
        <v>1974.7735914317141</v>
      </c>
    </row>
    <row r="1192" spans="1:44" x14ac:dyDescent="0.25">
      <c r="A1192" t="s">
        <v>435</v>
      </c>
      <c r="B1192" t="s">
        <v>458</v>
      </c>
      <c r="C1192" t="s">
        <v>44</v>
      </c>
      <c r="D1192" t="s">
        <v>459</v>
      </c>
      <c r="E1192" t="s">
        <v>134</v>
      </c>
      <c r="F1192" t="s">
        <v>459</v>
      </c>
      <c r="G1192" t="s">
        <v>33</v>
      </c>
      <c r="H1192" t="s">
        <v>451</v>
      </c>
      <c r="I1192" t="s">
        <v>135</v>
      </c>
      <c r="J1192" t="s">
        <v>39</v>
      </c>
      <c r="K1192" t="s">
        <v>33</v>
      </c>
      <c r="L1192">
        <v>8.2450165482258364E-2</v>
      </c>
      <c r="M1192">
        <v>1</v>
      </c>
      <c r="N1192" s="2">
        <v>2.3213699912174603</v>
      </c>
      <c r="O1192" s="2">
        <v>5.3471683850504323</v>
      </c>
      <c r="P1192" s="1">
        <v>-1.1565307758200241</v>
      </c>
      <c r="Q1192" s="1">
        <v>1.247676144441489</v>
      </c>
      <c r="R1192" s="1">
        <v>-1.8625523936223531</v>
      </c>
      <c r="S1192" s="19">
        <v>11.859806794747684</v>
      </c>
      <c r="T1192" s="19">
        <v>23.52422903827383</v>
      </c>
      <c r="U1192" s="19">
        <v>41.446359891766321</v>
      </c>
      <c r="V1192" s="19">
        <v>66.898487382234435</v>
      </c>
      <c r="W1192" s="19">
        <v>100.7598122465125</v>
      </c>
      <c r="X1192" s="19">
        <v>143.19716102822167</v>
      </c>
      <c r="Y1192" s="19">
        <v>193.28593162713091</v>
      </c>
      <c r="Z1192" s="19">
        <v>248.63685394774944</v>
      </c>
      <c r="AA1192" s="19">
        <v>305.15039019219643</v>
      </c>
      <c r="AB1192" s="19">
        <v>357.07091082701129</v>
      </c>
      <c r="AC1192" s="19">
        <v>397.5222245172875</v>
      </c>
      <c r="AD1192" s="19">
        <v>419.62893503583666</v>
      </c>
      <c r="AE1192" s="19">
        <v>418.13258757993282</v>
      </c>
      <c r="AF1192" s="19">
        <v>391.12206752403495</v>
      </c>
      <c r="AG1192" s="19">
        <v>341.23292286081721</v>
      </c>
      <c r="AH1192" s="19">
        <v>280.02053088750495</v>
      </c>
      <c r="AI1192" s="19">
        <v>101.42082059647559</v>
      </c>
      <c r="AJ1192" s="19">
        <v>0</v>
      </c>
      <c r="AK1192" s="19">
        <v>0</v>
      </c>
      <c r="AL1192" s="19">
        <v>0</v>
      </c>
      <c r="AM1192" s="19">
        <v>0</v>
      </c>
      <c r="AN1192" s="19">
        <v>0</v>
      </c>
      <c r="AO1192" s="19">
        <v>0</v>
      </c>
      <c r="AP1192" s="19">
        <v>0</v>
      </c>
      <c r="AQ1192" s="19">
        <v>0</v>
      </c>
      <c r="AR1192" s="19">
        <v>3840.9100319777353</v>
      </c>
    </row>
    <row r="1193" spans="1:44" x14ac:dyDescent="0.25">
      <c r="A1193" t="s">
        <v>435</v>
      </c>
      <c r="B1193" t="s">
        <v>458</v>
      </c>
      <c r="C1193" t="s">
        <v>44</v>
      </c>
      <c r="D1193" t="s">
        <v>459</v>
      </c>
      <c r="E1193" t="s">
        <v>134</v>
      </c>
      <c r="F1193" t="s">
        <v>459</v>
      </c>
      <c r="G1193" t="s">
        <v>33</v>
      </c>
      <c r="H1193" t="s">
        <v>452</v>
      </c>
      <c r="I1193" t="s">
        <v>135</v>
      </c>
      <c r="J1193" t="s">
        <v>39</v>
      </c>
      <c r="K1193" t="s">
        <v>33</v>
      </c>
      <c r="L1193">
        <v>8.2450165482258364E-2</v>
      </c>
      <c r="M1193">
        <v>1</v>
      </c>
      <c r="N1193" s="2">
        <v>2.3213699912174603</v>
      </c>
      <c r="O1193" s="2">
        <v>5.3471683850504323</v>
      </c>
      <c r="P1193" s="1">
        <v>-1.1565307758200241</v>
      </c>
      <c r="Q1193" s="1">
        <v>1.247676144441489</v>
      </c>
      <c r="R1193" s="1">
        <v>-1.8625523936223531</v>
      </c>
      <c r="S1193" s="19">
        <v>117.91394898937492</v>
      </c>
      <c r="T1193" s="19">
        <v>233.88532299378039</v>
      </c>
      <c r="U1193" s="19">
        <v>412.07281456198302</v>
      </c>
      <c r="V1193" s="19">
        <v>665.12591353078255</v>
      </c>
      <c r="W1193" s="19">
        <v>1001.7859116116432</v>
      </c>
      <c r="X1193" s="19">
        <v>1423.7114510484962</v>
      </c>
      <c r="Y1193" s="19">
        <v>1921.7098454199736</v>
      </c>
      <c r="Z1193" s="19">
        <v>2472.0262159968288</v>
      </c>
      <c r="AA1193" s="19">
        <v>3033.9016617998795</v>
      </c>
      <c r="AB1193" s="19">
        <v>3550.1118941914096</v>
      </c>
      <c r="AC1193" s="19">
        <v>3952.2916448042793</v>
      </c>
      <c r="AD1193" s="19">
        <v>4172.0835504836778</v>
      </c>
      <c r="AE1193" s="19">
        <v>4157.2063909616572</v>
      </c>
      <c r="AF1193" s="19">
        <v>3888.6592603744934</v>
      </c>
      <c r="AG1193" s="19">
        <v>3392.6456101734275</v>
      </c>
      <c r="AH1193" s="19">
        <v>2784.0526550288891</v>
      </c>
      <c r="AI1193" s="19">
        <v>1008.3578656247277</v>
      </c>
      <c r="AJ1193" s="19">
        <v>0</v>
      </c>
      <c r="AK1193" s="19">
        <v>0</v>
      </c>
      <c r="AL1193" s="19">
        <v>0</v>
      </c>
      <c r="AM1193" s="19">
        <v>0</v>
      </c>
      <c r="AN1193" s="19">
        <v>0</v>
      </c>
      <c r="AO1193" s="19">
        <v>0</v>
      </c>
      <c r="AP1193" s="19">
        <v>0</v>
      </c>
      <c r="AQ1193" s="19">
        <v>0</v>
      </c>
      <c r="AR1193" s="19">
        <v>38187.541957595306</v>
      </c>
    </row>
    <row r="1194" spans="1:44" x14ac:dyDescent="0.25">
      <c r="A1194" t="s">
        <v>435</v>
      </c>
      <c r="B1194" t="s">
        <v>458</v>
      </c>
      <c r="C1194" t="s">
        <v>44</v>
      </c>
      <c r="D1194" t="s">
        <v>459</v>
      </c>
      <c r="E1194" t="s">
        <v>134</v>
      </c>
      <c r="F1194" t="s">
        <v>459</v>
      </c>
      <c r="G1194" t="s">
        <v>33</v>
      </c>
      <c r="H1194" t="s">
        <v>453</v>
      </c>
      <c r="I1194" t="s">
        <v>135</v>
      </c>
      <c r="J1194" t="s">
        <v>39</v>
      </c>
      <c r="K1194" t="s">
        <v>33</v>
      </c>
      <c r="L1194">
        <v>8.2450165482258364E-2</v>
      </c>
      <c r="M1194">
        <v>1</v>
      </c>
      <c r="N1194" s="2">
        <v>2.3213699912174603</v>
      </c>
      <c r="O1194" s="2">
        <v>5.3471683850504323</v>
      </c>
      <c r="P1194" s="1">
        <v>-1.1565307758200241</v>
      </c>
      <c r="Q1194" s="1">
        <v>1.247676144441489</v>
      </c>
      <c r="R1194" s="1">
        <v>-1.8625523936223531</v>
      </c>
      <c r="S1194" s="19">
        <v>16.592884202569561</v>
      </c>
      <c r="T1194" s="19">
        <v>32.912408704639979</v>
      </c>
      <c r="U1194" s="19">
        <v>57.987002841114425</v>
      </c>
      <c r="V1194" s="19">
        <v>93.596706394245516</v>
      </c>
      <c r="W1194" s="19">
        <v>140.97159640235114</v>
      </c>
      <c r="X1194" s="19">
        <v>200.34507747042431</v>
      </c>
      <c r="Y1194" s="19">
        <v>270.42355216908851</v>
      </c>
      <c r="Z1194" s="19">
        <v>347.86422725480656</v>
      </c>
      <c r="AA1194" s="19">
        <v>426.93149867082246</v>
      </c>
      <c r="AB1194" s="19">
        <v>499.57274835898289</v>
      </c>
      <c r="AC1194" s="19">
        <v>556.16759644721856</v>
      </c>
      <c r="AD1194" s="19">
        <v>587.09677548717229</v>
      </c>
      <c r="AE1194" s="19">
        <v>585.00325739768584</v>
      </c>
      <c r="AF1194" s="19">
        <v>547.21322933945612</v>
      </c>
      <c r="AG1194" s="19">
        <v>477.41404840097579</v>
      </c>
      <c r="AH1194" s="19">
        <v>391.77267587665398</v>
      </c>
      <c r="AI1194" s="19">
        <v>141.89640362709724</v>
      </c>
      <c r="AJ1194" s="19">
        <v>0</v>
      </c>
      <c r="AK1194" s="19">
        <v>0</v>
      </c>
      <c r="AL1194" s="19">
        <v>0</v>
      </c>
      <c r="AM1194" s="19">
        <v>0</v>
      </c>
      <c r="AN1194" s="19">
        <v>0</v>
      </c>
      <c r="AO1194" s="19">
        <v>0</v>
      </c>
      <c r="AP1194" s="19">
        <v>0</v>
      </c>
      <c r="AQ1194" s="19">
        <v>0</v>
      </c>
      <c r="AR1194" s="19">
        <v>5373.7616890453046</v>
      </c>
    </row>
    <row r="1195" spans="1:44" x14ac:dyDescent="0.25">
      <c r="A1195" t="s">
        <v>435</v>
      </c>
      <c r="B1195" t="s">
        <v>458</v>
      </c>
      <c r="C1195" t="s">
        <v>44</v>
      </c>
      <c r="D1195" t="s">
        <v>459</v>
      </c>
      <c r="E1195" t="s">
        <v>134</v>
      </c>
      <c r="F1195" t="s">
        <v>459</v>
      </c>
      <c r="G1195" t="s">
        <v>33</v>
      </c>
      <c r="H1195" t="s">
        <v>454</v>
      </c>
      <c r="I1195" t="s">
        <v>135</v>
      </c>
      <c r="J1195" t="s">
        <v>39</v>
      </c>
      <c r="K1195" t="s">
        <v>33</v>
      </c>
      <c r="L1195">
        <v>8.2450165482258364E-2</v>
      </c>
      <c r="M1195">
        <v>1</v>
      </c>
      <c r="N1195" s="2">
        <v>2.3213699912174603</v>
      </c>
      <c r="O1195" s="2">
        <v>5.3471683850504323</v>
      </c>
      <c r="P1195" s="1">
        <v>-1.1565307758200241</v>
      </c>
      <c r="Q1195" s="1">
        <v>1.247676144441489</v>
      </c>
      <c r="R1195" s="1">
        <v>-1.8625523936223531</v>
      </c>
      <c r="S1195" s="19">
        <v>8.0584175597861432</v>
      </c>
      <c r="T1195" s="19">
        <v>15.984076607926728</v>
      </c>
      <c r="U1195" s="19">
        <v>28.161679201126603</v>
      </c>
      <c r="V1195" s="19">
        <v>45.455710600857117</v>
      </c>
      <c r="W1195" s="19">
        <v>68.463563899510007</v>
      </c>
      <c r="X1195" s="19">
        <v>97.298593215902017</v>
      </c>
      <c r="Y1195" s="19">
        <v>131.33255646065803</v>
      </c>
      <c r="Z1195" s="19">
        <v>168.94200930405239</v>
      </c>
      <c r="AA1195" s="19">
        <v>207.34142682572295</v>
      </c>
      <c r="AB1195" s="19">
        <v>242.62001461706248</v>
      </c>
      <c r="AC1195" s="19">
        <v>270.10558686959718</v>
      </c>
      <c r="AD1195" s="19">
        <v>285.12649802901672</v>
      </c>
      <c r="AE1195" s="19">
        <v>284.10977045302144</v>
      </c>
      <c r="AF1195" s="19">
        <v>265.75685350552112</v>
      </c>
      <c r="AG1195" s="19">
        <v>231.85853067830359</v>
      </c>
      <c r="AH1195" s="19">
        <v>190.266367931377</v>
      </c>
      <c r="AI1195" s="19">
        <v>68.912701173556059</v>
      </c>
      <c r="AJ1195" s="19">
        <v>0</v>
      </c>
      <c r="AK1195" s="19">
        <v>0</v>
      </c>
      <c r="AL1195" s="19">
        <v>0</v>
      </c>
      <c r="AM1195" s="19">
        <v>0</v>
      </c>
      <c r="AN1195" s="19">
        <v>0</v>
      </c>
      <c r="AO1195" s="19">
        <v>0</v>
      </c>
      <c r="AP1195" s="19">
        <v>0</v>
      </c>
      <c r="AQ1195" s="19">
        <v>0</v>
      </c>
      <c r="AR1195" s="19">
        <v>2609.7943569329973</v>
      </c>
    </row>
    <row r="1196" spans="1:44" x14ac:dyDescent="0.25">
      <c r="A1196" t="s">
        <v>435</v>
      </c>
      <c r="B1196" t="s">
        <v>458</v>
      </c>
      <c r="C1196" t="s">
        <v>44</v>
      </c>
      <c r="D1196" t="s">
        <v>459</v>
      </c>
      <c r="E1196" t="s">
        <v>134</v>
      </c>
      <c r="F1196" t="s">
        <v>459</v>
      </c>
      <c r="G1196" t="s">
        <v>33</v>
      </c>
      <c r="H1196" t="s">
        <v>455</v>
      </c>
      <c r="I1196" t="s">
        <v>135</v>
      </c>
      <c r="J1196" t="s">
        <v>39</v>
      </c>
      <c r="K1196" t="s">
        <v>33</v>
      </c>
      <c r="L1196">
        <v>8.2450165482258364E-2</v>
      </c>
      <c r="M1196">
        <v>1</v>
      </c>
      <c r="N1196" s="2">
        <v>2.3213699912174603</v>
      </c>
      <c r="O1196" s="2">
        <v>5.3471683850504323</v>
      </c>
      <c r="P1196" s="1">
        <v>-1.1565307758200241</v>
      </c>
      <c r="Q1196" s="1">
        <v>1.247676144441489</v>
      </c>
      <c r="R1196" s="1">
        <v>-1.8625523936223531</v>
      </c>
      <c r="S1196" s="19">
        <v>6.0156333724563744</v>
      </c>
      <c r="T1196" s="19">
        <v>11.93216210964068</v>
      </c>
      <c r="U1196" s="19">
        <v>21.022779716965132</v>
      </c>
      <c r="V1196" s="19">
        <v>33.932827088013532</v>
      </c>
      <c r="W1196" s="19">
        <v>51.108259994673411</v>
      </c>
      <c r="X1196" s="19">
        <v>72.633697633579885</v>
      </c>
      <c r="Y1196" s="19">
        <v>98.040155362179078</v>
      </c>
      <c r="Z1196" s="19">
        <v>126.1157270195196</v>
      </c>
      <c r="AA1196" s="19">
        <v>154.78100972700665</v>
      </c>
      <c r="AB1196" s="19">
        <v>181.11658348900292</v>
      </c>
      <c r="AC1196" s="19">
        <v>201.6346472995107</v>
      </c>
      <c r="AD1196" s="19">
        <v>212.84780345391889</v>
      </c>
      <c r="AE1196" s="19">
        <v>212.08881320658105</v>
      </c>
      <c r="AF1196" s="19">
        <v>198.38830453323385</v>
      </c>
      <c r="AG1196" s="19">
        <v>173.08310279147639</v>
      </c>
      <c r="AH1196" s="19">
        <v>142.03442600142824</v>
      </c>
      <c r="AI1196" s="19">
        <v>51.443542344405493</v>
      </c>
      <c r="AJ1196" s="19">
        <v>0</v>
      </c>
      <c r="AK1196" s="19">
        <v>0</v>
      </c>
      <c r="AL1196" s="19">
        <v>0</v>
      </c>
      <c r="AM1196" s="19">
        <v>0</v>
      </c>
      <c r="AN1196" s="19">
        <v>0</v>
      </c>
      <c r="AO1196" s="19">
        <v>0</v>
      </c>
      <c r="AP1196" s="19">
        <v>0</v>
      </c>
      <c r="AQ1196" s="19">
        <v>0</v>
      </c>
      <c r="AR1196" s="19">
        <v>1948.219475143592</v>
      </c>
    </row>
    <row r="1197" spans="1:44" x14ac:dyDescent="0.25">
      <c r="A1197" t="s">
        <v>435</v>
      </c>
      <c r="B1197" t="s">
        <v>458</v>
      </c>
      <c r="C1197" t="s">
        <v>44</v>
      </c>
      <c r="D1197" t="s">
        <v>459</v>
      </c>
      <c r="E1197" t="s">
        <v>134</v>
      </c>
      <c r="F1197" t="s">
        <v>459</v>
      </c>
      <c r="G1197" t="s">
        <v>33</v>
      </c>
      <c r="H1197" t="s">
        <v>456</v>
      </c>
      <c r="I1197" t="s">
        <v>135</v>
      </c>
      <c r="J1197" t="s">
        <v>39</v>
      </c>
      <c r="K1197" t="s">
        <v>33</v>
      </c>
      <c r="L1197">
        <v>8.2450165482258364E-2</v>
      </c>
      <c r="M1197">
        <v>1</v>
      </c>
      <c r="N1197" s="2">
        <v>2.3213699912174603</v>
      </c>
      <c r="O1197" s="2">
        <v>5.3471683850504323</v>
      </c>
      <c r="P1197" s="1">
        <v>-1.1565307758200241</v>
      </c>
      <c r="Q1197" s="1">
        <v>1.247676144441489</v>
      </c>
      <c r="R1197" s="1">
        <v>-1.8625523936223531</v>
      </c>
      <c r="S1197" s="19">
        <v>39.375927228690131</v>
      </c>
      <c r="T1197" s="19">
        <v>78.103155199149796</v>
      </c>
      <c r="U1197" s="19">
        <v>137.60669791982158</v>
      </c>
      <c r="V1197" s="19">
        <v>222.11069846760935</v>
      </c>
      <c r="W1197" s="19">
        <v>334.53420475215796</v>
      </c>
      <c r="X1197" s="19">
        <v>475.43110015075393</v>
      </c>
      <c r="Y1197" s="19">
        <v>641.73159898777271</v>
      </c>
      <c r="Z1197" s="19">
        <v>825.50304881466036</v>
      </c>
      <c r="AA1197" s="19">
        <v>1013.134511039052</v>
      </c>
      <c r="AB1197" s="19">
        <v>1185.5166313867107</v>
      </c>
      <c r="AC1197" s="19">
        <v>1319.8196610851908</v>
      </c>
      <c r="AD1197" s="19">
        <v>1393.2164912114297</v>
      </c>
      <c r="AE1197" s="19">
        <v>1388.2484449732235</v>
      </c>
      <c r="AF1197" s="19">
        <v>1298.5704012633432</v>
      </c>
      <c r="AG1197" s="19">
        <v>1132.9326835704685</v>
      </c>
      <c r="AH1197" s="19">
        <v>929.70047805910747</v>
      </c>
      <c r="AI1197" s="19">
        <v>336.72882875709723</v>
      </c>
      <c r="AJ1197" s="19">
        <v>0</v>
      </c>
      <c r="AK1197" s="19">
        <v>0</v>
      </c>
      <c r="AL1197" s="19">
        <v>0</v>
      </c>
      <c r="AM1197" s="19">
        <v>0</v>
      </c>
      <c r="AN1197" s="19">
        <v>0</v>
      </c>
      <c r="AO1197" s="19">
        <v>0</v>
      </c>
      <c r="AP1197" s="19">
        <v>0</v>
      </c>
      <c r="AQ1197" s="19">
        <v>0</v>
      </c>
      <c r="AR1197" s="19">
        <v>12752.264562866238</v>
      </c>
    </row>
    <row r="1198" spans="1:44" x14ac:dyDescent="0.25">
      <c r="A1198" t="s">
        <v>435</v>
      </c>
      <c r="B1198" t="s">
        <v>458</v>
      </c>
      <c r="C1198" t="s">
        <v>44</v>
      </c>
      <c r="D1198" t="s">
        <v>459</v>
      </c>
      <c r="E1198" t="s">
        <v>134</v>
      </c>
      <c r="F1198" t="s">
        <v>459</v>
      </c>
      <c r="G1198" t="s">
        <v>33</v>
      </c>
      <c r="H1198" t="s">
        <v>457</v>
      </c>
      <c r="I1198" t="s">
        <v>135</v>
      </c>
      <c r="J1198" t="s">
        <v>39</v>
      </c>
      <c r="K1198" t="s">
        <v>33</v>
      </c>
      <c r="L1198">
        <v>8.2450165482258364E-2</v>
      </c>
      <c r="M1198">
        <v>1</v>
      </c>
      <c r="N1198" s="2">
        <v>2.3213699912174603</v>
      </c>
      <c r="O1198" s="2">
        <v>5.3471683850504323</v>
      </c>
      <c r="P1198" s="1">
        <v>-1.1565307758200241</v>
      </c>
      <c r="Q1198" s="1">
        <v>1.247676144441489</v>
      </c>
      <c r="R1198" s="1">
        <v>-1.8625523936223531</v>
      </c>
      <c r="S1198" s="19">
        <v>4.6132027148136547</v>
      </c>
      <c r="T1198" s="19">
        <v>9.1504051576391507</v>
      </c>
      <c r="U1198" s="19">
        <v>16.12171794033917</v>
      </c>
      <c r="V1198" s="19">
        <v>26.02203298499996</v>
      </c>
      <c r="W1198" s="19">
        <v>39.193339945940899</v>
      </c>
      <c r="X1198" s="19">
        <v>55.700530661389607</v>
      </c>
      <c r="Y1198" s="19">
        <v>75.183955350137452</v>
      </c>
      <c r="Z1198" s="19">
        <v>96.714240753269081</v>
      </c>
      <c r="AA1198" s="19">
        <v>118.69675727639334</v>
      </c>
      <c r="AB1198" s="19">
        <v>138.8926922433223</v>
      </c>
      <c r="AC1198" s="19">
        <v>154.62735920403574</v>
      </c>
      <c r="AD1198" s="19">
        <v>163.22638098784213</v>
      </c>
      <c r="AE1198" s="19">
        <v>162.64433490013209</v>
      </c>
      <c r="AF1198" s="19">
        <v>152.13783959149177</v>
      </c>
      <c r="AG1198" s="19">
        <v>132.73206497954681</v>
      </c>
      <c r="AH1198" s="19">
        <v>108.92179743314961</v>
      </c>
      <c r="AI1198" s="19">
        <v>39.450457584308751</v>
      </c>
      <c r="AJ1198" s="19">
        <v>0</v>
      </c>
      <c r="AK1198" s="19">
        <v>0</v>
      </c>
      <c r="AL1198" s="19">
        <v>0</v>
      </c>
      <c r="AM1198" s="19">
        <v>0</v>
      </c>
      <c r="AN1198" s="19">
        <v>0</v>
      </c>
      <c r="AO1198" s="19">
        <v>0</v>
      </c>
      <c r="AP1198" s="19">
        <v>0</v>
      </c>
      <c r="AQ1198" s="19">
        <v>0</v>
      </c>
      <c r="AR1198" s="19">
        <v>1494.0291097087511</v>
      </c>
    </row>
    <row r="1199" spans="1:44" x14ac:dyDescent="0.25">
      <c r="A1199" t="s">
        <v>435</v>
      </c>
      <c r="B1199" t="s">
        <v>458</v>
      </c>
      <c r="C1199" t="s">
        <v>44</v>
      </c>
      <c r="D1199" t="s">
        <v>459</v>
      </c>
      <c r="E1199" t="s">
        <v>134</v>
      </c>
      <c r="F1199" t="s">
        <v>459</v>
      </c>
      <c r="G1199" t="s">
        <v>33</v>
      </c>
      <c r="H1199" t="s">
        <v>457</v>
      </c>
      <c r="I1199" t="s">
        <v>256</v>
      </c>
      <c r="J1199" t="s">
        <v>39</v>
      </c>
      <c r="K1199" t="s">
        <v>33</v>
      </c>
      <c r="L1199">
        <v>8.2450165482258364E-2</v>
      </c>
      <c r="M1199">
        <v>1</v>
      </c>
      <c r="N1199" s="2">
        <v>1.1488405989818342</v>
      </c>
      <c r="O1199" s="2">
        <v>2.6463011728329873</v>
      </c>
      <c r="P1199" s="1">
        <v>0.30640617552884364</v>
      </c>
      <c r="Q1199" s="1">
        <v>1.3498045353129324</v>
      </c>
      <c r="R1199" s="1">
        <v>-0.39961544227348528</v>
      </c>
      <c r="S1199" s="19">
        <v>12.686617007171259</v>
      </c>
      <c r="T1199" s="19">
        <v>25.164228166830451</v>
      </c>
      <c r="U1199" s="19">
        <v>44.335806087590655</v>
      </c>
      <c r="V1199" s="19">
        <v>71.562336761957667</v>
      </c>
      <c r="W1199" s="19">
        <v>107.78431468648424</v>
      </c>
      <c r="X1199" s="19">
        <v>153.18019677047602</v>
      </c>
      <c r="Y1199" s="19">
        <v>206.76092198345711</v>
      </c>
      <c r="Z1199" s="19">
        <v>265.97065150336482</v>
      </c>
      <c r="AA1199" s="19">
        <v>326.42404694752247</v>
      </c>
      <c r="AB1199" s="19">
        <v>381.96422323425122</v>
      </c>
      <c r="AC1199" s="19">
        <v>425.23561315712527</v>
      </c>
      <c r="AD1199" s="19">
        <v>448.88350004862531</v>
      </c>
      <c r="AE1199" s="19">
        <v>447.2828342526941</v>
      </c>
      <c r="AF1199" s="19">
        <v>418.38926717827474</v>
      </c>
      <c r="AG1199" s="19">
        <v>365.0220848867466</v>
      </c>
      <c r="AH1199" s="19">
        <v>299.54225148826498</v>
      </c>
      <c r="AI1199" s="19">
        <v>108.4914054443406</v>
      </c>
      <c r="AJ1199" s="19">
        <v>0</v>
      </c>
      <c r="AK1199" s="19">
        <v>0</v>
      </c>
      <c r="AL1199" s="19">
        <v>0</v>
      </c>
      <c r="AM1199" s="19">
        <v>0</v>
      </c>
      <c r="AN1199" s="19">
        <v>0</v>
      </c>
      <c r="AO1199" s="19">
        <v>0</v>
      </c>
      <c r="AP1199" s="19">
        <v>0</v>
      </c>
      <c r="AQ1199" s="19">
        <v>0</v>
      </c>
      <c r="AR1199" s="19">
        <v>4108.6802996051774</v>
      </c>
    </row>
    <row r="1200" spans="1:44" x14ac:dyDescent="0.25">
      <c r="A1200" t="s">
        <v>435</v>
      </c>
      <c r="B1200" t="s">
        <v>458</v>
      </c>
      <c r="C1200" t="s">
        <v>44</v>
      </c>
      <c r="D1200" t="s">
        <v>459</v>
      </c>
      <c r="E1200" t="s">
        <v>134</v>
      </c>
      <c r="F1200" t="s">
        <v>459</v>
      </c>
      <c r="G1200" t="s">
        <v>33</v>
      </c>
      <c r="H1200" t="s">
        <v>452</v>
      </c>
      <c r="I1200" t="s">
        <v>135</v>
      </c>
      <c r="J1200" t="s">
        <v>40</v>
      </c>
      <c r="K1200" t="s">
        <v>33</v>
      </c>
      <c r="L1200">
        <v>8.2450165482258364E-2</v>
      </c>
      <c r="M1200">
        <v>1</v>
      </c>
      <c r="N1200" s="2">
        <v>2.3213699912174603</v>
      </c>
      <c r="O1200" s="2">
        <v>4.1746294160814541</v>
      </c>
      <c r="P1200" s="1">
        <v>-1.1565307758200241</v>
      </c>
      <c r="Q1200" s="1">
        <v>1.3498045353129324</v>
      </c>
      <c r="R1200" s="1">
        <v>-1.7195523936223531</v>
      </c>
      <c r="S1200" s="19">
        <v>8.6339680660356493</v>
      </c>
      <c r="T1200" s="19">
        <v>17.125695705642894</v>
      </c>
      <c r="U1200" s="19">
        <v>30.173050366841519</v>
      </c>
      <c r="V1200" s="19">
        <v>48.70226081424029</v>
      </c>
      <c r="W1200" s="19">
        <v>73.353387313308659</v>
      </c>
      <c r="X1200" s="19">
        <v>104.2478799917865</v>
      </c>
      <c r="Y1200" s="19">
        <v>140.71262628170851</v>
      </c>
      <c r="Z1200" s="19">
        <v>181.00823176775111</v>
      </c>
      <c r="AA1200" s="19">
        <v>222.15022300570229</v>
      </c>
      <c r="AB1200" s="19">
        <v>259.94848775749114</v>
      </c>
      <c r="AC1200" s="19">
        <v>289.39714208006484</v>
      </c>
      <c r="AD1200" s="19">
        <v>305.49088087071499</v>
      </c>
      <c r="AE1200" s="19">
        <v>304.40153629929353</v>
      </c>
      <c r="AF1200" s="19">
        <v>284.73781229049104</v>
      </c>
      <c r="AG1200" s="19">
        <v>248.41839416516245</v>
      </c>
      <c r="AH1200" s="19">
        <v>203.85562457794688</v>
      </c>
      <c r="AI1200" s="19">
        <v>73.834602992765213</v>
      </c>
      <c r="AJ1200" s="19">
        <v>0</v>
      </c>
      <c r="AK1200" s="19">
        <v>0</v>
      </c>
      <c r="AL1200" s="19">
        <v>0</v>
      </c>
      <c r="AM1200" s="19">
        <v>0</v>
      </c>
      <c r="AN1200" s="19">
        <v>0</v>
      </c>
      <c r="AO1200" s="19">
        <v>0</v>
      </c>
      <c r="AP1200" s="19">
        <v>0</v>
      </c>
      <c r="AQ1200" s="19">
        <v>0</v>
      </c>
      <c r="AR1200" s="19">
        <v>2796.1918043469473</v>
      </c>
    </row>
    <row r="1201" spans="1:44" x14ac:dyDescent="0.25">
      <c r="A1201" t="s">
        <v>435</v>
      </c>
      <c r="B1201" t="s">
        <v>458</v>
      </c>
      <c r="C1201" t="s">
        <v>44</v>
      </c>
      <c r="D1201" t="s">
        <v>459</v>
      </c>
      <c r="E1201" t="s">
        <v>134</v>
      </c>
      <c r="F1201" t="s">
        <v>459</v>
      </c>
      <c r="G1201" t="s">
        <v>33</v>
      </c>
      <c r="H1201" t="s">
        <v>453</v>
      </c>
      <c r="I1201" t="s">
        <v>135</v>
      </c>
      <c r="J1201" t="s">
        <v>40</v>
      </c>
      <c r="K1201" t="s">
        <v>33</v>
      </c>
      <c r="L1201">
        <v>8.2450165482258364E-2</v>
      </c>
      <c r="M1201">
        <v>1</v>
      </c>
      <c r="N1201" s="2">
        <v>2.3213699912174603</v>
      </c>
      <c r="O1201" s="2">
        <v>4.1746294160814541</v>
      </c>
      <c r="P1201" s="1">
        <v>-1.1565307758200241</v>
      </c>
      <c r="Q1201" s="1">
        <v>1.3498045353129324</v>
      </c>
      <c r="R1201" s="1">
        <v>-1.7195523936223531</v>
      </c>
      <c r="S1201" s="19">
        <v>337.90772028403154</v>
      </c>
      <c r="T1201" s="19">
        <v>670.24857515241172</v>
      </c>
      <c r="U1201" s="19">
        <v>1180.8830639046032</v>
      </c>
      <c r="V1201" s="19">
        <v>1906.061013725124</v>
      </c>
      <c r="W1201" s="19">
        <v>2870.832471532723</v>
      </c>
      <c r="X1201" s="19">
        <v>4079.9506325533839</v>
      </c>
      <c r="Y1201" s="19">
        <v>5507.0718814765069</v>
      </c>
      <c r="Z1201" s="19">
        <v>7084.1215164892701</v>
      </c>
      <c r="AA1201" s="19">
        <v>8694.2961616620069</v>
      </c>
      <c r="AB1201" s="19">
        <v>10173.607339938546</v>
      </c>
      <c r="AC1201" s="19">
        <v>11326.139706454747</v>
      </c>
      <c r="AD1201" s="19">
        <v>11956.00057042853</v>
      </c>
      <c r="AE1201" s="19">
        <v>11913.366877795264</v>
      </c>
      <c r="AF1201" s="19">
        <v>11143.78745599417</v>
      </c>
      <c r="AG1201" s="19">
        <v>9722.3539173353474</v>
      </c>
      <c r="AH1201" s="19">
        <v>7978.3002254999283</v>
      </c>
      <c r="AI1201" s="19">
        <v>2889.6658158266209</v>
      </c>
      <c r="AJ1201" s="19">
        <v>0</v>
      </c>
      <c r="AK1201" s="19">
        <v>0</v>
      </c>
      <c r="AL1201" s="19">
        <v>0</v>
      </c>
      <c r="AM1201" s="19">
        <v>0</v>
      </c>
      <c r="AN1201" s="19">
        <v>0</v>
      </c>
      <c r="AO1201" s="19">
        <v>0</v>
      </c>
      <c r="AP1201" s="19">
        <v>0</v>
      </c>
      <c r="AQ1201" s="19">
        <v>0</v>
      </c>
      <c r="AR1201" s="19">
        <v>109434.5949460532</v>
      </c>
    </row>
    <row r="1202" spans="1:44" x14ac:dyDescent="0.25">
      <c r="A1202" t="s">
        <v>435</v>
      </c>
      <c r="B1202" t="s">
        <v>458</v>
      </c>
      <c r="C1202" t="s">
        <v>44</v>
      </c>
      <c r="D1202" t="s">
        <v>459</v>
      </c>
      <c r="E1202" t="s">
        <v>134</v>
      </c>
      <c r="F1202" t="s">
        <v>459</v>
      </c>
      <c r="G1202" t="s">
        <v>33</v>
      </c>
      <c r="H1202" t="s">
        <v>456</v>
      </c>
      <c r="I1202" t="s">
        <v>135</v>
      </c>
      <c r="J1202" t="s">
        <v>40</v>
      </c>
      <c r="K1202" t="s">
        <v>33</v>
      </c>
      <c r="L1202">
        <v>8.2450165482258364E-2</v>
      </c>
      <c r="M1202">
        <v>1</v>
      </c>
      <c r="N1202" s="2">
        <v>2.3213699912174603</v>
      </c>
      <c r="O1202" s="2">
        <v>4.1746294160814541</v>
      </c>
      <c r="P1202" s="1">
        <v>-1.1565307758200241</v>
      </c>
      <c r="Q1202" s="1">
        <v>1.3498045353129324</v>
      </c>
      <c r="R1202" s="1">
        <v>-1.7195523936223531</v>
      </c>
      <c r="S1202" s="19">
        <v>145.36465295085023</v>
      </c>
      <c r="T1202" s="19">
        <v>288.33449391430321</v>
      </c>
      <c r="U1202" s="19">
        <v>508.00454223342399</v>
      </c>
      <c r="V1202" s="19">
        <v>819.96912509249955</v>
      </c>
      <c r="W1202" s="19">
        <v>1235.0045318692501</v>
      </c>
      <c r="X1202" s="19">
        <v>1755.1555414573099</v>
      </c>
      <c r="Y1202" s="19">
        <v>2369.0893837918893</v>
      </c>
      <c r="Z1202" s="19">
        <v>3047.5209765569184</v>
      </c>
      <c r="AA1202" s="19">
        <v>3740.2026302612176</v>
      </c>
      <c r="AB1202" s="19">
        <v>4376.5880785005456</v>
      </c>
      <c r="AC1202" s="19">
        <v>4872.396423253439</v>
      </c>
      <c r="AD1202" s="19">
        <v>5143.3565120667718</v>
      </c>
      <c r="AE1202" s="19">
        <v>5125.0159073346904</v>
      </c>
      <c r="AF1202" s="19">
        <v>4793.9502380620288</v>
      </c>
      <c r="AG1202" s="19">
        <v>4182.4631940070512</v>
      </c>
      <c r="AH1202" s="19">
        <v>3432.1880614110783</v>
      </c>
      <c r="AI1202" s="19">
        <v>1243.106455539086</v>
      </c>
      <c r="AJ1202" s="19">
        <v>0</v>
      </c>
      <c r="AK1202" s="19">
        <v>0</v>
      </c>
      <c r="AL1202" s="19">
        <v>0</v>
      </c>
      <c r="AM1202" s="19">
        <v>0</v>
      </c>
      <c r="AN1202" s="19">
        <v>0</v>
      </c>
      <c r="AO1202" s="19">
        <v>0</v>
      </c>
      <c r="AP1202" s="19">
        <v>0</v>
      </c>
      <c r="AQ1202" s="19">
        <v>0</v>
      </c>
      <c r="AR1202" s="19">
        <v>47077.710748302357</v>
      </c>
    </row>
    <row r="1203" spans="1:44" x14ac:dyDescent="0.25">
      <c r="A1203" t="s">
        <v>435</v>
      </c>
      <c r="B1203" t="s">
        <v>458</v>
      </c>
      <c r="C1203" t="s">
        <v>44</v>
      </c>
      <c r="D1203" t="s">
        <v>459</v>
      </c>
      <c r="E1203" t="s">
        <v>134</v>
      </c>
      <c r="F1203" t="s">
        <v>459</v>
      </c>
      <c r="G1203" t="s">
        <v>33</v>
      </c>
      <c r="H1203" t="s">
        <v>450</v>
      </c>
      <c r="I1203" t="s">
        <v>256</v>
      </c>
      <c r="J1203" t="s">
        <v>40</v>
      </c>
      <c r="K1203" t="s">
        <v>33</v>
      </c>
      <c r="L1203">
        <v>8.2450165482258364E-2</v>
      </c>
      <c r="M1203">
        <v>1</v>
      </c>
      <c r="N1203" s="2">
        <v>1.1488405989818342</v>
      </c>
      <c r="O1203" s="2">
        <v>1.4737622038640097</v>
      </c>
      <c r="P1203" s="1">
        <v>0.30640617552884364</v>
      </c>
      <c r="Q1203" s="1">
        <v>1.3498045353129324</v>
      </c>
      <c r="R1203" s="1">
        <v>-0.25661544227348526</v>
      </c>
      <c r="S1203" s="19">
        <v>161.97032124953702</v>
      </c>
      <c r="T1203" s="19">
        <v>321.27226019940929</v>
      </c>
      <c r="U1203" s="19">
        <v>566.03622153999322</v>
      </c>
      <c r="V1203" s="19">
        <v>913.63794368111701</v>
      </c>
      <c r="W1203" s="19">
        <v>1376.0847407597139</v>
      </c>
      <c r="X1203" s="19">
        <v>1955.6549761025169</v>
      </c>
      <c r="Y1203" s="19">
        <v>2639.7212855547614</v>
      </c>
      <c r="Z1203" s="19">
        <v>3395.6532180799309</v>
      </c>
      <c r="AA1203" s="19">
        <v>4167.4630610964468</v>
      </c>
      <c r="AB1203" s="19">
        <v>4876.5457259496807</v>
      </c>
      <c r="AC1203" s="19">
        <v>5428.9925226615342</v>
      </c>
      <c r="AD1203" s="19">
        <v>5730.9056201030262</v>
      </c>
      <c r="AE1203" s="19">
        <v>5710.469884316758</v>
      </c>
      <c r="AF1203" s="19">
        <v>5341.5850714116805</v>
      </c>
      <c r="AG1203" s="19">
        <v>4660.2450691829254</v>
      </c>
      <c r="AH1203" s="19">
        <v>3824.2625811072503</v>
      </c>
      <c r="AI1203" s="19">
        <v>1385.1121841780655</v>
      </c>
      <c r="AJ1203" s="19">
        <v>0</v>
      </c>
      <c r="AK1203" s="19">
        <v>0</v>
      </c>
      <c r="AL1203" s="19">
        <v>0</v>
      </c>
      <c r="AM1203" s="19">
        <v>0</v>
      </c>
      <c r="AN1203" s="19">
        <v>0</v>
      </c>
      <c r="AO1203" s="19">
        <v>0</v>
      </c>
      <c r="AP1203" s="19">
        <v>0</v>
      </c>
      <c r="AQ1203" s="19">
        <v>0</v>
      </c>
      <c r="AR1203" s="19">
        <v>52455.61268717434</v>
      </c>
    </row>
    <row r="1204" spans="1:44" x14ac:dyDescent="0.25">
      <c r="A1204" t="s">
        <v>435</v>
      </c>
      <c r="B1204" t="s">
        <v>458</v>
      </c>
      <c r="C1204" t="s">
        <v>44</v>
      </c>
      <c r="D1204" t="s">
        <v>459</v>
      </c>
      <c r="E1204" t="s">
        <v>134</v>
      </c>
      <c r="F1204" t="s">
        <v>459</v>
      </c>
      <c r="G1204" t="s">
        <v>33</v>
      </c>
      <c r="H1204" t="s">
        <v>452</v>
      </c>
      <c r="I1204" t="s">
        <v>256</v>
      </c>
      <c r="J1204" t="s">
        <v>40</v>
      </c>
      <c r="K1204" t="s">
        <v>33</v>
      </c>
      <c r="L1204">
        <v>8.2450165482258364E-2</v>
      </c>
      <c r="M1204">
        <v>1</v>
      </c>
      <c r="N1204" s="2">
        <v>1.1488405989818342</v>
      </c>
      <c r="O1204" s="2">
        <v>1.4737622038640097</v>
      </c>
      <c r="P1204" s="1">
        <v>0.30640617552884364</v>
      </c>
      <c r="Q1204" s="1">
        <v>1.3498045353129324</v>
      </c>
      <c r="R1204" s="1">
        <v>-0.25661544227348526</v>
      </c>
      <c r="S1204" s="19">
        <v>52.063798471171495</v>
      </c>
      <c r="T1204" s="19">
        <v>103.26987117368348</v>
      </c>
      <c r="U1204" s="19">
        <v>181.94688717224375</v>
      </c>
      <c r="V1204" s="19">
        <v>293.68011008723715</v>
      </c>
      <c r="W1204" s="19">
        <v>442.3291753048419</v>
      </c>
      <c r="X1204" s="19">
        <v>628.62644075441187</v>
      </c>
      <c r="Y1204" s="19">
        <v>848.51296194843883</v>
      </c>
      <c r="Z1204" s="19">
        <v>1091.4999949387566</v>
      </c>
      <c r="AA1204" s="19">
        <v>1339.5908292032054</v>
      </c>
      <c r="AB1204" s="19">
        <v>1567.5186166985677</v>
      </c>
      <c r="AC1204" s="19">
        <v>1745.0973142535213</v>
      </c>
      <c r="AD1204" s="19">
        <v>1842.1443691691195</v>
      </c>
      <c r="AE1204" s="19">
        <v>1835.5754988885751</v>
      </c>
      <c r="AF1204" s="19">
        <v>1717.0010316034418</v>
      </c>
      <c r="AG1204" s="19">
        <v>1497.9908555864772</v>
      </c>
      <c r="AH1204" s="19">
        <v>1229.2723431526758</v>
      </c>
      <c r="AI1204" s="19">
        <v>445.23095997265409</v>
      </c>
      <c r="AJ1204" s="19">
        <v>0</v>
      </c>
      <c r="AK1204" s="19">
        <v>0</v>
      </c>
      <c r="AL1204" s="19">
        <v>0</v>
      </c>
      <c r="AM1204" s="19">
        <v>0</v>
      </c>
      <c r="AN1204" s="19">
        <v>0</v>
      </c>
      <c r="AO1204" s="19">
        <v>0</v>
      </c>
      <c r="AP1204" s="19">
        <v>0</v>
      </c>
      <c r="AQ1204" s="19">
        <v>0</v>
      </c>
      <c r="AR1204" s="19">
        <v>16861.351058379023</v>
      </c>
    </row>
    <row r="1205" spans="1:44" x14ac:dyDescent="0.25">
      <c r="A1205" t="s">
        <v>435</v>
      </c>
      <c r="B1205" t="s">
        <v>458</v>
      </c>
      <c r="C1205" t="s">
        <v>44</v>
      </c>
      <c r="D1205" t="s">
        <v>459</v>
      </c>
      <c r="E1205" t="s">
        <v>134</v>
      </c>
      <c r="F1205" t="s">
        <v>459</v>
      </c>
      <c r="G1205" t="s">
        <v>33</v>
      </c>
      <c r="H1205" t="s">
        <v>453</v>
      </c>
      <c r="I1205" t="s">
        <v>256</v>
      </c>
      <c r="J1205" t="s">
        <v>40</v>
      </c>
      <c r="K1205" t="s">
        <v>33</v>
      </c>
      <c r="L1205">
        <v>8.2450165482258364E-2</v>
      </c>
      <c r="M1205">
        <v>1</v>
      </c>
      <c r="N1205" s="2">
        <v>1.1488405989818342</v>
      </c>
      <c r="O1205" s="2">
        <v>1.4737622038640097</v>
      </c>
      <c r="P1205" s="1">
        <v>0.30640617552884364</v>
      </c>
      <c r="Q1205" s="1">
        <v>1.3498045353129324</v>
      </c>
      <c r="R1205" s="1">
        <v>-0.25661544227348526</v>
      </c>
      <c r="S1205" s="19">
        <v>173.95396215484288</v>
      </c>
      <c r="T1205" s="19">
        <v>345.04211735203086</v>
      </c>
      <c r="U1205" s="19">
        <v>607.91534338158704</v>
      </c>
      <c r="V1205" s="19">
        <v>981.23495126912212</v>
      </c>
      <c r="W1205" s="19">
        <v>1477.8966360582947</v>
      </c>
      <c r="X1205" s="19">
        <v>2100.3473295379404</v>
      </c>
      <c r="Y1205" s="19">
        <v>2835.0254112250745</v>
      </c>
      <c r="Z1205" s="19">
        <v>3646.8862124364978</v>
      </c>
      <c r="AA1205" s="19">
        <v>4475.799677490294</v>
      </c>
      <c r="AB1205" s="19">
        <v>5237.344990822734</v>
      </c>
      <c r="AC1205" s="19">
        <v>5830.6654734049889</v>
      </c>
      <c r="AD1205" s="19">
        <v>6154.9161084671732</v>
      </c>
      <c r="AE1205" s="19">
        <v>6132.9684011208747</v>
      </c>
      <c r="AF1205" s="19">
        <v>5736.7910379561426</v>
      </c>
      <c r="AG1205" s="19">
        <v>5005.0409738213511</v>
      </c>
      <c r="AH1205" s="19">
        <v>4107.2069449020373</v>
      </c>
      <c r="AI1205" s="19">
        <v>1487.5919897418253</v>
      </c>
      <c r="AJ1205" s="19">
        <v>0</v>
      </c>
      <c r="AK1205" s="19">
        <v>0</v>
      </c>
      <c r="AL1205" s="19">
        <v>0</v>
      </c>
      <c r="AM1205" s="19">
        <v>0</v>
      </c>
      <c r="AN1205" s="19">
        <v>0</v>
      </c>
      <c r="AO1205" s="19">
        <v>0</v>
      </c>
      <c r="AP1205" s="19">
        <v>0</v>
      </c>
      <c r="AQ1205" s="19">
        <v>0</v>
      </c>
      <c r="AR1205" s="19">
        <v>56336.627561142806</v>
      </c>
    </row>
    <row r="1206" spans="1:44" x14ac:dyDescent="0.25">
      <c r="A1206" t="s">
        <v>435</v>
      </c>
      <c r="B1206" t="s">
        <v>458</v>
      </c>
      <c r="C1206" t="s">
        <v>44</v>
      </c>
      <c r="D1206" t="s">
        <v>459</v>
      </c>
      <c r="E1206" t="s">
        <v>134</v>
      </c>
      <c r="F1206" t="s">
        <v>459</v>
      </c>
      <c r="G1206" t="s">
        <v>33</v>
      </c>
      <c r="H1206" t="s">
        <v>456</v>
      </c>
      <c r="I1206" t="s">
        <v>256</v>
      </c>
      <c r="J1206" t="s">
        <v>40</v>
      </c>
      <c r="K1206" t="s">
        <v>33</v>
      </c>
      <c r="L1206">
        <v>8.2450165482258364E-2</v>
      </c>
      <c r="M1206">
        <v>1</v>
      </c>
      <c r="N1206" s="2">
        <v>1.1488405989818342</v>
      </c>
      <c r="O1206" s="2">
        <v>1.4737622038640097</v>
      </c>
      <c r="P1206" s="1">
        <v>0.30640617552884364</v>
      </c>
      <c r="Q1206" s="1">
        <v>1.3498045353129324</v>
      </c>
      <c r="R1206" s="1">
        <v>-0.25661544227348526</v>
      </c>
      <c r="S1206" s="19">
        <v>218.29120441061315</v>
      </c>
      <c r="T1206" s="19">
        <v>432.98616735224522</v>
      </c>
      <c r="U1206" s="19">
        <v>762.8603042012611</v>
      </c>
      <c r="V1206" s="19">
        <v>1231.3313055305005</v>
      </c>
      <c r="W1206" s="19">
        <v>1854.5817104895264</v>
      </c>
      <c r="X1206" s="19">
        <v>2635.6821228212975</v>
      </c>
      <c r="Y1206" s="19">
        <v>3557.6143474107485</v>
      </c>
      <c r="Z1206" s="19">
        <v>4576.4015593539561</v>
      </c>
      <c r="AA1206" s="19">
        <v>5616.5878040208208</v>
      </c>
      <c r="AB1206" s="19">
        <v>6572.2351580754594</v>
      </c>
      <c r="AC1206" s="19">
        <v>7316.780675406525</v>
      </c>
      <c r="AD1206" s="19">
        <v>7723.6760446285598</v>
      </c>
      <c r="AE1206" s="19">
        <v>7696.1343237541005</v>
      </c>
      <c r="AF1206" s="19">
        <v>7198.97960135422</v>
      </c>
      <c r="AG1206" s="19">
        <v>6280.7216850134519</v>
      </c>
      <c r="AH1206" s="19">
        <v>5154.0484600645805</v>
      </c>
      <c r="AI1206" s="19">
        <v>1866.7482079153517</v>
      </c>
      <c r="AJ1206" s="19">
        <v>0</v>
      </c>
      <c r="AK1206" s="19">
        <v>0</v>
      </c>
      <c r="AL1206" s="19">
        <v>0</v>
      </c>
      <c r="AM1206" s="19">
        <v>0</v>
      </c>
      <c r="AN1206" s="19">
        <v>0</v>
      </c>
      <c r="AO1206" s="19">
        <v>0</v>
      </c>
      <c r="AP1206" s="19">
        <v>0</v>
      </c>
      <c r="AQ1206" s="19">
        <v>0</v>
      </c>
      <c r="AR1206" s="19">
        <v>70695.660681803231</v>
      </c>
    </row>
    <row r="1207" spans="1:44" x14ac:dyDescent="0.25">
      <c r="A1207" t="s">
        <v>435</v>
      </c>
      <c r="B1207" t="s">
        <v>458</v>
      </c>
      <c r="C1207" t="s">
        <v>44</v>
      </c>
      <c r="D1207" t="s">
        <v>459</v>
      </c>
      <c r="E1207" t="s">
        <v>134</v>
      </c>
      <c r="F1207" t="s">
        <v>459</v>
      </c>
      <c r="G1207" t="s">
        <v>33</v>
      </c>
      <c r="H1207" t="s">
        <v>457</v>
      </c>
      <c r="I1207" t="s">
        <v>256</v>
      </c>
      <c r="J1207" t="s">
        <v>40</v>
      </c>
      <c r="K1207" t="s">
        <v>33</v>
      </c>
      <c r="L1207">
        <v>8.2450165482258364E-2</v>
      </c>
      <c r="M1207">
        <v>1</v>
      </c>
      <c r="N1207" s="2">
        <v>1.1488405989818342</v>
      </c>
      <c r="O1207" s="2">
        <v>1.4737622038640097</v>
      </c>
      <c r="P1207" s="1">
        <v>0.30640617552884364</v>
      </c>
      <c r="Q1207" s="1">
        <v>1.3498045353129324</v>
      </c>
      <c r="R1207" s="1">
        <v>-0.25661544227348526</v>
      </c>
      <c r="S1207" s="19">
        <v>116.087412387897</v>
      </c>
      <c r="T1207" s="19">
        <v>230.26234109335127</v>
      </c>
      <c r="U1207" s="19">
        <v>405.68963356666831</v>
      </c>
      <c r="V1207" s="19">
        <v>654.82283373345592</v>
      </c>
      <c r="W1207" s="19">
        <v>986.26782702464925</v>
      </c>
      <c r="X1207" s="19">
        <v>1401.6575626190815</v>
      </c>
      <c r="Y1207" s="19">
        <v>1891.9417526695877</v>
      </c>
      <c r="Z1207" s="19">
        <v>2433.7334914970488</v>
      </c>
      <c r="AA1207" s="19">
        <v>2986.90525061988</v>
      </c>
      <c r="AB1207" s="19">
        <v>3495.119169669335</v>
      </c>
      <c r="AC1207" s="19">
        <v>3891.0689870031993</v>
      </c>
      <c r="AD1207" s="19">
        <v>4107.4562237365344</v>
      </c>
      <c r="AE1207" s="19">
        <v>4092.8095176648967</v>
      </c>
      <c r="AF1207" s="19">
        <v>3828.4222949380273</v>
      </c>
      <c r="AG1207" s="19">
        <v>3340.0921045370105</v>
      </c>
      <c r="AH1207" s="19">
        <v>2740.9265099168265</v>
      </c>
      <c r="AI1207" s="19">
        <v>992.73797870940996</v>
      </c>
      <c r="AJ1207" s="19">
        <v>0</v>
      </c>
      <c r="AK1207" s="19">
        <v>0</v>
      </c>
      <c r="AL1207" s="19">
        <v>0</v>
      </c>
      <c r="AM1207" s="19">
        <v>0</v>
      </c>
      <c r="AN1207" s="19">
        <v>0</v>
      </c>
      <c r="AO1207" s="19">
        <v>0</v>
      </c>
      <c r="AP1207" s="19">
        <v>0</v>
      </c>
      <c r="AQ1207" s="19">
        <v>0</v>
      </c>
      <c r="AR1207" s="19">
        <v>37596.000891386859</v>
      </c>
    </row>
    <row r="1208" spans="1:44" x14ac:dyDescent="0.25">
      <c r="A1208" t="s">
        <v>435</v>
      </c>
      <c r="B1208" t="s">
        <v>460</v>
      </c>
      <c r="C1208" t="s">
        <v>44</v>
      </c>
      <c r="D1208" t="s">
        <v>461</v>
      </c>
      <c r="E1208" t="s">
        <v>134</v>
      </c>
      <c r="F1208" t="s">
        <v>461</v>
      </c>
      <c r="G1208" t="s">
        <v>33</v>
      </c>
      <c r="H1208" t="s">
        <v>450</v>
      </c>
      <c r="I1208" t="s">
        <v>135</v>
      </c>
      <c r="J1208" t="s">
        <v>39</v>
      </c>
      <c r="K1208" t="s">
        <v>31</v>
      </c>
      <c r="L1208">
        <v>6.641291224625212E-2</v>
      </c>
      <c r="M1208">
        <v>0</v>
      </c>
      <c r="N1208" s="2">
        <v>0.71439906728806646</v>
      </c>
      <c r="O1208" s="2">
        <v>5.3471683850504306</v>
      </c>
      <c r="P1208" s="1">
        <v>1.6499948460693128</v>
      </c>
      <c r="Q1208" s="1">
        <v>4.0542017663308254</v>
      </c>
      <c r="R1208" s="1">
        <v>-1.8625523936223525</v>
      </c>
      <c r="S1208" s="19">
        <v>18.115430068166539</v>
      </c>
      <c r="T1208" s="19">
        <v>29.240079780317284</v>
      </c>
      <c r="U1208" s="19">
        <v>44.040232657341299</v>
      </c>
      <c r="V1208" s="19">
        <v>62.588805466654961</v>
      </c>
      <c r="W1208" s="19">
        <v>84.481671893393582</v>
      </c>
      <c r="X1208" s="19">
        <v>108.6745265886229</v>
      </c>
      <c r="Y1208" s="19">
        <v>133.37553812291819</v>
      </c>
      <c r="Z1208" s="19">
        <v>156.06902828994345</v>
      </c>
      <c r="AA1208" s="19">
        <v>173.74954224183918</v>
      </c>
      <c r="AB1208" s="19">
        <v>183.41197265748431</v>
      </c>
      <c r="AC1208" s="19">
        <v>182.7579471226511</v>
      </c>
      <c r="AD1208" s="19">
        <v>170.95215311673084</v>
      </c>
      <c r="AE1208" s="19">
        <v>149.14653945928862</v>
      </c>
      <c r="AF1208" s="19">
        <v>122.39174581773584</v>
      </c>
      <c r="AG1208" s="19">
        <v>21.931584142975645</v>
      </c>
      <c r="AH1208" s="19">
        <v>0</v>
      </c>
      <c r="AI1208" s="19">
        <v>0</v>
      </c>
      <c r="AJ1208" s="19">
        <v>0</v>
      </c>
      <c r="AK1208" s="19">
        <v>0</v>
      </c>
      <c r="AL1208" s="19">
        <v>0</v>
      </c>
      <c r="AM1208" s="19">
        <v>0</v>
      </c>
      <c r="AN1208" s="19">
        <v>0</v>
      </c>
      <c r="AO1208" s="19">
        <v>0</v>
      </c>
      <c r="AP1208" s="19">
        <v>0</v>
      </c>
      <c r="AQ1208" s="19">
        <v>0</v>
      </c>
      <c r="AR1208" s="19">
        <v>1640.9267974260638</v>
      </c>
    </row>
    <row r="1209" spans="1:44" x14ac:dyDescent="0.25">
      <c r="A1209" t="s">
        <v>435</v>
      </c>
      <c r="B1209" t="s">
        <v>460</v>
      </c>
      <c r="C1209" t="s">
        <v>44</v>
      </c>
      <c r="D1209" t="s">
        <v>461</v>
      </c>
      <c r="E1209" t="s">
        <v>134</v>
      </c>
      <c r="F1209" t="s">
        <v>461</v>
      </c>
      <c r="G1209" t="s">
        <v>33</v>
      </c>
      <c r="H1209" t="s">
        <v>451</v>
      </c>
      <c r="I1209" t="s">
        <v>135</v>
      </c>
      <c r="J1209" t="s">
        <v>39</v>
      </c>
      <c r="K1209" t="s">
        <v>31</v>
      </c>
      <c r="L1209">
        <v>6.641291224625212E-2</v>
      </c>
      <c r="M1209">
        <v>0</v>
      </c>
      <c r="N1209" s="2">
        <v>0.71439906728806646</v>
      </c>
      <c r="O1209" s="2">
        <v>5.3471683850504306</v>
      </c>
      <c r="P1209" s="1">
        <v>1.6499948460693128</v>
      </c>
      <c r="Q1209" s="1">
        <v>4.0542017663308254</v>
      </c>
      <c r="R1209" s="1">
        <v>-1.8625523936223525</v>
      </c>
      <c r="S1209" s="19">
        <v>4.7386851517177666</v>
      </c>
      <c r="T1209" s="19">
        <v>7.6487023144715218</v>
      </c>
      <c r="U1209" s="19">
        <v>11.520167933427423</v>
      </c>
      <c r="V1209" s="19">
        <v>16.372155781704127</v>
      </c>
      <c r="W1209" s="19">
        <v>22.098953361146116</v>
      </c>
      <c r="X1209" s="19">
        <v>28.42738834119136</v>
      </c>
      <c r="Y1209" s="19">
        <v>34.888748416526361</v>
      </c>
      <c r="Z1209" s="19">
        <v>40.824975405920675</v>
      </c>
      <c r="AA1209" s="19">
        <v>45.449893976626541</v>
      </c>
      <c r="AB1209" s="19">
        <v>47.977419702917963</v>
      </c>
      <c r="AC1209" s="19">
        <v>47.80633786389474</v>
      </c>
      <c r="AD1209" s="19">
        <v>44.718145060876445</v>
      </c>
      <c r="AE1209" s="19">
        <v>39.014171306248755</v>
      </c>
      <c r="AF1209" s="19">
        <v>32.015577130486484</v>
      </c>
      <c r="AG1209" s="19">
        <v>5.7369254685592637</v>
      </c>
      <c r="AH1209" s="19">
        <v>0</v>
      </c>
      <c r="AI1209" s="19">
        <v>0</v>
      </c>
      <c r="AJ1209" s="19">
        <v>0</v>
      </c>
      <c r="AK1209" s="19">
        <v>0</v>
      </c>
      <c r="AL1209" s="19">
        <v>0</v>
      </c>
      <c r="AM1209" s="19">
        <v>0</v>
      </c>
      <c r="AN1209" s="19">
        <v>0</v>
      </c>
      <c r="AO1209" s="19">
        <v>0</v>
      </c>
      <c r="AP1209" s="19">
        <v>0</v>
      </c>
      <c r="AQ1209" s="19">
        <v>0</v>
      </c>
      <c r="AR1209" s="19">
        <v>429.23824721571555</v>
      </c>
    </row>
    <row r="1210" spans="1:44" x14ac:dyDescent="0.25">
      <c r="A1210" t="s">
        <v>435</v>
      </c>
      <c r="B1210" t="s">
        <v>460</v>
      </c>
      <c r="C1210" t="s">
        <v>44</v>
      </c>
      <c r="D1210" t="s">
        <v>461</v>
      </c>
      <c r="E1210" t="s">
        <v>134</v>
      </c>
      <c r="F1210" t="s">
        <v>461</v>
      </c>
      <c r="G1210" t="s">
        <v>33</v>
      </c>
      <c r="H1210" t="s">
        <v>452</v>
      </c>
      <c r="I1210" t="s">
        <v>135</v>
      </c>
      <c r="J1210" t="s">
        <v>39</v>
      </c>
      <c r="K1210" t="s">
        <v>31</v>
      </c>
      <c r="L1210">
        <v>6.641291224625212E-2</v>
      </c>
      <c r="M1210">
        <v>0</v>
      </c>
      <c r="N1210" s="2">
        <v>0.71439906728806646</v>
      </c>
      <c r="O1210" s="2">
        <v>5.3471683850504306</v>
      </c>
      <c r="P1210" s="1">
        <v>1.6499948460693128</v>
      </c>
      <c r="Q1210" s="1">
        <v>4.0542017663308254</v>
      </c>
      <c r="R1210" s="1">
        <v>-1.8625523936223525</v>
      </c>
      <c r="S1210" s="19">
        <v>107.32797865585154</v>
      </c>
      <c r="T1210" s="19">
        <v>173.23787769587935</v>
      </c>
      <c r="U1210" s="19">
        <v>260.92392688771844</v>
      </c>
      <c r="V1210" s="19">
        <v>370.8181341509972</v>
      </c>
      <c r="W1210" s="19">
        <v>500.52618368240024</v>
      </c>
      <c r="X1210" s="19">
        <v>643.86090897366057</v>
      </c>
      <c r="Y1210" s="19">
        <v>790.20629678697389</v>
      </c>
      <c r="Z1210" s="19">
        <v>924.6577792584452</v>
      </c>
      <c r="AA1210" s="19">
        <v>1029.4090226411868</v>
      </c>
      <c r="AB1210" s="19">
        <v>1086.6557521701959</v>
      </c>
      <c r="AC1210" s="19">
        <v>1082.7808654918883</v>
      </c>
      <c r="AD1210" s="19">
        <v>1012.8354100257552</v>
      </c>
      <c r="AE1210" s="19">
        <v>883.64430452082399</v>
      </c>
      <c r="AF1210" s="19">
        <v>725.13093166150031</v>
      </c>
      <c r="AG1210" s="19">
        <v>129.93743929506056</v>
      </c>
      <c r="AH1210" s="19">
        <v>0</v>
      </c>
      <c r="AI1210" s="19">
        <v>0</v>
      </c>
      <c r="AJ1210" s="19">
        <v>0</v>
      </c>
      <c r="AK1210" s="19">
        <v>0</v>
      </c>
      <c r="AL1210" s="19">
        <v>0</v>
      </c>
      <c r="AM1210" s="19">
        <v>0</v>
      </c>
      <c r="AN1210" s="19">
        <v>0</v>
      </c>
      <c r="AO1210" s="19">
        <v>0</v>
      </c>
      <c r="AP1210" s="19">
        <v>0</v>
      </c>
      <c r="AQ1210" s="19">
        <v>0</v>
      </c>
      <c r="AR1210" s="19">
        <v>9721.952811898338</v>
      </c>
    </row>
    <row r="1211" spans="1:44" x14ac:dyDescent="0.25">
      <c r="A1211" t="s">
        <v>435</v>
      </c>
      <c r="B1211" t="s">
        <v>460</v>
      </c>
      <c r="C1211" t="s">
        <v>44</v>
      </c>
      <c r="D1211" t="s">
        <v>461</v>
      </c>
      <c r="E1211" t="s">
        <v>134</v>
      </c>
      <c r="F1211" t="s">
        <v>461</v>
      </c>
      <c r="G1211" t="s">
        <v>33</v>
      </c>
      <c r="H1211" t="s">
        <v>453</v>
      </c>
      <c r="I1211" t="s">
        <v>135</v>
      </c>
      <c r="J1211" t="s">
        <v>39</v>
      </c>
      <c r="K1211" t="s">
        <v>31</v>
      </c>
      <c r="L1211">
        <v>6.641291224625212E-2</v>
      </c>
      <c r="M1211">
        <v>0</v>
      </c>
      <c r="N1211" s="2">
        <v>0.71439906728806646</v>
      </c>
      <c r="O1211" s="2">
        <v>5.3471683850504306</v>
      </c>
      <c r="P1211" s="1">
        <v>1.6499948460693128</v>
      </c>
      <c r="Q1211" s="1">
        <v>4.0542017663308254</v>
      </c>
      <c r="R1211" s="1">
        <v>-1.8625523936223525</v>
      </c>
      <c r="S1211" s="19">
        <v>32.824102707968777</v>
      </c>
      <c r="T1211" s="19">
        <v>52.981319145434739</v>
      </c>
      <c r="U1211" s="19">
        <v>79.798332945330898</v>
      </c>
      <c r="V1211" s="19">
        <v>113.40726503737308</v>
      </c>
      <c r="W1211" s="19">
        <v>153.07586210953968</v>
      </c>
      <c r="X1211" s="19">
        <v>196.91190377827297</v>
      </c>
      <c r="Y1211" s="19">
        <v>241.66869600134001</v>
      </c>
      <c r="Z1211" s="19">
        <v>282.7879765948316</v>
      </c>
      <c r="AA1211" s="19">
        <v>314.82403666643427</v>
      </c>
      <c r="AB1211" s="19">
        <v>332.33179702201483</v>
      </c>
      <c r="AC1211" s="19">
        <v>331.14674089868691</v>
      </c>
      <c r="AD1211" s="19">
        <v>309.75533072839164</v>
      </c>
      <c r="AE1211" s="19">
        <v>270.2448305852057</v>
      </c>
      <c r="AF1211" s="19">
        <v>221.76670496984624</v>
      </c>
      <c r="AG1211" s="19">
        <v>39.7387513157923</v>
      </c>
      <c r="AH1211" s="19">
        <v>0</v>
      </c>
      <c r="AI1211" s="19">
        <v>0</v>
      </c>
      <c r="AJ1211" s="19">
        <v>0</v>
      </c>
      <c r="AK1211" s="19">
        <v>0</v>
      </c>
      <c r="AL1211" s="19">
        <v>0</v>
      </c>
      <c r="AM1211" s="19">
        <v>0</v>
      </c>
      <c r="AN1211" s="19">
        <v>0</v>
      </c>
      <c r="AO1211" s="19">
        <v>0</v>
      </c>
      <c r="AP1211" s="19">
        <v>0</v>
      </c>
      <c r="AQ1211" s="19">
        <v>0</v>
      </c>
      <c r="AR1211" s="19">
        <v>2973.2636505064638</v>
      </c>
    </row>
    <row r="1212" spans="1:44" x14ac:dyDescent="0.25">
      <c r="A1212" t="s">
        <v>435</v>
      </c>
      <c r="B1212" t="s">
        <v>460</v>
      </c>
      <c r="C1212" t="s">
        <v>44</v>
      </c>
      <c r="D1212" t="s">
        <v>461</v>
      </c>
      <c r="E1212" t="s">
        <v>134</v>
      </c>
      <c r="F1212" t="s">
        <v>461</v>
      </c>
      <c r="G1212" t="s">
        <v>33</v>
      </c>
      <c r="H1212" t="s">
        <v>454</v>
      </c>
      <c r="I1212" t="s">
        <v>135</v>
      </c>
      <c r="J1212" t="s">
        <v>39</v>
      </c>
      <c r="K1212" t="s">
        <v>31</v>
      </c>
      <c r="L1212">
        <v>6.641291224625212E-2</v>
      </c>
      <c r="M1212">
        <v>0</v>
      </c>
      <c r="N1212" s="2">
        <v>0.71439906728806646</v>
      </c>
      <c r="O1212" s="2">
        <v>5.3471683850504306</v>
      </c>
      <c r="P1212" s="1">
        <v>1.6499948460693128</v>
      </c>
      <c r="Q1212" s="1">
        <v>4.0542017663308254</v>
      </c>
      <c r="R1212" s="1">
        <v>-1.8625523936223525</v>
      </c>
      <c r="S1212" s="19">
        <v>1.8074299400149556</v>
      </c>
      <c r="T1212" s="19">
        <v>2.9173690850564653</v>
      </c>
      <c r="U1212" s="19">
        <v>4.3940240320311288</v>
      </c>
      <c r="V1212" s="19">
        <v>6.2446699020959686</v>
      </c>
      <c r="W1212" s="19">
        <v>8.4289858197163845</v>
      </c>
      <c r="X1212" s="19">
        <v>10.842778357130564</v>
      </c>
      <c r="Y1212" s="19">
        <v>13.307271202607826</v>
      </c>
      <c r="Z1212" s="19">
        <v>15.571467714474991</v>
      </c>
      <c r="AA1212" s="19">
        <v>17.33550478956845</v>
      </c>
      <c r="AB1212" s="19">
        <v>18.299553998493241</v>
      </c>
      <c r="AC1212" s="19">
        <v>18.234299940005876</v>
      </c>
      <c r="AD1212" s="19">
        <v>17.05640101783532</v>
      </c>
      <c r="AE1212" s="19">
        <v>14.88079056660362</v>
      </c>
      <c r="AF1212" s="19">
        <v>12.211385816912328</v>
      </c>
      <c r="AG1212" s="19">
        <v>2.1881788984755084</v>
      </c>
      <c r="AH1212" s="19">
        <v>0</v>
      </c>
      <c r="AI1212" s="19">
        <v>0</v>
      </c>
      <c r="AJ1212" s="19">
        <v>0</v>
      </c>
      <c r="AK1212" s="19">
        <v>0</v>
      </c>
      <c r="AL1212" s="19">
        <v>0</v>
      </c>
      <c r="AM1212" s="19">
        <v>0</v>
      </c>
      <c r="AN1212" s="19">
        <v>0</v>
      </c>
      <c r="AO1212" s="19">
        <v>0</v>
      </c>
      <c r="AP1212" s="19">
        <v>0</v>
      </c>
      <c r="AQ1212" s="19">
        <v>0</v>
      </c>
      <c r="AR1212" s="19">
        <v>163.72011108102262</v>
      </c>
    </row>
    <row r="1213" spans="1:44" x14ac:dyDescent="0.25">
      <c r="A1213" t="s">
        <v>435</v>
      </c>
      <c r="B1213" t="s">
        <v>460</v>
      </c>
      <c r="C1213" t="s">
        <v>44</v>
      </c>
      <c r="D1213" t="s">
        <v>461</v>
      </c>
      <c r="E1213" t="s">
        <v>134</v>
      </c>
      <c r="F1213" t="s">
        <v>461</v>
      </c>
      <c r="G1213" t="s">
        <v>33</v>
      </c>
      <c r="H1213" t="s">
        <v>455</v>
      </c>
      <c r="I1213" t="s">
        <v>135</v>
      </c>
      <c r="J1213" t="s">
        <v>39</v>
      </c>
      <c r="K1213" t="s">
        <v>31</v>
      </c>
      <c r="L1213">
        <v>6.641291224625212E-2</v>
      </c>
      <c r="M1213">
        <v>0</v>
      </c>
      <c r="N1213" s="2">
        <v>0.71439906728806646</v>
      </c>
      <c r="O1213" s="2">
        <v>5.3471683850504306</v>
      </c>
      <c r="P1213" s="1">
        <v>1.6499948460693128</v>
      </c>
      <c r="Q1213" s="1">
        <v>4.0542017663308254</v>
      </c>
      <c r="R1213" s="1">
        <v>-1.8625523936223525</v>
      </c>
      <c r="S1213" s="19">
        <v>0.42585728426690866</v>
      </c>
      <c r="T1213" s="19">
        <v>0.68737539876986975</v>
      </c>
      <c r="U1213" s="19">
        <v>1.0352971918064082</v>
      </c>
      <c r="V1213" s="19">
        <v>1.4713367897556715</v>
      </c>
      <c r="W1213" s="19">
        <v>1.9859939966906823</v>
      </c>
      <c r="X1213" s="19">
        <v>2.5547192966369847</v>
      </c>
      <c r="Y1213" s="19">
        <v>3.1353903406617878</v>
      </c>
      <c r="Z1213" s="19">
        <v>3.6688685996212378</v>
      </c>
      <c r="AA1213" s="19">
        <v>4.0845018817274434</v>
      </c>
      <c r="AB1213" s="19">
        <v>4.3116461648463638</v>
      </c>
      <c r="AC1213" s="19">
        <v>4.2962713414467952</v>
      </c>
      <c r="AD1213" s="19">
        <v>4.0187408961271167</v>
      </c>
      <c r="AE1213" s="19">
        <v>3.5061348261089513</v>
      </c>
      <c r="AF1213" s="19">
        <v>2.8771835001707999</v>
      </c>
      <c r="AG1213" s="19">
        <v>0.51556738248302192</v>
      </c>
      <c r="AH1213" s="19">
        <v>0</v>
      </c>
      <c r="AI1213" s="19">
        <v>0</v>
      </c>
      <c r="AJ1213" s="19">
        <v>0</v>
      </c>
      <c r="AK1213" s="19">
        <v>0</v>
      </c>
      <c r="AL1213" s="19">
        <v>0</v>
      </c>
      <c r="AM1213" s="19">
        <v>0</v>
      </c>
      <c r="AN1213" s="19">
        <v>0</v>
      </c>
      <c r="AO1213" s="19">
        <v>0</v>
      </c>
      <c r="AP1213" s="19">
        <v>0</v>
      </c>
      <c r="AQ1213" s="19">
        <v>0</v>
      </c>
      <c r="AR1213" s="19">
        <v>38.574884891120043</v>
      </c>
    </row>
    <row r="1214" spans="1:44" x14ac:dyDescent="0.25">
      <c r="A1214" t="s">
        <v>435</v>
      </c>
      <c r="B1214" t="s">
        <v>460</v>
      </c>
      <c r="C1214" t="s">
        <v>44</v>
      </c>
      <c r="D1214" t="s">
        <v>461</v>
      </c>
      <c r="E1214" t="s">
        <v>134</v>
      </c>
      <c r="F1214" t="s">
        <v>461</v>
      </c>
      <c r="G1214" t="s">
        <v>33</v>
      </c>
      <c r="H1214" t="s">
        <v>456</v>
      </c>
      <c r="I1214" t="s">
        <v>135</v>
      </c>
      <c r="J1214" t="s">
        <v>39</v>
      </c>
      <c r="K1214" t="s">
        <v>31</v>
      </c>
      <c r="L1214">
        <v>6.641291224625212E-2</v>
      </c>
      <c r="M1214">
        <v>0</v>
      </c>
      <c r="N1214" s="2">
        <v>0.71439906728806646</v>
      </c>
      <c r="O1214" s="2">
        <v>5.3471683850504306</v>
      </c>
      <c r="P1214" s="1">
        <v>1.6499948460693128</v>
      </c>
      <c r="Q1214" s="1">
        <v>4.0542017663308254</v>
      </c>
      <c r="R1214" s="1">
        <v>-1.8625523936223525</v>
      </c>
      <c r="S1214" s="19">
        <v>76.761783946819989</v>
      </c>
      <c r="T1214" s="19">
        <v>123.9010433778602</v>
      </c>
      <c r="U1214" s="19">
        <v>186.6147704741006</v>
      </c>
      <c r="V1214" s="19">
        <v>265.21194057454517</v>
      </c>
      <c r="W1214" s="19">
        <v>357.98012086627512</v>
      </c>
      <c r="X1214" s="19">
        <v>460.49420296004672</v>
      </c>
      <c r="Y1214" s="19">
        <v>565.16153371226596</v>
      </c>
      <c r="Z1214" s="19">
        <v>661.3222532008748</v>
      </c>
      <c r="AA1214" s="19">
        <v>736.24113654712698</v>
      </c>
      <c r="AB1214" s="19">
        <v>777.18443147172832</v>
      </c>
      <c r="AC1214" s="19">
        <v>774.41308314537571</v>
      </c>
      <c r="AD1214" s="19">
        <v>724.38756316638273</v>
      </c>
      <c r="AE1214" s="19">
        <v>631.98910516113961</v>
      </c>
      <c r="AF1214" s="19">
        <v>518.61913926319573</v>
      </c>
      <c r="AG1214" s="19">
        <v>92.932241589612772</v>
      </c>
      <c r="AH1214" s="19">
        <v>0</v>
      </c>
      <c r="AI1214" s="19">
        <v>0</v>
      </c>
      <c r="AJ1214" s="19">
        <v>0</v>
      </c>
      <c r="AK1214" s="19">
        <v>0</v>
      </c>
      <c r="AL1214" s="19">
        <v>0</v>
      </c>
      <c r="AM1214" s="19">
        <v>0</v>
      </c>
      <c r="AN1214" s="19">
        <v>0</v>
      </c>
      <c r="AO1214" s="19">
        <v>0</v>
      </c>
      <c r="AP1214" s="19">
        <v>0</v>
      </c>
      <c r="AQ1214" s="19">
        <v>0</v>
      </c>
      <c r="AR1214" s="19">
        <v>6953.2143494573502</v>
      </c>
    </row>
    <row r="1215" spans="1:44" x14ac:dyDescent="0.25">
      <c r="A1215" t="s">
        <v>435</v>
      </c>
      <c r="B1215" t="s">
        <v>460</v>
      </c>
      <c r="C1215" t="s">
        <v>44</v>
      </c>
      <c r="D1215" t="s">
        <v>461</v>
      </c>
      <c r="E1215" t="s">
        <v>134</v>
      </c>
      <c r="F1215" t="s">
        <v>461</v>
      </c>
      <c r="G1215" t="s">
        <v>33</v>
      </c>
      <c r="H1215" t="s">
        <v>457</v>
      </c>
      <c r="I1215" t="s">
        <v>135</v>
      </c>
      <c r="J1215" t="s">
        <v>39</v>
      </c>
      <c r="K1215" t="s">
        <v>31</v>
      </c>
      <c r="L1215">
        <v>6.641291224625212E-2</v>
      </c>
      <c r="M1215">
        <v>0</v>
      </c>
      <c r="N1215" s="2">
        <v>0.71439906728806646</v>
      </c>
      <c r="O1215" s="2">
        <v>5.3471683850504306</v>
      </c>
      <c r="P1215" s="1">
        <v>1.6499948460693128</v>
      </c>
      <c r="Q1215" s="1">
        <v>4.0542017663308254</v>
      </c>
      <c r="R1215" s="1">
        <v>-1.8625523936223525</v>
      </c>
      <c r="S1215" s="19">
        <v>28.378749090924856</v>
      </c>
      <c r="T1215" s="19">
        <v>45.806082679892626</v>
      </c>
      <c r="U1215" s="19">
        <v>68.991280239317888</v>
      </c>
      <c r="V1215" s="19">
        <v>98.048569620222935</v>
      </c>
      <c r="W1215" s="19">
        <v>132.3448662506473</v>
      </c>
      <c r="X1215" s="19">
        <v>170.24421231119615</v>
      </c>
      <c r="Y1215" s="19">
        <v>208.93961208840679</v>
      </c>
      <c r="Z1215" s="19">
        <v>244.49012681668117</v>
      </c>
      <c r="AA1215" s="19">
        <v>272.18755753466064</v>
      </c>
      <c r="AB1215" s="19">
        <v>287.32424969942292</v>
      </c>
      <c r="AC1215" s="19">
        <v>286.29968519931174</v>
      </c>
      <c r="AD1215" s="19">
        <v>267.80530418531106</v>
      </c>
      <c r="AE1215" s="19">
        <v>233.64569348715736</v>
      </c>
      <c r="AF1215" s="19">
        <v>191.73293884230213</v>
      </c>
      <c r="AG1215" s="19">
        <v>34.356949916067286</v>
      </c>
      <c r="AH1215" s="19">
        <v>0</v>
      </c>
      <c r="AI1215" s="19">
        <v>0</v>
      </c>
      <c r="AJ1215" s="19">
        <v>0</v>
      </c>
      <c r="AK1215" s="19">
        <v>0</v>
      </c>
      <c r="AL1215" s="19">
        <v>0</v>
      </c>
      <c r="AM1215" s="19">
        <v>0</v>
      </c>
      <c r="AN1215" s="19">
        <v>0</v>
      </c>
      <c r="AO1215" s="19">
        <v>0</v>
      </c>
      <c r="AP1215" s="19">
        <v>0</v>
      </c>
      <c r="AQ1215" s="19">
        <v>0</v>
      </c>
      <c r="AR1215" s="19">
        <v>2570.5958779615225</v>
      </c>
    </row>
    <row r="1216" spans="1:44" x14ac:dyDescent="0.25">
      <c r="A1216" t="s">
        <v>435</v>
      </c>
      <c r="B1216" t="s">
        <v>460</v>
      </c>
      <c r="C1216" t="s">
        <v>44</v>
      </c>
      <c r="D1216" t="s">
        <v>461</v>
      </c>
      <c r="E1216" t="s">
        <v>134</v>
      </c>
      <c r="F1216" t="s">
        <v>461</v>
      </c>
      <c r="G1216" t="s">
        <v>33</v>
      </c>
      <c r="H1216" t="s">
        <v>450</v>
      </c>
      <c r="I1216" t="s">
        <v>135</v>
      </c>
      <c r="J1216" t="s">
        <v>39</v>
      </c>
      <c r="K1216" t="s">
        <v>33</v>
      </c>
      <c r="L1216">
        <v>6.641291224625212E-2</v>
      </c>
      <c r="M1216">
        <v>0</v>
      </c>
      <c r="N1216" s="2">
        <v>0.71439906728806646</v>
      </c>
      <c r="O1216" s="2">
        <v>5.3471683850504306</v>
      </c>
      <c r="P1216" s="1">
        <v>1.6499948460693128</v>
      </c>
      <c r="Q1216" s="1">
        <v>4.0542017663308254</v>
      </c>
      <c r="R1216" s="1">
        <v>-1.8625523936223525</v>
      </c>
      <c r="S1216" s="19">
        <v>11.160558253615656</v>
      </c>
      <c r="T1216" s="19">
        <v>18.001677756077093</v>
      </c>
      <c r="U1216" s="19">
        <v>27.094503355448211</v>
      </c>
      <c r="V1216" s="19">
        <v>38.479144976888257</v>
      </c>
      <c r="W1216" s="19">
        <v>51.902515935409802</v>
      </c>
      <c r="X1216" s="19">
        <v>66.719199601368317</v>
      </c>
      <c r="Y1216" s="19">
        <v>81.826959760560811</v>
      </c>
      <c r="Z1216" s="19">
        <v>95.682853238353701</v>
      </c>
      <c r="AA1216" s="19">
        <v>106.44817503819272</v>
      </c>
      <c r="AB1216" s="19">
        <v>112.28956339246233</v>
      </c>
      <c r="AC1216" s="19">
        <v>111.81115727903908</v>
      </c>
      <c r="AD1216" s="19">
        <v>104.51547693207914</v>
      </c>
      <c r="AE1216" s="19">
        <v>91.120558508751458</v>
      </c>
      <c r="AF1216" s="19">
        <v>74.722687190408749</v>
      </c>
      <c r="AG1216" s="19">
        <v>2.3896292376016612</v>
      </c>
      <c r="AH1216" s="19">
        <v>0</v>
      </c>
      <c r="AI1216" s="19">
        <v>0</v>
      </c>
      <c r="AJ1216" s="19">
        <v>0</v>
      </c>
      <c r="AK1216" s="19">
        <v>0</v>
      </c>
      <c r="AL1216" s="19">
        <v>0</v>
      </c>
      <c r="AM1216" s="19">
        <v>0</v>
      </c>
      <c r="AN1216" s="19">
        <v>0</v>
      </c>
      <c r="AO1216" s="19">
        <v>0</v>
      </c>
      <c r="AP1216" s="19">
        <v>0</v>
      </c>
      <c r="AQ1216" s="19">
        <v>0</v>
      </c>
      <c r="AR1216" s="19">
        <v>994.16466045625691</v>
      </c>
    </row>
    <row r="1217" spans="1:44" x14ac:dyDescent="0.25">
      <c r="A1217" t="s">
        <v>435</v>
      </c>
      <c r="B1217" t="s">
        <v>460</v>
      </c>
      <c r="C1217" t="s">
        <v>44</v>
      </c>
      <c r="D1217" t="s">
        <v>461</v>
      </c>
      <c r="E1217" t="s">
        <v>134</v>
      </c>
      <c r="F1217" t="s">
        <v>461</v>
      </c>
      <c r="G1217" t="s">
        <v>33</v>
      </c>
      <c r="H1217" t="s">
        <v>451</v>
      </c>
      <c r="I1217" t="s">
        <v>135</v>
      </c>
      <c r="J1217" t="s">
        <v>39</v>
      </c>
      <c r="K1217" t="s">
        <v>33</v>
      </c>
      <c r="L1217">
        <v>6.641291224625212E-2</v>
      </c>
      <c r="M1217">
        <v>0</v>
      </c>
      <c r="N1217" s="2">
        <v>0.71439906728806646</v>
      </c>
      <c r="O1217" s="2">
        <v>5.3471683850504306</v>
      </c>
      <c r="P1217" s="1">
        <v>1.6499948460693128</v>
      </c>
      <c r="Q1217" s="1">
        <v>4.0542017663308254</v>
      </c>
      <c r="R1217" s="1">
        <v>-1.8625523936223525</v>
      </c>
      <c r="S1217" s="19">
        <v>21.346888733507846</v>
      </c>
      <c r="T1217" s="19">
        <v>34.455970809447059</v>
      </c>
      <c r="U1217" s="19">
        <v>51.896198036506952</v>
      </c>
      <c r="V1217" s="19">
        <v>73.753494188784416</v>
      </c>
      <c r="W1217" s="19">
        <v>99.551644269161685</v>
      </c>
      <c r="X1217" s="19">
        <v>128.06005811203832</v>
      </c>
      <c r="Y1217" s="19">
        <v>157.16727460336961</v>
      </c>
      <c r="Z1217" s="19">
        <v>183.90886493534404</v>
      </c>
      <c r="AA1217" s="19">
        <v>204.74325653753857</v>
      </c>
      <c r="AB1217" s="19">
        <v>216.12928635862991</v>
      </c>
      <c r="AC1217" s="19">
        <v>215.35859472898483</v>
      </c>
      <c r="AD1217" s="19">
        <v>201.44686477795528</v>
      </c>
      <c r="AE1217" s="19">
        <v>175.75153175192622</v>
      </c>
      <c r="AF1217" s="19">
        <v>144.22417629831139</v>
      </c>
      <c r="AG1217" s="19">
        <v>25.843774323214024</v>
      </c>
      <c r="AH1217" s="19">
        <v>0</v>
      </c>
      <c r="AI1217" s="19">
        <v>0</v>
      </c>
      <c r="AJ1217" s="19">
        <v>0</v>
      </c>
      <c r="AK1217" s="19">
        <v>0</v>
      </c>
      <c r="AL1217" s="19">
        <v>0</v>
      </c>
      <c r="AM1217" s="19">
        <v>0</v>
      </c>
      <c r="AN1217" s="19">
        <v>0</v>
      </c>
      <c r="AO1217" s="19">
        <v>0</v>
      </c>
      <c r="AP1217" s="19">
        <v>0</v>
      </c>
      <c r="AQ1217" s="19">
        <v>0</v>
      </c>
      <c r="AR1217" s="19">
        <v>1933.63787846472</v>
      </c>
    </row>
    <row r="1218" spans="1:44" x14ac:dyDescent="0.25">
      <c r="A1218" t="s">
        <v>435</v>
      </c>
      <c r="B1218" t="s">
        <v>460</v>
      </c>
      <c r="C1218" t="s">
        <v>44</v>
      </c>
      <c r="D1218" t="s">
        <v>461</v>
      </c>
      <c r="E1218" t="s">
        <v>134</v>
      </c>
      <c r="F1218" t="s">
        <v>461</v>
      </c>
      <c r="G1218" t="s">
        <v>33</v>
      </c>
      <c r="H1218" t="s">
        <v>452</v>
      </c>
      <c r="I1218" t="s">
        <v>135</v>
      </c>
      <c r="J1218" t="s">
        <v>39</v>
      </c>
      <c r="K1218" t="s">
        <v>33</v>
      </c>
      <c r="L1218">
        <v>6.641291224625212E-2</v>
      </c>
      <c r="M1218">
        <v>0</v>
      </c>
      <c r="N1218" s="2">
        <v>0.71439906728806646</v>
      </c>
      <c r="O1218" s="2">
        <v>5.3471683850504306</v>
      </c>
      <c r="P1218" s="1">
        <v>1.6499948460693128</v>
      </c>
      <c r="Q1218" s="1">
        <v>4.0542017663308254</v>
      </c>
      <c r="R1218" s="1">
        <v>-1.8625523936223525</v>
      </c>
      <c r="S1218" s="19">
        <v>212.23751725192065</v>
      </c>
      <c r="T1218" s="19">
        <v>342.57215608300038</v>
      </c>
      <c r="U1218" s="19">
        <v>515.96840942882909</v>
      </c>
      <c r="V1218" s="19">
        <v>733.28055861887276</v>
      </c>
      <c r="W1218" s="19">
        <v>989.77392358203781</v>
      </c>
      <c r="X1218" s="19">
        <v>1273.2135878036895</v>
      </c>
      <c r="Y1218" s="19">
        <v>1562.6067372858142</v>
      </c>
      <c r="Z1218" s="19">
        <v>1828.4800835274789</v>
      </c>
      <c r="AA1218" s="19">
        <v>2035.6221922584407</v>
      </c>
      <c r="AB1218" s="19">
        <v>2148.8257007768298</v>
      </c>
      <c r="AC1218" s="19">
        <v>2141.1632409174708</v>
      </c>
      <c r="AD1218" s="19">
        <v>2002.8484231308823</v>
      </c>
      <c r="AE1218" s="19">
        <v>1747.3772978307643</v>
      </c>
      <c r="AF1218" s="19">
        <v>1433.9223615856138</v>
      </c>
      <c r="AG1218" s="19">
        <v>256.946975610935</v>
      </c>
      <c r="AH1218" s="19">
        <v>0</v>
      </c>
      <c r="AI1218" s="19">
        <v>0</v>
      </c>
      <c r="AJ1218" s="19">
        <v>0</v>
      </c>
      <c r="AK1218" s="19">
        <v>0</v>
      </c>
      <c r="AL1218" s="19">
        <v>0</v>
      </c>
      <c r="AM1218" s="19">
        <v>0</v>
      </c>
      <c r="AN1218" s="19">
        <v>0</v>
      </c>
      <c r="AO1218" s="19">
        <v>0</v>
      </c>
      <c r="AP1218" s="19">
        <v>0</v>
      </c>
      <c r="AQ1218" s="19">
        <v>0</v>
      </c>
      <c r="AR1218" s="19">
        <v>19224.839165692581</v>
      </c>
    </row>
    <row r="1219" spans="1:44" x14ac:dyDescent="0.25">
      <c r="A1219" t="s">
        <v>435</v>
      </c>
      <c r="B1219" t="s">
        <v>460</v>
      </c>
      <c r="C1219" t="s">
        <v>44</v>
      </c>
      <c r="D1219" t="s">
        <v>461</v>
      </c>
      <c r="E1219" t="s">
        <v>134</v>
      </c>
      <c r="F1219" t="s">
        <v>461</v>
      </c>
      <c r="G1219" t="s">
        <v>33</v>
      </c>
      <c r="H1219" t="s">
        <v>453</v>
      </c>
      <c r="I1219" t="s">
        <v>135</v>
      </c>
      <c r="J1219" t="s">
        <v>39</v>
      </c>
      <c r="K1219" t="s">
        <v>33</v>
      </c>
      <c r="L1219">
        <v>6.641291224625212E-2</v>
      </c>
      <c r="M1219">
        <v>0</v>
      </c>
      <c r="N1219" s="2">
        <v>0.71439906728806646</v>
      </c>
      <c r="O1219" s="2">
        <v>5.3471683850504306</v>
      </c>
      <c r="P1219" s="1">
        <v>1.6499948460693128</v>
      </c>
      <c r="Q1219" s="1">
        <v>4.0542017663308254</v>
      </c>
      <c r="R1219" s="1">
        <v>-1.8625523936223525</v>
      </c>
      <c r="S1219" s="19">
        <v>29.866123366958966</v>
      </c>
      <c r="T1219" s="19">
        <v>48.20685055185465</v>
      </c>
      <c r="U1219" s="19">
        <v>72.607220292554331</v>
      </c>
      <c r="V1219" s="19">
        <v>103.1874472990032</v>
      </c>
      <c r="W1219" s="19">
        <v>139.28126605444754</v>
      </c>
      <c r="X1219" s="19">
        <v>179.16697565161198</v>
      </c>
      <c r="Y1219" s="19">
        <v>219.89046137598953</v>
      </c>
      <c r="Z1219" s="19">
        <v>257.30423374600105</v>
      </c>
      <c r="AA1219" s="19">
        <v>286.45332978686588</v>
      </c>
      <c r="AB1219" s="19">
        <v>302.38335947605464</v>
      </c>
      <c r="AC1219" s="19">
        <v>301.30509596064434</v>
      </c>
      <c r="AD1219" s="19">
        <v>281.84139573939945</v>
      </c>
      <c r="AE1219" s="19">
        <v>245.89142683803576</v>
      </c>
      <c r="AF1219" s="19">
        <v>201.78195968493185</v>
      </c>
      <c r="AG1219" s="19">
        <v>36.157650973905277</v>
      </c>
      <c r="AH1219" s="19">
        <v>0</v>
      </c>
      <c r="AI1219" s="19">
        <v>0</v>
      </c>
      <c r="AJ1219" s="19">
        <v>0</v>
      </c>
      <c r="AK1219" s="19">
        <v>0</v>
      </c>
      <c r="AL1219" s="19">
        <v>0</v>
      </c>
      <c r="AM1219" s="19">
        <v>0</v>
      </c>
      <c r="AN1219" s="19">
        <v>0</v>
      </c>
      <c r="AO1219" s="19">
        <v>0</v>
      </c>
      <c r="AP1219" s="19">
        <v>0</v>
      </c>
      <c r="AQ1219" s="19">
        <v>0</v>
      </c>
      <c r="AR1219" s="19">
        <v>2705.3247967982584</v>
      </c>
    </row>
    <row r="1220" spans="1:44" x14ac:dyDescent="0.25">
      <c r="A1220" t="s">
        <v>435</v>
      </c>
      <c r="B1220" t="s">
        <v>460</v>
      </c>
      <c r="C1220" t="s">
        <v>44</v>
      </c>
      <c r="D1220" t="s">
        <v>461</v>
      </c>
      <c r="E1220" t="s">
        <v>134</v>
      </c>
      <c r="F1220" t="s">
        <v>461</v>
      </c>
      <c r="G1220" t="s">
        <v>33</v>
      </c>
      <c r="H1220" t="s">
        <v>454</v>
      </c>
      <c r="I1220" t="s">
        <v>135</v>
      </c>
      <c r="J1220" t="s">
        <v>39</v>
      </c>
      <c r="K1220" t="s">
        <v>33</v>
      </c>
      <c r="L1220">
        <v>6.641291224625212E-2</v>
      </c>
      <c r="M1220">
        <v>0</v>
      </c>
      <c r="N1220" s="2">
        <v>0.71439906728806646</v>
      </c>
      <c r="O1220" s="2">
        <v>5.3471683850504306</v>
      </c>
      <c r="P1220" s="1">
        <v>1.6499948460693128</v>
      </c>
      <c r="Q1220" s="1">
        <v>4.0542017663308254</v>
      </c>
      <c r="R1220" s="1">
        <v>-1.8625523936223525</v>
      </c>
      <c r="S1220" s="19">
        <v>14.504632832052842</v>
      </c>
      <c r="T1220" s="19">
        <v>23.411899115700063</v>
      </c>
      <c r="U1220" s="19">
        <v>35.262061244432267</v>
      </c>
      <c r="V1220" s="19">
        <v>50.113502095978269</v>
      </c>
      <c r="W1220" s="19">
        <v>67.642646475444806</v>
      </c>
      <c r="X1220" s="19">
        <v>87.013341689031989</v>
      </c>
      <c r="Y1220" s="19">
        <v>106.79090708698764</v>
      </c>
      <c r="Z1220" s="19">
        <v>124.96109356955542</v>
      </c>
      <c r="AA1220" s="19">
        <v>139.11749847902996</v>
      </c>
      <c r="AB1220" s="19">
        <v>146.85399741484449</v>
      </c>
      <c r="AC1220" s="19">
        <v>146.33033332241905</v>
      </c>
      <c r="AD1220" s="19">
        <v>136.87768954292443</v>
      </c>
      <c r="AE1220" s="19">
        <v>119.41840656765656</v>
      </c>
      <c r="AF1220" s="19">
        <v>97.996422280901996</v>
      </c>
      <c r="AG1220" s="19">
        <v>17.560144816993763</v>
      </c>
      <c r="AH1220" s="19">
        <v>0</v>
      </c>
      <c r="AI1220" s="19">
        <v>0</v>
      </c>
      <c r="AJ1220" s="19">
        <v>0</v>
      </c>
      <c r="AK1220" s="19">
        <v>0</v>
      </c>
      <c r="AL1220" s="19">
        <v>0</v>
      </c>
      <c r="AM1220" s="19">
        <v>0</v>
      </c>
      <c r="AN1220" s="19">
        <v>0</v>
      </c>
      <c r="AO1220" s="19">
        <v>0</v>
      </c>
      <c r="AP1220" s="19">
        <v>0</v>
      </c>
      <c r="AQ1220" s="19">
        <v>0</v>
      </c>
      <c r="AR1220" s="19">
        <v>1313.8545765339534</v>
      </c>
    </row>
    <row r="1221" spans="1:44" x14ac:dyDescent="0.25">
      <c r="A1221" t="s">
        <v>435</v>
      </c>
      <c r="B1221" t="s">
        <v>460</v>
      </c>
      <c r="C1221" t="s">
        <v>44</v>
      </c>
      <c r="D1221" t="s">
        <v>461</v>
      </c>
      <c r="E1221" t="s">
        <v>134</v>
      </c>
      <c r="F1221" t="s">
        <v>461</v>
      </c>
      <c r="G1221" t="s">
        <v>33</v>
      </c>
      <c r="H1221" t="s">
        <v>455</v>
      </c>
      <c r="I1221" t="s">
        <v>135</v>
      </c>
      <c r="J1221" t="s">
        <v>39</v>
      </c>
      <c r="K1221" t="s">
        <v>33</v>
      </c>
      <c r="L1221">
        <v>6.641291224625212E-2</v>
      </c>
      <c r="M1221">
        <v>0</v>
      </c>
      <c r="N1221" s="2">
        <v>0.71439906728806646</v>
      </c>
      <c r="O1221" s="2">
        <v>5.3471683850504306</v>
      </c>
      <c r="P1221" s="1">
        <v>1.6499948460693128</v>
      </c>
      <c r="Q1221" s="1">
        <v>4.0542017663308254</v>
      </c>
      <c r="R1221" s="1">
        <v>-1.8625523936223525</v>
      </c>
      <c r="S1221" s="19">
        <v>10.827752802876482</v>
      </c>
      <c r="T1221" s="19">
        <v>17.477054345732459</v>
      </c>
      <c r="U1221" s="19">
        <v>26.323236644147876</v>
      </c>
      <c r="V1221" s="19">
        <v>37.409882695037432</v>
      </c>
      <c r="W1221" s="19">
        <v>50.495442625059646</v>
      </c>
      <c r="X1221" s="19">
        <v>64.955725889113836</v>
      </c>
      <c r="Y1221" s="19">
        <v>79.719738991090367</v>
      </c>
      <c r="Z1221" s="19">
        <v>93.283838813089574</v>
      </c>
      <c r="AA1221" s="19">
        <v>103.85163840595408</v>
      </c>
      <c r="AB1221" s="19">
        <v>109.62695854033218</v>
      </c>
      <c r="AC1221" s="19">
        <v>109.23604169257888</v>
      </c>
      <c r="AD1221" s="19">
        <v>102.17961417985778</v>
      </c>
      <c r="AE1221" s="19">
        <v>89.146206001891841</v>
      </c>
      <c r="AF1221" s="19">
        <v>73.154629166419852</v>
      </c>
      <c r="AG1221" s="19">
        <v>13.108701851518289</v>
      </c>
      <c r="AH1221" s="19">
        <v>0</v>
      </c>
      <c r="AI1221" s="19">
        <v>0</v>
      </c>
      <c r="AJ1221" s="19">
        <v>0</v>
      </c>
      <c r="AK1221" s="19">
        <v>0</v>
      </c>
      <c r="AL1221" s="19">
        <v>0</v>
      </c>
      <c r="AM1221" s="19">
        <v>0</v>
      </c>
      <c r="AN1221" s="19">
        <v>0</v>
      </c>
      <c r="AO1221" s="19">
        <v>0</v>
      </c>
      <c r="AP1221" s="19">
        <v>0</v>
      </c>
      <c r="AQ1221" s="19">
        <v>0</v>
      </c>
      <c r="AR1221" s="19">
        <v>980.79646264470068</v>
      </c>
    </row>
    <row r="1222" spans="1:44" x14ac:dyDescent="0.25">
      <c r="A1222" t="s">
        <v>435</v>
      </c>
      <c r="B1222" t="s">
        <v>460</v>
      </c>
      <c r="C1222" t="s">
        <v>44</v>
      </c>
      <c r="D1222" t="s">
        <v>461</v>
      </c>
      <c r="E1222" t="s">
        <v>134</v>
      </c>
      <c r="F1222" t="s">
        <v>461</v>
      </c>
      <c r="G1222" t="s">
        <v>33</v>
      </c>
      <c r="H1222" t="s">
        <v>456</v>
      </c>
      <c r="I1222" t="s">
        <v>135</v>
      </c>
      <c r="J1222" t="s">
        <v>39</v>
      </c>
      <c r="K1222" t="s">
        <v>33</v>
      </c>
      <c r="L1222">
        <v>6.641291224625212E-2</v>
      </c>
      <c r="M1222">
        <v>0</v>
      </c>
      <c r="N1222" s="2">
        <v>0.71439906728806646</v>
      </c>
      <c r="O1222" s="2">
        <v>5.3471683850504306</v>
      </c>
      <c r="P1222" s="1">
        <v>1.6499948460693128</v>
      </c>
      <c r="Q1222" s="1">
        <v>4.0542017663308254</v>
      </c>
      <c r="R1222" s="1">
        <v>-1.8625523936223525</v>
      </c>
      <c r="S1222" s="19">
        <v>70.874134113365443</v>
      </c>
      <c r="T1222" s="19">
        <v>114.39779944707968</v>
      </c>
      <c r="U1222" s="19">
        <v>172.30136651434916</v>
      </c>
      <c r="V1222" s="19">
        <v>244.87011216112975</v>
      </c>
      <c r="W1222" s="19">
        <v>330.52294763983565</v>
      </c>
      <c r="X1222" s="19">
        <v>425.17417158554377</v>
      </c>
      <c r="Y1222" s="19">
        <v>521.81348942839179</v>
      </c>
      <c r="Z1222" s="19">
        <v>610.59865541925751</v>
      </c>
      <c r="AA1222" s="19">
        <v>679.77123991240114</v>
      </c>
      <c r="AB1222" s="19">
        <v>717.5741729127551</v>
      </c>
      <c r="AC1222" s="19">
        <v>715.01538776137261</v>
      </c>
      <c r="AD1222" s="19">
        <v>668.82683885351639</v>
      </c>
      <c r="AE1222" s="19">
        <v>583.51536786075451</v>
      </c>
      <c r="AF1222" s="19">
        <v>478.84090936920722</v>
      </c>
      <c r="AG1222" s="19">
        <v>85.804313230148793</v>
      </c>
      <c r="AH1222" s="19">
        <v>0</v>
      </c>
      <c r="AI1222" s="19">
        <v>0</v>
      </c>
      <c r="AJ1222" s="19">
        <v>0</v>
      </c>
      <c r="AK1222" s="19">
        <v>0</v>
      </c>
      <c r="AL1222" s="19">
        <v>0</v>
      </c>
      <c r="AM1222" s="19">
        <v>0</v>
      </c>
      <c r="AN1222" s="19">
        <v>0</v>
      </c>
      <c r="AO1222" s="19">
        <v>0</v>
      </c>
      <c r="AP1222" s="19">
        <v>0</v>
      </c>
      <c r="AQ1222" s="19">
        <v>0</v>
      </c>
      <c r="AR1222" s="19">
        <v>6419.9009062091091</v>
      </c>
    </row>
    <row r="1223" spans="1:44" x14ac:dyDescent="0.25">
      <c r="A1223" t="s">
        <v>435</v>
      </c>
      <c r="B1223" t="s">
        <v>460</v>
      </c>
      <c r="C1223" t="s">
        <v>44</v>
      </c>
      <c r="D1223" t="s">
        <v>461</v>
      </c>
      <c r="E1223" t="s">
        <v>134</v>
      </c>
      <c r="F1223" t="s">
        <v>461</v>
      </c>
      <c r="G1223" t="s">
        <v>33</v>
      </c>
      <c r="H1223" t="s">
        <v>457</v>
      </c>
      <c r="I1223" t="s">
        <v>135</v>
      </c>
      <c r="J1223" t="s">
        <v>39</v>
      </c>
      <c r="K1223" t="s">
        <v>33</v>
      </c>
      <c r="L1223">
        <v>6.641291224625212E-2</v>
      </c>
      <c r="M1223">
        <v>0</v>
      </c>
      <c r="N1223" s="2">
        <v>0.71439906728806646</v>
      </c>
      <c r="O1223" s="2">
        <v>5.3471683850504306</v>
      </c>
      <c r="P1223" s="1">
        <v>1.6499948460693128</v>
      </c>
      <c r="Q1223" s="1">
        <v>4.0542017663308254</v>
      </c>
      <c r="R1223" s="1">
        <v>-1.8625523936223525</v>
      </c>
      <c r="S1223" s="19">
        <v>8.3034679031917999</v>
      </c>
      <c r="T1223" s="19">
        <v>13.402611090601908</v>
      </c>
      <c r="U1223" s="19">
        <v>20.186474013771175</v>
      </c>
      <c r="V1223" s="19">
        <v>28.688479121715055</v>
      </c>
      <c r="W1223" s="19">
        <v>38.723389305974806</v>
      </c>
      <c r="X1223" s="19">
        <v>49.812532190935919</v>
      </c>
      <c r="Y1223" s="19">
        <v>61.134596071263658</v>
      </c>
      <c r="Z1223" s="19">
        <v>71.536483661248113</v>
      </c>
      <c r="AA1223" s="19">
        <v>79.640601507695663</v>
      </c>
      <c r="AB1223" s="19">
        <v>84.069515451291252</v>
      </c>
      <c r="AC1223" s="19">
        <v>83.769733441373717</v>
      </c>
      <c r="AD1223" s="19">
        <v>78.358377970872624</v>
      </c>
      <c r="AE1223" s="19">
        <v>68.363461348266725</v>
      </c>
      <c r="AF1223" s="19">
        <v>56.100016902112451</v>
      </c>
      <c r="AG1223" s="19">
        <v>10.052657006324992</v>
      </c>
      <c r="AH1223" s="19">
        <v>0</v>
      </c>
      <c r="AI1223" s="19">
        <v>0</v>
      </c>
      <c r="AJ1223" s="19">
        <v>0</v>
      </c>
      <c r="AK1223" s="19">
        <v>0</v>
      </c>
      <c r="AL1223" s="19">
        <v>0</v>
      </c>
      <c r="AM1223" s="19">
        <v>0</v>
      </c>
      <c r="AN1223" s="19">
        <v>0</v>
      </c>
      <c r="AO1223" s="19">
        <v>0</v>
      </c>
      <c r="AP1223" s="19">
        <v>0</v>
      </c>
      <c r="AQ1223" s="19">
        <v>0</v>
      </c>
      <c r="AR1223" s="19">
        <v>752.14239698663982</v>
      </c>
    </row>
    <row r="1224" spans="1:44" x14ac:dyDescent="0.25">
      <c r="A1224" t="s">
        <v>435</v>
      </c>
      <c r="B1224" t="s">
        <v>460</v>
      </c>
      <c r="C1224" t="s">
        <v>44</v>
      </c>
      <c r="D1224" t="s">
        <v>461</v>
      </c>
      <c r="E1224" t="s">
        <v>134</v>
      </c>
      <c r="F1224" t="s">
        <v>461</v>
      </c>
      <c r="G1224" t="s">
        <v>33</v>
      </c>
      <c r="H1224" t="s">
        <v>457</v>
      </c>
      <c r="I1224" t="s">
        <v>256</v>
      </c>
      <c r="J1224" t="s">
        <v>39</v>
      </c>
      <c r="K1224" t="s">
        <v>33</v>
      </c>
      <c r="L1224">
        <v>6.641291224625212E-2</v>
      </c>
      <c r="M1224">
        <v>0</v>
      </c>
      <c r="N1224" s="2">
        <v>0.35355443358033928</v>
      </c>
      <c r="O1224" s="2">
        <v>2.6463011728329877</v>
      </c>
      <c r="P1224" s="1">
        <v>3.11293179741818</v>
      </c>
      <c r="Q1224" s="1">
        <v>1.3498045353129324</v>
      </c>
      <c r="R1224" s="1">
        <v>-0.39961544227348528</v>
      </c>
      <c r="S1224" s="19">
        <v>22.835093888430823</v>
      </c>
      <c r="T1224" s="19">
        <v>36.85807980137735</v>
      </c>
      <c r="U1224" s="19">
        <v>55.514158030723969</v>
      </c>
      <c r="V1224" s="19">
        <v>78.895242553877168</v>
      </c>
      <c r="W1224" s="19">
        <v>106.4919188933448</v>
      </c>
      <c r="X1224" s="19">
        <v>136.98780589773421</v>
      </c>
      <c r="Y1224" s="19">
        <v>168.12424126815509</v>
      </c>
      <c r="Z1224" s="19">
        <v>196.73013009719409</v>
      </c>
      <c r="AA1224" s="19">
        <v>219.01699795338257</v>
      </c>
      <c r="AB1224" s="19">
        <v>231.19680847410604</v>
      </c>
      <c r="AC1224" s="19">
        <v>230.37238783175036</v>
      </c>
      <c r="AD1224" s="19">
        <v>215.49079719116185</v>
      </c>
      <c r="AE1224" s="19">
        <v>188.00410582977156</v>
      </c>
      <c r="AF1224" s="19">
        <v>154.27881073760358</v>
      </c>
      <c r="AG1224" s="19">
        <v>27.645481290942119</v>
      </c>
      <c r="AH1224" s="19">
        <v>0</v>
      </c>
      <c r="AI1224" s="19">
        <v>0</v>
      </c>
      <c r="AJ1224" s="19">
        <v>0</v>
      </c>
      <c r="AK1224" s="19">
        <v>0</v>
      </c>
      <c r="AL1224" s="19">
        <v>0</v>
      </c>
      <c r="AM1224" s="19">
        <v>0</v>
      </c>
      <c r="AN1224" s="19">
        <v>0</v>
      </c>
      <c r="AO1224" s="19">
        <v>0</v>
      </c>
      <c r="AP1224" s="19">
        <v>0</v>
      </c>
      <c r="AQ1224" s="19">
        <v>0</v>
      </c>
      <c r="AR1224" s="19">
        <v>2068.4420597395556</v>
      </c>
    </row>
    <row r="1225" spans="1:44" x14ac:dyDescent="0.25">
      <c r="A1225" t="s">
        <v>435</v>
      </c>
      <c r="B1225" t="s">
        <v>460</v>
      </c>
      <c r="C1225" t="s">
        <v>44</v>
      </c>
      <c r="D1225" t="s">
        <v>461</v>
      </c>
      <c r="E1225" t="s">
        <v>134</v>
      </c>
      <c r="F1225" t="s">
        <v>461</v>
      </c>
      <c r="G1225" t="s">
        <v>33</v>
      </c>
      <c r="H1225" t="s">
        <v>452</v>
      </c>
      <c r="I1225" t="s">
        <v>135</v>
      </c>
      <c r="J1225" t="s">
        <v>40</v>
      </c>
      <c r="K1225" t="s">
        <v>33</v>
      </c>
      <c r="L1225">
        <v>6.641291224625212E-2</v>
      </c>
      <c r="M1225">
        <v>0</v>
      </c>
      <c r="N1225" s="2">
        <v>0.71439906728806646</v>
      </c>
      <c r="O1225" s="2">
        <v>4.1746294160814523</v>
      </c>
      <c r="P1225" s="1">
        <v>1.6499948460693128</v>
      </c>
      <c r="Q1225" s="1">
        <v>1.3498045353129324</v>
      </c>
      <c r="R1225" s="1">
        <v>-1.7195523936223522</v>
      </c>
      <c r="S1225" s="19">
        <v>15.540586691171647</v>
      </c>
      <c r="T1225" s="19">
        <v>25.084030187133536</v>
      </c>
      <c r="U1225" s="19">
        <v>37.780557841321539</v>
      </c>
      <c r="V1225" s="19">
        <v>53.69272236934934</v>
      </c>
      <c r="W1225" s="19">
        <v>72.473838100123018</v>
      </c>
      <c r="X1225" s="19">
        <v>93.22803241311415</v>
      </c>
      <c r="Y1225" s="19">
        <v>114.41815650422814</v>
      </c>
      <c r="Z1225" s="19">
        <v>133.88609902277969</v>
      </c>
      <c r="AA1225" s="19">
        <v>149.05358656130295</v>
      </c>
      <c r="AB1225" s="19">
        <v>157.34264384322842</v>
      </c>
      <c r="AC1225" s="19">
        <v>156.7815784705561</v>
      </c>
      <c r="AD1225" s="19">
        <v>146.65380537785313</v>
      </c>
      <c r="AE1225" s="19">
        <v>127.94754071162464</v>
      </c>
      <c r="AF1225" s="19">
        <v>104.99554959541042</v>
      </c>
      <c r="AG1225" s="19">
        <v>18.814330290041575</v>
      </c>
      <c r="AH1225" s="19">
        <v>0</v>
      </c>
      <c r="AI1225" s="19">
        <v>0</v>
      </c>
      <c r="AJ1225" s="19">
        <v>0</v>
      </c>
      <c r="AK1225" s="19">
        <v>0</v>
      </c>
      <c r="AL1225" s="19">
        <v>0</v>
      </c>
      <c r="AM1225" s="19">
        <v>0</v>
      </c>
      <c r="AN1225" s="19">
        <v>0</v>
      </c>
      <c r="AO1225" s="19">
        <v>0</v>
      </c>
      <c r="AP1225" s="19">
        <v>0</v>
      </c>
      <c r="AQ1225" s="19">
        <v>0</v>
      </c>
      <c r="AR1225" s="19">
        <v>1407.6930579792386</v>
      </c>
    </row>
    <row r="1226" spans="1:44" x14ac:dyDescent="0.25">
      <c r="A1226" t="s">
        <v>435</v>
      </c>
      <c r="B1226" t="s">
        <v>460</v>
      </c>
      <c r="C1226" t="s">
        <v>44</v>
      </c>
      <c r="D1226" t="s">
        <v>461</v>
      </c>
      <c r="E1226" t="s">
        <v>134</v>
      </c>
      <c r="F1226" t="s">
        <v>461</v>
      </c>
      <c r="G1226" t="s">
        <v>33</v>
      </c>
      <c r="H1226" t="s">
        <v>453</v>
      </c>
      <c r="I1226" t="s">
        <v>135</v>
      </c>
      <c r="J1226" t="s">
        <v>40</v>
      </c>
      <c r="K1226" t="s">
        <v>33</v>
      </c>
      <c r="L1226">
        <v>6.641291224625212E-2</v>
      </c>
      <c r="M1226">
        <v>0</v>
      </c>
      <c r="N1226" s="2">
        <v>0.71439906728806646</v>
      </c>
      <c r="O1226" s="2">
        <v>4.1746294160814523</v>
      </c>
      <c r="P1226" s="1">
        <v>1.6499948460693128</v>
      </c>
      <c r="Q1226" s="1">
        <v>1.3498045353129324</v>
      </c>
      <c r="R1226" s="1">
        <v>-1.7195523936223522</v>
      </c>
      <c r="S1226" s="19">
        <v>608.21214307563889</v>
      </c>
      <c r="T1226" s="19">
        <v>981.71401506723203</v>
      </c>
      <c r="U1226" s="19">
        <v>1478.618182691717</v>
      </c>
      <c r="V1226" s="19">
        <v>2101.3727723921083</v>
      </c>
      <c r="W1226" s="19">
        <v>2836.4095425582314</v>
      </c>
      <c r="X1226" s="19">
        <v>3648.6667148105153</v>
      </c>
      <c r="Y1226" s="19">
        <v>4477.9848764483058</v>
      </c>
      <c r="Z1226" s="19">
        <v>5239.9019955238718</v>
      </c>
      <c r="AA1226" s="19">
        <v>5833.5121522188492</v>
      </c>
      <c r="AB1226" s="19">
        <v>6157.9210946676303</v>
      </c>
      <c r="AC1226" s="19">
        <v>6135.9626718937716</v>
      </c>
      <c r="AD1226" s="19">
        <v>5739.5918848889305</v>
      </c>
      <c r="AE1226" s="19">
        <v>5007.484561807606</v>
      </c>
      <c r="AF1226" s="19">
        <v>4109.2121875364373</v>
      </c>
      <c r="AG1226" s="19">
        <v>736.33668880337268</v>
      </c>
      <c r="AH1226" s="19">
        <v>0</v>
      </c>
      <c r="AI1226" s="19">
        <v>0</v>
      </c>
      <c r="AJ1226" s="19">
        <v>0</v>
      </c>
      <c r="AK1226" s="19">
        <v>0</v>
      </c>
      <c r="AL1226" s="19">
        <v>0</v>
      </c>
      <c r="AM1226" s="19">
        <v>0</v>
      </c>
      <c r="AN1226" s="19">
        <v>0</v>
      </c>
      <c r="AO1226" s="19">
        <v>0</v>
      </c>
      <c r="AP1226" s="19">
        <v>0</v>
      </c>
      <c r="AQ1226" s="19">
        <v>0</v>
      </c>
      <c r="AR1226" s="19">
        <v>55092.901484384223</v>
      </c>
    </row>
    <row r="1227" spans="1:44" x14ac:dyDescent="0.25">
      <c r="A1227" t="s">
        <v>435</v>
      </c>
      <c r="B1227" t="s">
        <v>460</v>
      </c>
      <c r="C1227" t="s">
        <v>44</v>
      </c>
      <c r="D1227" t="s">
        <v>461</v>
      </c>
      <c r="E1227" t="s">
        <v>134</v>
      </c>
      <c r="F1227" t="s">
        <v>461</v>
      </c>
      <c r="G1227" t="s">
        <v>33</v>
      </c>
      <c r="H1227" t="s">
        <v>456</v>
      </c>
      <c r="I1227" t="s">
        <v>135</v>
      </c>
      <c r="J1227" t="s">
        <v>40</v>
      </c>
      <c r="K1227" t="s">
        <v>33</v>
      </c>
      <c r="L1227">
        <v>6.641291224625212E-2</v>
      </c>
      <c r="M1227">
        <v>0</v>
      </c>
      <c r="N1227" s="2">
        <v>0.71439906728806646</v>
      </c>
      <c r="O1227" s="2">
        <v>4.1746294160814523</v>
      </c>
      <c r="P1227" s="1">
        <v>1.6499948460693128</v>
      </c>
      <c r="Q1227" s="1">
        <v>1.3498045353129324</v>
      </c>
      <c r="R1227" s="1">
        <v>-1.7195523936223522</v>
      </c>
      <c r="S1227" s="19">
        <v>261.64701719264394</v>
      </c>
      <c r="T1227" s="19">
        <v>422.32393204061935</v>
      </c>
      <c r="U1227" s="19">
        <v>636.08732820052001</v>
      </c>
      <c r="V1227" s="19">
        <v>903.99036613423038</v>
      </c>
      <c r="W1227" s="19">
        <v>1220.1961187328984</v>
      </c>
      <c r="X1227" s="19">
        <v>1569.621345987382</v>
      </c>
      <c r="Y1227" s="19">
        <v>1926.386046867794</v>
      </c>
      <c r="Z1227" s="19">
        <v>2254.1554671658405</v>
      </c>
      <c r="AA1227" s="19">
        <v>2509.5208501867828</v>
      </c>
      <c r="AB1227" s="19">
        <v>2649.0784586769964</v>
      </c>
      <c r="AC1227" s="19">
        <v>2639.6321562865478</v>
      </c>
      <c r="AD1227" s="19">
        <v>2469.1172540393236</v>
      </c>
      <c r="AE1227" s="19">
        <v>2154.1717214156884</v>
      </c>
      <c r="AF1227" s="19">
        <v>1767.7435811189616</v>
      </c>
      <c r="AG1227" s="19">
        <v>316.76496510026146</v>
      </c>
      <c r="AH1227" s="19">
        <v>0</v>
      </c>
      <c r="AI1227" s="19">
        <v>0</v>
      </c>
      <c r="AJ1227" s="19">
        <v>0</v>
      </c>
      <c r="AK1227" s="19">
        <v>0</v>
      </c>
      <c r="AL1227" s="19">
        <v>0</v>
      </c>
      <c r="AM1227" s="19">
        <v>0</v>
      </c>
      <c r="AN1227" s="19">
        <v>0</v>
      </c>
      <c r="AO1227" s="19">
        <v>0</v>
      </c>
      <c r="AP1227" s="19">
        <v>0</v>
      </c>
      <c r="AQ1227" s="19">
        <v>0</v>
      </c>
      <c r="AR1227" s="19">
        <v>23700.436609146491</v>
      </c>
    </row>
    <row r="1228" spans="1:44" x14ac:dyDescent="0.25">
      <c r="A1228" t="s">
        <v>435</v>
      </c>
      <c r="B1228" t="s">
        <v>460</v>
      </c>
      <c r="C1228" t="s">
        <v>44</v>
      </c>
      <c r="D1228" t="s">
        <v>461</v>
      </c>
      <c r="E1228" t="s">
        <v>134</v>
      </c>
      <c r="F1228" t="s">
        <v>461</v>
      </c>
      <c r="G1228" t="s">
        <v>33</v>
      </c>
      <c r="H1228" t="s">
        <v>450</v>
      </c>
      <c r="I1228" t="s">
        <v>256</v>
      </c>
      <c r="J1228" t="s">
        <v>40</v>
      </c>
      <c r="K1228" t="s">
        <v>33</v>
      </c>
      <c r="L1228">
        <v>6.641291224625212E-2</v>
      </c>
      <c r="M1228">
        <v>0</v>
      </c>
      <c r="N1228" s="2">
        <v>0.35355443358033928</v>
      </c>
      <c r="O1228" s="2">
        <v>1.4737622038640097</v>
      </c>
      <c r="P1228" s="1">
        <v>3.11293179741818</v>
      </c>
      <c r="Q1228" s="1">
        <v>1.3498045353129324</v>
      </c>
      <c r="R1228" s="1">
        <v>-0.25661544227348532</v>
      </c>
      <c r="S1228" s="19">
        <v>291.53615110961408</v>
      </c>
      <c r="T1228" s="19">
        <v>470.56792387565542</v>
      </c>
      <c r="U1228" s="19">
        <v>708.7504892006508</v>
      </c>
      <c r="V1228" s="19">
        <v>1007.2573148766394</v>
      </c>
      <c r="W1228" s="19">
        <v>1359.5846949493912</v>
      </c>
      <c r="X1228" s="19">
        <v>1748.9263620067688</v>
      </c>
      <c r="Y1228" s="19">
        <v>2146.4459242873831</v>
      </c>
      <c r="Z1228" s="19">
        <v>2511.6579426409726</v>
      </c>
      <c r="AA1228" s="19">
        <v>2796.194879814399</v>
      </c>
      <c r="AB1228" s="19">
        <v>2951.6947913893259</v>
      </c>
      <c r="AC1228" s="19">
        <v>2941.1693947282911</v>
      </c>
      <c r="AD1228" s="19">
        <v>2751.1757963247346</v>
      </c>
      <c r="AE1228" s="19">
        <v>2400.2525969111562</v>
      </c>
      <c r="AF1228" s="19">
        <v>1969.6810050339727</v>
      </c>
      <c r="AG1228" s="19">
        <v>352.95047397276261</v>
      </c>
      <c r="AH1228" s="19">
        <v>0</v>
      </c>
      <c r="AI1228" s="19">
        <v>0</v>
      </c>
      <c r="AJ1228" s="19">
        <v>0</v>
      </c>
      <c r="AK1228" s="19">
        <v>0</v>
      </c>
      <c r="AL1228" s="19">
        <v>0</v>
      </c>
      <c r="AM1228" s="19">
        <v>0</v>
      </c>
      <c r="AN1228" s="19">
        <v>0</v>
      </c>
      <c r="AO1228" s="19">
        <v>0</v>
      </c>
      <c r="AP1228" s="19">
        <v>0</v>
      </c>
      <c r="AQ1228" s="19">
        <v>0</v>
      </c>
      <c r="AR1228" s="19">
        <v>26407.845741121724</v>
      </c>
    </row>
    <row r="1229" spans="1:44" x14ac:dyDescent="0.25">
      <c r="A1229" t="s">
        <v>435</v>
      </c>
      <c r="B1229" t="s">
        <v>460</v>
      </c>
      <c r="C1229" t="s">
        <v>44</v>
      </c>
      <c r="D1229" t="s">
        <v>461</v>
      </c>
      <c r="E1229" t="s">
        <v>134</v>
      </c>
      <c r="F1229" t="s">
        <v>461</v>
      </c>
      <c r="G1229" t="s">
        <v>33</v>
      </c>
      <c r="H1229" t="s">
        <v>452</v>
      </c>
      <c r="I1229" t="s">
        <v>256</v>
      </c>
      <c r="J1229" t="s">
        <v>40</v>
      </c>
      <c r="K1229" t="s">
        <v>33</v>
      </c>
      <c r="L1229">
        <v>6.641291224625212E-2</v>
      </c>
      <c r="M1229">
        <v>0</v>
      </c>
      <c r="N1229" s="2">
        <v>0.35355443358033928</v>
      </c>
      <c r="O1229" s="2">
        <v>1.4737622038640097</v>
      </c>
      <c r="P1229" s="1">
        <v>3.11293179741818</v>
      </c>
      <c r="Q1229" s="1">
        <v>1.3498045353129324</v>
      </c>
      <c r="R1229" s="1">
        <v>-0.25661544227348532</v>
      </c>
      <c r="S1229" s="19">
        <v>93.711485544610753</v>
      </c>
      <c r="T1229" s="19">
        <v>151.25952314384094</v>
      </c>
      <c r="U1229" s="19">
        <v>227.82101283380871</v>
      </c>
      <c r="V1229" s="19">
        <v>323.77315452475574</v>
      </c>
      <c r="W1229" s="19">
        <v>437.02539462942877</v>
      </c>
      <c r="X1229" s="19">
        <v>562.17552049029996</v>
      </c>
      <c r="Y1229" s="19">
        <v>689.95435194078914</v>
      </c>
      <c r="Z1229" s="19">
        <v>807.34823482083186</v>
      </c>
      <c r="AA1229" s="19">
        <v>898.80989051378219</v>
      </c>
      <c r="AB1229" s="19">
        <v>948.79383816582811</v>
      </c>
      <c r="AC1229" s="19">
        <v>945.41055086750293</v>
      </c>
      <c r="AD1229" s="19">
        <v>884.33894008236496</v>
      </c>
      <c r="AE1229" s="19">
        <v>771.53806031514353</v>
      </c>
      <c r="AF1229" s="19">
        <v>633.13497255211746</v>
      </c>
      <c r="AG1229" s="19">
        <v>113.45252763258648</v>
      </c>
      <c r="AH1229" s="19">
        <v>0</v>
      </c>
      <c r="AI1229" s="19">
        <v>0</v>
      </c>
      <c r="AJ1229" s="19">
        <v>0</v>
      </c>
      <c r="AK1229" s="19">
        <v>0</v>
      </c>
      <c r="AL1229" s="19">
        <v>0</v>
      </c>
      <c r="AM1229" s="19">
        <v>0</v>
      </c>
      <c r="AN1229" s="19">
        <v>0</v>
      </c>
      <c r="AO1229" s="19">
        <v>0</v>
      </c>
      <c r="AP1229" s="19">
        <v>0</v>
      </c>
      <c r="AQ1229" s="19">
        <v>0</v>
      </c>
      <c r="AR1229" s="19">
        <v>8488.5474580576902</v>
      </c>
    </row>
    <row r="1230" spans="1:44" x14ac:dyDescent="0.25">
      <c r="A1230" t="s">
        <v>435</v>
      </c>
      <c r="B1230" t="s">
        <v>460</v>
      </c>
      <c r="C1230" t="s">
        <v>44</v>
      </c>
      <c r="D1230" t="s">
        <v>461</v>
      </c>
      <c r="E1230" t="s">
        <v>134</v>
      </c>
      <c r="F1230" t="s">
        <v>461</v>
      </c>
      <c r="G1230" t="s">
        <v>33</v>
      </c>
      <c r="H1230" t="s">
        <v>453</v>
      </c>
      <c r="I1230" t="s">
        <v>256</v>
      </c>
      <c r="J1230" t="s">
        <v>40</v>
      </c>
      <c r="K1230" t="s">
        <v>33</v>
      </c>
      <c r="L1230">
        <v>6.641291224625212E-2</v>
      </c>
      <c r="M1230">
        <v>0</v>
      </c>
      <c r="N1230" s="2">
        <v>0.35355443358033928</v>
      </c>
      <c r="O1230" s="2">
        <v>1.4737622038640097</v>
      </c>
      <c r="P1230" s="1">
        <v>3.11293179741818</v>
      </c>
      <c r="Q1230" s="1">
        <v>1.3498045353129324</v>
      </c>
      <c r="R1230" s="1">
        <v>-0.25661544227348532</v>
      </c>
      <c r="S1230" s="19">
        <v>313.10593327007638</v>
      </c>
      <c r="T1230" s="19">
        <v>505.38366652392347</v>
      </c>
      <c r="U1230" s="19">
        <v>761.18856111726598</v>
      </c>
      <c r="V1230" s="19">
        <v>1081.7809057888774</v>
      </c>
      <c r="W1230" s="19">
        <v>1460.1758071910108</v>
      </c>
      <c r="X1230" s="19">
        <v>1878.3235585451569</v>
      </c>
      <c r="Y1230" s="19">
        <v>2305.2542601657124</v>
      </c>
      <c r="Z1230" s="19">
        <v>2697.4870910267286</v>
      </c>
      <c r="AA1230" s="19">
        <v>3003.0759619931914</v>
      </c>
      <c r="AB1230" s="19">
        <v>3170.0807905599763</v>
      </c>
      <c r="AC1230" s="19">
        <v>3158.7766550966808</v>
      </c>
      <c r="AD1230" s="19">
        <v>2954.7260674866425</v>
      </c>
      <c r="AE1230" s="19">
        <v>2577.8392373617653</v>
      </c>
      <c r="AF1230" s="19">
        <v>2115.4110973140519</v>
      </c>
      <c r="AG1230" s="19">
        <v>379.0640959302678</v>
      </c>
      <c r="AH1230" s="19">
        <v>0</v>
      </c>
      <c r="AI1230" s="19">
        <v>0</v>
      </c>
      <c r="AJ1230" s="19">
        <v>0</v>
      </c>
      <c r="AK1230" s="19">
        <v>0</v>
      </c>
      <c r="AL1230" s="19">
        <v>0</v>
      </c>
      <c r="AM1230" s="19">
        <v>0</v>
      </c>
      <c r="AN1230" s="19">
        <v>0</v>
      </c>
      <c r="AO1230" s="19">
        <v>0</v>
      </c>
      <c r="AP1230" s="19">
        <v>0</v>
      </c>
      <c r="AQ1230" s="19">
        <v>0</v>
      </c>
      <c r="AR1230" s="19">
        <v>28361.673689371328</v>
      </c>
    </row>
    <row r="1231" spans="1:44" x14ac:dyDescent="0.25">
      <c r="A1231" t="s">
        <v>435</v>
      </c>
      <c r="B1231" t="s">
        <v>460</v>
      </c>
      <c r="C1231" t="s">
        <v>44</v>
      </c>
      <c r="D1231" t="s">
        <v>461</v>
      </c>
      <c r="E1231" t="s">
        <v>134</v>
      </c>
      <c r="F1231" t="s">
        <v>461</v>
      </c>
      <c r="G1231" t="s">
        <v>33</v>
      </c>
      <c r="H1231" t="s">
        <v>456</v>
      </c>
      <c r="I1231" t="s">
        <v>256</v>
      </c>
      <c r="J1231" t="s">
        <v>40</v>
      </c>
      <c r="K1231" t="s">
        <v>33</v>
      </c>
      <c r="L1231">
        <v>6.641291224625212E-2</v>
      </c>
      <c r="M1231">
        <v>0</v>
      </c>
      <c r="N1231" s="2">
        <v>0.35355443358033928</v>
      </c>
      <c r="O1231" s="2">
        <v>1.4737622038640097</v>
      </c>
      <c r="P1231" s="1">
        <v>3.11293179741818</v>
      </c>
      <c r="Q1231" s="1">
        <v>1.3498045353129324</v>
      </c>
      <c r="R1231" s="1">
        <v>-0.25661544227348532</v>
      </c>
      <c r="S1231" s="19">
        <v>392.91011503833823</v>
      </c>
      <c r="T1231" s="19">
        <v>634.19543819736782</v>
      </c>
      <c r="U1231" s="19">
        <v>955.19967312939787</v>
      </c>
      <c r="V1231" s="19">
        <v>1357.5043299264323</v>
      </c>
      <c r="W1231" s="19">
        <v>1832.3442113910544</v>
      </c>
      <c r="X1231" s="19">
        <v>2357.0691163830788</v>
      </c>
      <c r="Y1231" s="19">
        <v>2892.8155627541178</v>
      </c>
      <c r="Z1231" s="19">
        <v>3385.0203737133593</v>
      </c>
      <c r="AA1231" s="19">
        <v>3768.4974838143057</v>
      </c>
      <c r="AB1231" s="19">
        <v>3978.0683652052162</v>
      </c>
      <c r="AC1231" s="19">
        <v>3963.883041027851</v>
      </c>
      <c r="AD1231" s="19">
        <v>3707.8242081141193</v>
      </c>
      <c r="AE1231" s="19">
        <v>3234.8767738888214</v>
      </c>
      <c r="AF1231" s="19">
        <v>2654.5853312913769</v>
      </c>
      <c r="AG1231" s="19">
        <v>475.67963974159181</v>
      </c>
      <c r="AH1231" s="19">
        <v>0</v>
      </c>
      <c r="AI1231" s="19">
        <v>0</v>
      </c>
      <c r="AJ1231" s="19">
        <v>0</v>
      </c>
      <c r="AK1231" s="19">
        <v>0</v>
      </c>
      <c r="AL1231" s="19">
        <v>0</v>
      </c>
      <c r="AM1231" s="19">
        <v>0</v>
      </c>
      <c r="AN1231" s="19">
        <v>0</v>
      </c>
      <c r="AO1231" s="19">
        <v>0</v>
      </c>
      <c r="AP1231" s="19">
        <v>0</v>
      </c>
      <c r="AQ1231" s="19">
        <v>0</v>
      </c>
      <c r="AR1231" s="19">
        <v>35590.473663616431</v>
      </c>
    </row>
    <row r="1232" spans="1:44" x14ac:dyDescent="0.25">
      <c r="A1232" t="s">
        <v>435</v>
      </c>
      <c r="B1232" t="s">
        <v>460</v>
      </c>
      <c r="C1232" t="s">
        <v>44</v>
      </c>
      <c r="D1232" t="s">
        <v>461</v>
      </c>
      <c r="E1232" t="s">
        <v>134</v>
      </c>
      <c r="F1232" t="s">
        <v>461</v>
      </c>
      <c r="G1232" t="s">
        <v>33</v>
      </c>
      <c r="H1232" t="s">
        <v>457</v>
      </c>
      <c r="I1232" t="s">
        <v>256</v>
      </c>
      <c r="J1232" t="s">
        <v>40</v>
      </c>
      <c r="K1232" t="s">
        <v>33</v>
      </c>
      <c r="L1232">
        <v>6.641291224625212E-2</v>
      </c>
      <c r="M1232">
        <v>0</v>
      </c>
      <c r="N1232" s="2">
        <v>0.35355443358033928</v>
      </c>
      <c r="O1232" s="2">
        <v>1.4737622038640097</v>
      </c>
      <c r="P1232" s="1">
        <v>3.11293179741818</v>
      </c>
      <c r="Q1232" s="1">
        <v>1.3498045353129324</v>
      </c>
      <c r="R1232" s="1">
        <v>-0.25661544227348532</v>
      </c>
      <c r="S1232" s="19">
        <v>208.94986895593857</v>
      </c>
      <c r="T1232" s="19">
        <v>337.26556948238374</v>
      </c>
      <c r="U1232" s="19">
        <v>507.97584202602718</v>
      </c>
      <c r="V1232" s="19">
        <v>721.92173473968739</v>
      </c>
      <c r="W1232" s="19">
        <v>974.44190973544949</v>
      </c>
      <c r="X1232" s="19">
        <v>1253.4909744949621</v>
      </c>
      <c r="Y1232" s="19">
        <v>1538.4013025274064</v>
      </c>
      <c r="Z1232" s="19">
        <v>1800.1561589514531</v>
      </c>
      <c r="AA1232" s="19">
        <v>2004.0895494048304</v>
      </c>
      <c r="AB1232" s="19">
        <v>2115.5394880233325</v>
      </c>
      <c r="AC1232" s="19">
        <v>2107.9957228859325</v>
      </c>
      <c r="AD1232" s="19">
        <v>1971.8234597282019</v>
      </c>
      <c r="AE1232" s="19">
        <v>1720.3096894736975</v>
      </c>
      <c r="AF1232" s="19">
        <v>1411.7103018627236</v>
      </c>
      <c r="AG1232" s="19">
        <v>252.96675902404468</v>
      </c>
      <c r="AH1232" s="19">
        <v>0</v>
      </c>
      <c r="AI1232" s="19">
        <v>0</v>
      </c>
      <c r="AJ1232" s="19">
        <v>0</v>
      </c>
      <c r="AK1232" s="19">
        <v>0</v>
      </c>
      <c r="AL1232" s="19">
        <v>0</v>
      </c>
      <c r="AM1232" s="19">
        <v>0</v>
      </c>
      <c r="AN1232" s="19">
        <v>0</v>
      </c>
      <c r="AO1232" s="19">
        <v>0</v>
      </c>
      <c r="AP1232" s="19">
        <v>0</v>
      </c>
      <c r="AQ1232" s="19">
        <v>0</v>
      </c>
      <c r="AR1232" s="19">
        <v>18927.038331316075</v>
      </c>
    </row>
    <row r="1233" spans="1:44" x14ac:dyDescent="0.25">
      <c r="A1233" t="s">
        <v>435</v>
      </c>
      <c r="B1233" t="s">
        <v>462</v>
      </c>
      <c r="C1233" t="s">
        <v>46</v>
      </c>
      <c r="D1233" t="s">
        <v>463</v>
      </c>
      <c r="E1233" t="s">
        <v>134</v>
      </c>
      <c r="F1233" t="s">
        <v>463</v>
      </c>
      <c r="G1233" t="s">
        <v>33</v>
      </c>
      <c r="H1233" t="s">
        <v>450</v>
      </c>
      <c r="I1233" t="s">
        <v>135</v>
      </c>
      <c r="J1233" t="s">
        <v>39</v>
      </c>
      <c r="K1233" t="s">
        <v>31</v>
      </c>
      <c r="L1233">
        <v>2.5000000000000026E-2</v>
      </c>
      <c r="M1233">
        <v>1</v>
      </c>
      <c r="N1233" s="2">
        <v>4.8021796953168767</v>
      </c>
      <c r="O1233" s="2">
        <v>2.8779545327574696</v>
      </c>
      <c r="P1233" s="1">
        <v>-0.74213157254111406</v>
      </c>
      <c r="Q1233" s="1">
        <v>0.32461448738579723</v>
      </c>
      <c r="R1233" s="1">
        <v>-0.52509153328775138</v>
      </c>
      <c r="S1233" s="19">
        <v>10.801680071481568</v>
      </c>
      <c r="T1233" s="19">
        <v>17.434970401646705</v>
      </c>
      <c r="U1233" s="19">
        <v>26.25985149942187</v>
      </c>
      <c r="V1233" s="19">
        <v>37.319801415867126</v>
      </c>
      <c r="W1233" s="19">
        <v>50.373851918640781</v>
      </c>
      <c r="X1233" s="19">
        <v>64.799315484803643</v>
      </c>
      <c r="Y1233" s="19">
        <v>79.527777521390448</v>
      </c>
      <c r="Z1233" s="19">
        <v>93.059215614062182</v>
      </c>
      <c r="AA1233" s="19">
        <v>103.60156843092096</v>
      </c>
      <c r="AB1233" s="19">
        <v>109.362981859695</v>
      </c>
      <c r="AC1233" s="19">
        <v>108.97300632175499</v>
      </c>
      <c r="AD1233" s="19">
        <v>101.9335703623595</v>
      </c>
      <c r="AE1233" s="19">
        <v>88.93154603261867</v>
      </c>
      <c r="AF1233" s="19">
        <v>72.978476179620614</v>
      </c>
      <c r="AG1233" s="19">
        <v>13.077136699585584</v>
      </c>
      <c r="AH1233" s="19">
        <v>0</v>
      </c>
      <c r="AI1233" s="19">
        <v>0</v>
      </c>
      <c r="AJ1233" s="19">
        <v>0</v>
      </c>
      <c r="AK1233" s="19">
        <v>0</v>
      </c>
      <c r="AL1233" s="19">
        <v>0</v>
      </c>
      <c r="AM1233" s="19">
        <v>0</v>
      </c>
      <c r="AN1233" s="19">
        <v>0</v>
      </c>
      <c r="AO1233" s="19">
        <v>0</v>
      </c>
      <c r="AP1233" s="19">
        <v>0</v>
      </c>
      <c r="AQ1233" s="19">
        <v>0</v>
      </c>
      <c r="AR1233" s="19">
        <v>978.43474981386976</v>
      </c>
    </row>
    <row r="1234" spans="1:44" x14ac:dyDescent="0.25">
      <c r="A1234" t="s">
        <v>435</v>
      </c>
      <c r="B1234" t="s">
        <v>462</v>
      </c>
      <c r="C1234" t="s">
        <v>46</v>
      </c>
      <c r="D1234" t="s">
        <v>463</v>
      </c>
      <c r="E1234" t="s">
        <v>134</v>
      </c>
      <c r="F1234" t="s">
        <v>463</v>
      </c>
      <c r="G1234" t="s">
        <v>33</v>
      </c>
      <c r="H1234" t="s">
        <v>451</v>
      </c>
      <c r="I1234" t="s">
        <v>135</v>
      </c>
      <c r="J1234" t="s">
        <v>39</v>
      </c>
      <c r="K1234" t="s">
        <v>31</v>
      </c>
      <c r="L1234">
        <v>2.5000000000000026E-2</v>
      </c>
      <c r="M1234">
        <v>1</v>
      </c>
      <c r="N1234" s="2">
        <v>4.8021796953168767</v>
      </c>
      <c r="O1234" s="2">
        <v>2.8779545327574696</v>
      </c>
      <c r="P1234" s="1">
        <v>-0.74213157254111406</v>
      </c>
      <c r="Q1234" s="1">
        <v>0.32461448738579723</v>
      </c>
      <c r="R1234" s="1">
        <v>-0.52509153328775138</v>
      </c>
      <c r="S1234" s="19">
        <v>2.8255338557091139</v>
      </c>
      <c r="T1234" s="19">
        <v>4.5606885981749059</v>
      </c>
      <c r="U1234" s="19">
        <v>6.8691258180666663</v>
      </c>
      <c r="V1234" s="19">
        <v>9.7622186262743167</v>
      </c>
      <c r="W1234" s="19">
        <v>13.176933874794392</v>
      </c>
      <c r="X1234" s="19">
        <v>16.950387209901447</v>
      </c>
      <c r="Y1234" s="19">
        <v>20.803099737166139</v>
      </c>
      <c r="Z1234" s="19">
        <v>24.34269137423188</v>
      </c>
      <c r="AA1234" s="19">
        <v>27.100389677249584</v>
      </c>
      <c r="AB1234" s="19">
        <v>28.60747640746278</v>
      </c>
      <c r="AC1234" s="19">
        <v>28.505465509338048</v>
      </c>
      <c r="AD1234" s="19">
        <v>26.664070050785085</v>
      </c>
      <c r="AE1234" s="19">
        <v>23.262963954944453</v>
      </c>
      <c r="AF1234" s="19">
        <v>19.089915070526256</v>
      </c>
      <c r="AG1234" s="19">
        <v>3.4207542008182861</v>
      </c>
      <c r="AH1234" s="19">
        <v>0</v>
      </c>
      <c r="AI1234" s="19">
        <v>0</v>
      </c>
      <c r="AJ1234" s="19">
        <v>0</v>
      </c>
      <c r="AK1234" s="19">
        <v>0</v>
      </c>
      <c r="AL1234" s="19">
        <v>0</v>
      </c>
      <c r="AM1234" s="19">
        <v>0</v>
      </c>
      <c r="AN1234" s="19">
        <v>0</v>
      </c>
      <c r="AO1234" s="19">
        <v>0</v>
      </c>
      <c r="AP1234" s="19">
        <v>0</v>
      </c>
      <c r="AQ1234" s="19">
        <v>0</v>
      </c>
      <c r="AR1234" s="19">
        <v>255.94171396544337</v>
      </c>
    </row>
    <row r="1235" spans="1:44" x14ac:dyDescent="0.25">
      <c r="A1235" t="s">
        <v>435</v>
      </c>
      <c r="B1235" t="s">
        <v>462</v>
      </c>
      <c r="C1235" t="s">
        <v>46</v>
      </c>
      <c r="D1235" t="s">
        <v>463</v>
      </c>
      <c r="E1235" t="s">
        <v>134</v>
      </c>
      <c r="F1235" t="s">
        <v>463</v>
      </c>
      <c r="G1235" t="s">
        <v>33</v>
      </c>
      <c r="H1235" t="s">
        <v>452</v>
      </c>
      <c r="I1235" t="s">
        <v>135</v>
      </c>
      <c r="J1235" t="s">
        <v>39</v>
      </c>
      <c r="K1235" t="s">
        <v>31</v>
      </c>
      <c r="L1235">
        <v>2.5000000000000026E-2</v>
      </c>
      <c r="M1235">
        <v>1</v>
      </c>
      <c r="N1235" s="2">
        <v>4.8021796953168767</v>
      </c>
      <c r="O1235" s="2">
        <v>2.8779545327574696</v>
      </c>
      <c r="P1235" s="1">
        <v>-0.74213157254111406</v>
      </c>
      <c r="Q1235" s="1">
        <v>0.32461448738579723</v>
      </c>
      <c r="R1235" s="1">
        <v>-0.52509153328775138</v>
      </c>
      <c r="S1235" s="19">
        <v>63.996409900118131</v>
      </c>
      <c r="T1235" s="19">
        <v>103.29647842154326</v>
      </c>
      <c r="U1235" s="19">
        <v>155.58100308026715</v>
      </c>
      <c r="V1235" s="19">
        <v>221.10757706169088</v>
      </c>
      <c r="W1235" s="19">
        <v>298.44854266184689</v>
      </c>
      <c r="X1235" s="19">
        <v>383.91468063946928</v>
      </c>
      <c r="Y1235" s="19">
        <v>471.17598512674937</v>
      </c>
      <c r="Z1235" s="19">
        <v>551.34531554443083</v>
      </c>
      <c r="AA1235" s="19">
        <v>613.80529655799751</v>
      </c>
      <c r="AB1235" s="19">
        <v>647.93978054121874</v>
      </c>
      <c r="AC1235" s="19">
        <v>645.62930344766744</v>
      </c>
      <c r="AD1235" s="19">
        <v>603.92295534793948</v>
      </c>
      <c r="AE1235" s="19">
        <v>526.89022775084493</v>
      </c>
      <c r="AF1235" s="19">
        <v>432.37352380095223</v>
      </c>
      <c r="AG1235" s="19">
        <v>77.477743740634537</v>
      </c>
      <c r="AH1235" s="19">
        <v>0</v>
      </c>
      <c r="AI1235" s="19">
        <v>0</v>
      </c>
      <c r="AJ1235" s="19">
        <v>0</v>
      </c>
      <c r="AK1235" s="19">
        <v>0</v>
      </c>
      <c r="AL1235" s="19">
        <v>0</v>
      </c>
      <c r="AM1235" s="19">
        <v>0</v>
      </c>
      <c r="AN1235" s="19">
        <v>0</v>
      </c>
      <c r="AO1235" s="19">
        <v>0</v>
      </c>
      <c r="AP1235" s="19">
        <v>0</v>
      </c>
      <c r="AQ1235" s="19">
        <v>0</v>
      </c>
      <c r="AR1235" s="19">
        <v>5796.9048236233702</v>
      </c>
    </row>
    <row r="1236" spans="1:44" x14ac:dyDescent="0.25">
      <c r="A1236" t="s">
        <v>435</v>
      </c>
      <c r="B1236" t="s">
        <v>462</v>
      </c>
      <c r="C1236" t="s">
        <v>46</v>
      </c>
      <c r="D1236" t="s">
        <v>463</v>
      </c>
      <c r="E1236" t="s">
        <v>134</v>
      </c>
      <c r="F1236" t="s">
        <v>463</v>
      </c>
      <c r="G1236" t="s">
        <v>33</v>
      </c>
      <c r="H1236" t="s">
        <v>453</v>
      </c>
      <c r="I1236" t="s">
        <v>135</v>
      </c>
      <c r="J1236" t="s">
        <v>39</v>
      </c>
      <c r="K1236" t="s">
        <v>31</v>
      </c>
      <c r="L1236">
        <v>2.5000000000000026E-2</v>
      </c>
      <c r="M1236">
        <v>1</v>
      </c>
      <c r="N1236" s="2">
        <v>4.8021796953168767</v>
      </c>
      <c r="O1236" s="2">
        <v>2.8779545327574696</v>
      </c>
      <c r="P1236" s="1">
        <v>-0.74213157254111406</v>
      </c>
      <c r="Q1236" s="1">
        <v>0.32461448738579723</v>
      </c>
      <c r="R1236" s="1">
        <v>-0.52509153328775138</v>
      </c>
      <c r="S1236" s="19">
        <v>19.5720142856545</v>
      </c>
      <c r="T1236" s="19">
        <v>31.591149479785336</v>
      </c>
      <c r="U1236" s="19">
        <v>47.581319321130003</v>
      </c>
      <c r="V1236" s="19">
        <v>67.621303502368477</v>
      </c>
      <c r="W1236" s="19">
        <v>91.274481640877966</v>
      </c>
      <c r="X1236" s="19">
        <v>117.41258026310489</v>
      </c>
      <c r="Y1236" s="19">
        <v>144.09969444146972</v>
      </c>
      <c r="Z1236" s="19">
        <v>168.61787104942539</v>
      </c>
      <c r="AA1236" s="19">
        <v>187.71999947486665</v>
      </c>
      <c r="AB1236" s="19">
        <v>198.15934457556449</v>
      </c>
      <c r="AC1236" s="19">
        <v>197.45273164599172</v>
      </c>
      <c r="AD1236" s="19">
        <v>184.69768425998436</v>
      </c>
      <c r="AE1236" s="19">
        <v>161.13877451260367</v>
      </c>
      <c r="AF1236" s="19">
        <v>132.23274239568542</v>
      </c>
      <c r="AG1236" s="19">
        <v>23.695008980639638</v>
      </c>
      <c r="AH1236" s="19">
        <v>0</v>
      </c>
      <c r="AI1236" s="19">
        <v>0</v>
      </c>
      <c r="AJ1236" s="19">
        <v>0</v>
      </c>
      <c r="AK1236" s="19">
        <v>0</v>
      </c>
      <c r="AL1236" s="19">
        <v>0</v>
      </c>
      <c r="AM1236" s="19">
        <v>0</v>
      </c>
      <c r="AN1236" s="19">
        <v>0</v>
      </c>
      <c r="AO1236" s="19">
        <v>0</v>
      </c>
      <c r="AP1236" s="19">
        <v>0</v>
      </c>
      <c r="AQ1236" s="19">
        <v>0</v>
      </c>
      <c r="AR1236" s="19">
        <v>1772.8666998291519</v>
      </c>
    </row>
    <row r="1237" spans="1:44" x14ac:dyDescent="0.25">
      <c r="A1237" t="s">
        <v>435</v>
      </c>
      <c r="B1237" t="s">
        <v>462</v>
      </c>
      <c r="C1237" t="s">
        <v>46</v>
      </c>
      <c r="D1237" t="s">
        <v>463</v>
      </c>
      <c r="E1237" t="s">
        <v>134</v>
      </c>
      <c r="F1237" t="s">
        <v>463</v>
      </c>
      <c r="G1237" t="s">
        <v>33</v>
      </c>
      <c r="H1237" t="s">
        <v>454</v>
      </c>
      <c r="I1237" t="s">
        <v>135</v>
      </c>
      <c r="J1237" t="s">
        <v>39</v>
      </c>
      <c r="K1237" t="s">
        <v>31</v>
      </c>
      <c r="L1237">
        <v>2.5000000000000026E-2</v>
      </c>
      <c r="M1237">
        <v>1</v>
      </c>
      <c r="N1237" s="2">
        <v>4.8021796953168767</v>
      </c>
      <c r="O1237" s="2">
        <v>2.8779545327574696</v>
      </c>
      <c r="P1237" s="1">
        <v>-0.74213157254111406</v>
      </c>
      <c r="Q1237" s="1">
        <v>0.32461448738579723</v>
      </c>
      <c r="R1237" s="1">
        <v>-0.52509153328775138</v>
      </c>
      <c r="S1237" s="19">
        <v>1.077715510489927</v>
      </c>
      <c r="T1237" s="19">
        <v>1.7395384701678356</v>
      </c>
      <c r="U1237" s="19">
        <v>2.620022910955127</v>
      </c>
      <c r="V1237" s="19">
        <v>3.723506766366143</v>
      </c>
      <c r="W1237" s="19">
        <v>5.0259479244505769</v>
      </c>
      <c r="X1237" s="19">
        <v>6.4652190126868225</v>
      </c>
      <c r="Y1237" s="19">
        <v>7.9347211528584749</v>
      </c>
      <c r="Z1237" s="19">
        <v>9.2847926801765688</v>
      </c>
      <c r="AA1237" s="19">
        <v>10.336634344861936</v>
      </c>
      <c r="AB1237" s="19">
        <v>10.911467572049256</v>
      </c>
      <c r="AC1237" s="19">
        <v>10.872558561305707</v>
      </c>
      <c r="AD1237" s="19">
        <v>10.170213253137319</v>
      </c>
      <c r="AE1237" s="19">
        <v>8.8729628999330448</v>
      </c>
      <c r="AF1237" s="19">
        <v>7.2812780225131313</v>
      </c>
      <c r="AG1237" s="19">
        <v>1.3047445360976566</v>
      </c>
      <c r="AH1237" s="19">
        <v>0</v>
      </c>
      <c r="AI1237" s="19">
        <v>0</v>
      </c>
      <c r="AJ1237" s="19">
        <v>0</v>
      </c>
      <c r="AK1237" s="19">
        <v>0</v>
      </c>
      <c r="AL1237" s="19">
        <v>0</v>
      </c>
      <c r="AM1237" s="19">
        <v>0</v>
      </c>
      <c r="AN1237" s="19">
        <v>0</v>
      </c>
      <c r="AO1237" s="19">
        <v>0</v>
      </c>
      <c r="AP1237" s="19">
        <v>0</v>
      </c>
      <c r="AQ1237" s="19">
        <v>0</v>
      </c>
      <c r="AR1237" s="19">
        <v>97.621323618049516</v>
      </c>
    </row>
    <row r="1238" spans="1:44" x14ac:dyDescent="0.25">
      <c r="A1238" t="s">
        <v>435</v>
      </c>
      <c r="B1238" t="s">
        <v>462</v>
      </c>
      <c r="C1238" t="s">
        <v>46</v>
      </c>
      <c r="D1238" t="s">
        <v>463</v>
      </c>
      <c r="E1238" t="s">
        <v>134</v>
      </c>
      <c r="F1238" t="s">
        <v>463</v>
      </c>
      <c r="G1238" t="s">
        <v>33</v>
      </c>
      <c r="H1238" t="s">
        <v>455</v>
      </c>
      <c r="I1238" t="s">
        <v>135</v>
      </c>
      <c r="J1238" t="s">
        <v>39</v>
      </c>
      <c r="K1238" t="s">
        <v>31</v>
      </c>
      <c r="L1238">
        <v>2.5000000000000026E-2</v>
      </c>
      <c r="M1238">
        <v>1</v>
      </c>
      <c r="N1238" s="2">
        <v>4.8021796953168767</v>
      </c>
      <c r="O1238" s="2">
        <v>2.8779545327574696</v>
      </c>
      <c r="P1238" s="1">
        <v>-0.74213157254111406</v>
      </c>
      <c r="Q1238" s="1">
        <v>0.32461448738579723</v>
      </c>
      <c r="R1238" s="1">
        <v>-0.52509153328775138</v>
      </c>
      <c r="S1238" s="19">
        <v>0.25392574857190187</v>
      </c>
      <c r="T1238" s="19">
        <v>0.40986104765828857</v>
      </c>
      <c r="U1238" s="19">
        <v>0.61731623277591507</v>
      </c>
      <c r="V1238" s="19">
        <v>0.87731338535922621</v>
      </c>
      <c r="W1238" s="19">
        <v>1.1841878274715969</v>
      </c>
      <c r="X1238" s="19">
        <v>1.5233014292718934</v>
      </c>
      <c r="Y1238" s="19">
        <v>1.869537915004077</v>
      </c>
      <c r="Z1238" s="19">
        <v>2.1876347781029613</v>
      </c>
      <c r="AA1238" s="19">
        <v>2.4354642650915337</v>
      </c>
      <c r="AB1238" s="19">
        <v>2.5709034938089412</v>
      </c>
      <c r="AC1238" s="19">
        <v>2.5617359541539209</v>
      </c>
      <c r="AD1238" s="19">
        <v>2.3962529891258439</v>
      </c>
      <c r="AE1238" s="19">
        <v>2.0906015775832798</v>
      </c>
      <c r="AF1238" s="19">
        <v>1.7155770279173921</v>
      </c>
      <c r="AG1238" s="19">
        <v>0.30741715211381437</v>
      </c>
      <c r="AH1238" s="19">
        <v>0</v>
      </c>
      <c r="AI1238" s="19">
        <v>0</v>
      </c>
      <c r="AJ1238" s="19">
        <v>0</v>
      </c>
      <c r="AK1238" s="19">
        <v>0</v>
      </c>
      <c r="AL1238" s="19">
        <v>0</v>
      </c>
      <c r="AM1238" s="19">
        <v>0</v>
      </c>
      <c r="AN1238" s="19">
        <v>0</v>
      </c>
      <c r="AO1238" s="19">
        <v>0</v>
      </c>
      <c r="AP1238" s="19">
        <v>0</v>
      </c>
      <c r="AQ1238" s="19">
        <v>0</v>
      </c>
      <c r="AR1238" s="19">
        <v>23.001030824010584</v>
      </c>
    </row>
    <row r="1239" spans="1:44" x14ac:dyDescent="0.25">
      <c r="A1239" t="s">
        <v>435</v>
      </c>
      <c r="B1239" t="s">
        <v>462</v>
      </c>
      <c r="C1239" t="s">
        <v>46</v>
      </c>
      <c r="D1239" t="s">
        <v>463</v>
      </c>
      <c r="E1239" t="s">
        <v>134</v>
      </c>
      <c r="F1239" t="s">
        <v>463</v>
      </c>
      <c r="G1239" t="s">
        <v>33</v>
      </c>
      <c r="H1239" t="s">
        <v>456</v>
      </c>
      <c r="I1239" t="s">
        <v>135</v>
      </c>
      <c r="J1239" t="s">
        <v>39</v>
      </c>
      <c r="K1239" t="s">
        <v>31</v>
      </c>
      <c r="L1239">
        <v>2.5000000000000026E-2</v>
      </c>
      <c r="M1239">
        <v>1</v>
      </c>
      <c r="N1239" s="2">
        <v>4.8021796953168767</v>
      </c>
      <c r="O1239" s="2">
        <v>2.8779545327574696</v>
      </c>
      <c r="P1239" s="1">
        <v>-0.74213157254111406</v>
      </c>
      <c r="Q1239" s="1">
        <v>0.32461448738579723</v>
      </c>
      <c r="R1239" s="1">
        <v>-0.52509153328775138</v>
      </c>
      <c r="S1239" s="19">
        <v>45.770717492751082</v>
      </c>
      <c r="T1239" s="19">
        <v>73.878424417988938</v>
      </c>
      <c r="U1239" s="19">
        <v>111.27271280279426</v>
      </c>
      <c r="V1239" s="19">
        <v>158.13781524608089</v>
      </c>
      <c r="W1239" s="19">
        <v>213.45266013544688</v>
      </c>
      <c r="X1239" s="19">
        <v>274.57868990298579</v>
      </c>
      <c r="Y1239" s="19">
        <v>336.9886363666991</v>
      </c>
      <c r="Z1239" s="19">
        <v>394.32634921430594</v>
      </c>
      <c r="AA1239" s="19">
        <v>438.99820112031858</v>
      </c>
      <c r="AB1239" s="19">
        <v>463.41144282552199</v>
      </c>
      <c r="AC1239" s="19">
        <v>461.75897209337518</v>
      </c>
      <c r="AD1239" s="19">
        <v>431.93027577265462</v>
      </c>
      <c r="AE1239" s="19">
        <v>376.83588503971208</v>
      </c>
      <c r="AF1239" s="19">
        <v>309.23682187994331</v>
      </c>
      <c r="AG1239" s="19">
        <v>55.412669652298845</v>
      </c>
      <c r="AH1239" s="19">
        <v>0</v>
      </c>
      <c r="AI1239" s="19">
        <v>0</v>
      </c>
      <c r="AJ1239" s="19">
        <v>0</v>
      </c>
      <c r="AK1239" s="19">
        <v>0</v>
      </c>
      <c r="AL1239" s="19">
        <v>0</v>
      </c>
      <c r="AM1239" s="19">
        <v>0</v>
      </c>
      <c r="AN1239" s="19">
        <v>0</v>
      </c>
      <c r="AO1239" s="19">
        <v>0</v>
      </c>
      <c r="AP1239" s="19">
        <v>0</v>
      </c>
      <c r="AQ1239" s="19">
        <v>0</v>
      </c>
      <c r="AR1239" s="19">
        <v>4145.9902739628769</v>
      </c>
    </row>
    <row r="1240" spans="1:44" x14ac:dyDescent="0.25">
      <c r="A1240" t="s">
        <v>435</v>
      </c>
      <c r="B1240" t="s">
        <v>462</v>
      </c>
      <c r="C1240" t="s">
        <v>46</v>
      </c>
      <c r="D1240" t="s">
        <v>463</v>
      </c>
      <c r="E1240" t="s">
        <v>134</v>
      </c>
      <c r="F1240" t="s">
        <v>463</v>
      </c>
      <c r="G1240" t="s">
        <v>33</v>
      </c>
      <c r="H1240" t="s">
        <v>457</v>
      </c>
      <c r="I1240" t="s">
        <v>135</v>
      </c>
      <c r="J1240" t="s">
        <v>39</v>
      </c>
      <c r="K1240" t="s">
        <v>31</v>
      </c>
      <c r="L1240">
        <v>2.5000000000000026E-2</v>
      </c>
      <c r="M1240">
        <v>1</v>
      </c>
      <c r="N1240" s="2">
        <v>4.8021796953168767</v>
      </c>
      <c r="O1240" s="2">
        <v>2.8779545327574696</v>
      </c>
      <c r="P1240" s="1">
        <v>-0.74213157254111406</v>
      </c>
      <c r="Q1240" s="1">
        <v>0.32461448738579723</v>
      </c>
      <c r="R1240" s="1">
        <v>-0.52509153328775138</v>
      </c>
      <c r="S1240" s="19">
        <v>16.921385104054742</v>
      </c>
      <c r="T1240" s="19">
        <v>27.312774169545836</v>
      </c>
      <c r="U1240" s="19">
        <v>41.13740242781131</v>
      </c>
      <c r="V1240" s="19">
        <v>58.463380472822841</v>
      </c>
      <c r="W1240" s="19">
        <v>78.913219226000678</v>
      </c>
      <c r="X1240" s="19">
        <v>101.51144678802768</v>
      </c>
      <c r="Y1240" s="19">
        <v>124.5843369738367</v>
      </c>
      <c r="Z1240" s="19">
        <v>145.78202783882523</v>
      </c>
      <c r="AA1240" s="19">
        <v>162.29716351553074</v>
      </c>
      <c r="AB1240" s="19">
        <v>171.32271275664854</v>
      </c>
      <c r="AC1240" s="19">
        <v>170.71179610155653</v>
      </c>
      <c r="AD1240" s="19">
        <v>159.68415910472001</v>
      </c>
      <c r="AE1240" s="19">
        <v>139.31582201642695</v>
      </c>
      <c r="AF1240" s="19">
        <v>114.32452096066076</v>
      </c>
      <c r="AG1240" s="19">
        <v>20.48600446298062</v>
      </c>
      <c r="AH1240" s="19">
        <v>0</v>
      </c>
      <c r="AI1240" s="19">
        <v>0</v>
      </c>
      <c r="AJ1240" s="19">
        <v>0</v>
      </c>
      <c r="AK1240" s="19">
        <v>0</v>
      </c>
      <c r="AL1240" s="19">
        <v>0</v>
      </c>
      <c r="AM1240" s="19">
        <v>0</v>
      </c>
      <c r="AN1240" s="19">
        <v>0</v>
      </c>
      <c r="AO1240" s="19">
        <v>0</v>
      </c>
      <c r="AP1240" s="19">
        <v>0</v>
      </c>
      <c r="AQ1240" s="19">
        <v>0</v>
      </c>
      <c r="AR1240" s="19">
        <v>1532.7681519194491</v>
      </c>
    </row>
    <row r="1241" spans="1:44" x14ac:dyDescent="0.25">
      <c r="A1241" t="s">
        <v>435</v>
      </c>
      <c r="B1241" t="s">
        <v>462</v>
      </c>
      <c r="C1241" t="s">
        <v>46</v>
      </c>
      <c r="D1241" t="s">
        <v>463</v>
      </c>
      <c r="E1241" t="s">
        <v>134</v>
      </c>
      <c r="F1241" t="s">
        <v>463</v>
      </c>
      <c r="G1241" t="s">
        <v>33</v>
      </c>
      <c r="H1241" t="s">
        <v>450</v>
      </c>
      <c r="I1241" t="s">
        <v>135</v>
      </c>
      <c r="J1241" t="s">
        <v>39</v>
      </c>
      <c r="K1241" t="s">
        <v>33</v>
      </c>
      <c r="L1241">
        <v>2.5000000000000026E-2</v>
      </c>
      <c r="M1241">
        <v>1</v>
      </c>
      <c r="N1241" s="2">
        <v>4.8021796953168767</v>
      </c>
      <c r="O1241" s="2">
        <v>2.8779545327574696</v>
      </c>
      <c r="P1241" s="1">
        <v>-0.74213157254111406</v>
      </c>
      <c r="Q1241" s="1">
        <v>0.32461448738579723</v>
      </c>
      <c r="R1241" s="1">
        <v>-0.52509153328775138</v>
      </c>
      <c r="S1241" s="19">
        <v>6.6547015014858255</v>
      </c>
      <c r="T1241" s="19">
        <v>10.7338530269147</v>
      </c>
      <c r="U1241" s="19">
        <v>16.155628425047716</v>
      </c>
      <c r="V1241" s="19">
        <v>22.943944024541221</v>
      </c>
      <c r="W1241" s="19">
        <v>30.947891931334777</v>
      </c>
      <c r="X1241" s="19">
        <v>39.782629835861307</v>
      </c>
      <c r="Y1241" s="19">
        <v>48.790927801860903</v>
      </c>
      <c r="Z1241" s="19">
        <v>57.052775734174155</v>
      </c>
      <c r="AA1241" s="19">
        <v>63.471809757150368</v>
      </c>
      <c r="AB1241" s="19">
        <v>66.954852000070971</v>
      </c>
      <c r="AC1241" s="19">
        <v>66.669592982648041</v>
      </c>
      <c r="AD1241" s="19">
        <v>62.319400648537325</v>
      </c>
      <c r="AE1241" s="19">
        <v>54.332418123257249</v>
      </c>
      <c r="AF1241" s="19">
        <v>44.554866104477696</v>
      </c>
      <c r="AG1241" s="19">
        <v>1.4248632473478224</v>
      </c>
      <c r="AH1241" s="19">
        <v>0</v>
      </c>
      <c r="AI1241" s="19">
        <v>0</v>
      </c>
      <c r="AJ1241" s="19">
        <v>0</v>
      </c>
      <c r="AK1241" s="19">
        <v>0</v>
      </c>
      <c r="AL1241" s="19">
        <v>0</v>
      </c>
      <c r="AM1241" s="19">
        <v>0</v>
      </c>
      <c r="AN1241" s="19">
        <v>0</v>
      </c>
      <c r="AO1241" s="19">
        <v>0</v>
      </c>
      <c r="AP1241" s="19">
        <v>0</v>
      </c>
      <c r="AQ1241" s="19">
        <v>0</v>
      </c>
      <c r="AR1241" s="19">
        <v>592.79015514471018</v>
      </c>
    </row>
    <row r="1242" spans="1:44" x14ac:dyDescent="0.25">
      <c r="A1242" t="s">
        <v>435</v>
      </c>
      <c r="B1242" t="s">
        <v>462</v>
      </c>
      <c r="C1242" t="s">
        <v>46</v>
      </c>
      <c r="D1242" t="s">
        <v>463</v>
      </c>
      <c r="E1242" t="s">
        <v>134</v>
      </c>
      <c r="F1242" t="s">
        <v>463</v>
      </c>
      <c r="G1242" t="s">
        <v>33</v>
      </c>
      <c r="H1242" t="s">
        <v>451</v>
      </c>
      <c r="I1242" t="s">
        <v>135</v>
      </c>
      <c r="J1242" t="s">
        <v>39</v>
      </c>
      <c r="K1242" t="s">
        <v>33</v>
      </c>
      <c r="L1242">
        <v>2.5000000000000026E-2</v>
      </c>
      <c r="M1242">
        <v>1</v>
      </c>
      <c r="N1242" s="2">
        <v>4.8021796953168767</v>
      </c>
      <c r="O1242" s="2">
        <v>2.8779545327574696</v>
      </c>
      <c r="P1242" s="1">
        <v>-0.74213157254111406</v>
      </c>
      <c r="Q1242" s="1">
        <v>0.32461448738579723</v>
      </c>
      <c r="R1242" s="1">
        <v>-0.52509153328775138</v>
      </c>
      <c r="S1242" s="19">
        <v>12.728500607118258</v>
      </c>
      <c r="T1242" s="19">
        <v>20.545047610543616</v>
      </c>
      <c r="U1242" s="19">
        <v>30.944124760342099</v>
      </c>
      <c r="V1242" s="19">
        <v>43.976965790122925</v>
      </c>
      <c r="W1242" s="19">
        <v>59.359618178485746</v>
      </c>
      <c r="X1242" s="19">
        <v>76.358318431110575</v>
      </c>
      <c r="Y1242" s="19">
        <v>93.714066493819075</v>
      </c>
      <c r="Z1242" s="19">
        <v>109.65926361481944</v>
      </c>
      <c r="AA1242" s="19">
        <v>122.08217776723208</v>
      </c>
      <c r="AB1242" s="19">
        <v>128.87132110796347</v>
      </c>
      <c r="AC1242" s="19">
        <v>128.41178112542536</v>
      </c>
      <c r="AD1242" s="19">
        <v>120.11663960207107</v>
      </c>
      <c r="AE1242" s="19">
        <v>104.79529389661792</v>
      </c>
      <c r="AF1242" s="19">
        <v>85.996490565514094</v>
      </c>
      <c r="AG1242" s="19">
        <v>15.409856736963246</v>
      </c>
      <c r="AH1242" s="19">
        <v>0</v>
      </c>
      <c r="AI1242" s="19">
        <v>0</v>
      </c>
      <c r="AJ1242" s="19">
        <v>0</v>
      </c>
      <c r="AK1242" s="19">
        <v>0</v>
      </c>
      <c r="AL1242" s="19">
        <v>0</v>
      </c>
      <c r="AM1242" s="19">
        <v>0</v>
      </c>
      <c r="AN1242" s="19">
        <v>0</v>
      </c>
      <c r="AO1242" s="19">
        <v>0</v>
      </c>
      <c r="AP1242" s="19">
        <v>0</v>
      </c>
      <c r="AQ1242" s="19">
        <v>0</v>
      </c>
      <c r="AR1242" s="19">
        <v>1152.9694662881493</v>
      </c>
    </row>
    <row r="1243" spans="1:44" x14ac:dyDescent="0.25">
      <c r="A1243" t="s">
        <v>435</v>
      </c>
      <c r="B1243" t="s">
        <v>462</v>
      </c>
      <c r="C1243" t="s">
        <v>46</v>
      </c>
      <c r="D1243" t="s">
        <v>463</v>
      </c>
      <c r="E1243" t="s">
        <v>134</v>
      </c>
      <c r="F1243" t="s">
        <v>463</v>
      </c>
      <c r="G1243" t="s">
        <v>33</v>
      </c>
      <c r="H1243" t="s">
        <v>452</v>
      </c>
      <c r="I1243" t="s">
        <v>135</v>
      </c>
      <c r="J1243" t="s">
        <v>39</v>
      </c>
      <c r="K1243" t="s">
        <v>33</v>
      </c>
      <c r="L1243">
        <v>2.5000000000000026E-2</v>
      </c>
      <c r="M1243">
        <v>1</v>
      </c>
      <c r="N1243" s="2">
        <v>4.8021796953168767</v>
      </c>
      <c r="O1243" s="2">
        <v>2.8779545327574696</v>
      </c>
      <c r="P1243" s="1">
        <v>-0.74213157254111406</v>
      </c>
      <c r="Q1243" s="1">
        <v>0.32461448738579723</v>
      </c>
      <c r="R1243" s="1">
        <v>-0.52509153328775138</v>
      </c>
      <c r="S1243" s="19">
        <v>126.55077753573984</v>
      </c>
      <c r="T1243" s="19">
        <v>204.26535928112972</v>
      </c>
      <c r="U1243" s="19">
        <v>307.65627228663971</v>
      </c>
      <c r="V1243" s="19">
        <v>437.23289853090415</v>
      </c>
      <c r="W1243" s="19">
        <v>590.17209226599812</v>
      </c>
      <c r="X1243" s="19">
        <v>759.1785448299097</v>
      </c>
      <c r="Y1243" s="19">
        <v>931.73487961311821</v>
      </c>
      <c r="Z1243" s="19">
        <v>1090.2670709455963</v>
      </c>
      <c r="AA1243" s="19">
        <v>1213.7796113282693</v>
      </c>
      <c r="AB1243" s="19">
        <v>1281.2794210144673</v>
      </c>
      <c r="AC1243" s="19">
        <v>1276.7105292106339</v>
      </c>
      <c r="AD1243" s="19">
        <v>1194.2376094260028</v>
      </c>
      <c r="AE1243" s="19">
        <v>1041.907946116356</v>
      </c>
      <c r="AF1243" s="19">
        <v>855.0042995892685</v>
      </c>
      <c r="AG1243" s="19">
        <v>153.20966797035959</v>
      </c>
      <c r="AH1243" s="19">
        <v>0</v>
      </c>
      <c r="AI1243" s="19">
        <v>0</v>
      </c>
      <c r="AJ1243" s="19">
        <v>0</v>
      </c>
      <c r="AK1243" s="19">
        <v>0</v>
      </c>
      <c r="AL1243" s="19">
        <v>0</v>
      </c>
      <c r="AM1243" s="19">
        <v>0</v>
      </c>
      <c r="AN1243" s="19">
        <v>0</v>
      </c>
      <c r="AO1243" s="19">
        <v>0</v>
      </c>
      <c r="AP1243" s="19">
        <v>0</v>
      </c>
      <c r="AQ1243" s="19">
        <v>0</v>
      </c>
      <c r="AR1243" s="19">
        <v>11463.186979944394</v>
      </c>
    </row>
    <row r="1244" spans="1:44" x14ac:dyDescent="0.25">
      <c r="A1244" t="s">
        <v>435</v>
      </c>
      <c r="B1244" t="s">
        <v>462</v>
      </c>
      <c r="C1244" t="s">
        <v>46</v>
      </c>
      <c r="D1244" t="s">
        <v>463</v>
      </c>
      <c r="E1244" t="s">
        <v>134</v>
      </c>
      <c r="F1244" t="s">
        <v>463</v>
      </c>
      <c r="G1244" t="s">
        <v>33</v>
      </c>
      <c r="H1244" t="s">
        <v>453</v>
      </c>
      <c r="I1244" t="s">
        <v>135</v>
      </c>
      <c r="J1244" t="s">
        <v>39</v>
      </c>
      <c r="K1244" t="s">
        <v>33</v>
      </c>
      <c r="L1244">
        <v>2.5000000000000026E-2</v>
      </c>
      <c r="M1244">
        <v>1</v>
      </c>
      <c r="N1244" s="2">
        <v>4.8021796953168767</v>
      </c>
      <c r="O1244" s="2">
        <v>2.8779545327574696</v>
      </c>
      <c r="P1244" s="1">
        <v>-0.74213157254111406</v>
      </c>
      <c r="Q1244" s="1">
        <v>0.32461448738579723</v>
      </c>
      <c r="R1244" s="1">
        <v>-0.52509153328775138</v>
      </c>
      <c r="S1244" s="19">
        <v>17.808261154792525</v>
      </c>
      <c r="T1244" s="19">
        <v>28.74427904584438</v>
      </c>
      <c r="U1244" s="19">
        <v>43.293477523226869</v>
      </c>
      <c r="V1244" s="19">
        <v>61.527536962831043</v>
      </c>
      <c r="W1244" s="19">
        <v>83.049183497707361</v>
      </c>
      <c r="X1244" s="19">
        <v>106.83181923262572</v>
      </c>
      <c r="Y1244" s="19">
        <v>131.11399539598705</v>
      </c>
      <c r="Z1244" s="19">
        <v>153.42269013231927</v>
      </c>
      <c r="AA1244" s="19">
        <v>170.80340969688544</v>
      </c>
      <c r="AB1244" s="19">
        <v>180.30200197895289</v>
      </c>
      <c r="AC1244" s="19">
        <v>179.65906623398928</v>
      </c>
      <c r="AD1244" s="19">
        <v>168.05345367022468</v>
      </c>
      <c r="AE1244" s="19">
        <v>146.61758042895841</v>
      </c>
      <c r="AF1244" s="19">
        <v>120.31644650508817</v>
      </c>
      <c r="AG1244" s="19">
        <v>21.559707745649231</v>
      </c>
      <c r="AH1244" s="19">
        <v>0</v>
      </c>
      <c r="AI1244" s="19">
        <v>0</v>
      </c>
      <c r="AJ1244" s="19">
        <v>0</v>
      </c>
      <c r="AK1244" s="19">
        <v>0</v>
      </c>
      <c r="AL1244" s="19">
        <v>0</v>
      </c>
      <c r="AM1244" s="19">
        <v>0</v>
      </c>
      <c r="AN1244" s="19">
        <v>0</v>
      </c>
      <c r="AO1244" s="19">
        <v>0</v>
      </c>
      <c r="AP1244" s="19">
        <v>0</v>
      </c>
      <c r="AQ1244" s="19">
        <v>0</v>
      </c>
      <c r="AR1244" s="19">
        <v>1613.1029092050819</v>
      </c>
    </row>
    <row r="1245" spans="1:44" x14ac:dyDescent="0.25">
      <c r="A1245" t="s">
        <v>435</v>
      </c>
      <c r="B1245" t="s">
        <v>462</v>
      </c>
      <c r="C1245" t="s">
        <v>46</v>
      </c>
      <c r="D1245" t="s">
        <v>463</v>
      </c>
      <c r="E1245" t="s">
        <v>134</v>
      </c>
      <c r="F1245" t="s">
        <v>463</v>
      </c>
      <c r="G1245" t="s">
        <v>33</v>
      </c>
      <c r="H1245" t="s">
        <v>454</v>
      </c>
      <c r="I1245" t="s">
        <v>135</v>
      </c>
      <c r="J1245" t="s">
        <v>39</v>
      </c>
      <c r="K1245" t="s">
        <v>33</v>
      </c>
      <c r="L1245">
        <v>2.5000000000000026E-2</v>
      </c>
      <c r="M1245">
        <v>1</v>
      </c>
      <c r="N1245" s="2">
        <v>4.8021796953168767</v>
      </c>
      <c r="O1245" s="2">
        <v>2.8779545327574696</v>
      </c>
      <c r="P1245" s="1">
        <v>-0.74213157254111406</v>
      </c>
      <c r="Q1245" s="1">
        <v>0.32461448738579723</v>
      </c>
      <c r="R1245" s="1">
        <v>-0.52509153328775138</v>
      </c>
      <c r="S1245" s="19">
        <v>8.648671481526657</v>
      </c>
      <c r="T1245" s="19">
        <v>13.959803502428748</v>
      </c>
      <c r="U1245" s="19">
        <v>21.025694824251907</v>
      </c>
      <c r="V1245" s="19">
        <v>29.881157381601387</v>
      </c>
      <c r="W1245" s="19">
        <v>40.333253125468552</v>
      </c>
      <c r="X1245" s="19">
        <v>51.883409631387195</v>
      </c>
      <c r="Y1245" s="19">
        <v>63.676170455593365</v>
      </c>
      <c r="Z1245" s="19">
        <v>74.510500111876297</v>
      </c>
      <c r="AA1245" s="19">
        <v>82.951533872548779</v>
      </c>
      <c r="AB1245" s="19">
        <v>87.564572926193705</v>
      </c>
      <c r="AC1245" s="19">
        <v>87.25232795215679</v>
      </c>
      <c r="AD1245" s="19">
        <v>81.616003915047415</v>
      </c>
      <c r="AE1245" s="19">
        <v>71.205564402065107</v>
      </c>
      <c r="AF1245" s="19">
        <v>58.432286600151599</v>
      </c>
      <c r="AG1245" s="19">
        <v>10.470580362062002</v>
      </c>
      <c r="AH1245" s="19">
        <v>0</v>
      </c>
      <c r="AI1245" s="19">
        <v>0</v>
      </c>
      <c r="AJ1245" s="19">
        <v>0</v>
      </c>
      <c r="AK1245" s="19">
        <v>0</v>
      </c>
      <c r="AL1245" s="19">
        <v>0</v>
      </c>
      <c r="AM1245" s="19">
        <v>0</v>
      </c>
      <c r="AN1245" s="19">
        <v>0</v>
      </c>
      <c r="AO1245" s="19">
        <v>0</v>
      </c>
      <c r="AP1245" s="19">
        <v>0</v>
      </c>
      <c r="AQ1245" s="19">
        <v>0</v>
      </c>
      <c r="AR1245" s="19">
        <v>783.41153054435949</v>
      </c>
    </row>
    <row r="1246" spans="1:44" x14ac:dyDescent="0.25">
      <c r="A1246" t="s">
        <v>435</v>
      </c>
      <c r="B1246" t="s">
        <v>462</v>
      </c>
      <c r="C1246" t="s">
        <v>46</v>
      </c>
      <c r="D1246" t="s">
        <v>463</v>
      </c>
      <c r="E1246" t="s">
        <v>134</v>
      </c>
      <c r="F1246" t="s">
        <v>463</v>
      </c>
      <c r="G1246" t="s">
        <v>33</v>
      </c>
      <c r="H1246" t="s">
        <v>455</v>
      </c>
      <c r="I1246" t="s">
        <v>135</v>
      </c>
      <c r="J1246" t="s">
        <v>39</v>
      </c>
      <c r="K1246" t="s">
        <v>33</v>
      </c>
      <c r="L1246">
        <v>2.5000000000000026E-2</v>
      </c>
      <c r="M1246">
        <v>1</v>
      </c>
      <c r="N1246" s="2">
        <v>4.8021796953168767</v>
      </c>
      <c r="O1246" s="2">
        <v>2.8779545327574696</v>
      </c>
      <c r="P1246" s="1">
        <v>-0.74213157254111406</v>
      </c>
      <c r="Q1246" s="1">
        <v>0.32461448738579723</v>
      </c>
      <c r="R1246" s="1">
        <v>-0.52509153328775138</v>
      </c>
      <c r="S1246" s="19">
        <v>6.4562597316022128</v>
      </c>
      <c r="T1246" s="19">
        <v>10.42103604077478</v>
      </c>
      <c r="U1246" s="19">
        <v>15.695745538806465</v>
      </c>
      <c r="V1246" s="19">
        <v>22.306375441427583</v>
      </c>
      <c r="W1246" s="19">
        <v>30.108896904535442</v>
      </c>
      <c r="X1246" s="19">
        <v>38.731124087305325</v>
      </c>
      <c r="Y1246" s="19">
        <v>47.534456136206181</v>
      </c>
      <c r="Z1246" s="19">
        <v>55.622316384820429</v>
      </c>
      <c r="AA1246" s="19">
        <v>61.923573922296541</v>
      </c>
      <c r="AB1246" s="19">
        <v>65.367221694786423</v>
      </c>
      <c r="AC1246" s="19">
        <v>65.134129865992193</v>
      </c>
      <c r="AD1246" s="19">
        <v>60.926596721418704</v>
      </c>
      <c r="AE1246" s="19">
        <v>53.155171762161949</v>
      </c>
      <c r="AF1246" s="19">
        <v>43.619880788373528</v>
      </c>
      <c r="AG1246" s="19">
        <v>7.8163202871654995</v>
      </c>
      <c r="AH1246" s="19">
        <v>0</v>
      </c>
      <c r="AI1246" s="19">
        <v>0</v>
      </c>
      <c r="AJ1246" s="19">
        <v>0</v>
      </c>
      <c r="AK1246" s="19">
        <v>0</v>
      </c>
      <c r="AL1246" s="19">
        <v>0</v>
      </c>
      <c r="AM1246" s="19">
        <v>0</v>
      </c>
      <c r="AN1246" s="19">
        <v>0</v>
      </c>
      <c r="AO1246" s="19">
        <v>0</v>
      </c>
      <c r="AP1246" s="19">
        <v>0</v>
      </c>
      <c r="AQ1246" s="19">
        <v>0</v>
      </c>
      <c r="AR1246" s="19">
        <v>584.81910530767323</v>
      </c>
    </row>
    <row r="1247" spans="1:44" x14ac:dyDescent="0.25">
      <c r="A1247" t="s">
        <v>435</v>
      </c>
      <c r="B1247" t="s">
        <v>462</v>
      </c>
      <c r="C1247" t="s">
        <v>46</v>
      </c>
      <c r="D1247" t="s">
        <v>463</v>
      </c>
      <c r="E1247" t="s">
        <v>134</v>
      </c>
      <c r="F1247" t="s">
        <v>463</v>
      </c>
      <c r="G1247" t="s">
        <v>33</v>
      </c>
      <c r="H1247" t="s">
        <v>456</v>
      </c>
      <c r="I1247" t="s">
        <v>135</v>
      </c>
      <c r="J1247" t="s">
        <v>39</v>
      </c>
      <c r="K1247" t="s">
        <v>33</v>
      </c>
      <c r="L1247">
        <v>2.5000000000000026E-2</v>
      </c>
      <c r="M1247">
        <v>1</v>
      </c>
      <c r="N1247" s="2">
        <v>4.8021796953168767</v>
      </c>
      <c r="O1247" s="2">
        <v>2.8779545327574696</v>
      </c>
      <c r="P1247" s="1">
        <v>-0.74213157254111406</v>
      </c>
      <c r="Q1247" s="1">
        <v>0.32461448738579723</v>
      </c>
      <c r="R1247" s="1">
        <v>-0.52509153328775138</v>
      </c>
      <c r="S1247" s="19">
        <v>42.260090936573256</v>
      </c>
      <c r="T1247" s="19">
        <v>68.211929049384679</v>
      </c>
      <c r="U1247" s="19">
        <v>102.73806528267828</v>
      </c>
      <c r="V1247" s="19">
        <v>146.00860154461864</v>
      </c>
      <c r="W1247" s="19">
        <v>197.08078269487629</v>
      </c>
      <c r="X1247" s="19">
        <v>253.51842925300585</v>
      </c>
      <c r="Y1247" s="19">
        <v>311.14151574538812</v>
      </c>
      <c r="Z1247" s="19">
        <v>364.08141032796146</v>
      </c>
      <c r="AA1247" s="19">
        <v>405.32691896898763</v>
      </c>
      <c r="AB1247" s="19">
        <v>427.86765835507725</v>
      </c>
      <c r="AC1247" s="19">
        <v>426.34193258026062</v>
      </c>
      <c r="AD1247" s="19">
        <v>398.80110542952337</v>
      </c>
      <c r="AE1247" s="19">
        <v>347.93246954156734</v>
      </c>
      <c r="AF1247" s="19">
        <v>285.51827302364251</v>
      </c>
      <c r="AG1247" s="19">
        <v>51.162502727105363</v>
      </c>
      <c r="AH1247" s="19">
        <v>0</v>
      </c>
      <c r="AI1247" s="19">
        <v>0</v>
      </c>
      <c r="AJ1247" s="19">
        <v>0</v>
      </c>
      <c r="AK1247" s="19">
        <v>0</v>
      </c>
      <c r="AL1247" s="19">
        <v>0</v>
      </c>
      <c r="AM1247" s="19">
        <v>0</v>
      </c>
      <c r="AN1247" s="19">
        <v>0</v>
      </c>
      <c r="AO1247" s="19">
        <v>0</v>
      </c>
      <c r="AP1247" s="19">
        <v>0</v>
      </c>
      <c r="AQ1247" s="19">
        <v>0</v>
      </c>
      <c r="AR1247" s="19">
        <v>3827.9916854606513</v>
      </c>
    </row>
    <row r="1248" spans="1:44" x14ac:dyDescent="0.25">
      <c r="A1248" t="s">
        <v>435</v>
      </c>
      <c r="B1248" t="s">
        <v>462</v>
      </c>
      <c r="C1248" t="s">
        <v>46</v>
      </c>
      <c r="D1248" t="s">
        <v>463</v>
      </c>
      <c r="E1248" t="s">
        <v>134</v>
      </c>
      <c r="F1248" t="s">
        <v>463</v>
      </c>
      <c r="G1248" t="s">
        <v>33</v>
      </c>
      <c r="H1248" t="s">
        <v>457</v>
      </c>
      <c r="I1248" t="s">
        <v>135</v>
      </c>
      <c r="J1248" t="s">
        <v>39</v>
      </c>
      <c r="K1248" t="s">
        <v>33</v>
      </c>
      <c r="L1248">
        <v>2.5000000000000026E-2</v>
      </c>
      <c r="M1248">
        <v>1</v>
      </c>
      <c r="N1248" s="2">
        <v>4.8021796953168767</v>
      </c>
      <c r="O1248" s="2">
        <v>2.8779545327574696</v>
      </c>
      <c r="P1248" s="1">
        <v>-0.74213157254111406</v>
      </c>
      <c r="Q1248" s="1">
        <v>0.32461448738579723</v>
      </c>
      <c r="R1248" s="1">
        <v>-0.52509153328775138</v>
      </c>
      <c r="S1248" s="19">
        <v>4.9511054077432322</v>
      </c>
      <c r="T1248" s="19">
        <v>7.9915694288468355</v>
      </c>
      <c r="U1248" s="19">
        <v>12.036580597178238</v>
      </c>
      <c r="V1248" s="19">
        <v>17.106067702730936</v>
      </c>
      <c r="W1248" s="19">
        <v>23.089579490668111</v>
      </c>
      <c r="X1248" s="19">
        <v>29.701698179519045</v>
      </c>
      <c r="Y1248" s="19">
        <v>36.45270057493471</v>
      </c>
      <c r="Z1248" s="19">
        <v>42.655029830366963</v>
      </c>
      <c r="AA1248" s="19">
        <v>47.487268861376094</v>
      </c>
      <c r="AB1248" s="19">
        <v>50.128095565618125</v>
      </c>
      <c r="AC1248" s="19">
        <v>49.949344669275625</v>
      </c>
      <c r="AD1248" s="19">
        <v>46.722717957932495</v>
      </c>
      <c r="AE1248" s="19">
        <v>40.763053114631937</v>
      </c>
      <c r="AF1248" s="19">
        <v>33.450734114570089</v>
      </c>
      <c r="AG1248" s="19">
        <v>5.9940936782657506</v>
      </c>
      <c r="AH1248" s="19">
        <v>0</v>
      </c>
      <c r="AI1248" s="19">
        <v>0</v>
      </c>
      <c r="AJ1248" s="19">
        <v>0</v>
      </c>
      <c r="AK1248" s="19">
        <v>0</v>
      </c>
      <c r="AL1248" s="19">
        <v>0</v>
      </c>
      <c r="AM1248" s="19">
        <v>0</v>
      </c>
      <c r="AN1248" s="19">
        <v>0</v>
      </c>
      <c r="AO1248" s="19">
        <v>0</v>
      </c>
      <c r="AP1248" s="19">
        <v>0</v>
      </c>
      <c r="AQ1248" s="19">
        <v>0</v>
      </c>
      <c r="AR1248" s="19">
        <v>448.4796391736582</v>
      </c>
    </row>
    <row r="1249" spans="1:44" x14ac:dyDescent="0.25">
      <c r="A1249" t="s">
        <v>435</v>
      </c>
      <c r="B1249" t="s">
        <v>462</v>
      </c>
      <c r="C1249" t="s">
        <v>46</v>
      </c>
      <c r="D1249" t="s">
        <v>463</v>
      </c>
      <c r="E1249" t="s">
        <v>134</v>
      </c>
      <c r="F1249" t="s">
        <v>463</v>
      </c>
      <c r="G1249" t="s">
        <v>33</v>
      </c>
      <c r="H1249" t="s">
        <v>457</v>
      </c>
      <c r="I1249" t="s">
        <v>256</v>
      </c>
      <c r="J1249" t="s">
        <v>39</v>
      </c>
      <c r="K1249" t="s">
        <v>33</v>
      </c>
      <c r="L1249">
        <v>2.5000000000000026E-2</v>
      </c>
      <c r="M1249">
        <v>1</v>
      </c>
      <c r="N1249" s="2">
        <v>4.4156409057984005</v>
      </c>
      <c r="O1249" s="2">
        <v>2.6463011728329868</v>
      </c>
      <c r="P1249" s="1">
        <v>-0.61665548152684757</v>
      </c>
      <c r="Q1249" s="1">
        <v>1.3498045353129324</v>
      </c>
      <c r="R1249" s="1">
        <v>-0.39961544227348494</v>
      </c>
      <c r="S1249" s="19">
        <v>13.615872085670995</v>
      </c>
      <c r="T1249" s="19">
        <v>21.977352155896661</v>
      </c>
      <c r="U1249" s="19">
        <v>33.101404285139317</v>
      </c>
      <c r="V1249" s="19">
        <v>47.042833983083597</v>
      </c>
      <c r="W1249" s="19">
        <v>63.497892887756024</v>
      </c>
      <c r="X1249" s="19">
        <v>81.681662948855461</v>
      </c>
      <c r="Y1249" s="19">
        <v>100.24737252197012</v>
      </c>
      <c r="Z1249" s="19">
        <v>117.30419414469412</v>
      </c>
      <c r="AA1249" s="19">
        <v>130.59317571852759</v>
      </c>
      <c r="AB1249" s="19">
        <v>137.85562635210707</v>
      </c>
      <c r="AC1249" s="19">
        <v>137.36404939315318</v>
      </c>
      <c r="AD1249" s="19">
        <v>128.49060943343264</v>
      </c>
      <c r="AE1249" s="19">
        <v>112.1011312266178</v>
      </c>
      <c r="AF1249" s="19">
        <v>91.991763326925664</v>
      </c>
      <c r="AG1249" s="19">
        <v>16.484159813110836</v>
      </c>
      <c r="AH1249" s="19">
        <v>0</v>
      </c>
      <c r="AI1249" s="19">
        <v>0</v>
      </c>
      <c r="AJ1249" s="19">
        <v>0</v>
      </c>
      <c r="AK1249" s="19">
        <v>0</v>
      </c>
      <c r="AL1249" s="19">
        <v>0</v>
      </c>
      <c r="AM1249" s="19">
        <v>0</v>
      </c>
      <c r="AN1249" s="19">
        <v>0</v>
      </c>
      <c r="AO1249" s="19">
        <v>0</v>
      </c>
      <c r="AP1249" s="19">
        <v>0</v>
      </c>
      <c r="AQ1249" s="19">
        <v>0</v>
      </c>
      <c r="AR1249" s="19">
        <v>1233.349100276941</v>
      </c>
    </row>
    <row r="1250" spans="1:44" x14ac:dyDescent="0.25">
      <c r="A1250" t="s">
        <v>435</v>
      </c>
      <c r="B1250" t="s">
        <v>462</v>
      </c>
      <c r="C1250" t="s">
        <v>46</v>
      </c>
      <c r="D1250" t="s">
        <v>463</v>
      </c>
      <c r="E1250" t="s">
        <v>134</v>
      </c>
      <c r="F1250" t="s">
        <v>463</v>
      </c>
      <c r="G1250" t="s">
        <v>33</v>
      </c>
      <c r="H1250" t="s">
        <v>452</v>
      </c>
      <c r="I1250" t="s">
        <v>135</v>
      </c>
      <c r="J1250" t="s">
        <v>40</v>
      </c>
      <c r="K1250" t="s">
        <v>33</v>
      </c>
      <c r="L1250">
        <v>2.5000000000000026E-2</v>
      </c>
      <c r="M1250">
        <v>1</v>
      </c>
      <c r="N1250" s="2">
        <v>4.8021796953168767</v>
      </c>
      <c r="O1250" s="2">
        <v>1.7054155637884914</v>
      </c>
      <c r="P1250" s="1">
        <v>-0.74213157254111406</v>
      </c>
      <c r="Q1250" s="1">
        <v>1.3498045353129324</v>
      </c>
      <c r="R1250" s="1">
        <v>-0.38209153328775142</v>
      </c>
      <c r="S1250" s="19">
        <v>9.2663792650521408</v>
      </c>
      <c r="T1250" s="19">
        <v>14.956844411932044</v>
      </c>
      <c r="U1250" s="19">
        <v>22.527397759172413</v>
      </c>
      <c r="V1250" s="19">
        <v>32.015337588907279</v>
      </c>
      <c r="W1250" s="19">
        <v>43.213945777943728</v>
      </c>
      <c r="X1250" s="19">
        <v>55.589040725550547</v>
      </c>
      <c r="Y1250" s="19">
        <v>68.224067343517746</v>
      </c>
      <c r="Z1250" s="19">
        <v>79.832209460160854</v>
      </c>
      <c r="AA1250" s="19">
        <v>88.876121046185574</v>
      </c>
      <c r="AB1250" s="19">
        <v>93.818633838685059</v>
      </c>
      <c r="AC1250" s="19">
        <v>93.484087618584965</v>
      </c>
      <c r="AD1250" s="19">
        <v>87.445204502242319</v>
      </c>
      <c r="AE1250" s="19">
        <v>76.291227726823124</v>
      </c>
      <c r="AF1250" s="19">
        <v>62.605653378991754</v>
      </c>
      <c r="AG1250" s="19">
        <v>11.218413020695529</v>
      </c>
      <c r="AH1250" s="19">
        <v>0</v>
      </c>
      <c r="AI1250" s="19">
        <v>0</v>
      </c>
      <c r="AJ1250" s="19">
        <v>0</v>
      </c>
      <c r="AK1250" s="19">
        <v>0</v>
      </c>
      <c r="AL1250" s="19">
        <v>0</v>
      </c>
      <c r="AM1250" s="19">
        <v>0</v>
      </c>
      <c r="AN1250" s="19">
        <v>0</v>
      </c>
      <c r="AO1250" s="19">
        <v>0</v>
      </c>
      <c r="AP1250" s="19">
        <v>0</v>
      </c>
      <c r="AQ1250" s="19">
        <v>0</v>
      </c>
      <c r="AR1250" s="19">
        <v>839.36456346444493</v>
      </c>
    </row>
    <row r="1251" spans="1:44" x14ac:dyDescent="0.25">
      <c r="A1251" t="s">
        <v>435</v>
      </c>
      <c r="B1251" t="s">
        <v>462</v>
      </c>
      <c r="C1251" t="s">
        <v>46</v>
      </c>
      <c r="D1251" t="s">
        <v>463</v>
      </c>
      <c r="E1251" t="s">
        <v>134</v>
      </c>
      <c r="F1251" t="s">
        <v>463</v>
      </c>
      <c r="G1251" t="s">
        <v>33</v>
      </c>
      <c r="H1251" t="s">
        <v>453</v>
      </c>
      <c r="I1251" t="s">
        <v>135</v>
      </c>
      <c r="J1251" t="s">
        <v>40</v>
      </c>
      <c r="K1251" t="s">
        <v>33</v>
      </c>
      <c r="L1251">
        <v>2.5000000000000026E-2</v>
      </c>
      <c r="M1251">
        <v>1</v>
      </c>
      <c r="N1251" s="2">
        <v>4.8021796953168767</v>
      </c>
      <c r="O1251" s="2">
        <v>1.7054155637884914</v>
      </c>
      <c r="P1251" s="1">
        <v>-0.74213157254111406</v>
      </c>
      <c r="Q1251" s="1">
        <v>1.3498045353129324</v>
      </c>
      <c r="R1251" s="1">
        <v>-0.38209153328775142</v>
      </c>
      <c r="S1251" s="19">
        <v>362.65840558971314</v>
      </c>
      <c r="T1251" s="19">
        <v>585.3662139150706</v>
      </c>
      <c r="U1251" s="19">
        <v>881.65505854467915</v>
      </c>
      <c r="V1251" s="19">
        <v>1252.9846828306136</v>
      </c>
      <c r="W1251" s="19">
        <v>1691.2647569019191</v>
      </c>
      <c r="X1251" s="19">
        <v>2175.5890085161932</v>
      </c>
      <c r="Y1251" s="19">
        <v>2670.086209287716</v>
      </c>
      <c r="Z1251" s="19">
        <v>3124.3942180002114</v>
      </c>
      <c r="AA1251" s="19">
        <v>3478.3459031478196</v>
      </c>
      <c r="AB1251" s="19">
        <v>3671.7810904700959</v>
      </c>
      <c r="AC1251" s="19">
        <v>3658.6879507110593</v>
      </c>
      <c r="AD1251" s="19">
        <v>3422.3441037917814</v>
      </c>
      <c r="AE1251" s="19">
        <v>2985.8107699346047</v>
      </c>
      <c r="AF1251" s="19">
        <v>2450.1982690214909</v>
      </c>
      <c r="AG1251" s="19">
        <v>439.05517602503573</v>
      </c>
      <c r="AH1251" s="19">
        <v>0</v>
      </c>
      <c r="AI1251" s="19">
        <v>0</v>
      </c>
      <c r="AJ1251" s="19">
        <v>0</v>
      </c>
      <c r="AK1251" s="19">
        <v>0</v>
      </c>
      <c r="AL1251" s="19">
        <v>0</v>
      </c>
      <c r="AM1251" s="19">
        <v>0</v>
      </c>
      <c r="AN1251" s="19">
        <v>0</v>
      </c>
      <c r="AO1251" s="19">
        <v>0</v>
      </c>
      <c r="AP1251" s="19">
        <v>0</v>
      </c>
      <c r="AQ1251" s="19">
        <v>0</v>
      </c>
      <c r="AR1251" s="19">
        <v>32850.221816688005</v>
      </c>
    </row>
    <row r="1252" spans="1:44" x14ac:dyDescent="0.25">
      <c r="A1252" t="s">
        <v>435</v>
      </c>
      <c r="B1252" t="s">
        <v>462</v>
      </c>
      <c r="C1252" t="s">
        <v>46</v>
      </c>
      <c r="D1252" t="s">
        <v>463</v>
      </c>
      <c r="E1252" t="s">
        <v>134</v>
      </c>
      <c r="F1252" t="s">
        <v>463</v>
      </c>
      <c r="G1252" t="s">
        <v>33</v>
      </c>
      <c r="H1252" t="s">
        <v>456</v>
      </c>
      <c r="I1252" t="s">
        <v>135</v>
      </c>
      <c r="J1252" t="s">
        <v>40</v>
      </c>
      <c r="K1252" t="s">
        <v>33</v>
      </c>
      <c r="L1252">
        <v>2.5000000000000026E-2</v>
      </c>
      <c r="M1252">
        <v>1</v>
      </c>
      <c r="N1252" s="2">
        <v>4.8021796953168767</v>
      </c>
      <c r="O1252" s="2">
        <v>1.7054155637884914</v>
      </c>
      <c r="P1252" s="1">
        <v>-0.74213157254111406</v>
      </c>
      <c r="Q1252" s="1">
        <v>1.3498045353129324</v>
      </c>
      <c r="R1252" s="1">
        <v>-0.38209153328775142</v>
      </c>
      <c r="S1252" s="19">
        <v>156.01215984039953</v>
      </c>
      <c r="T1252" s="19">
        <v>251.81891808625409</v>
      </c>
      <c r="U1252" s="19">
        <v>379.2795308138609</v>
      </c>
      <c r="V1252" s="19">
        <v>539.02196558073308</v>
      </c>
      <c r="W1252" s="19">
        <v>727.56584024892925</v>
      </c>
      <c r="X1252" s="19">
        <v>935.91747747228317</v>
      </c>
      <c r="Y1252" s="19">
        <v>1148.6454196302725</v>
      </c>
      <c r="Z1252" s="19">
        <v>1344.0843577041728</v>
      </c>
      <c r="AA1252" s="19">
        <v>1496.3509701082994</v>
      </c>
      <c r="AB1252" s="19">
        <v>1579.5649281970648</v>
      </c>
      <c r="AC1252" s="19">
        <v>1573.9323853374055</v>
      </c>
      <c r="AD1252" s="19">
        <v>1472.259534372025</v>
      </c>
      <c r="AE1252" s="19">
        <v>1284.4670905524906</v>
      </c>
      <c r="AF1252" s="19">
        <v>1054.0517415159943</v>
      </c>
      <c r="AG1252" s="19">
        <v>188.87731607761836</v>
      </c>
      <c r="AH1252" s="19">
        <v>0</v>
      </c>
      <c r="AI1252" s="19">
        <v>0</v>
      </c>
      <c r="AJ1252" s="19">
        <v>0</v>
      </c>
      <c r="AK1252" s="19">
        <v>0</v>
      </c>
      <c r="AL1252" s="19">
        <v>0</v>
      </c>
      <c r="AM1252" s="19">
        <v>0</v>
      </c>
      <c r="AN1252" s="19">
        <v>0</v>
      </c>
      <c r="AO1252" s="19">
        <v>0</v>
      </c>
      <c r="AP1252" s="19">
        <v>0</v>
      </c>
      <c r="AQ1252" s="19">
        <v>0</v>
      </c>
      <c r="AR1252" s="19">
        <v>14131.849635537805</v>
      </c>
    </row>
    <row r="1253" spans="1:44" x14ac:dyDescent="0.25">
      <c r="A1253" t="s">
        <v>435</v>
      </c>
      <c r="B1253" t="s">
        <v>462</v>
      </c>
      <c r="C1253" t="s">
        <v>46</v>
      </c>
      <c r="D1253" t="s">
        <v>463</v>
      </c>
      <c r="E1253" t="s">
        <v>134</v>
      </c>
      <c r="F1253" t="s">
        <v>463</v>
      </c>
      <c r="G1253" t="s">
        <v>33</v>
      </c>
      <c r="H1253" t="s">
        <v>450</v>
      </c>
      <c r="I1253" t="s">
        <v>256</v>
      </c>
      <c r="J1253" t="s">
        <v>40</v>
      </c>
      <c r="K1253" t="s">
        <v>33</v>
      </c>
      <c r="L1253">
        <v>2.5000000000000026E-2</v>
      </c>
      <c r="M1253">
        <v>1</v>
      </c>
      <c r="N1253" s="2">
        <v>4.4156409057984005</v>
      </c>
      <c r="O1253" s="2">
        <v>1.4737622038640088</v>
      </c>
      <c r="P1253" s="1">
        <v>-0.61665548152684757</v>
      </c>
      <c r="Q1253" s="1">
        <v>1.3498045353129324</v>
      </c>
      <c r="R1253" s="1">
        <v>-0.25661544227348493</v>
      </c>
      <c r="S1253" s="19">
        <v>173.83414148642819</v>
      </c>
      <c r="T1253" s="19">
        <v>280.58534334981789</v>
      </c>
      <c r="U1253" s="19">
        <v>422.60636407989585</v>
      </c>
      <c r="V1253" s="19">
        <v>600.59690683668089</v>
      </c>
      <c r="W1253" s="19">
        <v>810.67900953303365</v>
      </c>
      <c r="X1253" s="19">
        <v>1042.8316059784977</v>
      </c>
      <c r="Y1253" s="19">
        <v>1279.8604326612287</v>
      </c>
      <c r="Z1253" s="19">
        <v>1497.6252533511738</v>
      </c>
      <c r="AA1253" s="19">
        <v>1667.2859764088887</v>
      </c>
      <c r="AB1253" s="19">
        <v>1760.0058450322467</v>
      </c>
      <c r="AC1253" s="19">
        <v>1753.7298710735763</v>
      </c>
      <c r="AD1253" s="19">
        <v>1640.4424659243548</v>
      </c>
      <c r="AE1253" s="19">
        <v>1431.1976334548683</v>
      </c>
      <c r="AF1253" s="19">
        <v>1174.4608866139151</v>
      </c>
      <c r="AG1253" s="19">
        <v>210.45363464105489</v>
      </c>
      <c r="AH1253" s="19">
        <v>0</v>
      </c>
      <c r="AI1253" s="19">
        <v>0</v>
      </c>
      <c r="AJ1253" s="19">
        <v>0</v>
      </c>
      <c r="AK1253" s="19">
        <v>0</v>
      </c>
      <c r="AL1253" s="19">
        <v>0</v>
      </c>
      <c r="AM1253" s="19">
        <v>0</v>
      </c>
      <c r="AN1253" s="19">
        <v>0</v>
      </c>
      <c r="AO1253" s="19">
        <v>0</v>
      </c>
      <c r="AP1253" s="19">
        <v>0</v>
      </c>
      <c r="AQ1253" s="19">
        <v>0</v>
      </c>
      <c r="AR1253" s="19">
        <v>15746.195370425659</v>
      </c>
    </row>
    <row r="1254" spans="1:44" x14ac:dyDescent="0.25">
      <c r="A1254" t="s">
        <v>435</v>
      </c>
      <c r="B1254" t="s">
        <v>462</v>
      </c>
      <c r="C1254" t="s">
        <v>46</v>
      </c>
      <c r="D1254" t="s">
        <v>463</v>
      </c>
      <c r="E1254" t="s">
        <v>134</v>
      </c>
      <c r="F1254" t="s">
        <v>463</v>
      </c>
      <c r="G1254" t="s">
        <v>33</v>
      </c>
      <c r="H1254" t="s">
        <v>452</v>
      </c>
      <c r="I1254" t="s">
        <v>256</v>
      </c>
      <c r="J1254" t="s">
        <v>40</v>
      </c>
      <c r="K1254" t="s">
        <v>33</v>
      </c>
      <c r="L1254">
        <v>2.5000000000000026E-2</v>
      </c>
      <c r="M1254">
        <v>1</v>
      </c>
      <c r="N1254" s="2">
        <v>4.4156409057984005</v>
      </c>
      <c r="O1254" s="2">
        <v>1.4737622038640088</v>
      </c>
      <c r="P1254" s="1">
        <v>-0.61665548152684757</v>
      </c>
      <c r="Q1254" s="1">
        <v>1.3498045353129324</v>
      </c>
      <c r="R1254" s="1">
        <v>-0.25661544227348493</v>
      </c>
      <c r="S1254" s="19">
        <v>55.877309126374165</v>
      </c>
      <c r="T1254" s="19">
        <v>90.19145394929032</v>
      </c>
      <c r="U1254" s="19">
        <v>135.84274206749544</v>
      </c>
      <c r="V1254" s="19">
        <v>193.05608631706841</v>
      </c>
      <c r="W1254" s="19">
        <v>260.58495316627284</v>
      </c>
      <c r="X1254" s="19">
        <v>335.20816748511459</v>
      </c>
      <c r="Y1254" s="19">
        <v>411.39879900985886</v>
      </c>
      <c r="Z1254" s="19">
        <v>481.39720150141738</v>
      </c>
      <c r="AA1254" s="19">
        <v>535.93300550307413</v>
      </c>
      <c r="AB1254" s="19">
        <v>565.73691350942295</v>
      </c>
      <c r="AC1254" s="19">
        <v>563.7195621769456</v>
      </c>
      <c r="AD1254" s="19">
        <v>527.30441781278705</v>
      </c>
      <c r="AE1254" s="19">
        <v>460.04468340723759</v>
      </c>
      <c r="AF1254" s="19">
        <v>377.51913091988791</v>
      </c>
      <c r="AG1254" s="19">
        <v>67.648292211489817</v>
      </c>
      <c r="AH1254" s="19">
        <v>0</v>
      </c>
      <c r="AI1254" s="19">
        <v>0</v>
      </c>
      <c r="AJ1254" s="19">
        <v>0</v>
      </c>
      <c r="AK1254" s="19">
        <v>0</v>
      </c>
      <c r="AL1254" s="19">
        <v>0</v>
      </c>
      <c r="AM1254" s="19">
        <v>0</v>
      </c>
      <c r="AN1254" s="19">
        <v>0</v>
      </c>
      <c r="AO1254" s="19">
        <v>0</v>
      </c>
      <c r="AP1254" s="19">
        <v>0</v>
      </c>
      <c r="AQ1254" s="19">
        <v>0</v>
      </c>
      <c r="AR1254" s="19">
        <v>5061.462718163737</v>
      </c>
    </row>
    <row r="1255" spans="1:44" x14ac:dyDescent="0.25">
      <c r="A1255" t="s">
        <v>435</v>
      </c>
      <c r="B1255" t="s">
        <v>462</v>
      </c>
      <c r="C1255" t="s">
        <v>46</v>
      </c>
      <c r="D1255" t="s">
        <v>463</v>
      </c>
      <c r="E1255" t="s">
        <v>134</v>
      </c>
      <c r="F1255" t="s">
        <v>463</v>
      </c>
      <c r="G1255" t="s">
        <v>33</v>
      </c>
      <c r="H1255" t="s">
        <v>453</v>
      </c>
      <c r="I1255" t="s">
        <v>256</v>
      </c>
      <c r="J1255" t="s">
        <v>40</v>
      </c>
      <c r="K1255" t="s">
        <v>33</v>
      </c>
      <c r="L1255">
        <v>2.5000000000000026E-2</v>
      </c>
      <c r="M1255">
        <v>1</v>
      </c>
      <c r="N1255" s="2">
        <v>4.4156409057984005</v>
      </c>
      <c r="O1255" s="2">
        <v>1.4737622038640088</v>
      </c>
      <c r="P1255" s="1">
        <v>-0.61665548152684757</v>
      </c>
      <c r="Q1255" s="1">
        <v>1.3498045353129324</v>
      </c>
      <c r="R1255" s="1">
        <v>-0.25661544227348493</v>
      </c>
      <c r="S1255" s="19">
        <v>186.69554666599868</v>
      </c>
      <c r="T1255" s="19">
        <v>301.34491196742835</v>
      </c>
      <c r="U1255" s="19">
        <v>453.87359175692262</v>
      </c>
      <c r="V1255" s="19">
        <v>645.03305788487057</v>
      </c>
      <c r="W1255" s="19">
        <v>870.65843085396693</v>
      </c>
      <c r="X1255" s="19">
        <v>1119.9872193917513</v>
      </c>
      <c r="Y1255" s="19">
        <v>1374.5530140897256</v>
      </c>
      <c r="Z1255" s="19">
        <v>1608.4295235929328</v>
      </c>
      <c r="AA1255" s="19">
        <v>1790.6428745961462</v>
      </c>
      <c r="AB1255" s="19">
        <v>1890.2227753648845</v>
      </c>
      <c r="AC1255" s="19">
        <v>1883.482463139354</v>
      </c>
      <c r="AD1255" s="19">
        <v>1761.8133027899887</v>
      </c>
      <c r="AE1255" s="19">
        <v>1537.0871468640771</v>
      </c>
      <c r="AF1255" s="19">
        <v>1261.3553090854548</v>
      </c>
      <c r="AG1255" s="19">
        <v>226.02439331646039</v>
      </c>
      <c r="AH1255" s="19">
        <v>0</v>
      </c>
      <c r="AI1255" s="19">
        <v>0</v>
      </c>
      <c r="AJ1255" s="19">
        <v>0</v>
      </c>
      <c r="AK1255" s="19">
        <v>0</v>
      </c>
      <c r="AL1255" s="19">
        <v>0</v>
      </c>
      <c r="AM1255" s="19">
        <v>0</v>
      </c>
      <c r="AN1255" s="19">
        <v>0</v>
      </c>
      <c r="AO1255" s="19">
        <v>0</v>
      </c>
      <c r="AP1255" s="19">
        <v>0</v>
      </c>
      <c r="AQ1255" s="19">
        <v>0</v>
      </c>
      <c r="AR1255" s="19">
        <v>16911.203561359966</v>
      </c>
    </row>
    <row r="1256" spans="1:44" x14ac:dyDescent="0.25">
      <c r="A1256" t="s">
        <v>435</v>
      </c>
      <c r="B1256" t="s">
        <v>462</v>
      </c>
      <c r="C1256" t="s">
        <v>46</v>
      </c>
      <c r="D1256" t="s">
        <v>463</v>
      </c>
      <c r="E1256" t="s">
        <v>134</v>
      </c>
      <c r="F1256" t="s">
        <v>463</v>
      </c>
      <c r="G1256" t="s">
        <v>33</v>
      </c>
      <c r="H1256" t="s">
        <v>456</v>
      </c>
      <c r="I1256" t="s">
        <v>256</v>
      </c>
      <c r="J1256" t="s">
        <v>40</v>
      </c>
      <c r="K1256" t="s">
        <v>33</v>
      </c>
      <c r="L1256">
        <v>2.5000000000000026E-2</v>
      </c>
      <c r="M1256">
        <v>1</v>
      </c>
      <c r="N1256" s="2">
        <v>4.4156409057984005</v>
      </c>
      <c r="O1256" s="2">
        <v>1.4737622038640088</v>
      </c>
      <c r="P1256" s="1">
        <v>-0.61665548152684757</v>
      </c>
      <c r="Q1256" s="1">
        <v>1.3498045353129324</v>
      </c>
      <c r="R1256" s="1">
        <v>-0.25661544227348493</v>
      </c>
      <c r="S1256" s="19">
        <v>234.28035346238352</v>
      </c>
      <c r="T1256" s="19">
        <v>378.15145433609649</v>
      </c>
      <c r="U1256" s="19">
        <v>569.55651810102393</v>
      </c>
      <c r="V1256" s="19">
        <v>809.43855113235861</v>
      </c>
      <c r="W1256" s="19">
        <v>1092.5711328850914</v>
      </c>
      <c r="X1256" s="19">
        <v>1405.4486371968646</v>
      </c>
      <c r="Y1256" s="19">
        <v>1724.89795147521</v>
      </c>
      <c r="Z1256" s="19">
        <v>2018.3847126296412</v>
      </c>
      <c r="AA1256" s="19">
        <v>2247.040452099257</v>
      </c>
      <c r="AB1256" s="19">
        <v>2372.0011957616975</v>
      </c>
      <c r="AC1256" s="19">
        <v>2363.5429183209976</v>
      </c>
      <c r="AD1256" s="19">
        <v>2210.8628228331504</v>
      </c>
      <c r="AE1256" s="19">
        <v>1928.8586498211664</v>
      </c>
      <c r="AF1256" s="19">
        <v>1582.8485088766899</v>
      </c>
      <c r="AG1256" s="19">
        <v>283.63330407680508</v>
      </c>
      <c r="AH1256" s="19">
        <v>0</v>
      </c>
      <c r="AI1256" s="19">
        <v>0</v>
      </c>
      <c r="AJ1256" s="19">
        <v>0</v>
      </c>
      <c r="AK1256" s="19">
        <v>0</v>
      </c>
      <c r="AL1256" s="19">
        <v>0</v>
      </c>
      <c r="AM1256" s="19">
        <v>0</v>
      </c>
      <c r="AN1256" s="19">
        <v>0</v>
      </c>
      <c r="AO1256" s="19">
        <v>0</v>
      </c>
      <c r="AP1256" s="19">
        <v>0</v>
      </c>
      <c r="AQ1256" s="19">
        <v>0</v>
      </c>
      <c r="AR1256" s="19">
        <v>21221.517163008433</v>
      </c>
    </row>
    <row r="1257" spans="1:44" x14ac:dyDescent="0.25">
      <c r="A1257" t="s">
        <v>435</v>
      </c>
      <c r="B1257" t="s">
        <v>462</v>
      </c>
      <c r="C1257" t="s">
        <v>46</v>
      </c>
      <c r="D1257" t="s">
        <v>463</v>
      </c>
      <c r="E1257" t="s">
        <v>134</v>
      </c>
      <c r="F1257" t="s">
        <v>463</v>
      </c>
      <c r="G1257" t="s">
        <v>33</v>
      </c>
      <c r="H1257" t="s">
        <v>457</v>
      </c>
      <c r="I1257" t="s">
        <v>256</v>
      </c>
      <c r="J1257" t="s">
        <v>40</v>
      </c>
      <c r="K1257" t="s">
        <v>33</v>
      </c>
      <c r="L1257">
        <v>2.5000000000000026E-2</v>
      </c>
      <c r="M1257">
        <v>1</v>
      </c>
      <c r="N1257" s="2">
        <v>4.4156409057984005</v>
      </c>
      <c r="O1257" s="2">
        <v>1.4737622038640088</v>
      </c>
      <c r="P1257" s="1">
        <v>-0.61665548152684757</v>
      </c>
      <c r="Q1257" s="1">
        <v>1.3498045353129324</v>
      </c>
      <c r="R1257" s="1">
        <v>-0.25661544227348493</v>
      </c>
      <c r="S1257" s="19">
        <v>124.59045283204136</v>
      </c>
      <c r="T1257" s="19">
        <v>201.10120306094709</v>
      </c>
      <c r="U1257" s="19">
        <v>302.89054739300178</v>
      </c>
      <c r="V1257" s="19">
        <v>430.45997726601672</v>
      </c>
      <c r="W1257" s="19">
        <v>581.03007864560959</v>
      </c>
      <c r="X1257" s="19">
        <v>747.41855026545363</v>
      </c>
      <c r="Y1257" s="19">
        <v>917.3019149378332</v>
      </c>
      <c r="Z1257" s="19">
        <v>1073.3783760325991</v>
      </c>
      <c r="AA1257" s="19">
        <v>1194.9776552813344</v>
      </c>
      <c r="AB1257" s="19">
        <v>1261.4318645611231</v>
      </c>
      <c r="AC1257" s="19">
        <v>1256.9337468105664</v>
      </c>
      <c r="AD1257" s="19">
        <v>1175.7383671974633</v>
      </c>
      <c r="AE1257" s="19">
        <v>1025.7683543609842</v>
      </c>
      <c r="AF1257" s="19">
        <v>841.75992383045548</v>
      </c>
      <c r="AG1257" s="19">
        <v>150.83638585533495</v>
      </c>
      <c r="AH1257" s="19">
        <v>0</v>
      </c>
      <c r="AI1257" s="19">
        <v>0</v>
      </c>
      <c r="AJ1257" s="19">
        <v>0</v>
      </c>
      <c r="AK1257" s="19">
        <v>0</v>
      </c>
      <c r="AL1257" s="19">
        <v>0</v>
      </c>
      <c r="AM1257" s="19">
        <v>0</v>
      </c>
      <c r="AN1257" s="19">
        <v>0</v>
      </c>
      <c r="AO1257" s="19">
        <v>0</v>
      </c>
      <c r="AP1257" s="19">
        <v>0</v>
      </c>
      <c r="AQ1257" s="19">
        <v>0</v>
      </c>
      <c r="AR1257" s="19">
        <v>11285.617398330764</v>
      </c>
    </row>
    <row r="1258" spans="1:44" x14ac:dyDescent="0.25">
      <c r="A1258" t="s">
        <v>435</v>
      </c>
      <c r="B1258" t="s">
        <v>464</v>
      </c>
      <c r="C1258" t="s">
        <v>47</v>
      </c>
      <c r="D1258" t="s">
        <v>465</v>
      </c>
      <c r="E1258" t="s">
        <v>134</v>
      </c>
      <c r="F1258" t="s">
        <v>465</v>
      </c>
      <c r="G1258" t="s">
        <v>33</v>
      </c>
      <c r="H1258" t="s">
        <v>450</v>
      </c>
      <c r="I1258" t="s">
        <v>135</v>
      </c>
      <c r="J1258" t="s">
        <v>39</v>
      </c>
      <c r="K1258" t="s">
        <v>31</v>
      </c>
      <c r="L1258">
        <v>0.1063578652050048</v>
      </c>
      <c r="M1258">
        <v>1</v>
      </c>
      <c r="N1258" s="2">
        <v>3.0509798266011336</v>
      </c>
      <c r="O1258" s="2">
        <v>2.8779545327574692</v>
      </c>
      <c r="P1258" s="1">
        <v>-0.5558095120879909</v>
      </c>
      <c r="Q1258" s="1">
        <v>0.51093654783892051</v>
      </c>
      <c r="R1258" s="1">
        <v>-0.52509153328775149</v>
      </c>
      <c r="S1258" s="19">
        <v>29.211393473925352</v>
      </c>
      <c r="T1258" s="19">
        <v>57.941543441676032</v>
      </c>
      <c r="U1258" s="19">
        <v>102.08479343832867</v>
      </c>
      <c r="V1258" s="19">
        <v>164.77486282477471</v>
      </c>
      <c r="W1258" s="19">
        <v>248.17727411843035</v>
      </c>
      <c r="X1258" s="19">
        <v>352.70293079284727</v>
      </c>
      <c r="Y1258" s="19">
        <v>476.0744841336579</v>
      </c>
      <c r="Z1258" s="19">
        <v>612.40702302192437</v>
      </c>
      <c r="AA1258" s="19">
        <v>751.60314758025902</v>
      </c>
      <c r="AB1258" s="19">
        <v>879.4864077279974</v>
      </c>
      <c r="AC1258" s="19">
        <v>979.12034453607055</v>
      </c>
      <c r="AD1258" s="19">
        <v>1033.5704574719316</v>
      </c>
      <c r="AE1258" s="19">
        <v>1029.8848667144607</v>
      </c>
      <c r="AF1258" s="19">
        <v>963.35638585947572</v>
      </c>
      <c r="AG1258" s="19">
        <v>840.4765228013157</v>
      </c>
      <c r="AH1258" s="19">
        <v>689.70684346687108</v>
      </c>
      <c r="AI1258" s="19">
        <v>249.80537610478672</v>
      </c>
      <c r="AJ1258" s="19">
        <v>0</v>
      </c>
      <c r="AK1258" s="19">
        <v>0</v>
      </c>
      <c r="AL1258" s="19">
        <v>0</v>
      </c>
      <c r="AM1258" s="19">
        <v>0</v>
      </c>
      <c r="AN1258" s="19">
        <v>0</v>
      </c>
      <c r="AO1258" s="19">
        <v>0</v>
      </c>
      <c r="AP1258" s="19">
        <v>0</v>
      </c>
      <c r="AQ1258" s="19">
        <v>0</v>
      </c>
      <c r="AR1258" s="19">
        <v>9460.3846575087337</v>
      </c>
    </row>
    <row r="1259" spans="1:44" x14ac:dyDescent="0.25">
      <c r="A1259" t="s">
        <v>435</v>
      </c>
      <c r="B1259" t="s">
        <v>464</v>
      </c>
      <c r="C1259" t="s">
        <v>47</v>
      </c>
      <c r="D1259" t="s">
        <v>465</v>
      </c>
      <c r="E1259" t="s">
        <v>134</v>
      </c>
      <c r="F1259" t="s">
        <v>465</v>
      </c>
      <c r="G1259" t="s">
        <v>33</v>
      </c>
      <c r="H1259" t="s">
        <v>451</v>
      </c>
      <c r="I1259" t="s">
        <v>135</v>
      </c>
      <c r="J1259" t="s">
        <v>39</v>
      </c>
      <c r="K1259" t="s">
        <v>31</v>
      </c>
      <c r="L1259">
        <v>0.1063578652050048</v>
      </c>
      <c r="M1259">
        <v>1</v>
      </c>
      <c r="N1259" s="2">
        <v>3.0509798266011336</v>
      </c>
      <c r="O1259" s="2">
        <v>2.8779545327574692</v>
      </c>
      <c r="P1259" s="1">
        <v>-0.5558095120879909</v>
      </c>
      <c r="Q1259" s="1">
        <v>0.51093654783892051</v>
      </c>
      <c r="R1259" s="1">
        <v>-0.52509153328775149</v>
      </c>
      <c r="S1259" s="19">
        <v>7.6411984697576196</v>
      </c>
      <c r="T1259" s="19">
        <v>15.156511909544136</v>
      </c>
      <c r="U1259" s="19">
        <v>26.703627408352407</v>
      </c>
      <c r="V1259" s="19">
        <v>43.102272091027309</v>
      </c>
      <c r="W1259" s="19">
        <v>64.918909428785199</v>
      </c>
      <c r="X1259" s="19">
        <v>92.261024708013522</v>
      </c>
      <c r="Y1259" s="19">
        <v>124.53290264635636</v>
      </c>
      <c r="Z1259" s="19">
        <v>160.19515164043713</v>
      </c>
      <c r="AA1259" s="19">
        <v>196.60646542869409</v>
      </c>
      <c r="AB1259" s="19">
        <v>230.05852832397389</v>
      </c>
      <c r="AC1259" s="19">
        <v>256.12105376129495</v>
      </c>
      <c r="AD1259" s="19">
        <v>270.36426745854686</v>
      </c>
      <c r="AE1259" s="19">
        <v>269.40018026149897</v>
      </c>
      <c r="AF1259" s="19">
        <v>251.99747311032607</v>
      </c>
      <c r="AG1259" s="19">
        <v>219.85421289912921</v>
      </c>
      <c r="AH1259" s="19">
        <v>180.41545609882263</v>
      </c>
      <c r="AI1259" s="19">
        <v>65.344792925848097</v>
      </c>
      <c r="AJ1259" s="19">
        <v>0</v>
      </c>
      <c r="AK1259" s="19">
        <v>0</v>
      </c>
      <c r="AL1259" s="19">
        <v>0</v>
      </c>
      <c r="AM1259" s="19">
        <v>0</v>
      </c>
      <c r="AN1259" s="19">
        <v>0</v>
      </c>
      <c r="AO1259" s="19">
        <v>0</v>
      </c>
      <c r="AP1259" s="19">
        <v>0</v>
      </c>
      <c r="AQ1259" s="19">
        <v>0</v>
      </c>
      <c r="AR1259" s="19">
        <v>2474.6740285704086</v>
      </c>
    </row>
    <row r="1260" spans="1:44" x14ac:dyDescent="0.25">
      <c r="A1260" t="s">
        <v>435</v>
      </c>
      <c r="B1260" t="s">
        <v>464</v>
      </c>
      <c r="C1260" t="s">
        <v>47</v>
      </c>
      <c r="D1260" t="s">
        <v>465</v>
      </c>
      <c r="E1260" t="s">
        <v>134</v>
      </c>
      <c r="F1260" t="s">
        <v>465</v>
      </c>
      <c r="G1260" t="s">
        <v>33</v>
      </c>
      <c r="H1260" t="s">
        <v>452</v>
      </c>
      <c r="I1260" t="s">
        <v>135</v>
      </c>
      <c r="J1260" t="s">
        <v>39</v>
      </c>
      <c r="K1260" t="s">
        <v>31</v>
      </c>
      <c r="L1260">
        <v>0.1063578652050048</v>
      </c>
      <c r="M1260">
        <v>1</v>
      </c>
      <c r="N1260" s="2">
        <v>3.0509798266011336</v>
      </c>
      <c r="O1260" s="2">
        <v>2.8779545327574692</v>
      </c>
      <c r="P1260" s="1">
        <v>-0.5558095120879909</v>
      </c>
      <c r="Q1260" s="1">
        <v>0.51093654783892051</v>
      </c>
      <c r="R1260" s="1">
        <v>-0.52509153328775149</v>
      </c>
      <c r="S1260" s="19">
        <v>173.06792074379135</v>
      </c>
      <c r="T1260" s="19">
        <v>343.28463163141998</v>
      </c>
      <c r="U1260" s="19">
        <v>604.81890244987505</v>
      </c>
      <c r="V1260" s="19">
        <v>976.23699209632832</v>
      </c>
      <c r="W1260" s="19">
        <v>1470.3689108798603</v>
      </c>
      <c r="X1260" s="19">
        <v>2089.6491270451129</v>
      </c>
      <c r="Y1260" s="19">
        <v>2820.5850967613383</v>
      </c>
      <c r="Z1260" s="19">
        <v>3628.3106527563127</v>
      </c>
      <c r="AA1260" s="19">
        <v>4453.002014173504</v>
      </c>
      <c r="AB1260" s="19">
        <v>5210.6683662241985</v>
      </c>
      <c r="AC1260" s="19">
        <v>5800.9667473775417</v>
      </c>
      <c r="AD1260" s="19">
        <v>6123.5657989594447</v>
      </c>
      <c r="AE1260" s="19">
        <v>6101.7298831316903</v>
      </c>
      <c r="AF1260" s="19">
        <v>5707.570465091846</v>
      </c>
      <c r="AG1260" s="19">
        <v>4979.5475989543384</v>
      </c>
      <c r="AH1260" s="19">
        <v>4086.2867232993672</v>
      </c>
      <c r="AI1260" s="19">
        <v>1480.0148808945801</v>
      </c>
      <c r="AJ1260" s="19">
        <v>0</v>
      </c>
      <c r="AK1260" s="19">
        <v>0</v>
      </c>
      <c r="AL1260" s="19">
        <v>0</v>
      </c>
      <c r="AM1260" s="19">
        <v>0</v>
      </c>
      <c r="AN1260" s="19">
        <v>0</v>
      </c>
      <c r="AO1260" s="19">
        <v>0</v>
      </c>
      <c r="AP1260" s="19">
        <v>0</v>
      </c>
      <c r="AQ1260" s="19">
        <v>0</v>
      </c>
      <c r="AR1260" s="19">
        <v>56049.674712470558</v>
      </c>
    </row>
    <row r="1261" spans="1:44" x14ac:dyDescent="0.25">
      <c r="A1261" t="s">
        <v>435</v>
      </c>
      <c r="B1261" t="s">
        <v>464</v>
      </c>
      <c r="C1261" t="s">
        <v>47</v>
      </c>
      <c r="D1261" t="s">
        <v>465</v>
      </c>
      <c r="E1261" t="s">
        <v>134</v>
      </c>
      <c r="F1261" t="s">
        <v>465</v>
      </c>
      <c r="G1261" t="s">
        <v>33</v>
      </c>
      <c r="H1261" t="s">
        <v>453</v>
      </c>
      <c r="I1261" t="s">
        <v>135</v>
      </c>
      <c r="J1261" t="s">
        <v>39</v>
      </c>
      <c r="K1261" t="s">
        <v>31</v>
      </c>
      <c r="L1261">
        <v>0.1063578652050048</v>
      </c>
      <c r="M1261">
        <v>1</v>
      </c>
      <c r="N1261" s="2">
        <v>3.0509798266011336</v>
      </c>
      <c r="O1261" s="2">
        <v>2.8779545327574692</v>
      </c>
      <c r="P1261" s="1">
        <v>-0.5558095120879909</v>
      </c>
      <c r="Q1261" s="1">
        <v>0.51093654783892051</v>
      </c>
      <c r="R1261" s="1">
        <v>-0.52509153328775149</v>
      </c>
      <c r="S1261" s="19">
        <v>52.929341231370422</v>
      </c>
      <c r="T1261" s="19">
        <v>104.98669729789628</v>
      </c>
      <c r="U1261" s="19">
        <v>184.97169165361228</v>
      </c>
      <c r="V1261" s="19">
        <v>298.56244100746727</v>
      </c>
      <c r="W1261" s="19">
        <v>449.68274585774458</v>
      </c>
      <c r="X1261" s="19">
        <v>639.07713933273158</v>
      </c>
      <c r="Y1261" s="19">
        <v>862.61919838748929</v>
      </c>
      <c r="Z1261" s="19">
        <v>1109.6458073096985</v>
      </c>
      <c r="AA1261" s="19">
        <v>1361.8610664485288</v>
      </c>
      <c r="AB1261" s="19">
        <v>1593.578075093862</v>
      </c>
      <c r="AC1261" s="19">
        <v>1774.1089574787288</v>
      </c>
      <c r="AD1261" s="19">
        <v>1872.7693863364404</v>
      </c>
      <c r="AE1261" s="19">
        <v>1866.0913108445784</v>
      </c>
      <c r="AF1261" s="19">
        <v>1745.5455837836164</v>
      </c>
      <c r="AG1261" s="19">
        <v>1522.8944388433731</v>
      </c>
      <c r="AH1261" s="19">
        <v>1249.7085734733987</v>
      </c>
      <c r="AI1261" s="19">
        <v>452.63277169859481</v>
      </c>
      <c r="AJ1261" s="19">
        <v>0</v>
      </c>
      <c r="AK1261" s="19">
        <v>0</v>
      </c>
      <c r="AL1261" s="19">
        <v>0</v>
      </c>
      <c r="AM1261" s="19">
        <v>0</v>
      </c>
      <c r="AN1261" s="19">
        <v>0</v>
      </c>
      <c r="AO1261" s="19">
        <v>0</v>
      </c>
      <c r="AP1261" s="19">
        <v>0</v>
      </c>
      <c r="AQ1261" s="19">
        <v>0</v>
      </c>
      <c r="AR1261" s="19">
        <v>17141.665226079131</v>
      </c>
    </row>
    <row r="1262" spans="1:44" x14ac:dyDescent="0.25">
      <c r="A1262" t="s">
        <v>435</v>
      </c>
      <c r="B1262" t="s">
        <v>464</v>
      </c>
      <c r="C1262" t="s">
        <v>47</v>
      </c>
      <c r="D1262" t="s">
        <v>465</v>
      </c>
      <c r="E1262" t="s">
        <v>134</v>
      </c>
      <c r="F1262" t="s">
        <v>465</v>
      </c>
      <c r="G1262" t="s">
        <v>33</v>
      </c>
      <c r="H1262" t="s">
        <v>454</v>
      </c>
      <c r="I1262" t="s">
        <v>135</v>
      </c>
      <c r="J1262" t="s">
        <v>39</v>
      </c>
      <c r="K1262" t="s">
        <v>31</v>
      </c>
      <c r="L1262">
        <v>0.1063578652050048</v>
      </c>
      <c r="M1262">
        <v>1</v>
      </c>
      <c r="N1262" s="2">
        <v>3.0509798266011336</v>
      </c>
      <c r="O1262" s="2">
        <v>2.8779545327574692</v>
      </c>
      <c r="P1262" s="1">
        <v>-0.5558095120879909</v>
      </c>
      <c r="Q1262" s="1">
        <v>0.51093654783892051</v>
      </c>
      <c r="R1262" s="1">
        <v>-0.52509153328775149</v>
      </c>
      <c r="S1262" s="19">
        <v>2.9145069675772706</v>
      </c>
      <c r="T1262" s="19">
        <v>5.7809988497701568</v>
      </c>
      <c r="U1262" s="19">
        <v>10.185301225882068</v>
      </c>
      <c r="V1262" s="19">
        <v>16.440074528216673</v>
      </c>
      <c r="W1262" s="19">
        <v>24.761379331600313</v>
      </c>
      <c r="X1262" s="19">
        <v>35.190212688697983</v>
      </c>
      <c r="Y1262" s="19">
        <v>47.499356794869421</v>
      </c>
      <c r="Z1262" s="19">
        <v>61.101656693777933</v>
      </c>
      <c r="AA1262" s="19">
        <v>74.989664989142028</v>
      </c>
      <c r="AB1262" s="19">
        <v>87.748955403335231</v>
      </c>
      <c r="AC1262" s="19">
        <v>97.689727427562119</v>
      </c>
      <c r="AD1262" s="19">
        <v>103.12237594803034</v>
      </c>
      <c r="AE1262" s="19">
        <v>102.7546536772022</v>
      </c>
      <c r="AF1262" s="19">
        <v>96.116910730524182</v>
      </c>
      <c r="AG1262" s="19">
        <v>83.856824015468092</v>
      </c>
      <c r="AH1262" s="19">
        <v>68.814087991530585</v>
      </c>
      <c r="AI1262" s="19">
        <v>24.923819873418143</v>
      </c>
      <c r="AJ1262" s="19">
        <v>0</v>
      </c>
      <c r="AK1262" s="19">
        <v>0</v>
      </c>
      <c r="AL1262" s="19">
        <v>0</v>
      </c>
      <c r="AM1262" s="19">
        <v>0</v>
      </c>
      <c r="AN1262" s="19">
        <v>0</v>
      </c>
      <c r="AO1262" s="19">
        <v>0</v>
      </c>
      <c r="AP1262" s="19">
        <v>0</v>
      </c>
      <c r="AQ1262" s="19">
        <v>0</v>
      </c>
      <c r="AR1262" s="19">
        <v>943.8905071366047</v>
      </c>
    </row>
    <row r="1263" spans="1:44" x14ac:dyDescent="0.25">
      <c r="A1263" t="s">
        <v>435</v>
      </c>
      <c r="B1263" t="s">
        <v>464</v>
      </c>
      <c r="C1263" t="s">
        <v>47</v>
      </c>
      <c r="D1263" t="s">
        <v>465</v>
      </c>
      <c r="E1263" t="s">
        <v>134</v>
      </c>
      <c r="F1263" t="s">
        <v>465</v>
      </c>
      <c r="G1263" t="s">
        <v>33</v>
      </c>
      <c r="H1263" t="s">
        <v>455</v>
      </c>
      <c r="I1263" t="s">
        <v>135</v>
      </c>
      <c r="J1263" t="s">
        <v>39</v>
      </c>
      <c r="K1263" t="s">
        <v>31</v>
      </c>
      <c r="L1263">
        <v>0.1063578652050048</v>
      </c>
      <c r="M1263">
        <v>1</v>
      </c>
      <c r="N1263" s="2">
        <v>3.0509798266011336</v>
      </c>
      <c r="O1263" s="2">
        <v>2.8779545327574692</v>
      </c>
      <c r="P1263" s="1">
        <v>-0.5558095120879909</v>
      </c>
      <c r="Q1263" s="1">
        <v>0.51093654783892051</v>
      </c>
      <c r="R1263" s="1">
        <v>-0.52509153328775149</v>
      </c>
      <c r="S1263" s="19">
        <v>0.68670104146840094</v>
      </c>
      <c r="T1263" s="19">
        <v>1.3620890171227718</v>
      </c>
      <c r="U1263" s="19">
        <v>2.3998079391440541</v>
      </c>
      <c r="V1263" s="19">
        <v>3.8735252397523081</v>
      </c>
      <c r="W1263" s="19">
        <v>5.8341479929068871</v>
      </c>
      <c r="X1263" s="19">
        <v>8.291335711889241</v>
      </c>
      <c r="Y1263" s="19">
        <v>11.191552514019245</v>
      </c>
      <c r="Z1263" s="19">
        <v>14.396455988554637</v>
      </c>
      <c r="AA1263" s="19">
        <v>17.668676596171164</v>
      </c>
      <c r="AB1263" s="19">
        <v>20.674954540707237</v>
      </c>
      <c r="AC1263" s="19">
        <v>23.017147775438481</v>
      </c>
      <c r="AD1263" s="19">
        <v>24.297160291599464</v>
      </c>
      <c r="AE1263" s="19">
        <v>24.210519474075969</v>
      </c>
      <c r="AF1263" s="19">
        <v>22.646568848741783</v>
      </c>
      <c r="AG1263" s="19">
        <v>19.757910695105465</v>
      </c>
      <c r="AH1263" s="19">
        <v>16.213619118832799</v>
      </c>
      <c r="AI1263" s="19">
        <v>5.872421392313341</v>
      </c>
      <c r="AJ1263" s="19">
        <v>0</v>
      </c>
      <c r="AK1263" s="19">
        <v>0</v>
      </c>
      <c r="AL1263" s="19">
        <v>0</v>
      </c>
      <c r="AM1263" s="19">
        <v>0</v>
      </c>
      <c r="AN1263" s="19">
        <v>0</v>
      </c>
      <c r="AO1263" s="19">
        <v>0</v>
      </c>
      <c r="AP1263" s="19">
        <v>0</v>
      </c>
      <c r="AQ1263" s="19">
        <v>0</v>
      </c>
      <c r="AR1263" s="19">
        <v>222.39459417784323</v>
      </c>
    </row>
    <row r="1264" spans="1:44" x14ac:dyDescent="0.25">
      <c r="A1264" t="s">
        <v>435</v>
      </c>
      <c r="B1264" t="s">
        <v>464</v>
      </c>
      <c r="C1264" t="s">
        <v>47</v>
      </c>
      <c r="D1264" t="s">
        <v>465</v>
      </c>
      <c r="E1264" t="s">
        <v>134</v>
      </c>
      <c r="F1264" t="s">
        <v>465</v>
      </c>
      <c r="G1264" t="s">
        <v>33</v>
      </c>
      <c r="H1264" t="s">
        <v>456</v>
      </c>
      <c r="I1264" t="s">
        <v>135</v>
      </c>
      <c r="J1264" t="s">
        <v>39</v>
      </c>
      <c r="K1264" t="s">
        <v>31</v>
      </c>
      <c r="L1264">
        <v>0.1063578652050048</v>
      </c>
      <c r="M1264">
        <v>1</v>
      </c>
      <c r="N1264" s="2">
        <v>3.0509798266011336</v>
      </c>
      <c r="O1264" s="2">
        <v>2.8779545327574692</v>
      </c>
      <c r="P1264" s="1">
        <v>-0.5558095120879909</v>
      </c>
      <c r="Q1264" s="1">
        <v>0.51093654783892051</v>
      </c>
      <c r="R1264" s="1">
        <v>-0.52509153328775149</v>
      </c>
      <c r="S1264" s="19">
        <v>123.77948887734853</v>
      </c>
      <c r="T1264" s="19">
        <v>245.51977085164344</v>
      </c>
      <c r="U1264" s="19">
        <v>432.57106393178958</v>
      </c>
      <c r="V1264" s="19">
        <v>698.2120972247169</v>
      </c>
      <c r="W1264" s="19">
        <v>1051.6189913628573</v>
      </c>
      <c r="X1264" s="19">
        <v>1494.5328964895457</v>
      </c>
      <c r="Y1264" s="19">
        <v>2017.303842975243</v>
      </c>
      <c r="Z1264" s="19">
        <v>2594.995283679842</v>
      </c>
      <c r="AA1264" s="19">
        <v>3184.8207970336603</v>
      </c>
      <c r="AB1264" s="19">
        <v>3726.7095155977249</v>
      </c>
      <c r="AC1264" s="19">
        <v>4148.8953926237427</v>
      </c>
      <c r="AD1264" s="19">
        <v>4379.6206798145395</v>
      </c>
      <c r="AE1264" s="19">
        <v>4364.0034672848451</v>
      </c>
      <c r="AF1264" s="19">
        <v>4082.0976635316943</v>
      </c>
      <c r="AG1264" s="19">
        <v>3561.4101908086136</v>
      </c>
      <c r="AH1264" s="19">
        <v>2922.5432410728031</v>
      </c>
      <c r="AI1264" s="19">
        <v>1058.5178622397607</v>
      </c>
      <c r="AJ1264" s="19">
        <v>0</v>
      </c>
      <c r="AK1264" s="19">
        <v>0</v>
      </c>
      <c r="AL1264" s="19">
        <v>0</v>
      </c>
      <c r="AM1264" s="19">
        <v>0</v>
      </c>
      <c r="AN1264" s="19">
        <v>0</v>
      </c>
      <c r="AO1264" s="19">
        <v>0</v>
      </c>
      <c r="AP1264" s="19">
        <v>0</v>
      </c>
      <c r="AQ1264" s="19">
        <v>0</v>
      </c>
      <c r="AR1264" s="19">
        <v>40087.152245400372</v>
      </c>
    </row>
    <row r="1265" spans="1:44" x14ac:dyDescent="0.25">
      <c r="A1265" t="s">
        <v>435</v>
      </c>
      <c r="B1265" t="s">
        <v>464</v>
      </c>
      <c r="C1265" t="s">
        <v>47</v>
      </c>
      <c r="D1265" t="s">
        <v>465</v>
      </c>
      <c r="E1265" t="s">
        <v>134</v>
      </c>
      <c r="F1265" t="s">
        <v>465</v>
      </c>
      <c r="G1265" t="s">
        <v>33</v>
      </c>
      <c r="H1265" t="s">
        <v>457</v>
      </c>
      <c r="I1265" t="s">
        <v>135</v>
      </c>
      <c r="J1265" t="s">
        <v>39</v>
      </c>
      <c r="K1265" t="s">
        <v>31</v>
      </c>
      <c r="L1265">
        <v>0.1063578652050048</v>
      </c>
      <c r="M1265">
        <v>1</v>
      </c>
      <c r="N1265" s="2">
        <v>3.0509798266011336</v>
      </c>
      <c r="O1265" s="2">
        <v>2.8779545327574692</v>
      </c>
      <c r="P1265" s="1">
        <v>-0.5558095120879909</v>
      </c>
      <c r="Q1265" s="1">
        <v>0.51093654783892051</v>
      </c>
      <c r="R1265" s="1">
        <v>-0.52509153328775149</v>
      </c>
      <c r="S1265" s="19">
        <v>45.761144111590426</v>
      </c>
      <c r="T1265" s="19">
        <v>90.768395621019167</v>
      </c>
      <c r="U1265" s="19">
        <v>159.921057799012</v>
      </c>
      <c r="V1265" s="19">
        <v>258.12826253641964</v>
      </c>
      <c r="W1265" s="19">
        <v>388.78241177684777</v>
      </c>
      <c r="X1265" s="19">
        <v>552.52720685847248</v>
      </c>
      <c r="Y1265" s="19">
        <v>745.79506437232203</v>
      </c>
      <c r="Z1265" s="19">
        <v>959.36696961997052</v>
      </c>
      <c r="AA1265" s="19">
        <v>1177.4248284952969</v>
      </c>
      <c r="AB1265" s="19">
        <v>1377.7605058160098</v>
      </c>
      <c r="AC1265" s="19">
        <v>1533.8421711685739</v>
      </c>
      <c r="AD1265" s="19">
        <v>1619.141062067923</v>
      </c>
      <c r="AE1265" s="19">
        <v>1613.3673953669656</v>
      </c>
      <c r="AF1265" s="19">
        <v>1509.1471224570939</v>
      </c>
      <c r="AG1265" s="19">
        <v>1316.6495229558493</v>
      </c>
      <c r="AH1265" s="19">
        <v>1080.4610977155291</v>
      </c>
      <c r="AI1265" s="19">
        <v>391.3329169313684</v>
      </c>
      <c r="AJ1265" s="19">
        <v>0</v>
      </c>
      <c r="AK1265" s="19">
        <v>0</v>
      </c>
      <c r="AL1265" s="19">
        <v>0</v>
      </c>
      <c r="AM1265" s="19">
        <v>0</v>
      </c>
      <c r="AN1265" s="19">
        <v>0</v>
      </c>
      <c r="AO1265" s="19">
        <v>0</v>
      </c>
      <c r="AP1265" s="19">
        <v>0</v>
      </c>
      <c r="AQ1265" s="19">
        <v>0</v>
      </c>
      <c r="AR1265" s="19">
        <v>14820.177135670268</v>
      </c>
    </row>
    <row r="1266" spans="1:44" x14ac:dyDescent="0.25">
      <c r="A1266" t="s">
        <v>435</v>
      </c>
      <c r="B1266" t="s">
        <v>464</v>
      </c>
      <c r="C1266" t="s">
        <v>47</v>
      </c>
      <c r="D1266" t="s">
        <v>465</v>
      </c>
      <c r="E1266" t="s">
        <v>134</v>
      </c>
      <c r="F1266" t="s">
        <v>465</v>
      </c>
      <c r="G1266" t="s">
        <v>33</v>
      </c>
      <c r="H1266" t="s">
        <v>450</v>
      </c>
      <c r="I1266" t="s">
        <v>135</v>
      </c>
      <c r="J1266" t="s">
        <v>39</v>
      </c>
      <c r="K1266" t="s">
        <v>33</v>
      </c>
      <c r="L1266">
        <v>0.1063578652050048</v>
      </c>
      <c r="M1266">
        <v>1</v>
      </c>
      <c r="N1266" s="2">
        <v>3.0509798266011336</v>
      </c>
      <c r="O1266" s="2">
        <v>2.8779545327574692</v>
      </c>
      <c r="P1266" s="1">
        <v>-0.5558095120879909</v>
      </c>
      <c r="Q1266" s="1">
        <v>0.51093654783892051</v>
      </c>
      <c r="R1266" s="1">
        <v>-0.52509153328775149</v>
      </c>
      <c r="S1266" s="19">
        <v>17.996561898241922</v>
      </c>
      <c r="T1266" s="19">
        <v>35.67175608149028</v>
      </c>
      <c r="U1266" s="19">
        <v>62.804772169930061</v>
      </c>
      <c r="V1266" s="19">
        <v>101.3023940608567</v>
      </c>
      <c r="W1266" s="19">
        <v>152.47123590301115</v>
      </c>
      <c r="X1266" s="19">
        <v>216.53701173812283</v>
      </c>
      <c r="Y1266" s="19">
        <v>292.07550503251332</v>
      </c>
      <c r="Z1266" s="19">
        <v>375.4547071125686</v>
      </c>
      <c r="AA1266" s="19">
        <v>460.47190905124722</v>
      </c>
      <c r="AB1266" s="19">
        <v>538.44437362771077</v>
      </c>
      <c r="AC1266" s="19">
        <v>599.02499760822116</v>
      </c>
      <c r="AD1266" s="19">
        <v>631.89674617215439</v>
      </c>
      <c r="AE1266" s="19">
        <v>629.20457018279342</v>
      </c>
      <c r="AF1266" s="19">
        <v>588.14895884121813</v>
      </c>
      <c r="AG1266" s="19">
        <v>512.77057895243877</v>
      </c>
      <c r="AH1266" s="19">
        <v>420.49342320293101</v>
      </c>
      <c r="AI1266" s="19">
        <v>96.857354340450911</v>
      </c>
      <c r="AJ1266" s="19">
        <v>0</v>
      </c>
      <c r="AK1266" s="19">
        <v>0</v>
      </c>
      <c r="AL1266" s="19">
        <v>0</v>
      </c>
      <c r="AM1266" s="19">
        <v>0</v>
      </c>
      <c r="AN1266" s="19">
        <v>0</v>
      </c>
      <c r="AO1266" s="19">
        <v>0</v>
      </c>
      <c r="AP1266" s="19">
        <v>0</v>
      </c>
      <c r="AQ1266" s="19">
        <v>0</v>
      </c>
      <c r="AR1266" s="19">
        <v>5731.6268559759001</v>
      </c>
    </row>
    <row r="1267" spans="1:44" x14ac:dyDescent="0.25">
      <c r="A1267" t="s">
        <v>435</v>
      </c>
      <c r="B1267" t="s">
        <v>464</v>
      </c>
      <c r="C1267" t="s">
        <v>47</v>
      </c>
      <c r="D1267" t="s">
        <v>465</v>
      </c>
      <c r="E1267" t="s">
        <v>134</v>
      </c>
      <c r="F1267" t="s">
        <v>465</v>
      </c>
      <c r="G1267" t="s">
        <v>33</v>
      </c>
      <c r="H1267" t="s">
        <v>451</v>
      </c>
      <c r="I1267" t="s">
        <v>135</v>
      </c>
      <c r="J1267" t="s">
        <v>39</v>
      </c>
      <c r="K1267" t="s">
        <v>33</v>
      </c>
      <c r="L1267">
        <v>0.1063578652050048</v>
      </c>
      <c r="M1267">
        <v>1</v>
      </c>
      <c r="N1267" s="2">
        <v>3.0509798266011336</v>
      </c>
      <c r="O1267" s="2">
        <v>2.8779545327574692</v>
      </c>
      <c r="P1267" s="1">
        <v>-0.5558095120879909</v>
      </c>
      <c r="Q1267" s="1">
        <v>0.51093654783892051</v>
      </c>
      <c r="R1267" s="1">
        <v>-0.52509153328775149</v>
      </c>
      <c r="S1267" s="19">
        <v>34.42216739498658</v>
      </c>
      <c r="T1267" s="19">
        <v>68.277246316700527</v>
      </c>
      <c r="U1267" s="19">
        <v>120.2948380861537</v>
      </c>
      <c r="V1267" s="19">
        <v>194.16765981065575</v>
      </c>
      <c r="W1267" s="19">
        <v>292.44752329126464</v>
      </c>
      <c r="X1267" s="19">
        <v>415.61862960392034</v>
      </c>
      <c r="Y1267" s="19">
        <v>560.99739301921579</v>
      </c>
      <c r="Z1267" s="19">
        <v>721.64914279569803</v>
      </c>
      <c r="AA1267" s="19">
        <v>885.67528911964223</v>
      </c>
      <c r="AB1267" s="19">
        <v>1036.3705646377862</v>
      </c>
      <c r="AC1267" s="19">
        <v>1153.7773584660349</v>
      </c>
      <c r="AD1267" s="19">
        <v>1217.940367458644</v>
      </c>
      <c r="AE1267" s="19">
        <v>1213.5973352744272</v>
      </c>
      <c r="AF1267" s="19">
        <v>1135.2014002578871</v>
      </c>
      <c r="AG1267" s="19">
        <v>990.40203560461839</v>
      </c>
      <c r="AH1267" s="19">
        <v>812.73782575542975</v>
      </c>
      <c r="AI1267" s="19">
        <v>294.36604864885879</v>
      </c>
      <c r="AJ1267" s="19">
        <v>0</v>
      </c>
      <c r="AK1267" s="19">
        <v>0</v>
      </c>
      <c r="AL1267" s="19">
        <v>0</v>
      </c>
      <c r="AM1267" s="19">
        <v>0</v>
      </c>
      <c r="AN1267" s="19">
        <v>0</v>
      </c>
      <c r="AO1267" s="19">
        <v>0</v>
      </c>
      <c r="AP1267" s="19">
        <v>0</v>
      </c>
      <c r="AQ1267" s="19">
        <v>0</v>
      </c>
      <c r="AR1267" s="19">
        <v>11147.942825541924</v>
      </c>
    </row>
    <row r="1268" spans="1:44" x14ac:dyDescent="0.25">
      <c r="A1268" t="s">
        <v>435</v>
      </c>
      <c r="B1268" t="s">
        <v>464</v>
      </c>
      <c r="C1268" t="s">
        <v>47</v>
      </c>
      <c r="D1268" t="s">
        <v>465</v>
      </c>
      <c r="E1268" t="s">
        <v>134</v>
      </c>
      <c r="F1268" t="s">
        <v>465</v>
      </c>
      <c r="G1268" t="s">
        <v>33</v>
      </c>
      <c r="H1268" t="s">
        <v>452</v>
      </c>
      <c r="I1268" t="s">
        <v>135</v>
      </c>
      <c r="J1268" t="s">
        <v>39</v>
      </c>
      <c r="K1268" t="s">
        <v>33</v>
      </c>
      <c r="L1268">
        <v>0.1063578652050048</v>
      </c>
      <c r="M1268">
        <v>1</v>
      </c>
      <c r="N1268" s="2">
        <v>3.0509798266011336</v>
      </c>
      <c r="O1268" s="2">
        <v>2.8779545327574692</v>
      </c>
      <c r="P1268" s="1">
        <v>-0.5558095120879909</v>
      </c>
      <c r="Q1268" s="1">
        <v>0.51093654783892051</v>
      </c>
      <c r="R1268" s="1">
        <v>-0.52509153328775149</v>
      </c>
      <c r="S1268" s="19">
        <v>342.23607184846423</v>
      </c>
      <c r="T1268" s="19">
        <v>678.83397079350937</v>
      </c>
      <c r="U1268" s="19">
        <v>1196.0093150975836</v>
      </c>
      <c r="V1268" s="19">
        <v>1930.4762658055645</v>
      </c>
      <c r="W1268" s="19">
        <v>2907.6057426759162</v>
      </c>
      <c r="X1268" s="19">
        <v>4132.2118259004246</v>
      </c>
      <c r="Y1268" s="19">
        <v>5577.6134576606692</v>
      </c>
      <c r="Z1268" s="19">
        <v>7174.8639488396002</v>
      </c>
      <c r="AA1268" s="19">
        <v>8805.6637574107499</v>
      </c>
      <c r="AB1268" s="19">
        <v>10303.923833473333</v>
      </c>
      <c r="AC1268" s="19">
        <v>11471.219299416432</v>
      </c>
      <c r="AD1268" s="19">
        <v>12109.148221893478</v>
      </c>
      <c r="AE1268" s="19">
        <v>12065.968422737247</v>
      </c>
      <c r="AF1268" s="19">
        <v>11286.531249560992</v>
      </c>
      <c r="AG1268" s="19">
        <v>9846.8901834872286</v>
      </c>
      <c r="AH1268" s="19">
        <v>8080.496435262552</v>
      </c>
      <c r="AI1268" s="19">
        <v>2926.680328380874</v>
      </c>
      <c r="AJ1268" s="19">
        <v>0</v>
      </c>
      <c r="AK1268" s="19">
        <v>0</v>
      </c>
      <c r="AL1268" s="19">
        <v>0</v>
      </c>
      <c r="AM1268" s="19">
        <v>0</v>
      </c>
      <c r="AN1268" s="19">
        <v>0</v>
      </c>
      <c r="AO1268" s="19">
        <v>0</v>
      </c>
      <c r="AP1268" s="19">
        <v>0</v>
      </c>
      <c r="AQ1268" s="19">
        <v>0</v>
      </c>
      <c r="AR1268" s="19">
        <v>110836.37233024462</v>
      </c>
    </row>
    <row r="1269" spans="1:44" x14ac:dyDescent="0.25">
      <c r="A1269" t="s">
        <v>435</v>
      </c>
      <c r="B1269" t="s">
        <v>464</v>
      </c>
      <c r="C1269" t="s">
        <v>47</v>
      </c>
      <c r="D1269" t="s">
        <v>465</v>
      </c>
      <c r="E1269" t="s">
        <v>134</v>
      </c>
      <c r="F1269" t="s">
        <v>465</v>
      </c>
      <c r="G1269" t="s">
        <v>33</v>
      </c>
      <c r="H1269" t="s">
        <v>453</v>
      </c>
      <c r="I1269" t="s">
        <v>135</v>
      </c>
      <c r="J1269" t="s">
        <v>39</v>
      </c>
      <c r="K1269" t="s">
        <v>33</v>
      </c>
      <c r="L1269">
        <v>0.1063578652050048</v>
      </c>
      <c r="M1269">
        <v>1</v>
      </c>
      <c r="N1269" s="2">
        <v>3.0509798266011336</v>
      </c>
      <c r="O1269" s="2">
        <v>2.8779545327574692</v>
      </c>
      <c r="P1269" s="1">
        <v>-0.5558095120879909</v>
      </c>
      <c r="Q1269" s="1">
        <v>0.51093654783892051</v>
      </c>
      <c r="R1269" s="1">
        <v>-0.52509153328775149</v>
      </c>
      <c r="S1269" s="19">
        <v>48.159556683455165</v>
      </c>
      <c r="T1269" s="19">
        <v>95.525708083631031</v>
      </c>
      <c r="U1269" s="19">
        <v>168.30276859268753</v>
      </c>
      <c r="V1269" s="19">
        <v>271.65716532152607</v>
      </c>
      <c r="W1269" s="19">
        <v>409.15910126371131</v>
      </c>
      <c r="X1269" s="19">
        <v>581.48601514340407</v>
      </c>
      <c r="Y1269" s="19">
        <v>784.88334096923973</v>
      </c>
      <c r="Z1269" s="19">
        <v>1009.6488811770188</v>
      </c>
      <c r="AA1269" s="19">
        <v>1239.1354908030942</v>
      </c>
      <c r="AB1269" s="19">
        <v>1449.9710718392246</v>
      </c>
      <c r="AC1269" s="19">
        <v>1614.2332194696426</v>
      </c>
      <c r="AD1269" s="19">
        <v>1704.0027576019415</v>
      </c>
      <c r="AE1269" s="19">
        <v>1697.9264840700107</v>
      </c>
      <c r="AF1269" s="19">
        <v>1588.2438649351266</v>
      </c>
      <c r="AG1269" s="19">
        <v>1385.6571675395692</v>
      </c>
      <c r="AH1269" s="19">
        <v>1137.0897404315522</v>
      </c>
      <c r="AI1269" s="19">
        <v>411.84328235107535</v>
      </c>
      <c r="AJ1269" s="19">
        <v>0</v>
      </c>
      <c r="AK1269" s="19">
        <v>0</v>
      </c>
      <c r="AL1269" s="19">
        <v>0</v>
      </c>
      <c r="AM1269" s="19">
        <v>0</v>
      </c>
      <c r="AN1269" s="19">
        <v>0</v>
      </c>
      <c r="AO1269" s="19">
        <v>0</v>
      </c>
      <c r="AP1269" s="19">
        <v>0</v>
      </c>
      <c r="AQ1269" s="19">
        <v>0</v>
      </c>
      <c r="AR1269" s="19">
        <v>15596.925616275912</v>
      </c>
    </row>
    <row r="1270" spans="1:44" x14ac:dyDescent="0.25">
      <c r="A1270" t="s">
        <v>435</v>
      </c>
      <c r="B1270" t="s">
        <v>464</v>
      </c>
      <c r="C1270" t="s">
        <v>47</v>
      </c>
      <c r="D1270" t="s">
        <v>465</v>
      </c>
      <c r="E1270" t="s">
        <v>134</v>
      </c>
      <c r="F1270" t="s">
        <v>465</v>
      </c>
      <c r="G1270" t="s">
        <v>33</v>
      </c>
      <c r="H1270" t="s">
        <v>454</v>
      </c>
      <c r="I1270" t="s">
        <v>135</v>
      </c>
      <c r="J1270" t="s">
        <v>39</v>
      </c>
      <c r="K1270" t="s">
        <v>33</v>
      </c>
      <c r="L1270">
        <v>0.1063578652050048</v>
      </c>
      <c r="M1270">
        <v>1</v>
      </c>
      <c r="N1270" s="2">
        <v>3.0509798266011336</v>
      </c>
      <c r="O1270" s="2">
        <v>2.8779545327574692</v>
      </c>
      <c r="P1270" s="1">
        <v>-0.5558095120879909</v>
      </c>
      <c r="Q1270" s="1">
        <v>0.51093654783892051</v>
      </c>
      <c r="R1270" s="1">
        <v>-0.52509153328775149</v>
      </c>
      <c r="S1270" s="19">
        <v>23.38893061095261</v>
      </c>
      <c r="T1270" s="19">
        <v>46.392539960769973</v>
      </c>
      <c r="U1270" s="19">
        <v>81.737084959461654</v>
      </c>
      <c r="V1270" s="19">
        <v>131.93166688463398</v>
      </c>
      <c r="W1270" s="19">
        <v>198.71017275340287</v>
      </c>
      <c r="X1270" s="19">
        <v>282.40160408496257</v>
      </c>
      <c r="Y1270" s="19">
        <v>381.1825370462517</v>
      </c>
      <c r="Z1270" s="19">
        <v>490.34105065563949</v>
      </c>
      <c r="AA1270" s="19">
        <v>601.79237534216827</v>
      </c>
      <c r="AB1270" s="19">
        <v>704.18573430902939</v>
      </c>
      <c r="AC1270" s="19">
        <v>783.96047140194321</v>
      </c>
      <c r="AD1270" s="19">
        <v>827.55749851234657</v>
      </c>
      <c r="AE1270" s="19">
        <v>824.60652575016752</v>
      </c>
      <c r="AF1270" s="19">
        <v>771.33861082655142</v>
      </c>
      <c r="AG1270" s="19">
        <v>672.95136363425013</v>
      </c>
      <c r="AH1270" s="19">
        <v>552.23334409380675</v>
      </c>
      <c r="AI1270" s="19">
        <v>200.01375878124361</v>
      </c>
      <c r="AJ1270" s="19">
        <v>0</v>
      </c>
      <c r="AK1270" s="19">
        <v>0</v>
      </c>
      <c r="AL1270" s="19">
        <v>0</v>
      </c>
      <c r="AM1270" s="19">
        <v>0</v>
      </c>
      <c r="AN1270" s="19">
        <v>0</v>
      </c>
      <c r="AO1270" s="19">
        <v>0</v>
      </c>
      <c r="AP1270" s="19">
        <v>0</v>
      </c>
      <c r="AQ1270" s="19">
        <v>0</v>
      </c>
      <c r="AR1270" s="19">
        <v>7574.7252696075811</v>
      </c>
    </row>
    <row r="1271" spans="1:44" x14ac:dyDescent="0.25">
      <c r="A1271" t="s">
        <v>435</v>
      </c>
      <c r="B1271" t="s">
        <v>464</v>
      </c>
      <c r="C1271" t="s">
        <v>47</v>
      </c>
      <c r="D1271" t="s">
        <v>465</v>
      </c>
      <c r="E1271" t="s">
        <v>134</v>
      </c>
      <c r="F1271" t="s">
        <v>465</v>
      </c>
      <c r="G1271" t="s">
        <v>33</v>
      </c>
      <c r="H1271" t="s">
        <v>455</v>
      </c>
      <c r="I1271" t="s">
        <v>135</v>
      </c>
      <c r="J1271" t="s">
        <v>39</v>
      </c>
      <c r="K1271" t="s">
        <v>33</v>
      </c>
      <c r="L1271">
        <v>0.1063578652050048</v>
      </c>
      <c r="M1271">
        <v>1</v>
      </c>
      <c r="N1271" s="2">
        <v>3.0509798266011336</v>
      </c>
      <c r="O1271" s="2">
        <v>2.8779545327574692</v>
      </c>
      <c r="P1271" s="1">
        <v>-0.5558095120879909</v>
      </c>
      <c r="Q1271" s="1">
        <v>0.51093654783892051</v>
      </c>
      <c r="R1271" s="1">
        <v>-0.52509153328775149</v>
      </c>
      <c r="S1271" s="19">
        <v>17.459908286639706</v>
      </c>
      <c r="T1271" s="19">
        <v>34.632173072504578</v>
      </c>
      <c r="U1271" s="19">
        <v>61.016984091661833</v>
      </c>
      <c r="V1271" s="19">
        <v>98.487393127350401</v>
      </c>
      <c r="W1271" s="19">
        <v>148.33775214468596</v>
      </c>
      <c r="X1271" s="19">
        <v>210.81366178470867</v>
      </c>
      <c r="Y1271" s="19">
        <v>284.55393057515795</v>
      </c>
      <c r="Z1271" s="19">
        <v>366.04109508165845</v>
      </c>
      <c r="AA1271" s="19">
        <v>449.23985007475994</v>
      </c>
      <c r="AB1271" s="19">
        <v>525.67680593477644</v>
      </c>
      <c r="AC1271" s="19">
        <v>585.22889133798071</v>
      </c>
      <c r="AD1271" s="19">
        <v>617.77420551157229</v>
      </c>
      <c r="AE1271" s="19">
        <v>615.57129531268151</v>
      </c>
      <c r="AF1271" s="19">
        <v>575.80663378722727</v>
      </c>
      <c r="AG1271" s="19">
        <v>502.36025262826575</v>
      </c>
      <c r="AH1271" s="19">
        <v>412.24388156451522</v>
      </c>
      <c r="AI1271" s="19">
        <v>149.31088310430323</v>
      </c>
      <c r="AJ1271" s="19">
        <v>0</v>
      </c>
      <c r="AK1271" s="19">
        <v>0</v>
      </c>
      <c r="AL1271" s="19">
        <v>0</v>
      </c>
      <c r="AM1271" s="19">
        <v>0</v>
      </c>
      <c r="AN1271" s="19">
        <v>0</v>
      </c>
      <c r="AO1271" s="19">
        <v>0</v>
      </c>
      <c r="AP1271" s="19">
        <v>0</v>
      </c>
      <c r="AQ1271" s="19">
        <v>0</v>
      </c>
      <c r="AR1271" s="19">
        <v>5654.555597420449</v>
      </c>
    </row>
    <row r="1272" spans="1:44" x14ac:dyDescent="0.25">
      <c r="A1272" t="s">
        <v>435</v>
      </c>
      <c r="B1272" t="s">
        <v>464</v>
      </c>
      <c r="C1272" t="s">
        <v>47</v>
      </c>
      <c r="D1272" t="s">
        <v>465</v>
      </c>
      <c r="E1272" t="s">
        <v>134</v>
      </c>
      <c r="F1272" t="s">
        <v>465</v>
      </c>
      <c r="G1272" t="s">
        <v>33</v>
      </c>
      <c r="H1272" t="s">
        <v>456</v>
      </c>
      <c r="I1272" t="s">
        <v>135</v>
      </c>
      <c r="J1272" t="s">
        <v>39</v>
      </c>
      <c r="K1272" t="s">
        <v>33</v>
      </c>
      <c r="L1272">
        <v>0.1063578652050048</v>
      </c>
      <c r="M1272">
        <v>1</v>
      </c>
      <c r="N1272" s="2">
        <v>3.0509798266011336</v>
      </c>
      <c r="O1272" s="2">
        <v>2.8779545327574692</v>
      </c>
      <c r="P1272" s="1">
        <v>-0.5558095120879909</v>
      </c>
      <c r="Q1272" s="1">
        <v>0.51093654783892051</v>
      </c>
      <c r="R1272" s="1">
        <v>-0.52509153328775149</v>
      </c>
      <c r="S1272" s="19">
        <v>114.28556821001884</v>
      </c>
      <c r="T1272" s="19">
        <v>226.6883372444473</v>
      </c>
      <c r="U1272" s="19">
        <v>399.3927449615104</v>
      </c>
      <c r="V1272" s="19">
        <v>644.65903831210755</v>
      </c>
      <c r="W1272" s="19">
        <v>970.95952696525228</v>
      </c>
      <c r="X1272" s="19">
        <v>1379.9018143718465</v>
      </c>
      <c r="Y1272" s="19">
        <v>1862.5760862135087</v>
      </c>
      <c r="Z1272" s="19">
        <v>2395.958435339297</v>
      </c>
      <c r="AA1272" s="19">
        <v>2940.5441704217974</v>
      </c>
      <c r="AB1272" s="19">
        <v>3440.869875992119</v>
      </c>
      <c r="AC1272" s="19">
        <v>3830.6739807252857</v>
      </c>
      <c r="AD1272" s="19">
        <v>4043.7025752539648</v>
      </c>
      <c r="AE1272" s="19">
        <v>4029.2832071987191</v>
      </c>
      <c r="AF1272" s="19">
        <v>3768.9996557328127</v>
      </c>
      <c r="AG1272" s="19">
        <v>3288.2490546460635</v>
      </c>
      <c r="AH1272" s="19">
        <v>2698.3833747715357</v>
      </c>
      <c r="AI1272" s="19">
        <v>977.32925255812575</v>
      </c>
      <c r="AJ1272" s="19">
        <v>0</v>
      </c>
      <c r="AK1272" s="19">
        <v>0</v>
      </c>
      <c r="AL1272" s="19">
        <v>0</v>
      </c>
      <c r="AM1272" s="19">
        <v>0</v>
      </c>
      <c r="AN1272" s="19">
        <v>0</v>
      </c>
      <c r="AO1272" s="19">
        <v>0</v>
      </c>
      <c r="AP1272" s="19">
        <v>0</v>
      </c>
      <c r="AQ1272" s="19">
        <v>0</v>
      </c>
      <c r="AR1272" s="19">
        <v>37012.45669891841</v>
      </c>
    </row>
    <row r="1273" spans="1:44" x14ac:dyDescent="0.25">
      <c r="A1273" t="s">
        <v>435</v>
      </c>
      <c r="B1273" t="s">
        <v>464</v>
      </c>
      <c r="C1273" t="s">
        <v>47</v>
      </c>
      <c r="D1273" t="s">
        <v>465</v>
      </c>
      <c r="E1273" t="s">
        <v>134</v>
      </c>
      <c r="F1273" t="s">
        <v>465</v>
      </c>
      <c r="G1273" t="s">
        <v>33</v>
      </c>
      <c r="H1273" t="s">
        <v>457</v>
      </c>
      <c r="I1273" t="s">
        <v>135</v>
      </c>
      <c r="J1273" t="s">
        <v>39</v>
      </c>
      <c r="K1273" t="s">
        <v>33</v>
      </c>
      <c r="L1273">
        <v>0.1063578652050048</v>
      </c>
      <c r="M1273">
        <v>1</v>
      </c>
      <c r="N1273" s="2">
        <v>3.0509798266011336</v>
      </c>
      <c r="O1273" s="2">
        <v>2.8779545327574692</v>
      </c>
      <c r="P1273" s="1">
        <v>-0.5558095120879909</v>
      </c>
      <c r="Q1273" s="1">
        <v>0.51093654783892051</v>
      </c>
      <c r="R1273" s="1">
        <v>-0.52509153328775149</v>
      </c>
      <c r="S1273" s="19">
        <v>13.389462309508096</v>
      </c>
      <c r="T1273" s="19">
        <v>26.558339736840921</v>
      </c>
      <c r="U1273" s="19">
        <v>46.792033229654272</v>
      </c>
      <c r="V1273" s="19">
        <v>75.526928125357173</v>
      </c>
      <c r="W1273" s="19">
        <v>113.7556228137942</v>
      </c>
      <c r="X1273" s="19">
        <v>161.66646081157575</v>
      </c>
      <c r="Y1273" s="19">
        <v>218.2155865832288</v>
      </c>
      <c r="Z1273" s="19">
        <v>280.70556648211294</v>
      </c>
      <c r="AA1273" s="19">
        <v>344.50811205622409</v>
      </c>
      <c r="AB1273" s="19">
        <v>403.1252435290375</v>
      </c>
      <c r="AC1273" s="19">
        <v>448.7938913746255</v>
      </c>
      <c r="AD1273" s="19">
        <v>473.75188372627207</v>
      </c>
      <c r="AE1273" s="19">
        <v>472.06254019736866</v>
      </c>
      <c r="AF1273" s="19">
        <v>441.56825420201631</v>
      </c>
      <c r="AG1273" s="19">
        <v>385.24450174277894</v>
      </c>
      <c r="AH1273" s="19">
        <v>316.13705088915498</v>
      </c>
      <c r="AI1273" s="19">
        <v>114.5018867741839</v>
      </c>
      <c r="AJ1273" s="19">
        <v>0</v>
      </c>
      <c r="AK1273" s="19">
        <v>0</v>
      </c>
      <c r="AL1273" s="19">
        <v>0</v>
      </c>
      <c r="AM1273" s="19">
        <v>0</v>
      </c>
      <c r="AN1273" s="19">
        <v>0</v>
      </c>
      <c r="AO1273" s="19">
        <v>0</v>
      </c>
      <c r="AP1273" s="19">
        <v>0</v>
      </c>
      <c r="AQ1273" s="19">
        <v>0</v>
      </c>
      <c r="AR1273" s="19">
        <v>4336.3033645837331</v>
      </c>
    </row>
    <row r="1274" spans="1:44" x14ac:dyDescent="0.25">
      <c r="A1274" t="s">
        <v>435</v>
      </c>
      <c r="B1274" t="s">
        <v>464</v>
      </c>
      <c r="C1274" t="s">
        <v>47</v>
      </c>
      <c r="D1274" t="s">
        <v>465</v>
      </c>
      <c r="E1274" t="s">
        <v>134</v>
      </c>
      <c r="F1274" t="s">
        <v>465</v>
      </c>
      <c r="G1274" t="s">
        <v>33</v>
      </c>
      <c r="H1274" t="s">
        <v>457</v>
      </c>
      <c r="I1274" t="s">
        <v>256</v>
      </c>
      <c r="J1274" t="s">
        <v>39</v>
      </c>
      <c r="K1274" t="s">
        <v>33</v>
      </c>
      <c r="L1274">
        <v>0.1063578652050048</v>
      </c>
      <c r="M1274">
        <v>1</v>
      </c>
      <c r="N1274" s="2">
        <v>2.8053992519779527</v>
      </c>
      <c r="O1274" s="2">
        <v>2.6463011728329868</v>
      </c>
      <c r="P1274" s="1">
        <v>-0.43033342107372458</v>
      </c>
      <c r="Q1274" s="1">
        <v>1.3498045353129324</v>
      </c>
      <c r="R1274" s="1">
        <v>-0.39961544227348522</v>
      </c>
      <c r="S1274" s="19">
        <v>36.821919771098898</v>
      </c>
      <c r="T1274" s="19">
        <v>73.037216315183883</v>
      </c>
      <c r="U1274" s="19">
        <v>128.68123108165514</v>
      </c>
      <c r="V1274" s="19">
        <v>207.70412012845236</v>
      </c>
      <c r="W1274" s="19">
        <v>312.8355956300386</v>
      </c>
      <c r="X1274" s="19">
        <v>444.59361489475975</v>
      </c>
      <c r="Y1274" s="19">
        <v>600.10750515837049</v>
      </c>
      <c r="Z1274" s="19">
        <v>771.9591428974237</v>
      </c>
      <c r="AA1274" s="19">
        <v>947.42042431523691</v>
      </c>
      <c r="AB1274" s="19">
        <v>1108.6214690182176</v>
      </c>
      <c r="AC1274" s="19">
        <v>1234.2133149156191</v>
      </c>
      <c r="AD1274" s="19">
        <v>1302.8494685397593</v>
      </c>
      <c r="AE1274" s="19">
        <v>1298.2036604819607</v>
      </c>
      <c r="AF1274" s="19">
        <v>1214.3423278576888</v>
      </c>
      <c r="AG1274" s="19">
        <v>1059.4482293255523</v>
      </c>
      <c r="AH1274" s="19">
        <v>869.39810243507338</v>
      </c>
      <c r="AI1274" s="19">
        <v>314.88787159470201</v>
      </c>
      <c r="AJ1274" s="19">
        <v>0</v>
      </c>
      <c r="AK1274" s="19">
        <v>0</v>
      </c>
      <c r="AL1274" s="19">
        <v>0</v>
      </c>
      <c r="AM1274" s="19">
        <v>0</v>
      </c>
      <c r="AN1274" s="19">
        <v>0</v>
      </c>
      <c r="AO1274" s="19">
        <v>0</v>
      </c>
      <c r="AP1274" s="19">
        <v>0</v>
      </c>
      <c r="AQ1274" s="19">
        <v>0</v>
      </c>
      <c r="AR1274" s="19">
        <v>11925.125214360793</v>
      </c>
    </row>
    <row r="1275" spans="1:44" x14ac:dyDescent="0.25">
      <c r="A1275" t="s">
        <v>435</v>
      </c>
      <c r="B1275" t="s">
        <v>464</v>
      </c>
      <c r="C1275" t="s">
        <v>47</v>
      </c>
      <c r="D1275" t="s">
        <v>465</v>
      </c>
      <c r="E1275" t="s">
        <v>134</v>
      </c>
      <c r="F1275" t="s">
        <v>465</v>
      </c>
      <c r="G1275" t="s">
        <v>33</v>
      </c>
      <c r="H1275" t="s">
        <v>452</v>
      </c>
      <c r="I1275" t="s">
        <v>135</v>
      </c>
      <c r="J1275" t="s">
        <v>40</v>
      </c>
      <c r="K1275" t="s">
        <v>33</v>
      </c>
      <c r="L1275">
        <v>0.1063578652050048</v>
      </c>
      <c r="M1275">
        <v>1</v>
      </c>
      <c r="N1275" s="2">
        <v>3.0509798266011336</v>
      </c>
      <c r="O1275" s="2">
        <v>1.7054155637884918</v>
      </c>
      <c r="P1275" s="1">
        <v>-0.5558095120879909</v>
      </c>
      <c r="Q1275" s="1">
        <v>1.3498045353129324</v>
      </c>
      <c r="R1275" s="1">
        <v>-0.38209153328775169</v>
      </c>
      <c r="S1275" s="19">
        <v>25.059421219548671</v>
      </c>
      <c r="T1275" s="19">
        <v>49.70600065730531</v>
      </c>
      <c r="U1275" s="19">
        <v>87.57493343017623</v>
      </c>
      <c r="V1275" s="19">
        <v>141.35452653448905</v>
      </c>
      <c r="W1275" s="19">
        <v>212.90250514082797</v>
      </c>
      <c r="X1275" s="19">
        <v>302.57136880500843</v>
      </c>
      <c r="Y1275" s="19">
        <v>408.40746061750718</v>
      </c>
      <c r="Z1275" s="19">
        <v>525.36232348569331</v>
      </c>
      <c r="AA1275" s="19">
        <v>644.77375521179988</v>
      </c>
      <c r="AB1275" s="19">
        <v>754.48028070952603</v>
      </c>
      <c r="AC1275" s="19">
        <v>839.95271092632004</v>
      </c>
      <c r="AD1275" s="19">
        <v>886.66353684873616</v>
      </c>
      <c r="AE1275" s="19">
        <v>883.50179890163088</v>
      </c>
      <c r="AF1275" s="19">
        <v>826.42936836763795</v>
      </c>
      <c r="AG1275" s="19">
        <v>721.01508025695477</v>
      </c>
      <c r="AH1275" s="19">
        <v>591.67510525882187</v>
      </c>
      <c r="AI1275" s="19">
        <v>214.29919624701964</v>
      </c>
      <c r="AJ1275" s="19">
        <v>0</v>
      </c>
      <c r="AK1275" s="19">
        <v>0</v>
      </c>
      <c r="AL1275" s="19">
        <v>0</v>
      </c>
      <c r="AM1275" s="19">
        <v>0</v>
      </c>
      <c r="AN1275" s="19">
        <v>0</v>
      </c>
      <c r="AO1275" s="19">
        <v>0</v>
      </c>
      <c r="AP1275" s="19">
        <v>0</v>
      </c>
      <c r="AQ1275" s="19">
        <v>0</v>
      </c>
      <c r="AR1275" s="19">
        <v>8115.7293726190028</v>
      </c>
    </row>
    <row r="1276" spans="1:44" x14ac:dyDescent="0.25">
      <c r="A1276" t="s">
        <v>435</v>
      </c>
      <c r="B1276" t="s">
        <v>464</v>
      </c>
      <c r="C1276" t="s">
        <v>47</v>
      </c>
      <c r="D1276" t="s">
        <v>465</v>
      </c>
      <c r="E1276" t="s">
        <v>134</v>
      </c>
      <c r="F1276" t="s">
        <v>465</v>
      </c>
      <c r="G1276" t="s">
        <v>33</v>
      </c>
      <c r="H1276" t="s">
        <v>453</v>
      </c>
      <c r="I1276" t="s">
        <v>135</v>
      </c>
      <c r="J1276" t="s">
        <v>40</v>
      </c>
      <c r="K1276" t="s">
        <v>33</v>
      </c>
      <c r="L1276">
        <v>0.1063578652050048</v>
      </c>
      <c r="M1276">
        <v>1</v>
      </c>
      <c r="N1276" s="2">
        <v>3.0509798266011336</v>
      </c>
      <c r="O1276" s="2">
        <v>1.7054155637884918</v>
      </c>
      <c r="P1276" s="1">
        <v>-0.5558095120879909</v>
      </c>
      <c r="Q1276" s="1">
        <v>1.3498045353129324</v>
      </c>
      <c r="R1276" s="1">
        <v>-0.38209153328775169</v>
      </c>
      <c r="S1276" s="19">
        <v>980.75089358339699</v>
      </c>
      <c r="T1276" s="19">
        <v>1945.3443929934108</v>
      </c>
      <c r="U1276" s="19">
        <v>3427.4213065284325</v>
      </c>
      <c r="V1276" s="19">
        <v>5532.1939400025349</v>
      </c>
      <c r="W1276" s="19">
        <v>8332.3681075333079</v>
      </c>
      <c r="X1276" s="19">
        <v>11841.739588812739</v>
      </c>
      <c r="Y1276" s="19">
        <v>15983.848088011033</v>
      </c>
      <c r="Z1276" s="19">
        <v>20561.11207435633</v>
      </c>
      <c r="AA1276" s="19">
        <v>25234.518827984495</v>
      </c>
      <c r="AB1276" s="19">
        <v>29528.104540566354</v>
      </c>
      <c r="AC1276" s="19">
        <v>32873.240151538572</v>
      </c>
      <c r="AD1276" s="19">
        <v>34701.362352050157</v>
      </c>
      <c r="AE1276" s="19">
        <v>34577.621372969566</v>
      </c>
      <c r="AF1276" s="19">
        <v>32343.976918263434</v>
      </c>
      <c r="AG1276" s="19">
        <v>28218.376556018826</v>
      </c>
      <c r="AH1276" s="19">
        <v>23156.39627546398</v>
      </c>
      <c r="AI1276" s="19">
        <v>8387.0304254876974</v>
      </c>
      <c r="AJ1276" s="19">
        <v>0</v>
      </c>
      <c r="AK1276" s="19">
        <v>0</v>
      </c>
      <c r="AL1276" s="19">
        <v>0</v>
      </c>
      <c r="AM1276" s="19">
        <v>0</v>
      </c>
      <c r="AN1276" s="19">
        <v>0</v>
      </c>
      <c r="AO1276" s="19">
        <v>0</v>
      </c>
      <c r="AP1276" s="19">
        <v>0</v>
      </c>
      <c r="AQ1276" s="19">
        <v>0</v>
      </c>
      <c r="AR1276" s="19">
        <v>317625.4058121643</v>
      </c>
    </row>
    <row r="1277" spans="1:44" x14ac:dyDescent="0.25">
      <c r="A1277" t="s">
        <v>435</v>
      </c>
      <c r="B1277" t="s">
        <v>464</v>
      </c>
      <c r="C1277" t="s">
        <v>47</v>
      </c>
      <c r="D1277" t="s">
        <v>465</v>
      </c>
      <c r="E1277" t="s">
        <v>134</v>
      </c>
      <c r="F1277" t="s">
        <v>465</v>
      </c>
      <c r="G1277" t="s">
        <v>33</v>
      </c>
      <c r="H1277" t="s">
        <v>456</v>
      </c>
      <c r="I1277" t="s">
        <v>135</v>
      </c>
      <c r="J1277" t="s">
        <v>40</v>
      </c>
      <c r="K1277" t="s">
        <v>33</v>
      </c>
      <c r="L1277">
        <v>0.1063578652050048</v>
      </c>
      <c r="M1277">
        <v>1</v>
      </c>
      <c r="N1277" s="2">
        <v>3.0509798266011336</v>
      </c>
      <c r="O1277" s="2">
        <v>1.7054155637884918</v>
      </c>
      <c r="P1277" s="1">
        <v>-0.5558095120879909</v>
      </c>
      <c r="Q1277" s="1">
        <v>1.3498045353129324</v>
      </c>
      <c r="R1277" s="1">
        <v>-0.38209153328775169</v>
      </c>
      <c r="S1277" s="19">
        <v>421.90960643678432</v>
      </c>
      <c r="T1277" s="19">
        <v>836.86845722161218</v>
      </c>
      <c r="U1277" s="19">
        <v>1474.4436981820561</v>
      </c>
      <c r="V1277" s="19">
        <v>2379.8966518708112</v>
      </c>
      <c r="W1277" s="19">
        <v>3584.5046605984603</v>
      </c>
      <c r="X1277" s="19">
        <v>5094.2025361693231</v>
      </c>
      <c r="Y1277" s="19">
        <v>6876.0977943321523</v>
      </c>
      <c r="Z1277" s="19">
        <v>8845.1927599050723</v>
      </c>
      <c r="AA1277" s="19">
        <v>10855.647419740262</v>
      </c>
      <c r="AB1277" s="19">
        <v>12702.706718946474</v>
      </c>
      <c r="AC1277" s="19">
        <v>14141.751901914688</v>
      </c>
      <c r="AD1277" s="19">
        <v>14928.192498790482</v>
      </c>
      <c r="AE1277" s="19">
        <v>14874.960319115124</v>
      </c>
      <c r="AF1277" s="19">
        <v>13914.06794678038</v>
      </c>
      <c r="AG1277" s="19">
        <v>12139.274330441898</v>
      </c>
      <c r="AH1277" s="19">
        <v>9961.6590746898528</v>
      </c>
      <c r="AI1277" s="19">
        <v>3608.0198643121953</v>
      </c>
      <c r="AJ1277" s="19">
        <v>0</v>
      </c>
      <c r="AK1277" s="19">
        <v>0</v>
      </c>
      <c r="AL1277" s="19">
        <v>0</v>
      </c>
      <c r="AM1277" s="19">
        <v>0</v>
      </c>
      <c r="AN1277" s="19">
        <v>0</v>
      </c>
      <c r="AO1277" s="19">
        <v>0</v>
      </c>
      <c r="AP1277" s="19">
        <v>0</v>
      </c>
      <c r="AQ1277" s="19">
        <v>0</v>
      </c>
      <c r="AR1277" s="19">
        <v>136639.39623944764</v>
      </c>
    </row>
    <row r="1278" spans="1:44" x14ac:dyDescent="0.25">
      <c r="A1278" t="s">
        <v>435</v>
      </c>
      <c r="B1278" t="s">
        <v>464</v>
      </c>
      <c r="C1278" t="s">
        <v>47</v>
      </c>
      <c r="D1278" t="s">
        <v>465</v>
      </c>
      <c r="E1278" t="s">
        <v>134</v>
      </c>
      <c r="F1278" t="s">
        <v>465</v>
      </c>
      <c r="G1278" t="s">
        <v>33</v>
      </c>
      <c r="H1278" t="s">
        <v>450</v>
      </c>
      <c r="I1278" t="s">
        <v>256</v>
      </c>
      <c r="J1278" t="s">
        <v>40</v>
      </c>
      <c r="K1278" t="s">
        <v>33</v>
      </c>
      <c r="L1278">
        <v>0.1063578652050048</v>
      </c>
      <c r="M1278">
        <v>1</v>
      </c>
      <c r="N1278" s="2">
        <v>2.8053992519779527</v>
      </c>
      <c r="O1278" s="2">
        <v>1.473762203864009</v>
      </c>
      <c r="P1278" s="1">
        <v>-0.43033342107372458</v>
      </c>
      <c r="Q1278" s="1">
        <v>1.3498045353129324</v>
      </c>
      <c r="R1278" s="1">
        <v>-0.25661544227348498</v>
      </c>
      <c r="S1278" s="19">
        <v>470.1062679655509</v>
      </c>
      <c r="T1278" s="19">
        <v>932.46776371157796</v>
      </c>
      <c r="U1278" s="19">
        <v>1642.8761367431598</v>
      </c>
      <c r="V1278" s="19">
        <v>2651.76311723144</v>
      </c>
      <c r="W1278" s="19">
        <v>3993.9790011668015</v>
      </c>
      <c r="X1278" s="19">
        <v>5676.1365610148205</v>
      </c>
      <c r="Y1278" s="19">
        <v>7661.585853802967</v>
      </c>
      <c r="Z1278" s="19">
        <v>9855.619531663624</v>
      </c>
      <c r="AA1278" s="19">
        <v>12095.737610583648</v>
      </c>
      <c r="AB1278" s="19">
        <v>14153.794930477829</v>
      </c>
      <c r="AC1278" s="19">
        <v>15757.228817922038</v>
      </c>
      <c r="AD1278" s="19">
        <v>16633.508116457695</v>
      </c>
      <c r="AE1278" s="19">
        <v>16574.194981745739</v>
      </c>
      <c r="AF1278" s="19">
        <v>15503.535484585103</v>
      </c>
      <c r="AG1278" s="19">
        <v>13525.999086605552</v>
      </c>
      <c r="AH1278" s="19">
        <v>11099.624893346152</v>
      </c>
      <c r="AI1278" s="19">
        <v>4020.180454012821</v>
      </c>
      <c r="AJ1278" s="19">
        <v>0</v>
      </c>
      <c r="AK1278" s="19">
        <v>0</v>
      </c>
      <c r="AL1278" s="19">
        <v>0</v>
      </c>
      <c r="AM1278" s="19">
        <v>0</v>
      </c>
      <c r="AN1278" s="19">
        <v>0</v>
      </c>
      <c r="AO1278" s="19">
        <v>0</v>
      </c>
      <c r="AP1278" s="19">
        <v>0</v>
      </c>
      <c r="AQ1278" s="19">
        <v>0</v>
      </c>
      <c r="AR1278" s="19">
        <v>152248.33860903652</v>
      </c>
    </row>
    <row r="1279" spans="1:44" x14ac:dyDescent="0.25">
      <c r="A1279" t="s">
        <v>435</v>
      </c>
      <c r="B1279" t="s">
        <v>464</v>
      </c>
      <c r="C1279" t="s">
        <v>47</v>
      </c>
      <c r="D1279" t="s">
        <v>465</v>
      </c>
      <c r="E1279" t="s">
        <v>134</v>
      </c>
      <c r="F1279" t="s">
        <v>465</v>
      </c>
      <c r="G1279" t="s">
        <v>33</v>
      </c>
      <c r="H1279" t="s">
        <v>452</v>
      </c>
      <c r="I1279" t="s">
        <v>256</v>
      </c>
      <c r="J1279" t="s">
        <v>40</v>
      </c>
      <c r="K1279" t="s">
        <v>33</v>
      </c>
      <c r="L1279">
        <v>0.1063578652050048</v>
      </c>
      <c r="M1279">
        <v>1</v>
      </c>
      <c r="N1279" s="2">
        <v>2.8053992519779527</v>
      </c>
      <c r="O1279" s="2">
        <v>1.473762203864009</v>
      </c>
      <c r="P1279" s="1">
        <v>-0.43033342107372458</v>
      </c>
      <c r="Q1279" s="1">
        <v>1.3498045353129324</v>
      </c>
      <c r="R1279" s="1">
        <v>-0.25661544227348498</v>
      </c>
      <c r="S1279" s="19">
        <v>151.11112830161744</v>
      </c>
      <c r="T1279" s="19">
        <v>299.73277422812009</v>
      </c>
      <c r="U1279" s="19">
        <v>528.086697838399</v>
      </c>
      <c r="V1279" s="19">
        <v>852.38369266504014</v>
      </c>
      <c r="W1279" s="19">
        <v>1283.8260504186876</v>
      </c>
      <c r="X1279" s="19">
        <v>1824.5393830653329</v>
      </c>
      <c r="Y1279" s="19">
        <v>2462.7429197194128</v>
      </c>
      <c r="Z1279" s="19">
        <v>3167.9938963295922</v>
      </c>
      <c r="AA1279" s="19">
        <v>3888.0582594349617</v>
      </c>
      <c r="AB1279" s="19">
        <v>4549.6009465054558</v>
      </c>
      <c r="AC1279" s="19">
        <v>5065.009313505785</v>
      </c>
      <c r="AD1279" s="19">
        <v>5346.6808472254243</v>
      </c>
      <c r="AE1279" s="19">
        <v>5327.6152118144837</v>
      </c>
      <c r="AF1279" s="19">
        <v>4983.4620369526619</v>
      </c>
      <c r="AG1279" s="19">
        <v>4347.802024059356</v>
      </c>
      <c r="AH1279" s="19">
        <v>3567.8674283942264</v>
      </c>
      <c r="AI1279" s="19">
        <v>1292.2482548701123</v>
      </c>
      <c r="AJ1279" s="19">
        <v>0</v>
      </c>
      <c r="AK1279" s="19">
        <v>0</v>
      </c>
      <c r="AL1279" s="19">
        <v>0</v>
      </c>
      <c r="AM1279" s="19">
        <v>0</v>
      </c>
      <c r="AN1279" s="19">
        <v>0</v>
      </c>
      <c r="AO1279" s="19">
        <v>0</v>
      </c>
      <c r="AP1279" s="19">
        <v>0</v>
      </c>
      <c r="AQ1279" s="19">
        <v>0</v>
      </c>
      <c r="AR1279" s="19">
        <v>48938.760865328666</v>
      </c>
    </row>
    <row r="1280" spans="1:44" x14ac:dyDescent="0.25">
      <c r="A1280" t="s">
        <v>435</v>
      </c>
      <c r="B1280" t="s">
        <v>464</v>
      </c>
      <c r="C1280" t="s">
        <v>47</v>
      </c>
      <c r="D1280" t="s">
        <v>465</v>
      </c>
      <c r="E1280" t="s">
        <v>134</v>
      </c>
      <c r="F1280" t="s">
        <v>465</v>
      </c>
      <c r="G1280" t="s">
        <v>33</v>
      </c>
      <c r="H1280" t="s">
        <v>453</v>
      </c>
      <c r="I1280" t="s">
        <v>256</v>
      </c>
      <c r="J1280" t="s">
        <v>40</v>
      </c>
      <c r="K1280" t="s">
        <v>33</v>
      </c>
      <c r="L1280">
        <v>0.1063578652050048</v>
      </c>
      <c r="M1280">
        <v>1</v>
      </c>
      <c r="N1280" s="2">
        <v>2.8053992519779527</v>
      </c>
      <c r="O1280" s="2">
        <v>1.473762203864009</v>
      </c>
      <c r="P1280" s="1">
        <v>-0.43033342107372458</v>
      </c>
      <c r="Q1280" s="1">
        <v>1.3498045353129324</v>
      </c>
      <c r="R1280" s="1">
        <v>-0.25661544227348498</v>
      </c>
      <c r="S1280" s="19">
        <v>504.88785424118328</v>
      </c>
      <c r="T1280" s="19">
        <v>1001.4579265382456</v>
      </c>
      <c r="U1280" s="19">
        <v>1764.4270327514159</v>
      </c>
      <c r="V1280" s="19">
        <v>2847.9581776454897</v>
      </c>
      <c r="W1280" s="19">
        <v>4289.4801137414734</v>
      </c>
      <c r="X1280" s="19">
        <v>6096.0948703638787</v>
      </c>
      <c r="Y1280" s="19">
        <v>8228.4408981644265</v>
      </c>
      <c r="Z1280" s="19">
        <v>10584.803770205805</v>
      </c>
      <c r="AA1280" s="19">
        <v>12990.660673597897</v>
      </c>
      <c r="AB1280" s="19">
        <v>15200.986752940613</v>
      </c>
      <c r="AC1280" s="19">
        <v>16923.053336636178</v>
      </c>
      <c r="AD1280" s="19">
        <v>17864.165601886925</v>
      </c>
      <c r="AE1280" s="19">
        <v>17800.464087242941</v>
      </c>
      <c r="AF1280" s="19">
        <v>16650.590084320709</v>
      </c>
      <c r="AG1280" s="19">
        <v>14526.742399879922</v>
      </c>
      <c r="AH1280" s="19">
        <v>11920.848916854316</v>
      </c>
      <c r="AI1280" s="19">
        <v>4317.6201242175375</v>
      </c>
      <c r="AJ1280" s="19">
        <v>0</v>
      </c>
      <c r="AK1280" s="19">
        <v>0</v>
      </c>
      <c r="AL1280" s="19">
        <v>0</v>
      </c>
      <c r="AM1280" s="19">
        <v>0</v>
      </c>
      <c r="AN1280" s="19">
        <v>0</v>
      </c>
      <c r="AO1280" s="19">
        <v>0</v>
      </c>
      <c r="AP1280" s="19">
        <v>0</v>
      </c>
      <c r="AQ1280" s="19">
        <v>0</v>
      </c>
      <c r="AR1280" s="19">
        <v>163512.68262122897</v>
      </c>
    </row>
    <row r="1281" spans="1:44" x14ac:dyDescent="0.25">
      <c r="A1281" t="s">
        <v>435</v>
      </c>
      <c r="B1281" t="s">
        <v>464</v>
      </c>
      <c r="C1281" t="s">
        <v>47</v>
      </c>
      <c r="D1281" t="s">
        <v>465</v>
      </c>
      <c r="E1281" t="s">
        <v>134</v>
      </c>
      <c r="F1281" t="s">
        <v>465</v>
      </c>
      <c r="G1281" t="s">
        <v>33</v>
      </c>
      <c r="H1281" t="s">
        <v>456</v>
      </c>
      <c r="I1281" t="s">
        <v>256</v>
      </c>
      <c r="J1281" t="s">
        <v>40</v>
      </c>
      <c r="K1281" t="s">
        <v>33</v>
      </c>
      <c r="L1281">
        <v>0.1063578652050048</v>
      </c>
      <c r="M1281">
        <v>1</v>
      </c>
      <c r="N1281" s="2">
        <v>2.8053992519779527</v>
      </c>
      <c r="O1281" s="2">
        <v>1.473762203864009</v>
      </c>
      <c r="P1281" s="1">
        <v>-0.43033342107372458</v>
      </c>
      <c r="Q1281" s="1">
        <v>1.3498045353129324</v>
      </c>
      <c r="R1281" s="1">
        <v>-0.25661544227348498</v>
      </c>
      <c r="S1281" s="19">
        <v>633.57325368935074</v>
      </c>
      <c r="T1281" s="19">
        <v>1256.7086960399126</v>
      </c>
      <c r="U1281" s="19">
        <v>2214.1427381292228</v>
      </c>
      <c r="V1281" s="19">
        <v>3573.8434066589689</v>
      </c>
      <c r="W1281" s="19">
        <v>5382.7792636911299</v>
      </c>
      <c r="X1281" s="19">
        <v>7649.8624979209444</v>
      </c>
      <c r="Y1281" s="19">
        <v>10325.699120799554</v>
      </c>
      <c r="Z1281" s="19">
        <v>13282.64981622839</v>
      </c>
      <c r="AA1281" s="19">
        <v>16301.709540855802</v>
      </c>
      <c r="AB1281" s="19">
        <v>19075.401706432483</v>
      </c>
      <c r="AC1281" s="19">
        <v>21236.38719922374</v>
      </c>
      <c r="AD1281" s="19">
        <v>22417.369381649223</v>
      </c>
      <c r="AE1281" s="19">
        <v>22337.431677545432</v>
      </c>
      <c r="AF1281" s="19">
        <v>20894.478738106693</v>
      </c>
      <c r="AG1281" s="19">
        <v>18229.306509327056</v>
      </c>
      <c r="AH1281" s="19">
        <v>14959.225046801474</v>
      </c>
      <c r="AI1281" s="19">
        <v>5418.0915768046743</v>
      </c>
      <c r="AJ1281" s="19">
        <v>0</v>
      </c>
      <c r="AK1281" s="19">
        <v>0</v>
      </c>
      <c r="AL1281" s="19">
        <v>0</v>
      </c>
      <c r="AM1281" s="19">
        <v>0</v>
      </c>
      <c r="AN1281" s="19">
        <v>0</v>
      </c>
      <c r="AO1281" s="19">
        <v>0</v>
      </c>
      <c r="AP1281" s="19">
        <v>0</v>
      </c>
      <c r="AQ1281" s="19">
        <v>0</v>
      </c>
      <c r="AR1281" s="19">
        <v>205188.66016990403</v>
      </c>
    </row>
    <row r="1282" spans="1:44" x14ac:dyDescent="0.25">
      <c r="A1282" t="s">
        <v>435</v>
      </c>
      <c r="B1282" t="s">
        <v>464</v>
      </c>
      <c r="C1282" t="s">
        <v>47</v>
      </c>
      <c r="D1282" t="s">
        <v>465</v>
      </c>
      <c r="E1282" t="s">
        <v>134</v>
      </c>
      <c r="F1282" t="s">
        <v>465</v>
      </c>
      <c r="G1282" t="s">
        <v>33</v>
      </c>
      <c r="H1282" t="s">
        <v>457</v>
      </c>
      <c r="I1282" t="s">
        <v>256</v>
      </c>
      <c r="J1282" t="s">
        <v>40</v>
      </c>
      <c r="K1282" t="s">
        <v>33</v>
      </c>
      <c r="L1282">
        <v>0.1063578652050048</v>
      </c>
      <c r="M1282">
        <v>1</v>
      </c>
      <c r="N1282" s="2">
        <v>2.8053992519779527</v>
      </c>
      <c r="O1282" s="2">
        <v>1.473762203864009</v>
      </c>
      <c r="P1282" s="1">
        <v>-0.43033342107372458</v>
      </c>
      <c r="Q1282" s="1">
        <v>1.3498045353129324</v>
      </c>
      <c r="R1282" s="1">
        <v>-0.25661544227348498</v>
      </c>
      <c r="S1282" s="19">
        <v>336.93469133381814</v>
      </c>
      <c r="T1282" s="19">
        <v>668.31854743089536</v>
      </c>
      <c r="U1282" s="19">
        <v>1177.4826284039582</v>
      </c>
      <c r="V1282" s="19">
        <v>1900.5723775209301</v>
      </c>
      <c r="W1282" s="19">
        <v>2862.5657083357592</v>
      </c>
      <c r="X1282" s="19">
        <v>4068.2021289158265</v>
      </c>
      <c r="Y1282" s="19">
        <v>5491.2138822361276</v>
      </c>
      <c r="Z1282" s="19">
        <v>7063.7222923561858</v>
      </c>
      <c r="AA1282" s="19">
        <v>8669.2603268491293</v>
      </c>
      <c r="AB1282" s="19">
        <v>10144.311724965492</v>
      </c>
      <c r="AC1282" s="19">
        <v>11293.525293800078</v>
      </c>
      <c r="AD1282" s="19">
        <v>11921.572429295751</v>
      </c>
      <c r="AE1282" s="19">
        <v>11879.061503366813</v>
      </c>
      <c r="AF1282" s="19">
        <v>11111.698139418057</v>
      </c>
      <c r="AG1282" s="19">
        <v>9694.3577182019399</v>
      </c>
      <c r="AH1282" s="19">
        <v>7955.3261511390947</v>
      </c>
      <c r="AI1282" s="19">
        <v>2881.34482069553</v>
      </c>
      <c r="AJ1282" s="19">
        <v>0</v>
      </c>
      <c r="AK1282" s="19">
        <v>0</v>
      </c>
      <c r="AL1282" s="19">
        <v>0</v>
      </c>
      <c r="AM1282" s="19">
        <v>0</v>
      </c>
      <c r="AN1282" s="19">
        <v>0</v>
      </c>
      <c r="AO1282" s="19">
        <v>0</v>
      </c>
      <c r="AP1282" s="19">
        <v>0</v>
      </c>
      <c r="AQ1282" s="19">
        <v>0</v>
      </c>
      <c r="AR1282" s="19">
        <v>109119.47036426541</v>
      </c>
    </row>
    <row r="1283" spans="1:44" x14ac:dyDescent="0.25">
      <c r="A1283" t="s">
        <v>435</v>
      </c>
      <c r="B1283" t="s">
        <v>466</v>
      </c>
      <c r="C1283" t="s">
        <v>47</v>
      </c>
      <c r="D1283" t="s">
        <v>144</v>
      </c>
      <c r="E1283" t="s">
        <v>134</v>
      </c>
      <c r="F1283" t="s">
        <v>467</v>
      </c>
      <c r="G1283" t="s">
        <v>33</v>
      </c>
      <c r="H1283" t="s">
        <v>450</v>
      </c>
      <c r="I1283" t="s">
        <v>135</v>
      </c>
      <c r="J1283" t="s">
        <v>39</v>
      </c>
      <c r="K1283" t="s">
        <v>31</v>
      </c>
      <c r="L1283">
        <v>7.2880120486938149E-2</v>
      </c>
      <c r="M1283">
        <v>1</v>
      </c>
      <c r="N1283" s="2">
        <v>3.3697309324907936</v>
      </c>
      <c r="O1283" s="2">
        <v>2.8779545327574692</v>
      </c>
      <c r="P1283" s="1">
        <v>-0.60414025211616262</v>
      </c>
      <c r="Q1283" s="1">
        <v>0.462605807810749</v>
      </c>
      <c r="R1283" s="1">
        <v>-0.52509153328775149</v>
      </c>
      <c r="S1283" s="19">
        <v>12.232407067165168</v>
      </c>
      <c r="T1283" s="19">
        <v>24.263291174762763</v>
      </c>
      <c r="U1283" s="19">
        <v>42.748482704865125</v>
      </c>
      <c r="V1283" s="19">
        <v>69.000241234917539</v>
      </c>
      <c r="W1283" s="19">
        <v>103.92538940485304</v>
      </c>
      <c r="X1283" s="19">
        <v>147.69599495797465</v>
      </c>
      <c r="Y1283" s="19">
        <v>199.35840751355352</v>
      </c>
      <c r="Z1283" s="19">
        <v>256.44829313198528</v>
      </c>
      <c r="AA1283" s="19">
        <v>314.7373185867018</v>
      </c>
      <c r="AB1283" s="19">
        <v>368.28902938063095</v>
      </c>
      <c r="AC1283" s="19">
        <v>410.01120445688838</v>
      </c>
      <c r="AD1283" s="19">
        <v>432.81244284625518</v>
      </c>
      <c r="AE1283" s="19">
        <v>431.26908455119121</v>
      </c>
      <c r="AF1283" s="19">
        <v>403.40997334156344</v>
      </c>
      <c r="AG1283" s="19">
        <v>351.95345838185642</v>
      </c>
      <c r="AH1283" s="19">
        <v>288.81795296164699</v>
      </c>
      <c r="AI1283" s="19">
        <v>104.60716469440716</v>
      </c>
      <c r="AJ1283" s="19">
        <v>0</v>
      </c>
      <c r="AK1283" s="19">
        <v>0</v>
      </c>
      <c r="AL1283" s="19">
        <v>0</v>
      </c>
      <c r="AM1283" s="19">
        <v>0</v>
      </c>
      <c r="AN1283" s="19">
        <v>0</v>
      </c>
      <c r="AO1283" s="19">
        <v>0</v>
      </c>
      <c r="AP1283" s="19">
        <v>0</v>
      </c>
      <c r="AQ1283" s="19">
        <v>0</v>
      </c>
      <c r="AR1283" s="19">
        <v>3961.5801363912183</v>
      </c>
    </row>
    <row r="1284" spans="1:44" x14ac:dyDescent="0.25">
      <c r="A1284" t="s">
        <v>435</v>
      </c>
      <c r="B1284" t="s">
        <v>466</v>
      </c>
      <c r="C1284" t="s">
        <v>47</v>
      </c>
      <c r="D1284" t="s">
        <v>144</v>
      </c>
      <c r="E1284" t="s">
        <v>134</v>
      </c>
      <c r="F1284" t="s">
        <v>467</v>
      </c>
      <c r="G1284" t="s">
        <v>33</v>
      </c>
      <c r="H1284" t="s">
        <v>451</v>
      </c>
      <c r="I1284" t="s">
        <v>135</v>
      </c>
      <c r="J1284" t="s">
        <v>39</v>
      </c>
      <c r="K1284" t="s">
        <v>31</v>
      </c>
      <c r="L1284">
        <v>7.2880120486938149E-2</v>
      </c>
      <c r="M1284">
        <v>1</v>
      </c>
      <c r="N1284" s="2">
        <v>3.3697309324907936</v>
      </c>
      <c r="O1284" s="2">
        <v>2.8779545327574692</v>
      </c>
      <c r="P1284" s="1">
        <v>-0.60414025211616262</v>
      </c>
      <c r="Q1284" s="1">
        <v>0.462605807810749</v>
      </c>
      <c r="R1284" s="1">
        <v>-0.52509153328775149</v>
      </c>
      <c r="S1284" s="19">
        <v>3.199787447541937</v>
      </c>
      <c r="T1284" s="19">
        <v>6.3468599524830234</v>
      </c>
      <c r="U1284" s="19">
        <v>11.182268347466859</v>
      </c>
      <c r="V1284" s="19">
        <v>18.049277183842221</v>
      </c>
      <c r="W1284" s="19">
        <v>27.185095678443737</v>
      </c>
      <c r="X1284" s="19">
        <v>38.634733795551107</v>
      </c>
      <c r="Y1284" s="19">
        <v>52.148732986176817</v>
      </c>
      <c r="Z1284" s="19">
        <v>67.082465846801526</v>
      </c>
      <c r="AA1284" s="19">
        <v>82.329873078702803</v>
      </c>
      <c r="AB1284" s="19">
        <v>96.338080216672225</v>
      </c>
      <c r="AC1284" s="19">
        <v>107.25188412788349</v>
      </c>
      <c r="AD1284" s="19">
        <v>113.21629620034858</v>
      </c>
      <c r="AE1284" s="19">
        <v>112.8125801964182</v>
      </c>
      <c r="AF1284" s="19">
        <v>105.5251155250107</v>
      </c>
      <c r="AG1284" s="19">
        <v>92.064975606655167</v>
      </c>
      <c r="AH1284" s="19">
        <v>75.549812513360592</v>
      </c>
      <c r="AI1284" s="19">
        <v>27.363436376360372</v>
      </c>
      <c r="AJ1284" s="19">
        <v>0</v>
      </c>
      <c r="AK1284" s="19">
        <v>0</v>
      </c>
      <c r="AL1284" s="19">
        <v>0</v>
      </c>
      <c r="AM1284" s="19">
        <v>0</v>
      </c>
      <c r="AN1284" s="19">
        <v>0</v>
      </c>
      <c r="AO1284" s="19">
        <v>0</v>
      </c>
      <c r="AP1284" s="19">
        <v>0</v>
      </c>
      <c r="AQ1284" s="19">
        <v>0</v>
      </c>
      <c r="AR1284" s="19">
        <v>1036.2812750797195</v>
      </c>
    </row>
    <row r="1285" spans="1:44" x14ac:dyDescent="0.25">
      <c r="A1285" t="s">
        <v>435</v>
      </c>
      <c r="B1285" t="s">
        <v>466</v>
      </c>
      <c r="C1285" t="s">
        <v>47</v>
      </c>
      <c r="D1285" t="s">
        <v>144</v>
      </c>
      <c r="E1285" t="s">
        <v>134</v>
      </c>
      <c r="F1285" t="s">
        <v>467</v>
      </c>
      <c r="G1285" t="s">
        <v>33</v>
      </c>
      <c r="H1285" t="s">
        <v>452</v>
      </c>
      <c r="I1285" t="s">
        <v>135</v>
      </c>
      <c r="J1285" t="s">
        <v>39</v>
      </c>
      <c r="K1285" t="s">
        <v>31</v>
      </c>
      <c r="L1285">
        <v>7.2880120486938149E-2</v>
      </c>
      <c r="M1285">
        <v>1</v>
      </c>
      <c r="N1285" s="2">
        <v>3.3697309324907936</v>
      </c>
      <c r="O1285" s="2">
        <v>2.8779545327574692</v>
      </c>
      <c r="P1285" s="1">
        <v>-0.60414025211616262</v>
      </c>
      <c r="Q1285" s="1">
        <v>0.462605807810749</v>
      </c>
      <c r="R1285" s="1">
        <v>-0.52509153328775149</v>
      </c>
      <c r="S1285" s="19">
        <v>72.472997862825082</v>
      </c>
      <c r="T1285" s="19">
        <v>143.75203831907768</v>
      </c>
      <c r="U1285" s="19">
        <v>253.27073230131515</v>
      </c>
      <c r="V1285" s="19">
        <v>408.80378719374022</v>
      </c>
      <c r="W1285" s="19">
        <v>615.72382956812851</v>
      </c>
      <c r="X1285" s="19">
        <v>875.0503043402839</v>
      </c>
      <c r="Y1285" s="19">
        <v>1181.1331459405308</v>
      </c>
      <c r="Z1285" s="19">
        <v>1519.3719844369657</v>
      </c>
      <c r="AA1285" s="19">
        <v>1864.7153329709688</v>
      </c>
      <c r="AB1285" s="19">
        <v>2181.9916466686036</v>
      </c>
      <c r="AC1285" s="19">
        <v>2429.1818430487147</v>
      </c>
      <c r="AD1285" s="19">
        <v>2564.2716983804589</v>
      </c>
      <c r="AE1285" s="19">
        <v>2555.1278069283835</v>
      </c>
      <c r="AF1285" s="19">
        <v>2390.0717148551284</v>
      </c>
      <c r="AG1285" s="19">
        <v>2085.2087489460396</v>
      </c>
      <c r="AH1285" s="19">
        <v>1711.1515969673976</v>
      </c>
      <c r="AI1285" s="19">
        <v>619.7631244371986</v>
      </c>
      <c r="AJ1285" s="19">
        <v>0</v>
      </c>
      <c r="AK1285" s="19">
        <v>0</v>
      </c>
      <c r="AL1285" s="19">
        <v>0</v>
      </c>
      <c r="AM1285" s="19">
        <v>0</v>
      </c>
      <c r="AN1285" s="19">
        <v>0</v>
      </c>
      <c r="AO1285" s="19">
        <v>0</v>
      </c>
      <c r="AP1285" s="19">
        <v>0</v>
      </c>
      <c r="AQ1285" s="19">
        <v>0</v>
      </c>
      <c r="AR1285" s="19">
        <v>23471.062333165755</v>
      </c>
    </row>
    <row r="1286" spans="1:44" x14ac:dyDescent="0.25">
      <c r="A1286" t="s">
        <v>435</v>
      </c>
      <c r="B1286" t="s">
        <v>466</v>
      </c>
      <c r="C1286" t="s">
        <v>47</v>
      </c>
      <c r="D1286" t="s">
        <v>144</v>
      </c>
      <c r="E1286" t="s">
        <v>134</v>
      </c>
      <c r="F1286" t="s">
        <v>467</v>
      </c>
      <c r="G1286" t="s">
        <v>33</v>
      </c>
      <c r="H1286" t="s">
        <v>453</v>
      </c>
      <c r="I1286" t="s">
        <v>135</v>
      </c>
      <c r="J1286" t="s">
        <v>39</v>
      </c>
      <c r="K1286" t="s">
        <v>31</v>
      </c>
      <c r="L1286">
        <v>7.2880120486938149E-2</v>
      </c>
      <c r="M1286">
        <v>1</v>
      </c>
      <c r="N1286" s="2">
        <v>3.3697309324907936</v>
      </c>
      <c r="O1286" s="2">
        <v>2.8779545327574692</v>
      </c>
      <c r="P1286" s="1">
        <v>-0.60414025211616262</v>
      </c>
      <c r="Q1286" s="1">
        <v>0.462605807810749</v>
      </c>
      <c r="R1286" s="1">
        <v>-0.52509153328775149</v>
      </c>
      <c r="S1286" s="19">
        <v>22.164408155226877</v>
      </c>
      <c r="T1286" s="19">
        <v>43.963668461467059</v>
      </c>
      <c r="U1286" s="19">
        <v>77.457757372267338</v>
      </c>
      <c r="V1286" s="19">
        <v>125.0244127049192</v>
      </c>
      <c r="W1286" s="19">
        <v>188.30674419289673</v>
      </c>
      <c r="X1286" s="19">
        <v>267.61652855127954</v>
      </c>
      <c r="Y1286" s="19">
        <v>361.22580691148175</v>
      </c>
      <c r="Z1286" s="19">
        <v>464.66934990627698</v>
      </c>
      <c r="AA1286" s="19">
        <v>570.28566434504671</v>
      </c>
      <c r="AB1286" s="19">
        <v>667.31824092054046</v>
      </c>
      <c r="AC1286" s="19">
        <v>742.91638872877172</v>
      </c>
      <c r="AD1286" s="19">
        <v>784.23090281677219</v>
      </c>
      <c r="AE1286" s="19">
        <v>781.43442760189998</v>
      </c>
      <c r="AF1286" s="19">
        <v>730.95534296208996</v>
      </c>
      <c r="AG1286" s="19">
        <v>637.71913903670873</v>
      </c>
      <c r="AH1286" s="19">
        <v>523.32128556956116</v>
      </c>
      <c r="AI1286" s="19">
        <v>189.54208125328611</v>
      </c>
      <c r="AJ1286" s="19">
        <v>0</v>
      </c>
      <c r="AK1286" s="19">
        <v>0</v>
      </c>
      <c r="AL1286" s="19">
        <v>0</v>
      </c>
      <c r="AM1286" s="19">
        <v>0</v>
      </c>
      <c r="AN1286" s="19">
        <v>0</v>
      </c>
      <c r="AO1286" s="19">
        <v>0</v>
      </c>
      <c r="AP1286" s="19">
        <v>0</v>
      </c>
      <c r="AQ1286" s="19">
        <v>0</v>
      </c>
      <c r="AR1286" s="19">
        <v>7178.1521494904919</v>
      </c>
    </row>
    <row r="1287" spans="1:44" x14ac:dyDescent="0.25">
      <c r="A1287" t="s">
        <v>435</v>
      </c>
      <c r="B1287" t="s">
        <v>466</v>
      </c>
      <c r="C1287" t="s">
        <v>47</v>
      </c>
      <c r="D1287" t="s">
        <v>144</v>
      </c>
      <c r="E1287" t="s">
        <v>134</v>
      </c>
      <c r="F1287" t="s">
        <v>467</v>
      </c>
      <c r="G1287" t="s">
        <v>33</v>
      </c>
      <c r="H1287" t="s">
        <v>454</v>
      </c>
      <c r="I1287" t="s">
        <v>135</v>
      </c>
      <c r="J1287" t="s">
        <v>39</v>
      </c>
      <c r="K1287" t="s">
        <v>31</v>
      </c>
      <c r="L1287">
        <v>7.2880120486938149E-2</v>
      </c>
      <c r="M1287">
        <v>1</v>
      </c>
      <c r="N1287" s="2">
        <v>3.3697309324907936</v>
      </c>
      <c r="O1287" s="2">
        <v>2.8779545327574692</v>
      </c>
      <c r="P1287" s="1">
        <v>-0.60414025211616262</v>
      </c>
      <c r="Q1287" s="1">
        <v>0.462605807810749</v>
      </c>
      <c r="R1287" s="1">
        <v>-0.52509153328775149</v>
      </c>
      <c r="S1287" s="19">
        <v>1.2204633667790441</v>
      </c>
      <c r="T1287" s="19">
        <v>2.4208201929265782</v>
      </c>
      <c r="U1287" s="19">
        <v>4.2651423256442023</v>
      </c>
      <c r="V1287" s="19">
        <v>6.8843577771524957</v>
      </c>
      <c r="W1287" s="19">
        <v>10.368942919446541</v>
      </c>
      <c r="X1287" s="19">
        <v>14.736065459270618</v>
      </c>
      <c r="Y1287" s="19">
        <v>19.890576882681085</v>
      </c>
      <c r="Z1287" s="19">
        <v>25.586603317080055</v>
      </c>
      <c r="AA1287" s="19">
        <v>31.402271473161065</v>
      </c>
      <c r="AB1287" s="19">
        <v>36.745283759579614</v>
      </c>
      <c r="AC1287" s="19">
        <v>40.908028343153582</v>
      </c>
      <c r="AD1287" s="19">
        <v>43.182975213268442</v>
      </c>
      <c r="AE1287" s="19">
        <v>43.028989799719177</v>
      </c>
      <c r="AF1287" s="19">
        <v>40.249404025988582</v>
      </c>
      <c r="AG1287" s="19">
        <v>35.115435613588922</v>
      </c>
      <c r="AH1287" s="19">
        <v>28.816219843106676</v>
      </c>
      <c r="AI1287" s="19">
        <v>10.436965652887878</v>
      </c>
      <c r="AJ1287" s="19">
        <v>0</v>
      </c>
      <c r="AK1287" s="19">
        <v>0</v>
      </c>
      <c r="AL1287" s="19">
        <v>0</v>
      </c>
      <c r="AM1287" s="19">
        <v>0</v>
      </c>
      <c r="AN1287" s="19">
        <v>0</v>
      </c>
      <c r="AO1287" s="19">
        <v>0</v>
      </c>
      <c r="AP1287" s="19">
        <v>0</v>
      </c>
      <c r="AQ1287" s="19">
        <v>0</v>
      </c>
      <c r="AR1287" s="19">
        <v>395.25854596543456</v>
      </c>
    </row>
    <row r="1288" spans="1:44" x14ac:dyDescent="0.25">
      <c r="A1288" t="s">
        <v>435</v>
      </c>
      <c r="B1288" t="s">
        <v>466</v>
      </c>
      <c r="C1288" t="s">
        <v>47</v>
      </c>
      <c r="D1288" t="s">
        <v>144</v>
      </c>
      <c r="E1288" t="s">
        <v>134</v>
      </c>
      <c r="F1288" t="s">
        <v>467</v>
      </c>
      <c r="G1288" t="s">
        <v>33</v>
      </c>
      <c r="H1288" t="s">
        <v>455</v>
      </c>
      <c r="I1288" t="s">
        <v>135</v>
      </c>
      <c r="J1288" t="s">
        <v>39</v>
      </c>
      <c r="K1288" t="s">
        <v>31</v>
      </c>
      <c r="L1288">
        <v>7.2880120486938149E-2</v>
      </c>
      <c r="M1288">
        <v>1</v>
      </c>
      <c r="N1288" s="2">
        <v>3.3697309324907936</v>
      </c>
      <c r="O1288" s="2">
        <v>2.8779545327574692</v>
      </c>
      <c r="P1288" s="1">
        <v>-0.60414025211616262</v>
      </c>
      <c r="Q1288" s="1">
        <v>0.462605807810749</v>
      </c>
      <c r="R1288" s="1">
        <v>-0.52509153328775149</v>
      </c>
      <c r="S1288" s="19">
        <v>0.28755925937548155</v>
      </c>
      <c r="T1288" s="19">
        <v>0.57038111975154948</v>
      </c>
      <c r="U1288" s="19">
        <v>1.0049307514490202</v>
      </c>
      <c r="V1288" s="19">
        <v>1.6220567348107968</v>
      </c>
      <c r="W1288" s="19">
        <v>2.4430766441533871</v>
      </c>
      <c r="X1288" s="19">
        <v>3.472035445651882</v>
      </c>
      <c r="Y1288" s="19">
        <v>4.6865147390944681</v>
      </c>
      <c r="Z1288" s="19">
        <v>6.0285829956630179</v>
      </c>
      <c r="AA1288" s="19">
        <v>7.3988406152339889</v>
      </c>
      <c r="AB1288" s="19">
        <v>8.6577335060312386</v>
      </c>
      <c r="AC1288" s="19">
        <v>9.6385378316710639</v>
      </c>
      <c r="AD1288" s="19">
        <v>10.174549034379478</v>
      </c>
      <c r="AE1288" s="19">
        <v>10.138267788518151</v>
      </c>
      <c r="AF1288" s="19">
        <v>9.4833561801721871</v>
      </c>
      <c r="AG1288" s="19">
        <v>8.2737171246199051</v>
      </c>
      <c r="AH1288" s="19">
        <v>6.789528519773258</v>
      </c>
      <c r="AI1288" s="19">
        <v>2.4591038084104397</v>
      </c>
      <c r="AJ1288" s="19">
        <v>0</v>
      </c>
      <c r="AK1288" s="19">
        <v>0</v>
      </c>
      <c r="AL1288" s="19">
        <v>0</v>
      </c>
      <c r="AM1288" s="19">
        <v>0</v>
      </c>
      <c r="AN1288" s="19">
        <v>0</v>
      </c>
      <c r="AO1288" s="19">
        <v>0</v>
      </c>
      <c r="AP1288" s="19">
        <v>0</v>
      </c>
      <c r="AQ1288" s="19">
        <v>0</v>
      </c>
      <c r="AR1288" s="19">
        <v>93.128772098759327</v>
      </c>
    </row>
    <row r="1289" spans="1:44" x14ac:dyDescent="0.25">
      <c r="A1289" t="s">
        <v>435</v>
      </c>
      <c r="B1289" t="s">
        <v>466</v>
      </c>
      <c r="C1289" t="s">
        <v>47</v>
      </c>
      <c r="D1289" t="s">
        <v>144</v>
      </c>
      <c r="E1289" t="s">
        <v>134</v>
      </c>
      <c r="F1289" t="s">
        <v>467</v>
      </c>
      <c r="G1289" t="s">
        <v>33</v>
      </c>
      <c r="H1289" t="s">
        <v>456</v>
      </c>
      <c r="I1289" t="s">
        <v>135</v>
      </c>
      <c r="J1289" t="s">
        <v>39</v>
      </c>
      <c r="K1289" t="s">
        <v>31</v>
      </c>
      <c r="L1289">
        <v>7.2880120486938149E-2</v>
      </c>
      <c r="M1289">
        <v>1</v>
      </c>
      <c r="N1289" s="2">
        <v>3.3697309324907936</v>
      </c>
      <c r="O1289" s="2">
        <v>2.8779545327574692</v>
      </c>
      <c r="P1289" s="1">
        <v>-0.60414025211616262</v>
      </c>
      <c r="Q1289" s="1">
        <v>0.462605807810749</v>
      </c>
      <c r="R1289" s="1">
        <v>-0.52509153328775149</v>
      </c>
      <c r="S1289" s="19">
        <v>51.833237461434479</v>
      </c>
      <c r="T1289" s="19">
        <v>102.81254753475616</v>
      </c>
      <c r="U1289" s="19">
        <v>181.14114768997823</v>
      </c>
      <c r="V1289" s="19">
        <v>292.37956758535097</v>
      </c>
      <c r="W1289" s="19">
        <v>440.37035047282558</v>
      </c>
      <c r="X1289" s="19">
        <v>625.84261108420503</v>
      </c>
      <c r="Y1289" s="19">
        <v>844.75537969308164</v>
      </c>
      <c r="Z1289" s="19">
        <v>1086.6663610443652</v>
      </c>
      <c r="AA1289" s="19">
        <v>1333.6585418310776</v>
      </c>
      <c r="AB1289" s="19">
        <v>1560.576966537416</v>
      </c>
      <c r="AC1289" s="19">
        <v>1737.3692688423428</v>
      </c>
      <c r="AD1289" s="19">
        <v>1833.9865574398784</v>
      </c>
      <c r="AE1289" s="19">
        <v>1827.4467769570276</v>
      </c>
      <c r="AF1289" s="19">
        <v>1709.3974086794403</v>
      </c>
      <c r="AG1289" s="19">
        <v>1491.3571044122889</v>
      </c>
      <c r="AH1289" s="19">
        <v>1223.8285937336625</v>
      </c>
      <c r="AI1289" s="19">
        <v>443.25928478352643</v>
      </c>
      <c r="AJ1289" s="19">
        <v>0</v>
      </c>
      <c r="AK1289" s="19">
        <v>0</v>
      </c>
      <c r="AL1289" s="19">
        <v>0</v>
      </c>
      <c r="AM1289" s="19">
        <v>0</v>
      </c>
      <c r="AN1289" s="19">
        <v>0</v>
      </c>
      <c r="AO1289" s="19">
        <v>0</v>
      </c>
      <c r="AP1289" s="19">
        <v>0</v>
      </c>
      <c r="AQ1289" s="19">
        <v>0</v>
      </c>
      <c r="AR1289" s="19">
        <v>16786.681705782659</v>
      </c>
    </row>
    <row r="1290" spans="1:44" x14ac:dyDescent="0.25">
      <c r="A1290" t="s">
        <v>435</v>
      </c>
      <c r="B1290" t="s">
        <v>466</v>
      </c>
      <c r="C1290" t="s">
        <v>47</v>
      </c>
      <c r="D1290" t="s">
        <v>144</v>
      </c>
      <c r="E1290" t="s">
        <v>134</v>
      </c>
      <c r="F1290" t="s">
        <v>467</v>
      </c>
      <c r="G1290" t="s">
        <v>33</v>
      </c>
      <c r="H1290" t="s">
        <v>457</v>
      </c>
      <c r="I1290" t="s">
        <v>135</v>
      </c>
      <c r="J1290" t="s">
        <v>39</v>
      </c>
      <c r="K1290" t="s">
        <v>31</v>
      </c>
      <c r="L1290">
        <v>7.2880120486938149E-2</v>
      </c>
      <c r="M1290">
        <v>1</v>
      </c>
      <c r="N1290" s="2">
        <v>3.3697309324907936</v>
      </c>
      <c r="O1290" s="2">
        <v>2.8779545327574692</v>
      </c>
      <c r="P1290" s="1">
        <v>-0.60414025211616262</v>
      </c>
      <c r="Q1290" s="1">
        <v>0.462605807810749</v>
      </c>
      <c r="R1290" s="1">
        <v>-0.52509153328775149</v>
      </c>
      <c r="S1290" s="19">
        <v>19.162692225957752</v>
      </c>
      <c r="T1290" s="19">
        <v>38.009688413559871</v>
      </c>
      <c r="U1290" s="19">
        <v>66.967687774132472</v>
      </c>
      <c r="V1290" s="19">
        <v>108.09241215089712</v>
      </c>
      <c r="W1290" s="19">
        <v>162.80444565760618</v>
      </c>
      <c r="X1290" s="19">
        <v>231.37334122761345</v>
      </c>
      <c r="Y1290" s="19">
        <v>312.3051566926494</v>
      </c>
      <c r="Z1290" s="19">
        <v>401.7393867108521</v>
      </c>
      <c r="AA1290" s="19">
        <v>493.05213070365039</v>
      </c>
      <c r="AB1290" s="19">
        <v>576.94362863067158</v>
      </c>
      <c r="AC1290" s="19">
        <v>642.30355293616071</v>
      </c>
      <c r="AD1290" s="19">
        <v>678.02286077369729</v>
      </c>
      <c r="AE1290" s="19">
        <v>675.60511095223512</v>
      </c>
      <c r="AF1290" s="19">
        <v>631.96238627281957</v>
      </c>
      <c r="AG1290" s="19">
        <v>551.35311993798291</v>
      </c>
      <c r="AH1290" s="19">
        <v>452.44811683803783</v>
      </c>
      <c r="AI1290" s="19">
        <v>163.87248156985589</v>
      </c>
      <c r="AJ1290" s="19">
        <v>0</v>
      </c>
      <c r="AK1290" s="19">
        <v>0</v>
      </c>
      <c r="AL1290" s="19">
        <v>0</v>
      </c>
      <c r="AM1290" s="19">
        <v>0</v>
      </c>
      <c r="AN1290" s="19">
        <v>0</v>
      </c>
      <c r="AO1290" s="19">
        <v>0</v>
      </c>
      <c r="AP1290" s="19">
        <v>0</v>
      </c>
      <c r="AQ1290" s="19">
        <v>0</v>
      </c>
      <c r="AR1290" s="19">
        <v>6206.0181994683799</v>
      </c>
    </row>
    <row r="1291" spans="1:44" x14ac:dyDescent="0.25">
      <c r="A1291" t="s">
        <v>435</v>
      </c>
      <c r="B1291" t="s">
        <v>466</v>
      </c>
      <c r="C1291" t="s">
        <v>47</v>
      </c>
      <c r="D1291" t="s">
        <v>144</v>
      </c>
      <c r="E1291" t="s">
        <v>134</v>
      </c>
      <c r="F1291" t="s">
        <v>467</v>
      </c>
      <c r="G1291" t="s">
        <v>33</v>
      </c>
      <c r="H1291" t="s">
        <v>450</v>
      </c>
      <c r="I1291" t="s">
        <v>135</v>
      </c>
      <c r="J1291" t="s">
        <v>39</v>
      </c>
      <c r="K1291" t="s">
        <v>33</v>
      </c>
      <c r="L1291">
        <v>7.2880120486938149E-2</v>
      </c>
      <c r="M1291">
        <v>1</v>
      </c>
      <c r="N1291" s="2">
        <v>3.3697309324907936</v>
      </c>
      <c r="O1291" s="2">
        <v>2.8779545327574692</v>
      </c>
      <c r="P1291" s="1">
        <v>-0.60414025211616262</v>
      </c>
      <c r="Q1291" s="1">
        <v>0.462605807810749</v>
      </c>
      <c r="R1291" s="1">
        <v>-0.52509153328775149</v>
      </c>
      <c r="S1291" s="19">
        <v>7.5361441125782722</v>
      </c>
      <c r="T1291" s="19">
        <v>14.937713997756026</v>
      </c>
      <c r="U1291" s="19">
        <v>26.29979085485629</v>
      </c>
      <c r="V1291" s="19">
        <v>42.42084932158005</v>
      </c>
      <c r="W1291" s="19">
        <v>63.84804015817376</v>
      </c>
      <c r="X1291" s="19">
        <v>90.675882170858515</v>
      </c>
      <c r="Y1291" s="19">
        <v>122.3079780529706</v>
      </c>
      <c r="Z1291" s="19">
        <v>157.2234072566157</v>
      </c>
      <c r="AA1291" s="19">
        <v>192.82475652992559</v>
      </c>
      <c r="AB1291" s="19">
        <v>225.47608922245152</v>
      </c>
      <c r="AC1291" s="19">
        <v>250.84450766417848</v>
      </c>
      <c r="AD1291" s="19">
        <v>264.60970547312439</v>
      </c>
      <c r="AE1291" s="19">
        <v>263.48234423896389</v>
      </c>
      <c r="AF1291" s="19">
        <v>246.2901157761296</v>
      </c>
      <c r="AG1291" s="19">
        <v>214.72506812833376</v>
      </c>
      <c r="AH1291" s="19">
        <v>176.08357938402784</v>
      </c>
      <c r="AI1291" s="19">
        <v>40.559468236208069</v>
      </c>
      <c r="AJ1291" s="19">
        <v>0</v>
      </c>
      <c r="AK1291" s="19">
        <v>0</v>
      </c>
      <c r="AL1291" s="19">
        <v>0</v>
      </c>
      <c r="AM1291" s="19">
        <v>0</v>
      </c>
      <c r="AN1291" s="19">
        <v>0</v>
      </c>
      <c r="AO1291" s="19">
        <v>0</v>
      </c>
      <c r="AP1291" s="19">
        <v>0</v>
      </c>
      <c r="AQ1291" s="19">
        <v>0</v>
      </c>
      <c r="AR1291" s="19">
        <v>2400.1454405787322</v>
      </c>
    </row>
    <row r="1292" spans="1:44" x14ac:dyDescent="0.25">
      <c r="A1292" t="s">
        <v>435</v>
      </c>
      <c r="B1292" t="s">
        <v>466</v>
      </c>
      <c r="C1292" t="s">
        <v>47</v>
      </c>
      <c r="D1292" t="s">
        <v>144</v>
      </c>
      <c r="E1292" t="s">
        <v>134</v>
      </c>
      <c r="F1292" t="s">
        <v>467</v>
      </c>
      <c r="G1292" t="s">
        <v>33</v>
      </c>
      <c r="H1292" t="s">
        <v>451</v>
      </c>
      <c r="I1292" t="s">
        <v>135</v>
      </c>
      <c r="J1292" t="s">
        <v>39</v>
      </c>
      <c r="K1292" t="s">
        <v>33</v>
      </c>
      <c r="L1292">
        <v>7.2880120486938149E-2</v>
      </c>
      <c r="M1292">
        <v>1</v>
      </c>
      <c r="N1292" s="2">
        <v>3.3697309324907936</v>
      </c>
      <c r="O1292" s="2">
        <v>2.8779545327574692</v>
      </c>
      <c r="P1292" s="1">
        <v>-0.60414025211616262</v>
      </c>
      <c r="Q1292" s="1">
        <v>0.462605807810749</v>
      </c>
      <c r="R1292" s="1">
        <v>-0.52509153328775149</v>
      </c>
      <c r="S1292" s="19">
        <v>14.414442915413392</v>
      </c>
      <c r="T1292" s="19">
        <v>28.59141489147019</v>
      </c>
      <c r="U1292" s="19">
        <v>50.374023713111839</v>
      </c>
      <c r="V1292" s="19">
        <v>81.308611867587913</v>
      </c>
      <c r="W1292" s="19">
        <v>122.46376243147095</v>
      </c>
      <c r="X1292" s="19">
        <v>174.04223686044239</v>
      </c>
      <c r="Y1292" s="19">
        <v>234.92027113170599</v>
      </c>
      <c r="Z1292" s="19">
        <v>302.19393957454929</v>
      </c>
      <c r="AA1292" s="19">
        <v>370.88065228765106</v>
      </c>
      <c r="AB1292" s="19">
        <v>433.98500076325411</v>
      </c>
      <c r="AC1292" s="19">
        <v>483.14964249251022</v>
      </c>
      <c r="AD1292" s="19">
        <v>510.01820134275363</v>
      </c>
      <c r="AE1292" s="19">
        <v>508.19953638825359</v>
      </c>
      <c r="AF1292" s="19">
        <v>475.37087347666255</v>
      </c>
      <c r="AG1292" s="19">
        <v>414.73546513550571</v>
      </c>
      <c r="AH1292" s="19">
        <v>340.33774980291025</v>
      </c>
      <c r="AI1292" s="19">
        <v>123.26715386035748</v>
      </c>
      <c r="AJ1292" s="19">
        <v>0</v>
      </c>
      <c r="AK1292" s="19">
        <v>0</v>
      </c>
      <c r="AL1292" s="19">
        <v>0</v>
      </c>
      <c r="AM1292" s="19">
        <v>0</v>
      </c>
      <c r="AN1292" s="19">
        <v>0</v>
      </c>
      <c r="AO1292" s="19">
        <v>0</v>
      </c>
      <c r="AP1292" s="19">
        <v>0</v>
      </c>
      <c r="AQ1292" s="19">
        <v>0</v>
      </c>
      <c r="AR1292" s="19">
        <v>4668.2529789356095</v>
      </c>
    </row>
    <row r="1293" spans="1:44" x14ac:dyDescent="0.25">
      <c r="A1293" t="s">
        <v>435</v>
      </c>
      <c r="B1293" t="s">
        <v>466</v>
      </c>
      <c r="C1293" t="s">
        <v>47</v>
      </c>
      <c r="D1293" t="s">
        <v>144</v>
      </c>
      <c r="E1293" t="s">
        <v>134</v>
      </c>
      <c r="F1293" t="s">
        <v>467</v>
      </c>
      <c r="G1293" t="s">
        <v>33</v>
      </c>
      <c r="H1293" t="s">
        <v>452</v>
      </c>
      <c r="I1293" t="s">
        <v>135</v>
      </c>
      <c r="J1293" t="s">
        <v>39</v>
      </c>
      <c r="K1293" t="s">
        <v>33</v>
      </c>
      <c r="L1293">
        <v>7.2880120486938149E-2</v>
      </c>
      <c r="M1293">
        <v>1</v>
      </c>
      <c r="N1293" s="2">
        <v>3.3697309324907936</v>
      </c>
      <c r="O1293" s="2">
        <v>2.8779545327574692</v>
      </c>
      <c r="P1293" s="1">
        <v>-0.60414025211616262</v>
      </c>
      <c r="Q1293" s="1">
        <v>0.462605807810749</v>
      </c>
      <c r="R1293" s="1">
        <v>-0.52509153328775149</v>
      </c>
      <c r="S1293" s="19">
        <v>143.31294902637339</v>
      </c>
      <c r="T1293" s="19">
        <v>284.26488689005629</v>
      </c>
      <c r="U1293" s="19">
        <v>500.83447102426442</v>
      </c>
      <c r="V1293" s="19">
        <v>808.3959273600982</v>
      </c>
      <c r="W1293" s="19">
        <v>1217.5734467096445</v>
      </c>
      <c r="X1293" s="19">
        <v>1730.382947574444</v>
      </c>
      <c r="Y1293" s="19">
        <v>2335.6516127279315</v>
      </c>
      <c r="Z1293" s="19">
        <v>3004.5076949881081</v>
      </c>
      <c r="AA1293" s="19">
        <v>3687.4127101598015</v>
      </c>
      <c r="AB1293" s="19">
        <v>4314.8160950492857</v>
      </c>
      <c r="AC1293" s="19">
        <v>4803.6265080074281</v>
      </c>
      <c r="AD1293" s="19">
        <v>5070.7622154026521</v>
      </c>
      <c r="AE1293" s="19">
        <v>5052.6804733991794</v>
      </c>
      <c r="AF1293" s="19">
        <v>4726.2875269591868</v>
      </c>
      <c r="AG1293" s="19">
        <v>4123.4311255163329</v>
      </c>
      <c r="AH1293" s="19">
        <v>3383.7455165957272</v>
      </c>
      <c r="AI1293" s="19">
        <v>1225.5610183120918</v>
      </c>
      <c r="AJ1293" s="19">
        <v>0</v>
      </c>
      <c r="AK1293" s="19">
        <v>0</v>
      </c>
      <c r="AL1293" s="19">
        <v>0</v>
      </c>
      <c r="AM1293" s="19">
        <v>0</v>
      </c>
      <c r="AN1293" s="19">
        <v>0</v>
      </c>
      <c r="AO1293" s="19">
        <v>0</v>
      </c>
      <c r="AP1293" s="19">
        <v>0</v>
      </c>
      <c r="AQ1293" s="19">
        <v>0</v>
      </c>
      <c r="AR1293" s="19">
        <v>46413.247125702619</v>
      </c>
    </row>
    <row r="1294" spans="1:44" x14ac:dyDescent="0.25">
      <c r="A1294" t="s">
        <v>435</v>
      </c>
      <c r="B1294" t="s">
        <v>466</v>
      </c>
      <c r="C1294" t="s">
        <v>47</v>
      </c>
      <c r="D1294" t="s">
        <v>144</v>
      </c>
      <c r="E1294" t="s">
        <v>134</v>
      </c>
      <c r="F1294" t="s">
        <v>467</v>
      </c>
      <c r="G1294" t="s">
        <v>33</v>
      </c>
      <c r="H1294" t="s">
        <v>453</v>
      </c>
      <c r="I1294" t="s">
        <v>135</v>
      </c>
      <c r="J1294" t="s">
        <v>39</v>
      </c>
      <c r="K1294" t="s">
        <v>33</v>
      </c>
      <c r="L1294">
        <v>7.2880120486938149E-2</v>
      </c>
      <c r="M1294">
        <v>1</v>
      </c>
      <c r="N1294" s="2">
        <v>3.3697309324907936</v>
      </c>
      <c r="O1294" s="2">
        <v>2.8779545327574692</v>
      </c>
      <c r="P1294" s="1">
        <v>-0.60414025211616262</v>
      </c>
      <c r="Q1294" s="1">
        <v>0.462605807810749</v>
      </c>
      <c r="R1294" s="1">
        <v>-0.52509153328775149</v>
      </c>
      <c r="S1294" s="19">
        <v>20.167038660859745</v>
      </c>
      <c r="T1294" s="19">
        <v>40.001835164118368</v>
      </c>
      <c r="U1294" s="19">
        <v>70.477568206197802</v>
      </c>
      <c r="V1294" s="19">
        <v>113.7577032020497</v>
      </c>
      <c r="W1294" s="19">
        <v>171.33727928319234</v>
      </c>
      <c r="X1294" s="19">
        <v>243.49997707049013</v>
      </c>
      <c r="Y1294" s="19">
        <v>328.67355456843859</v>
      </c>
      <c r="Z1294" s="19">
        <v>422.79517135974373</v>
      </c>
      <c r="AA1294" s="19">
        <v>518.89375795800095</v>
      </c>
      <c r="AB1294" s="19">
        <v>607.18213946839774</v>
      </c>
      <c r="AC1294" s="19">
        <v>675.96767882774441</v>
      </c>
      <c r="AD1294" s="19">
        <v>713.55909101579596</v>
      </c>
      <c r="AE1294" s="19">
        <v>711.01462317449398</v>
      </c>
      <c r="AF1294" s="19">
        <v>665.08451557287083</v>
      </c>
      <c r="AG1294" s="19">
        <v>580.25039250554471</v>
      </c>
      <c r="AH1294" s="19">
        <v>476.16162471919296</v>
      </c>
      <c r="AI1294" s="19">
        <v>172.46129261490654</v>
      </c>
      <c r="AJ1294" s="19">
        <v>0</v>
      </c>
      <c r="AK1294" s="19">
        <v>0</v>
      </c>
      <c r="AL1294" s="19">
        <v>0</v>
      </c>
      <c r="AM1294" s="19">
        <v>0</v>
      </c>
      <c r="AN1294" s="19">
        <v>0</v>
      </c>
      <c r="AO1294" s="19">
        <v>0</v>
      </c>
      <c r="AP1294" s="19">
        <v>0</v>
      </c>
      <c r="AQ1294" s="19">
        <v>0</v>
      </c>
      <c r="AR1294" s="19">
        <v>6531.2852433720382</v>
      </c>
    </row>
    <row r="1295" spans="1:44" x14ac:dyDescent="0.25">
      <c r="A1295" t="s">
        <v>435</v>
      </c>
      <c r="B1295" t="s">
        <v>466</v>
      </c>
      <c r="C1295" t="s">
        <v>47</v>
      </c>
      <c r="D1295" t="s">
        <v>144</v>
      </c>
      <c r="E1295" t="s">
        <v>134</v>
      </c>
      <c r="F1295" t="s">
        <v>467</v>
      </c>
      <c r="G1295" t="s">
        <v>33</v>
      </c>
      <c r="H1295" t="s">
        <v>454</v>
      </c>
      <c r="I1295" t="s">
        <v>135</v>
      </c>
      <c r="J1295" t="s">
        <v>39</v>
      </c>
      <c r="K1295" t="s">
        <v>33</v>
      </c>
      <c r="L1295">
        <v>7.2880120486938149E-2</v>
      </c>
      <c r="M1295">
        <v>1</v>
      </c>
      <c r="N1295" s="2">
        <v>3.3697309324907936</v>
      </c>
      <c r="O1295" s="2">
        <v>2.8779545327574692</v>
      </c>
      <c r="P1295" s="1">
        <v>-0.60414025211616262</v>
      </c>
      <c r="Q1295" s="1">
        <v>0.462605807810749</v>
      </c>
      <c r="R1295" s="1">
        <v>-0.52509153328775149</v>
      </c>
      <c r="S1295" s="19">
        <v>9.7942236255943556</v>
      </c>
      <c r="T1295" s="19">
        <v>19.427092178482336</v>
      </c>
      <c r="U1295" s="19">
        <v>34.227785011354413</v>
      </c>
      <c r="V1295" s="19">
        <v>55.246999970166563</v>
      </c>
      <c r="W1295" s="19">
        <v>83.210810318789811</v>
      </c>
      <c r="X1295" s="19">
        <v>118.2569869756876</v>
      </c>
      <c r="Y1295" s="19">
        <v>159.62196271830047</v>
      </c>
      <c r="Z1295" s="19">
        <v>205.33259869013821</v>
      </c>
      <c r="AA1295" s="19">
        <v>252.00335997913115</v>
      </c>
      <c r="AB1295" s="19">
        <v>294.88105593619093</v>
      </c>
      <c r="AC1295" s="19">
        <v>328.28709863893476</v>
      </c>
      <c r="AD1295" s="19">
        <v>346.54355679142645</v>
      </c>
      <c r="AE1295" s="19">
        <v>345.30782320332111</v>
      </c>
      <c r="AF1295" s="19">
        <v>323.00163573758385</v>
      </c>
      <c r="AG1295" s="19">
        <v>281.80151774429771</v>
      </c>
      <c r="AH1295" s="19">
        <v>231.25028482626504</v>
      </c>
      <c r="AI1295" s="19">
        <v>83.756693039307223</v>
      </c>
      <c r="AJ1295" s="19">
        <v>0</v>
      </c>
      <c r="AK1295" s="19">
        <v>0</v>
      </c>
      <c r="AL1295" s="19">
        <v>0</v>
      </c>
      <c r="AM1295" s="19">
        <v>0</v>
      </c>
      <c r="AN1295" s="19">
        <v>0</v>
      </c>
      <c r="AO1295" s="19">
        <v>0</v>
      </c>
      <c r="AP1295" s="19">
        <v>0</v>
      </c>
      <c r="AQ1295" s="19">
        <v>0</v>
      </c>
      <c r="AR1295" s="19">
        <v>3171.9514853849723</v>
      </c>
    </row>
    <row r="1296" spans="1:44" x14ac:dyDescent="0.25">
      <c r="A1296" t="s">
        <v>435</v>
      </c>
      <c r="B1296" t="s">
        <v>466</v>
      </c>
      <c r="C1296" t="s">
        <v>47</v>
      </c>
      <c r="D1296" t="s">
        <v>144</v>
      </c>
      <c r="E1296" t="s">
        <v>134</v>
      </c>
      <c r="F1296" t="s">
        <v>467</v>
      </c>
      <c r="G1296" t="s">
        <v>33</v>
      </c>
      <c r="H1296" t="s">
        <v>455</v>
      </c>
      <c r="I1296" t="s">
        <v>135</v>
      </c>
      <c r="J1296" t="s">
        <v>39</v>
      </c>
      <c r="K1296" t="s">
        <v>33</v>
      </c>
      <c r="L1296">
        <v>7.2880120486938149E-2</v>
      </c>
      <c r="M1296">
        <v>1</v>
      </c>
      <c r="N1296" s="2">
        <v>3.3697309324907936</v>
      </c>
      <c r="O1296" s="2">
        <v>2.8779545327574692</v>
      </c>
      <c r="P1296" s="1">
        <v>-0.60414025211616262</v>
      </c>
      <c r="Q1296" s="1">
        <v>0.462605807810749</v>
      </c>
      <c r="R1296" s="1">
        <v>-0.52509153328775149</v>
      </c>
      <c r="S1296" s="19">
        <v>7.3114179132943393</v>
      </c>
      <c r="T1296" s="19">
        <v>14.502383770960355</v>
      </c>
      <c r="U1296" s="19">
        <v>25.551146270587392</v>
      </c>
      <c r="V1296" s="19">
        <v>41.24205457001041</v>
      </c>
      <c r="W1296" s="19">
        <v>62.117124582972522</v>
      </c>
      <c r="X1296" s="19">
        <v>88.279202721776599</v>
      </c>
      <c r="Y1296" s="19">
        <v>119.15828371776236</v>
      </c>
      <c r="Z1296" s="19">
        <v>153.28141337545279</v>
      </c>
      <c r="AA1296" s="19">
        <v>188.1212795210167</v>
      </c>
      <c r="AB1296" s="19">
        <v>220.12961078700931</v>
      </c>
      <c r="AC1296" s="19">
        <v>245.0673239091451</v>
      </c>
      <c r="AD1296" s="19">
        <v>258.69582579679076</v>
      </c>
      <c r="AE1296" s="19">
        <v>257.77334689110984</v>
      </c>
      <c r="AF1296" s="19">
        <v>241.12170967628197</v>
      </c>
      <c r="AG1296" s="19">
        <v>210.36569549474211</v>
      </c>
      <c r="AH1296" s="19">
        <v>172.62904540129583</v>
      </c>
      <c r="AI1296" s="19">
        <v>62.524627704600157</v>
      </c>
      <c r="AJ1296" s="19">
        <v>0</v>
      </c>
      <c r="AK1296" s="19">
        <v>0</v>
      </c>
      <c r="AL1296" s="19">
        <v>0</v>
      </c>
      <c r="AM1296" s="19">
        <v>0</v>
      </c>
      <c r="AN1296" s="19">
        <v>0</v>
      </c>
      <c r="AO1296" s="19">
        <v>0</v>
      </c>
      <c r="AP1296" s="19">
        <v>0</v>
      </c>
      <c r="AQ1296" s="19">
        <v>0</v>
      </c>
      <c r="AR1296" s="19">
        <v>2367.871492104809</v>
      </c>
    </row>
    <row r="1297" spans="1:44" x14ac:dyDescent="0.25">
      <c r="A1297" t="s">
        <v>435</v>
      </c>
      <c r="B1297" t="s">
        <v>466</v>
      </c>
      <c r="C1297" t="s">
        <v>47</v>
      </c>
      <c r="D1297" t="s">
        <v>144</v>
      </c>
      <c r="E1297" t="s">
        <v>134</v>
      </c>
      <c r="F1297" t="s">
        <v>467</v>
      </c>
      <c r="G1297" t="s">
        <v>33</v>
      </c>
      <c r="H1297" t="s">
        <v>456</v>
      </c>
      <c r="I1297" t="s">
        <v>135</v>
      </c>
      <c r="J1297" t="s">
        <v>39</v>
      </c>
      <c r="K1297" t="s">
        <v>33</v>
      </c>
      <c r="L1297">
        <v>7.2880120486938149E-2</v>
      </c>
      <c r="M1297">
        <v>1</v>
      </c>
      <c r="N1297" s="2">
        <v>3.3697309324907936</v>
      </c>
      <c r="O1297" s="2">
        <v>2.8779545327574692</v>
      </c>
      <c r="P1297" s="1">
        <v>-0.60414025211616262</v>
      </c>
      <c r="Q1297" s="1">
        <v>0.462605807810749</v>
      </c>
      <c r="R1297" s="1">
        <v>-0.52509153328775149</v>
      </c>
      <c r="S1297" s="19">
        <v>47.857613964739201</v>
      </c>
      <c r="T1297" s="19">
        <v>94.926797005698518</v>
      </c>
      <c r="U1297" s="19">
        <v>167.24757209554539</v>
      </c>
      <c r="V1297" s="19">
        <v>269.95397474618522</v>
      </c>
      <c r="W1297" s="19">
        <v>406.59382409068883</v>
      </c>
      <c r="X1297" s="19">
        <v>577.8403115614185</v>
      </c>
      <c r="Y1297" s="19">
        <v>779.96241091573404</v>
      </c>
      <c r="Z1297" s="19">
        <v>1003.3187538019914</v>
      </c>
      <c r="AA1297" s="19">
        <v>1231.3665667365849</v>
      </c>
      <c r="AB1297" s="19">
        <v>1440.8802861750569</v>
      </c>
      <c r="AC1297" s="19">
        <v>1604.1125705165821</v>
      </c>
      <c r="AD1297" s="19">
        <v>1693.3192866407862</v>
      </c>
      <c r="AE1297" s="19">
        <v>1687.2811091104847</v>
      </c>
      <c r="AF1297" s="19">
        <v>1578.2861596822622</v>
      </c>
      <c r="AG1297" s="19">
        <v>1376.9696064159243</v>
      </c>
      <c r="AH1297" s="19">
        <v>1129.9606057115918</v>
      </c>
      <c r="AI1297" s="19">
        <v>409.26117634924253</v>
      </c>
      <c r="AJ1297" s="19">
        <v>0</v>
      </c>
      <c r="AK1297" s="19">
        <v>0</v>
      </c>
      <c r="AL1297" s="19">
        <v>0</v>
      </c>
      <c r="AM1297" s="19">
        <v>0</v>
      </c>
      <c r="AN1297" s="19">
        <v>0</v>
      </c>
      <c r="AO1297" s="19">
        <v>0</v>
      </c>
      <c r="AP1297" s="19">
        <v>0</v>
      </c>
      <c r="AQ1297" s="19">
        <v>0</v>
      </c>
      <c r="AR1297" s="19">
        <v>15499.138625520518</v>
      </c>
    </row>
    <row r="1298" spans="1:44" x14ac:dyDescent="0.25">
      <c r="A1298" t="s">
        <v>435</v>
      </c>
      <c r="B1298" t="s">
        <v>466</v>
      </c>
      <c r="C1298" t="s">
        <v>47</v>
      </c>
      <c r="D1298" t="s">
        <v>144</v>
      </c>
      <c r="E1298" t="s">
        <v>134</v>
      </c>
      <c r="F1298" t="s">
        <v>467</v>
      </c>
      <c r="G1298" t="s">
        <v>33</v>
      </c>
      <c r="H1298" t="s">
        <v>457</v>
      </c>
      <c r="I1298" t="s">
        <v>135</v>
      </c>
      <c r="J1298" t="s">
        <v>39</v>
      </c>
      <c r="K1298" t="s">
        <v>33</v>
      </c>
      <c r="L1298">
        <v>7.2880120486938149E-2</v>
      </c>
      <c r="M1298">
        <v>1</v>
      </c>
      <c r="N1298" s="2">
        <v>3.3697309324907936</v>
      </c>
      <c r="O1298" s="2">
        <v>2.8779545327574692</v>
      </c>
      <c r="P1298" s="1">
        <v>-0.60414025211616262</v>
      </c>
      <c r="Q1298" s="1">
        <v>0.462605807810749</v>
      </c>
      <c r="R1298" s="1">
        <v>-0.52509153328775149</v>
      </c>
      <c r="S1298" s="19">
        <v>5.606899702561825</v>
      </c>
      <c r="T1298" s="19">
        <v>11.121428458354572</v>
      </c>
      <c r="U1298" s="19">
        <v>19.594381845438736</v>
      </c>
      <c r="V1298" s="19">
        <v>31.627252913715481</v>
      </c>
      <c r="W1298" s="19">
        <v>47.635696861887666</v>
      </c>
      <c r="X1298" s="19">
        <v>67.698583414732212</v>
      </c>
      <c r="Y1298" s="19">
        <v>91.378793205087959</v>
      </c>
      <c r="Z1298" s="19">
        <v>117.54676333032148</v>
      </c>
      <c r="AA1298" s="19">
        <v>144.26437644523628</v>
      </c>
      <c r="AB1298" s="19">
        <v>168.8105732545404</v>
      </c>
      <c r="AC1298" s="19">
        <v>187.93453223831489</v>
      </c>
      <c r="AD1298" s="19">
        <v>198.38580777561677</v>
      </c>
      <c r="AE1298" s="19">
        <v>197.67838730489279</v>
      </c>
      <c r="AF1298" s="19">
        <v>184.90876301940068</v>
      </c>
      <c r="AG1298" s="19">
        <v>161.32292935327894</v>
      </c>
      <c r="AH1298" s="19">
        <v>132.38386244535428</v>
      </c>
      <c r="AI1298" s="19">
        <v>47.948198370971291</v>
      </c>
      <c r="AJ1298" s="19">
        <v>0</v>
      </c>
      <c r="AK1298" s="19">
        <v>0</v>
      </c>
      <c r="AL1298" s="19">
        <v>0</v>
      </c>
      <c r="AM1298" s="19">
        <v>0</v>
      </c>
      <c r="AN1298" s="19">
        <v>0</v>
      </c>
      <c r="AO1298" s="19">
        <v>0</v>
      </c>
      <c r="AP1298" s="19">
        <v>0</v>
      </c>
      <c r="AQ1298" s="19">
        <v>0</v>
      </c>
      <c r="AR1298" s="19">
        <v>1815.8472299397065</v>
      </c>
    </row>
    <row r="1299" spans="1:44" x14ac:dyDescent="0.25">
      <c r="A1299" t="s">
        <v>435</v>
      </c>
      <c r="B1299" t="s">
        <v>466</v>
      </c>
      <c r="C1299" t="s">
        <v>47</v>
      </c>
      <c r="D1299" t="s">
        <v>144</v>
      </c>
      <c r="E1299" t="s">
        <v>134</v>
      </c>
      <c r="F1299" t="s">
        <v>467</v>
      </c>
      <c r="G1299" t="s">
        <v>33</v>
      </c>
      <c r="H1299" t="s">
        <v>457</v>
      </c>
      <c r="I1299" t="s">
        <v>256</v>
      </c>
      <c r="J1299" t="s">
        <v>39</v>
      </c>
      <c r="K1299" t="s">
        <v>33</v>
      </c>
      <c r="L1299">
        <v>7.2880120486938149E-2</v>
      </c>
      <c r="M1299">
        <v>1</v>
      </c>
      <c r="N1299" s="2">
        <v>3.0984933282590745</v>
      </c>
      <c r="O1299" s="2">
        <v>2.6463011728329868</v>
      </c>
      <c r="P1299" s="1">
        <v>-0.47866416110189608</v>
      </c>
      <c r="Q1299" s="1">
        <v>1.3498045353129324</v>
      </c>
      <c r="R1299" s="1">
        <v>-0.39961544227348506</v>
      </c>
      <c r="S1299" s="19">
        <v>15.419350399584092</v>
      </c>
      <c r="T1299" s="19">
        <v>30.584674497552161</v>
      </c>
      <c r="U1299" s="19">
        <v>53.885864838998785</v>
      </c>
      <c r="V1299" s="19">
        <v>86.9770676707532</v>
      </c>
      <c r="W1299" s="19">
        <v>131.00136267930947</v>
      </c>
      <c r="X1299" s="19">
        <v>186.17564689988629</v>
      </c>
      <c r="Y1299" s="19">
        <v>251.29781274250439</v>
      </c>
      <c r="Z1299" s="19">
        <v>323.26148643234495</v>
      </c>
      <c r="AA1299" s="19">
        <v>396.73671522432153</v>
      </c>
      <c r="AB1299" s="19">
        <v>464.24040347593768</v>
      </c>
      <c r="AC1299" s="19">
        <v>516.83257388044137</v>
      </c>
      <c r="AD1299" s="19">
        <v>545.57428287848688</v>
      </c>
      <c r="AE1299" s="19">
        <v>543.62882911676763</v>
      </c>
      <c r="AF1299" s="19">
        <v>508.51150550224361</v>
      </c>
      <c r="AG1299" s="19">
        <v>443.64888033381567</v>
      </c>
      <c r="AH1299" s="19">
        <v>364.06450455366451</v>
      </c>
      <c r="AI1299" s="19">
        <v>131.86076279783811</v>
      </c>
      <c r="AJ1299" s="19">
        <v>0</v>
      </c>
      <c r="AK1299" s="19">
        <v>0</v>
      </c>
      <c r="AL1299" s="19">
        <v>0</v>
      </c>
      <c r="AM1299" s="19">
        <v>0</v>
      </c>
      <c r="AN1299" s="19">
        <v>0</v>
      </c>
      <c r="AO1299" s="19">
        <v>0</v>
      </c>
      <c r="AP1299" s="19">
        <v>0</v>
      </c>
      <c r="AQ1299" s="19">
        <v>0</v>
      </c>
      <c r="AR1299" s="19">
        <v>4993.7017239244497</v>
      </c>
    </row>
    <row r="1300" spans="1:44" x14ac:dyDescent="0.25">
      <c r="A1300" t="s">
        <v>435</v>
      </c>
      <c r="B1300" t="s">
        <v>466</v>
      </c>
      <c r="C1300" t="s">
        <v>47</v>
      </c>
      <c r="D1300" t="s">
        <v>144</v>
      </c>
      <c r="E1300" t="s">
        <v>134</v>
      </c>
      <c r="F1300" t="s">
        <v>467</v>
      </c>
      <c r="G1300" t="s">
        <v>33</v>
      </c>
      <c r="H1300" t="s">
        <v>452</v>
      </c>
      <c r="I1300" t="s">
        <v>135</v>
      </c>
      <c r="J1300" t="s">
        <v>40</v>
      </c>
      <c r="K1300" t="s">
        <v>33</v>
      </c>
      <c r="L1300">
        <v>7.2880120486938149E-2</v>
      </c>
      <c r="M1300">
        <v>1</v>
      </c>
      <c r="N1300" s="2">
        <v>3.3697309324907936</v>
      </c>
      <c r="O1300" s="2">
        <v>1.7054155637884914</v>
      </c>
      <c r="P1300" s="1">
        <v>-0.60414025211616262</v>
      </c>
      <c r="Q1300" s="1">
        <v>1.3498045353129324</v>
      </c>
      <c r="R1300" s="1">
        <v>-0.38209153328775142</v>
      </c>
      <c r="S1300" s="19">
        <v>10.49374934813352</v>
      </c>
      <c r="T1300" s="19">
        <v>20.814619277360801</v>
      </c>
      <c r="U1300" s="19">
        <v>36.672411247824478</v>
      </c>
      <c r="V1300" s="19">
        <v>59.192866334832786</v>
      </c>
      <c r="W1300" s="19">
        <v>89.153915605788868</v>
      </c>
      <c r="X1300" s="19">
        <v>126.70316989143174</v>
      </c>
      <c r="Y1300" s="19">
        <v>171.02252626188229</v>
      </c>
      <c r="Z1300" s="19">
        <v>219.99791979677644</v>
      </c>
      <c r="AA1300" s="19">
        <v>270.00201298221708</v>
      </c>
      <c r="AB1300" s="19">
        <v>315.94213148462256</v>
      </c>
      <c r="AC1300" s="19">
        <v>351.73410971958594</v>
      </c>
      <c r="AD1300" s="19">
        <v>371.29448562690158</v>
      </c>
      <c r="AE1300" s="19">
        <v>369.97049313598473</v>
      </c>
      <c r="AF1300" s="19">
        <v>346.07114703914499</v>
      </c>
      <c r="AG1300" s="19">
        <v>301.92842293334996</v>
      </c>
      <c r="AH1300" s="19">
        <v>247.7667060112739</v>
      </c>
      <c r="AI1300" s="19">
        <v>89.738786511494169</v>
      </c>
      <c r="AJ1300" s="19">
        <v>0</v>
      </c>
      <c r="AK1300" s="19">
        <v>0</v>
      </c>
      <c r="AL1300" s="19">
        <v>0</v>
      </c>
      <c r="AM1300" s="19">
        <v>0</v>
      </c>
      <c r="AN1300" s="19">
        <v>0</v>
      </c>
      <c r="AO1300" s="19">
        <v>0</v>
      </c>
      <c r="AP1300" s="19">
        <v>0</v>
      </c>
      <c r="AQ1300" s="19">
        <v>0</v>
      </c>
      <c r="AR1300" s="19">
        <v>3398.4994732086057</v>
      </c>
    </row>
    <row r="1301" spans="1:44" x14ac:dyDescent="0.25">
      <c r="A1301" t="s">
        <v>435</v>
      </c>
      <c r="B1301" t="s">
        <v>466</v>
      </c>
      <c r="C1301" t="s">
        <v>47</v>
      </c>
      <c r="D1301" t="s">
        <v>144</v>
      </c>
      <c r="E1301" t="s">
        <v>134</v>
      </c>
      <c r="F1301" t="s">
        <v>467</v>
      </c>
      <c r="G1301" t="s">
        <v>33</v>
      </c>
      <c r="H1301" t="s">
        <v>453</v>
      </c>
      <c r="I1301" t="s">
        <v>135</v>
      </c>
      <c r="J1301" t="s">
        <v>40</v>
      </c>
      <c r="K1301" t="s">
        <v>33</v>
      </c>
      <c r="L1301">
        <v>7.2880120486938149E-2</v>
      </c>
      <c r="M1301">
        <v>1</v>
      </c>
      <c r="N1301" s="2">
        <v>3.3697309324907936</v>
      </c>
      <c r="O1301" s="2">
        <v>1.7054155637884914</v>
      </c>
      <c r="P1301" s="1">
        <v>-0.60414025211616262</v>
      </c>
      <c r="Q1301" s="1">
        <v>1.3498045353129324</v>
      </c>
      <c r="R1301" s="1">
        <v>-0.38209153328775142</v>
      </c>
      <c r="S1301" s="19">
        <v>410.694004464621</v>
      </c>
      <c r="T1301" s="19">
        <v>814.62202486723936</v>
      </c>
      <c r="U1301" s="19">
        <v>1435.248635076395</v>
      </c>
      <c r="V1301" s="19">
        <v>2316.6319781704597</v>
      </c>
      <c r="W1301" s="19">
        <v>3489.2179524332596</v>
      </c>
      <c r="X1301" s="19">
        <v>4958.7836048636655</v>
      </c>
      <c r="Y1301" s="19">
        <v>6693.3108304746347</v>
      </c>
      <c r="Z1301" s="19">
        <v>8610.0614430337155</v>
      </c>
      <c r="AA1301" s="19">
        <v>10567.072287170507</v>
      </c>
      <c r="AB1301" s="19">
        <v>12365.031301380044</v>
      </c>
      <c r="AC1301" s="19">
        <v>13765.822418202581</v>
      </c>
      <c r="AD1301" s="19">
        <v>14531.357104014143</v>
      </c>
      <c r="AE1301" s="19">
        <v>14479.53999270946</v>
      </c>
      <c r="AF1301" s="19">
        <v>13544.190974263272</v>
      </c>
      <c r="AG1301" s="19">
        <v>11816.576607887117</v>
      </c>
      <c r="AH1301" s="19">
        <v>9696.84878959659</v>
      </c>
      <c r="AI1301" s="19">
        <v>3512.1080526624391</v>
      </c>
      <c r="AJ1301" s="19">
        <v>0</v>
      </c>
      <c r="AK1301" s="19">
        <v>0</v>
      </c>
      <c r="AL1301" s="19">
        <v>0</v>
      </c>
      <c r="AM1301" s="19">
        <v>0</v>
      </c>
      <c r="AN1301" s="19">
        <v>0</v>
      </c>
      <c r="AO1301" s="19">
        <v>0</v>
      </c>
      <c r="AP1301" s="19">
        <v>0</v>
      </c>
      <c r="AQ1301" s="19">
        <v>0</v>
      </c>
      <c r="AR1301" s="19">
        <v>133007.11800127014</v>
      </c>
    </row>
    <row r="1302" spans="1:44" x14ac:dyDescent="0.25">
      <c r="A1302" t="s">
        <v>435</v>
      </c>
      <c r="B1302" t="s">
        <v>466</v>
      </c>
      <c r="C1302" t="s">
        <v>47</v>
      </c>
      <c r="D1302" t="s">
        <v>144</v>
      </c>
      <c r="E1302" t="s">
        <v>134</v>
      </c>
      <c r="F1302" t="s">
        <v>467</v>
      </c>
      <c r="G1302" t="s">
        <v>33</v>
      </c>
      <c r="H1302" t="s">
        <v>456</v>
      </c>
      <c r="I1302" t="s">
        <v>135</v>
      </c>
      <c r="J1302" t="s">
        <v>40</v>
      </c>
      <c r="K1302" t="s">
        <v>33</v>
      </c>
      <c r="L1302">
        <v>7.2880120486938149E-2</v>
      </c>
      <c r="M1302">
        <v>1</v>
      </c>
      <c r="N1302" s="2">
        <v>3.3697309324907936</v>
      </c>
      <c r="O1302" s="2">
        <v>1.7054155637884914</v>
      </c>
      <c r="P1302" s="1">
        <v>-0.60414025211616262</v>
      </c>
      <c r="Q1302" s="1">
        <v>1.3498045353129324</v>
      </c>
      <c r="R1302" s="1">
        <v>-0.38209153328775142</v>
      </c>
      <c r="S1302" s="19">
        <v>176.6766127089752</v>
      </c>
      <c r="T1302" s="19">
        <v>350.44256411605033</v>
      </c>
      <c r="U1302" s="19">
        <v>617.43016572895101</v>
      </c>
      <c r="V1302" s="19">
        <v>996.59280716796479</v>
      </c>
      <c r="W1302" s="19">
        <v>1501.0280211976149</v>
      </c>
      <c r="X1302" s="19">
        <v>2133.2210379019184</v>
      </c>
      <c r="Y1302" s="19">
        <v>2879.3979763062907</v>
      </c>
      <c r="Z1302" s="19">
        <v>3703.9656640577791</v>
      </c>
      <c r="AA1302" s="19">
        <v>4545.852916411387</v>
      </c>
      <c r="AB1302" s="19">
        <v>5319.3176004994984</v>
      </c>
      <c r="AC1302" s="19">
        <v>5921.9244731166209</v>
      </c>
      <c r="AD1302" s="19">
        <v>6251.2501358487352</v>
      </c>
      <c r="AE1302" s="19">
        <v>6228.9589126846422</v>
      </c>
      <c r="AF1302" s="19">
        <v>5826.5807564825245</v>
      </c>
      <c r="AG1302" s="19">
        <v>5083.3776636674829</v>
      </c>
      <c r="AH1302" s="19">
        <v>4171.4911332352676</v>
      </c>
      <c r="AI1302" s="19">
        <v>1510.8751222731166</v>
      </c>
      <c r="AJ1302" s="19">
        <v>0</v>
      </c>
      <c r="AK1302" s="19">
        <v>0</v>
      </c>
      <c r="AL1302" s="19">
        <v>0</v>
      </c>
      <c r="AM1302" s="19">
        <v>0</v>
      </c>
      <c r="AN1302" s="19">
        <v>0</v>
      </c>
      <c r="AO1302" s="19">
        <v>0</v>
      </c>
      <c r="AP1302" s="19">
        <v>0</v>
      </c>
      <c r="AQ1302" s="19">
        <v>0</v>
      </c>
      <c r="AR1302" s="19">
        <v>57218.383563404823</v>
      </c>
    </row>
    <row r="1303" spans="1:44" x14ac:dyDescent="0.25">
      <c r="A1303" t="s">
        <v>435</v>
      </c>
      <c r="B1303" t="s">
        <v>466</v>
      </c>
      <c r="C1303" t="s">
        <v>47</v>
      </c>
      <c r="D1303" t="s">
        <v>144</v>
      </c>
      <c r="E1303" t="s">
        <v>134</v>
      </c>
      <c r="F1303" t="s">
        <v>467</v>
      </c>
      <c r="G1303" t="s">
        <v>33</v>
      </c>
      <c r="H1303" t="s">
        <v>450</v>
      </c>
      <c r="I1303" t="s">
        <v>256</v>
      </c>
      <c r="J1303" t="s">
        <v>40</v>
      </c>
      <c r="K1303" t="s">
        <v>33</v>
      </c>
      <c r="L1303">
        <v>7.2880120486938149E-2</v>
      </c>
      <c r="M1303">
        <v>1</v>
      </c>
      <c r="N1303" s="2">
        <v>3.0984933282590745</v>
      </c>
      <c r="O1303" s="2">
        <v>1.4737622038640088</v>
      </c>
      <c r="P1303" s="1">
        <v>-0.47866416110189608</v>
      </c>
      <c r="Q1303" s="1">
        <v>1.3498045353129324</v>
      </c>
      <c r="R1303" s="1">
        <v>-0.25661544227348498</v>
      </c>
      <c r="S1303" s="19">
        <v>196.85918919662225</v>
      </c>
      <c r="T1303" s="19">
        <v>390.47521895560067</v>
      </c>
      <c r="U1303" s="19">
        <v>687.96203383835166</v>
      </c>
      <c r="V1303" s="19">
        <v>1110.4381557361885</v>
      </c>
      <c r="W1303" s="19">
        <v>1672.4973084078251</v>
      </c>
      <c r="X1303" s="19">
        <v>2376.9086211217318</v>
      </c>
      <c r="Y1303" s="19">
        <v>3208.3247595636963</v>
      </c>
      <c r="Z1303" s="19">
        <v>4127.0865807215096</v>
      </c>
      <c r="AA1303" s="19">
        <v>5065.1464594577055</v>
      </c>
      <c r="AB1303" s="19">
        <v>5926.9675474169726</v>
      </c>
      <c r="AC1303" s="19">
        <v>6598.4129556619573</v>
      </c>
      <c r="AD1303" s="19">
        <v>6965.3589931314164</v>
      </c>
      <c r="AE1303" s="19">
        <v>6940.5213417241357</v>
      </c>
      <c r="AF1303" s="19">
        <v>6492.1776907687081</v>
      </c>
      <c r="AG1303" s="19">
        <v>5664.0751138815795</v>
      </c>
      <c r="AH1303" s="19">
        <v>4648.0196197913447</v>
      </c>
      <c r="AI1303" s="19">
        <v>1683.4692888184763</v>
      </c>
      <c r="AJ1303" s="19">
        <v>0</v>
      </c>
      <c r="AK1303" s="19">
        <v>0</v>
      </c>
      <c r="AL1303" s="19">
        <v>0</v>
      </c>
      <c r="AM1303" s="19">
        <v>0</v>
      </c>
      <c r="AN1303" s="19">
        <v>0</v>
      </c>
      <c r="AO1303" s="19">
        <v>0</v>
      </c>
      <c r="AP1303" s="19">
        <v>0</v>
      </c>
      <c r="AQ1303" s="19">
        <v>0</v>
      </c>
      <c r="AR1303" s="19">
        <v>63754.70087819382</v>
      </c>
    </row>
    <row r="1304" spans="1:44" x14ac:dyDescent="0.25">
      <c r="A1304" t="s">
        <v>435</v>
      </c>
      <c r="B1304" t="s">
        <v>466</v>
      </c>
      <c r="C1304" t="s">
        <v>47</v>
      </c>
      <c r="D1304" t="s">
        <v>144</v>
      </c>
      <c r="E1304" t="s">
        <v>134</v>
      </c>
      <c r="F1304" t="s">
        <v>467</v>
      </c>
      <c r="G1304" t="s">
        <v>33</v>
      </c>
      <c r="H1304" t="s">
        <v>452</v>
      </c>
      <c r="I1304" t="s">
        <v>256</v>
      </c>
      <c r="J1304" t="s">
        <v>40</v>
      </c>
      <c r="K1304" t="s">
        <v>33</v>
      </c>
      <c r="L1304">
        <v>7.2880120486938149E-2</v>
      </c>
      <c r="M1304">
        <v>1</v>
      </c>
      <c r="N1304" s="2">
        <v>3.0984933282590745</v>
      </c>
      <c r="O1304" s="2">
        <v>1.4737622038640088</v>
      </c>
      <c r="P1304" s="1">
        <v>-0.47866416110189608</v>
      </c>
      <c r="Q1304" s="1">
        <v>1.3498045353129324</v>
      </c>
      <c r="R1304" s="1">
        <v>-0.25661544227348498</v>
      </c>
      <c r="S1304" s="19">
        <v>63.278488765487069</v>
      </c>
      <c r="T1304" s="19">
        <v>125.51449519181016</v>
      </c>
      <c r="U1304" s="19">
        <v>221.13876424554908</v>
      </c>
      <c r="V1304" s="19">
        <v>356.93964121907624</v>
      </c>
      <c r="W1304" s="19">
        <v>537.60813794008982</v>
      </c>
      <c r="X1304" s="19">
        <v>764.03436431923308</v>
      </c>
      <c r="Y1304" s="19">
        <v>1031.2850676800858</v>
      </c>
      <c r="Z1304" s="19">
        <v>1326.6121987911724</v>
      </c>
      <c r="AA1304" s="19">
        <v>1628.1425044893997</v>
      </c>
      <c r="AB1304" s="19">
        <v>1905.1665857875364</v>
      </c>
      <c r="AC1304" s="19">
        <v>2120.9962399462315</v>
      </c>
      <c r="AD1304" s="19">
        <v>2238.9475065561901</v>
      </c>
      <c r="AE1304" s="19">
        <v>2230.9636829310366</v>
      </c>
      <c r="AF1304" s="19">
        <v>2086.8479380890508</v>
      </c>
      <c r="AG1304" s="19">
        <v>1820.6623471493008</v>
      </c>
      <c r="AH1304" s="19">
        <v>1494.0611027253822</v>
      </c>
      <c r="AI1304" s="19">
        <v>541.13497527993218</v>
      </c>
      <c r="AJ1304" s="19">
        <v>0</v>
      </c>
      <c r="AK1304" s="19">
        <v>0</v>
      </c>
      <c r="AL1304" s="19">
        <v>0</v>
      </c>
      <c r="AM1304" s="19">
        <v>0</v>
      </c>
      <c r="AN1304" s="19">
        <v>0</v>
      </c>
      <c r="AO1304" s="19">
        <v>0</v>
      </c>
      <c r="AP1304" s="19">
        <v>0</v>
      </c>
      <c r="AQ1304" s="19">
        <v>0</v>
      </c>
      <c r="AR1304" s="19">
        <v>20493.334041106558</v>
      </c>
    </row>
    <row r="1305" spans="1:44" x14ac:dyDescent="0.25">
      <c r="A1305" t="s">
        <v>435</v>
      </c>
      <c r="B1305" t="s">
        <v>466</v>
      </c>
      <c r="C1305" t="s">
        <v>47</v>
      </c>
      <c r="D1305" t="s">
        <v>144</v>
      </c>
      <c r="E1305" t="s">
        <v>134</v>
      </c>
      <c r="F1305" t="s">
        <v>467</v>
      </c>
      <c r="G1305" t="s">
        <v>33</v>
      </c>
      <c r="H1305" t="s">
        <v>453</v>
      </c>
      <c r="I1305" t="s">
        <v>256</v>
      </c>
      <c r="J1305" t="s">
        <v>40</v>
      </c>
      <c r="K1305" t="s">
        <v>33</v>
      </c>
      <c r="L1305">
        <v>7.2880120486938149E-2</v>
      </c>
      <c r="M1305">
        <v>1</v>
      </c>
      <c r="N1305" s="2">
        <v>3.0984933282590745</v>
      </c>
      <c r="O1305" s="2">
        <v>1.4737622038640088</v>
      </c>
      <c r="P1305" s="1">
        <v>-0.47866416110189608</v>
      </c>
      <c r="Q1305" s="1">
        <v>1.3498045353129324</v>
      </c>
      <c r="R1305" s="1">
        <v>-0.25661544227348498</v>
      </c>
      <c r="S1305" s="19">
        <v>211.42414044227357</v>
      </c>
      <c r="T1305" s="19">
        <v>419.36517095597674</v>
      </c>
      <c r="U1305" s="19">
        <v>738.86203765634309</v>
      </c>
      <c r="V1305" s="19">
        <v>1192.59575104892</v>
      </c>
      <c r="W1305" s="19">
        <v>1796.2397755735944</v>
      </c>
      <c r="X1305" s="19">
        <v>2552.7681190871967</v>
      </c>
      <c r="Y1305" s="19">
        <v>3445.6979494765551</v>
      </c>
      <c r="Z1305" s="19">
        <v>4432.4358767340627</v>
      </c>
      <c r="AA1305" s="19">
        <v>5439.8996601345634</v>
      </c>
      <c r="AB1305" s="19">
        <v>6365.4840002936735</v>
      </c>
      <c r="AC1305" s="19">
        <v>7086.60740261714</v>
      </c>
      <c r="AD1305" s="19">
        <v>7480.702546853413</v>
      </c>
      <c r="AE1305" s="19">
        <v>7454.0272409110303</v>
      </c>
      <c r="AF1305" s="19">
        <v>6972.5121467320851</v>
      </c>
      <c r="AG1305" s="19">
        <v>6083.1410372050495</v>
      </c>
      <c r="AH1305" s="19">
        <v>4991.9110044270656</v>
      </c>
      <c r="AI1305" s="19">
        <v>1808.0235360205195</v>
      </c>
      <c r="AJ1305" s="19">
        <v>0</v>
      </c>
      <c r="AK1305" s="19">
        <v>0</v>
      </c>
      <c r="AL1305" s="19">
        <v>0</v>
      </c>
      <c r="AM1305" s="19">
        <v>0</v>
      </c>
      <c r="AN1305" s="19">
        <v>0</v>
      </c>
      <c r="AO1305" s="19">
        <v>0</v>
      </c>
      <c r="AP1305" s="19">
        <v>0</v>
      </c>
      <c r="AQ1305" s="19">
        <v>0</v>
      </c>
      <c r="AR1305" s="19">
        <v>68471.697396169475</v>
      </c>
    </row>
    <row r="1306" spans="1:44" x14ac:dyDescent="0.25">
      <c r="A1306" t="s">
        <v>435</v>
      </c>
      <c r="B1306" t="s">
        <v>466</v>
      </c>
      <c r="C1306" t="s">
        <v>47</v>
      </c>
      <c r="D1306" t="s">
        <v>144</v>
      </c>
      <c r="E1306" t="s">
        <v>134</v>
      </c>
      <c r="F1306" t="s">
        <v>467</v>
      </c>
      <c r="G1306" t="s">
        <v>33</v>
      </c>
      <c r="H1306" t="s">
        <v>456</v>
      </c>
      <c r="I1306" t="s">
        <v>256</v>
      </c>
      <c r="J1306" t="s">
        <v>40</v>
      </c>
      <c r="K1306" t="s">
        <v>33</v>
      </c>
      <c r="L1306">
        <v>7.2880120486938149E-2</v>
      </c>
      <c r="M1306">
        <v>1</v>
      </c>
      <c r="N1306" s="2">
        <v>3.0984933282590745</v>
      </c>
      <c r="O1306" s="2">
        <v>1.4737622038640088</v>
      </c>
      <c r="P1306" s="1">
        <v>-0.47866416110189608</v>
      </c>
      <c r="Q1306" s="1">
        <v>1.3498045353129324</v>
      </c>
      <c r="R1306" s="1">
        <v>-0.25661544227348498</v>
      </c>
      <c r="S1306" s="19">
        <v>265.31175080416324</v>
      </c>
      <c r="T1306" s="19">
        <v>526.252619496855</v>
      </c>
      <c r="U1306" s="19">
        <v>927.18258380177235</v>
      </c>
      <c r="V1306" s="19">
        <v>1496.5635714564314</v>
      </c>
      <c r="W1306" s="19">
        <v>2254.0638865769765</v>
      </c>
      <c r="X1306" s="19">
        <v>3203.4155496874146</v>
      </c>
      <c r="Y1306" s="19">
        <v>4323.9345980339731</v>
      </c>
      <c r="Z1306" s="19">
        <v>5562.1714735294599</v>
      </c>
      <c r="AA1306" s="19">
        <v>6826.4167942701797</v>
      </c>
      <c r="AB1306" s="19">
        <v>7987.9133068766914</v>
      </c>
      <c r="AC1306" s="19">
        <v>8892.8360466171507</v>
      </c>
      <c r="AD1306" s="19">
        <v>9387.3778358471882</v>
      </c>
      <c r="AE1306" s="19">
        <v>9353.9035499496313</v>
      </c>
      <c r="AF1306" s="19">
        <v>8749.6602861103802</v>
      </c>
      <c r="AG1306" s="19">
        <v>7633.6070024614164</v>
      </c>
      <c r="AH1306" s="19">
        <v>6264.2451598601938</v>
      </c>
      <c r="AI1306" s="19">
        <v>2268.8510821578161</v>
      </c>
      <c r="AJ1306" s="19">
        <v>0</v>
      </c>
      <c r="AK1306" s="19">
        <v>0</v>
      </c>
      <c r="AL1306" s="19">
        <v>0</v>
      </c>
      <c r="AM1306" s="19">
        <v>0</v>
      </c>
      <c r="AN1306" s="19">
        <v>0</v>
      </c>
      <c r="AO1306" s="19">
        <v>0</v>
      </c>
      <c r="AP1306" s="19">
        <v>0</v>
      </c>
      <c r="AQ1306" s="19">
        <v>0</v>
      </c>
      <c r="AR1306" s="19">
        <v>85923.707097537685</v>
      </c>
    </row>
    <row r="1307" spans="1:44" x14ac:dyDescent="0.25">
      <c r="A1307" t="s">
        <v>435</v>
      </c>
      <c r="B1307" t="s">
        <v>466</v>
      </c>
      <c r="C1307" t="s">
        <v>47</v>
      </c>
      <c r="D1307" t="s">
        <v>144</v>
      </c>
      <c r="E1307" t="s">
        <v>134</v>
      </c>
      <c r="F1307" t="s">
        <v>467</v>
      </c>
      <c r="G1307" t="s">
        <v>33</v>
      </c>
      <c r="H1307" t="s">
        <v>457</v>
      </c>
      <c r="I1307" t="s">
        <v>256</v>
      </c>
      <c r="J1307" t="s">
        <v>40</v>
      </c>
      <c r="K1307" t="s">
        <v>33</v>
      </c>
      <c r="L1307">
        <v>7.2880120486938149E-2</v>
      </c>
      <c r="M1307">
        <v>1</v>
      </c>
      <c r="N1307" s="2">
        <v>3.0984933282590745</v>
      </c>
      <c r="O1307" s="2">
        <v>1.4737622038640088</v>
      </c>
      <c r="P1307" s="1">
        <v>-0.47866416110189608</v>
      </c>
      <c r="Q1307" s="1">
        <v>1.3498045353129324</v>
      </c>
      <c r="R1307" s="1">
        <v>-0.25661544227348498</v>
      </c>
      <c r="S1307" s="19">
        <v>141.09297124506779</v>
      </c>
      <c r="T1307" s="19">
        <v>279.86150438213548</v>
      </c>
      <c r="U1307" s="19">
        <v>493.07633468460131</v>
      </c>
      <c r="V1307" s="19">
        <v>795.87353486570396</v>
      </c>
      <c r="W1307" s="19">
        <v>1198.7127225589911</v>
      </c>
      <c r="X1307" s="19">
        <v>1703.5785888415955</v>
      </c>
      <c r="Y1307" s="19">
        <v>2299.4713881191119</v>
      </c>
      <c r="Z1307" s="19">
        <v>2957.9666087014261</v>
      </c>
      <c r="AA1307" s="19">
        <v>3630.2931383229807</v>
      </c>
      <c r="AB1307" s="19">
        <v>4247.9777812297407</v>
      </c>
      <c r="AC1307" s="19">
        <v>4729.2163155585613</v>
      </c>
      <c r="AD1307" s="19">
        <v>4992.2139786316257</v>
      </c>
      <c r="AE1307" s="19">
        <v>4974.41233040731</v>
      </c>
      <c r="AF1307" s="19">
        <v>4653.0753478142287</v>
      </c>
      <c r="AG1307" s="19">
        <v>4059.5574452691594</v>
      </c>
      <c r="AH1307" s="19">
        <v>3331.3298771474551</v>
      </c>
      <c r="AI1307" s="19">
        <v>1206.5765633220053</v>
      </c>
      <c r="AJ1307" s="19">
        <v>0</v>
      </c>
      <c r="AK1307" s="19">
        <v>0</v>
      </c>
      <c r="AL1307" s="19">
        <v>0</v>
      </c>
      <c r="AM1307" s="19">
        <v>0</v>
      </c>
      <c r="AN1307" s="19">
        <v>0</v>
      </c>
      <c r="AO1307" s="19">
        <v>0</v>
      </c>
      <c r="AP1307" s="19">
        <v>0</v>
      </c>
      <c r="AQ1307" s="19">
        <v>0</v>
      </c>
      <c r="AR1307" s="19">
        <v>45694.286431101711</v>
      </c>
    </row>
    <row r="1308" spans="1:44" x14ac:dyDescent="0.25">
      <c r="A1308" t="s">
        <v>435</v>
      </c>
      <c r="B1308" t="s">
        <v>468</v>
      </c>
      <c r="C1308" t="s">
        <v>47</v>
      </c>
      <c r="D1308" t="s">
        <v>187</v>
      </c>
      <c r="E1308" t="s">
        <v>134</v>
      </c>
      <c r="F1308" t="s">
        <v>187</v>
      </c>
      <c r="G1308" t="s">
        <v>33</v>
      </c>
      <c r="H1308" t="s">
        <v>450</v>
      </c>
      <c r="I1308" t="s">
        <v>135</v>
      </c>
      <c r="J1308" t="s">
        <v>39</v>
      </c>
      <c r="K1308" t="s">
        <v>31</v>
      </c>
      <c r="L1308">
        <v>6.3919579739479149E-2</v>
      </c>
      <c r="M1308">
        <v>1</v>
      </c>
      <c r="N1308" s="2">
        <v>3.1656152093206575</v>
      </c>
      <c r="O1308" s="2">
        <v>2.8779545327574692</v>
      </c>
      <c r="P1308" s="1">
        <v>-0.574311889298731</v>
      </c>
      <c r="Q1308" s="1">
        <v>0.4924341706281804</v>
      </c>
      <c r="R1308" s="1">
        <v>-0.52509153328775149</v>
      </c>
      <c r="S1308" s="19">
        <v>27.896519218157906</v>
      </c>
      <c r="T1308" s="19">
        <v>45.027716397717725</v>
      </c>
      <c r="U1308" s="19">
        <v>67.818936236936395</v>
      </c>
      <c r="V1308" s="19">
        <v>96.382465554062321</v>
      </c>
      <c r="W1308" s="19">
        <v>130.09597755548569</v>
      </c>
      <c r="X1308" s="19">
        <v>167.35131366442698</v>
      </c>
      <c r="Y1308" s="19">
        <v>205.38917643563911</v>
      </c>
      <c r="Z1308" s="19">
        <v>240.33559405803729</v>
      </c>
      <c r="AA1308" s="19">
        <v>267.56237230122633</v>
      </c>
      <c r="AB1308" s="19">
        <v>282.4418521021405</v>
      </c>
      <c r="AC1308" s="19">
        <v>281.4346976579464</v>
      </c>
      <c r="AD1308" s="19">
        <v>263.2545850063288</v>
      </c>
      <c r="AE1308" s="19">
        <v>229.67543628230803</v>
      </c>
      <c r="AF1308" s="19">
        <v>188.47488999712863</v>
      </c>
      <c r="AG1308" s="19">
        <v>33.773134627605458</v>
      </c>
      <c r="AH1308" s="19">
        <v>0</v>
      </c>
      <c r="AI1308" s="19">
        <v>0</v>
      </c>
      <c r="AJ1308" s="19">
        <v>0</v>
      </c>
      <c r="AK1308" s="19">
        <v>0</v>
      </c>
      <c r="AL1308" s="19">
        <v>0</v>
      </c>
      <c r="AM1308" s="19">
        <v>0</v>
      </c>
      <c r="AN1308" s="19">
        <v>0</v>
      </c>
      <c r="AO1308" s="19">
        <v>0</v>
      </c>
      <c r="AP1308" s="19">
        <v>0</v>
      </c>
      <c r="AQ1308" s="19">
        <v>0</v>
      </c>
      <c r="AR1308" s="19">
        <v>2526.9146670951473</v>
      </c>
    </row>
    <row r="1309" spans="1:44" x14ac:dyDescent="0.25">
      <c r="A1309" t="s">
        <v>435</v>
      </c>
      <c r="B1309" t="s">
        <v>468</v>
      </c>
      <c r="C1309" t="s">
        <v>47</v>
      </c>
      <c r="D1309" t="s">
        <v>187</v>
      </c>
      <c r="E1309" t="s">
        <v>134</v>
      </c>
      <c r="F1309" t="s">
        <v>187</v>
      </c>
      <c r="G1309" t="s">
        <v>33</v>
      </c>
      <c r="H1309" t="s">
        <v>451</v>
      </c>
      <c r="I1309" t="s">
        <v>135</v>
      </c>
      <c r="J1309" t="s">
        <v>39</v>
      </c>
      <c r="K1309" t="s">
        <v>31</v>
      </c>
      <c r="L1309">
        <v>6.3919579739479149E-2</v>
      </c>
      <c r="M1309">
        <v>1</v>
      </c>
      <c r="N1309" s="2">
        <v>3.1656152093206575</v>
      </c>
      <c r="O1309" s="2">
        <v>2.8779545327574692</v>
      </c>
      <c r="P1309" s="1">
        <v>-0.574311889298731</v>
      </c>
      <c r="Q1309" s="1">
        <v>0.4924341706281804</v>
      </c>
      <c r="R1309" s="1">
        <v>-0.52509153328775149</v>
      </c>
      <c r="S1309" s="19">
        <v>7.297249963498845</v>
      </c>
      <c r="T1309" s="19">
        <v>11.778476707796925</v>
      </c>
      <c r="U1309" s="19">
        <v>17.740268099734411</v>
      </c>
      <c r="V1309" s="19">
        <v>25.211996441065416</v>
      </c>
      <c r="W1309" s="19">
        <v>34.030871738657098</v>
      </c>
      <c r="X1309" s="19">
        <v>43.776227348619869</v>
      </c>
      <c r="Y1309" s="19">
        <v>53.726278483964734</v>
      </c>
      <c r="Z1309" s="19">
        <v>62.867660701767441</v>
      </c>
      <c r="AA1309" s="19">
        <v>69.989717937208496</v>
      </c>
      <c r="AB1309" s="19">
        <v>73.881934116043738</v>
      </c>
      <c r="AC1309" s="19">
        <v>73.618479823640541</v>
      </c>
      <c r="AD1309" s="19">
        <v>68.862874819806592</v>
      </c>
      <c r="AE1309" s="19">
        <v>60.079146646250464</v>
      </c>
      <c r="AF1309" s="19">
        <v>49.301791861429749</v>
      </c>
      <c r="AG1309" s="19">
        <v>8.8344715518531132</v>
      </c>
      <c r="AH1309" s="19">
        <v>0</v>
      </c>
      <c r="AI1309" s="19">
        <v>0</v>
      </c>
      <c r="AJ1309" s="19">
        <v>0</v>
      </c>
      <c r="AK1309" s="19">
        <v>0</v>
      </c>
      <c r="AL1309" s="19">
        <v>0</v>
      </c>
      <c r="AM1309" s="19">
        <v>0</v>
      </c>
      <c r="AN1309" s="19">
        <v>0</v>
      </c>
      <c r="AO1309" s="19">
        <v>0</v>
      </c>
      <c r="AP1309" s="19">
        <v>0</v>
      </c>
      <c r="AQ1309" s="19">
        <v>0</v>
      </c>
      <c r="AR1309" s="19">
        <v>660.99744624133734</v>
      </c>
    </row>
    <row r="1310" spans="1:44" x14ac:dyDescent="0.25">
      <c r="A1310" t="s">
        <v>435</v>
      </c>
      <c r="B1310" t="s">
        <v>468</v>
      </c>
      <c r="C1310" t="s">
        <v>47</v>
      </c>
      <c r="D1310" t="s">
        <v>187</v>
      </c>
      <c r="E1310" t="s">
        <v>134</v>
      </c>
      <c r="F1310" t="s">
        <v>187</v>
      </c>
      <c r="G1310" t="s">
        <v>33</v>
      </c>
      <c r="H1310" t="s">
        <v>452</v>
      </c>
      <c r="I1310" t="s">
        <v>135</v>
      </c>
      <c r="J1310" t="s">
        <v>39</v>
      </c>
      <c r="K1310" t="s">
        <v>31</v>
      </c>
      <c r="L1310">
        <v>6.3919579739479149E-2</v>
      </c>
      <c r="M1310">
        <v>1</v>
      </c>
      <c r="N1310" s="2">
        <v>3.1656152093206575</v>
      </c>
      <c r="O1310" s="2">
        <v>2.8779545327574692</v>
      </c>
      <c r="P1310" s="1">
        <v>-0.574311889298731</v>
      </c>
      <c r="Q1310" s="1">
        <v>0.4924341706281804</v>
      </c>
      <c r="R1310" s="1">
        <v>-0.52509153328775149</v>
      </c>
      <c r="S1310" s="19">
        <v>165.27772224852478</v>
      </c>
      <c r="T1310" s="19">
        <v>266.77444401103895</v>
      </c>
      <c r="U1310" s="19">
        <v>401.80494272069791</v>
      </c>
      <c r="V1310" s="19">
        <v>571.03448092920257</v>
      </c>
      <c r="W1310" s="19">
        <v>770.77597659819151</v>
      </c>
      <c r="X1310" s="19">
        <v>991.50161787035131</v>
      </c>
      <c r="Y1310" s="19">
        <v>1216.8634728338125</v>
      </c>
      <c r="Z1310" s="19">
        <v>1423.9095297345657</v>
      </c>
      <c r="AA1310" s="19">
        <v>1585.2192564789298</v>
      </c>
      <c r="AB1310" s="19">
        <v>1673.3752916640406</v>
      </c>
      <c r="AC1310" s="19">
        <v>1667.4082320754549</v>
      </c>
      <c r="AD1310" s="19">
        <v>1559.6970303379587</v>
      </c>
      <c r="AE1310" s="19">
        <v>1360.7515929968658</v>
      </c>
      <c r="AF1310" s="19">
        <v>1116.6518760337178</v>
      </c>
      <c r="AG1310" s="19">
        <v>200.09474016421748</v>
      </c>
      <c r="AH1310" s="19">
        <v>0</v>
      </c>
      <c r="AI1310" s="19">
        <v>0</v>
      </c>
      <c r="AJ1310" s="19">
        <v>0</v>
      </c>
      <c r="AK1310" s="19">
        <v>0</v>
      </c>
      <c r="AL1310" s="19">
        <v>0</v>
      </c>
      <c r="AM1310" s="19">
        <v>0</v>
      </c>
      <c r="AN1310" s="19">
        <v>0</v>
      </c>
      <c r="AO1310" s="19">
        <v>0</v>
      </c>
      <c r="AP1310" s="19">
        <v>0</v>
      </c>
      <c r="AQ1310" s="19">
        <v>0</v>
      </c>
      <c r="AR1310" s="19">
        <v>14971.140206697572</v>
      </c>
    </row>
    <row r="1311" spans="1:44" x14ac:dyDescent="0.25">
      <c r="A1311" t="s">
        <v>435</v>
      </c>
      <c r="B1311" t="s">
        <v>468</v>
      </c>
      <c r="C1311" t="s">
        <v>47</v>
      </c>
      <c r="D1311" t="s">
        <v>187</v>
      </c>
      <c r="E1311" t="s">
        <v>134</v>
      </c>
      <c r="F1311" t="s">
        <v>187</v>
      </c>
      <c r="G1311" t="s">
        <v>33</v>
      </c>
      <c r="H1311" t="s">
        <v>453</v>
      </c>
      <c r="I1311" t="s">
        <v>135</v>
      </c>
      <c r="J1311" t="s">
        <v>39</v>
      </c>
      <c r="K1311" t="s">
        <v>31</v>
      </c>
      <c r="L1311">
        <v>6.3919579739479149E-2</v>
      </c>
      <c r="M1311">
        <v>1</v>
      </c>
      <c r="N1311" s="2">
        <v>3.1656152093206575</v>
      </c>
      <c r="O1311" s="2">
        <v>2.8779545327574692</v>
      </c>
      <c r="P1311" s="1">
        <v>-0.574311889298731</v>
      </c>
      <c r="Q1311" s="1">
        <v>0.4924341706281804</v>
      </c>
      <c r="R1311" s="1">
        <v>-0.52509153328775149</v>
      </c>
      <c r="S1311" s="19">
        <v>50.546865769459245</v>
      </c>
      <c r="T1311" s="19">
        <v>81.587595888280489</v>
      </c>
      <c r="U1311" s="19">
        <v>122.88395694774078</v>
      </c>
      <c r="V1311" s="19">
        <v>174.63940611342048</v>
      </c>
      <c r="W1311" s="19">
        <v>235.72632353227135</v>
      </c>
      <c r="X1311" s="19">
        <v>303.23081965840476</v>
      </c>
      <c r="Y1311" s="19">
        <v>372.15320845600377</v>
      </c>
      <c r="Z1311" s="19">
        <v>435.4740789513109</v>
      </c>
      <c r="AA1311" s="19">
        <v>484.80741313651333</v>
      </c>
      <c r="AB1311" s="19">
        <v>511.76816269578592</v>
      </c>
      <c r="AC1311" s="19">
        <v>509.94325758480522</v>
      </c>
      <c r="AD1311" s="19">
        <v>477.00195380820998</v>
      </c>
      <c r="AE1311" s="19">
        <v>416.15849481132562</v>
      </c>
      <c r="AF1311" s="19">
        <v>341.50550794872765</v>
      </c>
      <c r="AG1311" s="19">
        <v>61.194950140026471</v>
      </c>
      <c r="AH1311" s="19">
        <v>0</v>
      </c>
      <c r="AI1311" s="19">
        <v>0</v>
      </c>
      <c r="AJ1311" s="19">
        <v>0</v>
      </c>
      <c r="AK1311" s="19">
        <v>0</v>
      </c>
      <c r="AL1311" s="19">
        <v>0</v>
      </c>
      <c r="AM1311" s="19">
        <v>0</v>
      </c>
      <c r="AN1311" s="19">
        <v>0</v>
      </c>
      <c r="AO1311" s="19">
        <v>0</v>
      </c>
      <c r="AP1311" s="19">
        <v>0</v>
      </c>
      <c r="AQ1311" s="19">
        <v>0</v>
      </c>
      <c r="AR1311" s="19">
        <v>4578.6219954422859</v>
      </c>
    </row>
    <row r="1312" spans="1:44" x14ac:dyDescent="0.25">
      <c r="A1312" t="s">
        <v>435</v>
      </c>
      <c r="B1312" t="s">
        <v>468</v>
      </c>
      <c r="C1312" t="s">
        <v>47</v>
      </c>
      <c r="D1312" t="s">
        <v>187</v>
      </c>
      <c r="E1312" t="s">
        <v>134</v>
      </c>
      <c r="F1312" t="s">
        <v>187</v>
      </c>
      <c r="G1312" t="s">
        <v>33</v>
      </c>
      <c r="H1312" t="s">
        <v>454</v>
      </c>
      <c r="I1312" t="s">
        <v>135</v>
      </c>
      <c r="J1312" t="s">
        <v>39</v>
      </c>
      <c r="K1312" t="s">
        <v>31</v>
      </c>
      <c r="L1312">
        <v>6.3919579739479149E-2</v>
      </c>
      <c r="M1312">
        <v>1</v>
      </c>
      <c r="N1312" s="2">
        <v>3.1656152093206575</v>
      </c>
      <c r="O1312" s="2">
        <v>2.8779545327574692</v>
      </c>
      <c r="P1312" s="1">
        <v>-0.574311889298731</v>
      </c>
      <c r="Q1312" s="1">
        <v>0.4924341706281804</v>
      </c>
      <c r="R1312" s="1">
        <v>-0.52509153328775149</v>
      </c>
      <c r="S1312" s="19">
        <v>2.7833180811811831</v>
      </c>
      <c r="T1312" s="19">
        <v>4.492548200152906</v>
      </c>
      <c r="U1312" s="19">
        <v>6.7664954899417502</v>
      </c>
      <c r="V1312" s="19">
        <v>9.6163631379083032</v>
      </c>
      <c r="W1312" s="19">
        <v>12.98005976256113</v>
      </c>
      <c r="X1312" s="19">
        <v>16.697134634934606</v>
      </c>
      <c r="Y1312" s="19">
        <v>20.49228450265328</v>
      </c>
      <c r="Z1312" s="19">
        <v>23.978991761013244</v>
      </c>
      <c r="AA1312" s="19">
        <v>26.695487807848096</v>
      </c>
      <c r="AB1312" s="19">
        <v>28.180057436215854</v>
      </c>
      <c r="AC1312" s="19">
        <v>28.079570663900448</v>
      </c>
      <c r="AD1312" s="19">
        <v>26.26568715157244</v>
      </c>
      <c r="AE1312" s="19">
        <v>22.915396347786245</v>
      </c>
      <c r="AF1312" s="19">
        <v>18.80469620870079</v>
      </c>
      <c r="AG1312" s="19">
        <v>3.3696453500906851</v>
      </c>
      <c r="AH1312" s="19">
        <v>0</v>
      </c>
      <c r="AI1312" s="19">
        <v>0</v>
      </c>
      <c r="AJ1312" s="19">
        <v>0</v>
      </c>
      <c r="AK1312" s="19">
        <v>0</v>
      </c>
      <c r="AL1312" s="19">
        <v>0</v>
      </c>
      <c r="AM1312" s="19">
        <v>0</v>
      </c>
      <c r="AN1312" s="19">
        <v>0</v>
      </c>
      <c r="AO1312" s="19">
        <v>0</v>
      </c>
      <c r="AP1312" s="19">
        <v>0</v>
      </c>
      <c r="AQ1312" s="19">
        <v>0</v>
      </c>
      <c r="AR1312" s="19">
        <v>252.11773653646097</v>
      </c>
    </row>
    <row r="1313" spans="1:44" x14ac:dyDescent="0.25">
      <c r="A1313" t="s">
        <v>435</v>
      </c>
      <c r="B1313" t="s">
        <v>468</v>
      </c>
      <c r="C1313" t="s">
        <v>47</v>
      </c>
      <c r="D1313" t="s">
        <v>187</v>
      </c>
      <c r="E1313" t="s">
        <v>134</v>
      </c>
      <c r="F1313" t="s">
        <v>187</v>
      </c>
      <c r="G1313" t="s">
        <v>33</v>
      </c>
      <c r="H1313" t="s">
        <v>455</v>
      </c>
      <c r="I1313" t="s">
        <v>135</v>
      </c>
      <c r="J1313" t="s">
        <v>39</v>
      </c>
      <c r="K1313" t="s">
        <v>31</v>
      </c>
      <c r="L1313">
        <v>6.3919579739479149E-2</v>
      </c>
      <c r="M1313">
        <v>1</v>
      </c>
      <c r="N1313" s="2">
        <v>3.1656152093206575</v>
      </c>
      <c r="O1313" s="2">
        <v>2.8779545327574692</v>
      </c>
      <c r="P1313" s="1">
        <v>-0.574311889298731</v>
      </c>
      <c r="Q1313" s="1">
        <v>0.4924341706281804</v>
      </c>
      <c r="R1313" s="1">
        <v>-0.52509153328775149</v>
      </c>
      <c r="S1313" s="19">
        <v>0.65579099530297358</v>
      </c>
      <c r="T1313" s="19">
        <v>1.0585109461777944</v>
      </c>
      <c r="U1313" s="19">
        <v>1.5942866329452496</v>
      </c>
      <c r="V1313" s="19">
        <v>2.2657576926053089</v>
      </c>
      <c r="W1313" s="19">
        <v>3.0582944753370178</v>
      </c>
      <c r="X1313" s="19">
        <v>3.9340924111356466</v>
      </c>
      <c r="Y1313" s="19">
        <v>4.8282859730942453</v>
      </c>
      <c r="Z1313" s="19">
        <v>5.64980588443676</v>
      </c>
      <c r="AA1313" s="19">
        <v>6.2898526179866696</v>
      </c>
      <c r="AB1313" s="19">
        <v>6.6396392272737756</v>
      </c>
      <c r="AC1313" s="19">
        <v>6.6159630542639212</v>
      </c>
      <c r="AD1313" s="19">
        <v>6.1885852127028054</v>
      </c>
      <c r="AE1313" s="19">
        <v>5.3992070400733407</v>
      </c>
      <c r="AF1313" s="19">
        <v>4.4306651569771418</v>
      </c>
      <c r="AG1313" s="19">
        <v>0.79393839061908655</v>
      </c>
      <c r="AH1313" s="19">
        <v>0</v>
      </c>
      <c r="AI1313" s="19">
        <v>0</v>
      </c>
      <c r="AJ1313" s="19">
        <v>0</v>
      </c>
      <c r="AK1313" s="19">
        <v>0</v>
      </c>
      <c r="AL1313" s="19">
        <v>0</v>
      </c>
      <c r="AM1313" s="19">
        <v>0</v>
      </c>
      <c r="AN1313" s="19">
        <v>0</v>
      </c>
      <c r="AO1313" s="19">
        <v>0</v>
      </c>
      <c r="AP1313" s="19">
        <v>0</v>
      </c>
      <c r="AQ1313" s="19">
        <v>0</v>
      </c>
      <c r="AR1313" s="19">
        <v>59.402675710931739</v>
      </c>
    </row>
    <row r="1314" spans="1:44" x14ac:dyDescent="0.25">
      <c r="A1314" t="s">
        <v>435</v>
      </c>
      <c r="B1314" t="s">
        <v>468</v>
      </c>
      <c r="C1314" t="s">
        <v>47</v>
      </c>
      <c r="D1314" t="s">
        <v>187</v>
      </c>
      <c r="E1314" t="s">
        <v>134</v>
      </c>
      <c r="F1314" t="s">
        <v>187</v>
      </c>
      <c r="G1314" t="s">
        <v>33</v>
      </c>
      <c r="H1314" t="s">
        <v>457</v>
      </c>
      <c r="I1314" t="s">
        <v>135</v>
      </c>
      <c r="J1314" t="s">
        <v>39</v>
      </c>
      <c r="K1314" t="s">
        <v>31</v>
      </c>
      <c r="L1314">
        <v>6.3919579739479149E-2</v>
      </c>
      <c r="M1314">
        <v>1</v>
      </c>
      <c r="N1314" s="2">
        <v>3.1656152093206575</v>
      </c>
      <c r="O1314" s="2">
        <v>2.8779545327574692</v>
      </c>
      <c r="P1314" s="1">
        <v>-0.574311889298731</v>
      </c>
      <c r="Q1314" s="1">
        <v>0.4924341706281804</v>
      </c>
      <c r="R1314" s="1">
        <v>-0.52509153328775149</v>
      </c>
      <c r="S1314" s="19">
        <v>43.701326240850925</v>
      </c>
      <c r="T1314" s="19">
        <v>70.538224098451309</v>
      </c>
      <c r="U1314" s="19">
        <v>106.24183736402119</v>
      </c>
      <c r="V1314" s="19">
        <v>150.98806908978193</v>
      </c>
      <c r="W1314" s="19">
        <v>203.80201247738759</v>
      </c>
      <c r="X1314" s="19">
        <v>262.16440474493828</v>
      </c>
      <c r="Y1314" s="19">
        <v>321.75266511067809</v>
      </c>
      <c r="Z1314" s="19">
        <v>376.49801830411099</v>
      </c>
      <c r="AA1314" s="19">
        <v>419.15016100291882</v>
      </c>
      <c r="AB1314" s="19">
        <v>442.4596282518167</v>
      </c>
      <c r="AC1314" s="19">
        <v>440.88186922760138</v>
      </c>
      <c r="AD1314" s="19">
        <v>412.40179155659843</v>
      </c>
      <c r="AE1314" s="19">
        <v>359.79833512525556</v>
      </c>
      <c r="AF1314" s="19">
        <v>295.25556903930101</v>
      </c>
      <c r="AG1314" s="19">
        <v>52.907345285446851</v>
      </c>
      <c r="AH1314" s="19">
        <v>0</v>
      </c>
      <c r="AI1314" s="19">
        <v>0</v>
      </c>
      <c r="AJ1314" s="19">
        <v>0</v>
      </c>
      <c r="AK1314" s="19">
        <v>0</v>
      </c>
      <c r="AL1314" s="19">
        <v>0</v>
      </c>
      <c r="AM1314" s="19">
        <v>0</v>
      </c>
      <c r="AN1314" s="19">
        <v>0</v>
      </c>
      <c r="AO1314" s="19">
        <v>0</v>
      </c>
      <c r="AP1314" s="19">
        <v>0</v>
      </c>
      <c r="AQ1314" s="19">
        <v>0</v>
      </c>
      <c r="AR1314" s="19">
        <v>3958.541256919159</v>
      </c>
    </row>
    <row r="1315" spans="1:44" x14ac:dyDescent="0.25">
      <c r="A1315" t="s">
        <v>435</v>
      </c>
      <c r="B1315" t="s">
        <v>468</v>
      </c>
      <c r="C1315" t="s">
        <v>47</v>
      </c>
      <c r="D1315" t="s">
        <v>187</v>
      </c>
      <c r="E1315" t="s">
        <v>134</v>
      </c>
      <c r="F1315" t="s">
        <v>187</v>
      </c>
      <c r="G1315" t="s">
        <v>33</v>
      </c>
      <c r="H1315" t="s">
        <v>450</v>
      </c>
      <c r="I1315" t="s">
        <v>135</v>
      </c>
      <c r="J1315" t="s">
        <v>39</v>
      </c>
      <c r="K1315" t="s">
        <v>33</v>
      </c>
      <c r="L1315">
        <v>6.3919579739479149E-2</v>
      </c>
      <c r="M1315">
        <v>1</v>
      </c>
      <c r="N1315" s="2">
        <v>3.1656152093206575</v>
      </c>
      <c r="O1315" s="2">
        <v>2.8779545327574692</v>
      </c>
      <c r="P1315" s="1">
        <v>-0.574311889298731</v>
      </c>
      <c r="Q1315" s="1">
        <v>0.4924341706281804</v>
      </c>
      <c r="R1315" s="1">
        <v>-0.52509153328775149</v>
      </c>
      <c r="S1315" s="19">
        <v>17.186493869359769</v>
      </c>
      <c r="T1315" s="19">
        <v>27.721348463261531</v>
      </c>
      <c r="U1315" s="19">
        <v>41.723675933585135</v>
      </c>
      <c r="V1315" s="19">
        <v>59.255242812719466</v>
      </c>
      <c r="W1315" s="19">
        <v>79.926312972676115</v>
      </c>
      <c r="X1315" s="19">
        <v>102.74298909250568</v>
      </c>
      <c r="Y1315" s="19">
        <v>126.00790303815008</v>
      </c>
      <c r="Z1315" s="19">
        <v>147.34502819794594</v>
      </c>
      <c r="AA1315" s="19">
        <v>163.92288504974621</v>
      </c>
      <c r="AB1315" s="19">
        <v>172.91822227731541</v>
      </c>
      <c r="AC1315" s="19">
        <v>172.18150969102973</v>
      </c>
      <c r="AD1315" s="19">
        <v>160.94666258871618</v>
      </c>
      <c r="AE1315" s="19">
        <v>140.31940738053572</v>
      </c>
      <c r="AF1315" s="19">
        <v>115.06781077765557</v>
      </c>
      <c r="AG1315" s="19">
        <v>3.679865048756032</v>
      </c>
      <c r="AH1315" s="19">
        <v>0</v>
      </c>
      <c r="AI1315" s="19">
        <v>0</v>
      </c>
      <c r="AJ1315" s="19">
        <v>0</v>
      </c>
      <c r="AK1315" s="19">
        <v>0</v>
      </c>
      <c r="AL1315" s="19">
        <v>0</v>
      </c>
      <c r="AM1315" s="19">
        <v>0</v>
      </c>
      <c r="AN1315" s="19">
        <v>0</v>
      </c>
      <c r="AO1315" s="19">
        <v>0</v>
      </c>
      <c r="AP1315" s="19">
        <v>0</v>
      </c>
      <c r="AQ1315" s="19">
        <v>0</v>
      </c>
      <c r="AR1315" s="19">
        <v>1530.9453571939584</v>
      </c>
    </row>
    <row r="1316" spans="1:44" x14ac:dyDescent="0.25">
      <c r="A1316" t="s">
        <v>435</v>
      </c>
      <c r="B1316" t="s">
        <v>468</v>
      </c>
      <c r="C1316" t="s">
        <v>47</v>
      </c>
      <c r="D1316" t="s">
        <v>187</v>
      </c>
      <c r="E1316" t="s">
        <v>134</v>
      </c>
      <c r="F1316" t="s">
        <v>187</v>
      </c>
      <c r="G1316" t="s">
        <v>33</v>
      </c>
      <c r="H1316" t="s">
        <v>451</v>
      </c>
      <c r="I1316" t="s">
        <v>135</v>
      </c>
      <c r="J1316" t="s">
        <v>39</v>
      </c>
      <c r="K1316" t="s">
        <v>33</v>
      </c>
      <c r="L1316">
        <v>6.3919579739479149E-2</v>
      </c>
      <c r="M1316">
        <v>1</v>
      </c>
      <c r="N1316" s="2">
        <v>3.1656152093206575</v>
      </c>
      <c r="O1316" s="2">
        <v>2.8779545327574692</v>
      </c>
      <c r="P1316" s="1">
        <v>-0.574311889298731</v>
      </c>
      <c r="Q1316" s="1">
        <v>0.4924341706281804</v>
      </c>
      <c r="R1316" s="1">
        <v>-0.52509153328775149</v>
      </c>
      <c r="S1316" s="19">
        <v>32.872743819018318</v>
      </c>
      <c r="T1316" s="19">
        <v>53.05983066640551</v>
      </c>
      <c r="U1316" s="19">
        <v>79.916583841902053</v>
      </c>
      <c r="V1316" s="19">
        <v>113.57532006149924</v>
      </c>
      <c r="W1316" s="19">
        <v>153.30270090766669</v>
      </c>
      <c r="X1316" s="19">
        <v>197.20370196888513</v>
      </c>
      <c r="Y1316" s="19">
        <v>242.02681801868735</v>
      </c>
      <c r="Z1316" s="19">
        <v>283.20703211313156</v>
      </c>
      <c r="AA1316" s="19">
        <v>315.29056551765052</v>
      </c>
      <c r="AB1316" s="19">
        <v>332.82427012898916</v>
      </c>
      <c r="AC1316" s="19">
        <v>331.63745790445086</v>
      </c>
      <c r="AD1316" s="19">
        <v>310.21434840738783</v>
      </c>
      <c r="AE1316" s="19">
        <v>270.64529876957624</v>
      </c>
      <c r="AF1316" s="19">
        <v>222.09533478859549</v>
      </c>
      <c r="AG1316" s="19">
        <v>39.797639049385445</v>
      </c>
      <c r="AH1316" s="19">
        <v>0</v>
      </c>
      <c r="AI1316" s="19">
        <v>0</v>
      </c>
      <c r="AJ1316" s="19">
        <v>0</v>
      </c>
      <c r="AK1316" s="19">
        <v>0</v>
      </c>
      <c r="AL1316" s="19">
        <v>0</v>
      </c>
      <c r="AM1316" s="19">
        <v>0</v>
      </c>
      <c r="AN1316" s="19">
        <v>0</v>
      </c>
      <c r="AO1316" s="19">
        <v>0</v>
      </c>
      <c r="AP1316" s="19">
        <v>0</v>
      </c>
      <c r="AQ1316" s="19">
        <v>0</v>
      </c>
      <c r="AR1316" s="19">
        <v>2977.6696459632312</v>
      </c>
    </row>
    <row r="1317" spans="1:44" x14ac:dyDescent="0.25">
      <c r="A1317" t="s">
        <v>435</v>
      </c>
      <c r="B1317" t="s">
        <v>468</v>
      </c>
      <c r="C1317" t="s">
        <v>47</v>
      </c>
      <c r="D1317" t="s">
        <v>187</v>
      </c>
      <c r="E1317" t="s">
        <v>134</v>
      </c>
      <c r="F1317" t="s">
        <v>187</v>
      </c>
      <c r="G1317" t="s">
        <v>33</v>
      </c>
      <c r="H1317" t="s">
        <v>452</v>
      </c>
      <c r="I1317" t="s">
        <v>135</v>
      </c>
      <c r="J1317" t="s">
        <v>39</v>
      </c>
      <c r="K1317" t="s">
        <v>33</v>
      </c>
      <c r="L1317">
        <v>6.3919579739479149E-2</v>
      </c>
      <c r="M1317">
        <v>1</v>
      </c>
      <c r="N1317" s="2">
        <v>3.1656152093206575</v>
      </c>
      <c r="O1317" s="2">
        <v>2.8779545327574692</v>
      </c>
      <c r="P1317" s="1">
        <v>-0.574311889298731</v>
      </c>
      <c r="Q1317" s="1">
        <v>0.4924341706281804</v>
      </c>
      <c r="R1317" s="1">
        <v>-0.52509153328775149</v>
      </c>
      <c r="S1317" s="19">
        <v>326.8312127591434</v>
      </c>
      <c r="T1317" s="19">
        <v>527.53761295286915</v>
      </c>
      <c r="U1317" s="19">
        <v>794.55594459704048</v>
      </c>
      <c r="V1317" s="19">
        <v>1129.2017423179673</v>
      </c>
      <c r="W1317" s="19">
        <v>1524.1839237014815</v>
      </c>
      <c r="X1317" s="19">
        <v>1960.6615568790744</v>
      </c>
      <c r="Y1317" s="19">
        <v>2406.3071488276623</v>
      </c>
      <c r="Z1317" s="19">
        <v>2815.7338577226396</v>
      </c>
      <c r="AA1317" s="19">
        <v>3134.7184910081301</v>
      </c>
      <c r="AB1317" s="19">
        <v>3309.0441260641546</v>
      </c>
      <c r="AC1317" s="19">
        <v>3297.2444636812775</v>
      </c>
      <c r="AD1317" s="19">
        <v>3084.2491354985959</v>
      </c>
      <c r="AE1317" s="19">
        <v>2690.8411330497488</v>
      </c>
      <c r="AF1317" s="19">
        <v>2208.1420406138873</v>
      </c>
      <c r="AG1317" s="19">
        <v>395.68071065416382</v>
      </c>
      <c r="AH1317" s="19">
        <v>0</v>
      </c>
      <c r="AI1317" s="19">
        <v>0</v>
      </c>
      <c r="AJ1317" s="19">
        <v>0</v>
      </c>
      <c r="AK1317" s="19">
        <v>0</v>
      </c>
      <c r="AL1317" s="19">
        <v>0</v>
      </c>
      <c r="AM1317" s="19">
        <v>0</v>
      </c>
      <c r="AN1317" s="19">
        <v>0</v>
      </c>
      <c r="AO1317" s="19">
        <v>0</v>
      </c>
      <c r="AP1317" s="19">
        <v>0</v>
      </c>
      <c r="AQ1317" s="19">
        <v>0</v>
      </c>
      <c r="AR1317" s="19">
        <v>29604.933100327831</v>
      </c>
    </row>
    <row r="1318" spans="1:44" x14ac:dyDescent="0.25">
      <c r="A1318" t="s">
        <v>435</v>
      </c>
      <c r="B1318" t="s">
        <v>468</v>
      </c>
      <c r="C1318" t="s">
        <v>47</v>
      </c>
      <c r="D1318" t="s">
        <v>187</v>
      </c>
      <c r="E1318" t="s">
        <v>134</v>
      </c>
      <c r="F1318" t="s">
        <v>187</v>
      </c>
      <c r="G1318" t="s">
        <v>33</v>
      </c>
      <c r="H1318" t="s">
        <v>453</v>
      </c>
      <c r="I1318" t="s">
        <v>135</v>
      </c>
      <c r="J1318" t="s">
        <v>39</v>
      </c>
      <c r="K1318" t="s">
        <v>33</v>
      </c>
      <c r="L1318">
        <v>6.3919579739479149E-2</v>
      </c>
      <c r="M1318">
        <v>1</v>
      </c>
      <c r="N1318" s="2">
        <v>3.1656152093206575</v>
      </c>
      <c r="O1318" s="2">
        <v>2.8779545327574692</v>
      </c>
      <c r="P1318" s="1">
        <v>-0.574311889298731</v>
      </c>
      <c r="Q1318" s="1">
        <v>0.4924341706281804</v>
      </c>
      <c r="R1318" s="1">
        <v>-0.52509153328775149</v>
      </c>
      <c r="S1318" s="19">
        <v>45.991780561827404</v>
      </c>
      <c r="T1318" s="19">
        <v>74.23524187978532</v>
      </c>
      <c r="U1318" s="19">
        <v>111.81013691899976</v>
      </c>
      <c r="V1318" s="19">
        <v>158.90158808361309</v>
      </c>
      <c r="W1318" s="19">
        <v>214.48359219718523</v>
      </c>
      <c r="X1318" s="19">
        <v>275.90484800619936</v>
      </c>
      <c r="Y1318" s="19">
        <v>338.61622156264599</v>
      </c>
      <c r="Z1318" s="19">
        <v>396.23086366699681</v>
      </c>
      <c r="AA1318" s="19">
        <v>441.11847134929218</v>
      </c>
      <c r="AB1318" s="19">
        <v>465.6496239467229</v>
      </c>
      <c r="AC1318" s="19">
        <v>463.98917212379109</v>
      </c>
      <c r="AD1318" s="19">
        <v>434.0164093886375</v>
      </c>
      <c r="AE1318" s="19">
        <v>378.65592417932498</v>
      </c>
      <c r="AF1318" s="19">
        <v>310.73037156980814</v>
      </c>
      <c r="AG1318" s="19">
        <v>55.680301349812787</v>
      </c>
      <c r="AH1318" s="19">
        <v>0</v>
      </c>
      <c r="AI1318" s="19">
        <v>0</v>
      </c>
      <c r="AJ1318" s="19">
        <v>0</v>
      </c>
      <c r="AK1318" s="19">
        <v>0</v>
      </c>
      <c r="AL1318" s="19">
        <v>0</v>
      </c>
      <c r="AM1318" s="19">
        <v>0</v>
      </c>
      <c r="AN1318" s="19">
        <v>0</v>
      </c>
      <c r="AO1318" s="19">
        <v>0</v>
      </c>
      <c r="AP1318" s="19">
        <v>0</v>
      </c>
      <c r="AQ1318" s="19">
        <v>0</v>
      </c>
      <c r="AR1318" s="19">
        <v>4166.0145467846423</v>
      </c>
    </row>
    <row r="1319" spans="1:44" x14ac:dyDescent="0.25">
      <c r="A1319" t="s">
        <v>435</v>
      </c>
      <c r="B1319" t="s">
        <v>468</v>
      </c>
      <c r="C1319" t="s">
        <v>47</v>
      </c>
      <c r="D1319" t="s">
        <v>187</v>
      </c>
      <c r="E1319" t="s">
        <v>134</v>
      </c>
      <c r="F1319" t="s">
        <v>187</v>
      </c>
      <c r="G1319" t="s">
        <v>33</v>
      </c>
      <c r="H1319" t="s">
        <v>454</v>
      </c>
      <c r="I1319" t="s">
        <v>135</v>
      </c>
      <c r="J1319" t="s">
        <v>39</v>
      </c>
      <c r="K1319" t="s">
        <v>33</v>
      </c>
      <c r="L1319">
        <v>6.3919579739479149E-2</v>
      </c>
      <c r="M1319">
        <v>1</v>
      </c>
      <c r="N1319" s="2">
        <v>3.1656152093206575</v>
      </c>
      <c r="O1319" s="2">
        <v>2.8779545327574692</v>
      </c>
      <c r="P1319" s="1">
        <v>-0.574311889298731</v>
      </c>
      <c r="Q1319" s="1">
        <v>0.4924341706281804</v>
      </c>
      <c r="R1319" s="1">
        <v>-0.52509153328775149</v>
      </c>
      <c r="S1319" s="19">
        <v>22.336139248646532</v>
      </c>
      <c r="T1319" s="19">
        <v>36.052718105897107</v>
      </c>
      <c r="U1319" s="19">
        <v>54.30115462208979</v>
      </c>
      <c r="V1319" s="19">
        <v>77.171354422674483</v>
      </c>
      <c r="W1319" s="19">
        <v>104.16503391135277</v>
      </c>
      <c r="X1319" s="19">
        <v>133.99457531674787</v>
      </c>
      <c r="Y1319" s="19">
        <v>164.45066888650351</v>
      </c>
      <c r="Z1319" s="19">
        <v>192.431509225436</v>
      </c>
      <c r="AA1319" s="19">
        <v>214.23140136882753</v>
      </c>
      <c r="AB1319" s="19">
        <v>226.1450788488593</v>
      </c>
      <c r="AC1319" s="19">
        <v>225.33867208052791</v>
      </c>
      <c r="AD1319" s="19">
        <v>210.78224930365693</v>
      </c>
      <c r="AE1319" s="19">
        <v>183.89615158353183</v>
      </c>
      <c r="AF1319" s="19">
        <v>150.90776576559537</v>
      </c>
      <c r="AG1319" s="19">
        <v>27.041418035210043</v>
      </c>
      <c r="AH1319" s="19">
        <v>0</v>
      </c>
      <c r="AI1319" s="19">
        <v>0</v>
      </c>
      <c r="AJ1319" s="19">
        <v>0</v>
      </c>
      <c r="AK1319" s="19">
        <v>0</v>
      </c>
      <c r="AL1319" s="19">
        <v>0</v>
      </c>
      <c r="AM1319" s="19">
        <v>0</v>
      </c>
      <c r="AN1319" s="19">
        <v>0</v>
      </c>
      <c r="AO1319" s="19">
        <v>0</v>
      </c>
      <c r="AP1319" s="19">
        <v>0</v>
      </c>
      <c r="AQ1319" s="19">
        <v>0</v>
      </c>
      <c r="AR1319" s="19">
        <v>2023.2458907255568</v>
      </c>
    </row>
    <row r="1320" spans="1:44" x14ac:dyDescent="0.25">
      <c r="A1320" t="s">
        <v>435</v>
      </c>
      <c r="B1320" t="s">
        <v>468</v>
      </c>
      <c r="C1320" t="s">
        <v>47</v>
      </c>
      <c r="D1320" t="s">
        <v>187</v>
      </c>
      <c r="E1320" t="s">
        <v>134</v>
      </c>
      <c r="F1320" t="s">
        <v>187</v>
      </c>
      <c r="G1320" t="s">
        <v>33</v>
      </c>
      <c r="H1320" t="s">
        <v>455</v>
      </c>
      <c r="I1320" t="s">
        <v>135</v>
      </c>
      <c r="J1320" t="s">
        <v>39</v>
      </c>
      <c r="K1320" t="s">
        <v>33</v>
      </c>
      <c r="L1320">
        <v>6.3919579739479149E-2</v>
      </c>
      <c r="M1320">
        <v>1</v>
      </c>
      <c r="N1320" s="2">
        <v>3.1656152093206575</v>
      </c>
      <c r="O1320" s="2">
        <v>2.8779545327574692</v>
      </c>
      <c r="P1320" s="1">
        <v>-0.574311889298731</v>
      </c>
      <c r="Q1320" s="1">
        <v>0.4924341706281804</v>
      </c>
      <c r="R1320" s="1">
        <v>-0.52509153328775149</v>
      </c>
      <c r="S1320" s="19">
        <v>16.67399631244184</v>
      </c>
      <c r="T1320" s="19">
        <v>26.913464411163179</v>
      </c>
      <c r="U1320" s="19">
        <v>40.535978122760113</v>
      </c>
      <c r="V1320" s="19">
        <v>57.608652271801546</v>
      </c>
      <c r="W1320" s="19">
        <v>77.759516628574033</v>
      </c>
      <c r="X1320" s="19">
        <v>100.02736058578468</v>
      </c>
      <c r="Y1320" s="19">
        <v>122.76292765135358</v>
      </c>
      <c r="Z1320" s="19">
        <v>143.65071060420456</v>
      </c>
      <c r="AA1320" s="19">
        <v>159.92439681130341</v>
      </c>
      <c r="AB1320" s="19">
        <v>168.81799351386292</v>
      </c>
      <c r="AC1320" s="19">
        <v>168.21600839316656</v>
      </c>
      <c r="AD1320" s="19">
        <v>157.34959423797198</v>
      </c>
      <c r="AE1320" s="19">
        <v>137.27904000069566</v>
      </c>
      <c r="AF1320" s="19">
        <v>112.65310902137423</v>
      </c>
      <c r="AG1320" s="19">
        <v>20.186501327870019</v>
      </c>
      <c r="AH1320" s="19">
        <v>0</v>
      </c>
      <c r="AI1320" s="19">
        <v>0</v>
      </c>
      <c r="AJ1320" s="19">
        <v>0</v>
      </c>
      <c r="AK1320" s="19">
        <v>0</v>
      </c>
      <c r="AL1320" s="19">
        <v>0</v>
      </c>
      <c r="AM1320" s="19">
        <v>0</v>
      </c>
      <c r="AN1320" s="19">
        <v>0</v>
      </c>
      <c r="AO1320" s="19">
        <v>0</v>
      </c>
      <c r="AP1320" s="19">
        <v>0</v>
      </c>
      <c r="AQ1320" s="19">
        <v>0</v>
      </c>
      <c r="AR1320" s="19">
        <v>1510.3592498943285</v>
      </c>
    </row>
    <row r="1321" spans="1:44" x14ac:dyDescent="0.25">
      <c r="A1321" t="s">
        <v>435</v>
      </c>
      <c r="B1321" t="s">
        <v>468</v>
      </c>
      <c r="C1321" t="s">
        <v>47</v>
      </c>
      <c r="D1321" t="s">
        <v>187</v>
      </c>
      <c r="E1321" t="s">
        <v>134</v>
      </c>
      <c r="F1321" t="s">
        <v>187</v>
      </c>
      <c r="G1321" t="s">
        <v>33</v>
      </c>
      <c r="H1321" t="s">
        <v>457</v>
      </c>
      <c r="I1321" t="s">
        <v>135</v>
      </c>
      <c r="J1321" t="s">
        <v>39</v>
      </c>
      <c r="K1321" t="s">
        <v>33</v>
      </c>
      <c r="L1321">
        <v>6.3919579739479149E-2</v>
      </c>
      <c r="M1321">
        <v>1</v>
      </c>
      <c r="N1321" s="2">
        <v>3.1656152093206575</v>
      </c>
      <c r="O1321" s="2">
        <v>2.8779545327574692</v>
      </c>
      <c r="P1321" s="1">
        <v>-0.574311889298731</v>
      </c>
      <c r="Q1321" s="1">
        <v>0.4924341706281804</v>
      </c>
      <c r="R1321" s="1">
        <v>-0.52509153328775149</v>
      </c>
      <c r="S1321" s="19">
        <v>12.786770784194328</v>
      </c>
      <c r="T1321" s="19">
        <v>20.639101387909431</v>
      </c>
      <c r="U1321" s="19">
        <v>31.085784778666707</v>
      </c>
      <c r="V1321" s="19">
        <v>44.178289234490407</v>
      </c>
      <c r="W1321" s="19">
        <v>59.631362319385886</v>
      </c>
      <c r="X1321" s="19">
        <v>76.70788142156394</v>
      </c>
      <c r="Y1321" s="19">
        <v>94.143082873490656</v>
      </c>
      <c r="Z1321" s="19">
        <v>110.1612759810909</v>
      </c>
      <c r="AA1321" s="19">
        <v>122.64106135736613</v>
      </c>
      <c r="AB1321" s="19">
        <v>129.46128491695978</v>
      </c>
      <c r="AC1321" s="19">
        <v>128.99964119282777</v>
      </c>
      <c r="AD1321" s="19">
        <v>120.66652509726288</v>
      </c>
      <c r="AE1321" s="19">
        <v>105.27503935294293</v>
      </c>
      <c r="AF1321" s="19">
        <v>86.390176427489905</v>
      </c>
      <c r="AG1321" s="19">
        <v>15.480401973083184</v>
      </c>
      <c r="AH1321" s="19">
        <v>0</v>
      </c>
      <c r="AI1321" s="19">
        <v>0</v>
      </c>
      <c r="AJ1321" s="19">
        <v>0</v>
      </c>
      <c r="AK1321" s="19">
        <v>0</v>
      </c>
      <c r="AL1321" s="19">
        <v>0</v>
      </c>
      <c r="AM1321" s="19">
        <v>0</v>
      </c>
      <c r="AN1321" s="19">
        <v>0</v>
      </c>
      <c r="AO1321" s="19">
        <v>0</v>
      </c>
      <c r="AP1321" s="19">
        <v>0</v>
      </c>
      <c r="AQ1321" s="19">
        <v>0</v>
      </c>
      <c r="AR1321" s="19">
        <v>1158.2476790987248</v>
      </c>
    </row>
    <row r="1322" spans="1:44" x14ac:dyDescent="0.25">
      <c r="A1322" t="s">
        <v>435</v>
      </c>
      <c r="B1322" t="s">
        <v>468</v>
      </c>
      <c r="C1322" t="s">
        <v>47</v>
      </c>
      <c r="D1322" t="s">
        <v>187</v>
      </c>
      <c r="E1322" t="s">
        <v>134</v>
      </c>
      <c r="F1322" t="s">
        <v>187</v>
      </c>
      <c r="G1322" t="s">
        <v>33</v>
      </c>
      <c r="H1322" t="s">
        <v>457</v>
      </c>
      <c r="I1322" t="s">
        <v>256</v>
      </c>
      <c r="J1322" t="s">
        <v>39</v>
      </c>
      <c r="K1322" t="s">
        <v>33</v>
      </c>
      <c r="L1322">
        <v>6.3919579739479149E-2</v>
      </c>
      <c r="M1322">
        <v>1</v>
      </c>
      <c r="N1322" s="2">
        <v>2.9108073618997499</v>
      </c>
      <c r="O1322" s="2">
        <v>2.6463011728329864</v>
      </c>
      <c r="P1322" s="1">
        <v>-0.44883579828446457</v>
      </c>
      <c r="Q1322" s="1">
        <v>1.3498045353129324</v>
      </c>
      <c r="R1322" s="1">
        <v>-0.399615442273485</v>
      </c>
      <c r="S1322" s="19">
        <v>35.164477636468462</v>
      </c>
      <c r="T1322" s="19">
        <v>56.758913680462577</v>
      </c>
      <c r="U1322" s="19">
        <v>85.487993967381712</v>
      </c>
      <c r="V1322" s="19">
        <v>121.49325971526416</v>
      </c>
      <c r="W1322" s="19">
        <v>163.9902475849625</v>
      </c>
      <c r="X1322" s="19">
        <v>210.95182093384321</v>
      </c>
      <c r="Y1322" s="19">
        <v>258.89979481177102</v>
      </c>
      <c r="Z1322" s="19">
        <v>302.95090066291351</v>
      </c>
      <c r="AA1322" s="19">
        <v>337.2711478291809</v>
      </c>
      <c r="AB1322" s="19">
        <v>356.02722024845821</v>
      </c>
      <c r="AC1322" s="19">
        <v>354.75766903124833</v>
      </c>
      <c r="AD1322" s="19">
        <v>331.84104062442663</v>
      </c>
      <c r="AE1322" s="19">
        <v>289.51342207376183</v>
      </c>
      <c r="AF1322" s="19">
        <v>237.578781872756</v>
      </c>
      <c r="AG1322" s="19">
        <v>42.572144145957303</v>
      </c>
      <c r="AH1322" s="19">
        <v>0</v>
      </c>
      <c r="AI1322" s="19">
        <v>0</v>
      </c>
      <c r="AJ1322" s="19">
        <v>0</v>
      </c>
      <c r="AK1322" s="19">
        <v>0</v>
      </c>
      <c r="AL1322" s="19">
        <v>0</v>
      </c>
      <c r="AM1322" s="19">
        <v>0</v>
      </c>
      <c r="AN1322" s="19">
        <v>0</v>
      </c>
      <c r="AO1322" s="19">
        <v>0</v>
      </c>
      <c r="AP1322" s="19">
        <v>0</v>
      </c>
      <c r="AQ1322" s="19">
        <v>0</v>
      </c>
      <c r="AR1322" s="19">
        <v>3185.258834818856</v>
      </c>
    </row>
    <row r="1323" spans="1:44" x14ac:dyDescent="0.25">
      <c r="A1323" t="s">
        <v>435</v>
      </c>
      <c r="B1323" t="s">
        <v>468</v>
      </c>
      <c r="C1323" t="s">
        <v>47</v>
      </c>
      <c r="D1323" t="s">
        <v>187</v>
      </c>
      <c r="E1323" t="s">
        <v>134</v>
      </c>
      <c r="F1323" t="s">
        <v>187</v>
      </c>
      <c r="G1323" t="s">
        <v>33</v>
      </c>
      <c r="H1323" t="s">
        <v>452</v>
      </c>
      <c r="I1323" t="s">
        <v>135</v>
      </c>
      <c r="J1323" t="s">
        <v>40</v>
      </c>
      <c r="K1323" t="s">
        <v>33</v>
      </c>
      <c r="L1323">
        <v>6.3919579739479149E-2</v>
      </c>
      <c r="M1323">
        <v>1</v>
      </c>
      <c r="N1323" s="2">
        <v>3.1656152093206575</v>
      </c>
      <c r="O1323" s="2">
        <v>1.7054155637884916</v>
      </c>
      <c r="P1323" s="1">
        <v>-0.574311889298731</v>
      </c>
      <c r="Q1323" s="1">
        <v>1.3498045353129324</v>
      </c>
      <c r="R1323" s="1">
        <v>-0.38209153328775158</v>
      </c>
      <c r="S1323" s="19">
        <v>23.931437104192149</v>
      </c>
      <c r="T1323" s="19">
        <v>38.627685213716049</v>
      </c>
      <c r="U1323" s="19">
        <v>58.179466561227613</v>
      </c>
      <c r="V1323" s="19">
        <v>82.683108036383857</v>
      </c>
      <c r="W1323" s="19">
        <v>111.60473749538583</v>
      </c>
      <c r="X1323" s="19">
        <v>143.56477257769606</v>
      </c>
      <c r="Y1323" s="19">
        <v>176.1961096046696</v>
      </c>
      <c r="Z1323" s="19">
        <v>206.17540518656753</v>
      </c>
      <c r="AA1323" s="19">
        <v>229.53229519786876</v>
      </c>
      <c r="AB1323" s="19">
        <v>242.2968746141745</v>
      </c>
      <c r="AC1323" s="19">
        <v>241.43287244075103</v>
      </c>
      <c r="AD1323" s="19">
        <v>225.83679684913668</v>
      </c>
      <c r="AE1323" s="19">
        <v>197.03043289322935</v>
      </c>
      <c r="AF1323" s="19">
        <v>161.68594154750102</v>
      </c>
      <c r="AG1323" s="19">
        <v>28.97277760108048</v>
      </c>
      <c r="AH1323" s="19">
        <v>0</v>
      </c>
      <c r="AI1323" s="19">
        <v>0</v>
      </c>
      <c r="AJ1323" s="19">
        <v>0</v>
      </c>
      <c r="AK1323" s="19">
        <v>0</v>
      </c>
      <c r="AL1323" s="19">
        <v>0</v>
      </c>
      <c r="AM1323" s="19">
        <v>0</v>
      </c>
      <c r="AN1323" s="19">
        <v>0</v>
      </c>
      <c r="AO1323" s="19">
        <v>0</v>
      </c>
      <c r="AP1323" s="19">
        <v>0</v>
      </c>
      <c r="AQ1323" s="19">
        <v>0</v>
      </c>
      <c r="AR1323" s="19">
        <v>2167.7507129235805</v>
      </c>
    </row>
    <row r="1324" spans="1:44" x14ac:dyDescent="0.25">
      <c r="A1324" t="s">
        <v>435</v>
      </c>
      <c r="B1324" t="s">
        <v>468</v>
      </c>
      <c r="C1324" t="s">
        <v>47</v>
      </c>
      <c r="D1324" t="s">
        <v>187</v>
      </c>
      <c r="E1324" t="s">
        <v>134</v>
      </c>
      <c r="F1324" t="s">
        <v>187</v>
      </c>
      <c r="G1324" t="s">
        <v>33</v>
      </c>
      <c r="H1324" t="s">
        <v>453</v>
      </c>
      <c r="I1324" t="s">
        <v>135</v>
      </c>
      <c r="J1324" t="s">
        <v>40</v>
      </c>
      <c r="K1324" t="s">
        <v>33</v>
      </c>
      <c r="L1324">
        <v>6.3919579739479149E-2</v>
      </c>
      <c r="M1324">
        <v>1</v>
      </c>
      <c r="N1324" s="2">
        <v>3.1656152093206575</v>
      </c>
      <c r="O1324" s="2">
        <v>1.7054155637884916</v>
      </c>
      <c r="P1324" s="1">
        <v>-0.574311889298731</v>
      </c>
      <c r="Q1324" s="1">
        <v>1.3498045353129324</v>
      </c>
      <c r="R1324" s="1">
        <v>-0.38209153328775158</v>
      </c>
      <c r="S1324" s="19">
        <v>936.60496461753564</v>
      </c>
      <c r="T1324" s="19">
        <v>1511.7722176622754</v>
      </c>
      <c r="U1324" s="19">
        <v>2276.9705380752198</v>
      </c>
      <c r="V1324" s="19">
        <v>3235.9698725873654</v>
      </c>
      <c r="W1324" s="19">
        <v>4367.8760601762797</v>
      </c>
      <c r="X1324" s="19">
        <v>5618.6963680882818</v>
      </c>
      <c r="Y1324" s="19">
        <v>6895.7894289232154</v>
      </c>
      <c r="Z1324" s="19">
        <v>8069.0895092942164</v>
      </c>
      <c r="AA1324" s="19">
        <v>8983.2084168786823</v>
      </c>
      <c r="AB1324" s="19">
        <v>9482.7759272005951</v>
      </c>
      <c r="AC1324" s="19">
        <v>9448.9614629231055</v>
      </c>
      <c r="AD1324" s="19">
        <v>8838.5776500304964</v>
      </c>
      <c r="AE1324" s="19">
        <v>7711.182609932539</v>
      </c>
      <c r="AF1324" s="19">
        <v>6327.9047933031425</v>
      </c>
      <c r="AG1324" s="19">
        <v>1133.9079730894184</v>
      </c>
      <c r="AH1324" s="19">
        <v>0</v>
      </c>
      <c r="AI1324" s="19">
        <v>0</v>
      </c>
      <c r="AJ1324" s="19">
        <v>0</v>
      </c>
      <c r="AK1324" s="19">
        <v>0</v>
      </c>
      <c r="AL1324" s="19">
        <v>0</v>
      </c>
      <c r="AM1324" s="19">
        <v>0</v>
      </c>
      <c r="AN1324" s="19">
        <v>0</v>
      </c>
      <c r="AO1324" s="19">
        <v>0</v>
      </c>
      <c r="AP1324" s="19">
        <v>0</v>
      </c>
      <c r="AQ1324" s="19">
        <v>0</v>
      </c>
      <c r="AR1324" s="19">
        <v>84839.287792782357</v>
      </c>
    </row>
    <row r="1325" spans="1:44" x14ac:dyDescent="0.25">
      <c r="A1325" t="s">
        <v>435</v>
      </c>
      <c r="B1325" t="s">
        <v>468</v>
      </c>
      <c r="C1325" t="s">
        <v>47</v>
      </c>
      <c r="D1325" t="s">
        <v>187</v>
      </c>
      <c r="E1325" t="s">
        <v>134</v>
      </c>
      <c r="F1325" t="s">
        <v>187</v>
      </c>
      <c r="G1325" t="s">
        <v>33</v>
      </c>
      <c r="H1325" t="s">
        <v>450</v>
      </c>
      <c r="I1325" t="s">
        <v>256</v>
      </c>
      <c r="J1325" t="s">
        <v>40</v>
      </c>
      <c r="K1325" t="s">
        <v>33</v>
      </c>
      <c r="L1325">
        <v>6.3919579739479149E-2</v>
      </c>
      <c r="M1325">
        <v>1</v>
      </c>
      <c r="N1325" s="2">
        <v>2.9108073618997499</v>
      </c>
      <c r="O1325" s="2">
        <v>1.473762203864009</v>
      </c>
      <c r="P1325" s="1">
        <v>-0.44883579828446457</v>
      </c>
      <c r="Q1325" s="1">
        <v>1.3498045353129324</v>
      </c>
      <c r="R1325" s="1">
        <v>-0.25661544227348498</v>
      </c>
      <c r="S1325" s="19">
        <v>448.94566740143966</v>
      </c>
      <c r="T1325" s="19">
        <v>724.64231224152707</v>
      </c>
      <c r="U1325" s="19">
        <v>1091.4271186754031</v>
      </c>
      <c r="V1325" s="19">
        <v>1551.1071465790594</v>
      </c>
      <c r="W1325" s="19">
        <v>2093.667135069441</v>
      </c>
      <c r="X1325" s="19">
        <v>2693.2265855834985</v>
      </c>
      <c r="Y1325" s="19">
        <v>3305.3794335714583</v>
      </c>
      <c r="Z1325" s="19">
        <v>3867.780880866178</v>
      </c>
      <c r="AA1325" s="19">
        <v>4305.9482390942703</v>
      </c>
      <c r="AB1325" s="19">
        <v>4545.4074324641597</v>
      </c>
      <c r="AC1325" s="19">
        <v>4529.1990438623752</v>
      </c>
      <c r="AD1325" s="19">
        <v>4236.6219397446239</v>
      </c>
      <c r="AE1325" s="19">
        <v>3696.2242931140281</v>
      </c>
      <c r="AF1325" s="19">
        <v>3033.1735875885834</v>
      </c>
      <c r="AG1325" s="19">
        <v>543.51951033948205</v>
      </c>
      <c r="AH1325" s="19">
        <v>0</v>
      </c>
      <c r="AI1325" s="19">
        <v>0</v>
      </c>
      <c r="AJ1325" s="19">
        <v>0</v>
      </c>
      <c r="AK1325" s="19">
        <v>0</v>
      </c>
      <c r="AL1325" s="19">
        <v>0</v>
      </c>
      <c r="AM1325" s="19">
        <v>0</v>
      </c>
      <c r="AN1325" s="19">
        <v>0</v>
      </c>
      <c r="AO1325" s="19">
        <v>0</v>
      </c>
      <c r="AP1325" s="19">
        <v>0</v>
      </c>
      <c r="AQ1325" s="19">
        <v>0</v>
      </c>
      <c r="AR1325" s="19">
        <v>40666.270326195539</v>
      </c>
    </row>
    <row r="1326" spans="1:44" x14ac:dyDescent="0.25">
      <c r="A1326" t="s">
        <v>435</v>
      </c>
      <c r="B1326" t="s">
        <v>468</v>
      </c>
      <c r="C1326" t="s">
        <v>47</v>
      </c>
      <c r="D1326" t="s">
        <v>187</v>
      </c>
      <c r="E1326" t="s">
        <v>134</v>
      </c>
      <c r="F1326" t="s">
        <v>187</v>
      </c>
      <c r="G1326" t="s">
        <v>33</v>
      </c>
      <c r="H1326" t="s">
        <v>452</v>
      </c>
      <c r="I1326" t="s">
        <v>256</v>
      </c>
      <c r="J1326" t="s">
        <v>40</v>
      </c>
      <c r="K1326" t="s">
        <v>33</v>
      </c>
      <c r="L1326">
        <v>6.3919579739479149E-2</v>
      </c>
      <c r="M1326">
        <v>1</v>
      </c>
      <c r="N1326" s="2">
        <v>2.9108073618997499</v>
      </c>
      <c r="O1326" s="2">
        <v>1.473762203864009</v>
      </c>
      <c r="P1326" s="1">
        <v>-0.44883579828446457</v>
      </c>
      <c r="Q1326" s="1">
        <v>1.3498045353129324</v>
      </c>
      <c r="R1326" s="1">
        <v>-0.25661544227348498</v>
      </c>
      <c r="S1326" s="19">
        <v>144.30925722548665</v>
      </c>
      <c r="T1326" s="19">
        <v>232.9292861628775</v>
      </c>
      <c r="U1326" s="19">
        <v>350.82872661061663</v>
      </c>
      <c r="V1326" s="19">
        <v>498.58844054689325</v>
      </c>
      <c r="W1326" s="19">
        <v>672.98911890181807</v>
      </c>
      <c r="X1326" s="19">
        <v>865.71172488442176</v>
      </c>
      <c r="Y1326" s="19">
        <v>1062.4823570923882</v>
      </c>
      <c r="Z1326" s="19">
        <v>1243.2608811204814</v>
      </c>
      <c r="AA1326" s="19">
        <v>1384.1055547584815</v>
      </c>
      <c r="AB1326" s="19">
        <v>1461.0774042275691</v>
      </c>
      <c r="AC1326" s="19">
        <v>1455.867373950445</v>
      </c>
      <c r="AD1326" s="19">
        <v>1361.8212840955164</v>
      </c>
      <c r="AE1326" s="19">
        <v>1188.1156696877713</v>
      </c>
      <c r="AF1326" s="19">
        <v>974.98441179848942</v>
      </c>
      <c r="AG1326" s="19">
        <v>174.70910740411449</v>
      </c>
      <c r="AH1326" s="19">
        <v>0</v>
      </c>
      <c r="AI1326" s="19">
        <v>0</v>
      </c>
      <c r="AJ1326" s="19">
        <v>0</v>
      </c>
      <c r="AK1326" s="19">
        <v>0</v>
      </c>
      <c r="AL1326" s="19">
        <v>0</v>
      </c>
      <c r="AM1326" s="19">
        <v>0</v>
      </c>
      <c r="AN1326" s="19">
        <v>0</v>
      </c>
      <c r="AO1326" s="19">
        <v>0</v>
      </c>
      <c r="AP1326" s="19">
        <v>0</v>
      </c>
      <c r="AQ1326" s="19">
        <v>0</v>
      </c>
      <c r="AR1326" s="19">
        <v>13071.780598467372</v>
      </c>
    </row>
    <row r="1327" spans="1:44" x14ac:dyDescent="0.25">
      <c r="A1327" t="s">
        <v>435</v>
      </c>
      <c r="B1327" t="s">
        <v>468</v>
      </c>
      <c r="C1327" t="s">
        <v>47</v>
      </c>
      <c r="D1327" t="s">
        <v>187</v>
      </c>
      <c r="E1327" t="s">
        <v>134</v>
      </c>
      <c r="F1327" t="s">
        <v>187</v>
      </c>
      <c r="G1327" t="s">
        <v>33</v>
      </c>
      <c r="H1327" t="s">
        <v>453</v>
      </c>
      <c r="I1327" t="s">
        <v>256</v>
      </c>
      <c r="J1327" t="s">
        <v>40</v>
      </c>
      <c r="K1327" t="s">
        <v>33</v>
      </c>
      <c r="L1327">
        <v>6.3919579739479149E-2</v>
      </c>
      <c r="M1327">
        <v>1</v>
      </c>
      <c r="N1327" s="2">
        <v>2.9108073618997499</v>
      </c>
      <c r="O1327" s="2">
        <v>1.473762203864009</v>
      </c>
      <c r="P1327" s="1">
        <v>-0.44883579828446457</v>
      </c>
      <c r="Q1327" s="1">
        <v>1.3498045353129324</v>
      </c>
      <c r="R1327" s="1">
        <v>-0.25661544227348498</v>
      </c>
      <c r="S1327" s="19">
        <v>482.16165180294706</v>
      </c>
      <c r="T1327" s="19">
        <v>778.25616685205409</v>
      </c>
      <c r="U1327" s="19">
        <v>1172.1781511091065</v>
      </c>
      <c r="V1327" s="19">
        <v>1665.8683627503842</v>
      </c>
      <c r="W1327" s="19">
        <v>2248.5705453260553</v>
      </c>
      <c r="X1327" s="19">
        <v>2892.4893889740797</v>
      </c>
      <c r="Y1327" s="19">
        <v>3549.9333733434146</v>
      </c>
      <c r="Z1327" s="19">
        <v>4153.9450177224571</v>
      </c>
      <c r="AA1327" s="19">
        <v>4624.5309094011473</v>
      </c>
      <c r="AB1327" s="19">
        <v>4881.7068854672798</v>
      </c>
      <c r="AC1327" s="19">
        <v>4864.2992925473272</v>
      </c>
      <c r="AD1327" s="19">
        <v>4550.0753896468559</v>
      </c>
      <c r="AE1327" s="19">
        <v>3969.695533353809</v>
      </c>
      <c r="AF1327" s="19">
        <v>3257.5879296526464</v>
      </c>
      <c r="AG1327" s="19">
        <v>583.73269622863575</v>
      </c>
      <c r="AH1327" s="19">
        <v>0</v>
      </c>
      <c r="AI1327" s="19">
        <v>0</v>
      </c>
      <c r="AJ1327" s="19">
        <v>0</v>
      </c>
      <c r="AK1327" s="19">
        <v>0</v>
      </c>
      <c r="AL1327" s="19">
        <v>0</v>
      </c>
      <c r="AM1327" s="19">
        <v>0</v>
      </c>
      <c r="AN1327" s="19">
        <v>0</v>
      </c>
      <c r="AO1327" s="19">
        <v>0</v>
      </c>
      <c r="AP1327" s="19">
        <v>0</v>
      </c>
      <c r="AQ1327" s="19">
        <v>0</v>
      </c>
      <c r="AR1327" s="19">
        <v>43675.031294178203</v>
      </c>
    </row>
    <row r="1328" spans="1:44" x14ac:dyDescent="0.25">
      <c r="A1328" t="s">
        <v>435</v>
      </c>
      <c r="B1328" t="s">
        <v>468</v>
      </c>
      <c r="C1328" t="s">
        <v>47</v>
      </c>
      <c r="D1328" t="s">
        <v>187</v>
      </c>
      <c r="E1328" t="s">
        <v>134</v>
      </c>
      <c r="F1328" t="s">
        <v>187</v>
      </c>
      <c r="G1328" t="s">
        <v>33</v>
      </c>
      <c r="H1328" t="s">
        <v>457</v>
      </c>
      <c r="I1328" t="s">
        <v>256</v>
      </c>
      <c r="J1328" t="s">
        <v>40</v>
      </c>
      <c r="K1328" t="s">
        <v>33</v>
      </c>
      <c r="L1328">
        <v>6.3919579739479149E-2</v>
      </c>
      <c r="M1328">
        <v>1</v>
      </c>
      <c r="N1328" s="2">
        <v>2.9108073618997499</v>
      </c>
      <c r="O1328" s="2">
        <v>1.473762203864009</v>
      </c>
      <c r="P1328" s="1">
        <v>-0.44883579828446457</v>
      </c>
      <c r="Q1328" s="1">
        <v>1.3498045353129324</v>
      </c>
      <c r="R1328" s="1">
        <v>-0.25661544227348498</v>
      </c>
      <c r="S1328" s="19">
        <v>321.76845998284733</v>
      </c>
      <c r="T1328" s="19">
        <v>519.36583372765176</v>
      </c>
      <c r="U1328" s="19">
        <v>782.24793924935136</v>
      </c>
      <c r="V1328" s="19">
        <v>1111.7099329902833</v>
      </c>
      <c r="W1328" s="19">
        <v>1500.5736744656097</v>
      </c>
      <c r="X1328" s="19">
        <v>1930.2900857558991</v>
      </c>
      <c r="Y1328" s="19">
        <v>2369.0324402846741</v>
      </c>
      <c r="Z1328" s="19">
        <v>2772.1169574726573</v>
      </c>
      <c r="AA1328" s="19">
        <v>3086.1603847939782</v>
      </c>
      <c r="AB1328" s="19">
        <v>3257.7856425347263</v>
      </c>
      <c r="AC1328" s="19">
        <v>3246.1687618787955</v>
      </c>
      <c r="AD1328" s="19">
        <v>3036.4728208017441</v>
      </c>
      <c r="AE1328" s="19">
        <v>2649.158873568128</v>
      </c>
      <c r="AF1328" s="19">
        <v>2173.9369928395399</v>
      </c>
      <c r="AG1328" s="19">
        <v>389.55145023414383</v>
      </c>
      <c r="AH1328" s="19">
        <v>0</v>
      </c>
      <c r="AI1328" s="19">
        <v>0</v>
      </c>
      <c r="AJ1328" s="19">
        <v>0</v>
      </c>
      <c r="AK1328" s="19">
        <v>0</v>
      </c>
      <c r="AL1328" s="19">
        <v>0</v>
      </c>
      <c r="AM1328" s="19">
        <v>0</v>
      </c>
      <c r="AN1328" s="19">
        <v>0</v>
      </c>
      <c r="AO1328" s="19">
        <v>0</v>
      </c>
      <c r="AP1328" s="19">
        <v>0</v>
      </c>
      <c r="AQ1328" s="19">
        <v>0</v>
      </c>
      <c r="AR1328" s="19">
        <v>29146.34025058003</v>
      </c>
    </row>
    <row r="1329" spans="1:44" x14ac:dyDescent="0.25">
      <c r="A1329" t="s">
        <v>435</v>
      </c>
      <c r="B1329" t="s">
        <v>469</v>
      </c>
      <c r="C1329" t="s">
        <v>47</v>
      </c>
      <c r="D1329" t="s">
        <v>470</v>
      </c>
      <c r="E1329" t="s">
        <v>134</v>
      </c>
      <c r="F1329" t="s">
        <v>470</v>
      </c>
      <c r="G1329" t="s">
        <v>33</v>
      </c>
      <c r="H1329" t="s">
        <v>450</v>
      </c>
      <c r="I1329" t="s">
        <v>135</v>
      </c>
      <c r="J1329" t="s">
        <v>39</v>
      </c>
      <c r="K1329" t="s">
        <v>31</v>
      </c>
      <c r="L1329">
        <v>2.2650432449504043E-2</v>
      </c>
      <c r="M1329">
        <v>1</v>
      </c>
      <c r="N1329" s="2">
        <v>2.4239184887175904</v>
      </c>
      <c r="O1329" s="2">
        <v>2.8779545327574696</v>
      </c>
      <c r="P1329" s="1">
        <v>-0.42363157097620913</v>
      </c>
      <c r="Q1329" s="1">
        <v>0.64311448895070245</v>
      </c>
      <c r="R1329" s="1">
        <v>-0.5250915332877516</v>
      </c>
      <c r="S1329" s="19">
        <v>9.8853626181917971</v>
      </c>
      <c r="T1329" s="19">
        <v>15.955944215822244</v>
      </c>
      <c r="U1329" s="19">
        <v>24.032201718046945</v>
      </c>
      <c r="V1329" s="19">
        <v>34.153924888848593</v>
      </c>
      <c r="W1329" s="19">
        <v>46.100587074928946</v>
      </c>
      <c r="X1329" s="19">
        <v>59.302323966167464</v>
      </c>
      <c r="Y1329" s="19">
        <v>72.781355660906598</v>
      </c>
      <c r="Z1329" s="19">
        <v>85.164908164450281</v>
      </c>
      <c r="AA1329" s="19">
        <v>94.81294252150478</v>
      </c>
      <c r="AB1329" s="19">
        <v>100.08560941775168</v>
      </c>
      <c r="AC1329" s="19">
        <v>99.728715899405458</v>
      </c>
      <c r="AD1329" s="19">
        <v>93.286442417349022</v>
      </c>
      <c r="AE1329" s="19">
        <v>81.38739297138531</v>
      </c>
      <c r="AF1329" s="19">
        <v>66.787638180777151</v>
      </c>
      <c r="AG1329" s="19">
        <v>11.967789957450318</v>
      </c>
      <c r="AH1329" s="19">
        <v>0</v>
      </c>
      <c r="AI1329" s="19">
        <v>0</v>
      </c>
      <c r="AJ1329" s="19">
        <v>0</v>
      </c>
      <c r="AK1329" s="19">
        <v>0</v>
      </c>
      <c r="AL1329" s="19">
        <v>0</v>
      </c>
      <c r="AM1329" s="19">
        <v>0</v>
      </c>
      <c r="AN1329" s="19">
        <v>0</v>
      </c>
      <c r="AO1329" s="19">
        <v>0</v>
      </c>
      <c r="AP1329" s="19">
        <v>0</v>
      </c>
      <c r="AQ1329" s="19">
        <v>0</v>
      </c>
      <c r="AR1329" s="19">
        <v>895.4331396729865</v>
      </c>
    </row>
    <row r="1330" spans="1:44" x14ac:dyDescent="0.25">
      <c r="A1330" t="s">
        <v>435</v>
      </c>
      <c r="B1330" t="s">
        <v>469</v>
      </c>
      <c r="C1330" t="s">
        <v>47</v>
      </c>
      <c r="D1330" t="s">
        <v>470</v>
      </c>
      <c r="E1330" t="s">
        <v>134</v>
      </c>
      <c r="F1330" t="s">
        <v>470</v>
      </c>
      <c r="G1330" t="s">
        <v>33</v>
      </c>
      <c r="H1330" t="s">
        <v>451</v>
      </c>
      <c r="I1330" t="s">
        <v>135</v>
      </c>
      <c r="J1330" t="s">
        <v>39</v>
      </c>
      <c r="K1330" t="s">
        <v>31</v>
      </c>
      <c r="L1330">
        <v>2.2650432449504043E-2</v>
      </c>
      <c r="M1330">
        <v>1</v>
      </c>
      <c r="N1330" s="2">
        <v>2.4239184887175904</v>
      </c>
      <c r="O1330" s="2">
        <v>2.8779545327574696</v>
      </c>
      <c r="P1330" s="1">
        <v>-0.42363157097620913</v>
      </c>
      <c r="Q1330" s="1">
        <v>0.64311448895070245</v>
      </c>
      <c r="R1330" s="1">
        <v>-0.5250915332877516</v>
      </c>
      <c r="S1330" s="19">
        <v>2.5858409588899347</v>
      </c>
      <c r="T1330" s="19">
        <v>4.1738007683306613</v>
      </c>
      <c r="U1330" s="19">
        <v>6.2864109223944666</v>
      </c>
      <c r="V1330" s="19">
        <v>8.934079739463284</v>
      </c>
      <c r="W1330" s="19">
        <v>12.059121237277235</v>
      </c>
      <c r="X1330" s="19">
        <v>15.512468706699376</v>
      </c>
      <c r="Y1330" s="19">
        <v>19.038351730786925</v>
      </c>
      <c r="Z1330" s="19">
        <v>22.27767622671367</v>
      </c>
      <c r="AA1330" s="19">
        <v>24.801436191506166</v>
      </c>
      <c r="AB1330" s="19">
        <v>26.180675229010721</v>
      </c>
      <c r="AC1330" s="19">
        <v>26.08731801862335</v>
      </c>
      <c r="AD1330" s="19">
        <v>24.402130000571745</v>
      </c>
      <c r="AE1330" s="19">
        <v>21.28954317724105</v>
      </c>
      <c r="AF1330" s="19">
        <v>17.470498253402976</v>
      </c>
      <c r="AG1330" s="19">
        <v>3.1305681596764621</v>
      </c>
      <c r="AH1330" s="19">
        <v>0</v>
      </c>
      <c r="AI1330" s="19">
        <v>0</v>
      </c>
      <c r="AJ1330" s="19">
        <v>0</v>
      </c>
      <c r="AK1330" s="19">
        <v>0</v>
      </c>
      <c r="AL1330" s="19">
        <v>0</v>
      </c>
      <c r="AM1330" s="19">
        <v>0</v>
      </c>
      <c r="AN1330" s="19">
        <v>0</v>
      </c>
      <c r="AO1330" s="19">
        <v>0</v>
      </c>
      <c r="AP1330" s="19">
        <v>0</v>
      </c>
      <c r="AQ1330" s="19">
        <v>0</v>
      </c>
      <c r="AR1330" s="19">
        <v>234.22991932058804</v>
      </c>
    </row>
    <row r="1331" spans="1:44" x14ac:dyDescent="0.25">
      <c r="A1331" t="s">
        <v>435</v>
      </c>
      <c r="B1331" t="s">
        <v>469</v>
      </c>
      <c r="C1331" t="s">
        <v>47</v>
      </c>
      <c r="D1331" t="s">
        <v>470</v>
      </c>
      <c r="E1331" t="s">
        <v>134</v>
      </c>
      <c r="F1331" t="s">
        <v>470</v>
      </c>
      <c r="G1331" t="s">
        <v>33</v>
      </c>
      <c r="H1331" t="s">
        <v>452</v>
      </c>
      <c r="I1331" t="s">
        <v>135</v>
      </c>
      <c r="J1331" t="s">
        <v>39</v>
      </c>
      <c r="K1331" t="s">
        <v>31</v>
      </c>
      <c r="L1331">
        <v>2.2650432449504043E-2</v>
      </c>
      <c r="M1331">
        <v>1</v>
      </c>
      <c r="N1331" s="2">
        <v>2.4239184887175904</v>
      </c>
      <c r="O1331" s="2">
        <v>2.8779545327574696</v>
      </c>
      <c r="P1331" s="1">
        <v>-0.42363157097620913</v>
      </c>
      <c r="Q1331" s="1">
        <v>0.64311448895070245</v>
      </c>
      <c r="R1331" s="1">
        <v>-0.5250915332877516</v>
      </c>
      <c r="S1331" s="19">
        <v>58.567529674884675</v>
      </c>
      <c r="T1331" s="19">
        <v>94.533733606416774</v>
      </c>
      <c r="U1331" s="19">
        <v>142.38290911901683</v>
      </c>
      <c r="V1331" s="19">
        <v>202.35079750744779</v>
      </c>
      <c r="W1331" s="19">
        <v>273.13085071576074</v>
      </c>
      <c r="X1331" s="19">
        <v>351.34680970493764</v>
      </c>
      <c r="Y1331" s="19">
        <v>431.20564941179566</v>
      </c>
      <c r="Z1331" s="19">
        <v>504.57413438745886</v>
      </c>
      <c r="AA1331" s="19">
        <v>561.73557199332117</v>
      </c>
      <c r="AB1331" s="19">
        <v>592.97439315132658</v>
      </c>
      <c r="AC1331" s="19">
        <v>590.85991616815033</v>
      </c>
      <c r="AD1331" s="19">
        <v>552.69155979043774</v>
      </c>
      <c r="AE1331" s="19">
        <v>482.19359644340614</v>
      </c>
      <c r="AF1331" s="19">
        <v>395.69484015383779</v>
      </c>
      <c r="AG1331" s="19">
        <v>70.9052283206955</v>
      </c>
      <c r="AH1331" s="19">
        <v>0</v>
      </c>
      <c r="AI1331" s="19">
        <v>0</v>
      </c>
      <c r="AJ1331" s="19">
        <v>0</v>
      </c>
      <c r="AK1331" s="19">
        <v>0</v>
      </c>
      <c r="AL1331" s="19">
        <v>0</v>
      </c>
      <c r="AM1331" s="19">
        <v>0</v>
      </c>
      <c r="AN1331" s="19">
        <v>0</v>
      </c>
      <c r="AO1331" s="19">
        <v>0</v>
      </c>
      <c r="AP1331" s="19">
        <v>0</v>
      </c>
      <c r="AQ1331" s="19">
        <v>0</v>
      </c>
      <c r="AR1331" s="19">
        <v>5305.1475201488947</v>
      </c>
    </row>
    <row r="1332" spans="1:44" x14ac:dyDescent="0.25">
      <c r="A1332" t="s">
        <v>435</v>
      </c>
      <c r="B1332" t="s">
        <v>469</v>
      </c>
      <c r="C1332" t="s">
        <v>47</v>
      </c>
      <c r="D1332" t="s">
        <v>470</v>
      </c>
      <c r="E1332" t="s">
        <v>134</v>
      </c>
      <c r="F1332" t="s">
        <v>470</v>
      </c>
      <c r="G1332" t="s">
        <v>33</v>
      </c>
      <c r="H1332" t="s">
        <v>453</v>
      </c>
      <c r="I1332" t="s">
        <v>135</v>
      </c>
      <c r="J1332" t="s">
        <v>39</v>
      </c>
      <c r="K1332" t="s">
        <v>31</v>
      </c>
      <c r="L1332">
        <v>2.2650432449504043E-2</v>
      </c>
      <c r="M1332">
        <v>1</v>
      </c>
      <c r="N1332" s="2">
        <v>2.4239184887175904</v>
      </c>
      <c r="O1332" s="2">
        <v>2.8779545327574696</v>
      </c>
      <c r="P1332" s="1">
        <v>-0.42363157097620913</v>
      </c>
      <c r="Q1332" s="1">
        <v>0.64311448895070245</v>
      </c>
      <c r="R1332" s="1">
        <v>-0.5250915332877516</v>
      </c>
      <c r="S1332" s="19">
        <v>17.911700504159388</v>
      </c>
      <c r="T1332" s="19">
        <v>28.911240294709572</v>
      </c>
      <c r="U1332" s="19">
        <v>43.544947844102424</v>
      </c>
      <c r="V1332" s="19">
        <v>61.884919883951774</v>
      </c>
      <c r="W1332" s="19">
        <v>83.531574980614167</v>
      </c>
      <c r="X1332" s="19">
        <v>107.45235224126968</v>
      </c>
      <c r="Y1332" s="19">
        <v>131.87557151275473</v>
      </c>
      <c r="Z1332" s="19">
        <v>154.31384638319952</v>
      </c>
      <c r="AA1332" s="19">
        <v>171.79552192025841</v>
      </c>
      <c r="AB1332" s="19">
        <v>181.34928680997223</v>
      </c>
      <c r="AC1332" s="19">
        <v>180.70261657040723</v>
      </c>
      <c r="AD1332" s="19">
        <v>169.02959276406452</v>
      </c>
      <c r="AE1332" s="19">
        <v>147.46920917549855</v>
      </c>
      <c r="AF1332" s="19">
        <v>121.015305020046</v>
      </c>
      <c r="AG1332" s="19">
        <v>21.684937386115735</v>
      </c>
      <c r="AH1332" s="19">
        <v>0</v>
      </c>
      <c r="AI1332" s="19">
        <v>0</v>
      </c>
      <c r="AJ1332" s="19">
        <v>0</v>
      </c>
      <c r="AK1332" s="19">
        <v>0</v>
      </c>
      <c r="AL1332" s="19">
        <v>0</v>
      </c>
      <c r="AM1332" s="19">
        <v>0</v>
      </c>
      <c r="AN1332" s="19">
        <v>0</v>
      </c>
      <c r="AO1332" s="19">
        <v>0</v>
      </c>
      <c r="AP1332" s="19">
        <v>0</v>
      </c>
      <c r="AQ1332" s="19">
        <v>0</v>
      </c>
      <c r="AR1332" s="19">
        <v>1622.4726232911239</v>
      </c>
    </row>
    <row r="1333" spans="1:44" x14ac:dyDescent="0.25">
      <c r="A1333" t="s">
        <v>435</v>
      </c>
      <c r="B1333" t="s">
        <v>469</v>
      </c>
      <c r="C1333" t="s">
        <v>47</v>
      </c>
      <c r="D1333" t="s">
        <v>470</v>
      </c>
      <c r="E1333" t="s">
        <v>134</v>
      </c>
      <c r="F1333" t="s">
        <v>470</v>
      </c>
      <c r="G1333" t="s">
        <v>33</v>
      </c>
      <c r="H1333" t="s">
        <v>454</v>
      </c>
      <c r="I1333" t="s">
        <v>135</v>
      </c>
      <c r="J1333" t="s">
        <v>39</v>
      </c>
      <c r="K1333" t="s">
        <v>31</v>
      </c>
      <c r="L1333">
        <v>2.2650432449504043E-2</v>
      </c>
      <c r="M1333">
        <v>1</v>
      </c>
      <c r="N1333" s="2">
        <v>2.4239184887175904</v>
      </c>
      <c r="O1333" s="2">
        <v>2.8779545327574696</v>
      </c>
      <c r="P1333" s="1">
        <v>-0.42363157097620913</v>
      </c>
      <c r="Q1333" s="1">
        <v>0.64311448895070245</v>
      </c>
      <c r="R1333" s="1">
        <v>-0.5250915332877516</v>
      </c>
      <c r="S1333" s="19">
        <v>0.98629181293474044</v>
      </c>
      <c r="T1333" s="19">
        <v>1.5919716610848536</v>
      </c>
      <c r="U1333" s="19">
        <v>2.3977637155855347</v>
      </c>
      <c r="V1333" s="19">
        <v>3.4076379186605026</v>
      </c>
      <c r="W1333" s="19">
        <v>4.5995916750502097</v>
      </c>
      <c r="X1333" s="19">
        <v>5.9167679401257347</v>
      </c>
      <c r="Y1333" s="19">
        <v>7.2616107264028908</v>
      </c>
      <c r="Z1333" s="19">
        <v>8.4971543195955039</v>
      </c>
      <c r="AA1333" s="19">
        <v>9.4597671912532686</v>
      </c>
      <c r="AB1333" s="19">
        <v>9.9858367339658685</v>
      </c>
      <c r="AC1333" s="19">
        <v>9.950228413985112</v>
      </c>
      <c r="AD1333" s="19">
        <v>9.3074637691813091</v>
      </c>
      <c r="AE1333" s="19">
        <v>8.1202604764399453</v>
      </c>
      <c r="AF1333" s="19">
        <v>6.6635998381814883</v>
      </c>
      <c r="AG1333" s="19">
        <v>1.1940617365147337</v>
      </c>
      <c r="AH1333" s="19">
        <v>0</v>
      </c>
      <c r="AI1333" s="19">
        <v>0</v>
      </c>
      <c r="AJ1333" s="19">
        <v>0</v>
      </c>
      <c r="AK1333" s="19">
        <v>0</v>
      </c>
      <c r="AL1333" s="19">
        <v>0</v>
      </c>
      <c r="AM1333" s="19">
        <v>0</v>
      </c>
      <c r="AN1333" s="19">
        <v>0</v>
      </c>
      <c r="AO1333" s="19">
        <v>0</v>
      </c>
      <c r="AP1333" s="19">
        <v>0</v>
      </c>
      <c r="AQ1333" s="19">
        <v>0</v>
      </c>
      <c r="AR1333" s="19">
        <v>89.340007928961697</v>
      </c>
    </row>
    <row r="1334" spans="1:44" x14ac:dyDescent="0.25">
      <c r="A1334" t="s">
        <v>435</v>
      </c>
      <c r="B1334" t="s">
        <v>469</v>
      </c>
      <c r="C1334" t="s">
        <v>47</v>
      </c>
      <c r="D1334" t="s">
        <v>470</v>
      </c>
      <c r="E1334" t="s">
        <v>134</v>
      </c>
      <c r="F1334" t="s">
        <v>470</v>
      </c>
      <c r="G1334" t="s">
        <v>33</v>
      </c>
      <c r="H1334" t="s">
        <v>455</v>
      </c>
      <c r="I1334" t="s">
        <v>135</v>
      </c>
      <c r="J1334" t="s">
        <v>39</v>
      </c>
      <c r="K1334" t="s">
        <v>31</v>
      </c>
      <c r="L1334">
        <v>2.2650432449504043E-2</v>
      </c>
      <c r="M1334">
        <v>1</v>
      </c>
      <c r="N1334" s="2">
        <v>2.4239184887175904</v>
      </c>
      <c r="O1334" s="2">
        <v>2.8779545327574696</v>
      </c>
      <c r="P1334" s="1">
        <v>-0.42363157097620913</v>
      </c>
      <c r="Q1334" s="1">
        <v>0.64311448895070245</v>
      </c>
      <c r="R1334" s="1">
        <v>-0.5250915332877516</v>
      </c>
      <c r="S1334" s="19">
        <v>0.2323849703118224</v>
      </c>
      <c r="T1334" s="19">
        <v>0.37509212014816207</v>
      </c>
      <c r="U1334" s="19">
        <v>0.56494867193830955</v>
      </c>
      <c r="V1334" s="19">
        <v>0.80289000291413493</v>
      </c>
      <c r="W1334" s="19">
        <v>1.0837319755018306</v>
      </c>
      <c r="X1334" s="19">
        <v>1.3940782272305432</v>
      </c>
      <c r="Y1334" s="19">
        <v>1.7109431214378357</v>
      </c>
      <c r="Z1334" s="19">
        <v>2.0020555056810836</v>
      </c>
      <c r="AA1334" s="19">
        <v>2.2288613664499684</v>
      </c>
      <c r="AB1334" s="19">
        <v>2.3528111483116478</v>
      </c>
      <c r="AC1334" s="19">
        <v>2.3444213003244081</v>
      </c>
      <c r="AD1334" s="19">
        <v>2.1929764227117983</v>
      </c>
      <c r="AE1334" s="19">
        <v>1.9132537297727925</v>
      </c>
      <c r="AF1334" s="19">
        <v>1.5700428922328793</v>
      </c>
      <c r="AG1334" s="19">
        <v>0.28133864395041641</v>
      </c>
      <c r="AH1334" s="19">
        <v>0</v>
      </c>
      <c r="AI1334" s="19">
        <v>0</v>
      </c>
      <c r="AJ1334" s="19">
        <v>0</v>
      </c>
      <c r="AK1334" s="19">
        <v>0</v>
      </c>
      <c r="AL1334" s="19">
        <v>0</v>
      </c>
      <c r="AM1334" s="19">
        <v>0</v>
      </c>
      <c r="AN1334" s="19">
        <v>0</v>
      </c>
      <c r="AO1334" s="19">
        <v>0</v>
      </c>
      <c r="AP1334" s="19">
        <v>0</v>
      </c>
      <c r="AQ1334" s="19">
        <v>0</v>
      </c>
      <c r="AR1334" s="19">
        <v>21.049830098917631</v>
      </c>
    </row>
    <row r="1335" spans="1:44" x14ac:dyDescent="0.25">
      <c r="A1335" t="s">
        <v>435</v>
      </c>
      <c r="B1335" t="s">
        <v>469</v>
      </c>
      <c r="C1335" t="s">
        <v>47</v>
      </c>
      <c r="D1335" t="s">
        <v>470</v>
      </c>
      <c r="E1335" t="s">
        <v>134</v>
      </c>
      <c r="F1335" t="s">
        <v>470</v>
      </c>
      <c r="G1335" t="s">
        <v>33</v>
      </c>
      <c r="H1335" t="s">
        <v>456</v>
      </c>
      <c r="I1335" t="s">
        <v>135</v>
      </c>
      <c r="J1335" t="s">
        <v>39</v>
      </c>
      <c r="K1335" t="s">
        <v>31</v>
      </c>
      <c r="L1335">
        <v>2.2650432449504043E-2</v>
      </c>
      <c r="M1335">
        <v>1</v>
      </c>
      <c r="N1335" s="2">
        <v>2.4239184887175904</v>
      </c>
      <c r="O1335" s="2">
        <v>2.8779545327574696</v>
      </c>
      <c r="P1335" s="1">
        <v>-0.42363157097620913</v>
      </c>
      <c r="Q1335" s="1">
        <v>0.64311448895070245</v>
      </c>
      <c r="R1335" s="1">
        <v>-0.5250915332877516</v>
      </c>
      <c r="S1335" s="19">
        <v>41.887941201409703</v>
      </c>
      <c r="T1335" s="19">
        <v>67.611242899209941</v>
      </c>
      <c r="U1335" s="19">
        <v>101.8333359520304</v>
      </c>
      <c r="V1335" s="19">
        <v>144.72282432094954</v>
      </c>
      <c r="W1335" s="19">
        <v>195.34525493191427</v>
      </c>
      <c r="X1335" s="19">
        <v>251.28590172609657</v>
      </c>
      <c r="Y1335" s="19">
        <v>308.40154926361168</v>
      </c>
      <c r="Z1335" s="19">
        <v>360.87524589649149</v>
      </c>
      <c r="AA1335" s="19">
        <v>401.75753939109313</v>
      </c>
      <c r="AB1335" s="19">
        <v>424.09978109279501</v>
      </c>
      <c r="AC1335" s="19">
        <v>422.5874911253901</v>
      </c>
      <c r="AD1335" s="19">
        <v>395.28919330441022</v>
      </c>
      <c r="AE1335" s="19">
        <v>344.86851550064887</v>
      </c>
      <c r="AF1335" s="19">
        <v>283.0039492885237</v>
      </c>
      <c r="AG1335" s="19">
        <v>50.711956800245353</v>
      </c>
      <c r="AH1335" s="19">
        <v>0</v>
      </c>
      <c r="AI1335" s="19">
        <v>0</v>
      </c>
      <c r="AJ1335" s="19">
        <v>0</v>
      </c>
      <c r="AK1335" s="19">
        <v>0</v>
      </c>
      <c r="AL1335" s="19">
        <v>0</v>
      </c>
      <c r="AM1335" s="19">
        <v>0</v>
      </c>
      <c r="AN1335" s="19">
        <v>0</v>
      </c>
      <c r="AO1335" s="19">
        <v>0</v>
      </c>
      <c r="AP1335" s="19">
        <v>0</v>
      </c>
      <c r="AQ1335" s="19">
        <v>0</v>
      </c>
      <c r="AR1335" s="19">
        <v>3794.28172269482</v>
      </c>
    </row>
    <row r="1336" spans="1:44" x14ac:dyDescent="0.25">
      <c r="A1336" t="s">
        <v>435</v>
      </c>
      <c r="B1336" t="s">
        <v>469</v>
      </c>
      <c r="C1336" t="s">
        <v>47</v>
      </c>
      <c r="D1336" t="s">
        <v>470</v>
      </c>
      <c r="E1336" t="s">
        <v>134</v>
      </c>
      <c r="F1336" t="s">
        <v>470</v>
      </c>
      <c r="G1336" t="s">
        <v>33</v>
      </c>
      <c r="H1336" t="s">
        <v>457</v>
      </c>
      <c r="I1336" t="s">
        <v>135</v>
      </c>
      <c r="J1336" t="s">
        <v>39</v>
      </c>
      <c r="K1336" t="s">
        <v>31</v>
      </c>
      <c r="L1336">
        <v>2.2650432449504043E-2</v>
      </c>
      <c r="M1336">
        <v>1</v>
      </c>
      <c r="N1336" s="2">
        <v>2.4239184887175904</v>
      </c>
      <c r="O1336" s="2">
        <v>2.8779545327574696</v>
      </c>
      <c r="P1336" s="1">
        <v>-0.42363157097620913</v>
      </c>
      <c r="Q1336" s="1">
        <v>0.64311448895070245</v>
      </c>
      <c r="R1336" s="1">
        <v>-0.5250915332877516</v>
      </c>
      <c r="S1336" s="19">
        <v>15.485926878845875</v>
      </c>
      <c r="T1336" s="19">
        <v>24.995803892357831</v>
      </c>
      <c r="U1336" s="19">
        <v>37.64767494299808</v>
      </c>
      <c r="V1336" s="19">
        <v>53.503872734114168</v>
      </c>
      <c r="W1336" s="19">
        <v>72.218930967734522</v>
      </c>
      <c r="X1336" s="19">
        <v>92.900128013076454</v>
      </c>
      <c r="Y1336" s="19">
        <v>114.01572157139933</v>
      </c>
      <c r="Z1336" s="19">
        <v>133.41519086525352</v>
      </c>
      <c r="AA1336" s="19">
        <v>148.52933086685402</v>
      </c>
      <c r="AB1336" s="19">
        <v>156.78923363071706</v>
      </c>
      <c r="AC1336" s="19">
        <v>156.23014165381048</v>
      </c>
      <c r="AD1336" s="19">
        <v>146.13799026494186</v>
      </c>
      <c r="AE1336" s="19">
        <v>127.49751982748292</v>
      </c>
      <c r="AF1336" s="19">
        <v>104.62625613500413</v>
      </c>
      <c r="AG1336" s="19">
        <v>18.748155969655709</v>
      </c>
      <c r="AH1336" s="19">
        <v>0</v>
      </c>
      <c r="AI1336" s="19">
        <v>0</v>
      </c>
      <c r="AJ1336" s="19">
        <v>0</v>
      </c>
      <c r="AK1336" s="19">
        <v>0</v>
      </c>
      <c r="AL1336" s="19">
        <v>0</v>
      </c>
      <c r="AM1336" s="19">
        <v>0</v>
      </c>
      <c r="AN1336" s="19">
        <v>0</v>
      </c>
      <c r="AO1336" s="19">
        <v>0</v>
      </c>
      <c r="AP1336" s="19">
        <v>0</v>
      </c>
      <c r="AQ1336" s="19">
        <v>0</v>
      </c>
      <c r="AR1336" s="19">
        <v>1402.7418782142458</v>
      </c>
    </row>
    <row r="1337" spans="1:44" x14ac:dyDescent="0.25">
      <c r="A1337" t="s">
        <v>435</v>
      </c>
      <c r="B1337" t="s">
        <v>469</v>
      </c>
      <c r="C1337" t="s">
        <v>47</v>
      </c>
      <c r="D1337" t="s">
        <v>470</v>
      </c>
      <c r="E1337" t="s">
        <v>134</v>
      </c>
      <c r="F1337" t="s">
        <v>470</v>
      </c>
      <c r="G1337" t="s">
        <v>33</v>
      </c>
      <c r="H1337" t="s">
        <v>450</v>
      </c>
      <c r="I1337" t="s">
        <v>135</v>
      </c>
      <c r="J1337" t="s">
        <v>39</v>
      </c>
      <c r="K1337" t="s">
        <v>33</v>
      </c>
      <c r="L1337">
        <v>2.2650432449504043E-2</v>
      </c>
      <c r="M1337">
        <v>1</v>
      </c>
      <c r="N1337" s="2">
        <v>2.4239184887175904</v>
      </c>
      <c r="O1337" s="2">
        <v>2.8779545327574696</v>
      </c>
      <c r="P1337" s="1">
        <v>-0.42363157097620913</v>
      </c>
      <c r="Q1337" s="1">
        <v>0.64311448895070245</v>
      </c>
      <c r="R1337" s="1">
        <v>-0.5250915332877516</v>
      </c>
      <c r="S1337" s="19">
        <v>6.0901764376168739</v>
      </c>
      <c r="T1337" s="19">
        <v>9.8232894104660851</v>
      </c>
      <c r="U1337" s="19">
        <v>14.785130113972938</v>
      </c>
      <c r="V1337" s="19">
        <v>20.997586030427161</v>
      </c>
      <c r="W1337" s="19">
        <v>28.322550935161559</v>
      </c>
      <c r="X1337" s="19">
        <v>36.407829081244422</v>
      </c>
      <c r="Y1337" s="19">
        <v>44.651944013118296</v>
      </c>
      <c r="Z1337" s="19">
        <v>52.21293102317631</v>
      </c>
      <c r="AA1337" s="19">
        <v>58.087431893014312</v>
      </c>
      <c r="AB1337" s="19">
        <v>61.27500413713723</v>
      </c>
      <c r="AC1337" s="19">
        <v>61.013943930884707</v>
      </c>
      <c r="AD1337" s="19">
        <v>57.032782815485717</v>
      </c>
      <c r="AE1337" s="19">
        <v>49.723344101779631</v>
      </c>
      <c r="AF1337" s="19">
        <v>40.775231717016894</v>
      </c>
      <c r="AG1337" s="19">
        <v>1.3039906559125725</v>
      </c>
      <c r="AH1337" s="19">
        <v>0</v>
      </c>
      <c r="AI1337" s="19">
        <v>0</v>
      </c>
      <c r="AJ1337" s="19">
        <v>0</v>
      </c>
      <c r="AK1337" s="19">
        <v>0</v>
      </c>
      <c r="AL1337" s="19">
        <v>0</v>
      </c>
      <c r="AM1337" s="19">
        <v>0</v>
      </c>
      <c r="AN1337" s="19">
        <v>0</v>
      </c>
      <c r="AO1337" s="19">
        <v>0</v>
      </c>
      <c r="AP1337" s="19">
        <v>0</v>
      </c>
      <c r="AQ1337" s="19">
        <v>0</v>
      </c>
      <c r="AR1337" s="19">
        <v>542.50316629641475</v>
      </c>
    </row>
    <row r="1338" spans="1:44" x14ac:dyDescent="0.25">
      <c r="A1338" t="s">
        <v>435</v>
      </c>
      <c r="B1338" t="s">
        <v>469</v>
      </c>
      <c r="C1338" t="s">
        <v>47</v>
      </c>
      <c r="D1338" t="s">
        <v>470</v>
      </c>
      <c r="E1338" t="s">
        <v>134</v>
      </c>
      <c r="F1338" t="s">
        <v>470</v>
      </c>
      <c r="G1338" t="s">
        <v>33</v>
      </c>
      <c r="H1338" t="s">
        <v>451</v>
      </c>
      <c r="I1338" t="s">
        <v>135</v>
      </c>
      <c r="J1338" t="s">
        <v>39</v>
      </c>
      <c r="K1338" t="s">
        <v>33</v>
      </c>
      <c r="L1338">
        <v>2.2650432449504043E-2</v>
      </c>
      <c r="M1338">
        <v>1</v>
      </c>
      <c r="N1338" s="2">
        <v>2.4239184887175904</v>
      </c>
      <c r="O1338" s="2">
        <v>2.8779545327574696</v>
      </c>
      <c r="P1338" s="1">
        <v>-0.42363157097620913</v>
      </c>
      <c r="Q1338" s="1">
        <v>0.64311448895070245</v>
      </c>
      <c r="R1338" s="1">
        <v>-0.5250915332877516</v>
      </c>
      <c r="S1338" s="19">
        <v>11.648729017575878</v>
      </c>
      <c r="T1338" s="19">
        <v>18.802190427250991</v>
      </c>
      <c r="U1338" s="19">
        <v>28.319103337097108</v>
      </c>
      <c r="V1338" s="19">
        <v>40.246355271245591</v>
      </c>
      <c r="W1338" s="19">
        <v>54.324081688086544</v>
      </c>
      <c r="X1338" s="19">
        <v>69.880764993195456</v>
      </c>
      <c r="Y1338" s="19">
        <v>85.764207381275824</v>
      </c>
      <c r="Z1338" s="19">
        <v>100.35675729170994</v>
      </c>
      <c r="AA1338" s="19">
        <v>111.72582306282956</v>
      </c>
      <c r="AB1338" s="19">
        <v>117.93903650239464</v>
      </c>
      <c r="AC1338" s="19">
        <v>117.51847976169461</v>
      </c>
      <c r="AD1338" s="19">
        <v>109.92702348962138</v>
      </c>
      <c r="AE1338" s="19">
        <v>95.905403047727859</v>
      </c>
      <c r="AF1338" s="19">
        <v>78.701321230245924</v>
      </c>
      <c r="AG1338" s="19">
        <v>14.102622993015231</v>
      </c>
      <c r="AH1338" s="19">
        <v>0</v>
      </c>
      <c r="AI1338" s="19">
        <v>0</v>
      </c>
      <c r="AJ1338" s="19">
        <v>0</v>
      </c>
      <c r="AK1338" s="19">
        <v>0</v>
      </c>
      <c r="AL1338" s="19">
        <v>0</v>
      </c>
      <c r="AM1338" s="19">
        <v>0</v>
      </c>
      <c r="AN1338" s="19">
        <v>0</v>
      </c>
      <c r="AO1338" s="19">
        <v>0</v>
      </c>
      <c r="AP1338" s="19">
        <v>0</v>
      </c>
      <c r="AQ1338" s="19">
        <v>0</v>
      </c>
      <c r="AR1338" s="19">
        <v>1055.1618994949667</v>
      </c>
    </row>
    <row r="1339" spans="1:44" x14ac:dyDescent="0.25">
      <c r="A1339" t="s">
        <v>435</v>
      </c>
      <c r="B1339" t="s">
        <v>469</v>
      </c>
      <c r="C1339" t="s">
        <v>47</v>
      </c>
      <c r="D1339" t="s">
        <v>470</v>
      </c>
      <c r="E1339" t="s">
        <v>134</v>
      </c>
      <c r="F1339" t="s">
        <v>470</v>
      </c>
      <c r="G1339" t="s">
        <v>33</v>
      </c>
      <c r="H1339" t="s">
        <v>452</v>
      </c>
      <c r="I1339" t="s">
        <v>135</v>
      </c>
      <c r="J1339" t="s">
        <v>39</v>
      </c>
      <c r="K1339" t="s">
        <v>33</v>
      </c>
      <c r="L1339">
        <v>2.2650432449504043E-2</v>
      </c>
      <c r="M1339">
        <v>1</v>
      </c>
      <c r="N1339" s="2">
        <v>2.4239184887175904</v>
      </c>
      <c r="O1339" s="2">
        <v>2.8779545327574696</v>
      </c>
      <c r="P1339" s="1">
        <v>-0.42363157097620913</v>
      </c>
      <c r="Q1339" s="1">
        <v>0.64311448895070245</v>
      </c>
      <c r="R1339" s="1">
        <v>-0.5250915332877516</v>
      </c>
      <c r="S1339" s="19">
        <v>115.81534699012062</v>
      </c>
      <c r="T1339" s="19">
        <v>186.93732210791501</v>
      </c>
      <c r="U1339" s="19">
        <v>281.55747931695947</v>
      </c>
      <c r="V1339" s="19">
        <v>400.14198920707435</v>
      </c>
      <c r="W1339" s="19">
        <v>540.10719634155316</v>
      </c>
      <c r="X1339" s="19">
        <v>694.77666047606556</v>
      </c>
      <c r="Y1339" s="19">
        <v>852.69486672822973</v>
      </c>
      <c r="Z1339" s="19">
        <v>997.77861181300341</v>
      </c>
      <c r="AA1339" s="19">
        <v>1110.8134583828769</v>
      </c>
      <c r="AB1339" s="19">
        <v>1172.5871908940528</v>
      </c>
      <c r="AC1339" s="19">
        <v>1168.4058828063023</v>
      </c>
      <c r="AD1339" s="19">
        <v>1092.929224281246</v>
      </c>
      <c r="AE1339" s="19">
        <v>953.52184048929269</v>
      </c>
      <c r="AF1339" s="19">
        <v>782.47341946998881</v>
      </c>
      <c r="AG1339" s="19">
        <v>140.21273676660945</v>
      </c>
      <c r="AH1339" s="19">
        <v>0</v>
      </c>
      <c r="AI1339" s="19">
        <v>0</v>
      </c>
      <c r="AJ1339" s="19">
        <v>0</v>
      </c>
      <c r="AK1339" s="19">
        <v>0</v>
      </c>
      <c r="AL1339" s="19">
        <v>0</v>
      </c>
      <c r="AM1339" s="19">
        <v>0</v>
      </c>
      <c r="AN1339" s="19">
        <v>0</v>
      </c>
      <c r="AO1339" s="19">
        <v>0</v>
      </c>
      <c r="AP1339" s="19">
        <v>0</v>
      </c>
      <c r="AQ1339" s="19">
        <v>0</v>
      </c>
      <c r="AR1339" s="19">
        <v>10490.753226071289</v>
      </c>
    </row>
    <row r="1340" spans="1:44" x14ac:dyDescent="0.25">
      <c r="A1340" t="s">
        <v>435</v>
      </c>
      <c r="B1340" t="s">
        <v>469</v>
      </c>
      <c r="C1340" t="s">
        <v>47</v>
      </c>
      <c r="D1340" t="s">
        <v>470</v>
      </c>
      <c r="E1340" t="s">
        <v>134</v>
      </c>
      <c r="F1340" t="s">
        <v>470</v>
      </c>
      <c r="G1340" t="s">
        <v>33</v>
      </c>
      <c r="H1340" t="s">
        <v>453</v>
      </c>
      <c r="I1340" t="s">
        <v>135</v>
      </c>
      <c r="J1340" t="s">
        <v>39</v>
      </c>
      <c r="K1340" t="s">
        <v>33</v>
      </c>
      <c r="L1340">
        <v>2.2650432449504043E-2</v>
      </c>
      <c r="M1340">
        <v>1</v>
      </c>
      <c r="N1340" s="2">
        <v>2.4239184887175904</v>
      </c>
      <c r="O1340" s="2">
        <v>2.8779545327574696</v>
      </c>
      <c r="P1340" s="1">
        <v>-0.42363157097620913</v>
      </c>
      <c r="Q1340" s="1">
        <v>0.64311448895070245</v>
      </c>
      <c r="R1340" s="1">
        <v>-0.5250915332877516</v>
      </c>
      <c r="S1340" s="19">
        <v>16.297568336555734</v>
      </c>
      <c r="T1340" s="19">
        <v>26.305872761114816</v>
      </c>
      <c r="U1340" s="19">
        <v>39.620848005816981</v>
      </c>
      <c r="V1340" s="19">
        <v>56.308093727715786</v>
      </c>
      <c r="W1340" s="19">
        <v>76.004037204092285</v>
      </c>
      <c r="X1340" s="19">
        <v>97.769167878230832</v>
      </c>
      <c r="Y1340" s="19">
        <v>119.99146246066204</v>
      </c>
      <c r="Z1340" s="19">
        <v>140.40768804296098</v>
      </c>
      <c r="AA1340" s="19">
        <v>156.31398357512171</v>
      </c>
      <c r="AB1340" s="19">
        <v>165.00680065998429</v>
      </c>
      <c r="AC1340" s="19">
        <v>164.41840580500778</v>
      </c>
      <c r="AD1340" s="19">
        <v>153.79730910154657</v>
      </c>
      <c r="AE1340" s="19">
        <v>134.17986268346846</v>
      </c>
      <c r="AF1340" s="19">
        <v>110.10988057082275</v>
      </c>
      <c r="AG1340" s="19">
        <v>19.730775916115871</v>
      </c>
      <c r="AH1340" s="19">
        <v>0</v>
      </c>
      <c r="AI1340" s="19">
        <v>0</v>
      </c>
      <c r="AJ1340" s="19">
        <v>0</v>
      </c>
      <c r="AK1340" s="19">
        <v>0</v>
      </c>
      <c r="AL1340" s="19">
        <v>0</v>
      </c>
      <c r="AM1340" s="19">
        <v>0</v>
      </c>
      <c r="AN1340" s="19">
        <v>0</v>
      </c>
      <c r="AO1340" s="19">
        <v>0</v>
      </c>
      <c r="AP1340" s="19">
        <v>0</v>
      </c>
      <c r="AQ1340" s="19">
        <v>0</v>
      </c>
      <c r="AR1340" s="19">
        <v>1476.2617567292166</v>
      </c>
    </row>
    <row r="1341" spans="1:44" x14ac:dyDescent="0.25">
      <c r="A1341" t="s">
        <v>435</v>
      </c>
      <c r="B1341" t="s">
        <v>469</v>
      </c>
      <c r="C1341" t="s">
        <v>47</v>
      </c>
      <c r="D1341" t="s">
        <v>470</v>
      </c>
      <c r="E1341" t="s">
        <v>134</v>
      </c>
      <c r="F1341" t="s">
        <v>470</v>
      </c>
      <c r="G1341" t="s">
        <v>33</v>
      </c>
      <c r="H1341" t="s">
        <v>454</v>
      </c>
      <c r="I1341" t="s">
        <v>135</v>
      </c>
      <c r="J1341" t="s">
        <v>39</v>
      </c>
      <c r="K1341" t="s">
        <v>33</v>
      </c>
      <c r="L1341">
        <v>2.2650432449504043E-2</v>
      </c>
      <c r="M1341">
        <v>1</v>
      </c>
      <c r="N1341" s="2">
        <v>2.4239184887175904</v>
      </c>
      <c r="O1341" s="2">
        <v>2.8779545327574696</v>
      </c>
      <c r="P1341" s="1">
        <v>-0.42363157097620913</v>
      </c>
      <c r="Q1341" s="1">
        <v>0.64311448895070245</v>
      </c>
      <c r="R1341" s="1">
        <v>-0.5250915332877516</v>
      </c>
      <c r="S1341" s="19">
        <v>7.914995926071569</v>
      </c>
      <c r="T1341" s="19">
        <v>12.775579242024724</v>
      </c>
      <c r="U1341" s="19">
        <v>19.242063851337537</v>
      </c>
      <c r="V1341" s="19">
        <v>27.346308556968101</v>
      </c>
      <c r="W1341" s="19">
        <v>36.911742439885749</v>
      </c>
      <c r="X1341" s="19">
        <v>47.482087479017437</v>
      </c>
      <c r="Y1341" s="19">
        <v>58.274456466566498</v>
      </c>
      <c r="Z1341" s="19">
        <v>68.189698972234964</v>
      </c>
      <c r="AA1341" s="19">
        <v>75.914671295471123</v>
      </c>
      <c r="AB1341" s="19">
        <v>80.136381577148214</v>
      </c>
      <c r="AC1341" s="19">
        <v>79.850624660294898</v>
      </c>
      <c r="AD1341" s="19">
        <v>74.692435696009554</v>
      </c>
      <c r="AE1341" s="19">
        <v>65.165124303748826</v>
      </c>
      <c r="AF1341" s="19">
        <v>53.475416586133043</v>
      </c>
      <c r="AG1341" s="19">
        <v>9.5823504322420057</v>
      </c>
      <c r="AH1341" s="19">
        <v>0</v>
      </c>
      <c r="AI1341" s="19">
        <v>0</v>
      </c>
      <c r="AJ1341" s="19">
        <v>0</v>
      </c>
      <c r="AK1341" s="19">
        <v>0</v>
      </c>
      <c r="AL1341" s="19">
        <v>0</v>
      </c>
      <c r="AM1341" s="19">
        <v>0</v>
      </c>
      <c r="AN1341" s="19">
        <v>0</v>
      </c>
      <c r="AO1341" s="19">
        <v>0</v>
      </c>
      <c r="AP1341" s="19">
        <v>0</v>
      </c>
      <c r="AQ1341" s="19">
        <v>0</v>
      </c>
      <c r="AR1341" s="19">
        <v>716.95393748515426</v>
      </c>
    </row>
    <row r="1342" spans="1:44" x14ac:dyDescent="0.25">
      <c r="A1342" t="s">
        <v>435</v>
      </c>
      <c r="B1342" t="s">
        <v>469</v>
      </c>
      <c r="C1342" t="s">
        <v>47</v>
      </c>
      <c r="D1342" t="s">
        <v>470</v>
      </c>
      <c r="E1342" t="s">
        <v>134</v>
      </c>
      <c r="F1342" t="s">
        <v>470</v>
      </c>
      <c r="G1342" t="s">
        <v>33</v>
      </c>
      <c r="H1342" t="s">
        <v>455</v>
      </c>
      <c r="I1342" t="s">
        <v>135</v>
      </c>
      <c r="J1342" t="s">
        <v>39</v>
      </c>
      <c r="K1342" t="s">
        <v>33</v>
      </c>
      <c r="L1342">
        <v>2.2650432449504043E-2</v>
      </c>
      <c r="M1342">
        <v>1</v>
      </c>
      <c r="N1342" s="2">
        <v>2.4239184887175904</v>
      </c>
      <c r="O1342" s="2">
        <v>2.8779545327574696</v>
      </c>
      <c r="P1342" s="1">
        <v>-0.42363157097620913</v>
      </c>
      <c r="Q1342" s="1">
        <v>0.64311448895070245</v>
      </c>
      <c r="R1342" s="1">
        <v>-0.5250915332877516</v>
      </c>
      <c r="S1342" s="19">
        <v>5.9085686839235914</v>
      </c>
      <c r="T1342" s="19">
        <v>9.5370090058753885</v>
      </c>
      <c r="U1342" s="19">
        <v>14.364259558437974</v>
      </c>
      <c r="V1342" s="19">
        <v>20.41410303552852</v>
      </c>
      <c r="W1342" s="19">
        <v>27.554728705667092</v>
      </c>
      <c r="X1342" s="19">
        <v>35.44552362961079</v>
      </c>
      <c r="Y1342" s="19">
        <v>43.50206011058787</v>
      </c>
      <c r="Z1342" s="19">
        <v>50.903818988255182</v>
      </c>
      <c r="AA1342" s="19">
        <v>56.670534471064478</v>
      </c>
      <c r="AB1342" s="19">
        <v>59.822054117556092</v>
      </c>
      <c r="AC1342" s="19">
        <v>59.608735704520321</v>
      </c>
      <c r="AD1342" s="19">
        <v>55.75813185521887</v>
      </c>
      <c r="AE1342" s="19">
        <v>48.645964741035662</v>
      </c>
      <c r="AF1342" s="19">
        <v>39.919562151615047</v>
      </c>
      <c r="AG1342" s="19">
        <v>7.1532539259850481</v>
      </c>
      <c r="AH1342" s="19">
        <v>0</v>
      </c>
      <c r="AI1342" s="19">
        <v>0</v>
      </c>
      <c r="AJ1342" s="19">
        <v>0</v>
      </c>
      <c r="AK1342" s="19">
        <v>0</v>
      </c>
      <c r="AL1342" s="19">
        <v>0</v>
      </c>
      <c r="AM1342" s="19">
        <v>0</v>
      </c>
      <c r="AN1342" s="19">
        <v>0</v>
      </c>
      <c r="AO1342" s="19">
        <v>0</v>
      </c>
      <c r="AP1342" s="19">
        <v>0</v>
      </c>
      <c r="AQ1342" s="19">
        <v>0</v>
      </c>
      <c r="AR1342" s="19">
        <v>535.2083086848819</v>
      </c>
    </row>
    <row r="1343" spans="1:44" x14ac:dyDescent="0.25">
      <c r="A1343" t="s">
        <v>435</v>
      </c>
      <c r="B1343" t="s">
        <v>469</v>
      </c>
      <c r="C1343" t="s">
        <v>47</v>
      </c>
      <c r="D1343" t="s">
        <v>470</v>
      </c>
      <c r="E1343" t="s">
        <v>134</v>
      </c>
      <c r="F1343" t="s">
        <v>470</v>
      </c>
      <c r="G1343" t="s">
        <v>33</v>
      </c>
      <c r="H1343" t="s">
        <v>456</v>
      </c>
      <c r="I1343" t="s">
        <v>135</v>
      </c>
      <c r="J1343" t="s">
        <v>39</v>
      </c>
      <c r="K1343" t="s">
        <v>33</v>
      </c>
      <c r="L1343">
        <v>2.2650432449504043E-2</v>
      </c>
      <c r="M1343">
        <v>1</v>
      </c>
      <c r="N1343" s="2">
        <v>2.4239184887175904</v>
      </c>
      <c r="O1343" s="2">
        <v>2.8779545327574696</v>
      </c>
      <c r="P1343" s="1">
        <v>-0.42363157097620913</v>
      </c>
      <c r="Q1343" s="1">
        <v>0.64311448895070245</v>
      </c>
      <c r="R1343" s="1">
        <v>-0.5250915332877516</v>
      </c>
      <c r="S1343" s="19">
        <v>38.675124649242406</v>
      </c>
      <c r="T1343" s="19">
        <v>62.425442068018107</v>
      </c>
      <c r="U1343" s="19">
        <v>94.022691219314666</v>
      </c>
      <c r="V1343" s="19">
        <v>133.62254409425989</v>
      </c>
      <c r="W1343" s="19">
        <v>180.36222042527984</v>
      </c>
      <c r="X1343" s="19">
        <v>232.01220430301296</v>
      </c>
      <c r="Y1343" s="19">
        <v>284.74706604554359</v>
      </c>
      <c r="Z1343" s="19">
        <v>333.19601578802605</v>
      </c>
      <c r="AA1343" s="19">
        <v>370.94262618475312</v>
      </c>
      <c r="AB1343" s="19">
        <v>391.57121183430866</v>
      </c>
      <c r="AC1343" s="19">
        <v>390.17491492121962</v>
      </c>
      <c r="AD1343" s="19">
        <v>364.97040401288672</v>
      </c>
      <c r="AE1343" s="19">
        <v>318.41700599355096</v>
      </c>
      <c r="AF1343" s="19">
        <v>261.29746893822465</v>
      </c>
      <c r="AG1343" s="19">
        <v>46.822335837085369</v>
      </c>
      <c r="AH1343" s="19">
        <v>0</v>
      </c>
      <c r="AI1343" s="19">
        <v>0</v>
      </c>
      <c r="AJ1343" s="19">
        <v>0</v>
      </c>
      <c r="AK1343" s="19">
        <v>0</v>
      </c>
      <c r="AL1343" s="19">
        <v>0</v>
      </c>
      <c r="AM1343" s="19">
        <v>0</v>
      </c>
      <c r="AN1343" s="19">
        <v>0</v>
      </c>
      <c r="AO1343" s="19">
        <v>0</v>
      </c>
      <c r="AP1343" s="19">
        <v>0</v>
      </c>
      <c r="AQ1343" s="19">
        <v>0</v>
      </c>
      <c r="AR1343" s="19">
        <v>3503.2592763147268</v>
      </c>
    </row>
    <row r="1344" spans="1:44" x14ac:dyDescent="0.25">
      <c r="A1344" t="s">
        <v>435</v>
      </c>
      <c r="B1344" t="s">
        <v>469</v>
      </c>
      <c r="C1344" t="s">
        <v>47</v>
      </c>
      <c r="D1344" t="s">
        <v>470</v>
      </c>
      <c r="E1344" t="s">
        <v>134</v>
      </c>
      <c r="F1344" t="s">
        <v>470</v>
      </c>
      <c r="G1344" t="s">
        <v>33</v>
      </c>
      <c r="H1344" t="s">
        <v>457</v>
      </c>
      <c r="I1344" t="s">
        <v>135</v>
      </c>
      <c r="J1344" t="s">
        <v>39</v>
      </c>
      <c r="K1344" t="s">
        <v>33</v>
      </c>
      <c r="L1344">
        <v>2.2650432449504043E-2</v>
      </c>
      <c r="M1344">
        <v>1</v>
      </c>
      <c r="N1344" s="2">
        <v>2.4239184887175904</v>
      </c>
      <c r="O1344" s="2">
        <v>2.8779545327574696</v>
      </c>
      <c r="P1344" s="1">
        <v>-0.42363157097620913</v>
      </c>
      <c r="Q1344" s="1">
        <v>0.64311448895070245</v>
      </c>
      <c r="R1344" s="1">
        <v>-0.5250915332877516</v>
      </c>
      <c r="S1344" s="19">
        <v>4.5310981247863493</v>
      </c>
      <c r="T1344" s="19">
        <v>7.3136365056006722</v>
      </c>
      <c r="U1344" s="19">
        <v>11.015505282399854</v>
      </c>
      <c r="V1344" s="19">
        <v>15.65494266575149</v>
      </c>
      <c r="W1344" s="19">
        <v>21.130867092558841</v>
      </c>
      <c r="X1344" s="19">
        <v>27.182073060636455</v>
      </c>
      <c r="Y1344" s="19">
        <v>33.360381089881002</v>
      </c>
      <c r="Z1344" s="19">
        <v>39.036560476941645</v>
      </c>
      <c r="AA1344" s="19">
        <v>43.458875780041808</v>
      </c>
      <c r="AB1344" s="19">
        <v>45.875678482073333</v>
      </c>
      <c r="AC1344" s="19">
        <v>45.712091205188727</v>
      </c>
      <c r="AD1344" s="19">
        <v>42.759182503570834</v>
      </c>
      <c r="AE1344" s="19">
        <v>37.305082060950099</v>
      </c>
      <c r="AF1344" s="19">
        <v>30.613074482763199</v>
      </c>
      <c r="AG1344" s="19">
        <v>5.4856086446688979</v>
      </c>
      <c r="AH1344" s="19">
        <v>0</v>
      </c>
      <c r="AI1344" s="19">
        <v>0</v>
      </c>
      <c r="AJ1344" s="19">
        <v>0</v>
      </c>
      <c r="AK1344" s="19">
        <v>0</v>
      </c>
      <c r="AL1344" s="19">
        <v>0</v>
      </c>
      <c r="AM1344" s="19">
        <v>0</v>
      </c>
      <c r="AN1344" s="19">
        <v>0</v>
      </c>
      <c r="AO1344" s="19">
        <v>0</v>
      </c>
      <c r="AP1344" s="19">
        <v>0</v>
      </c>
      <c r="AQ1344" s="19">
        <v>0</v>
      </c>
      <c r="AR1344" s="19">
        <v>410.43465745781322</v>
      </c>
    </row>
    <row r="1345" spans="1:44" x14ac:dyDescent="0.25">
      <c r="A1345" t="s">
        <v>435</v>
      </c>
      <c r="B1345" t="s">
        <v>469</v>
      </c>
      <c r="C1345" t="s">
        <v>47</v>
      </c>
      <c r="D1345" t="s">
        <v>470</v>
      </c>
      <c r="E1345" t="s">
        <v>134</v>
      </c>
      <c r="F1345" t="s">
        <v>470</v>
      </c>
      <c r="G1345" t="s">
        <v>33</v>
      </c>
      <c r="H1345" t="s">
        <v>457</v>
      </c>
      <c r="I1345" t="s">
        <v>256</v>
      </c>
      <c r="J1345" t="s">
        <v>39</v>
      </c>
      <c r="K1345" t="s">
        <v>33</v>
      </c>
      <c r="L1345">
        <v>2.2650432449504043E-2</v>
      </c>
      <c r="M1345">
        <v>1</v>
      </c>
      <c r="N1345" s="2">
        <v>2.2288115627035432</v>
      </c>
      <c r="O1345" s="2">
        <v>2.6463011728329873</v>
      </c>
      <c r="P1345" s="1">
        <v>-0.29815547996194269</v>
      </c>
      <c r="Q1345" s="1">
        <v>1.3498045353129324</v>
      </c>
      <c r="R1345" s="1">
        <v>-0.39961544227348522</v>
      </c>
      <c r="S1345" s="19">
        <v>12.460823875457706</v>
      </c>
      <c r="T1345" s="19">
        <v>20.11299112832722</v>
      </c>
      <c r="U1345" s="19">
        <v>30.293378656334184</v>
      </c>
      <c r="V1345" s="19">
        <v>43.052142762305735</v>
      </c>
      <c r="W1345" s="19">
        <v>58.111302365250872</v>
      </c>
      <c r="X1345" s="19">
        <v>74.752524807523457</v>
      </c>
      <c r="Y1345" s="19">
        <v>91.743286446430275</v>
      </c>
      <c r="Z1345" s="19">
        <v>107.3531606269858</v>
      </c>
      <c r="AA1345" s="19">
        <v>119.51482444358454</v>
      </c>
      <c r="AB1345" s="19">
        <v>126.1611940392916</v>
      </c>
      <c r="AC1345" s="19">
        <v>125.71131805131108</v>
      </c>
      <c r="AD1345" s="19">
        <v>117.59062098454828</v>
      </c>
      <c r="AE1345" s="19">
        <v>102.59147880248452</v>
      </c>
      <c r="AF1345" s="19">
        <v>84.188008935244071</v>
      </c>
      <c r="AG1345" s="19">
        <v>15.085791851866333</v>
      </c>
      <c r="AH1345" s="19">
        <v>0</v>
      </c>
      <c r="AI1345" s="19">
        <v>0</v>
      </c>
      <c r="AJ1345" s="19">
        <v>0</v>
      </c>
      <c r="AK1345" s="19">
        <v>0</v>
      </c>
      <c r="AL1345" s="19">
        <v>0</v>
      </c>
      <c r="AM1345" s="19">
        <v>0</v>
      </c>
      <c r="AN1345" s="19">
        <v>0</v>
      </c>
      <c r="AO1345" s="19">
        <v>0</v>
      </c>
      <c r="AP1345" s="19">
        <v>0</v>
      </c>
      <c r="AQ1345" s="19">
        <v>0</v>
      </c>
      <c r="AR1345" s="19">
        <v>1128.7228477769461</v>
      </c>
    </row>
    <row r="1346" spans="1:44" x14ac:dyDescent="0.25">
      <c r="A1346" t="s">
        <v>435</v>
      </c>
      <c r="B1346" t="s">
        <v>469</v>
      </c>
      <c r="C1346" t="s">
        <v>47</v>
      </c>
      <c r="D1346" t="s">
        <v>470</v>
      </c>
      <c r="E1346" t="s">
        <v>134</v>
      </c>
      <c r="F1346" t="s">
        <v>470</v>
      </c>
      <c r="G1346" t="s">
        <v>33</v>
      </c>
      <c r="H1346" t="s">
        <v>452</v>
      </c>
      <c r="I1346" t="s">
        <v>135</v>
      </c>
      <c r="J1346" t="s">
        <v>40</v>
      </c>
      <c r="K1346" t="s">
        <v>33</v>
      </c>
      <c r="L1346">
        <v>2.2650432449504043E-2</v>
      </c>
      <c r="M1346">
        <v>1</v>
      </c>
      <c r="N1346" s="2">
        <v>2.4239184887175904</v>
      </c>
      <c r="O1346" s="2">
        <v>1.7054155637884916</v>
      </c>
      <c r="P1346" s="1">
        <v>-0.42363157097620913</v>
      </c>
      <c r="Q1346" s="1">
        <v>1.3498045353129324</v>
      </c>
      <c r="R1346" s="1">
        <v>-0.38209153328775158</v>
      </c>
      <c r="S1346" s="19">
        <v>8.4803029331130571</v>
      </c>
      <c r="T1346" s="19">
        <v>13.688040162028621</v>
      </c>
      <c r="U1346" s="19">
        <v>20.616375806353251</v>
      </c>
      <c r="V1346" s="19">
        <v>29.299444097196407</v>
      </c>
      <c r="W1346" s="19">
        <v>39.548063018983591</v>
      </c>
      <c r="X1346" s="19">
        <v>50.873366136840815</v>
      </c>
      <c r="Y1346" s="19">
        <v>62.436550658374209</v>
      </c>
      <c r="Z1346" s="19">
        <v>73.059962330182969</v>
      </c>
      <c r="AA1346" s="19">
        <v>81.336669742649221</v>
      </c>
      <c r="AB1346" s="19">
        <v>85.859904172439897</v>
      </c>
      <c r="AC1346" s="19">
        <v>85.55373784679891</v>
      </c>
      <c r="AD1346" s="19">
        <v>80.02713929741833</v>
      </c>
      <c r="AE1346" s="19">
        <v>69.819365661257976</v>
      </c>
      <c r="AF1346" s="19">
        <v>57.294752437087489</v>
      </c>
      <c r="AG1346" s="19">
        <v>10.266743689531095</v>
      </c>
      <c r="AH1346" s="19">
        <v>0</v>
      </c>
      <c r="AI1346" s="19">
        <v>0</v>
      </c>
      <c r="AJ1346" s="19">
        <v>0</v>
      </c>
      <c r="AK1346" s="19">
        <v>0</v>
      </c>
      <c r="AL1346" s="19">
        <v>0</v>
      </c>
      <c r="AM1346" s="19">
        <v>0</v>
      </c>
      <c r="AN1346" s="19">
        <v>0</v>
      </c>
      <c r="AO1346" s="19">
        <v>0</v>
      </c>
      <c r="AP1346" s="19">
        <v>0</v>
      </c>
      <c r="AQ1346" s="19">
        <v>0</v>
      </c>
      <c r="AR1346" s="19">
        <v>768.16041799025572</v>
      </c>
    </row>
    <row r="1347" spans="1:44" x14ac:dyDescent="0.25">
      <c r="A1347" t="s">
        <v>435</v>
      </c>
      <c r="B1347" t="s">
        <v>469</v>
      </c>
      <c r="C1347" t="s">
        <v>47</v>
      </c>
      <c r="D1347" t="s">
        <v>470</v>
      </c>
      <c r="E1347" t="s">
        <v>134</v>
      </c>
      <c r="F1347" t="s">
        <v>470</v>
      </c>
      <c r="G1347" t="s">
        <v>33</v>
      </c>
      <c r="H1347" t="s">
        <v>453</v>
      </c>
      <c r="I1347" t="s">
        <v>135</v>
      </c>
      <c r="J1347" t="s">
        <v>40</v>
      </c>
      <c r="K1347" t="s">
        <v>33</v>
      </c>
      <c r="L1347">
        <v>2.2650432449504043E-2</v>
      </c>
      <c r="M1347">
        <v>1</v>
      </c>
      <c r="N1347" s="2">
        <v>2.4239184887175904</v>
      </c>
      <c r="O1347" s="2">
        <v>1.7054155637884916</v>
      </c>
      <c r="P1347" s="1">
        <v>-0.42363157097620913</v>
      </c>
      <c r="Q1347" s="1">
        <v>1.3498045353129324</v>
      </c>
      <c r="R1347" s="1">
        <v>-0.38209153328775158</v>
      </c>
      <c r="S1347" s="19">
        <v>331.89372598200509</v>
      </c>
      <c r="T1347" s="19">
        <v>535.70900551536261</v>
      </c>
      <c r="U1347" s="19">
        <v>806.8633675688792</v>
      </c>
      <c r="V1347" s="19">
        <v>1146.692723988607</v>
      </c>
      <c r="W1347" s="19">
        <v>1547.7930557751013</v>
      </c>
      <c r="X1347" s="19">
        <v>1991.0315909203816</v>
      </c>
      <c r="Y1347" s="19">
        <v>2443.5800936494406</v>
      </c>
      <c r="Z1347" s="19">
        <v>2859.3486941589781</v>
      </c>
      <c r="AA1347" s="19">
        <v>3183.274299606413</v>
      </c>
      <c r="AB1347" s="19">
        <v>3360.3001842044087</v>
      </c>
      <c r="AC1347" s="19">
        <v>3348.3177487432376</v>
      </c>
      <c r="AD1347" s="19">
        <v>3132.0231895714787</v>
      </c>
      <c r="AE1347" s="19">
        <v>2732.5214202588018</v>
      </c>
      <c r="AF1347" s="19">
        <v>2242.3454699136546</v>
      </c>
      <c r="AG1347" s="19">
        <v>401.80968105697377</v>
      </c>
      <c r="AH1347" s="19">
        <v>0</v>
      </c>
      <c r="AI1347" s="19">
        <v>0</v>
      </c>
      <c r="AJ1347" s="19">
        <v>0</v>
      </c>
      <c r="AK1347" s="19">
        <v>0</v>
      </c>
      <c r="AL1347" s="19">
        <v>0</v>
      </c>
      <c r="AM1347" s="19">
        <v>0</v>
      </c>
      <c r="AN1347" s="19">
        <v>0</v>
      </c>
      <c r="AO1347" s="19">
        <v>0</v>
      </c>
      <c r="AP1347" s="19">
        <v>0</v>
      </c>
      <c r="AQ1347" s="19">
        <v>0</v>
      </c>
      <c r="AR1347" s="19">
        <v>30063.504250913724</v>
      </c>
    </row>
    <row r="1348" spans="1:44" x14ac:dyDescent="0.25">
      <c r="A1348" t="s">
        <v>435</v>
      </c>
      <c r="B1348" t="s">
        <v>469</v>
      </c>
      <c r="C1348" t="s">
        <v>47</v>
      </c>
      <c r="D1348" t="s">
        <v>470</v>
      </c>
      <c r="E1348" t="s">
        <v>134</v>
      </c>
      <c r="F1348" t="s">
        <v>470</v>
      </c>
      <c r="G1348" t="s">
        <v>33</v>
      </c>
      <c r="H1348" t="s">
        <v>456</v>
      </c>
      <c r="I1348" t="s">
        <v>135</v>
      </c>
      <c r="J1348" t="s">
        <v>40</v>
      </c>
      <c r="K1348" t="s">
        <v>33</v>
      </c>
      <c r="L1348">
        <v>2.2650432449504043E-2</v>
      </c>
      <c r="M1348">
        <v>1</v>
      </c>
      <c r="N1348" s="2">
        <v>2.4239184887175904</v>
      </c>
      <c r="O1348" s="2">
        <v>1.7054155637884916</v>
      </c>
      <c r="P1348" s="1">
        <v>-0.42363157097620913</v>
      </c>
      <c r="Q1348" s="1">
        <v>1.3498045353129324</v>
      </c>
      <c r="R1348" s="1">
        <v>-0.38209153328775158</v>
      </c>
      <c r="S1348" s="19">
        <v>142.77749041479564</v>
      </c>
      <c r="T1348" s="19">
        <v>230.45686438868208</v>
      </c>
      <c r="U1348" s="19">
        <v>347.10486433046191</v>
      </c>
      <c r="V1348" s="19">
        <v>493.29618667415247</v>
      </c>
      <c r="W1348" s="19">
        <v>665.84569362121204</v>
      </c>
      <c r="X1348" s="19">
        <v>856.52265057762224</v>
      </c>
      <c r="Y1348" s="19">
        <v>1051.2046660916233</v>
      </c>
      <c r="Z1348" s="19">
        <v>1230.0643212369034</v>
      </c>
      <c r="AA1348" s="19">
        <v>1369.4140027954679</v>
      </c>
      <c r="AB1348" s="19">
        <v>1445.5688365952835</v>
      </c>
      <c r="AC1348" s="19">
        <v>1440.4141080473387</v>
      </c>
      <c r="AD1348" s="19">
        <v>1347.366267936638</v>
      </c>
      <c r="AE1348" s="19">
        <v>1175.5044471987935</v>
      </c>
      <c r="AF1348" s="19">
        <v>964.63546543394318</v>
      </c>
      <c r="AG1348" s="19">
        <v>172.85466218422755</v>
      </c>
      <c r="AH1348" s="19">
        <v>0</v>
      </c>
      <c r="AI1348" s="19">
        <v>0</v>
      </c>
      <c r="AJ1348" s="19">
        <v>0</v>
      </c>
      <c r="AK1348" s="19">
        <v>0</v>
      </c>
      <c r="AL1348" s="19">
        <v>0</v>
      </c>
      <c r="AM1348" s="19">
        <v>0</v>
      </c>
      <c r="AN1348" s="19">
        <v>0</v>
      </c>
      <c r="AO1348" s="19">
        <v>0</v>
      </c>
      <c r="AP1348" s="19">
        <v>0</v>
      </c>
      <c r="AQ1348" s="19">
        <v>0</v>
      </c>
      <c r="AR1348" s="19">
        <v>12933.030527527146</v>
      </c>
    </row>
    <row r="1349" spans="1:44" x14ac:dyDescent="0.25">
      <c r="A1349" t="s">
        <v>435</v>
      </c>
      <c r="B1349" t="s">
        <v>469</v>
      </c>
      <c r="C1349" t="s">
        <v>47</v>
      </c>
      <c r="D1349" t="s">
        <v>470</v>
      </c>
      <c r="E1349" t="s">
        <v>134</v>
      </c>
      <c r="F1349" t="s">
        <v>470</v>
      </c>
      <c r="G1349" t="s">
        <v>33</v>
      </c>
      <c r="H1349" t="s">
        <v>450</v>
      </c>
      <c r="I1349" t="s">
        <v>256</v>
      </c>
      <c r="J1349" t="s">
        <v>40</v>
      </c>
      <c r="K1349" t="s">
        <v>33</v>
      </c>
      <c r="L1349">
        <v>2.2650432449504043E-2</v>
      </c>
      <c r="M1349">
        <v>1</v>
      </c>
      <c r="N1349" s="2">
        <v>2.2288115627035432</v>
      </c>
      <c r="O1349" s="2">
        <v>1.4737622038640092</v>
      </c>
      <c r="P1349" s="1">
        <v>-0.29815547996194269</v>
      </c>
      <c r="Q1349" s="1">
        <v>1.3498045353129324</v>
      </c>
      <c r="R1349" s="1">
        <v>-0.25661544227348515</v>
      </c>
      <c r="S1349" s="19">
        <v>159.08761531942889</v>
      </c>
      <c r="T1349" s="19">
        <v>256.7830046814521</v>
      </c>
      <c r="U1349" s="19">
        <v>386.75623847766394</v>
      </c>
      <c r="V1349" s="19">
        <v>549.64766334082026</v>
      </c>
      <c r="W1349" s="19">
        <v>741.90828863267893</v>
      </c>
      <c r="X1349" s="19">
        <v>954.36714535045428</v>
      </c>
      <c r="Y1349" s="19">
        <v>1171.2885767590362</v>
      </c>
      <c r="Z1349" s="19">
        <v>1370.5801873010953</v>
      </c>
      <c r="AA1349" s="19">
        <v>1525.8484195012074</v>
      </c>
      <c r="AB1349" s="19">
        <v>1610.702767823642</v>
      </c>
      <c r="AC1349" s="19">
        <v>1604.9591910880572</v>
      </c>
      <c r="AD1349" s="19">
        <v>1501.2820711805002</v>
      </c>
      <c r="AE1349" s="19">
        <v>1309.7876896347273</v>
      </c>
      <c r="AF1349" s="19">
        <v>1074.8301808821443</v>
      </c>
      <c r="AG1349" s="19">
        <v>192.60063980565008</v>
      </c>
      <c r="AH1349" s="19">
        <v>0</v>
      </c>
      <c r="AI1349" s="19">
        <v>0</v>
      </c>
      <c r="AJ1349" s="19">
        <v>0</v>
      </c>
      <c r="AK1349" s="19">
        <v>0</v>
      </c>
      <c r="AL1349" s="19">
        <v>0</v>
      </c>
      <c r="AM1349" s="19">
        <v>0</v>
      </c>
      <c r="AN1349" s="19">
        <v>0</v>
      </c>
      <c r="AO1349" s="19">
        <v>0</v>
      </c>
      <c r="AP1349" s="19">
        <v>0</v>
      </c>
      <c r="AQ1349" s="19">
        <v>0</v>
      </c>
      <c r="AR1349" s="19">
        <v>14410.429679778559</v>
      </c>
    </row>
    <row r="1350" spans="1:44" x14ac:dyDescent="0.25">
      <c r="A1350" t="s">
        <v>435</v>
      </c>
      <c r="B1350" t="s">
        <v>469</v>
      </c>
      <c r="C1350" t="s">
        <v>47</v>
      </c>
      <c r="D1350" t="s">
        <v>470</v>
      </c>
      <c r="E1350" t="s">
        <v>134</v>
      </c>
      <c r="F1350" t="s">
        <v>470</v>
      </c>
      <c r="G1350" t="s">
        <v>33</v>
      </c>
      <c r="H1350" t="s">
        <v>452</v>
      </c>
      <c r="I1350" t="s">
        <v>256</v>
      </c>
      <c r="J1350" t="s">
        <v>40</v>
      </c>
      <c r="K1350" t="s">
        <v>33</v>
      </c>
      <c r="L1350">
        <v>2.2650432449504043E-2</v>
      </c>
      <c r="M1350">
        <v>1</v>
      </c>
      <c r="N1350" s="2">
        <v>2.2288115627035432</v>
      </c>
      <c r="O1350" s="2">
        <v>1.4737622038640092</v>
      </c>
      <c r="P1350" s="1">
        <v>-0.29815547996194269</v>
      </c>
      <c r="Q1350" s="1">
        <v>1.3498045353129324</v>
      </c>
      <c r="R1350" s="1">
        <v>-0.25661544227348515</v>
      </c>
      <c r="S1350" s="19">
        <v>51.137180437454226</v>
      </c>
      <c r="T1350" s="19">
        <v>82.540421624280924</v>
      </c>
      <c r="U1350" s="19">
        <v>124.31906476586676</v>
      </c>
      <c r="V1350" s="19">
        <v>176.6789431147626</v>
      </c>
      <c r="W1350" s="19">
        <v>238.4792678403972</v>
      </c>
      <c r="X1350" s="19">
        <v>306.77211935933809</v>
      </c>
      <c r="Y1350" s="19">
        <v>376.49942249615719</v>
      </c>
      <c r="Z1350" s="19">
        <v>440.55978965608585</v>
      </c>
      <c r="AA1350" s="19">
        <v>490.4692662063452</v>
      </c>
      <c r="AB1350" s="19">
        <v>517.74487853075073</v>
      </c>
      <c r="AC1350" s="19">
        <v>515.89866115365203</v>
      </c>
      <c r="AD1350" s="19">
        <v>482.5726503431747</v>
      </c>
      <c r="AE1350" s="19">
        <v>421.01862728359998</v>
      </c>
      <c r="AF1350" s="19">
        <v>345.49380094126798</v>
      </c>
      <c r="AG1350" s="19">
        <v>61.90961911356095</v>
      </c>
      <c r="AH1350" s="19">
        <v>0</v>
      </c>
      <c r="AI1350" s="19">
        <v>0</v>
      </c>
      <c r="AJ1350" s="19">
        <v>0</v>
      </c>
      <c r="AK1350" s="19">
        <v>0</v>
      </c>
      <c r="AL1350" s="19">
        <v>0</v>
      </c>
      <c r="AM1350" s="19">
        <v>0</v>
      </c>
      <c r="AN1350" s="19">
        <v>0</v>
      </c>
      <c r="AO1350" s="19">
        <v>0</v>
      </c>
      <c r="AP1350" s="19">
        <v>0</v>
      </c>
      <c r="AQ1350" s="19">
        <v>0</v>
      </c>
      <c r="AR1350" s="19">
        <v>4632.0937128666956</v>
      </c>
    </row>
    <row r="1351" spans="1:44" x14ac:dyDescent="0.25">
      <c r="A1351" t="s">
        <v>435</v>
      </c>
      <c r="B1351" t="s">
        <v>469</v>
      </c>
      <c r="C1351" t="s">
        <v>47</v>
      </c>
      <c r="D1351" t="s">
        <v>470</v>
      </c>
      <c r="E1351" t="s">
        <v>134</v>
      </c>
      <c r="F1351" t="s">
        <v>470</v>
      </c>
      <c r="G1351" t="s">
        <v>33</v>
      </c>
      <c r="H1351" t="s">
        <v>453</v>
      </c>
      <c r="I1351" t="s">
        <v>256</v>
      </c>
      <c r="J1351" t="s">
        <v>40</v>
      </c>
      <c r="K1351" t="s">
        <v>33</v>
      </c>
      <c r="L1351">
        <v>2.2650432449504043E-2</v>
      </c>
      <c r="M1351">
        <v>1</v>
      </c>
      <c r="N1351" s="2">
        <v>2.2288115627035432</v>
      </c>
      <c r="O1351" s="2">
        <v>1.4737622038640092</v>
      </c>
      <c r="P1351" s="1">
        <v>-0.29815547996194269</v>
      </c>
      <c r="Q1351" s="1">
        <v>1.3498045353129324</v>
      </c>
      <c r="R1351" s="1">
        <v>-0.25661544227348515</v>
      </c>
      <c r="S1351" s="19">
        <v>170.85797448005772</v>
      </c>
      <c r="T1351" s="19">
        <v>275.78151808161493</v>
      </c>
      <c r="U1351" s="19">
        <v>415.37103558399747</v>
      </c>
      <c r="V1351" s="19">
        <v>590.31425071993033</v>
      </c>
      <c r="W1351" s="19">
        <v>796.79959493531067</v>
      </c>
      <c r="X1351" s="19">
        <v>1024.9775699854824</v>
      </c>
      <c r="Y1351" s="19">
        <v>1257.9482906626856</v>
      </c>
      <c r="Z1351" s="19">
        <v>1471.9848191486728</v>
      </c>
      <c r="AA1351" s="19">
        <v>1638.7408271606344</v>
      </c>
      <c r="AB1351" s="19">
        <v>1729.8732641582351</v>
      </c>
      <c r="AC1351" s="19">
        <v>1723.704739440944</v>
      </c>
      <c r="AD1351" s="19">
        <v>1612.3568971103923</v>
      </c>
      <c r="AE1351" s="19">
        <v>1406.6944884462885</v>
      </c>
      <c r="AF1351" s="19">
        <v>1154.353261545994</v>
      </c>
      <c r="AG1351" s="19">
        <v>206.85051526281069</v>
      </c>
      <c r="AH1351" s="19">
        <v>0</v>
      </c>
      <c r="AI1351" s="19">
        <v>0</v>
      </c>
      <c r="AJ1351" s="19">
        <v>0</v>
      </c>
      <c r="AK1351" s="19">
        <v>0</v>
      </c>
      <c r="AL1351" s="19">
        <v>0</v>
      </c>
      <c r="AM1351" s="19">
        <v>0</v>
      </c>
      <c r="AN1351" s="19">
        <v>0</v>
      </c>
      <c r="AO1351" s="19">
        <v>0</v>
      </c>
      <c r="AP1351" s="19">
        <v>0</v>
      </c>
      <c r="AQ1351" s="19">
        <v>0</v>
      </c>
      <c r="AR1351" s="19">
        <v>15476.60904672305</v>
      </c>
    </row>
    <row r="1352" spans="1:44" x14ac:dyDescent="0.25">
      <c r="A1352" t="s">
        <v>435</v>
      </c>
      <c r="B1352" t="s">
        <v>469</v>
      </c>
      <c r="C1352" t="s">
        <v>47</v>
      </c>
      <c r="D1352" t="s">
        <v>470</v>
      </c>
      <c r="E1352" t="s">
        <v>134</v>
      </c>
      <c r="F1352" t="s">
        <v>470</v>
      </c>
      <c r="G1352" t="s">
        <v>33</v>
      </c>
      <c r="H1352" t="s">
        <v>456</v>
      </c>
      <c r="I1352" t="s">
        <v>256</v>
      </c>
      <c r="J1352" t="s">
        <v>40</v>
      </c>
      <c r="K1352" t="s">
        <v>33</v>
      </c>
      <c r="L1352">
        <v>2.2650432449504043E-2</v>
      </c>
      <c r="M1352">
        <v>1</v>
      </c>
      <c r="N1352" s="2">
        <v>2.2288115627035432</v>
      </c>
      <c r="O1352" s="2">
        <v>1.4737622038640092</v>
      </c>
      <c r="P1352" s="1">
        <v>-0.29815547996194269</v>
      </c>
      <c r="Q1352" s="1">
        <v>1.3498045353129324</v>
      </c>
      <c r="R1352" s="1">
        <v>-0.25661544227348515</v>
      </c>
      <c r="S1352" s="19">
        <v>214.40611395335932</v>
      </c>
      <c r="T1352" s="19">
        <v>346.07248372207897</v>
      </c>
      <c r="U1352" s="19">
        <v>521.24046219886668</v>
      </c>
      <c r="V1352" s="19">
        <v>740.77305957365195</v>
      </c>
      <c r="W1352" s="19">
        <v>999.88721784613472</v>
      </c>
      <c r="X1352" s="19">
        <v>1286.2230067909115</v>
      </c>
      <c r="Y1352" s="19">
        <v>1578.573112411196</v>
      </c>
      <c r="Z1352" s="19">
        <v>1847.1630945668385</v>
      </c>
      <c r="AA1352" s="19">
        <v>2056.4217362253407</v>
      </c>
      <c r="AB1352" s="19">
        <v>2170.7819335249733</v>
      </c>
      <c r="AC1352" s="19">
        <v>2163.0411803205393</v>
      </c>
      <c r="AD1352" s="19">
        <v>2023.3130918667489</v>
      </c>
      <c r="AE1352" s="19">
        <v>1765.2316182794282</v>
      </c>
      <c r="AF1352" s="19">
        <v>1448.573867802409</v>
      </c>
      <c r="AG1352" s="19">
        <v>259.57240381499861</v>
      </c>
      <c r="AH1352" s="19">
        <v>0</v>
      </c>
      <c r="AI1352" s="19">
        <v>0</v>
      </c>
      <c r="AJ1352" s="19">
        <v>0</v>
      </c>
      <c r="AK1352" s="19">
        <v>0</v>
      </c>
      <c r="AL1352" s="19">
        <v>0</v>
      </c>
      <c r="AM1352" s="19">
        <v>0</v>
      </c>
      <c r="AN1352" s="19">
        <v>0</v>
      </c>
      <c r="AO1352" s="19">
        <v>0</v>
      </c>
      <c r="AP1352" s="19">
        <v>0</v>
      </c>
      <c r="AQ1352" s="19">
        <v>0</v>
      </c>
      <c r="AR1352" s="19">
        <v>19421.274382897482</v>
      </c>
    </row>
    <row r="1353" spans="1:44" x14ac:dyDescent="0.25">
      <c r="A1353" t="s">
        <v>435</v>
      </c>
      <c r="B1353" t="s">
        <v>469</v>
      </c>
      <c r="C1353" t="s">
        <v>47</v>
      </c>
      <c r="D1353" t="s">
        <v>470</v>
      </c>
      <c r="E1353" t="s">
        <v>134</v>
      </c>
      <c r="F1353" t="s">
        <v>470</v>
      </c>
      <c r="G1353" t="s">
        <v>33</v>
      </c>
      <c r="H1353" t="s">
        <v>457</v>
      </c>
      <c r="I1353" t="s">
        <v>256</v>
      </c>
      <c r="J1353" t="s">
        <v>40</v>
      </c>
      <c r="K1353" t="s">
        <v>33</v>
      </c>
      <c r="L1353">
        <v>2.2650432449504043E-2</v>
      </c>
      <c r="M1353">
        <v>1</v>
      </c>
      <c r="N1353" s="2">
        <v>2.2288115627035432</v>
      </c>
      <c r="O1353" s="2">
        <v>1.4737622038640092</v>
      </c>
      <c r="P1353" s="1">
        <v>-0.29815547996194269</v>
      </c>
      <c r="Q1353" s="1">
        <v>1.3498045353129324</v>
      </c>
      <c r="R1353" s="1">
        <v>-0.25661544227348515</v>
      </c>
      <c r="S1353" s="19">
        <v>114.02131861516236</v>
      </c>
      <c r="T1353" s="19">
        <v>184.04158446246353</v>
      </c>
      <c r="U1353" s="19">
        <v>277.19603568963566</v>
      </c>
      <c r="V1353" s="19">
        <v>393.94362170824024</v>
      </c>
      <c r="W1353" s="19">
        <v>531.74070898959144</v>
      </c>
      <c r="X1353" s="19">
        <v>684.01427815328793</v>
      </c>
      <c r="Y1353" s="19">
        <v>839.48626505454843</v>
      </c>
      <c r="Z1353" s="19">
        <v>982.32260198322047</v>
      </c>
      <c r="AA1353" s="19">
        <v>1093.6064912976385</v>
      </c>
      <c r="AB1353" s="19">
        <v>1154.4233227431764</v>
      </c>
      <c r="AC1353" s="19">
        <v>1150.30678487413</v>
      </c>
      <c r="AD1353" s="19">
        <v>1075.9992914947993</v>
      </c>
      <c r="AE1353" s="19">
        <v>938.75138663807581</v>
      </c>
      <c r="AF1353" s="19">
        <v>770.35257751197469</v>
      </c>
      <c r="AG1353" s="19">
        <v>138.04078257550054</v>
      </c>
      <c r="AH1353" s="19">
        <v>0</v>
      </c>
      <c r="AI1353" s="19">
        <v>0</v>
      </c>
      <c r="AJ1353" s="19">
        <v>0</v>
      </c>
      <c r="AK1353" s="19">
        <v>0</v>
      </c>
      <c r="AL1353" s="19">
        <v>0</v>
      </c>
      <c r="AM1353" s="19">
        <v>0</v>
      </c>
      <c r="AN1353" s="19">
        <v>0</v>
      </c>
      <c r="AO1353" s="19">
        <v>0</v>
      </c>
      <c r="AP1353" s="19">
        <v>0</v>
      </c>
      <c r="AQ1353" s="19">
        <v>0</v>
      </c>
      <c r="AR1353" s="19">
        <v>10328.247051791446</v>
      </c>
    </row>
    <row r="1354" spans="1:44" x14ac:dyDescent="0.25">
      <c r="A1354" t="s">
        <v>435</v>
      </c>
      <c r="B1354" t="s">
        <v>471</v>
      </c>
      <c r="C1354" t="s">
        <v>44</v>
      </c>
      <c r="D1354" t="s">
        <v>472</v>
      </c>
      <c r="E1354" t="s">
        <v>145</v>
      </c>
      <c r="F1354" t="s">
        <v>472</v>
      </c>
      <c r="G1354" t="s">
        <v>33</v>
      </c>
      <c r="H1354" t="s">
        <v>450</v>
      </c>
      <c r="I1354" t="s">
        <v>135</v>
      </c>
      <c r="J1354" t="s">
        <v>39</v>
      </c>
      <c r="K1354" t="s">
        <v>31</v>
      </c>
      <c r="L1354">
        <v>8.3279735676544231E-2</v>
      </c>
      <c r="M1354">
        <v>1</v>
      </c>
      <c r="N1354" s="2">
        <v>3.5354592691557718</v>
      </c>
      <c r="O1354" s="2">
        <v>5.3471683850504306</v>
      </c>
      <c r="P1354" s="1">
        <v>-1.584987198022715</v>
      </c>
      <c r="Q1354" s="1">
        <v>0.81921972223879724</v>
      </c>
      <c r="R1354" s="1">
        <v>-1.8625523936223525</v>
      </c>
      <c r="S1354" s="19">
        <v>1.8721882012819939</v>
      </c>
      <c r="T1354" s="19">
        <v>3.4956745364210007</v>
      </c>
      <c r="U1354" s="19">
        <v>5.9356944748157279</v>
      </c>
      <c r="V1354" s="19">
        <v>9.3959259609764576</v>
      </c>
      <c r="W1354" s="19">
        <v>14.055839252690928</v>
      </c>
      <c r="X1354" s="19">
        <v>20.035023129320798</v>
      </c>
      <c r="Y1354" s="19">
        <v>27.351772920077224</v>
      </c>
      <c r="Z1354" s="19">
        <v>35.883324183959729</v>
      </c>
      <c r="AA1354" s="19">
        <v>45.339504651145077</v>
      </c>
      <c r="AB1354" s="19">
        <v>55.26404416475917</v>
      </c>
      <c r="AC1354" s="19">
        <v>65.075443663288596</v>
      </c>
      <c r="AD1354" s="19">
        <v>74.149895575148378</v>
      </c>
      <c r="AE1354" s="19">
        <v>81.932928790039753</v>
      </c>
      <c r="AF1354" s="19">
        <v>88.049743634606997</v>
      </c>
      <c r="AG1354" s="19">
        <v>92.376222472981382</v>
      </c>
      <c r="AH1354" s="19">
        <v>95.303005079919856</v>
      </c>
      <c r="AI1354" s="19">
        <v>96.53852944848046</v>
      </c>
      <c r="AJ1354" s="19">
        <v>97.358345102526897</v>
      </c>
      <c r="AK1354" s="19">
        <v>96.995835012290783</v>
      </c>
      <c r="AL1354" s="19">
        <v>96.248136015711694</v>
      </c>
      <c r="AM1354" s="19">
        <v>95.506200707742678</v>
      </c>
      <c r="AN1354" s="19">
        <v>94.769984658597778</v>
      </c>
      <c r="AO1354" s="19">
        <v>94.039443780981017</v>
      </c>
      <c r="AP1354" s="19">
        <v>93.314534327446438</v>
      </c>
      <c r="AQ1354" s="19">
        <v>92.595212887778047</v>
      </c>
      <c r="AR1354" s="19">
        <v>1572.8824526329886</v>
      </c>
    </row>
    <row r="1355" spans="1:44" x14ac:dyDescent="0.25">
      <c r="A1355" t="s">
        <v>435</v>
      </c>
      <c r="B1355" t="s">
        <v>471</v>
      </c>
      <c r="C1355" t="s">
        <v>44</v>
      </c>
      <c r="D1355" t="s">
        <v>472</v>
      </c>
      <c r="E1355" t="s">
        <v>145</v>
      </c>
      <c r="F1355" t="s">
        <v>472</v>
      </c>
      <c r="G1355" t="s">
        <v>33</v>
      </c>
      <c r="H1355" t="s">
        <v>451</v>
      </c>
      <c r="I1355" t="s">
        <v>135</v>
      </c>
      <c r="J1355" t="s">
        <v>39</v>
      </c>
      <c r="K1355" t="s">
        <v>31</v>
      </c>
      <c r="L1355">
        <v>8.3279735676544231E-2</v>
      </c>
      <c r="M1355">
        <v>1</v>
      </c>
      <c r="N1355" s="2">
        <v>3.5354592691557718</v>
      </c>
      <c r="O1355" s="2">
        <v>5.3471683850504306</v>
      </c>
      <c r="P1355" s="1">
        <v>-1.584987198022715</v>
      </c>
      <c r="Q1355" s="1">
        <v>0.81921972223879724</v>
      </c>
      <c r="R1355" s="1">
        <v>-1.8625523936223525</v>
      </c>
      <c r="S1355" s="19">
        <v>0.48973225572083168</v>
      </c>
      <c r="T1355" s="19">
        <v>0.9144083777555394</v>
      </c>
      <c r="U1355" s="19">
        <v>1.5526756564487811</v>
      </c>
      <c r="V1355" s="19">
        <v>2.457812741424191</v>
      </c>
      <c r="W1355" s="19">
        <v>3.6767659675219311</v>
      </c>
      <c r="X1355" s="19">
        <v>5.2408177040228185</v>
      </c>
      <c r="Y1355" s="19">
        <v>7.1547536946024062</v>
      </c>
      <c r="Z1355" s="19">
        <v>9.3864608714759967</v>
      </c>
      <c r="AA1355" s="19">
        <v>11.860035156116206</v>
      </c>
      <c r="AB1355" s="19">
        <v>14.456124117506192</v>
      </c>
      <c r="AC1355" s="19">
        <v>17.022617595513804</v>
      </c>
      <c r="AD1355" s="19">
        <v>19.396338250938413</v>
      </c>
      <c r="AE1355" s="19">
        <v>21.432245971149925</v>
      </c>
      <c r="AF1355" s="19">
        <v>23.032299603367733</v>
      </c>
      <c r="AG1355" s="19">
        <v>24.164032107287294</v>
      </c>
      <c r="AH1355" s="19">
        <v>24.929628133968261</v>
      </c>
      <c r="AI1355" s="19">
        <v>25.252820073538707</v>
      </c>
      <c r="AJ1355" s="19">
        <v>25.467269758274728</v>
      </c>
      <c r="AK1355" s="19">
        <v>25.372443349214283</v>
      </c>
      <c r="AL1355" s="19">
        <v>25.176858142585942</v>
      </c>
      <c r="AM1355" s="19">
        <v>24.982780617836141</v>
      </c>
      <c r="AN1355" s="19">
        <v>24.790199152896495</v>
      </c>
      <c r="AO1355" s="19">
        <v>24.599102215288124</v>
      </c>
      <c r="AP1355" s="19">
        <v>24.409478361431027</v>
      </c>
      <c r="AQ1355" s="19">
        <v>24.221316235958852</v>
      </c>
      <c r="AR1355" s="19">
        <v>411.43901611184458</v>
      </c>
    </row>
    <row r="1356" spans="1:44" x14ac:dyDescent="0.25">
      <c r="A1356" t="s">
        <v>435</v>
      </c>
      <c r="B1356" t="s">
        <v>471</v>
      </c>
      <c r="C1356" t="s">
        <v>44</v>
      </c>
      <c r="D1356" t="s">
        <v>472</v>
      </c>
      <c r="E1356" t="s">
        <v>145</v>
      </c>
      <c r="F1356" t="s">
        <v>472</v>
      </c>
      <c r="G1356" t="s">
        <v>33</v>
      </c>
      <c r="H1356" t="s">
        <v>452</v>
      </c>
      <c r="I1356" t="s">
        <v>135</v>
      </c>
      <c r="J1356" t="s">
        <v>39</v>
      </c>
      <c r="K1356" t="s">
        <v>31</v>
      </c>
      <c r="L1356">
        <v>8.3279735676544231E-2</v>
      </c>
      <c r="M1356">
        <v>1</v>
      </c>
      <c r="N1356" s="2">
        <v>3.5354592691557718</v>
      </c>
      <c r="O1356" s="2">
        <v>5.3471683850504306</v>
      </c>
      <c r="P1356" s="1">
        <v>-1.584987198022715</v>
      </c>
      <c r="Q1356" s="1">
        <v>0.81921972223879724</v>
      </c>
      <c r="R1356" s="1">
        <v>-1.8625523936223525</v>
      </c>
      <c r="S1356" s="19">
        <v>11.092100742340689</v>
      </c>
      <c r="T1356" s="19">
        <v>20.710724538198569</v>
      </c>
      <c r="U1356" s="19">
        <v>35.167041991465986</v>
      </c>
      <c r="V1356" s="19">
        <v>55.667778087352218</v>
      </c>
      <c r="W1356" s="19">
        <v>83.276235210880387</v>
      </c>
      <c r="X1356" s="19">
        <v>118.70093763724093</v>
      </c>
      <c r="Y1356" s="19">
        <v>162.05027918847861</v>
      </c>
      <c r="Z1356" s="19">
        <v>212.59692083627243</v>
      </c>
      <c r="AA1356" s="19">
        <v>268.62168710066322</v>
      </c>
      <c r="AB1356" s="19">
        <v>327.42132702520053</v>
      </c>
      <c r="AC1356" s="19">
        <v>385.55064948675533</v>
      </c>
      <c r="AD1356" s="19">
        <v>439.31379932337489</v>
      </c>
      <c r="AE1356" s="19">
        <v>485.42571715377437</v>
      </c>
      <c r="AF1356" s="19">
        <v>521.66583790217203</v>
      </c>
      <c r="AG1356" s="19">
        <v>547.29880530469734</v>
      </c>
      <c r="AH1356" s="19">
        <v>564.63903184007563</v>
      </c>
      <c r="AI1356" s="19">
        <v>571.95910829195498</v>
      </c>
      <c r="AJ1356" s="19">
        <v>576.8162470233093</v>
      </c>
      <c r="AK1356" s="19">
        <v>574.66849369473869</v>
      </c>
      <c r="AL1356" s="19">
        <v>570.23862249411729</v>
      </c>
      <c r="AM1356" s="19">
        <v>565.84289925718167</v>
      </c>
      <c r="AN1356" s="19">
        <v>561.48106075202975</v>
      </c>
      <c r="AO1356" s="19">
        <v>557.15284577589944</v>
      </c>
      <c r="AP1356" s="19">
        <v>552.85799513952895</v>
      </c>
      <c r="AQ1356" s="19">
        <v>548.59625165163425</v>
      </c>
      <c r="AR1356" s="19">
        <v>9318.8123974493374</v>
      </c>
    </row>
    <row r="1357" spans="1:44" x14ac:dyDescent="0.25">
      <c r="A1357" t="s">
        <v>435</v>
      </c>
      <c r="B1357" t="s">
        <v>471</v>
      </c>
      <c r="C1357" t="s">
        <v>44</v>
      </c>
      <c r="D1357" t="s">
        <v>472</v>
      </c>
      <c r="E1357" t="s">
        <v>145</v>
      </c>
      <c r="F1357" t="s">
        <v>472</v>
      </c>
      <c r="G1357" t="s">
        <v>33</v>
      </c>
      <c r="H1357" t="s">
        <v>453</v>
      </c>
      <c r="I1357" t="s">
        <v>135</v>
      </c>
      <c r="J1357" t="s">
        <v>39</v>
      </c>
      <c r="K1357" t="s">
        <v>31</v>
      </c>
      <c r="L1357">
        <v>8.3279735676544231E-2</v>
      </c>
      <c r="M1357">
        <v>1</v>
      </c>
      <c r="N1357" s="2">
        <v>3.5354592691557718</v>
      </c>
      <c r="O1357" s="2">
        <v>5.3471683850504306</v>
      </c>
      <c r="P1357" s="1">
        <v>-1.584987198022715</v>
      </c>
      <c r="Q1357" s="1">
        <v>0.81921972223879724</v>
      </c>
      <c r="R1357" s="1">
        <v>-1.8625523936223525</v>
      </c>
      <c r="S1357" s="19">
        <v>3.3922958260602392</v>
      </c>
      <c r="T1357" s="19">
        <v>6.333958376110866</v>
      </c>
      <c r="U1357" s="19">
        <v>10.755132191249894</v>
      </c>
      <c r="V1357" s="19">
        <v>17.024869827491539</v>
      </c>
      <c r="W1357" s="19">
        <v>25.468360924412835</v>
      </c>
      <c r="X1357" s="19">
        <v>36.302293375247203</v>
      </c>
      <c r="Y1357" s="19">
        <v>49.559817249457112</v>
      </c>
      <c r="Z1357" s="19">
        <v>65.018490540138899</v>
      </c>
      <c r="AA1357" s="19">
        <v>82.152538018559866</v>
      </c>
      <c r="AB1357" s="19">
        <v>100.13522477224696</v>
      </c>
      <c r="AC1357" s="19">
        <v>117.91290841744885</v>
      </c>
      <c r="AD1357" s="19">
        <v>134.35528601779234</v>
      </c>
      <c r="AE1357" s="19">
        <v>148.45768826073189</v>
      </c>
      <c r="AF1357" s="19">
        <v>159.54099999819505</v>
      </c>
      <c r="AG1357" s="19">
        <v>167.38032731310142</v>
      </c>
      <c r="AH1357" s="19">
        <v>172.68348669339474</v>
      </c>
      <c r="AI1357" s="19">
        <v>174.92218478773901</v>
      </c>
      <c r="AJ1357" s="19">
        <v>176.40764293743584</v>
      </c>
      <c r="AK1357" s="19">
        <v>175.75079579719076</v>
      </c>
      <c r="AL1357" s="19">
        <v>174.39600882464825</v>
      </c>
      <c r="AM1357" s="19">
        <v>173.05166531970227</v>
      </c>
      <c r="AN1357" s="19">
        <v>171.71768477817193</v>
      </c>
      <c r="AO1357" s="19">
        <v>170.39398731644843</v>
      </c>
      <c r="AP1357" s="19">
        <v>169.08049366671102</v>
      </c>
      <c r="AQ1357" s="19">
        <v>167.77712517218058</v>
      </c>
      <c r="AR1357" s="19">
        <v>2849.971266401868</v>
      </c>
    </row>
    <row r="1358" spans="1:44" x14ac:dyDescent="0.25">
      <c r="A1358" t="s">
        <v>435</v>
      </c>
      <c r="B1358" t="s">
        <v>471</v>
      </c>
      <c r="C1358" t="s">
        <v>44</v>
      </c>
      <c r="D1358" t="s">
        <v>472</v>
      </c>
      <c r="E1358" t="s">
        <v>145</v>
      </c>
      <c r="F1358" t="s">
        <v>472</v>
      </c>
      <c r="G1358" t="s">
        <v>33</v>
      </c>
      <c r="H1358" t="s">
        <v>454</v>
      </c>
      <c r="I1358" t="s">
        <v>135</v>
      </c>
      <c r="J1358" t="s">
        <v>39</v>
      </c>
      <c r="K1358" t="s">
        <v>31</v>
      </c>
      <c r="L1358">
        <v>8.3279735676544231E-2</v>
      </c>
      <c r="M1358">
        <v>1</v>
      </c>
      <c r="N1358" s="2">
        <v>3.5354592691557718</v>
      </c>
      <c r="O1358" s="2">
        <v>5.3471683850504306</v>
      </c>
      <c r="P1358" s="1">
        <v>-1.584987198022715</v>
      </c>
      <c r="Q1358" s="1">
        <v>0.81921972223879724</v>
      </c>
      <c r="R1358" s="1">
        <v>-1.8625523936223525</v>
      </c>
      <c r="S1358" s="19">
        <v>0.1867937440958751</v>
      </c>
      <c r="T1358" s="19">
        <v>0.3487737687651089</v>
      </c>
      <c r="U1358" s="19">
        <v>0.59222176168015805</v>
      </c>
      <c r="V1358" s="19">
        <v>0.93745927268241969</v>
      </c>
      <c r="W1358" s="19">
        <v>1.4023925792407228</v>
      </c>
      <c r="X1358" s="19">
        <v>1.9989534069334711</v>
      </c>
      <c r="Y1358" s="19">
        <v>2.7289671347692899</v>
      </c>
      <c r="Z1358" s="19">
        <v>3.5801851920325758</v>
      </c>
      <c r="AA1358" s="19">
        <v>4.5236562346886027</v>
      </c>
      <c r="AB1358" s="19">
        <v>5.5138568421414229</v>
      </c>
      <c r="AC1358" s="19">
        <v>6.4927691362664151</v>
      </c>
      <c r="AD1358" s="19">
        <v>7.3981539939818788</v>
      </c>
      <c r="AE1358" s="19">
        <v>8.1746901956503866</v>
      </c>
      <c r="AF1358" s="19">
        <v>8.7849828713416169</v>
      </c>
      <c r="AG1358" s="19">
        <v>9.2166484380929354</v>
      </c>
      <c r="AH1358" s="19">
        <v>9.5086621795161346</v>
      </c>
      <c r="AI1358" s="19">
        <v>9.6319340934012327</v>
      </c>
      <c r="AJ1358" s="19">
        <v>9.7137295215440211</v>
      </c>
      <c r="AK1358" s="19">
        <v>9.6775608196040288</v>
      </c>
      <c r="AL1358" s="19">
        <v>9.6029606832864847</v>
      </c>
      <c r="AM1358" s="19">
        <v>9.5289356071976847</v>
      </c>
      <c r="AN1358" s="19">
        <v>9.4554811584467089</v>
      </c>
      <c r="AO1358" s="19">
        <v>9.3825929383138806</v>
      </c>
      <c r="AP1358" s="19">
        <v>9.3102665819873636</v>
      </c>
      <c r="AQ1358" s="19">
        <v>9.2384977583017527</v>
      </c>
      <c r="AR1358" s="19">
        <v>156.93112591396218</v>
      </c>
    </row>
    <row r="1359" spans="1:44" x14ac:dyDescent="0.25">
      <c r="A1359" t="s">
        <v>435</v>
      </c>
      <c r="B1359" t="s">
        <v>471</v>
      </c>
      <c r="C1359" t="s">
        <v>44</v>
      </c>
      <c r="D1359" t="s">
        <v>472</v>
      </c>
      <c r="E1359" t="s">
        <v>145</v>
      </c>
      <c r="F1359" t="s">
        <v>472</v>
      </c>
      <c r="G1359" t="s">
        <v>33</v>
      </c>
      <c r="H1359" t="s">
        <v>455</v>
      </c>
      <c r="I1359" t="s">
        <v>135</v>
      </c>
      <c r="J1359" t="s">
        <v>39</v>
      </c>
      <c r="K1359" t="s">
        <v>31</v>
      </c>
      <c r="L1359">
        <v>8.3279735676544231E-2</v>
      </c>
      <c r="M1359">
        <v>1</v>
      </c>
      <c r="N1359" s="2">
        <v>3.5354592691557718</v>
      </c>
      <c r="O1359" s="2">
        <v>5.3471683850504306</v>
      </c>
      <c r="P1359" s="1">
        <v>-1.584987198022715</v>
      </c>
      <c r="Q1359" s="1">
        <v>0.81921972223879724</v>
      </c>
      <c r="R1359" s="1">
        <v>-1.8625523936223525</v>
      </c>
      <c r="S1359" s="19">
        <v>4.4011374835396973E-2</v>
      </c>
      <c r="T1359" s="19">
        <v>8.2176269575691019E-2</v>
      </c>
      <c r="U1359" s="19">
        <v>0.13953622518325087</v>
      </c>
      <c r="V1359" s="19">
        <v>0.22087930001428616</v>
      </c>
      <c r="W1359" s="19">
        <v>0.33042447845396328</v>
      </c>
      <c r="X1359" s="19">
        <v>0.47098305190503198</v>
      </c>
      <c r="Y1359" s="19">
        <v>0.64298510671837161</v>
      </c>
      <c r="Z1359" s="19">
        <v>0.84354469808051213</v>
      </c>
      <c r="AA1359" s="19">
        <v>1.0658404602092724</v>
      </c>
      <c r="AB1359" s="19">
        <v>1.2991464004471611</v>
      </c>
      <c r="AC1359" s="19">
        <v>1.5297926467454324</v>
      </c>
      <c r="AD1359" s="19">
        <v>1.7431147391745847</v>
      </c>
      <c r="AE1359" s="19">
        <v>1.9260781783963312</v>
      </c>
      <c r="AF1359" s="19">
        <v>2.0698721787744057</v>
      </c>
      <c r="AG1359" s="19">
        <v>2.1715789846087339</v>
      </c>
      <c r="AH1359" s="19">
        <v>2.240381750424417</v>
      </c>
      <c r="AI1359" s="19">
        <v>2.2694264405179405</v>
      </c>
      <c r="AJ1359" s="19">
        <v>2.2886986557906668</v>
      </c>
      <c r="AK1359" s="19">
        <v>2.2801767735076406</v>
      </c>
      <c r="AL1359" s="19">
        <v>2.262599875640237</v>
      </c>
      <c r="AM1359" s="19">
        <v>2.2451584704864813</v>
      </c>
      <c r="AN1359" s="19">
        <v>2.2278515135915691</v>
      </c>
      <c r="AO1359" s="19">
        <v>2.2106779685519444</v>
      </c>
      <c r="AP1359" s="19">
        <v>2.1936368069532395</v>
      </c>
      <c r="AQ1359" s="19">
        <v>2.1767270083086885</v>
      </c>
      <c r="AR1359" s="19">
        <v>36.975299356895249</v>
      </c>
    </row>
    <row r="1360" spans="1:44" x14ac:dyDescent="0.25">
      <c r="A1360" t="s">
        <v>435</v>
      </c>
      <c r="B1360" t="s">
        <v>471</v>
      </c>
      <c r="C1360" t="s">
        <v>44</v>
      </c>
      <c r="D1360" t="s">
        <v>472</v>
      </c>
      <c r="E1360" t="s">
        <v>145</v>
      </c>
      <c r="F1360" t="s">
        <v>472</v>
      </c>
      <c r="G1360" t="s">
        <v>33</v>
      </c>
      <c r="H1360" t="s">
        <v>456</v>
      </c>
      <c r="I1360" t="s">
        <v>135</v>
      </c>
      <c r="J1360" t="s">
        <v>39</v>
      </c>
      <c r="K1360" t="s">
        <v>31</v>
      </c>
      <c r="L1360">
        <v>8.3279735676544231E-2</v>
      </c>
      <c r="M1360">
        <v>1</v>
      </c>
      <c r="N1360" s="2">
        <v>3.5354592691557718</v>
      </c>
      <c r="O1360" s="2">
        <v>5.3471683850504306</v>
      </c>
      <c r="P1360" s="1">
        <v>-1.584987198022715</v>
      </c>
      <c r="Q1360" s="1">
        <v>0.81921972223879724</v>
      </c>
      <c r="R1360" s="1">
        <v>-1.8625523936223525</v>
      </c>
      <c r="S1360" s="19">
        <v>7.9331545358745696</v>
      </c>
      <c r="T1360" s="19">
        <v>14.812467189762229</v>
      </c>
      <c r="U1360" s="19">
        <v>25.151735020125457</v>
      </c>
      <c r="V1360" s="19">
        <v>39.814016884104213</v>
      </c>
      <c r="W1360" s="19">
        <v>59.559794707953785</v>
      </c>
      <c r="X1360" s="19">
        <v>84.895810424340524</v>
      </c>
      <c r="Y1360" s="19">
        <v>115.8995881164828</v>
      </c>
      <c r="Z1360" s="19">
        <v>152.05092939764785</v>
      </c>
      <c r="AA1360" s="19">
        <v>192.12026693216023</v>
      </c>
      <c r="AB1360" s="19">
        <v>234.17421514366012</v>
      </c>
      <c r="AC1360" s="19">
        <v>275.74874722421578</v>
      </c>
      <c r="AD1360" s="19">
        <v>314.20055954514129</v>
      </c>
      <c r="AE1360" s="19">
        <v>347.1801527341691</v>
      </c>
      <c r="AF1360" s="19">
        <v>373.0993618158497</v>
      </c>
      <c r="AG1360" s="19">
        <v>391.43225441580961</v>
      </c>
      <c r="AH1360" s="19">
        <v>403.83411588350486</v>
      </c>
      <c r="AI1360" s="19">
        <v>409.06949005257519</v>
      </c>
      <c r="AJ1360" s="19">
        <v>412.54335249334162</v>
      </c>
      <c r="AK1360" s="19">
        <v>411.00726303145547</v>
      </c>
      <c r="AL1360" s="19">
        <v>407.83898556762006</v>
      </c>
      <c r="AM1360" s="19">
        <v>404.69513098627539</v>
      </c>
      <c r="AN1360" s="19">
        <v>401.57551102196936</v>
      </c>
      <c r="AO1360" s="19">
        <v>398.47993886050688</v>
      </c>
      <c r="AP1360" s="19">
        <v>395.4082291277627</v>
      </c>
      <c r="AQ1360" s="19">
        <v>392.36019787858106</v>
      </c>
      <c r="AR1360" s="19">
        <v>6664.8852689908899</v>
      </c>
    </row>
    <row r="1361" spans="1:44" x14ac:dyDescent="0.25">
      <c r="A1361" t="s">
        <v>435</v>
      </c>
      <c r="B1361" t="s">
        <v>471</v>
      </c>
      <c r="C1361" t="s">
        <v>44</v>
      </c>
      <c r="D1361" t="s">
        <v>472</v>
      </c>
      <c r="E1361" t="s">
        <v>145</v>
      </c>
      <c r="F1361" t="s">
        <v>472</v>
      </c>
      <c r="G1361" t="s">
        <v>33</v>
      </c>
      <c r="H1361" t="s">
        <v>457</v>
      </c>
      <c r="I1361" t="s">
        <v>135</v>
      </c>
      <c r="J1361" t="s">
        <v>39</v>
      </c>
      <c r="K1361" t="s">
        <v>31</v>
      </c>
      <c r="L1361">
        <v>8.3279735676544231E-2</v>
      </c>
      <c r="M1361">
        <v>1</v>
      </c>
      <c r="N1361" s="2">
        <v>3.5354592691557718</v>
      </c>
      <c r="O1361" s="2">
        <v>5.3471683850504306</v>
      </c>
      <c r="P1361" s="1">
        <v>-1.584987198022715</v>
      </c>
      <c r="Q1361" s="1">
        <v>0.81921972223879724</v>
      </c>
      <c r="R1361" s="1">
        <v>-1.8625523936223525</v>
      </c>
      <c r="S1361" s="19">
        <v>2.9328787125255893</v>
      </c>
      <c r="T1361" s="19">
        <v>5.4761532129977724</v>
      </c>
      <c r="U1361" s="19">
        <v>9.2985694265790659</v>
      </c>
      <c r="V1361" s="19">
        <v>14.719199285918194</v>
      </c>
      <c r="W1361" s="19">
        <v>22.019192142472814</v>
      </c>
      <c r="X1361" s="19">
        <v>31.385889944561281</v>
      </c>
      <c r="Y1361" s="19">
        <v>42.84795326249656</v>
      </c>
      <c r="Z1361" s="19">
        <v>56.213065311342802</v>
      </c>
      <c r="AA1361" s="19">
        <v>71.026656367528958</v>
      </c>
      <c r="AB1361" s="19">
        <v>86.573955859730816</v>
      </c>
      <c r="AC1361" s="19">
        <v>101.9440157231659</v>
      </c>
      <c r="AD1361" s="19">
        <v>116.15960944494373</v>
      </c>
      <c r="AE1361" s="19">
        <v>128.35212963025614</v>
      </c>
      <c r="AF1361" s="19">
        <v>137.93443339320436</v>
      </c>
      <c r="AG1361" s="19">
        <v>144.71208409977959</v>
      </c>
      <c r="AH1361" s="19">
        <v>149.29703896607035</v>
      </c>
      <c r="AI1361" s="19">
        <v>151.2325511741254</v>
      </c>
      <c r="AJ1361" s="19">
        <v>152.51683438790789</v>
      </c>
      <c r="AK1361" s="19">
        <v>151.94894376344973</v>
      </c>
      <c r="AL1361" s="19">
        <v>150.77763498747203</v>
      </c>
      <c r="AM1361" s="19">
        <v>149.61535532492346</v>
      </c>
      <c r="AN1361" s="19">
        <v>148.46203517426864</v>
      </c>
      <c r="AO1361" s="19">
        <v>147.31760547050018</v>
      </c>
      <c r="AP1361" s="19">
        <v>146.18199768100314</v>
      </c>
      <c r="AQ1361" s="19">
        <v>145.05514380145087</v>
      </c>
      <c r="AR1361" s="19">
        <v>2464.0009265486751</v>
      </c>
    </row>
    <row r="1362" spans="1:44" x14ac:dyDescent="0.25">
      <c r="A1362" t="s">
        <v>435</v>
      </c>
      <c r="B1362" t="s">
        <v>471</v>
      </c>
      <c r="C1362" t="s">
        <v>44</v>
      </c>
      <c r="D1362" t="s">
        <v>472</v>
      </c>
      <c r="E1362" t="s">
        <v>145</v>
      </c>
      <c r="F1362" t="s">
        <v>472</v>
      </c>
      <c r="G1362" t="s">
        <v>33</v>
      </c>
      <c r="H1362" t="s">
        <v>450</v>
      </c>
      <c r="I1362" t="s">
        <v>135</v>
      </c>
      <c r="J1362" t="s">
        <v>39</v>
      </c>
      <c r="K1362" t="s">
        <v>33</v>
      </c>
      <c r="L1362">
        <v>8.3279735676544231E-2</v>
      </c>
      <c r="M1362">
        <v>1</v>
      </c>
      <c r="N1362" s="2">
        <v>3.5354592691557718</v>
      </c>
      <c r="O1362" s="2">
        <v>5.3471683850504306</v>
      </c>
      <c r="P1362" s="1">
        <v>-1.584987198022715</v>
      </c>
      <c r="Q1362" s="1">
        <v>0.81921972223879724</v>
      </c>
      <c r="R1362" s="1">
        <v>-1.8625523936223525</v>
      </c>
      <c r="S1362" s="19">
        <v>1.1534181304840725</v>
      </c>
      <c r="T1362" s="19">
        <v>2.1521147348966712</v>
      </c>
      <c r="U1362" s="19">
        <v>3.6517675807055801</v>
      </c>
      <c r="V1362" s="19">
        <v>5.776547332208481</v>
      </c>
      <c r="W1362" s="19">
        <v>8.6354046321306104</v>
      </c>
      <c r="X1362" s="19">
        <v>12.300221120292658</v>
      </c>
      <c r="Y1362" s="19">
        <v>16.780531524817714</v>
      </c>
      <c r="Z1362" s="19">
        <v>21.999360662510927</v>
      </c>
      <c r="AA1362" s="19">
        <v>27.777382691071413</v>
      </c>
      <c r="AB1362" s="19">
        <v>33.834080189253861</v>
      </c>
      <c r="AC1362" s="19">
        <v>39.813101323337179</v>
      </c>
      <c r="AD1362" s="19">
        <v>45.333220782593557</v>
      </c>
      <c r="AE1362" s="19">
        <v>50.056637309000791</v>
      </c>
      <c r="AF1362" s="19">
        <v>53.75618598171031</v>
      </c>
      <c r="AG1362" s="19">
        <v>56.358277469824642</v>
      </c>
      <c r="AH1362" s="19">
        <v>58.103362649187247</v>
      </c>
      <c r="AI1362" s="19">
        <v>58.81559725508334</v>
      </c>
      <c r="AJ1362" s="19">
        <v>59.273718843983943</v>
      </c>
      <c r="AK1362" s="19">
        <v>59.011851240086926</v>
      </c>
      <c r="AL1362" s="19">
        <v>58.516135988775645</v>
      </c>
      <c r="AM1362" s="19">
        <v>58.024584877467085</v>
      </c>
      <c r="AN1362" s="19">
        <v>57.537162926277297</v>
      </c>
      <c r="AO1362" s="19">
        <v>57.053835449162655</v>
      </c>
      <c r="AP1362" s="19">
        <v>56.574568051451507</v>
      </c>
      <c r="AQ1362" s="19">
        <v>56.099326627396671</v>
      </c>
      <c r="AR1362" s="19">
        <v>958.38839537371075</v>
      </c>
    </row>
    <row r="1363" spans="1:44" x14ac:dyDescent="0.25">
      <c r="A1363" t="s">
        <v>435</v>
      </c>
      <c r="B1363" t="s">
        <v>471</v>
      </c>
      <c r="C1363" t="s">
        <v>44</v>
      </c>
      <c r="D1363" t="s">
        <v>472</v>
      </c>
      <c r="E1363" t="s">
        <v>145</v>
      </c>
      <c r="F1363" t="s">
        <v>472</v>
      </c>
      <c r="G1363" t="s">
        <v>33</v>
      </c>
      <c r="H1363" t="s">
        <v>451</v>
      </c>
      <c r="I1363" t="s">
        <v>135</v>
      </c>
      <c r="J1363" t="s">
        <v>39</v>
      </c>
      <c r="K1363" t="s">
        <v>33</v>
      </c>
      <c r="L1363">
        <v>8.3279735676544231E-2</v>
      </c>
      <c r="M1363">
        <v>1</v>
      </c>
      <c r="N1363" s="2">
        <v>3.5354592691557718</v>
      </c>
      <c r="O1363" s="2">
        <v>5.3471683850504306</v>
      </c>
      <c r="P1363" s="1">
        <v>-1.584987198022715</v>
      </c>
      <c r="Q1363" s="1">
        <v>0.81921972223879724</v>
      </c>
      <c r="R1363" s="1">
        <v>-1.8625523936223525</v>
      </c>
      <c r="S1363" s="19">
        <v>2.2061520521769107</v>
      </c>
      <c r="T1363" s="19">
        <v>4.1192384114945941</v>
      </c>
      <c r="U1363" s="19">
        <v>6.9945129115453994</v>
      </c>
      <c r="V1363" s="19">
        <v>11.071985886203269</v>
      </c>
      <c r="W1363" s="19">
        <v>16.563141777711774</v>
      </c>
      <c r="X1363" s="19">
        <v>23.608901798385705</v>
      </c>
      <c r="Y1363" s="19">
        <v>32.230824826791178</v>
      </c>
      <c r="Z1363" s="19">
        <v>42.284247509499281</v>
      </c>
      <c r="AA1363" s="19">
        <v>53.427236194691794</v>
      </c>
      <c r="AB1363" s="19">
        <v>65.122130543389105</v>
      </c>
      <c r="AC1363" s="19">
        <v>76.683702784676754</v>
      </c>
      <c r="AD1363" s="19">
        <v>87.376869579565025</v>
      </c>
      <c r="AE1363" s="19">
        <v>96.548252396439935</v>
      </c>
      <c r="AF1363" s="19">
        <v>103.75619421173803</v>
      </c>
      <c r="AG1363" s="19">
        <v>108.85443709215131</v>
      </c>
      <c r="AH1363" s="19">
        <v>112.30330374463398</v>
      </c>
      <c r="AI1363" s="19">
        <v>113.75922287677469</v>
      </c>
      <c r="AJ1363" s="19">
        <v>114.72527852563672</v>
      </c>
      <c r="AK1363" s="19">
        <v>114.29810332019444</v>
      </c>
      <c r="AL1363" s="19">
        <v>113.41702861061979</v>
      </c>
      <c r="AM1363" s="19">
        <v>112.5427457254176</v>
      </c>
      <c r="AN1363" s="19">
        <v>111.67520230934736</v>
      </c>
      <c r="AO1363" s="19">
        <v>110.81434641075252</v>
      </c>
      <c r="AP1363" s="19">
        <v>109.96012647844934</v>
      </c>
      <c r="AQ1363" s="19">
        <v>109.11249135864006</v>
      </c>
      <c r="AR1363" s="19">
        <v>1853.4556773369263</v>
      </c>
    </row>
    <row r="1364" spans="1:44" x14ac:dyDescent="0.25">
      <c r="A1364" t="s">
        <v>435</v>
      </c>
      <c r="B1364" t="s">
        <v>471</v>
      </c>
      <c r="C1364" t="s">
        <v>44</v>
      </c>
      <c r="D1364" t="s">
        <v>472</v>
      </c>
      <c r="E1364" t="s">
        <v>145</v>
      </c>
      <c r="F1364" t="s">
        <v>472</v>
      </c>
      <c r="G1364" t="s">
        <v>33</v>
      </c>
      <c r="H1364" t="s">
        <v>452</v>
      </c>
      <c r="I1364" t="s">
        <v>135</v>
      </c>
      <c r="J1364" t="s">
        <v>39</v>
      </c>
      <c r="K1364" t="s">
        <v>33</v>
      </c>
      <c r="L1364">
        <v>8.3279735676544231E-2</v>
      </c>
      <c r="M1364">
        <v>1</v>
      </c>
      <c r="N1364" s="2">
        <v>3.5354592691557718</v>
      </c>
      <c r="O1364" s="2">
        <v>5.3471683850504306</v>
      </c>
      <c r="P1364" s="1">
        <v>-1.584987198022715</v>
      </c>
      <c r="Q1364" s="1">
        <v>0.81921972223879724</v>
      </c>
      <c r="R1364" s="1">
        <v>-1.8625523936223525</v>
      </c>
      <c r="S1364" s="19">
        <v>21.934261244323032</v>
      </c>
      <c r="T1364" s="19">
        <v>40.954770708672498</v>
      </c>
      <c r="U1364" s="19">
        <v>69.54165889302206</v>
      </c>
      <c r="V1364" s="19">
        <v>110.08118442325998</v>
      </c>
      <c r="W1364" s="19">
        <v>164.6759924913635</v>
      </c>
      <c r="X1364" s="19">
        <v>234.72716634666213</v>
      </c>
      <c r="Y1364" s="19">
        <v>320.44905117635096</v>
      </c>
      <c r="Z1364" s="19">
        <v>420.4033581809523</v>
      </c>
      <c r="AA1364" s="19">
        <v>531.19047488144213</v>
      </c>
      <c r="AB1364" s="19">
        <v>647.46481219013515</v>
      </c>
      <c r="AC1364" s="19">
        <v>762.41361895315219</v>
      </c>
      <c r="AD1364" s="19">
        <v>868.72846419546511</v>
      </c>
      <c r="AE1364" s="19">
        <v>959.91325197041886</v>
      </c>
      <c r="AF1364" s="19">
        <v>1031.5768885065418</v>
      </c>
      <c r="AG1364" s="19">
        <v>1082.2652311870247</v>
      </c>
      <c r="AH1364" s="19">
        <v>1116.5549539093297</v>
      </c>
      <c r="AI1364" s="19">
        <v>1131.0301622538634</v>
      </c>
      <c r="AJ1364" s="19">
        <v>1140.6349929625103</v>
      </c>
      <c r="AK1364" s="19">
        <v>1136.387882005665</v>
      </c>
      <c r="AL1364" s="19">
        <v>1127.6279586647029</v>
      </c>
      <c r="AM1364" s="19">
        <v>1118.9355617890917</v>
      </c>
      <c r="AN1364" s="19">
        <v>1110.3101708464774</v>
      </c>
      <c r="AO1364" s="19">
        <v>1101.7512693170636</v>
      </c>
      <c r="AP1364" s="19">
        <v>1093.2583446626827</v>
      </c>
      <c r="AQ1364" s="19">
        <v>1084.8308882961039</v>
      </c>
      <c r="AR1364" s="19">
        <v>18427.642370056277</v>
      </c>
    </row>
    <row r="1365" spans="1:44" x14ac:dyDescent="0.25">
      <c r="A1365" t="s">
        <v>435</v>
      </c>
      <c r="B1365" t="s">
        <v>471</v>
      </c>
      <c r="C1365" t="s">
        <v>44</v>
      </c>
      <c r="D1365" t="s">
        <v>472</v>
      </c>
      <c r="E1365" t="s">
        <v>145</v>
      </c>
      <c r="F1365" t="s">
        <v>472</v>
      </c>
      <c r="G1365" t="s">
        <v>33</v>
      </c>
      <c r="H1365" t="s">
        <v>453</v>
      </c>
      <c r="I1365" t="s">
        <v>135</v>
      </c>
      <c r="J1365" t="s">
        <v>39</v>
      </c>
      <c r="K1365" t="s">
        <v>33</v>
      </c>
      <c r="L1365">
        <v>8.3279735676544231E-2</v>
      </c>
      <c r="M1365">
        <v>1</v>
      </c>
      <c r="N1365" s="2">
        <v>3.5354592691557718</v>
      </c>
      <c r="O1365" s="2">
        <v>5.3471683850504306</v>
      </c>
      <c r="P1365" s="1">
        <v>-1.584987198022715</v>
      </c>
      <c r="Q1365" s="1">
        <v>0.81921972223879724</v>
      </c>
      <c r="R1365" s="1">
        <v>-1.8625523936223525</v>
      </c>
      <c r="S1365" s="19">
        <v>3.086595436887257</v>
      </c>
      <c r="T1365" s="19">
        <v>5.763166900406536</v>
      </c>
      <c r="U1365" s="19">
        <v>9.7859218791025526</v>
      </c>
      <c r="V1365" s="19">
        <v>15.490655360727894</v>
      </c>
      <c r="W1365" s="19">
        <v>23.173252170518229</v>
      </c>
      <c r="X1365" s="19">
        <v>33.030873139007518</v>
      </c>
      <c r="Y1365" s="19">
        <v>45.09368098147236</v>
      </c>
      <c r="Z1365" s="19">
        <v>59.159279291854503</v>
      </c>
      <c r="AA1365" s="19">
        <v>74.749273642000716</v>
      </c>
      <c r="AB1365" s="19">
        <v>91.111431225812211</v>
      </c>
      <c r="AC1365" s="19">
        <v>107.28705977688509</v>
      </c>
      <c r="AD1365" s="19">
        <v>122.24771482439571</v>
      </c>
      <c r="AE1365" s="19">
        <v>135.07926391212931</v>
      </c>
      <c r="AF1365" s="19">
        <v>145.16379108444949</v>
      </c>
      <c r="AG1365" s="19">
        <v>152.29666898164555</v>
      </c>
      <c r="AH1365" s="19">
        <v>157.12192844709426</v>
      </c>
      <c r="AI1365" s="19">
        <v>159.1588838533674</v>
      </c>
      <c r="AJ1365" s="19">
        <v>160.51047834324606</v>
      </c>
      <c r="AK1365" s="19">
        <v>159.91282368994666</v>
      </c>
      <c r="AL1365" s="19">
        <v>158.68012480346405</v>
      </c>
      <c r="AM1365" s="19">
        <v>157.45692826025618</v>
      </c>
      <c r="AN1365" s="19">
        <v>156.24316081086312</v>
      </c>
      <c r="AO1365" s="19">
        <v>155.03874977047343</v>
      </c>
      <c r="AP1365" s="19">
        <v>153.84362301457128</v>
      </c>
      <c r="AQ1365" s="19">
        <v>152.65770897461778</v>
      </c>
      <c r="AR1365" s="19">
        <v>2593.1430385751951</v>
      </c>
    </row>
    <row r="1366" spans="1:44" x14ac:dyDescent="0.25">
      <c r="A1366" t="s">
        <v>435</v>
      </c>
      <c r="B1366" t="s">
        <v>471</v>
      </c>
      <c r="C1366" t="s">
        <v>44</v>
      </c>
      <c r="D1366" t="s">
        <v>472</v>
      </c>
      <c r="E1366" t="s">
        <v>145</v>
      </c>
      <c r="F1366" t="s">
        <v>472</v>
      </c>
      <c r="G1366" t="s">
        <v>33</v>
      </c>
      <c r="H1366" t="s">
        <v>454</v>
      </c>
      <c r="I1366" t="s">
        <v>135</v>
      </c>
      <c r="J1366" t="s">
        <v>39</v>
      </c>
      <c r="K1366" t="s">
        <v>33</v>
      </c>
      <c r="L1366">
        <v>8.3279735676544231E-2</v>
      </c>
      <c r="M1366">
        <v>1</v>
      </c>
      <c r="N1366" s="2">
        <v>3.5354592691557718</v>
      </c>
      <c r="O1366" s="2">
        <v>5.3471683850504306</v>
      </c>
      <c r="P1366" s="1">
        <v>-1.584987198022715</v>
      </c>
      <c r="Q1366" s="1">
        <v>0.81921972223879724</v>
      </c>
      <c r="R1366" s="1">
        <v>-1.8625523936223525</v>
      </c>
      <c r="S1366" s="19">
        <v>1.4990205780328547</v>
      </c>
      <c r="T1366" s="19">
        <v>2.7989109538305783</v>
      </c>
      <c r="U1366" s="19">
        <v>4.7525821157146018</v>
      </c>
      <c r="V1366" s="19">
        <v>7.5231145862003874</v>
      </c>
      <c r="W1366" s="19">
        <v>11.254206316906499</v>
      </c>
      <c r="X1366" s="19">
        <v>16.041609455529546</v>
      </c>
      <c r="Y1366" s="19">
        <v>21.899972676252265</v>
      </c>
      <c r="Z1366" s="19">
        <v>28.731001147826191</v>
      </c>
      <c r="AA1366" s="19">
        <v>36.302360213221817</v>
      </c>
      <c r="AB1366" s="19">
        <v>44.248724231657853</v>
      </c>
      <c r="AC1366" s="19">
        <v>52.104499488400613</v>
      </c>
      <c r="AD1366" s="19">
        <v>59.370216760271475</v>
      </c>
      <c r="AE1366" s="19">
        <v>65.601923028181062</v>
      </c>
      <c r="AF1366" s="19">
        <v>70.499524304454681</v>
      </c>
      <c r="AG1366" s="19">
        <v>73.963642283996421</v>
      </c>
      <c r="AH1366" s="19">
        <v>76.307053780888239</v>
      </c>
      <c r="AI1366" s="19">
        <v>77.296311405663985</v>
      </c>
      <c r="AJ1366" s="19">
        <v>77.952720058793801</v>
      </c>
      <c r="AK1366" s="19">
        <v>77.662466074372603</v>
      </c>
      <c r="AL1366" s="19">
        <v>77.063799668250027</v>
      </c>
      <c r="AM1366" s="19">
        <v>76.469748122869575</v>
      </c>
      <c r="AN1366" s="19">
        <v>75.88027586426297</v>
      </c>
      <c r="AO1366" s="19">
        <v>75.295347592686554</v>
      </c>
      <c r="AP1366" s="19">
        <v>74.714928280506896</v>
      </c>
      <c r="AQ1366" s="19">
        <v>74.1389831701036</v>
      </c>
      <c r="AR1366" s="19">
        <v>1259.372942158875</v>
      </c>
    </row>
    <row r="1367" spans="1:44" x14ac:dyDescent="0.25">
      <c r="A1367" t="s">
        <v>435</v>
      </c>
      <c r="B1367" t="s">
        <v>471</v>
      </c>
      <c r="C1367" t="s">
        <v>44</v>
      </c>
      <c r="D1367" t="s">
        <v>472</v>
      </c>
      <c r="E1367" t="s">
        <v>145</v>
      </c>
      <c r="F1367" t="s">
        <v>472</v>
      </c>
      <c r="G1367" t="s">
        <v>33</v>
      </c>
      <c r="H1367" t="s">
        <v>455</v>
      </c>
      <c r="I1367" t="s">
        <v>135</v>
      </c>
      <c r="J1367" t="s">
        <v>39</v>
      </c>
      <c r="K1367" t="s">
        <v>33</v>
      </c>
      <c r="L1367">
        <v>8.3279735676544231E-2</v>
      </c>
      <c r="M1367">
        <v>1</v>
      </c>
      <c r="N1367" s="2">
        <v>3.5354592691557718</v>
      </c>
      <c r="O1367" s="2">
        <v>5.3471683850504306</v>
      </c>
      <c r="P1367" s="1">
        <v>-1.584987198022715</v>
      </c>
      <c r="Q1367" s="1">
        <v>0.81921972223879724</v>
      </c>
      <c r="R1367" s="1">
        <v>-1.8625523936223525</v>
      </c>
      <c r="S1367" s="19">
        <v>1.1190234494937981</v>
      </c>
      <c r="T1367" s="19">
        <v>2.0893955935492325</v>
      </c>
      <c r="U1367" s="19">
        <v>3.5478170954187687</v>
      </c>
      <c r="V1367" s="19">
        <v>5.6160280642942269</v>
      </c>
      <c r="W1367" s="19">
        <v>8.4012994608694314</v>
      </c>
      <c r="X1367" s="19">
        <v>11.975110556464662</v>
      </c>
      <c r="Y1367" s="19">
        <v>16.348396631191953</v>
      </c>
      <c r="Z1367" s="19">
        <v>21.447780292677255</v>
      </c>
      <c r="AA1367" s="19">
        <v>27.099823008350683</v>
      </c>
      <c r="AB1367" s="19">
        <v>33.031808069231403</v>
      </c>
      <c r="AC1367" s="19">
        <v>38.89616834224671</v>
      </c>
      <c r="AD1367" s="19">
        <v>44.320048523588298</v>
      </c>
      <c r="AE1367" s="19">
        <v>48.972036325716694</v>
      </c>
      <c r="AF1367" s="19">
        <v>52.628110668347119</v>
      </c>
      <c r="AG1367" s="19">
        <v>55.21408534256225</v>
      </c>
      <c r="AH1367" s="19">
        <v>56.963449197377741</v>
      </c>
      <c r="AI1367" s="19">
        <v>57.701933042054051</v>
      </c>
      <c r="AJ1367" s="19">
        <v>58.191944110659151</v>
      </c>
      <c r="AK1367" s="19">
        <v>57.975268622919963</v>
      </c>
      <c r="AL1367" s="19">
        <v>57.528362318435157</v>
      </c>
      <c r="AM1367" s="19">
        <v>57.084901021618847</v>
      </c>
      <c r="AN1367" s="19">
        <v>56.644858176394898</v>
      </c>
      <c r="AO1367" s="19">
        <v>56.208207431396538</v>
      </c>
      <c r="AP1367" s="19">
        <v>55.774922638388269</v>
      </c>
      <c r="AQ1367" s="19">
        <v>55.344977850700083</v>
      </c>
      <c r="AR1367" s="19">
        <v>940.12575583394721</v>
      </c>
    </row>
    <row r="1368" spans="1:44" x14ac:dyDescent="0.25">
      <c r="A1368" t="s">
        <v>435</v>
      </c>
      <c r="B1368" t="s">
        <v>471</v>
      </c>
      <c r="C1368" t="s">
        <v>44</v>
      </c>
      <c r="D1368" t="s">
        <v>472</v>
      </c>
      <c r="E1368" t="s">
        <v>145</v>
      </c>
      <c r="F1368" t="s">
        <v>472</v>
      </c>
      <c r="G1368" t="s">
        <v>33</v>
      </c>
      <c r="H1368" t="s">
        <v>456</v>
      </c>
      <c r="I1368" t="s">
        <v>135</v>
      </c>
      <c r="J1368" t="s">
        <v>39</v>
      </c>
      <c r="K1368" t="s">
        <v>33</v>
      </c>
      <c r="L1368">
        <v>8.3279735676544231E-2</v>
      </c>
      <c r="M1368">
        <v>1</v>
      </c>
      <c r="N1368" s="2">
        <v>3.5354592691557718</v>
      </c>
      <c r="O1368" s="2">
        <v>5.3471683850504306</v>
      </c>
      <c r="P1368" s="1">
        <v>-1.584987198022715</v>
      </c>
      <c r="Q1368" s="1">
        <v>0.81921972223879724</v>
      </c>
      <c r="R1368" s="1">
        <v>-1.8625523936223525</v>
      </c>
      <c r="S1368" s="19">
        <v>7.3246794121819025</v>
      </c>
      <c r="T1368" s="19">
        <v>13.676346903093632</v>
      </c>
      <c r="U1368" s="19">
        <v>23.222590061679384</v>
      </c>
      <c r="V1368" s="19">
        <v>36.760270894573146</v>
      </c>
      <c r="W1368" s="19">
        <v>54.991542156191706</v>
      </c>
      <c r="X1368" s="19">
        <v>78.384278534303419</v>
      </c>
      <c r="Y1368" s="19">
        <v>107.01005799373053</v>
      </c>
      <c r="Z1368" s="19">
        <v>140.38858150634721</v>
      </c>
      <c r="AA1368" s="19">
        <v>177.3845898875775</v>
      </c>
      <c r="AB1368" s="19">
        <v>216.21298876381081</v>
      </c>
      <c r="AC1368" s="19">
        <v>254.59874285752844</v>
      </c>
      <c r="AD1368" s="19">
        <v>290.10129065166598</v>
      </c>
      <c r="AE1368" s="19">
        <v>320.55134001871465</v>
      </c>
      <c r="AF1368" s="19">
        <v>344.48253867141989</v>
      </c>
      <c r="AG1368" s="19">
        <v>361.40929339243638</v>
      </c>
      <c r="AH1368" s="19">
        <v>372.8599286919723</v>
      </c>
      <c r="AI1368" s="19">
        <v>377.69374822969195</v>
      </c>
      <c r="AJ1368" s="19">
        <v>380.9011644706801</v>
      </c>
      <c r="AK1368" s="19">
        <v>379.48289349084888</v>
      </c>
      <c r="AL1368" s="19">
        <v>376.55762377544227</v>
      </c>
      <c r="AM1368" s="19">
        <v>373.65490370075634</v>
      </c>
      <c r="AN1368" s="19">
        <v>370.77455944135073</v>
      </c>
      <c r="AO1368" s="19">
        <v>367.91641851173006</v>
      </c>
      <c r="AP1368" s="19">
        <v>365.08030975601565</v>
      </c>
      <c r="AQ1368" s="19">
        <v>362.26606333769519</v>
      </c>
      <c r="AR1368" s="19">
        <v>6153.6867451114376</v>
      </c>
    </row>
    <row r="1369" spans="1:44" x14ac:dyDescent="0.25">
      <c r="A1369" t="s">
        <v>435</v>
      </c>
      <c r="B1369" t="s">
        <v>471</v>
      </c>
      <c r="C1369" t="s">
        <v>44</v>
      </c>
      <c r="D1369" t="s">
        <v>472</v>
      </c>
      <c r="E1369" t="s">
        <v>145</v>
      </c>
      <c r="F1369" t="s">
        <v>472</v>
      </c>
      <c r="G1369" t="s">
        <v>33</v>
      </c>
      <c r="H1369" t="s">
        <v>457</v>
      </c>
      <c r="I1369" t="s">
        <v>135</v>
      </c>
      <c r="J1369" t="s">
        <v>39</v>
      </c>
      <c r="K1369" t="s">
        <v>33</v>
      </c>
      <c r="L1369">
        <v>8.3279735676544231E-2</v>
      </c>
      <c r="M1369">
        <v>1</v>
      </c>
      <c r="N1369" s="2">
        <v>3.5354592691557718</v>
      </c>
      <c r="O1369" s="2">
        <v>5.3471683850504306</v>
      </c>
      <c r="P1369" s="1">
        <v>-1.584987198022715</v>
      </c>
      <c r="Q1369" s="1">
        <v>0.81921972223879724</v>
      </c>
      <c r="R1369" s="1">
        <v>-1.8625523936223525</v>
      </c>
      <c r="S1369" s="19">
        <v>0.8581443873859298</v>
      </c>
      <c r="T1369" s="19">
        <v>1.6022926976590623</v>
      </c>
      <c r="U1369" s="19">
        <v>2.7207109281603503</v>
      </c>
      <c r="V1369" s="19">
        <v>4.3067577939998003</v>
      </c>
      <c r="W1369" s="19">
        <v>6.4426960689294273</v>
      </c>
      <c r="X1369" s="19">
        <v>9.1833409898646643</v>
      </c>
      <c r="Y1369" s="19">
        <v>12.537078484068145</v>
      </c>
      <c r="Z1369" s="19">
        <v>16.447637704440751</v>
      </c>
      <c r="AA1369" s="19">
        <v>20.782014017926183</v>
      </c>
      <c r="AB1369" s="19">
        <v>25.331069436161357</v>
      </c>
      <c r="AC1369" s="19">
        <v>29.828265501331924</v>
      </c>
      <c r="AD1369" s="19">
        <v>33.987671041562166</v>
      </c>
      <c r="AE1369" s="19">
        <v>37.555136249185963</v>
      </c>
      <c r="AF1369" s="19">
        <v>40.358866303648405</v>
      </c>
      <c r="AG1369" s="19">
        <v>42.341970101521206</v>
      </c>
      <c r="AH1369" s="19">
        <v>43.683503001644794</v>
      </c>
      <c r="AI1369" s="19">
        <v>44.249823364967675</v>
      </c>
      <c r="AJ1369" s="19">
        <v>44.62559766037738</v>
      </c>
      <c r="AK1369" s="19">
        <v>44.459435946990936</v>
      </c>
      <c r="AL1369" s="19">
        <v>44.116717358694594</v>
      </c>
      <c r="AM1369" s="19">
        <v>43.776640639964569</v>
      </c>
      <c r="AN1369" s="19">
        <v>43.439185425769473</v>
      </c>
      <c r="AO1369" s="19">
        <v>43.104331508063161</v>
      </c>
      <c r="AP1369" s="19">
        <v>42.772058834574587</v>
      </c>
      <c r="AQ1369" s="19">
        <v>42.442347507606982</v>
      </c>
      <c r="AR1369" s="19">
        <v>720.95329295449949</v>
      </c>
    </row>
    <row r="1370" spans="1:44" x14ac:dyDescent="0.25">
      <c r="A1370" t="s">
        <v>435</v>
      </c>
      <c r="B1370" t="s">
        <v>471</v>
      </c>
      <c r="C1370" t="s">
        <v>44</v>
      </c>
      <c r="D1370" t="s">
        <v>472</v>
      </c>
      <c r="E1370" t="s">
        <v>145</v>
      </c>
      <c r="F1370" t="s">
        <v>472</v>
      </c>
      <c r="G1370" t="s">
        <v>33</v>
      </c>
      <c r="H1370" t="s">
        <v>457</v>
      </c>
      <c r="I1370" t="s">
        <v>256</v>
      </c>
      <c r="J1370" t="s">
        <v>39</v>
      </c>
      <c r="K1370" t="s">
        <v>33</v>
      </c>
      <c r="L1370">
        <v>8.3279735676544231E-2</v>
      </c>
      <c r="M1370">
        <v>1</v>
      </c>
      <c r="N1370" s="2">
        <v>1.749690553345449</v>
      </c>
      <c r="O1370" s="2">
        <v>2.6463011728329882</v>
      </c>
      <c r="P1370" s="1">
        <v>-0.12205024667384824</v>
      </c>
      <c r="Q1370" s="1">
        <v>1.3498045353129324</v>
      </c>
      <c r="R1370" s="1">
        <v>-0.39961544227348544</v>
      </c>
      <c r="S1370" s="19">
        <v>2.3599546459684819</v>
      </c>
      <c r="T1370" s="19">
        <v>4.406412430850418</v>
      </c>
      <c r="U1370" s="19">
        <v>7.4821376095088974</v>
      </c>
      <c r="V1370" s="19">
        <v>11.843872912775804</v>
      </c>
      <c r="W1370" s="19">
        <v>17.717846488221607</v>
      </c>
      <c r="X1370" s="19">
        <v>25.254803915413053</v>
      </c>
      <c r="Y1370" s="19">
        <v>34.47780705700999</v>
      </c>
      <c r="Z1370" s="19">
        <v>45.232107307770477</v>
      </c>
      <c r="AA1370" s="19">
        <v>57.151933002307665</v>
      </c>
      <c r="AB1370" s="19">
        <v>69.662140639666632</v>
      </c>
      <c r="AC1370" s="19">
        <v>82.029731576385558</v>
      </c>
      <c r="AD1370" s="19">
        <v>93.468375904101606</v>
      </c>
      <c r="AE1370" s="19">
        <v>103.27914459852695</v>
      </c>
      <c r="AF1370" s="19">
        <v>110.98959037586955</v>
      </c>
      <c r="AG1370" s="19">
        <v>116.44325888436371</v>
      </c>
      <c r="AH1370" s="19">
        <v>120.13256437526178</v>
      </c>
      <c r="AI1370" s="19">
        <v>121.68998337394754</v>
      </c>
      <c r="AJ1370" s="19">
        <v>122.72338790041542</v>
      </c>
      <c r="AK1370" s="19">
        <v>122.26643203931268</v>
      </c>
      <c r="AL1370" s="19">
        <v>121.32393292541242</v>
      </c>
      <c r="AM1370" s="19">
        <v>120.38869913008644</v>
      </c>
      <c r="AN1370" s="19">
        <v>119.46067464813194</v>
      </c>
      <c r="AO1370" s="19">
        <v>118.53980390606606</v>
      </c>
      <c r="AP1370" s="19">
        <v>117.62603175879792</v>
      </c>
      <c r="AQ1370" s="19">
        <v>116.71930348632635</v>
      </c>
      <c r="AR1370" s="19">
        <v>1982.6699308924992</v>
      </c>
    </row>
    <row r="1371" spans="1:44" x14ac:dyDescent="0.25">
      <c r="A1371" t="s">
        <v>435</v>
      </c>
      <c r="B1371" t="s">
        <v>471</v>
      </c>
      <c r="C1371" t="s">
        <v>44</v>
      </c>
      <c r="D1371" t="s">
        <v>472</v>
      </c>
      <c r="E1371" t="s">
        <v>145</v>
      </c>
      <c r="F1371" t="s">
        <v>472</v>
      </c>
      <c r="G1371" t="s">
        <v>33</v>
      </c>
      <c r="H1371" t="s">
        <v>452</v>
      </c>
      <c r="I1371" t="s">
        <v>135</v>
      </c>
      <c r="J1371" t="s">
        <v>40</v>
      </c>
      <c r="K1371" t="s">
        <v>33</v>
      </c>
      <c r="L1371">
        <v>8.3279735676544231E-2</v>
      </c>
      <c r="M1371">
        <v>1</v>
      </c>
      <c r="N1371" s="2">
        <v>3.5354592691557718</v>
      </c>
      <c r="O1371" s="2">
        <v>4.1746294160814532</v>
      </c>
      <c r="P1371" s="1">
        <v>-1.584987198022715</v>
      </c>
      <c r="Q1371" s="1">
        <v>1.3498045353129324</v>
      </c>
      <c r="R1371" s="1">
        <v>-1.7195523936223525</v>
      </c>
      <c r="S1371" s="19">
        <v>1.6060840363563187</v>
      </c>
      <c r="T1371" s="19">
        <v>2.9988155386293869</v>
      </c>
      <c r="U1371" s="19">
        <v>5.0920223373707847</v>
      </c>
      <c r="V1371" s="19">
        <v>8.0604325368447292</v>
      </c>
      <c r="W1371" s="19">
        <v>12.058007323130834</v>
      </c>
      <c r="X1371" s="19">
        <v>17.18733768004611</v>
      </c>
      <c r="Y1371" s="19">
        <v>23.464118523393232</v>
      </c>
      <c r="Z1371" s="19">
        <v>30.783034581562195</v>
      </c>
      <c r="AA1371" s="19">
        <v>38.895157328009986</v>
      </c>
      <c r="AB1371" s="19">
        <v>47.409068733972433</v>
      </c>
      <c r="AC1371" s="19">
        <v>55.825921322890643</v>
      </c>
      <c r="AD1371" s="19">
        <v>63.610572643917678</v>
      </c>
      <c r="AE1371" s="19">
        <v>70.287361543830869</v>
      </c>
      <c r="AF1371" s="19">
        <v>75.534760639968553</v>
      </c>
      <c r="AG1371" s="19">
        <v>79.246293802707427</v>
      </c>
      <c r="AH1371" s="19">
        <v>81.757077077417946</v>
      </c>
      <c r="AI1371" s="19">
        <v>82.816989731239602</v>
      </c>
      <c r="AJ1371" s="19">
        <v>83.520280582991276</v>
      </c>
      <c r="AK1371" s="19">
        <v>83.209295998990768</v>
      </c>
      <c r="AL1371" s="19">
        <v>82.567871476828415</v>
      </c>
      <c r="AM1371" s="19">
        <v>81.93139141925613</v>
      </c>
      <c r="AN1371" s="19">
        <v>81.299817711532029</v>
      </c>
      <c r="AO1371" s="19">
        <v>80.673112532724389</v>
      </c>
      <c r="AP1371" s="19">
        <v>80.051238353446621</v>
      </c>
      <c r="AQ1371" s="19">
        <v>79.43415793361001</v>
      </c>
      <c r="AR1371" s="19">
        <v>1349.3202213906686</v>
      </c>
    </row>
    <row r="1372" spans="1:44" x14ac:dyDescent="0.25">
      <c r="A1372" t="s">
        <v>435</v>
      </c>
      <c r="B1372" t="s">
        <v>471</v>
      </c>
      <c r="C1372" t="s">
        <v>44</v>
      </c>
      <c r="D1372" t="s">
        <v>472</v>
      </c>
      <c r="E1372" t="s">
        <v>145</v>
      </c>
      <c r="F1372" t="s">
        <v>472</v>
      </c>
      <c r="G1372" t="s">
        <v>33</v>
      </c>
      <c r="H1372" t="s">
        <v>453</v>
      </c>
      <c r="I1372" t="s">
        <v>135</v>
      </c>
      <c r="J1372" t="s">
        <v>40</v>
      </c>
      <c r="K1372" t="s">
        <v>33</v>
      </c>
      <c r="L1372">
        <v>8.3279735676544231E-2</v>
      </c>
      <c r="M1372">
        <v>1</v>
      </c>
      <c r="N1372" s="2">
        <v>3.5354592691557718</v>
      </c>
      <c r="O1372" s="2">
        <v>4.1746294160814532</v>
      </c>
      <c r="P1372" s="1">
        <v>-1.584987198022715</v>
      </c>
      <c r="Q1372" s="1">
        <v>1.3498045353129324</v>
      </c>
      <c r="R1372" s="1">
        <v>-1.7195523936223525</v>
      </c>
      <c r="S1372" s="19">
        <v>62.857331780580445</v>
      </c>
      <c r="T1372" s="19">
        <v>117.36468266506584</v>
      </c>
      <c r="U1372" s="19">
        <v>199.2865443207933</v>
      </c>
      <c r="V1372" s="19">
        <v>315.46125283261955</v>
      </c>
      <c r="W1372" s="19">
        <v>471.91438913882058</v>
      </c>
      <c r="X1372" s="19">
        <v>672.66105790484812</v>
      </c>
      <c r="Y1372" s="19">
        <v>918.31551125421845</v>
      </c>
      <c r="Z1372" s="19">
        <v>1204.7560240347591</v>
      </c>
      <c r="AA1372" s="19">
        <v>1522.2402772716405</v>
      </c>
      <c r="AB1372" s="19">
        <v>1855.4493384918476</v>
      </c>
      <c r="AC1372" s="19">
        <v>2184.8598075294053</v>
      </c>
      <c r="AD1372" s="19">
        <v>2489.5278073384593</v>
      </c>
      <c r="AE1372" s="19">
        <v>2750.8373811904403</v>
      </c>
      <c r="AF1372" s="19">
        <v>2956.2049077361489</v>
      </c>
      <c r="AG1372" s="19">
        <v>3101.4632293082732</v>
      </c>
      <c r="AH1372" s="19">
        <v>3199.7277869248587</v>
      </c>
      <c r="AI1372" s="19">
        <v>3241.2096022169462</v>
      </c>
      <c r="AJ1372" s="19">
        <v>3268.7343054118624</v>
      </c>
      <c r="AK1372" s="19">
        <v>3256.5632977107257</v>
      </c>
      <c r="AL1372" s="19">
        <v>3231.4598578600762</v>
      </c>
      <c r="AM1372" s="19">
        <v>3206.5499295842751</v>
      </c>
      <c r="AN1372" s="19">
        <v>3181.8320211861778</v>
      </c>
      <c r="AO1372" s="19">
        <v>3157.3046524674833</v>
      </c>
      <c r="AP1372" s="19">
        <v>3132.9663546401043</v>
      </c>
      <c r="AQ1372" s="19">
        <v>3108.8156702382057</v>
      </c>
      <c r="AR1372" s="19">
        <v>52808.36302103864</v>
      </c>
    </row>
    <row r="1373" spans="1:44" x14ac:dyDescent="0.25">
      <c r="A1373" t="s">
        <v>435</v>
      </c>
      <c r="B1373" t="s">
        <v>471</v>
      </c>
      <c r="C1373" t="s">
        <v>44</v>
      </c>
      <c r="D1373" t="s">
        <v>472</v>
      </c>
      <c r="E1373" t="s">
        <v>145</v>
      </c>
      <c r="F1373" t="s">
        <v>472</v>
      </c>
      <c r="G1373" t="s">
        <v>33</v>
      </c>
      <c r="H1373" t="s">
        <v>456</v>
      </c>
      <c r="I1373" t="s">
        <v>135</v>
      </c>
      <c r="J1373" t="s">
        <v>40</v>
      </c>
      <c r="K1373" t="s">
        <v>33</v>
      </c>
      <c r="L1373">
        <v>8.3279735676544231E-2</v>
      </c>
      <c r="M1373">
        <v>1</v>
      </c>
      <c r="N1373" s="2">
        <v>3.5354592691557718</v>
      </c>
      <c r="O1373" s="2">
        <v>4.1746294160814532</v>
      </c>
      <c r="P1373" s="1">
        <v>-1.584987198022715</v>
      </c>
      <c r="Q1373" s="1">
        <v>1.3498045353129324</v>
      </c>
      <c r="R1373" s="1">
        <v>-1.7195523936223525</v>
      </c>
      <c r="S1373" s="19">
        <v>27.040619882908075</v>
      </c>
      <c r="T1373" s="19">
        <v>50.489158252890611</v>
      </c>
      <c r="U1373" s="19">
        <v>85.731155620285904</v>
      </c>
      <c r="V1373" s="19">
        <v>135.70839843170407</v>
      </c>
      <c r="W1373" s="19">
        <v>203.01303368273156</v>
      </c>
      <c r="X1373" s="19">
        <v>289.37232080314459</v>
      </c>
      <c r="Y1373" s="19">
        <v>395.05050515165874</v>
      </c>
      <c r="Z1373" s="19">
        <v>518.27446019005617</v>
      </c>
      <c r="AA1373" s="19">
        <v>654.85313394852028</v>
      </c>
      <c r="AB1373" s="19">
        <v>798.19646893844015</v>
      </c>
      <c r="AC1373" s="19">
        <v>939.90568608734543</v>
      </c>
      <c r="AD1373" s="19">
        <v>1070.9709308241218</v>
      </c>
      <c r="AE1373" s="19">
        <v>1183.3837975197955</v>
      </c>
      <c r="AF1373" s="19">
        <v>1271.730933236606</v>
      </c>
      <c r="AG1373" s="19">
        <v>1334.2196668050674</v>
      </c>
      <c r="AH1373" s="19">
        <v>1376.4921348720798</v>
      </c>
      <c r="AI1373" s="19">
        <v>1394.3372130450109</v>
      </c>
      <c r="AJ1373" s="19">
        <v>1406.1780757638062</v>
      </c>
      <c r="AK1373" s="19">
        <v>1400.9422252509771</v>
      </c>
      <c r="AL1373" s="19">
        <v>1390.1429667472212</v>
      </c>
      <c r="AM1373" s="19">
        <v>1379.4269550627337</v>
      </c>
      <c r="AN1373" s="19">
        <v>1368.793548483741</v>
      </c>
      <c r="AO1373" s="19">
        <v>1358.2421102431661</v>
      </c>
      <c r="AP1373" s="19">
        <v>1347.7720084824914</v>
      </c>
      <c r="AQ1373" s="19">
        <v>1337.382616213926</v>
      </c>
      <c r="AR1373" s="19">
        <v>22717.650123540428</v>
      </c>
    </row>
    <row r="1374" spans="1:44" x14ac:dyDescent="0.25">
      <c r="A1374" t="s">
        <v>435</v>
      </c>
      <c r="B1374" t="s">
        <v>471</v>
      </c>
      <c r="C1374" t="s">
        <v>44</v>
      </c>
      <c r="D1374" t="s">
        <v>472</v>
      </c>
      <c r="E1374" t="s">
        <v>145</v>
      </c>
      <c r="F1374" t="s">
        <v>472</v>
      </c>
      <c r="G1374" t="s">
        <v>33</v>
      </c>
      <c r="H1374" t="s">
        <v>450</v>
      </c>
      <c r="I1374" t="s">
        <v>256</v>
      </c>
      <c r="J1374" t="s">
        <v>40</v>
      </c>
      <c r="K1374" t="s">
        <v>33</v>
      </c>
      <c r="L1374">
        <v>8.3279735676544231E-2</v>
      </c>
      <c r="M1374">
        <v>1</v>
      </c>
      <c r="N1374" s="2">
        <v>1.749690553345449</v>
      </c>
      <c r="O1374" s="2">
        <v>1.4737622038640097</v>
      </c>
      <c r="P1374" s="1">
        <v>-0.12205024667384824</v>
      </c>
      <c r="Q1374" s="1">
        <v>1.3498045353129324</v>
      </c>
      <c r="R1374" s="1">
        <v>-0.25661544227348537</v>
      </c>
      <c r="S1374" s="19">
        <v>30.129593407429677</v>
      </c>
      <c r="T1374" s="19">
        <v>56.256765422914832</v>
      </c>
      <c r="U1374" s="19">
        <v>95.524617126880031</v>
      </c>
      <c r="V1374" s="19">
        <v>151.21098866913172</v>
      </c>
      <c r="W1374" s="19">
        <v>226.20413983689011</v>
      </c>
      <c r="X1374" s="19">
        <v>322.42864279431609</v>
      </c>
      <c r="Y1374" s="19">
        <v>440.17892885446338</v>
      </c>
      <c r="Z1374" s="19">
        <v>577.47931913542141</v>
      </c>
      <c r="AA1374" s="19">
        <v>729.65999865710512</v>
      </c>
      <c r="AB1374" s="19">
        <v>889.37809756212164</v>
      </c>
      <c r="AC1374" s="19">
        <v>1047.2754058808723</v>
      </c>
      <c r="AD1374" s="19">
        <v>1193.312832199653</v>
      </c>
      <c r="AE1374" s="19">
        <v>1318.5671341339469</v>
      </c>
      <c r="AF1374" s="19">
        <v>1417.0065667129695</v>
      </c>
      <c r="AG1374" s="19">
        <v>1486.6336737510376</v>
      </c>
      <c r="AH1374" s="19">
        <v>1533.7351189362007</v>
      </c>
      <c r="AI1374" s="19">
        <v>1553.6187219010155</v>
      </c>
      <c r="AJ1374" s="19">
        <v>1566.8122204545009</v>
      </c>
      <c r="AK1374" s="19">
        <v>1560.9782548214378</v>
      </c>
      <c r="AL1374" s="19">
        <v>1548.9453476902822</v>
      </c>
      <c r="AM1374" s="19">
        <v>1537.0051970428128</v>
      </c>
      <c r="AN1374" s="19">
        <v>1525.1570878593609</v>
      </c>
      <c r="AO1374" s="19">
        <v>1513.4003106320351</v>
      </c>
      <c r="AP1374" s="19">
        <v>1501.7341613222354</v>
      </c>
      <c r="AQ1374" s="19">
        <v>1490.1579413184916</v>
      </c>
      <c r="AR1374" s="19">
        <v>25312.791066123529</v>
      </c>
    </row>
    <row r="1375" spans="1:44" x14ac:dyDescent="0.25">
      <c r="A1375" t="s">
        <v>435</v>
      </c>
      <c r="B1375" t="s">
        <v>471</v>
      </c>
      <c r="C1375" t="s">
        <v>44</v>
      </c>
      <c r="D1375" t="s">
        <v>472</v>
      </c>
      <c r="E1375" t="s">
        <v>145</v>
      </c>
      <c r="F1375" t="s">
        <v>472</v>
      </c>
      <c r="G1375" t="s">
        <v>33</v>
      </c>
      <c r="H1375" t="s">
        <v>452</v>
      </c>
      <c r="I1375" t="s">
        <v>256</v>
      </c>
      <c r="J1375" t="s">
        <v>40</v>
      </c>
      <c r="K1375" t="s">
        <v>33</v>
      </c>
      <c r="L1375">
        <v>8.3279735676544231E-2</v>
      </c>
      <c r="M1375">
        <v>1</v>
      </c>
      <c r="N1375" s="2">
        <v>1.749690553345449</v>
      </c>
      <c r="O1375" s="2">
        <v>1.4737622038640097</v>
      </c>
      <c r="P1375" s="1">
        <v>-0.12205024667384824</v>
      </c>
      <c r="Q1375" s="1">
        <v>1.3498045353129324</v>
      </c>
      <c r="R1375" s="1">
        <v>-0.25661544227348537</v>
      </c>
      <c r="S1375" s="19">
        <v>9.6848673700290018</v>
      </c>
      <c r="T1375" s="19">
        <v>18.083194964503285</v>
      </c>
      <c r="U1375" s="19">
        <v>30.705467376751997</v>
      </c>
      <c r="V1375" s="19">
        <v>48.605314726563051</v>
      </c>
      <c r="W1375" s="19">
        <v>72.711140281486621</v>
      </c>
      <c r="X1375" s="19">
        <v>103.64157921199778</v>
      </c>
      <c r="Y1375" s="19">
        <v>141.49127362554034</v>
      </c>
      <c r="Z1375" s="19">
        <v>185.62516058985616</v>
      </c>
      <c r="AA1375" s="19">
        <v>234.54217309374744</v>
      </c>
      <c r="AB1375" s="19">
        <v>285.88201640231398</v>
      </c>
      <c r="AC1375" s="19">
        <v>336.63658412822923</v>
      </c>
      <c r="AD1375" s="19">
        <v>383.57890710723774</v>
      </c>
      <c r="AE1375" s="19">
        <v>423.84069508941712</v>
      </c>
      <c r="AF1375" s="19">
        <v>455.48310179622831</v>
      </c>
      <c r="AG1375" s="19">
        <v>477.86406419103503</v>
      </c>
      <c r="AH1375" s="19">
        <v>493.0043697167813</v>
      </c>
      <c r="AI1375" s="19">
        <v>499.39576222409153</v>
      </c>
      <c r="AJ1375" s="19">
        <v>503.63668515688022</v>
      </c>
      <c r="AK1375" s="19">
        <v>501.7614131399805</v>
      </c>
      <c r="AL1375" s="19">
        <v>497.89355113251048</v>
      </c>
      <c r="AM1375" s="19">
        <v>494.05550480260587</v>
      </c>
      <c r="AN1375" s="19">
        <v>490.24704431408605</v>
      </c>
      <c r="AO1375" s="19">
        <v>486.46794160247941</v>
      </c>
      <c r="AP1375" s="19">
        <v>482.717970361364</v>
      </c>
      <c r="AQ1375" s="19">
        <v>478.99690602881662</v>
      </c>
      <c r="AR1375" s="19">
        <v>8136.5526884345327</v>
      </c>
    </row>
    <row r="1376" spans="1:44" x14ac:dyDescent="0.25">
      <c r="A1376" t="s">
        <v>435</v>
      </c>
      <c r="B1376" t="s">
        <v>471</v>
      </c>
      <c r="C1376" t="s">
        <v>44</v>
      </c>
      <c r="D1376" t="s">
        <v>472</v>
      </c>
      <c r="E1376" t="s">
        <v>145</v>
      </c>
      <c r="F1376" t="s">
        <v>472</v>
      </c>
      <c r="G1376" t="s">
        <v>33</v>
      </c>
      <c r="H1376" t="s">
        <v>453</v>
      </c>
      <c r="I1376" t="s">
        <v>256</v>
      </c>
      <c r="J1376" t="s">
        <v>40</v>
      </c>
      <c r="K1376" t="s">
        <v>33</v>
      </c>
      <c r="L1376">
        <v>8.3279735676544231E-2</v>
      </c>
      <c r="M1376">
        <v>1</v>
      </c>
      <c r="N1376" s="2">
        <v>1.749690553345449</v>
      </c>
      <c r="O1376" s="2">
        <v>1.4737622038640097</v>
      </c>
      <c r="P1376" s="1">
        <v>-0.12205024667384824</v>
      </c>
      <c r="Q1376" s="1">
        <v>1.3498045353129324</v>
      </c>
      <c r="R1376" s="1">
        <v>-0.25661544227348537</v>
      </c>
      <c r="S1376" s="19">
        <v>32.358780984709618</v>
      </c>
      <c r="T1376" s="19">
        <v>60.419014840717786</v>
      </c>
      <c r="U1376" s="19">
        <v>102.59216320837326</v>
      </c>
      <c r="V1376" s="19">
        <v>162.3985826380011</v>
      </c>
      <c r="W1376" s="19">
        <v>242.94022557276148</v>
      </c>
      <c r="X1376" s="19">
        <v>346.28405681723103</v>
      </c>
      <c r="Y1376" s="19">
        <v>472.74629166994674</v>
      </c>
      <c r="Z1376" s="19">
        <v>620.20507739392201</v>
      </c>
      <c r="AA1376" s="19">
        <v>783.64509505881858</v>
      </c>
      <c r="AB1376" s="19">
        <v>955.18020049064853</v>
      </c>
      <c r="AC1376" s="19">
        <v>1124.7598011467169</v>
      </c>
      <c r="AD1376" s="19">
        <v>1281.6020469054929</v>
      </c>
      <c r="AE1376" s="19">
        <v>1416.1234946023292</v>
      </c>
      <c r="AF1376" s="19">
        <v>1521.846130683379</v>
      </c>
      <c r="AG1376" s="19">
        <v>1596.6247138782053</v>
      </c>
      <c r="AH1376" s="19">
        <v>1647.2110370389476</v>
      </c>
      <c r="AI1376" s="19">
        <v>1668.5657611078991</v>
      </c>
      <c r="AJ1376" s="19">
        <v>1682.7354023752462</v>
      </c>
      <c r="AK1376" s="19">
        <v>1676.4698011890698</v>
      </c>
      <c r="AL1376" s="19">
        <v>1663.5466196113723</v>
      </c>
      <c r="AM1376" s="19">
        <v>1650.7230572585318</v>
      </c>
      <c r="AN1376" s="19">
        <v>1637.9983462089722</v>
      </c>
      <c r="AO1376" s="19">
        <v>1625.3717244606937</v>
      </c>
      <c r="AP1376" s="19">
        <v>1612.84243588564</v>
      </c>
      <c r="AQ1376" s="19">
        <v>1600.4097301844204</v>
      </c>
      <c r="AR1376" s="19">
        <v>27185.599591212045</v>
      </c>
    </row>
    <row r="1377" spans="1:44" x14ac:dyDescent="0.25">
      <c r="A1377" t="s">
        <v>435</v>
      </c>
      <c r="B1377" t="s">
        <v>471</v>
      </c>
      <c r="C1377" t="s">
        <v>44</v>
      </c>
      <c r="D1377" t="s">
        <v>472</v>
      </c>
      <c r="E1377" t="s">
        <v>145</v>
      </c>
      <c r="F1377" t="s">
        <v>472</v>
      </c>
      <c r="G1377" t="s">
        <v>33</v>
      </c>
      <c r="H1377" t="s">
        <v>456</v>
      </c>
      <c r="I1377" t="s">
        <v>256</v>
      </c>
      <c r="J1377" t="s">
        <v>40</v>
      </c>
      <c r="K1377" t="s">
        <v>33</v>
      </c>
      <c r="L1377">
        <v>8.3279735676544231E-2</v>
      </c>
      <c r="M1377">
        <v>1</v>
      </c>
      <c r="N1377" s="2">
        <v>1.749690553345449</v>
      </c>
      <c r="O1377" s="2">
        <v>1.4737622038640097</v>
      </c>
      <c r="P1377" s="1">
        <v>-0.12205024667384824</v>
      </c>
      <c r="Q1377" s="1">
        <v>1.3498045353129324</v>
      </c>
      <c r="R1377" s="1">
        <v>-0.25661544227348537</v>
      </c>
      <c r="S1377" s="19">
        <v>40.606360366335906</v>
      </c>
      <c r="T1377" s="19">
        <v>75.818563460733543</v>
      </c>
      <c r="U1377" s="19">
        <v>128.74076906573364</v>
      </c>
      <c r="V1377" s="19">
        <v>203.79059930276387</v>
      </c>
      <c r="W1377" s="19">
        <v>304.86062969269221</v>
      </c>
      <c r="X1377" s="19">
        <v>434.54465132297702</v>
      </c>
      <c r="Y1377" s="19">
        <v>593.23947618637612</v>
      </c>
      <c r="Z1377" s="19">
        <v>778.28243547212389</v>
      </c>
      <c r="AA1377" s="19">
        <v>983.37990990161859</v>
      </c>
      <c r="AB1377" s="19">
        <v>1198.6357413846913</v>
      </c>
      <c r="AC1377" s="19">
        <v>1411.4376506492413</v>
      </c>
      <c r="AD1377" s="19">
        <v>1608.2557185163744</v>
      </c>
      <c r="AE1377" s="19">
        <v>1777.0638817398317</v>
      </c>
      <c r="AF1377" s="19">
        <v>1909.7330160194781</v>
      </c>
      <c r="AG1377" s="19">
        <v>2003.5711027610007</v>
      </c>
      <c r="AH1377" s="19">
        <v>2067.0508262043422</v>
      </c>
      <c r="AI1377" s="19">
        <v>2093.8484247132992</v>
      </c>
      <c r="AJ1377" s="19">
        <v>2111.6296124482601</v>
      </c>
      <c r="AK1377" s="19">
        <v>2103.7670400046991</v>
      </c>
      <c r="AL1377" s="19">
        <v>2087.550008575995</v>
      </c>
      <c r="AM1377" s="19">
        <v>2071.4579872379327</v>
      </c>
      <c r="AN1377" s="19">
        <v>2055.4900123417196</v>
      </c>
      <c r="AO1377" s="19">
        <v>2039.6451276669136</v>
      </c>
      <c r="AP1377" s="19">
        <v>2023.9223843641655</v>
      </c>
      <c r="AQ1377" s="19">
        <v>2008.3208408983944</v>
      </c>
      <c r="AR1377" s="19">
        <v>34114.642770297694</v>
      </c>
    </row>
    <row r="1378" spans="1:44" x14ac:dyDescent="0.25">
      <c r="A1378" t="s">
        <v>435</v>
      </c>
      <c r="B1378" t="s">
        <v>471</v>
      </c>
      <c r="C1378" t="s">
        <v>44</v>
      </c>
      <c r="D1378" t="s">
        <v>472</v>
      </c>
      <c r="E1378" t="s">
        <v>145</v>
      </c>
      <c r="F1378" t="s">
        <v>472</v>
      </c>
      <c r="G1378" t="s">
        <v>33</v>
      </c>
      <c r="H1378" t="s">
        <v>457</v>
      </c>
      <c r="I1378" t="s">
        <v>256</v>
      </c>
      <c r="J1378" t="s">
        <v>40</v>
      </c>
      <c r="K1378" t="s">
        <v>33</v>
      </c>
      <c r="L1378">
        <v>8.3279735676544231E-2</v>
      </c>
      <c r="M1378">
        <v>1</v>
      </c>
      <c r="N1378" s="2">
        <v>1.749690553345449</v>
      </c>
      <c r="O1378" s="2">
        <v>1.4737622038640097</v>
      </c>
      <c r="P1378" s="1">
        <v>-0.12205024667384824</v>
      </c>
      <c r="Q1378" s="1">
        <v>1.3498045353129324</v>
      </c>
      <c r="R1378" s="1">
        <v>-0.25661544227348537</v>
      </c>
      <c r="S1378" s="19">
        <v>21.594490323812643</v>
      </c>
      <c r="T1378" s="19">
        <v>40.320364106691351</v>
      </c>
      <c r="U1378" s="19">
        <v>68.464429384687605</v>
      </c>
      <c r="V1378" s="19">
        <v>108.37598063518868</v>
      </c>
      <c r="W1378" s="19">
        <v>162.12509219289848</v>
      </c>
      <c r="X1378" s="19">
        <v>231.09114393906719</v>
      </c>
      <c r="Y1378" s="19">
        <v>315.48516076390092</v>
      </c>
      <c r="Z1378" s="19">
        <v>413.89113356560233</v>
      </c>
      <c r="AA1378" s="19">
        <v>522.96211129050823</v>
      </c>
      <c r="AB1378" s="19">
        <v>637.43531027140227</v>
      </c>
      <c r="AC1378" s="19">
        <v>750.60351173158244</v>
      </c>
      <c r="AD1378" s="19">
        <v>855.27149536184811</v>
      </c>
      <c r="AE1378" s="19">
        <v>945.04379247054533</v>
      </c>
      <c r="AF1378" s="19">
        <v>1015.5973291732716</v>
      </c>
      <c r="AG1378" s="19">
        <v>1065.5004881331879</v>
      </c>
      <c r="AH1378" s="19">
        <v>1099.2590486465799</v>
      </c>
      <c r="AI1378" s="19">
        <v>1113.5100299333153</v>
      </c>
      <c r="AJ1378" s="19">
        <v>1122.9660777796232</v>
      </c>
      <c r="AK1378" s="19">
        <v>1118.7847563555661</v>
      </c>
      <c r="AL1378" s="19">
        <v>1110.1605279069006</v>
      </c>
      <c r="AM1378" s="19">
        <v>1101.6027799102726</v>
      </c>
      <c r="AN1378" s="19">
        <v>1093.1109998965919</v>
      </c>
      <c r="AO1378" s="19">
        <v>1084.6846793471716</v>
      </c>
      <c r="AP1378" s="19">
        <v>1076.3233136632757</v>
      </c>
      <c r="AQ1378" s="19">
        <v>1068.0264021359019</v>
      </c>
      <c r="AR1378" s="19">
        <v>18142.190448919395</v>
      </c>
    </row>
    <row r="1379" spans="1:44" x14ac:dyDescent="0.25">
      <c r="A1379" t="s">
        <v>435</v>
      </c>
      <c r="B1379" t="s">
        <v>473</v>
      </c>
      <c r="C1379" t="s">
        <v>46</v>
      </c>
      <c r="D1379" t="s">
        <v>417</v>
      </c>
      <c r="E1379" t="s">
        <v>134</v>
      </c>
      <c r="F1379" t="s">
        <v>417</v>
      </c>
      <c r="G1379" t="s">
        <v>33</v>
      </c>
      <c r="H1379" t="s">
        <v>450</v>
      </c>
      <c r="I1379" t="s">
        <v>135</v>
      </c>
      <c r="J1379" t="s">
        <v>39</v>
      </c>
      <c r="K1379" t="s">
        <v>31</v>
      </c>
      <c r="L1379">
        <v>3.0101591572287867E-2</v>
      </c>
      <c r="M1379">
        <v>1</v>
      </c>
      <c r="N1379" s="2">
        <v>3.1960600759959026</v>
      </c>
      <c r="O1379" s="2">
        <v>2.8779545327574696</v>
      </c>
      <c r="P1379" s="1">
        <v>-0.57900269369997159</v>
      </c>
      <c r="Q1379" s="1">
        <v>0.48774336622694031</v>
      </c>
      <c r="R1379" s="1">
        <v>-0.52509153328775182</v>
      </c>
      <c r="S1379" s="19">
        <v>6.5029552361251808</v>
      </c>
      <c r="T1379" s="19">
        <v>10.496407162105928</v>
      </c>
      <c r="U1379" s="19">
        <v>15.809266491690552</v>
      </c>
      <c r="V1379" s="19">
        <v>22.467708395586428</v>
      </c>
      <c r="W1379" s="19">
        <v>30.326662327556654</v>
      </c>
      <c r="X1379" s="19">
        <v>39.011250577747731</v>
      </c>
      <c r="Y1379" s="19">
        <v>47.878253552013369</v>
      </c>
      <c r="Z1379" s="19">
        <v>56.024610009039407</v>
      </c>
      <c r="AA1379" s="19">
        <v>62.371441983120242</v>
      </c>
      <c r="AB1379" s="19">
        <v>65.83999626136125</v>
      </c>
      <c r="AC1379" s="19">
        <v>65.605218574036186</v>
      </c>
      <c r="AD1379" s="19">
        <v>61.3672540510562</v>
      </c>
      <c r="AE1379" s="19">
        <v>53.539621531320037</v>
      </c>
      <c r="AF1379" s="19">
        <v>43.935365670537529</v>
      </c>
      <c r="AG1379" s="19">
        <v>7.872852557318029</v>
      </c>
      <c r="AH1379" s="19">
        <v>0</v>
      </c>
      <c r="AI1379" s="19">
        <v>0</v>
      </c>
      <c r="AJ1379" s="19">
        <v>0</v>
      </c>
      <c r="AK1379" s="19">
        <v>0</v>
      </c>
      <c r="AL1379" s="19">
        <v>0</v>
      </c>
      <c r="AM1379" s="19">
        <v>0</v>
      </c>
      <c r="AN1379" s="19">
        <v>0</v>
      </c>
      <c r="AO1379" s="19">
        <v>0</v>
      </c>
      <c r="AP1379" s="19">
        <v>0</v>
      </c>
      <c r="AQ1379" s="19">
        <v>0</v>
      </c>
      <c r="AR1379" s="19">
        <v>589.04886438061476</v>
      </c>
    </row>
    <row r="1380" spans="1:44" x14ac:dyDescent="0.25">
      <c r="A1380" t="s">
        <v>435</v>
      </c>
      <c r="B1380" t="s">
        <v>473</v>
      </c>
      <c r="C1380" t="s">
        <v>46</v>
      </c>
      <c r="D1380" t="s">
        <v>417</v>
      </c>
      <c r="E1380" t="s">
        <v>134</v>
      </c>
      <c r="F1380" t="s">
        <v>417</v>
      </c>
      <c r="G1380" t="s">
        <v>33</v>
      </c>
      <c r="H1380" t="s">
        <v>451</v>
      </c>
      <c r="I1380" t="s">
        <v>135</v>
      </c>
      <c r="J1380" t="s">
        <v>39</v>
      </c>
      <c r="K1380" t="s">
        <v>31</v>
      </c>
      <c r="L1380">
        <v>3.0101591572287867E-2</v>
      </c>
      <c r="M1380">
        <v>1</v>
      </c>
      <c r="N1380" s="2">
        <v>3.1960600759959026</v>
      </c>
      <c r="O1380" s="2">
        <v>2.8779545327574696</v>
      </c>
      <c r="P1380" s="1">
        <v>-0.57900269369997159</v>
      </c>
      <c r="Q1380" s="1">
        <v>0.48774336622694031</v>
      </c>
      <c r="R1380" s="1">
        <v>-0.52509153328775182</v>
      </c>
      <c r="S1380" s="19">
        <v>1.7010613219645483</v>
      </c>
      <c r="T1380" s="19">
        <v>2.7456797094130194</v>
      </c>
      <c r="U1380" s="19">
        <v>4.135432396682007</v>
      </c>
      <c r="V1380" s="19">
        <v>5.8771663585498066</v>
      </c>
      <c r="W1380" s="19">
        <v>7.9329336334821008</v>
      </c>
      <c r="X1380" s="19">
        <v>10.2046726556917</v>
      </c>
      <c r="Y1380" s="19">
        <v>12.524128234514873</v>
      </c>
      <c r="Z1380" s="19">
        <v>14.655075070347642</v>
      </c>
      <c r="AA1380" s="19">
        <v>16.315297230288248</v>
      </c>
      <c r="AB1380" s="19">
        <v>17.222611414626094</v>
      </c>
      <c r="AC1380" s="19">
        <v>17.161197606800634</v>
      </c>
      <c r="AD1380" s="19">
        <v>16.052618926472096</v>
      </c>
      <c r="AE1380" s="19">
        <v>14.005044794651832</v>
      </c>
      <c r="AF1380" s="19">
        <v>11.492736532052874</v>
      </c>
      <c r="AG1380" s="19">
        <v>2.0594029164443985</v>
      </c>
      <c r="AH1380" s="19">
        <v>0</v>
      </c>
      <c r="AI1380" s="19">
        <v>0</v>
      </c>
      <c r="AJ1380" s="19">
        <v>0</v>
      </c>
      <c r="AK1380" s="19">
        <v>0</v>
      </c>
      <c r="AL1380" s="19">
        <v>0</v>
      </c>
      <c r="AM1380" s="19">
        <v>0</v>
      </c>
      <c r="AN1380" s="19">
        <v>0</v>
      </c>
      <c r="AO1380" s="19">
        <v>0</v>
      </c>
      <c r="AP1380" s="19">
        <v>0</v>
      </c>
      <c r="AQ1380" s="19">
        <v>0</v>
      </c>
      <c r="AR1380" s="19">
        <v>154.08505880198189</v>
      </c>
    </row>
    <row r="1381" spans="1:44" x14ac:dyDescent="0.25">
      <c r="A1381" t="s">
        <v>435</v>
      </c>
      <c r="B1381" t="s">
        <v>473</v>
      </c>
      <c r="C1381" t="s">
        <v>46</v>
      </c>
      <c r="D1381" t="s">
        <v>417</v>
      </c>
      <c r="E1381" t="s">
        <v>134</v>
      </c>
      <c r="F1381" t="s">
        <v>417</v>
      </c>
      <c r="G1381" t="s">
        <v>33</v>
      </c>
      <c r="H1381" t="s">
        <v>452</v>
      </c>
      <c r="I1381" t="s">
        <v>135</v>
      </c>
      <c r="J1381" t="s">
        <v>39</v>
      </c>
      <c r="K1381" t="s">
        <v>31</v>
      </c>
      <c r="L1381">
        <v>3.0101591572287867E-2</v>
      </c>
      <c r="M1381">
        <v>1</v>
      </c>
      <c r="N1381" s="2">
        <v>3.1960600759959026</v>
      </c>
      <c r="O1381" s="2">
        <v>2.8779545327574696</v>
      </c>
      <c r="P1381" s="1">
        <v>-0.57900269369997159</v>
      </c>
      <c r="Q1381" s="1">
        <v>0.48774336622694031</v>
      </c>
      <c r="R1381" s="1">
        <v>-0.52509153328775182</v>
      </c>
      <c r="S1381" s="19">
        <v>38.527875858121469</v>
      </c>
      <c r="T1381" s="19">
        <v>62.187768086018778</v>
      </c>
      <c r="U1381" s="19">
        <v>93.664716222581148</v>
      </c>
      <c r="V1381" s="19">
        <v>133.11379956498354</v>
      </c>
      <c r="W1381" s="19">
        <v>179.67552273102874</v>
      </c>
      <c r="X1381" s="19">
        <v>231.12885830429249</v>
      </c>
      <c r="Y1381" s="19">
        <v>283.66294125911554</v>
      </c>
      <c r="Z1381" s="19">
        <v>331.92743007625234</v>
      </c>
      <c r="AA1381" s="19">
        <v>369.53032683791702</v>
      </c>
      <c r="AB1381" s="19">
        <v>390.08037274579158</v>
      </c>
      <c r="AC1381" s="19">
        <v>388.68939198964745</v>
      </c>
      <c r="AD1381" s="19">
        <v>363.58084286025394</v>
      </c>
      <c r="AE1381" s="19">
        <v>317.20468878371304</v>
      </c>
      <c r="AF1381" s="19">
        <v>260.30262440254279</v>
      </c>
      <c r="AG1381" s="19">
        <v>46.644067960459232</v>
      </c>
      <c r="AH1381" s="19">
        <v>0</v>
      </c>
      <c r="AI1381" s="19">
        <v>0</v>
      </c>
      <c r="AJ1381" s="19">
        <v>0</v>
      </c>
      <c r="AK1381" s="19">
        <v>0</v>
      </c>
      <c r="AL1381" s="19">
        <v>0</v>
      </c>
      <c r="AM1381" s="19">
        <v>0</v>
      </c>
      <c r="AN1381" s="19">
        <v>0</v>
      </c>
      <c r="AO1381" s="19">
        <v>0</v>
      </c>
      <c r="AP1381" s="19">
        <v>0</v>
      </c>
      <c r="AQ1381" s="19">
        <v>0</v>
      </c>
      <c r="AR1381" s="19">
        <v>3489.9212276827193</v>
      </c>
    </row>
    <row r="1382" spans="1:44" x14ac:dyDescent="0.25">
      <c r="A1382" t="s">
        <v>435</v>
      </c>
      <c r="B1382" t="s">
        <v>473</v>
      </c>
      <c r="C1382" t="s">
        <v>46</v>
      </c>
      <c r="D1382" t="s">
        <v>417</v>
      </c>
      <c r="E1382" t="s">
        <v>134</v>
      </c>
      <c r="F1382" t="s">
        <v>417</v>
      </c>
      <c r="G1382" t="s">
        <v>33</v>
      </c>
      <c r="H1382" t="s">
        <v>453</v>
      </c>
      <c r="I1382" t="s">
        <v>135</v>
      </c>
      <c r="J1382" t="s">
        <v>39</v>
      </c>
      <c r="K1382" t="s">
        <v>31</v>
      </c>
      <c r="L1382">
        <v>3.0101591572287867E-2</v>
      </c>
      <c r="M1382">
        <v>1</v>
      </c>
      <c r="N1382" s="2">
        <v>3.1960600759959026</v>
      </c>
      <c r="O1382" s="2">
        <v>2.8779545327574696</v>
      </c>
      <c r="P1382" s="1">
        <v>-0.57900269369997159</v>
      </c>
      <c r="Q1382" s="1">
        <v>0.48774336622694031</v>
      </c>
      <c r="R1382" s="1">
        <v>-0.52509153328775182</v>
      </c>
      <c r="S1382" s="19">
        <v>11.782975605475093</v>
      </c>
      <c r="T1382" s="19">
        <v>19.01887757879183</v>
      </c>
      <c r="U1382" s="19">
        <v>28.645468813505261</v>
      </c>
      <c r="V1382" s="19">
        <v>40.710177192280256</v>
      </c>
      <c r="W1382" s="19">
        <v>54.950143346519866</v>
      </c>
      <c r="X1382" s="19">
        <v>70.686110730568927</v>
      </c>
      <c r="Y1382" s="19">
        <v>86.752602955371941</v>
      </c>
      <c r="Z1382" s="19">
        <v>101.51332572237</v>
      </c>
      <c r="AA1382" s="19">
        <v>113.01341508285044</v>
      </c>
      <c r="AB1382" s="19">
        <v>119.29823313291786</v>
      </c>
      <c r="AC1382" s="19">
        <v>118.87282965680392</v>
      </c>
      <c r="AD1382" s="19">
        <v>111.19388511882848</v>
      </c>
      <c r="AE1382" s="19">
        <v>97.010671536747623</v>
      </c>
      <c r="AF1382" s="19">
        <v>79.60832008156946</v>
      </c>
      <c r="AG1382" s="19">
        <v>14.265149652738137</v>
      </c>
      <c r="AH1382" s="19">
        <v>0</v>
      </c>
      <c r="AI1382" s="19">
        <v>0</v>
      </c>
      <c r="AJ1382" s="19">
        <v>0</v>
      </c>
      <c r="AK1382" s="19">
        <v>0</v>
      </c>
      <c r="AL1382" s="19">
        <v>0</v>
      </c>
      <c r="AM1382" s="19">
        <v>0</v>
      </c>
      <c r="AN1382" s="19">
        <v>0</v>
      </c>
      <c r="AO1382" s="19">
        <v>0</v>
      </c>
      <c r="AP1382" s="19">
        <v>0</v>
      </c>
      <c r="AQ1382" s="19">
        <v>0</v>
      </c>
      <c r="AR1382" s="19">
        <v>1067.322186207339</v>
      </c>
    </row>
    <row r="1383" spans="1:44" x14ac:dyDescent="0.25">
      <c r="A1383" t="s">
        <v>435</v>
      </c>
      <c r="B1383" t="s">
        <v>473</v>
      </c>
      <c r="C1383" t="s">
        <v>46</v>
      </c>
      <c r="D1383" t="s">
        <v>417</v>
      </c>
      <c r="E1383" t="s">
        <v>134</v>
      </c>
      <c r="F1383" t="s">
        <v>417</v>
      </c>
      <c r="G1383" t="s">
        <v>33</v>
      </c>
      <c r="H1383" t="s">
        <v>454</v>
      </c>
      <c r="I1383" t="s">
        <v>135</v>
      </c>
      <c r="J1383" t="s">
        <v>39</v>
      </c>
      <c r="K1383" t="s">
        <v>31</v>
      </c>
      <c r="L1383">
        <v>3.0101591572287867E-2</v>
      </c>
      <c r="M1383">
        <v>1</v>
      </c>
      <c r="N1383" s="2">
        <v>3.1960600759959026</v>
      </c>
      <c r="O1383" s="2">
        <v>2.8779545327574696</v>
      </c>
      <c r="P1383" s="1">
        <v>-0.57900269369997159</v>
      </c>
      <c r="Q1383" s="1">
        <v>0.48774336622694031</v>
      </c>
      <c r="R1383" s="1">
        <v>-0.52509153328775182</v>
      </c>
      <c r="S1383" s="19">
        <v>0.64881904255774947</v>
      </c>
      <c r="T1383" s="19">
        <v>1.0472575310654919</v>
      </c>
      <c r="U1383" s="19">
        <v>1.5773371915121579</v>
      </c>
      <c r="V1383" s="19">
        <v>2.2416695979560761</v>
      </c>
      <c r="W1383" s="19">
        <v>3.0257806337079804</v>
      </c>
      <c r="X1383" s="19">
        <v>3.8922676429057752</v>
      </c>
      <c r="Y1383" s="19">
        <v>4.7769547076667749</v>
      </c>
      <c r="Z1383" s="19">
        <v>5.5897407418408553</v>
      </c>
      <c r="AA1383" s="19">
        <v>6.2229829056223398</v>
      </c>
      <c r="AB1383" s="19">
        <v>6.5690508061617976</v>
      </c>
      <c r="AC1383" s="19">
        <v>6.545626343164118</v>
      </c>
      <c r="AD1383" s="19">
        <v>6.1227921109801686</v>
      </c>
      <c r="AE1383" s="19">
        <v>5.3418061049969436</v>
      </c>
      <c r="AF1383" s="19">
        <v>4.3835611431593184</v>
      </c>
      <c r="AG1383" s="19">
        <v>0.78549774263571648</v>
      </c>
      <c r="AH1383" s="19">
        <v>0</v>
      </c>
      <c r="AI1383" s="19">
        <v>0</v>
      </c>
      <c r="AJ1383" s="19">
        <v>0</v>
      </c>
      <c r="AK1383" s="19">
        <v>0</v>
      </c>
      <c r="AL1383" s="19">
        <v>0</v>
      </c>
      <c r="AM1383" s="19">
        <v>0</v>
      </c>
      <c r="AN1383" s="19">
        <v>0</v>
      </c>
      <c r="AO1383" s="19">
        <v>0</v>
      </c>
      <c r="AP1383" s="19">
        <v>0</v>
      </c>
      <c r="AQ1383" s="19">
        <v>0</v>
      </c>
      <c r="AR1383" s="19">
        <v>58.771144245933264</v>
      </c>
    </row>
    <row r="1384" spans="1:44" x14ac:dyDescent="0.25">
      <c r="A1384" t="s">
        <v>435</v>
      </c>
      <c r="B1384" t="s">
        <v>473</v>
      </c>
      <c r="C1384" t="s">
        <v>46</v>
      </c>
      <c r="D1384" t="s">
        <v>417</v>
      </c>
      <c r="E1384" t="s">
        <v>134</v>
      </c>
      <c r="F1384" t="s">
        <v>417</v>
      </c>
      <c r="G1384" t="s">
        <v>33</v>
      </c>
      <c r="H1384" t="s">
        <v>455</v>
      </c>
      <c r="I1384" t="s">
        <v>135</v>
      </c>
      <c r="J1384" t="s">
        <v>39</v>
      </c>
      <c r="K1384" t="s">
        <v>31</v>
      </c>
      <c r="L1384">
        <v>3.0101591572287867E-2</v>
      </c>
      <c r="M1384">
        <v>1</v>
      </c>
      <c r="N1384" s="2">
        <v>3.1960600759959026</v>
      </c>
      <c r="O1384" s="2">
        <v>2.8779545327574696</v>
      </c>
      <c r="P1384" s="1">
        <v>-0.57900269369997159</v>
      </c>
      <c r="Q1384" s="1">
        <v>0.48774336622694031</v>
      </c>
      <c r="R1384" s="1">
        <v>-0.52509153328775182</v>
      </c>
      <c r="S1384" s="19">
        <v>0.15287138346397683</v>
      </c>
      <c r="T1384" s="19">
        <v>0.24674939715999605</v>
      </c>
      <c r="U1384" s="19">
        <v>0.37164402219927922</v>
      </c>
      <c r="V1384" s="19">
        <v>0.52817058413969198</v>
      </c>
      <c r="W1384" s="19">
        <v>0.71291876654849706</v>
      </c>
      <c r="X1384" s="19">
        <v>0.91707594930849679</v>
      </c>
      <c r="Y1384" s="19">
        <v>1.125521334927186</v>
      </c>
      <c r="Z1384" s="19">
        <v>1.3170257719957574</v>
      </c>
      <c r="AA1384" s="19">
        <v>1.4662270119337499</v>
      </c>
      <c r="AB1384" s="19">
        <v>1.5477657388480914</v>
      </c>
      <c r="AC1384" s="19">
        <v>1.5422465881597278</v>
      </c>
      <c r="AD1384" s="19">
        <v>1.4426205756508008</v>
      </c>
      <c r="AE1384" s="19">
        <v>1.2586086965758505</v>
      </c>
      <c r="AF1384" s="19">
        <v>1.0328319801033756</v>
      </c>
      <c r="AG1384" s="19">
        <v>0.18507491110491844</v>
      </c>
      <c r="AH1384" s="19">
        <v>0</v>
      </c>
      <c r="AI1384" s="19">
        <v>0</v>
      </c>
      <c r="AJ1384" s="19">
        <v>0</v>
      </c>
      <c r="AK1384" s="19">
        <v>0</v>
      </c>
      <c r="AL1384" s="19">
        <v>0</v>
      </c>
      <c r="AM1384" s="19">
        <v>0</v>
      </c>
      <c r="AN1384" s="19">
        <v>0</v>
      </c>
      <c r="AO1384" s="19">
        <v>0</v>
      </c>
      <c r="AP1384" s="19">
        <v>0</v>
      </c>
      <c r="AQ1384" s="19">
        <v>0</v>
      </c>
      <c r="AR1384" s="19">
        <v>13.847352712119395</v>
      </c>
    </row>
    <row r="1385" spans="1:44" x14ac:dyDescent="0.25">
      <c r="A1385" t="s">
        <v>435</v>
      </c>
      <c r="B1385" t="s">
        <v>473</v>
      </c>
      <c r="C1385" t="s">
        <v>46</v>
      </c>
      <c r="D1385" t="s">
        <v>417</v>
      </c>
      <c r="E1385" t="s">
        <v>134</v>
      </c>
      <c r="F1385" t="s">
        <v>417</v>
      </c>
      <c r="G1385" t="s">
        <v>33</v>
      </c>
      <c r="H1385" t="s">
        <v>456</v>
      </c>
      <c r="I1385" t="s">
        <v>135</v>
      </c>
      <c r="J1385" t="s">
        <v>39</v>
      </c>
      <c r="K1385" t="s">
        <v>31</v>
      </c>
      <c r="L1385">
        <v>3.0101591572287867E-2</v>
      </c>
      <c r="M1385">
        <v>1</v>
      </c>
      <c r="N1385" s="2">
        <v>3.1960600759959026</v>
      </c>
      <c r="O1385" s="2">
        <v>2.8779545327574696</v>
      </c>
      <c r="P1385" s="1">
        <v>-0.57900269369997159</v>
      </c>
      <c r="Q1385" s="1">
        <v>0.48774336622694031</v>
      </c>
      <c r="R1385" s="1">
        <v>-0.52509153328775182</v>
      </c>
      <c r="S1385" s="19">
        <v>27.555428878747268</v>
      </c>
      <c r="T1385" s="19">
        <v>44.477163156688789</v>
      </c>
      <c r="U1385" s="19">
        <v>66.989715078603936</v>
      </c>
      <c r="V1385" s="19">
        <v>95.203998533428788</v>
      </c>
      <c r="W1385" s="19">
        <v>128.50529590831175</v>
      </c>
      <c r="X1385" s="19">
        <v>165.30511155827105</v>
      </c>
      <c r="Y1385" s="19">
        <v>202.877885928252</v>
      </c>
      <c r="Z1385" s="19">
        <v>237.39701420480765</v>
      </c>
      <c r="AA1385" s="19">
        <v>264.29089102185804</v>
      </c>
      <c r="AB1385" s="19">
        <v>278.98843963716956</v>
      </c>
      <c r="AC1385" s="19">
        <v>277.99359965588474</v>
      </c>
      <c r="AD1385" s="19">
        <v>260.03577498028204</v>
      </c>
      <c r="AE1385" s="19">
        <v>226.86719802494051</v>
      </c>
      <c r="AF1385" s="19">
        <v>186.17041022684751</v>
      </c>
      <c r="AG1385" s="19">
        <v>33.360190996072177</v>
      </c>
      <c r="AH1385" s="19">
        <v>0</v>
      </c>
      <c r="AI1385" s="19">
        <v>0</v>
      </c>
      <c r="AJ1385" s="19">
        <v>0</v>
      </c>
      <c r="AK1385" s="19">
        <v>0</v>
      </c>
      <c r="AL1385" s="19">
        <v>0</v>
      </c>
      <c r="AM1385" s="19">
        <v>0</v>
      </c>
      <c r="AN1385" s="19">
        <v>0</v>
      </c>
      <c r="AO1385" s="19">
        <v>0</v>
      </c>
      <c r="AP1385" s="19">
        <v>0</v>
      </c>
      <c r="AQ1385" s="19">
        <v>0</v>
      </c>
      <c r="AR1385" s="19">
        <v>2496.0181177901659</v>
      </c>
    </row>
    <row r="1386" spans="1:44" x14ac:dyDescent="0.25">
      <c r="A1386" t="s">
        <v>435</v>
      </c>
      <c r="B1386" t="s">
        <v>473</v>
      </c>
      <c r="C1386" t="s">
        <v>46</v>
      </c>
      <c r="D1386" t="s">
        <v>417</v>
      </c>
      <c r="E1386" t="s">
        <v>134</v>
      </c>
      <c r="F1386" t="s">
        <v>417</v>
      </c>
      <c r="G1386" t="s">
        <v>33</v>
      </c>
      <c r="H1386" t="s">
        <v>457</v>
      </c>
      <c r="I1386" t="s">
        <v>135</v>
      </c>
      <c r="J1386" t="s">
        <v>39</v>
      </c>
      <c r="K1386" t="s">
        <v>31</v>
      </c>
      <c r="L1386">
        <v>3.0101591572287867E-2</v>
      </c>
      <c r="M1386">
        <v>1</v>
      </c>
      <c r="N1386" s="2">
        <v>3.1960600759959026</v>
      </c>
      <c r="O1386" s="2">
        <v>2.8779545327574696</v>
      </c>
      <c r="P1386" s="1">
        <v>-0.57900269369997159</v>
      </c>
      <c r="Q1386" s="1">
        <v>0.48774336622694031</v>
      </c>
      <c r="R1386" s="1">
        <v>-0.52509153328775182</v>
      </c>
      <c r="S1386" s="19">
        <v>10.187212464793022</v>
      </c>
      <c r="T1386" s="19">
        <v>16.443159455156039</v>
      </c>
      <c r="U1386" s="19">
        <v>24.766025724536359</v>
      </c>
      <c r="V1386" s="19">
        <v>35.196816018563624</v>
      </c>
      <c r="W1386" s="19">
        <v>47.508269895909685</v>
      </c>
      <c r="X1386" s="19">
        <v>61.113122222504785</v>
      </c>
      <c r="Y1386" s="19">
        <v>75.003736557814207</v>
      </c>
      <c r="Z1386" s="19">
        <v>87.765421211684256</v>
      </c>
      <c r="AA1386" s="19">
        <v>97.708058589706411</v>
      </c>
      <c r="AB1386" s="19">
        <v>103.14172652914044</v>
      </c>
      <c r="AC1386" s="19">
        <v>102.77393525641467</v>
      </c>
      <c r="AD1386" s="19">
        <v>96.134946758690205</v>
      </c>
      <c r="AE1386" s="19">
        <v>83.872559477920589</v>
      </c>
      <c r="AF1386" s="19">
        <v>68.827000733105393</v>
      </c>
      <c r="AG1386" s="19">
        <v>12.333226785854167</v>
      </c>
      <c r="AH1386" s="19">
        <v>0</v>
      </c>
      <c r="AI1386" s="19">
        <v>0</v>
      </c>
      <c r="AJ1386" s="19">
        <v>0</v>
      </c>
      <c r="AK1386" s="19">
        <v>0</v>
      </c>
      <c r="AL1386" s="19">
        <v>0</v>
      </c>
      <c r="AM1386" s="19">
        <v>0</v>
      </c>
      <c r="AN1386" s="19">
        <v>0</v>
      </c>
      <c r="AO1386" s="19">
        <v>0</v>
      </c>
      <c r="AP1386" s="19">
        <v>0</v>
      </c>
      <c r="AQ1386" s="19">
        <v>0</v>
      </c>
      <c r="AR1386" s="19">
        <v>922.77521768179372</v>
      </c>
    </row>
    <row r="1387" spans="1:44" x14ac:dyDescent="0.25">
      <c r="A1387" t="s">
        <v>435</v>
      </c>
      <c r="B1387" t="s">
        <v>473</v>
      </c>
      <c r="C1387" t="s">
        <v>46</v>
      </c>
      <c r="D1387" t="s">
        <v>417</v>
      </c>
      <c r="E1387" t="s">
        <v>134</v>
      </c>
      <c r="F1387" t="s">
        <v>417</v>
      </c>
      <c r="G1387" t="s">
        <v>33</v>
      </c>
      <c r="H1387" t="s">
        <v>450</v>
      </c>
      <c r="I1387" t="s">
        <v>135</v>
      </c>
      <c r="J1387" t="s">
        <v>39</v>
      </c>
      <c r="K1387" t="s">
        <v>33</v>
      </c>
      <c r="L1387">
        <v>3.0101591572287867E-2</v>
      </c>
      <c r="M1387">
        <v>1</v>
      </c>
      <c r="N1387" s="2">
        <v>3.1960600759959026</v>
      </c>
      <c r="O1387" s="2">
        <v>2.8779545327574696</v>
      </c>
      <c r="P1387" s="1">
        <v>-0.57900269369997159</v>
      </c>
      <c r="Q1387" s="1">
        <v>0.48774336622694031</v>
      </c>
      <c r="R1387" s="1">
        <v>-0.52509153328775182</v>
      </c>
      <c r="S1387" s="19">
        <v>4.0063421326643391</v>
      </c>
      <c r="T1387" s="19">
        <v>6.4621211962630358</v>
      </c>
      <c r="U1387" s="19">
        <v>9.7262025688886027</v>
      </c>
      <c r="V1387" s="19">
        <v>13.812984641683476</v>
      </c>
      <c r="W1387" s="19">
        <v>18.631616058806831</v>
      </c>
      <c r="X1387" s="19">
        <v>23.950409499812185</v>
      </c>
      <c r="Y1387" s="19">
        <v>29.373691622492007</v>
      </c>
      <c r="Z1387" s="19">
        <v>34.347587064308897</v>
      </c>
      <c r="AA1387" s="19">
        <v>38.212049873273891</v>
      </c>
      <c r="AB1387" s="19">
        <v>40.308952173782323</v>
      </c>
      <c r="AC1387" s="19">
        <v>40.137217165086774</v>
      </c>
      <c r="AD1387" s="19">
        <v>37.518262907040814</v>
      </c>
      <c r="AE1387" s="19">
        <v>32.709845189621184</v>
      </c>
      <c r="AF1387" s="19">
        <v>26.823447640699175</v>
      </c>
      <c r="AG1387" s="19">
        <v>0.85781303036055778</v>
      </c>
      <c r="AH1387" s="19">
        <v>0</v>
      </c>
      <c r="AI1387" s="19">
        <v>0</v>
      </c>
      <c r="AJ1387" s="19">
        <v>0</v>
      </c>
      <c r="AK1387" s="19">
        <v>0</v>
      </c>
      <c r="AL1387" s="19">
        <v>0</v>
      </c>
      <c r="AM1387" s="19">
        <v>0</v>
      </c>
      <c r="AN1387" s="19">
        <v>0</v>
      </c>
      <c r="AO1387" s="19">
        <v>0</v>
      </c>
      <c r="AP1387" s="19">
        <v>0</v>
      </c>
      <c r="AQ1387" s="19">
        <v>0</v>
      </c>
      <c r="AR1387" s="19">
        <v>356.87854276478407</v>
      </c>
    </row>
    <row r="1388" spans="1:44" x14ac:dyDescent="0.25">
      <c r="A1388" t="s">
        <v>435</v>
      </c>
      <c r="B1388" t="s">
        <v>473</v>
      </c>
      <c r="C1388" t="s">
        <v>46</v>
      </c>
      <c r="D1388" t="s">
        <v>417</v>
      </c>
      <c r="E1388" t="s">
        <v>134</v>
      </c>
      <c r="F1388" t="s">
        <v>417</v>
      </c>
      <c r="G1388" t="s">
        <v>33</v>
      </c>
      <c r="H1388" t="s">
        <v>451</v>
      </c>
      <c r="I1388" t="s">
        <v>135</v>
      </c>
      <c r="J1388" t="s">
        <v>39</v>
      </c>
      <c r="K1388" t="s">
        <v>33</v>
      </c>
      <c r="L1388">
        <v>3.0101591572287867E-2</v>
      </c>
      <c r="M1388">
        <v>1</v>
      </c>
      <c r="N1388" s="2">
        <v>3.1960600759959026</v>
      </c>
      <c r="O1388" s="2">
        <v>2.8779545327574696</v>
      </c>
      <c r="P1388" s="1">
        <v>-0.57900269369997159</v>
      </c>
      <c r="Q1388" s="1">
        <v>0.48774336622694031</v>
      </c>
      <c r="R1388" s="1">
        <v>-0.52509153328775182</v>
      </c>
      <c r="S1388" s="19">
        <v>7.6629625320618322</v>
      </c>
      <c r="T1388" s="19">
        <v>12.368772640115839</v>
      </c>
      <c r="U1388" s="19">
        <v>18.62934810195474</v>
      </c>
      <c r="V1388" s="19">
        <v>26.475533256055098</v>
      </c>
      <c r="W1388" s="19">
        <v>35.73637964591461</v>
      </c>
      <c r="X1388" s="19">
        <v>45.970138291199781</v>
      </c>
      <c r="Y1388" s="19">
        <v>56.418851083503327</v>
      </c>
      <c r="Z1388" s="19">
        <v>66.018367309022793</v>
      </c>
      <c r="AA1388" s="19">
        <v>73.497357068093166</v>
      </c>
      <c r="AB1388" s="19">
        <v>77.584637467461434</v>
      </c>
      <c r="AC1388" s="19">
        <v>77.307979770151491</v>
      </c>
      <c r="AD1388" s="19">
        <v>72.314040526744762</v>
      </c>
      <c r="AE1388" s="19">
        <v>63.090102711477222</v>
      </c>
      <c r="AF1388" s="19">
        <v>51.772624713064189</v>
      </c>
      <c r="AG1388" s="19">
        <v>9.2772242736707149</v>
      </c>
      <c r="AH1388" s="19">
        <v>0</v>
      </c>
      <c r="AI1388" s="19">
        <v>0</v>
      </c>
      <c r="AJ1388" s="19">
        <v>0</v>
      </c>
      <c r="AK1388" s="19">
        <v>0</v>
      </c>
      <c r="AL1388" s="19">
        <v>0</v>
      </c>
      <c r="AM1388" s="19">
        <v>0</v>
      </c>
      <c r="AN1388" s="19">
        <v>0</v>
      </c>
      <c r="AO1388" s="19">
        <v>0</v>
      </c>
      <c r="AP1388" s="19">
        <v>0</v>
      </c>
      <c r="AQ1388" s="19">
        <v>0</v>
      </c>
      <c r="AR1388" s="19">
        <v>694.124319390491</v>
      </c>
    </row>
    <row r="1389" spans="1:44" x14ac:dyDescent="0.25">
      <c r="A1389" t="s">
        <v>435</v>
      </c>
      <c r="B1389" t="s">
        <v>473</v>
      </c>
      <c r="C1389" t="s">
        <v>46</v>
      </c>
      <c r="D1389" t="s">
        <v>417</v>
      </c>
      <c r="E1389" t="s">
        <v>134</v>
      </c>
      <c r="F1389" t="s">
        <v>417</v>
      </c>
      <c r="G1389" t="s">
        <v>33</v>
      </c>
      <c r="H1389" t="s">
        <v>452</v>
      </c>
      <c r="I1389" t="s">
        <v>135</v>
      </c>
      <c r="J1389" t="s">
        <v>39</v>
      </c>
      <c r="K1389" t="s">
        <v>33</v>
      </c>
      <c r="L1389">
        <v>3.0101591572287867E-2</v>
      </c>
      <c r="M1389">
        <v>1</v>
      </c>
      <c r="N1389" s="2">
        <v>3.1960600759959026</v>
      </c>
      <c r="O1389" s="2">
        <v>2.8779545327574696</v>
      </c>
      <c r="P1389" s="1">
        <v>-0.57900269369997159</v>
      </c>
      <c r="Q1389" s="1">
        <v>0.48774336622694031</v>
      </c>
      <c r="R1389" s="1">
        <v>-0.52509153328775182</v>
      </c>
      <c r="S1389" s="19">
        <v>76.187596370725984</v>
      </c>
      <c r="T1389" s="19">
        <v>122.97424834894404</v>
      </c>
      <c r="U1389" s="19">
        <v>185.21886906050011</v>
      </c>
      <c r="V1389" s="19">
        <v>263.22812267089694</v>
      </c>
      <c r="W1389" s="19">
        <v>355.30238557507295</v>
      </c>
      <c r="X1389" s="19">
        <v>457.04964973827504</v>
      </c>
      <c r="Y1389" s="19">
        <v>560.93405599537721</v>
      </c>
      <c r="Z1389" s="19">
        <v>656.37548148637825</v>
      </c>
      <c r="AA1389" s="19">
        <v>730.73396237947668</v>
      </c>
      <c r="AB1389" s="19">
        <v>771.37099642709859</v>
      </c>
      <c r="AC1389" s="19">
        <v>768.62037812675919</v>
      </c>
      <c r="AD1389" s="19">
        <v>718.96905518413871</v>
      </c>
      <c r="AE1389" s="19">
        <v>627.26174899831665</v>
      </c>
      <c r="AF1389" s="19">
        <v>514.73980437572379</v>
      </c>
      <c r="AG1389" s="19">
        <v>92.237097003391895</v>
      </c>
      <c r="AH1389" s="19">
        <v>0</v>
      </c>
      <c r="AI1389" s="19">
        <v>0</v>
      </c>
      <c r="AJ1389" s="19">
        <v>0</v>
      </c>
      <c r="AK1389" s="19">
        <v>0</v>
      </c>
      <c r="AL1389" s="19">
        <v>0</v>
      </c>
      <c r="AM1389" s="19">
        <v>0</v>
      </c>
      <c r="AN1389" s="19">
        <v>0</v>
      </c>
      <c r="AO1389" s="19">
        <v>0</v>
      </c>
      <c r="AP1389" s="19">
        <v>0</v>
      </c>
      <c r="AQ1389" s="19">
        <v>0</v>
      </c>
      <c r="AR1389" s="19">
        <v>6901.2034517410757</v>
      </c>
    </row>
    <row r="1390" spans="1:44" x14ac:dyDescent="0.25">
      <c r="A1390" t="s">
        <v>435</v>
      </c>
      <c r="B1390" t="s">
        <v>473</v>
      </c>
      <c r="C1390" t="s">
        <v>46</v>
      </c>
      <c r="D1390" t="s">
        <v>417</v>
      </c>
      <c r="E1390" t="s">
        <v>134</v>
      </c>
      <c r="F1390" t="s">
        <v>417</v>
      </c>
      <c r="G1390" t="s">
        <v>33</v>
      </c>
      <c r="H1390" t="s">
        <v>453</v>
      </c>
      <c r="I1390" t="s">
        <v>135</v>
      </c>
      <c r="J1390" t="s">
        <v>39</v>
      </c>
      <c r="K1390" t="s">
        <v>33</v>
      </c>
      <c r="L1390">
        <v>3.0101591572287867E-2</v>
      </c>
      <c r="M1390">
        <v>1</v>
      </c>
      <c r="N1390" s="2">
        <v>3.1960600759959026</v>
      </c>
      <c r="O1390" s="2">
        <v>2.8779545327574696</v>
      </c>
      <c r="P1390" s="1">
        <v>-0.57900269369997159</v>
      </c>
      <c r="Q1390" s="1">
        <v>0.48774336622694031</v>
      </c>
      <c r="R1390" s="1">
        <v>-0.52509153328775182</v>
      </c>
      <c r="S1390" s="19">
        <v>10.721140077884073</v>
      </c>
      <c r="T1390" s="19">
        <v>17.304970957557579</v>
      </c>
      <c r="U1390" s="19">
        <v>26.064051562963975</v>
      </c>
      <c r="V1390" s="19">
        <v>37.041535762079661</v>
      </c>
      <c r="W1390" s="19">
        <v>49.998252041199478</v>
      </c>
      <c r="X1390" s="19">
        <v>64.316155789299685</v>
      </c>
      <c r="Y1390" s="19">
        <v>78.934798776416585</v>
      </c>
      <c r="Z1390" s="19">
        <v>92.365343125695006</v>
      </c>
      <c r="AA1390" s="19">
        <v>102.82908955699584</v>
      </c>
      <c r="AB1390" s="19">
        <v>108.54754446472543</v>
      </c>
      <c r="AC1390" s="19">
        <v>108.16047668068308</v>
      </c>
      <c r="AD1390" s="19">
        <v>101.17352849386999</v>
      </c>
      <c r="AE1390" s="19">
        <v>88.268450467791354</v>
      </c>
      <c r="AF1390" s="19">
        <v>72.434330642503639</v>
      </c>
      <c r="AG1390" s="19">
        <v>12.979630339548477</v>
      </c>
      <c r="AH1390" s="19">
        <v>0</v>
      </c>
      <c r="AI1390" s="19">
        <v>0</v>
      </c>
      <c r="AJ1390" s="19">
        <v>0</v>
      </c>
      <c r="AK1390" s="19">
        <v>0</v>
      </c>
      <c r="AL1390" s="19">
        <v>0</v>
      </c>
      <c r="AM1390" s="19">
        <v>0</v>
      </c>
      <c r="AN1390" s="19">
        <v>0</v>
      </c>
      <c r="AO1390" s="19">
        <v>0</v>
      </c>
      <c r="AP1390" s="19">
        <v>0</v>
      </c>
      <c r="AQ1390" s="19">
        <v>0</v>
      </c>
      <c r="AR1390" s="19">
        <v>971.13929873921381</v>
      </c>
    </row>
    <row r="1391" spans="1:44" x14ac:dyDescent="0.25">
      <c r="A1391" t="s">
        <v>435</v>
      </c>
      <c r="B1391" t="s">
        <v>473</v>
      </c>
      <c r="C1391" t="s">
        <v>46</v>
      </c>
      <c r="D1391" t="s">
        <v>417</v>
      </c>
      <c r="E1391" t="s">
        <v>134</v>
      </c>
      <c r="F1391" t="s">
        <v>417</v>
      </c>
      <c r="G1391" t="s">
        <v>33</v>
      </c>
      <c r="H1391" t="s">
        <v>454</v>
      </c>
      <c r="I1391" t="s">
        <v>135</v>
      </c>
      <c r="J1391" t="s">
        <v>39</v>
      </c>
      <c r="K1391" t="s">
        <v>33</v>
      </c>
      <c r="L1391">
        <v>3.0101591572287867E-2</v>
      </c>
      <c r="M1391">
        <v>1</v>
      </c>
      <c r="N1391" s="2">
        <v>3.1960600759959026</v>
      </c>
      <c r="O1391" s="2">
        <v>2.8779545327574696</v>
      </c>
      <c r="P1391" s="1">
        <v>-0.57900269369997159</v>
      </c>
      <c r="Q1391" s="1">
        <v>0.48774336622694031</v>
      </c>
      <c r="R1391" s="1">
        <v>-0.52509153328775182</v>
      </c>
      <c r="S1391" s="19">
        <v>5.206775531596179</v>
      </c>
      <c r="T1391" s="19">
        <v>8.4042460691900676</v>
      </c>
      <c r="U1391" s="19">
        <v>12.658137562463944</v>
      </c>
      <c r="V1391" s="19">
        <v>17.989407904164374</v>
      </c>
      <c r="W1391" s="19">
        <v>24.281902247291121</v>
      </c>
      <c r="X1391" s="19">
        <v>31.235464122034447</v>
      </c>
      <c r="Y1391" s="19">
        <v>38.335081518833057</v>
      </c>
      <c r="Z1391" s="19">
        <v>44.857692844292146</v>
      </c>
      <c r="AA1391" s="19">
        <v>49.939463858525265</v>
      </c>
      <c r="AB1391" s="19">
        <v>52.71666020852193</v>
      </c>
      <c r="AC1391" s="19">
        <v>52.528678794942742</v>
      </c>
      <c r="AD1391" s="19">
        <v>49.135432312260043</v>
      </c>
      <c r="AE1391" s="19">
        <v>42.868016346104035</v>
      </c>
      <c r="AF1391" s="19">
        <v>35.178096517452616</v>
      </c>
      <c r="AG1391" s="19">
        <v>6.3036226716721622</v>
      </c>
      <c r="AH1391" s="19">
        <v>0</v>
      </c>
      <c r="AI1391" s="19">
        <v>0</v>
      </c>
      <c r="AJ1391" s="19">
        <v>0</v>
      </c>
      <c r="AK1391" s="19">
        <v>0</v>
      </c>
      <c r="AL1391" s="19">
        <v>0</v>
      </c>
      <c r="AM1391" s="19">
        <v>0</v>
      </c>
      <c r="AN1391" s="19">
        <v>0</v>
      </c>
      <c r="AO1391" s="19">
        <v>0</v>
      </c>
      <c r="AP1391" s="19">
        <v>0</v>
      </c>
      <c r="AQ1391" s="19">
        <v>0</v>
      </c>
      <c r="AR1391" s="19">
        <v>471.63867850934406</v>
      </c>
    </row>
    <row r="1392" spans="1:44" x14ac:dyDescent="0.25">
      <c r="A1392" t="s">
        <v>435</v>
      </c>
      <c r="B1392" t="s">
        <v>473</v>
      </c>
      <c r="C1392" t="s">
        <v>46</v>
      </c>
      <c r="D1392" t="s">
        <v>417</v>
      </c>
      <c r="E1392" t="s">
        <v>134</v>
      </c>
      <c r="F1392" t="s">
        <v>417</v>
      </c>
      <c r="G1392" t="s">
        <v>33</v>
      </c>
      <c r="H1392" t="s">
        <v>455</v>
      </c>
      <c r="I1392" t="s">
        <v>135</v>
      </c>
      <c r="J1392" t="s">
        <v>39</v>
      </c>
      <c r="K1392" t="s">
        <v>33</v>
      </c>
      <c r="L1392">
        <v>3.0101591572287867E-2</v>
      </c>
      <c r="M1392">
        <v>1</v>
      </c>
      <c r="N1392" s="2">
        <v>3.1960600759959026</v>
      </c>
      <c r="O1392" s="2">
        <v>2.8779545327574696</v>
      </c>
      <c r="P1392" s="1">
        <v>-0.57900269369997159</v>
      </c>
      <c r="Q1392" s="1">
        <v>0.48774336622694031</v>
      </c>
      <c r="R1392" s="1">
        <v>-0.52509153328775182</v>
      </c>
      <c r="S1392" s="19">
        <v>3.88687387050597</v>
      </c>
      <c r="T1392" s="19">
        <v>6.2737954131898777</v>
      </c>
      <c r="U1392" s="19">
        <v>9.4493384326342209</v>
      </c>
      <c r="V1392" s="19">
        <v>13.429148059919299</v>
      </c>
      <c r="W1392" s="19">
        <v>18.126514346248943</v>
      </c>
      <c r="X1392" s="19">
        <v>23.317369568233289</v>
      </c>
      <c r="Y1392" s="19">
        <v>28.617255684458197</v>
      </c>
      <c r="Z1392" s="19">
        <v>33.486405002408766</v>
      </c>
      <c r="AA1392" s="19">
        <v>37.279962618106886</v>
      </c>
      <c r="AB1392" s="19">
        <v>39.353148193433071</v>
      </c>
      <c r="AC1392" s="19">
        <v>39.212819492849043</v>
      </c>
      <c r="AD1392" s="19">
        <v>36.679750607952741</v>
      </c>
      <c r="AE1392" s="19">
        <v>32.001105406788135</v>
      </c>
      <c r="AF1392" s="19">
        <v>26.260556718470095</v>
      </c>
      <c r="AG1392" s="19">
        <v>4.705673617648868</v>
      </c>
      <c r="AH1392" s="19">
        <v>0</v>
      </c>
      <c r="AI1392" s="19">
        <v>0</v>
      </c>
      <c r="AJ1392" s="19">
        <v>0</v>
      </c>
      <c r="AK1392" s="19">
        <v>0</v>
      </c>
      <c r="AL1392" s="19">
        <v>0</v>
      </c>
      <c r="AM1392" s="19">
        <v>0</v>
      </c>
      <c r="AN1392" s="19">
        <v>0</v>
      </c>
      <c r="AO1392" s="19">
        <v>0</v>
      </c>
      <c r="AP1392" s="19">
        <v>0</v>
      </c>
      <c r="AQ1392" s="19">
        <v>0</v>
      </c>
      <c r="AR1392" s="19">
        <v>352.07971703284738</v>
      </c>
    </row>
    <row r="1393" spans="1:44" x14ac:dyDescent="0.25">
      <c r="A1393" t="s">
        <v>435</v>
      </c>
      <c r="B1393" t="s">
        <v>473</v>
      </c>
      <c r="C1393" t="s">
        <v>46</v>
      </c>
      <c r="D1393" t="s">
        <v>417</v>
      </c>
      <c r="E1393" t="s">
        <v>134</v>
      </c>
      <c r="F1393" t="s">
        <v>417</v>
      </c>
      <c r="G1393" t="s">
        <v>33</v>
      </c>
      <c r="H1393" t="s">
        <v>456</v>
      </c>
      <c r="I1393" t="s">
        <v>135</v>
      </c>
      <c r="J1393" t="s">
        <v>39</v>
      </c>
      <c r="K1393" t="s">
        <v>33</v>
      </c>
      <c r="L1393">
        <v>3.0101591572287867E-2</v>
      </c>
      <c r="M1393">
        <v>1</v>
      </c>
      <c r="N1393" s="2">
        <v>3.1960600759959026</v>
      </c>
      <c r="O1393" s="2">
        <v>2.8779545327574696</v>
      </c>
      <c r="P1393" s="1">
        <v>-0.57900269369997159</v>
      </c>
      <c r="Q1393" s="1">
        <v>0.48774336622694031</v>
      </c>
      <c r="R1393" s="1">
        <v>-0.52509153328775182</v>
      </c>
      <c r="S1393" s="19">
        <v>25.441919943609424</v>
      </c>
      <c r="T1393" s="19">
        <v>41.065752572049071</v>
      </c>
      <c r="U1393" s="19">
        <v>61.851585601324516</v>
      </c>
      <c r="V1393" s="19">
        <v>87.901825794740489</v>
      </c>
      <c r="W1393" s="19">
        <v>118.64890454855956</v>
      </c>
      <c r="X1393" s="19">
        <v>152.6261642684386</v>
      </c>
      <c r="Y1393" s="19">
        <v>187.31709656300481</v>
      </c>
      <c r="Z1393" s="19">
        <v>219.18859825509671</v>
      </c>
      <c r="AA1393" s="19">
        <v>244.01970736116544</v>
      </c>
      <c r="AB1393" s="19">
        <v>257.58994997591452</v>
      </c>
      <c r="AC1393" s="19">
        <v>256.67141449341761</v>
      </c>
      <c r="AD1393" s="19">
        <v>240.09095988432824</v>
      </c>
      <c r="AE1393" s="19">
        <v>209.46642185755476</v>
      </c>
      <c r="AF1393" s="19">
        <v>171.89108881965311</v>
      </c>
      <c r="AG1393" s="19">
        <v>30.801455218147765</v>
      </c>
      <c r="AH1393" s="19">
        <v>0</v>
      </c>
      <c r="AI1393" s="19">
        <v>0</v>
      </c>
      <c r="AJ1393" s="19">
        <v>0</v>
      </c>
      <c r="AK1393" s="19">
        <v>0</v>
      </c>
      <c r="AL1393" s="19">
        <v>0</v>
      </c>
      <c r="AM1393" s="19">
        <v>0</v>
      </c>
      <c r="AN1393" s="19">
        <v>0</v>
      </c>
      <c r="AO1393" s="19">
        <v>0</v>
      </c>
      <c r="AP1393" s="19">
        <v>0</v>
      </c>
      <c r="AQ1393" s="19">
        <v>0</v>
      </c>
      <c r="AR1393" s="19">
        <v>2304.5728451570048</v>
      </c>
    </row>
    <row r="1394" spans="1:44" x14ac:dyDescent="0.25">
      <c r="A1394" t="s">
        <v>435</v>
      </c>
      <c r="B1394" t="s">
        <v>473</v>
      </c>
      <c r="C1394" t="s">
        <v>46</v>
      </c>
      <c r="D1394" t="s">
        <v>417</v>
      </c>
      <c r="E1394" t="s">
        <v>134</v>
      </c>
      <c r="F1394" t="s">
        <v>417</v>
      </c>
      <c r="G1394" t="s">
        <v>33</v>
      </c>
      <c r="H1394" t="s">
        <v>457</v>
      </c>
      <c r="I1394" t="s">
        <v>135</v>
      </c>
      <c r="J1394" t="s">
        <v>39</v>
      </c>
      <c r="K1394" t="s">
        <v>33</v>
      </c>
      <c r="L1394">
        <v>3.0101591572287867E-2</v>
      </c>
      <c r="M1394">
        <v>1</v>
      </c>
      <c r="N1394" s="2">
        <v>3.1960600759959026</v>
      </c>
      <c r="O1394" s="2">
        <v>2.8779545327574696</v>
      </c>
      <c r="P1394" s="1">
        <v>-0.57900269369997159</v>
      </c>
      <c r="Q1394" s="1">
        <v>0.48774336622694031</v>
      </c>
      <c r="R1394" s="1">
        <v>-0.52509153328775182</v>
      </c>
      <c r="S1394" s="19">
        <v>2.9807230563046483</v>
      </c>
      <c r="T1394" s="19">
        <v>4.8111791793745802</v>
      </c>
      <c r="U1394" s="19">
        <v>7.246404661263675</v>
      </c>
      <c r="V1394" s="19">
        <v>10.298397267910214</v>
      </c>
      <c r="W1394" s="19">
        <v>13.900661828079304</v>
      </c>
      <c r="X1394" s="19">
        <v>17.88136775206495</v>
      </c>
      <c r="Y1394" s="19">
        <v>21.945686088271735</v>
      </c>
      <c r="Z1394" s="19">
        <v>25.67968572914921</v>
      </c>
      <c r="AA1394" s="19">
        <v>28.588847442971307</v>
      </c>
      <c r="AB1394" s="19">
        <v>30.178709180257002</v>
      </c>
      <c r="AC1394" s="19">
        <v>30.071095450759351</v>
      </c>
      <c r="AD1394" s="19">
        <v>28.128563462337645</v>
      </c>
      <c r="AE1394" s="19">
        <v>24.540655521922524</v>
      </c>
      <c r="AF1394" s="19">
        <v>20.138406722199683</v>
      </c>
      <c r="AG1394" s="19">
        <v>3.6086351949837625</v>
      </c>
      <c r="AH1394" s="19">
        <v>0</v>
      </c>
      <c r="AI1394" s="19">
        <v>0</v>
      </c>
      <c r="AJ1394" s="19">
        <v>0</v>
      </c>
      <c r="AK1394" s="19">
        <v>0</v>
      </c>
      <c r="AL1394" s="19">
        <v>0</v>
      </c>
      <c r="AM1394" s="19">
        <v>0</v>
      </c>
      <c r="AN1394" s="19">
        <v>0</v>
      </c>
      <c r="AO1394" s="19">
        <v>0</v>
      </c>
      <c r="AP1394" s="19">
        <v>0</v>
      </c>
      <c r="AQ1394" s="19">
        <v>0</v>
      </c>
      <c r="AR1394" s="19">
        <v>269.99901853784962</v>
      </c>
    </row>
    <row r="1395" spans="1:44" x14ac:dyDescent="0.25">
      <c r="A1395" t="s">
        <v>435</v>
      </c>
      <c r="B1395" t="s">
        <v>473</v>
      </c>
      <c r="C1395" t="s">
        <v>46</v>
      </c>
      <c r="D1395" t="s">
        <v>417</v>
      </c>
      <c r="E1395" t="s">
        <v>134</v>
      </c>
      <c r="F1395" t="s">
        <v>417</v>
      </c>
      <c r="G1395" t="s">
        <v>33</v>
      </c>
      <c r="H1395" t="s">
        <v>457</v>
      </c>
      <c r="I1395" t="s">
        <v>256</v>
      </c>
      <c r="J1395" t="s">
        <v>39</v>
      </c>
      <c r="K1395" t="s">
        <v>33</v>
      </c>
      <c r="L1395">
        <v>3.0101591572287867E-2</v>
      </c>
      <c r="M1395">
        <v>1</v>
      </c>
      <c r="N1395" s="2">
        <v>2.9388016493259146</v>
      </c>
      <c r="O1395" s="2">
        <v>2.6463011728329877</v>
      </c>
      <c r="P1395" s="1">
        <v>-0.45352660268570494</v>
      </c>
      <c r="Q1395" s="1">
        <v>1.3498045353129324</v>
      </c>
      <c r="R1395" s="1">
        <v>-0.39961544227348528</v>
      </c>
      <c r="S1395" s="19">
        <v>8.1971884084676656</v>
      </c>
      <c r="T1395" s="19">
        <v>13.231065568742816</v>
      </c>
      <c r="U1395" s="19">
        <v>19.928099045208839</v>
      </c>
      <c r="V1395" s="19">
        <v>28.321283499234504</v>
      </c>
      <c r="W1395" s="19">
        <v>38.227752748162253</v>
      </c>
      <c r="X1395" s="19">
        <v>49.174961140634458</v>
      </c>
      <c r="Y1395" s="19">
        <v>60.352109277026699</v>
      </c>
      <c r="Z1395" s="19">
        <v>70.62085883719881</v>
      </c>
      <c r="AA1395" s="19">
        <v>78.621248752142691</v>
      </c>
      <c r="AB1395" s="19">
        <v>82.993475207860939</v>
      </c>
      <c r="AC1395" s="19">
        <v>82.69753023096537</v>
      </c>
      <c r="AD1395" s="19">
        <v>77.355436920790879</v>
      </c>
      <c r="AE1395" s="19">
        <v>67.488449339501827</v>
      </c>
      <c r="AF1395" s="19">
        <v>55.381969753633655</v>
      </c>
      <c r="AG1395" s="19">
        <v>9.9239889221316595</v>
      </c>
      <c r="AH1395" s="19">
        <v>0</v>
      </c>
      <c r="AI1395" s="19">
        <v>0</v>
      </c>
      <c r="AJ1395" s="19">
        <v>0</v>
      </c>
      <c r="AK1395" s="19">
        <v>0</v>
      </c>
      <c r="AL1395" s="19">
        <v>0</v>
      </c>
      <c r="AM1395" s="19">
        <v>0</v>
      </c>
      <c r="AN1395" s="19">
        <v>0</v>
      </c>
      <c r="AO1395" s="19">
        <v>0</v>
      </c>
      <c r="AP1395" s="19">
        <v>0</v>
      </c>
      <c r="AQ1395" s="19">
        <v>0</v>
      </c>
      <c r="AR1395" s="19">
        <v>742.51541765170305</v>
      </c>
    </row>
    <row r="1396" spans="1:44" x14ac:dyDescent="0.25">
      <c r="A1396" t="s">
        <v>435</v>
      </c>
      <c r="B1396" t="s">
        <v>473</v>
      </c>
      <c r="C1396" t="s">
        <v>46</v>
      </c>
      <c r="D1396" t="s">
        <v>417</v>
      </c>
      <c r="E1396" t="s">
        <v>134</v>
      </c>
      <c r="F1396" t="s">
        <v>417</v>
      </c>
      <c r="G1396" t="s">
        <v>33</v>
      </c>
      <c r="H1396" t="s">
        <v>452</v>
      </c>
      <c r="I1396" t="s">
        <v>135</v>
      </c>
      <c r="J1396" t="s">
        <v>40</v>
      </c>
      <c r="K1396" t="s">
        <v>33</v>
      </c>
      <c r="L1396">
        <v>3.0101591572287867E-2</v>
      </c>
      <c r="M1396">
        <v>1</v>
      </c>
      <c r="N1396" s="2">
        <v>3.1960600759959026</v>
      </c>
      <c r="O1396" s="2">
        <v>1.705415563788492</v>
      </c>
      <c r="P1396" s="1">
        <v>-0.57900269369997159</v>
      </c>
      <c r="Q1396" s="1">
        <v>1.3498045353129324</v>
      </c>
      <c r="R1396" s="1">
        <v>-0.38209153328775192</v>
      </c>
      <c r="S1396" s="19">
        <v>5.5786552798103237</v>
      </c>
      <c r="T1396" s="19">
        <v>9.0044964339646807</v>
      </c>
      <c r="U1396" s="19">
        <v>13.562210530661602</v>
      </c>
      <c r="V1396" s="19">
        <v>19.274252323004028</v>
      </c>
      <c r="W1396" s="19">
        <v>26.016170920693089</v>
      </c>
      <c r="X1396" s="19">
        <v>33.466371996315949</v>
      </c>
      <c r="Y1396" s="19">
        <v>41.073060211496632</v>
      </c>
      <c r="Z1396" s="19">
        <v>48.061531269661906</v>
      </c>
      <c r="AA1396" s="19">
        <v>53.506253925229863</v>
      </c>
      <c r="AB1396" s="19">
        <v>56.481803953642419</v>
      </c>
      <c r="AC1396" s="19">
        <v>56.280396480052289</v>
      </c>
      <c r="AD1396" s="19">
        <v>52.644796617633681</v>
      </c>
      <c r="AE1396" s="19">
        <v>45.929747551624622</v>
      </c>
      <c r="AF1396" s="19">
        <v>37.690596162612643</v>
      </c>
      <c r="AG1396" s="19">
        <v>6.7538417367642527</v>
      </c>
      <c r="AH1396" s="19">
        <v>0</v>
      </c>
      <c r="AI1396" s="19">
        <v>0</v>
      </c>
      <c r="AJ1396" s="19">
        <v>0</v>
      </c>
      <c r="AK1396" s="19">
        <v>0</v>
      </c>
      <c r="AL1396" s="19">
        <v>0</v>
      </c>
      <c r="AM1396" s="19">
        <v>0</v>
      </c>
      <c r="AN1396" s="19">
        <v>0</v>
      </c>
      <c r="AO1396" s="19">
        <v>0</v>
      </c>
      <c r="AP1396" s="19">
        <v>0</v>
      </c>
      <c r="AQ1396" s="19">
        <v>0</v>
      </c>
      <c r="AR1396" s="19">
        <v>505.32418539316802</v>
      </c>
    </row>
    <row r="1397" spans="1:44" x14ac:dyDescent="0.25">
      <c r="A1397" t="s">
        <v>435</v>
      </c>
      <c r="B1397" t="s">
        <v>473</v>
      </c>
      <c r="C1397" t="s">
        <v>46</v>
      </c>
      <c r="D1397" t="s">
        <v>417</v>
      </c>
      <c r="E1397" t="s">
        <v>134</v>
      </c>
      <c r="F1397" t="s">
        <v>417</v>
      </c>
      <c r="G1397" t="s">
        <v>33</v>
      </c>
      <c r="H1397" t="s">
        <v>453</v>
      </c>
      <c r="I1397" t="s">
        <v>135</v>
      </c>
      <c r="J1397" t="s">
        <v>40</v>
      </c>
      <c r="K1397" t="s">
        <v>33</v>
      </c>
      <c r="L1397">
        <v>3.0101591572287867E-2</v>
      </c>
      <c r="M1397">
        <v>1</v>
      </c>
      <c r="N1397" s="2">
        <v>3.1960600759959026</v>
      </c>
      <c r="O1397" s="2">
        <v>1.705415563788492</v>
      </c>
      <c r="P1397" s="1">
        <v>-0.57900269369997159</v>
      </c>
      <c r="Q1397" s="1">
        <v>1.3498045353129324</v>
      </c>
      <c r="R1397" s="1">
        <v>-0.38209153328775192</v>
      </c>
      <c r="S1397" s="19">
        <v>218.33190410637303</v>
      </c>
      <c r="T1397" s="19">
        <v>352.40909382975855</v>
      </c>
      <c r="U1397" s="19">
        <v>530.78440959906902</v>
      </c>
      <c r="V1397" s="19">
        <v>754.33666337799491</v>
      </c>
      <c r="W1397" s="19">
        <v>1018.1952190573248</v>
      </c>
      <c r="X1397" s="19">
        <v>1309.7738352702618</v>
      </c>
      <c r="Y1397" s="19">
        <v>1607.4768906955419</v>
      </c>
      <c r="Z1397" s="19">
        <v>1880.9847732211999</v>
      </c>
      <c r="AA1397" s="19">
        <v>2094.0749544739265</v>
      </c>
      <c r="AB1397" s="19">
        <v>2210.5290945636098</v>
      </c>
      <c r="AC1397" s="19">
        <v>2202.6466076551014</v>
      </c>
      <c r="AD1397" s="19">
        <v>2060.3600886433533</v>
      </c>
      <c r="AE1397" s="19">
        <v>1797.5531261741953</v>
      </c>
      <c r="AF1397" s="19">
        <v>1475.0973513042309</v>
      </c>
      <c r="AG1397" s="19">
        <v>264.3251917280914</v>
      </c>
      <c r="AH1397" s="19">
        <v>0</v>
      </c>
      <c r="AI1397" s="19">
        <v>0</v>
      </c>
      <c r="AJ1397" s="19">
        <v>0</v>
      </c>
      <c r="AK1397" s="19">
        <v>0</v>
      </c>
      <c r="AL1397" s="19">
        <v>0</v>
      </c>
      <c r="AM1397" s="19">
        <v>0</v>
      </c>
      <c r="AN1397" s="19">
        <v>0</v>
      </c>
      <c r="AO1397" s="19">
        <v>0</v>
      </c>
      <c r="AP1397" s="19">
        <v>0</v>
      </c>
      <c r="AQ1397" s="19">
        <v>0</v>
      </c>
      <c r="AR1397" s="19">
        <v>19776.879203700031</v>
      </c>
    </row>
    <row r="1398" spans="1:44" x14ac:dyDescent="0.25">
      <c r="A1398" t="s">
        <v>435</v>
      </c>
      <c r="B1398" t="s">
        <v>473</v>
      </c>
      <c r="C1398" t="s">
        <v>46</v>
      </c>
      <c r="D1398" t="s">
        <v>417</v>
      </c>
      <c r="E1398" t="s">
        <v>134</v>
      </c>
      <c r="F1398" t="s">
        <v>417</v>
      </c>
      <c r="G1398" t="s">
        <v>33</v>
      </c>
      <c r="H1398" t="s">
        <v>456</v>
      </c>
      <c r="I1398" t="s">
        <v>135</v>
      </c>
      <c r="J1398" t="s">
        <v>40</v>
      </c>
      <c r="K1398" t="s">
        <v>33</v>
      </c>
      <c r="L1398">
        <v>3.0101591572287867E-2</v>
      </c>
      <c r="M1398">
        <v>1</v>
      </c>
      <c r="N1398" s="2">
        <v>3.1960600759959026</v>
      </c>
      <c r="O1398" s="2">
        <v>1.705415563788492</v>
      </c>
      <c r="P1398" s="1">
        <v>-0.57900269369997159</v>
      </c>
      <c r="Q1398" s="1">
        <v>1.3498045353129324</v>
      </c>
      <c r="R1398" s="1">
        <v>-0.38209153328775192</v>
      </c>
      <c r="S1398" s="19">
        <v>93.924286316523833</v>
      </c>
      <c r="T1398" s="19">
        <v>151.60300444815653</v>
      </c>
      <c r="U1398" s="19">
        <v>228.338350565756</v>
      </c>
      <c r="V1398" s="19">
        <v>324.50838112806042</v>
      </c>
      <c r="W1398" s="19">
        <v>438.01779530243368</v>
      </c>
      <c r="X1398" s="19">
        <v>563.45211304473139</v>
      </c>
      <c r="Y1398" s="19">
        <v>691.52110566179272</v>
      </c>
      <c r="Z1398" s="19">
        <v>809.18156748623676</v>
      </c>
      <c r="AA1398" s="19">
        <v>900.85091501993429</v>
      </c>
      <c r="AB1398" s="19">
        <v>950.94836660996395</v>
      </c>
      <c r="AC1398" s="19">
        <v>947.55739651646672</v>
      </c>
      <c r="AD1398" s="19">
        <v>886.3471038414674</v>
      </c>
      <c r="AE1398" s="19">
        <v>773.29007495711858</v>
      </c>
      <c r="AF1398" s="19">
        <v>634.57270038346348</v>
      </c>
      <c r="AG1398" s="19">
        <v>113.71015651676764</v>
      </c>
      <c r="AH1398" s="19">
        <v>0</v>
      </c>
      <c r="AI1398" s="19">
        <v>0</v>
      </c>
      <c r="AJ1398" s="19">
        <v>0</v>
      </c>
      <c r="AK1398" s="19">
        <v>0</v>
      </c>
      <c r="AL1398" s="19">
        <v>0</v>
      </c>
      <c r="AM1398" s="19">
        <v>0</v>
      </c>
      <c r="AN1398" s="19">
        <v>0</v>
      </c>
      <c r="AO1398" s="19">
        <v>0</v>
      </c>
      <c r="AP1398" s="19">
        <v>0</v>
      </c>
      <c r="AQ1398" s="19">
        <v>0</v>
      </c>
      <c r="AR1398" s="19">
        <v>8507.8233177988732</v>
      </c>
    </row>
    <row r="1399" spans="1:44" x14ac:dyDescent="0.25">
      <c r="A1399" t="s">
        <v>435</v>
      </c>
      <c r="B1399" t="s">
        <v>473</v>
      </c>
      <c r="C1399" t="s">
        <v>46</v>
      </c>
      <c r="D1399" t="s">
        <v>417</v>
      </c>
      <c r="E1399" t="s">
        <v>134</v>
      </c>
      <c r="F1399" t="s">
        <v>417</v>
      </c>
      <c r="G1399" t="s">
        <v>33</v>
      </c>
      <c r="H1399" t="s">
        <v>450</v>
      </c>
      <c r="I1399" t="s">
        <v>256</v>
      </c>
      <c r="J1399" t="s">
        <v>40</v>
      </c>
      <c r="K1399" t="s">
        <v>33</v>
      </c>
      <c r="L1399">
        <v>3.0101591572287867E-2</v>
      </c>
      <c r="M1399">
        <v>1</v>
      </c>
      <c r="N1399" s="2">
        <v>2.9388016493259146</v>
      </c>
      <c r="O1399" s="2">
        <v>1.4737622038640097</v>
      </c>
      <c r="P1399" s="1">
        <v>-0.45352660268570494</v>
      </c>
      <c r="Q1399" s="1">
        <v>1.3498045353129324</v>
      </c>
      <c r="R1399" s="1">
        <v>-0.25661544227348532</v>
      </c>
      <c r="S1399" s="19">
        <v>104.65368656687517</v>
      </c>
      <c r="T1399" s="19">
        <v>168.92130813372734</v>
      </c>
      <c r="U1399" s="19">
        <v>254.42248334765196</v>
      </c>
      <c r="V1399" s="19">
        <v>361.57845578354357</v>
      </c>
      <c r="W1399" s="19">
        <v>488.05456882380435</v>
      </c>
      <c r="X1399" s="19">
        <v>627.8178216367545</v>
      </c>
      <c r="Y1399" s="19">
        <v>770.51672026999813</v>
      </c>
      <c r="Z1399" s="19">
        <v>901.61807409442258</v>
      </c>
      <c r="AA1399" s="19">
        <v>1003.7592299212702</v>
      </c>
      <c r="AB1399" s="19">
        <v>1059.5795422399999</v>
      </c>
      <c r="AC1399" s="19">
        <v>1055.8012061435561</v>
      </c>
      <c r="AD1399" s="19">
        <v>987.59858214183259</v>
      </c>
      <c r="AE1399" s="19">
        <v>861.62653242966724</v>
      </c>
      <c r="AF1399" s="19">
        <v>707.06283852958256</v>
      </c>
      <c r="AG1399" s="19">
        <v>126.69978709737042</v>
      </c>
      <c r="AH1399" s="19">
        <v>0</v>
      </c>
      <c r="AI1399" s="19">
        <v>0</v>
      </c>
      <c r="AJ1399" s="19">
        <v>0</v>
      </c>
      <c r="AK1399" s="19">
        <v>0</v>
      </c>
      <c r="AL1399" s="19">
        <v>0</v>
      </c>
      <c r="AM1399" s="19">
        <v>0</v>
      </c>
      <c r="AN1399" s="19">
        <v>0</v>
      </c>
      <c r="AO1399" s="19">
        <v>0</v>
      </c>
      <c r="AP1399" s="19">
        <v>0</v>
      </c>
      <c r="AQ1399" s="19">
        <v>0</v>
      </c>
      <c r="AR1399" s="19">
        <v>9479.7108371600552</v>
      </c>
    </row>
    <row r="1400" spans="1:44" x14ac:dyDescent="0.25">
      <c r="A1400" t="s">
        <v>435</v>
      </c>
      <c r="B1400" t="s">
        <v>473</v>
      </c>
      <c r="C1400" t="s">
        <v>46</v>
      </c>
      <c r="D1400" t="s">
        <v>417</v>
      </c>
      <c r="E1400" t="s">
        <v>134</v>
      </c>
      <c r="F1400" t="s">
        <v>417</v>
      </c>
      <c r="G1400" t="s">
        <v>33</v>
      </c>
      <c r="H1400" t="s">
        <v>452</v>
      </c>
      <c r="I1400" t="s">
        <v>256</v>
      </c>
      <c r="J1400" t="s">
        <v>40</v>
      </c>
      <c r="K1400" t="s">
        <v>33</v>
      </c>
      <c r="L1400">
        <v>3.0101591572287867E-2</v>
      </c>
      <c r="M1400">
        <v>1</v>
      </c>
      <c r="N1400" s="2">
        <v>2.9388016493259146</v>
      </c>
      <c r="O1400" s="2">
        <v>1.4737622038640097</v>
      </c>
      <c r="P1400" s="1">
        <v>-0.45352660268570494</v>
      </c>
      <c r="Q1400" s="1">
        <v>1.3498045353129324</v>
      </c>
      <c r="R1400" s="1">
        <v>-0.25661544227348532</v>
      </c>
      <c r="S1400" s="19">
        <v>33.639918749611738</v>
      </c>
      <c r="T1400" s="19">
        <v>54.298126201846877</v>
      </c>
      <c r="U1400" s="19">
        <v>81.781654795507805</v>
      </c>
      <c r="V1400" s="19">
        <v>116.22590921721478</v>
      </c>
      <c r="W1400" s="19">
        <v>156.880436601898</v>
      </c>
      <c r="X1400" s="19">
        <v>201.80598698663948</v>
      </c>
      <c r="Y1400" s="19">
        <v>247.67517242249016</v>
      </c>
      <c r="Z1400" s="19">
        <v>289.81643887276027</v>
      </c>
      <c r="AA1400" s="19">
        <v>322.64872883524453</v>
      </c>
      <c r="AB1400" s="19">
        <v>340.59163015654758</v>
      </c>
      <c r="AC1400" s="19">
        <v>339.37712043918668</v>
      </c>
      <c r="AD1400" s="19">
        <v>317.45404438527066</v>
      </c>
      <c r="AE1400" s="19">
        <v>276.96154329854261</v>
      </c>
      <c r="AF1400" s="19">
        <v>227.27853379351052</v>
      </c>
      <c r="AG1400" s="19">
        <v>40.726425254260938</v>
      </c>
      <c r="AH1400" s="19">
        <v>0</v>
      </c>
      <c r="AI1400" s="19">
        <v>0</v>
      </c>
      <c r="AJ1400" s="19">
        <v>0</v>
      </c>
      <c r="AK1400" s="19">
        <v>0</v>
      </c>
      <c r="AL1400" s="19">
        <v>0</v>
      </c>
      <c r="AM1400" s="19">
        <v>0</v>
      </c>
      <c r="AN1400" s="19">
        <v>0</v>
      </c>
      <c r="AO1400" s="19">
        <v>0</v>
      </c>
      <c r="AP1400" s="19">
        <v>0</v>
      </c>
      <c r="AQ1400" s="19">
        <v>0</v>
      </c>
      <c r="AR1400" s="19">
        <v>3047.1616700105328</v>
      </c>
    </row>
    <row r="1401" spans="1:44" x14ac:dyDescent="0.25">
      <c r="A1401" t="s">
        <v>435</v>
      </c>
      <c r="B1401" t="s">
        <v>473</v>
      </c>
      <c r="C1401" t="s">
        <v>46</v>
      </c>
      <c r="D1401" t="s">
        <v>417</v>
      </c>
      <c r="E1401" t="s">
        <v>134</v>
      </c>
      <c r="F1401" t="s">
        <v>417</v>
      </c>
      <c r="G1401" t="s">
        <v>33</v>
      </c>
      <c r="H1401" t="s">
        <v>453</v>
      </c>
      <c r="I1401" t="s">
        <v>256</v>
      </c>
      <c r="J1401" t="s">
        <v>40</v>
      </c>
      <c r="K1401" t="s">
        <v>33</v>
      </c>
      <c r="L1401">
        <v>3.0101591572287867E-2</v>
      </c>
      <c r="M1401">
        <v>1</v>
      </c>
      <c r="N1401" s="2">
        <v>2.9388016493259146</v>
      </c>
      <c r="O1401" s="2">
        <v>1.4737622038640097</v>
      </c>
      <c r="P1401" s="1">
        <v>-0.45352660268570494</v>
      </c>
      <c r="Q1401" s="1">
        <v>1.3498045353129324</v>
      </c>
      <c r="R1401" s="1">
        <v>-0.25661544227348532</v>
      </c>
      <c r="S1401" s="19">
        <v>112.39666188209792</v>
      </c>
      <c r="T1401" s="19">
        <v>181.41922924861123</v>
      </c>
      <c r="U1401" s="19">
        <v>273.24634969028386</v>
      </c>
      <c r="V1401" s="19">
        <v>388.33043318148555</v>
      </c>
      <c r="W1401" s="19">
        <v>524.16408969070244</v>
      </c>
      <c r="X1401" s="19">
        <v>674.26795688625646</v>
      </c>
      <c r="Y1401" s="19">
        <v>827.52466849172276</v>
      </c>
      <c r="Z1401" s="19">
        <v>968.32577184007937</v>
      </c>
      <c r="AA1401" s="19">
        <v>1078.0240092584122</v>
      </c>
      <c r="AB1401" s="19">
        <v>1137.9742792934026</v>
      </c>
      <c r="AC1401" s="19">
        <v>1133.9163967797499</v>
      </c>
      <c r="AD1401" s="19">
        <v>1060.6676893441547</v>
      </c>
      <c r="AE1401" s="19">
        <v>925.37539011831325</v>
      </c>
      <c r="AF1401" s="19">
        <v>759.37604683254494</v>
      </c>
      <c r="AG1401" s="19">
        <v>136.07387945972474</v>
      </c>
      <c r="AH1401" s="19">
        <v>0</v>
      </c>
      <c r="AI1401" s="19">
        <v>0</v>
      </c>
      <c r="AJ1401" s="19">
        <v>0</v>
      </c>
      <c r="AK1401" s="19">
        <v>0</v>
      </c>
      <c r="AL1401" s="19">
        <v>0</v>
      </c>
      <c r="AM1401" s="19">
        <v>0</v>
      </c>
      <c r="AN1401" s="19">
        <v>0</v>
      </c>
      <c r="AO1401" s="19">
        <v>0</v>
      </c>
      <c r="AP1401" s="19">
        <v>0</v>
      </c>
      <c r="AQ1401" s="19">
        <v>0</v>
      </c>
      <c r="AR1401" s="19">
        <v>10181.082851997544</v>
      </c>
    </row>
    <row r="1402" spans="1:44" x14ac:dyDescent="0.25">
      <c r="A1402" t="s">
        <v>435</v>
      </c>
      <c r="B1402" t="s">
        <v>473</v>
      </c>
      <c r="C1402" t="s">
        <v>46</v>
      </c>
      <c r="D1402" t="s">
        <v>417</v>
      </c>
      <c r="E1402" t="s">
        <v>134</v>
      </c>
      <c r="F1402" t="s">
        <v>417</v>
      </c>
      <c r="G1402" t="s">
        <v>33</v>
      </c>
      <c r="H1402" t="s">
        <v>456</v>
      </c>
      <c r="I1402" t="s">
        <v>256</v>
      </c>
      <c r="J1402" t="s">
        <v>40</v>
      </c>
      <c r="K1402" t="s">
        <v>33</v>
      </c>
      <c r="L1402">
        <v>3.0101591572287867E-2</v>
      </c>
      <c r="M1402">
        <v>1</v>
      </c>
      <c r="N1402" s="2">
        <v>2.9388016493259146</v>
      </c>
      <c r="O1402" s="2">
        <v>1.4737622038640097</v>
      </c>
      <c r="P1402" s="1">
        <v>-0.45352660268570494</v>
      </c>
      <c r="Q1402" s="1">
        <v>1.3498045353129324</v>
      </c>
      <c r="R1402" s="1">
        <v>-0.25661544227348532</v>
      </c>
      <c r="S1402" s="19">
        <v>141.04423026671799</v>
      </c>
      <c r="T1402" s="19">
        <v>227.6592126178366</v>
      </c>
      <c r="U1402" s="19">
        <v>342.89115370422775</v>
      </c>
      <c r="V1402" s="19">
        <v>487.3077733810137</v>
      </c>
      <c r="W1402" s="19">
        <v>657.76260011557679</v>
      </c>
      <c r="X1402" s="19">
        <v>846.12481705457139</v>
      </c>
      <c r="Y1402" s="19">
        <v>1038.4434727836549</v>
      </c>
      <c r="Z1402" s="19">
        <v>1215.1318451065399</v>
      </c>
      <c r="AA1402" s="19">
        <v>1352.7898787100169</v>
      </c>
      <c r="AB1402" s="19">
        <v>1428.0202240759395</v>
      </c>
      <c r="AC1402" s="19">
        <v>1422.9280718174386</v>
      </c>
      <c r="AD1402" s="19">
        <v>1331.0097943055771</v>
      </c>
      <c r="AE1402" s="19">
        <v>1161.2343055518263</v>
      </c>
      <c r="AF1402" s="19">
        <v>952.92518670021877</v>
      </c>
      <c r="AG1402" s="19">
        <v>170.75627751237016</v>
      </c>
      <c r="AH1402" s="19">
        <v>0</v>
      </c>
      <c r="AI1402" s="19">
        <v>0</v>
      </c>
      <c r="AJ1402" s="19">
        <v>0</v>
      </c>
      <c r="AK1402" s="19">
        <v>0</v>
      </c>
      <c r="AL1402" s="19">
        <v>0</v>
      </c>
      <c r="AM1402" s="19">
        <v>0</v>
      </c>
      <c r="AN1402" s="19">
        <v>0</v>
      </c>
      <c r="AO1402" s="19">
        <v>0</v>
      </c>
      <c r="AP1402" s="19">
        <v>0</v>
      </c>
      <c r="AQ1402" s="19">
        <v>0</v>
      </c>
      <c r="AR1402" s="19">
        <v>12776.028843703529</v>
      </c>
    </row>
    <row r="1403" spans="1:44" x14ac:dyDescent="0.25">
      <c r="A1403" t="s">
        <v>435</v>
      </c>
      <c r="B1403" t="s">
        <v>473</v>
      </c>
      <c r="C1403" t="s">
        <v>46</v>
      </c>
      <c r="D1403" t="s">
        <v>417</v>
      </c>
      <c r="E1403" t="s">
        <v>134</v>
      </c>
      <c r="F1403" t="s">
        <v>417</v>
      </c>
      <c r="G1403" t="s">
        <v>33</v>
      </c>
      <c r="H1403" t="s">
        <v>457</v>
      </c>
      <c r="I1403" t="s">
        <v>256</v>
      </c>
      <c r="J1403" t="s">
        <v>40</v>
      </c>
      <c r="K1403" t="s">
        <v>33</v>
      </c>
      <c r="L1403">
        <v>3.0101591572287867E-2</v>
      </c>
      <c r="M1403">
        <v>1</v>
      </c>
      <c r="N1403" s="2">
        <v>2.9388016493259146</v>
      </c>
      <c r="O1403" s="2">
        <v>1.4737622038640097</v>
      </c>
      <c r="P1403" s="1">
        <v>-0.45352660268570494</v>
      </c>
      <c r="Q1403" s="1">
        <v>1.3498045353129324</v>
      </c>
      <c r="R1403" s="1">
        <v>-0.25661544227348532</v>
      </c>
      <c r="S1403" s="19">
        <v>75.007418499130026</v>
      </c>
      <c r="T1403" s="19">
        <v>121.069325584727</v>
      </c>
      <c r="U1403" s="19">
        <v>182.34975097461663</v>
      </c>
      <c r="V1403" s="19">
        <v>259.15060847755882</v>
      </c>
      <c r="W1403" s="19">
        <v>349.79860237208845</v>
      </c>
      <c r="X1403" s="19">
        <v>449.96975867284345</v>
      </c>
      <c r="Y1403" s="19">
        <v>552.24495183872341</v>
      </c>
      <c r="Z1403" s="19">
        <v>646.20794955717781</v>
      </c>
      <c r="AA1403" s="19">
        <v>719.41458634577782</v>
      </c>
      <c r="AB1403" s="19">
        <v>759.42213566576879</v>
      </c>
      <c r="AC1403" s="19">
        <v>756.71412559834243</v>
      </c>
      <c r="AD1403" s="19">
        <v>707.83192250493232</v>
      </c>
      <c r="AE1403" s="19">
        <v>617.54520101504329</v>
      </c>
      <c r="AF1403" s="19">
        <v>506.76626858128986</v>
      </c>
      <c r="AG1403" s="19">
        <v>90.808305625146147</v>
      </c>
      <c r="AH1403" s="19">
        <v>0</v>
      </c>
      <c r="AI1403" s="19">
        <v>0</v>
      </c>
      <c r="AJ1403" s="19">
        <v>0</v>
      </c>
      <c r="AK1403" s="19">
        <v>0</v>
      </c>
      <c r="AL1403" s="19">
        <v>0</v>
      </c>
      <c r="AM1403" s="19">
        <v>0</v>
      </c>
      <c r="AN1403" s="19">
        <v>0</v>
      </c>
      <c r="AO1403" s="19">
        <v>0</v>
      </c>
      <c r="AP1403" s="19">
        <v>0</v>
      </c>
      <c r="AQ1403" s="19">
        <v>0</v>
      </c>
      <c r="AR1403" s="19">
        <v>6794.3009113131666</v>
      </c>
    </row>
    <row r="1404" spans="1:44" x14ac:dyDescent="0.25">
      <c r="A1404" t="s">
        <v>435</v>
      </c>
      <c r="B1404" t="s">
        <v>474</v>
      </c>
      <c r="C1404" t="s">
        <v>44</v>
      </c>
      <c r="D1404" t="s">
        <v>475</v>
      </c>
      <c r="E1404" t="s">
        <v>134</v>
      </c>
      <c r="F1404" t="s">
        <v>475</v>
      </c>
      <c r="G1404" t="s">
        <v>33</v>
      </c>
      <c r="H1404" t="s">
        <v>450</v>
      </c>
      <c r="I1404" t="s">
        <v>135</v>
      </c>
      <c r="J1404" t="s">
        <v>39</v>
      </c>
      <c r="K1404" t="s">
        <v>31</v>
      </c>
      <c r="L1404">
        <v>7.9536631333358532E-2</v>
      </c>
      <c r="M1404">
        <v>1</v>
      </c>
      <c r="N1404" s="2">
        <v>5.0242646361273096</v>
      </c>
      <c r="O1404" s="2">
        <v>2.8779545327574687</v>
      </c>
      <c r="P1404" s="1">
        <v>-0.75648033687548133</v>
      </c>
      <c r="Q1404" s="1">
        <v>0.31026572305143058</v>
      </c>
      <c r="R1404" s="1">
        <v>-0.52509153328775171</v>
      </c>
      <c r="S1404" s="19">
        <v>34.712292752578357</v>
      </c>
      <c r="T1404" s="19">
        <v>56.029042955304647</v>
      </c>
      <c r="U1404" s="19">
        <v>84.38869202336393</v>
      </c>
      <c r="V1404" s="19">
        <v>119.93096107668572</v>
      </c>
      <c r="W1404" s="19">
        <v>161.88147429875244</v>
      </c>
      <c r="X1404" s="19">
        <v>208.23916227752775</v>
      </c>
      <c r="Y1404" s="19">
        <v>255.57056652445181</v>
      </c>
      <c r="Z1404" s="19">
        <v>299.05521310978486</v>
      </c>
      <c r="AA1404" s="19">
        <v>332.9341314686007</v>
      </c>
      <c r="AB1404" s="19">
        <v>351.4490169572253</v>
      </c>
      <c r="AC1404" s="19">
        <v>350.1957910747945</v>
      </c>
      <c r="AD1404" s="19">
        <v>327.57385076379552</v>
      </c>
      <c r="AE1404" s="19">
        <v>285.790528917252</v>
      </c>
      <c r="AF1404" s="19">
        <v>234.52372344116219</v>
      </c>
      <c r="AG1404" s="19">
        <v>42.02470305336881</v>
      </c>
      <c r="AH1404" s="19">
        <v>0</v>
      </c>
      <c r="AI1404" s="19">
        <v>0</v>
      </c>
      <c r="AJ1404" s="19">
        <v>0</v>
      </c>
      <c r="AK1404" s="19">
        <v>0</v>
      </c>
      <c r="AL1404" s="19">
        <v>0</v>
      </c>
      <c r="AM1404" s="19">
        <v>0</v>
      </c>
      <c r="AN1404" s="19">
        <v>0</v>
      </c>
      <c r="AO1404" s="19">
        <v>0</v>
      </c>
      <c r="AP1404" s="19">
        <v>0</v>
      </c>
      <c r="AQ1404" s="19">
        <v>0</v>
      </c>
      <c r="AR1404" s="19">
        <v>3144.2991506946478</v>
      </c>
    </row>
    <row r="1405" spans="1:44" x14ac:dyDescent="0.25">
      <c r="A1405" t="s">
        <v>435</v>
      </c>
      <c r="B1405" t="s">
        <v>474</v>
      </c>
      <c r="C1405" t="s">
        <v>44</v>
      </c>
      <c r="D1405" t="s">
        <v>475</v>
      </c>
      <c r="E1405" t="s">
        <v>134</v>
      </c>
      <c r="F1405" t="s">
        <v>475</v>
      </c>
      <c r="G1405" t="s">
        <v>33</v>
      </c>
      <c r="H1405" t="s">
        <v>451</v>
      </c>
      <c r="I1405" t="s">
        <v>135</v>
      </c>
      <c r="J1405" t="s">
        <v>39</v>
      </c>
      <c r="K1405" t="s">
        <v>31</v>
      </c>
      <c r="L1405">
        <v>7.9536631333358532E-2</v>
      </c>
      <c r="M1405">
        <v>1</v>
      </c>
      <c r="N1405" s="2">
        <v>5.0242646361273096</v>
      </c>
      <c r="O1405" s="2">
        <v>2.8779545327574687</v>
      </c>
      <c r="P1405" s="1">
        <v>-0.75648033687548133</v>
      </c>
      <c r="Q1405" s="1">
        <v>0.31026572305143058</v>
      </c>
      <c r="R1405" s="1">
        <v>-0.52509153328775171</v>
      </c>
      <c r="S1405" s="19">
        <v>9.0801391758165053</v>
      </c>
      <c r="T1405" s="19">
        <v>14.656234652900554</v>
      </c>
      <c r="U1405" s="19">
        <v>22.074631425213035</v>
      </c>
      <c r="V1405" s="19">
        <v>31.371878136308087</v>
      </c>
      <c r="W1405" s="19">
        <v>42.34541138196218</v>
      </c>
      <c r="X1405" s="19">
        <v>54.471785796832542</v>
      </c>
      <c r="Y1405" s="19">
        <v>66.852867651962384</v>
      </c>
      <c r="Z1405" s="19">
        <v>78.227703817939627</v>
      </c>
      <c r="AA1405" s="19">
        <v>87.089846575747586</v>
      </c>
      <c r="AB1405" s="19">
        <v>91.933022399923871</v>
      </c>
      <c r="AC1405" s="19">
        <v>91.605200048565024</v>
      </c>
      <c r="AD1405" s="19">
        <v>85.687689271763119</v>
      </c>
      <c r="AE1405" s="19">
        <v>74.75789041638879</v>
      </c>
      <c r="AF1405" s="19">
        <v>61.34737523836646</v>
      </c>
      <c r="AG1405" s="19">
        <v>10.992940030405002</v>
      </c>
      <c r="AH1405" s="19">
        <v>0</v>
      </c>
      <c r="AI1405" s="19">
        <v>0</v>
      </c>
      <c r="AJ1405" s="19">
        <v>0</v>
      </c>
      <c r="AK1405" s="19">
        <v>0</v>
      </c>
      <c r="AL1405" s="19">
        <v>0</v>
      </c>
      <c r="AM1405" s="19">
        <v>0</v>
      </c>
      <c r="AN1405" s="19">
        <v>0</v>
      </c>
      <c r="AO1405" s="19">
        <v>0</v>
      </c>
      <c r="AP1405" s="19">
        <v>0</v>
      </c>
      <c r="AQ1405" s="19">
        <v>0</v>
      </c>
      <c r="AR1405" s="19">
        <v>822.49461602009467</v>
      </c>
    </row>
    <row r="1406" spans="1:44" x14ac:dyDescent="0.25">
      <c r="A1406" t="s">
        <v>435</v>
      </c>
      <c r="B1406" t="s">
        <v>474</v>
      </c>
      <c r="C1406" t="s">
        <v>44</v>
      </c>
      <c r="D1406" t="s">
        <v>475</v>
      </c>
      <c r="E1406" t="s">
        <v>134</v>
      </c>
      <c r="F1406" t="s">
        <v>475</v>
      </c>
      <c r="G1406" t="s">
        <v>33</v>
      </c>
      <c r="H1406" t="s">
        <v>452</v>
      </c>
      <c r="I1406" t="s">
        <v>135</v>
      </c>
      <c r="J1406" t="s">
        <v>39</v>
      </c>
      <c r="K1406" t="s">
        <v>31</v>
      </c>
      <c r="L1406">
        <v>7.9536631333358532E-2</v>
      </c>
      <c r="M1406">
        <v>1</v>
      </c>
      <c r="N1406" s="2">
        <v>5.0242646361273096</v>
      </c>
      <c r="O1406" s="2">
        <v>2.8779545327574687</v>
      </c>
      <c r="P1406" s="1">
        <v>-0.75648033687548133</v>
      </c>
      <c r="Q1406" s="1">
        <v>0.31026572305143058</v>
      </c>
      <c r="R1406" s="1">
        <v>-0.52509153328775171</v>
      </c>
      <c r="S1406" s="19">
        <v>205.6589438741085</v>
      </c>
      <c r="T1406" s="19">
        <v>331.9536938282223</v>
      </c>
      <c r="U1406" s="19">
        <v>499.97530846340646</v>
      </c>
      <c r="V1406" s="19">
        <v>710.55158956637774</v>
      </c>
      <c r="W1406" s="19">
        <v>959.09461453225879</v>
      </c>
      <c r="X1406" s="19">
        <v>1233.7487037367882</v>
      </c>
      <c r="Y1406" s="19">
        <v>1514.1717423094235</v>
      </c>
      <c r="Z1406" s="19">
        <v>1771.8040040335989</v>
      </c>
      <c r="AA1406" s="19">
        <v>1972.5254780927753</v>
      </c>
      <c r="AB1406" s="19">
        <v>2082.2200990353167</v>
      </c>
      <c r="AC1406" s="19">
        <v>2074.7951469224295</v>
      </c>
      <c r="AD1406" s="19">
        <v>1940.7675738691455</v>
      </c>
      <c r="AE1406" s="19">
        <v>1693.2151029401302</v>
      </c>
      <c r="AF1406" s="19">
        <v>1389.476103469148</v>
      </c>
      <c r="AG1406" s="19">
        <v>248.98257537128191</v>
      </c>
      <c r="AH1406" s="19">
        <v>0</v>
      </c>
      <c r="AI1406" s="19">
        <v>0</v>
      </c>
      <c r="AJ1406" s="19">
        <v>0</v>
      </c>
      <c r="AK1406" s="19">
        <v>0</v>
      </c>
      <c r="AL1406" s="19">
        <v>0</v>
      </c>
      <c r="AM1406" s="19">
        <v>0</v>
      </c>
      <c r="AN1406" s="19">
        <v>0</v>
      </c>
      <c r="AO1406" s="19">
        <v>0</v>
      </c>
      <c r="AP1406" s="19">
        <v>0</v>
      </c>
      <c r="AQ1406" s="19">
        <v>0</v>
      </c>
      <c r="AR1406" s="19">
        <v>18628.940680044409</v>
      </c>
    </row>
    <row r="1407" spans="1:44" x14ac:dyDescent="0.25">
      <c r="A1407" t="s">
        <v>435</v>
      </c>
      <c r="B1407" t="s">
        <v>474</v>
      </c>
      <c r="C1407" t="s">
        <v>44</v>
      </c>
      <c r="D1407" t="s">
        <v>475</v>
      </c>
      <c r="E1407" t="s">
        <v>134</v>
      </c>
      <c r="F1407" t="s">
        <v>475</v>
      </c>
      <c r="G1407" t="s">
        <v>33</v>
      </c>
      <c r="H1407" t="s">
        <v>453</v>
      </c>
      <c r="I1407" t="s">
        <v>135</v>
      </c>
      <c r="J1407" t="s">
        <v>39</v>
      </c>
      <c r="K1407" t="s">
        <v>31</v>
      </c>
      <c r="L1407">
        <v>7.9536631333358532E-2</v>
      </c>
      <c r="M1407">
        <v>1</v>
      </c>
      <c r="N1407" s="2">
        <v>5.0242646361273096</v>
      </c>
      <c r="O1407" s="2">
        <v>2.8779545327574687</v>
      </c>
      <c r="P1407" s="1">
        <v>-0.75648033687548133</v>
      </c>
      <c r="Q1407" s="1">
        <v>0.31026572305143058</v>
      </c>
      <c r="R1407" s="1">
        <v>-0.52509153328775171</v>
      </c>
      <c r="S1407" s="19">
        <v>62.896649886437437</v>
      </c>
      <c r="T1407" s="19">
        <v>101.52135796245274</v>
      </c>
      <c r="U1407" s="19">
        <v>152.90738800806145</v>
      </c>
      <c r="V1407" s="19">
        <v>217.30790654339481</v>
      </c>
      <c r="W1407" s="19">
        <v>293.31978975409709</v>
      </c>
      <c r="X1407" s="19">
        <v>377.31721657716878</v>
      </c>
      <c r="Y1407" s="19">
        <v>463.07896048649599</v>
      </c>
      <c r="Z1407" s="19">
        <v>541.87060387369365</v>
      </c>
      <c r="AA1407" s="19">
        <v>603.25722796487696</v>
      </c>
      <c r="AB1407" s="19">
        <v>636.80512059663067</v>
      </c>
      <c r="AC1407" s="19">
        <v>634.53434839158774</v>
      </c>
      <c r="AD1407" s="19">
        <v>593.54471196409759</v>
      </c>
      <c r="AE1407" s="19">
        <v>517.83576977447001</v>
      </c>
      <c r="AF1407" s="19">
        <v>424.94330836867022</v>
      </c>
      <c r="AG1407" s="19">
        <v>76.146310857928725</v>
      </c>
      <c r="AH1407" s="19">
        <v>0</v>
      </c>
      <c r="AI1407" s="19">
        <v>0</v>
      </c>
      <c r="AJ1407" s="19">
        <v>0</v>
      </c>
      <c r="AK1407" s="19">
        <v>0</v>
      </c>
      <c r="AL1407" s="19">
        <v>0</v>
      </c>
      <c r="AM1407" s="19">
        <v>0</v>
      </c>
      <c r="AN1407" s="19">
        <v>0</v>
      </c>
      <c r="AO1407" s="19">
        <v>0</v>
      </c>
      <c r="AP1407" s="19">
        <v>0</v>
      </c>
      <c r="AQ1407" s="19">
        <v>0</v>
      </c>
      <c r="AR1407" s="19">
        <v>5697.2866710100643</v>
      </c>
    </row>
    <row r="1408" spans="1:44" x14ac:dyDescent="0.25">
      <c r="A1408" t="s">
        <v>435</v>
      </c>
      <c r="B1408" t="s">
        <v>474</v>
      </c>
      <c r="C1408" t="s">
        <v>44</v>
      </c>
      <c r="D1408" t="s">
        <v>475</v>
      </c>
      <c r="E1408" t="s">
        <v>134</v>
      </c>
      <c r="F1408" t="s">
        <v>475</v>
      </c>
      <c r="G1408" t="s">
        <v>33</v>
      </c>
      <c r="H1408" t="s">
        <v>454</v>
      </c>
      <c r="I1408" t="s">
        <v>135</v>
      </c>
      <c r="J1408" t="s">
        <v>39</v>
      </c>
      <c r="K1408" t="s">
        <v>31</v>
      </c>
      <c r="L1408">
        <v>7.9536631333358532E-2</v>
      </c>
      <c r="M1408">
        <v>1</v>
      </c>
      <c r="N1408" s="2">
        <v>5.0242646361273096</v>
      </c>
      <c r="O1408" s="2">
        <v>2.8779545327574687</v>
      </c>
      <c r="P1408" s="1">
        <v>-0.75648033687548133</v>
      </c>
      <c r="Q1408" s="1">
        <v>0.31026572305143058</v>
      </c>
      <c r="R1408" s="1">
        <v>-0.52509153328775171</v>
      </c>
      <c r="S1408" s="19">
        <v>3.4633479288921012</v>
      </c>
      <c r="T1408" s="19">
        <v>5.5901830299771111</v>
      </c>
      <c r="U1408" s="19">
        <v>8.4197089435794155</v>
      </c>
      <c r="V1408" s="19">
        <v>11.965866058332503</v>
      </c>
      <c r="W1408" s="19">
        <v>16.151392612835696</v>
      </c>
      <c r="X1408" s="19">
        <v>20.776636004100663</v>
      </c>
      <c r="Y1408" s="19">
        <v>25.499029942137593</v>
      </c>
      <c r="Z1408" s="19">
        <v>29.837621511509848</v>
      </c>
      <c r="AA1408" s="19">
        <v>33.217821216768264</v>
      </c>
      <c r="AB1408" s="19">
        <v>35.065106003393019</v>
      </c>
      <c r="AC1408" s="19">
        <v>34.940067957208974</v>
      </c>
      <c r="AD1408" s="19">
        <v>32.683010185713904</v>
      </c>
      <c r="AE1408" s="19">
        <v>28.514164808345104</v>
      </c>
      <c r="AF1408" s="19">
        <v>23.399124271204524</v>
      </c>
      <c r="AG1408" s="19">
        <v>4.1929286930025826</v>
      </c>
      <c r="AH1408" s="19">
        <v>0</v>
      </c>
      <c r="AI1408" s="19">
        <v>0</v>
      </c>
      <c r="AJ1408" s="19">
        <v>0</v>
      </c>
      <c r="AK1408" s="19">
        <v>0</v>
      </c>
      <c r="AL1408" s="19">
        <v>0</v>
      </c>
      <c r="AM1408" s="19">
        <v>0</v>
      </c>
      <c r="AN1408" s="19">
        <v>0</v>
      </c>
      <c r="AO1408" s="19">
        <v>0</v>
      </c>
      <c r="AP1408" s="19">
        <v>0</v>
      </c>
      <c r="AQ1408" s="19">
        <v>0</v>
      </c>
      <c r="AR1408" s="19">
        <v>313.71600916700135</v>
      </c>
    </row>
    <row r="1409" spans="1:44" x14ac:dyDescent="0.25">
      <c r="A1409" t="s">
        <v>435</v>
      </c>
      <c r="B1409" t="s">
        <v>474</v>
      </c>
      <c r="C1409" t="s">
        <v>44</v>
      </c>
      <c r="D1409" t="s">
        <v>475</v>
      </c>
      <c r="E1409" t="s">
        <v>134</v>
      </c>
      <c r="F1409" t="s">
        <v>475</v>
      </c>
      <c r="G1409" t="s">
        <v>33</v>
      </c>
      <c r="H1409" t="s">
        <v>455</v>
      </c>
      <c r="I1409" t="s">
        <v>135</v>
      </c>
      <c r="J1409" t="s">
        <v>39</v>
      </c>
      <c r="K1409" t="s">
        <v>31</v>
      </c>
      <c r="L1409">
        <v>7.9536631333358532E-2</v>
      </c>
      <c r="M1409">
        <v>1</v>
      </c>
      <c r="N1409" s="2">
        <v>5.0242646361273096</v>
      </c>
      <c r="O1409" s="2">
        <v>2.8779545327574687</v>
      </c>
      <c r="P1409" s="1">
        <v>-0.75648033687548133</v>
      </c>
      <c r="Q1409" s="1">
        <v>0.31026572305143058</v>
      </c>
      <c r="R1409" s="1">
        <v>-0.52509153328775171</v>
      </c>
      <c r="S1409" s="19">
        <v>0.81601610707920924</v>
      </c>
      <c r="T1409" s="19">
        <v>1.3171299816364179</v>
      </c>
      <c r="U1409" s="19">
        <v>1.9838082271675008</v>
      </c>
      <c r="V1409" s="19">
        <v>2.8193354058641376</v>
      </c>
      <c r="W1409" s="19">
        <v>3.8055075015377384</v>
      </c>
      <c r="X1409" s="19">
        <v>4.8952834015990536</v>
      </c>
      <c r="Y1409" s="19">
        <v>6.0079494104814097</v>
      </c>
      <c r="Z1409" s="19">
        <v>7.0301858924447913</v>
      </c>
      <c r="AA1409" s="19">
        <v>7.8266110455819806</v>
      </c>
      <c r="AB1409" s="19">
        <v>8.26185872245353</v>
      </c>
      <c r="AC1409" s="19">
        <v>8.232397905412105</v>
      </c>
      <c r="AD1409" s="19">
        <v>7.7006016394973891</v>
      </c>
      <c r="AE1409" s="19">
        <v>6.7183598764112675</v>
      </c>
      <c r="AF1409" s="19">
        <v>5.5131805088260366</v>
      </c>
      <c r="AG1409" s="19">
        <v>0.98791614922130333</v>
      </c>
      <c r="AH1409" s="19">
        <v>0</v>
      </c>
      <c r="AI1409" s="19">
        <v>0</v>
      </c>
      <c r="AJ1409" s="19">
        <v>0</v>
      </c>
      <c r="AK1409" s="19">
        <v>0</v>
      </c>
      <c r="AL1409" s="19">
        <v>0</v>
      </c>
      <c r="AM1409" s="19">
        <v>0</v>
      </c>
      <c r="AN1409" s="19">
        <v>0</v>
      </c>
      <c r="AO1409" s="19">
        <v>0</v>
      </c>
      <c r="AP1409" s="19">
        <v>0</v>
      </c>
      <c r="AQ1409" s="19">
        <v>0</v>
      </c>
      <c r="AR1409" s="19">
        <v>73.916141775213887</v>
      </c>
    </row>
    <row r="1410" spans="1:44" x14ac:dyDescent="0.25">
      <c r="A1410" t="s">
        <v>435</v>
      </c>
      <c r="B1410" t="s">
        <v>474</v>
      </c>
      <c r="C1410" t="s">
        <v>44</v>
      </c>
      <c r="D1410" t="s">
        <v>475</v>
      </c>
      <c r="E1410" t="s">
        <v>134</v>
      </c>
      <c r="F1410" t="s">
        <v>475</v>
      </c>
      <c r="G1410" t="s">
        <v>33</v>
      </c>
      <c r="H1410" t="s">
        <v>457</v>
      </c>
      <c r="I1410" t="s">
        <v>135</v>
      </c>
      <c r="J1410" t="s">
        <v>39</v>
      </c>
      <c r="K1410" t="s">
        <v>31</v>
      </c>
      <c r="L1410">
        <v>7.9536631333358532E-2</v>
      </c>
      <c r="M1410">
        <v>1</v>
      </c>
      <c r="N1410" s="2">
        <v>5.0242646361273096</v>
      </c>
      <c r="O1410" s="2">
        <v>2.8779545327574687</v>
      </c>
      <c r="P1410" s="1">
        <v>-0.75648033687548133</v>
      </c>
      <c r="Q1410" s="1">
        <v>0.31026572305143058</v>
      </c>
      <c r="R1410" s="1">
        <v>-0.52509153328775171</v>
      </c>
      <c r="S1410" s="19">
        <v>54.378584592767083</v>
      </c>
      <c r="T1410" s="19">
        <v>87.772365649068405</v>
      </c>
      <c r="U1410" s="19">
        <v>132.19920852173058</v>
      </c>
      <c r="V1410" s="19">
        <v>187.87799350176871</v>
      </c>
      <c r="W1410" s="19">
        <v>253.59562120835992</v>
      </c>
      <c r="X1410" s="19">
        <v>326.21731391091674</v>
      </c>
      <c r="Y1410" s="19">
        <v>400.36438302217954</v>
      </c>
      <c r="Z1410" s="19">
        <v>468.48530922206214</v>
      </c>
      <c r="AA1410" s="19">
        <v>521.55837014079032</v>
      </c>
      <c r="AB1410" s="19">
        <v>550.56288660834014</v>
      </c>
      <c r="AC1410" s="19">
        <v>548.59964407211953</v>
      </c>
      <c r="AD1410" s="19">
        <v>513.16121585816018</v>
      </c>
      <c r="AE1410" s="19">
        <v>447.70550200502333</v>
      </c>
      <c r="AF1410" s="19">
        <v>367.39342529336898</v>
      </c>
      <c r="AG1410" s="19">
        <v>65.833849877398777</v>
      </c>
      <c r="AH1410" s="19">
        <v>0</v>
      </c>
      <c r="AI1410" s="19">
        <v>0</v>
      </c>
      <c r="AJ1410" s="19">
        <v>0</v>
      </c>
      <c r="AK1410" s="19">
        <v>0</v>
      </c>
      <c r="AL1410" s="19">
        <v>0</v>
      </c>
      <c r="AM1410" s="19">
        <v>0</v>
      </c>
      <c r="AN1410" s="19">
        <v>0</v>
      </c>
      <c r="AO1410" s="19">
        <v>0</v>
      </c>
      <c r="AP1410" s="19">
        <v>0</v>
      </c>
      <c r="AQ1410" s="19">
        <v>0</v>
      </c>
      <c r="AR1410" s="19">
        <v>4925.7056734840553</v>
      </c>
    </row>
    <row r="1411" spans="1:44" x14ac:dyDescent="0.25">
      <c r="A1411" t="s">
        <v>435</v>
      </c>
      <c r="B1411" t="s">
        <v>474</v>
      </c>
      <c r="C1411" t="s">
        <v>44</v>
      </c>
      <c r="D1411" t="s">
        <v>475</v>
      </c>
      <c r="E1411" t="s">
        <v>134</v>
      </c>
      <c r="F1411" t="s">
        <v>475</v>
      </c>
      <c r="G1411" t="s">
        <v>33</v>
      </c>
      <c r="H1411" t="s">
        <v>450</v>
      </c>
      <c r="I1411" t="s">
        <v>135</v>
      </c>
      <c r="J1411" t="s">
        <v>39</v>
      </c>
      <c r="K1411" t="s">
        <v>33</v>
      </c>
      <c r="L1411">
        <v>7.9536631333358532E-2</v>
      </c>
      <c r="M1411">
        <v>1</v>
      </c>
      <c r="N1411" s="2">
        <v>5.0242646361273096</v>
      </c>
      <c r="O1411" s="2">
        <v>2.8779545327574687</v>
      </c>
      <c r="P1411" s="1">
        <v>-0.75648033687548133</v>
      </c>
      <c r="Q1411" s="1">
        <v>0.31026572305143058</v>
      </c>
      <c r="R1411" s="1">
        <v>-0.52509153328775171</v>
      </c>
      <c r="S1411" s="19">
        <v>21.385557169988889</v>
      </c>
      <c r="T1411" s="19">
        <v>34.494323676289611</v>
      </c>
      <c r="U1411" s="19">
        <v>51.917747959666521</v>
      </c>
      <c r="V1411" s="19">
        <v>73.732687564167563</v>
      </c>
      <c r="W1411" s="19">
        <v>99.454184690391585</v>
      </c>
      <c r="X1411" s="19">
        <v>127.8455096051057</v>
      </c>
      <c r="Y1411" s="19">
        <v>156.79458735309572</v>
      </c>
      <c r="Z1411" s="19">
        <v>183.34487232782985</v>
      </c>
      <c r="AA1411" s="19">
        <v>203.97308819052651</v>
      </c>
      <c r="AB1411" s="19">
        <v>215.16619715188776</v>
      </c>
      <c r="AC1411" s="19">
        <v>214.24948841236116</v>
      </c>
      <c r="AD1411" s="19">
        <v>200.26970482014431</v>
      </c>
      <c r="AE1411" s="19">
        <v>174.60272766543005</v>
      </c>
      <c r="AF1411" s="19">
        <v>143.18157411955514</v>
      </c>
      <c r="AG1411" s="19">
        <v>4.5789423355461638</v>
      </c>
      <c r="AH1411" s="19">
        <v>0</v>
      </c>
      <c r="AI1411" s="19">
        <v>0</v>
      </c>
      <c r="AJ1411" s="19">
        <v>0</v>
      </c>
      <c r="AK1411" s="19">
        <v>0</v>
      </c>
      <c r="AL1411" s="19">
        <v>0</v>
      </c>
      <c r="AM1411" s="19">
        <v>0</v>
      </c>
      <c r="AN1411" s="19">
        <v>0</v>
      </c>
      <c r="AO1411" s="19">
        <v>0</v>
      </c>
      <c r="AP1411" s="19">
        <v>0</v>
      </c>
      <c r="AQ1411" s="19">
        <v>0</v>
      </c>
      <c r="AR1411" s="19">
        <v>1904.9911930419864</v>
      </c>
    </row>
    <row r="1412" spans="1:44" x14ac:dyDescent="0.25">
      <c r="A1412" t="s">
        <v>435</v>
      </c>
      <c r="B1412" t="s">
        <v>474</v>
      </c>
      <c r="C1412" t="s">
        <v>44</v>
      </c>
      <c r="D1412" t="s">
        <v>475</v>
      </c>
      <c r="E1412" t="s">
        <v>134</v>
      </c>
      <c r="F1412" t="s">
        <v>475</v>
      </c>
      <c r="G1412" t="s">
        <v>33</v>
      </c>
      <c r="H1412" t="s">
        <v>451</v>
      </c>
      <c r="I1412" t="s">
        <v>135</v>
      </c>
      <c r="J1412" t="s">
        <v>39</v>
      </c>
      <c r="K1412" t="s">
        <v>33</v>
      </c>
      <c r="L1412">
        <v>7.9536631333358532E-2</v>
      </c>
      <c r="M1412">
        <v>1</v>
      </c>
      <c r="N1412" s="2">
        <v>5.0242646361273096</v>
      </c>
      <c r="O1412" s="2">
        <v>2.8779545327574687</v>
      </c>
      <c r="P1412" s="1">
        <v>-0.75648033687548133</v>
      </c>
      <c r="Q1412" s="1">
        <v>0.31026572305143058</v>
      </c>
      <c r="R1412" s="1">
        <v>-0.52509153328775171</v>
      </c>
      <c r="S1412" s="19">
        <v>40.904325665244201</v>
      </c>
      <c r="T1412" s="19">
        <v>66.023591011155716</v>
      </c>
      <c r="U1412" s="19">
        <v>99.442078504920332</v>
      </c>
      <c r="V1412" s="19">
        <v>141.32443293772619</v>
      </c>
      <c r="W1412" s="19">
        <v>190.75814412731887</v>
      </c>
      <c r="X1412" s="19">
        <v>245.38518877941132</v>
      </c>
      <c r="Y1412" s="19">
        <v>301.15964272600917</v>
      </c>
      <c r="Z1412" s="19">
        <v>352.40114838058417</v>
      </c>
      <c r="AA1412" s="19">
        <v>392.32344102811578</v>
      </c>
      <c r="AB1412" s="19">
        <v>414.14104066290673</v>
      </c>
      <c r="AC1412" s="19">
        <v>412.66426239324727</v>
      </c>
      <c r="AD1412" s="19">
        <v>386.00698509219416</v>
      </c>
      <c r="AE1412" s="19">
        <v>336.77028913641396</v>
      </c>
      <c r="AF1412" s="19">
        <v>276.35843095240131</v>
      </c>
      <c r="AG1412" s="19">
        <v>49.521135118696513</v>
      </c>
      <c r="AH1412" s="19">
        <v>0</v>
      </c>
      <c r="AI1412" s="19">
        <v>0</v>
      </c>
      <c r="AJ1412" s="19">
        <v>0</v>
      </c>
      <c r="AK1412" s="19">
        <v>0</v>
      </c>
      <c r="AL1412" s="19">
        <v>0</v>
      </c>
      <c r="AM1412" s="19">
        <v>0</v>
      </c>
      <c r="AN1412" s="19">
        <v>0</v>
      </c>
      <c r="AO1412" s="19">
        <v>0</v>
      </c>
      <c r="AP1412" s="19">
        <v>0</v>
      </c>
      <c r="AQ1412" s="19">
        <v>0</v>
      </c>
      <c r="AR1412" s="19">
        <v>3705.184136516345</v>
      </c>
    </row>
    <row r="1413" spans="1:44" x14ac:dyDescent="0.25">
      <c r="A1413" t="s">
        <v>435</v>
      </c>
      <c r="B1413" t="s">
        <v>474</v>
      </c>
      <c r="C1413" t="s">
        <v>44</v>
      </c>
      <c r="D1413" t="s">
        <v>475</v>
      </c>
      <c r="E1413" t="s">
        <v>134</v>
      </c>
      <c r="F1413" t="s">
        <v>475</v>
      </c>
      <c r="G1413" t="s">
        <v>33</v>
      </c>
      <c r="H1413" t="s">
        <v>452</v>
      </c>
      <c r="I1413" t="s">
        <v>135</v>
      </c>
      <c r="J1413" t="s">
        <v>39</v>
      </c>
      <c r="K1413" t="s">
        <v>33</v>
      </c>
      <c r="L1413">
        <v>7.9536631333358532E-2</v>
      </c>
      <c r="M1413">
        <v>1</v>
      </c>
      <c r="N1413" s="2">
        <v>5.0242646361273096</v>
      </c>
      <c r="O1413" s="2">
        <v>2.8779545327574687</v>
      </c>
      <c r="P1413" s="1">
        <v>-0.75648033687548133</v>
      </c>
      <c r="Q1413" s="1">
        <v>0.31026572305143058</v>
      </c>
      <c r="R1413" s="1">
        <v>-0.52509153328775171</v>
      </c>
      <c r="S1413" s="19">
        <v>406.68373890141407</v>
      </c>
      <c r="T1413" s="19">
        <v>656.42741718461491</v>
      </c>
      <c r="U1413" s="19">
        <v>988.68458611142637</v>
      </c>
      <c r="V1413" s="19">
        <v>1405.0921962532625</v>
      </c>
      <c r="W1413" s="19">
        <v>1896.5777828605048</v>
      </c>
      <c r="X1413" s="19">
        <v>2439.6971327810929</v>
      </c>
      <c r="Y1413" s="19">
        <v>2994.2243886957449</v>
      </c>
      <c r="Z1413" s="19">
        <v>3503.6836394626444</v>
      </c>
      <c r="AA1413" s="19">
        <v>3900.6036956025714</v>
      </c>
      <c r="AB1413" s="19">
        <v>4117.5211694645104</v>
      </c>
      <c r="AC1413" s="19">
        <v>4102.83857297952</v>
      </c>
      <c r="AD1413" s="19">
        <v>3837.8034935493856</v>
      </c>
      <c r="AE1413" s="19">
        <v>3348.276694689022</v>
      </c>
      <c r="AF1413" s="19">
        <v>2747.6428995906267</v>
      </c>
      <c r="AG1413" s="19">
        <v>492.35478295211306</v>
      </c>
      <c r="AH1413" s="19">
        <v>0</v>
      </c>
      <c r="AI1413" s="19">
        <v>0</v>
      </c>
      <c r="AJ1413" s="19">
        <v>0</v>
      </c>
      <c r="AK1413" s="19">
        <v>0</v>
      </c>
      <c r="AL1413" s="19">
        <v>0</v>
      </c>
      <c r="AM1413" s="19">
        <v>0</v>
      </c>
      <c r="AN1413" s="19">
        <v>0</v>
      </c>
      <c r="AO1413" s="19">
        <v>0</v>
      </c>
      <c r="AP1413" s="19">
        <v>0</v>
      </c>
      <c r="AQ1413" s="19">
        <v>0</v>
      </c>
      <c r="AR1413" s="19">
        <v>36838.11219107845</v>
      </c>
    </row>
    <row r="1414" spans="1:44" x14ac:dyDescent="0.25">
      <c r="A1414" t="s">
        <v>435</v>
      </c>
      <c r="B1414" t="s">
        <v>474</v>
      </c>
      <c r="C1414" t="s">
        <v>44</v>
      </c>
      <c r="D1414" t="s">
        <v>475</v>
      </c>
      <c r="E1414" t="s">
        <v>134</v>
      </c>
      <c r="F1414" t="s">
        <v>475</v>
      </c>
      <c r="G1414" t="s">
        <v>33</v>
      </c>
      <c r="H1414" t="s">
        <v>453</v>
      </c>
      <c r="I1414" t="s">
        <v>135</v>
      </c>
      <c r="J1414" t="s">
        <v>39</v>
      </c>
      <c r="K1414" t="s">
        <v>33</v>
      </c>
      <c r="L1414">
        <v>7.9536631333358532E-2</v>
      </c>
      <c r="M1414">
        <v>1</v>
      </c>
      <c r="N1414" s="2">
        <v>5.0242646361273096</v>
      </c>
      <c r="O1414" s="2">
        <v>2.8779545327574687</v>
      </c>
      <c r="P1414" s="1">
        <v>-0.75648033687548133</v>
      </c>
      <c r="Q1414" s="1">
        <v>0.31026572305143058</v>
      </c>
      <c r="R1414" s="1">
        <v>-0.52509153328775171</v>
      </c>
      <c r="S1414" s="19">
        <v>57.228650592198015</v>
      </c>
      <c r="T1414" s="19">
        <v>92.372651531818335</v>
      </c>
      <c r="U1414" s="19">
        <v>139.12797417793675</v>
      </c>
      <c r="V1414" s="19">
        <v>197.72497067726368</v>
      </c>
      <c r="W1414" s="19">
        <v>266.88696122802361</v>
      </c>
      <c r="X1414" s="19">
        <v>343.31486953443812</v>
      </c>
      <c r="Y1414" s="19">
        <v>421.34810159411234</v>
      </c>
      <c r="Z1414" s="19">
        <v>493.03935124146938</v>
      </c>
      <c r="AA1414" s="19">
        <v>548.89405363805065</v>
      </c>
      <c r="AB1414" s="19">
        <v>579.41874182086622</v>
      </c>
      <c r="AC1414" s="19">
        <v>577.3526026968982</v>
      </c>
      <c r="AD1414" s="19">
        <v>540.05679146934517</v>
      </c>
      <c r="AE1414" s="19">
        <v>471.17044208351888</v>
      </c>
      <c r="AF1414" s="19">
        <v>386.64908480868451</v>
      </c>
      <c r="AG1414" s="19">
        <v>69.284304105883848</v>
      </c>
      <c r="AH1414" s="19">
        <v>0</v>
      </c>
      <c r="AI1414" s="19">
        <v>0</v>
      </c>
      <c r="AJ1414" s="19">
        <v>0</v>
      </c>
      <c r="AK1414" s="19">
        <v>0</v>
      </c>
      <c r="AL1414" s="19">
        <v>0</v>
      </c>
      <c r="AM1414" s="19">
        <v>0</v>
      </c>
      <c r="AN1414" s="19">
        <v>0</v>
      </c>
      <c r="AO1414" s="19">
        <v>0</v>
      </c>
      <c r="AP1414" s="19">
        <v>0</v>
      </c>
      <c r="AQ1414" s="19">
        <v>0</v>
      </c>
      <c r="AR1414" s="19">
        <v>5183.869551200507</v>
      </c>
    </row>
    <row r="1415" spans="1:44" x14ac:dyDescent="0.25">
      <c r="A1415" t="s">
        <v>435</v>
      </c>
      <c r="B1415" t="s">
        <v>474</v>
      </c>
      <c r="C1415" t="s">
        <v>44</v>
      </c>
      <c r="D1415" t="s">
        <v>475</v>
      </c>
      <c r="E1415" t="s">
        <v>134</v>
      </c>
      <c r="F1415" t="s">
        <v>475</v>
      </c>
      <c r="G1415" t="s">
        <v>33</v>
      </c>
      <c r="H1415" t="s">
        <v>454</v>
      </c>
      <c r="I1415" t="s">
        <v>135</v>
      </c>
      <c r="J1415" t="s">
        <v>39</v>
      </c>
      <c r="K1415" t="s">
        <v>33</v>
      </c>
      <c r="L1415">
        <v>7.9536631333358532E-2</v>
      </c>
      <c r="M1415">
        <v>1</v>
      </c>
      <c r="N1415" s="2">
        <v>5.0242646361273096</v>
      </c>
      <c r="O1415" s="2">
        <v>2.8779545327574687</v>
      </c>
      <c r="P1415" s="1">
        <v>-0.75648033687548133</v>
      </c>
      <c r="Q1415" s="1">
        <v>0.31026572305143058</v>
      </c>
      <c r="R1415" s="1">
        <v>-0.52509153328775171</v>
      </c>
      <c r="S1415" s="19">
        <v>27.793381622202688</v>
      </c>
      <c r="T1415" s="19">
        <v>44.861242208436408</v>
      </c>
      <c r="U1415" s="19">
        <v>67.568199505625316</v>
      </c>
      <c r="V1415" s="19">
        <v>96.026125190888564</v>
      </c>
      <c r="W1415" s="19">
        <v>129.61499330567349</v>
      </c>
      <c r="X1415" s="19">
        <v>166.73259087552572</v>
      </c>
      <c r="Y1415" s="19">
        <v>204.62982198976243</v>
      </c>
      <c r="Z1415" s="19">
        <v>239.44703748939261</v>
      </c>
      <c r="AA1415" s="19">
        <v>266.57315426899015</v>
      </c>
      <c r="AB1415" s="19">
        <v>281.39762241186452</v>
      </c>
      <c r="AC1415" s="19">
        <v>280.39419156799926</v>
      </c>
      <c r="AD1415" s="19">
        <v>262.28129350679046</v>
      </c>
      <c r="AE1415" s="19">
        <v>228.82629190831369</v>
      </c>
      <c r="AF1415" s="19">
        <v>187.77807019318783</v>
      </c>
      <c r="AG1415" s="19">
        <v>33.648270307217437</v>
      </c>
      <c r="AH1415" s="19">
        <v>0</v>
      </c>
      <c r="AI1415" s="19">
        <v>0</v>
      </c>
      <c r="AJ1415" s="19">
        <v>0</v>
      </c>
      <c r="AK1415" s="19">
        <v>0</v>
      </c>
      <c r="AL1415" s="19">
        <v>0</v>
      </c>
      <c r="AM1415" s="19">
        <v>0</v>
      </c>
      <c r="AN1415" s="19">
        <v>0</v>
      </c>
      <c r="AO1415" s="19">
        <v>0</v>
      </c>
      <c r="AP1415" s="19">
        <v>0</v>
      </c>
      <c r="AQ1415" s="19">
        <v>0</v>
      </c>
      <c r="AR1415" s="19">
        <v>2517.5722863518708</v>
      </c>
    </row>
    <row r="1416" spans="1:44" x14ac:dyDescent="0.25">
      <c r="A1416" t="s">
        <v>435</v>
      </c>
      <c r="B1416" t="s">
        <v>474</v>
      </c>
      <c r="C1416" t="s">
        <v>44</v>
      </c>
      <c r="D1416" t="s">
        <v>475</v>
      </c>
      <c r="E1416" t="s">
        <v>134</v>
      </c>
      <c r="F1416" t="s">
        <v>475</v>
      </c>
      <c r="G1416" t="s">
        <v>33</v>
      </c>
      <c r="H1416" t="s">
        <v>455</v>
      </c>
      <c r="I1416" t="s">
        <v>135</v>
      </c>
      <c r="J1416" t="s">
        <v>39</v>
      </c>
      <c r="K1416" t="s">
        <v>33</v>
      </c>
      <c r="L1416">
        <v>7.9536631333358532E-2</v>
      </c>
      <c r="M1416">
        <v>1</v>
      </c>
      <c r="N1416" s="2">
        <v>5.0242646361273096</v>
      </c>
      <c r="O1416" s="2">
        <v>2.8779545327574687</v>
      </c>
      <c r="P1416" s="1">
        <v>-0.75648033687548133</v>
      </c>
      <c r="Q1416" s="1">
        <v>0.31026572305143058</v>
      </c>
      <c r="R1416" s="1">
        <v>-0.52509153328775171</v>
      </c>
      <c r="S1416" s="19">
        <v>20.747844447064768</v>
      </c>
      <c r="T1416" s="19">
        <v>33.489054613605845</v>
      </c>
      <c r="U1416" s="19">
        <v>50.439867734232536</v>
      </c>
      <c r="V1416" s="19">
        <v>71.683796358315405</v>
      </c>
      <c r="W1416" s="19">
        <v>96.757989210106345</v>
      </c>
      <c r="X1416" s="19">
        <v>124.46638940034596</v>
      </c>
      <c r="Y1416" s="19">
        <v>152.75678841766177</v>
      </c>
      <c r="Z1416" s="19">
        <v>178.74794635179336</v>
      </c>
      <c r="AA1416" s="19">
        <v>198.99767555158252</v>
      </c>
      <c r="AB1416" s="19">
        <v>210.06418639289441</v>
      </c>
      <c r="AC1416" s="19">
        <v>209.31512219678831</v>
      </c>
      <c r="AD1416" s="19">
        <v>195.79378835667407</v>
      </c>
      <c r="AE1416" s="19">
        <v>170.81952726902708</v>
      </c>
      <c r="AF1416" s="19">
        <v>140.17690412403672</v>
      </c>
      <c r="AG1416" s="19">
        <v>25.118536770251819</v>
      </c>
      <c r="AH1416" s="19">
        <v>0</v>
      </c>
      <c r="AI1416" s="19">
        <v>0</v>
      </c>
      <c r="AJ1416" s="19">
        <v>0</v>
      </c>
      <c r="AK1416" s="19">
        <v>0</v>
      </c>
      <c r="AL1416" s="19">
        <v>0</v>
      </c>
      <c r="AM1416" s="19">
        <v>0</v>
      </c>
      <c r="AN1416" s="19">
        <v>0</v>
      </c>
      <c r="AO1416" s="19">
        <v>0</v>
      </c>
      <c r="AP1416" s="19">
        <v>0</v>
      </c>
      <c r="AQ1416" s="19">
        <v>0</v>
      </c>
      <c r="AR1416" s="19">
        <v>1879.375417194381</v>
      </c>
    </row>
    <row r="1417" spans="1:44" x14ac:dyDescent="0.25">
      <c r="A1417" t="s">
        <v>435</v>
      </c>
      <c r="B1417" t="s">
        <v>474</v>
      </c>
      <c r="C1417" t="s">
        <v>44</v>
      </c>
      <c r="D1417" t="s">
        <v>475</v>
      </c>
      <c r="E1417" t="s">
        <v>134</v>
      </c>
      <c r="F1417" t="s">
        <v>475</v>
      </c>
      <c r="G1417" t="s">
        <v>33</v>
      </c>
      <c r="H1417" t="s">
        <v>457</v>
      </c>
      <c r="I1417" t="s">
        <v>135</v>
      </c>
      <c r="J1417" t="s">
        <v>39</v>
      </c>
      <c r="K1417" t="s">
        <v>33</v>
      </c>
      <c r="L1417">
        <v>7.9536631333358532E-2</v>
      </c>
      <c r="M1417">
        <v>1</v>
      </c>
      <c r="N1417" s="2">
        <v>5.0242646361273096</v>
      </c>
      <c r="O1417" s="2">
        <v>2.8779545327574687</v>
      </c>
      <c r="P1417" s="1">
        <v>-0.75648033687548133</v>
      </c>
      <c r="Q1417" s="1">
        <v>0.31026572305143058</v>
      </c>
      <c r="R1417" s="1">
        <v>-0.52509153328775171</v>
      </c>
      <c r="S1417" s="19">
        <v>15.91087860639478</v>
      </c>
      <c r="T1417" s="19">
        <v>25.681717633823375</v>
      </c>
      <c r="U1417" s="19">
        <v>38.680770645334171</v>
      </c>
      <c r="V1417" s="19">
        <v>54.972080825680003</v>
      </c>
      <c r="W1417" s="19">
        <v>74.200701882486598</v>
      </c>
      <c r="X1417" s="19">
        <v>95.449414871882382</v>
      </c>
      <c r="Y1417" s="19">
        <v>117.1444447165206</v>
      </c>
      <c r="Z1417" s="19">
        <v>137.07625786389107</v>
      </c>
      <c r="AA1417" s="19">
        <v>152.605147331529</v>
      </c>
      <c r="AB1417" s="19">
        <v>161.09171137155266</v>
      </c>
      <c r="AC1417" s="19">
        <v>160.51727726476878</v>
      </c>
      <c r="AD1417" s="19">
        <v>150.14818558030555</v>
      </c>
      <c r="AE1417" s="19">
        <v>130.99619909497329</v>
      </c>
      <c r="AF1417" s="19">
        <v>107.49732149902049</v>
      </c>
      <c r="AG1417" s="19">
        <v>19.262627032962815</v>
      </c>
      <c r="AH1417" s="19">
        <v>0</v>
      </c>
      <c r="AI1417" s="19">
        <v>0</v>
      </c>
      <c r="AJ1417" s="19">
        <v>0</v>
      </c>
      <c r="AK1417" s="19">
        <v>0</v>
      </c>
      <c r="AL1417" s="19">
        <v>0</v>
      </c>
      <c r="AM1417" s="19">
        <v>0</v>
      </c>
      <c r="AN1417" s="19">
        <v>0</v>
      </c>
      <c r="AO1417" s="19">
        <v>0</v>
      </c>
      <c r="AP1417" s="19">
        <v>0</v>
      </c>
      <c r="AQ1417" s="19">
        <v>0</v>
      </c>
      <c r="AR1417" s="19">
        <v>1441.2347362211258</v>
      </c>
    </row>
    <row r="1418" spans="1:44" x14ac:dyDescent="0.25">
      <c r="A1418" t="s">
        <v>435</v>
      </c>
      <c r="B1418" t="s">
        <v>474</v>
      </c>
      <c r="C1418" t="s">
        <v>44</v>
      </c>
      <c r="D1418" t="s">
        <v>475</v>
      </c>
      <c r="E1418" t="s">
        <v>134</v>
      </c>
      <c r="F1418" t="s">
        <v>475</v>
      </c>
      <c r="G1418" t="s">
        <v>33</v>
      </c>
      <c r="H1418" t="s">
        <v>457</v>
      </c>
      <c r="I1418" t="s">
        <v>256</v>
      </c>
      <c r="J1418" t="s">
        <v>39</v>
      </c>
      <c r="K1418" t="s">
        <v>33</v>
      </c>
      <c r="L1418">
        <v>7.9536631333358532E-2</v>
      </c>
      <c r="M1418">
        <v>1</v>
      </c>
      <c r="N1418" s="2">
        <v>4.6198497050152856</v>
      </c>
      <c r="O1418" s="2">
        <v>2.6463011728329868</v>
      </c>
      <c r="P1418" s="1">
        <v>-0.63100424586121473</v>
      </c>
      <c r="Q1418" s="1">
        <v>1.3498045353129324</v>
      </c>
      <c r="R1418" s="1">
        <v>-0.39961544227348506</v>
      </c>
      <c r="S1418" s="19">
        <v>43.755983772128488</v>
      </c>
      <c r="T1418" s="19">
        <v>70.626446711391623</v>
      </c>
      <c r="U1418" s="19">
        <v>106.37471471691222</v>
      </c>
      <c r="V1418" s="19">
        <v>151.17691084399621</v>
      </c>
      <c r="W1418" s="19">
        <v>204.05690897206193</v>
      </c>
      <c r="X1418" s="19">
        <v>262.49229546096001</v>
      </c>
      <c r="Y1418" s="19">
        <v>322.15508324920341</v>
      </c>
      <c r="Z1418" s="19">
        <v>376.96890680982784</v>
      </c>
      <c r="AA1418" s="19">
        <v>419.6743948192738</v>
      </c>
      <c r="AB1418" s="19">
        <v>443.01301536956578</v>
      </c>
      <c r="AC1418" s="19">
        <v>441.43328303193795</v>
      </c>
      <c r="AD1418" s="19">
        <v>412.91758514365574</v>
      </c>
      <c r="AE1418" s="19">
        <v>360.24833722924996</v>
      </c>
      <c r="AF1418" s="19">
        <v>295.62484708845449</v>
      </c>
      <c r="AG1418" s="19">
        <v>52.973516844264445</v>
      </c>
      <c r="AH1418" s="19">
        <v>0</v>
      </c>
      <c r="AI1418" s="19">
        <v>0</v>
      </c>
      <c r="AJ1418" s="19">
        <v>0</v>
      </c>
      <c r="AK1418" s="19">
        <v>0</v>
      </c>
      <c r="AL1418" s="19">
        <v>0</v>
      </c>
      <c r="AM1418" s="19">
        <v>0</v>
      </c>
      <c r="AN1418" s="19">
        <v>0</v>
      </c>
      <c r="AO1418" s="19">
        <v>0</v>
      </c>
      <c r="AP1418" s="19">
        <v>0</v>
      </c>
      <c r="AQ1418" s="19">
        <v>0</v>
      </c>
      <c r="AR1418" s="19">
        <v>3963.4922300628832</v>
      </c>
    </row>
    <row r="1419" spans="1:44" x14ac:dyDescent="0.25">
      <c r="A1419" t="s">
        <v>435</v>
      </c>
      <c r="B1419" t="s">
        <v>474</v>
      </c>
      <c r="C1419" t="s">
        <v>44</v>
      </c>
      <c r="D1419" t="s">
        <v>475</v>
      </c>
      <c r="E1419" t="s">
        <v>134</v>
      </c>
      <c r="F1419" t="s">
        <v>475</v>
      </c>
      <c r="G1419" t="s">
        <v>33</v>
      </c>
      <c r="H1419" t="s">
        <v>452</v>
      </c>
      <c r="I1419" t="s">
        <v>135</v>
      </c>
      <c r="J1419" t="s">
        <v>40</v>
      </c>
      <c r="K1419" t="s">
        <v>33</v>
      </c>
      <c r="L1419">
        <v>7.9536631333358532E-2</v>
      </c>
      <c r="M1419">
        <v>1</v>
      </c>
      <c r="N1419" s="2">
        <v>5.0242646361273096</v>
      </c>
      <c r="O1419" s="2">
        <v>1.7054155637884916</v>
      </c>
      <c r="P1419" s="1">
        <v>-0.75648033687548133</v>
      </c>
      <c r="Q1419" s="1">
        <v>1.3498045353129324</v>
      </c>
      <c r="R1419" s="1">
        <v>-0.38209153328775169</v>
      </c>
      <c r="S1419" s="19">
        <v>29.778448137354701</v>
      </c>
      <c r="T1419" s="19">
        <v>48.065334137464291</v>
      </c>
      <c r="U1419" s="19">
        <v>72.394073958433182</v>
      </c>
      <c r="V1419" s="19">
        <v>102.8845294069467</v>
      </c>
      <c r="W1419" s="19">
        <v>138.87239086060819</v>
      </c>
      <c r="X1419" s="19">
        <v>178.64101165103682</v>
      </c>
      <c r="Y1419" s="19">
        <v>219.24494918640767</v>
      </c>
      <c r="Z1419" s="19">
        <v>256.54888938829345</v>
      </c>
      <c r="AA1419" s="19">
        <v>285.61241511068283</v>
      </c>
      <c r="AB1419" s="19">
        <v>301.49568047785209</v>
      </c>
      <c r="AC1419" s="19">
        <v>300.42058232140482</v>
      </c>
      <c r="AD1419" s="19">
        <v>281.01401989353468</v>
      </c>
      <c r="AE1419" s="19">
        <v>245.16958600717669</v>
      </c>
      <c r="AF1419" s="19">
        <v>201.18960695712695</v>
      </c>
      <c r="AG1419" s="19">
        <v>36.051506285753049</v>
      </c>
      <c r="AH1419" s="19">
        <v>0</v>
      </c>
      <c r="AI1419" s="19">
        <v>0</v>
      </c>
      <c r="AJ1419" s="19">
        <v>0</v>
      </c>
      <c r="AK1419" s="19">
        <v>0</v>
      </c>
      <c r="AL1419" s="19">
        <v>0</v>
      </c>
      <c r="AM1419" s="19">
        <v>0</v>
      </c>
      <c r="AN1419" s="19">
        <v>0</v>
      </c>
      <c r="AO1419" s="19">
        <v>0</v>
      </c>
      <c r="AP1419" s="19">
        <v>0</v>
      </c>
      <c r="AQ1419" s="19">
        <v>0</v>
      </c>
      <c r="AR1419" s="19">
        <v>2697.3830237800762</v>
      </c>
    </row>
    <row r="1420" spans="1:44" x14ac:dyDescent="0.25">
      <c r="A1420" t="s">
        <v>435</v>
      </c>
      <c r="B1420" t="s">
        <v>474</v>
      </c>
      <c r="C1420" t="s">
        <v>44</v>
      </c>
      <c r="D1420" t="s">
        <v>475</v>
      </c>
      <c r="E1420" t="s">
        <v>134</v>
      </c>
      <c r="F1420" t="s">
        <v>475</v>
      </c>
      <c r="G1420" t="s">
        <v>33</v>
      </c>
      <c r="H1420" t="s">
        <v>453</v>
      </c>
      <c r="I1420" t="s">
        <v>135</v>
      </c>
      <c r="J1420" t="s">
        <v>40</v>
      </c>
      <c r="K1420" t="s">
        <v>33</v>
      </c>
      <c r="L1420">
        <v>7.9536631333358532E-2</v>
      </c>
      <c r="M1420">
        <v>1</v>
      </c>
      <c r="N1420" s="2">
        <v>5.0242646361273096</v>
      </c>
      <c r="O1420" s="2">
        <v>1.7054155637884916</v>
      </c>
      <c r="P1420" s="1">
        <v>-0.75648033687548133</v>
      </c>
      <c r="Q1420" s="1">
        <v>1.3498045353129324</v>
      </c>
      <c r="R1420" s="1">
        <v>-0.38209153328775169</v>
      </c>
      <c r="S1420" s="19">
        <v>1165.4395113265691</v>
      </c>
      <c r="T1420" s="19">
        <v>1881.1336061077495</v>
      </c>
      <c r="U1420" s="19">
        <v>2833.2878123094415</v>
      </c>
      <c r="V1420" s="19">
        <v>4026.5931630159007</v>
      </c>
      <c r="W1420" s="19">
        <v>5435.0505639115163</v>
      </c>
      <c r="X1420" s="19">
        <v>6991.4755920508778</v>
      </c>
      <c r="Y1420" s="19">
        <v>8580.5924224808732</v>
      </c>
      <c r="Z1420" s="19">
        <v>10040.557214430688</v>
      </c>
      <c r="AA1420" s="19">
        <v>11178.01679792185</v>
      </c>
      <c r="AB1420" s="19">
        <v>11799.64036078856</v>
      </c>
      <c r="AC1420" s="19">
        <v>11757.56423028308</v>
      </c>
      <c r="AD1420" s="19">
        <v>10998.049344613328</v>
      </c>
      <c r="AE1420" s="19">
        <v>9595.2052702812034</v>
      </c>
      <c r="AF1420" s="19">
        <v>7873.9602592644578</v>
      </c>
      <c r="AG1420" s="19">
        <v>1410.948269515387</v>
      </c>
      <c r="AH1420" s="19">
        <v>0</v>
      </c>
      <c r="AI1420" s="19">
        <v>0</v>
      </c>
      <c r="AJ1420" s="19">
        <v>0</v>
      </c>
      <c r="AK1420" s="19">
        <v>0</v>
      </c>
      <c r="AL1420" s="19">
        <v>0</v>
      </c>
      <c r="AM1420" s="19">
        <v>0</v>
      </c>
      <c r="AN1420" s="19">
        <v>0</v>
      </c>
      <c r="AO1420" s="19">
        <v>0</v>
      </c>
      <c r="AP1420" s="19">
        <v>0</v>
      </c>
      <c r="AQ1420" s="19">
        <v>0</v>
      </c>
      <c r="AR1420" s="19">
        <v>105567.51441830148</v>
      </c>
    </row>
    <row r="1421" spans="1:44" x14ac:dyDescent="0.25">
      <c r="A1421" t="s">
        <v>435</v>
      </c>
      <c r="B1421" t="s">
        <v>474</v>
      </c>
      <c r="C1421" t="s">
        <v>44</v>
      </c>
      <c r="D1421" t="s">
        <v>475</v>
      </c>
      <c r="E1421" t="s">
        <v>134</v>
      </c>
      <c r="F1421" t="s">
        <v>475</v>
      </c>
      <c r="G1421" t="s">
        <v>33</v>
      </c>
      <c r="H1421" t="s">
        <v>450</v>
      </c>
      <c r="I1421" t="s">
        <v>256</v>
      </c>
      <c r="J1421" t="s">
        <v>40</v>
      </c>
      <c r="K1421" t="s">
        <v>33</v>
      </c>
      <c r="L1421">
        <v>7.9536631333358532E-2</v>
      </c>
      <c r="M1421">
        <v>1</v>
      </c>
      <c r="N1421" s="2">
        <v>4.6198497050152856</v>
      </c>
      <c r="O1421" s="2">
        <v>1.473762203864009</v>
      </c>
      <c r="P1421" s="1">
        <v>-0.63100424586121473</v>
      </c>
      <c r="Q1421" s="1">
        <v>1.3498045353129324</v>
      </c>
      <c r="R1421" s="1">
        <v>-0.25661544227348515</v>
      </c>
      <c r="S1421" s="19">
        <v>558.6336171538145</v>
      </c>
      <c r="T1421" s="19">
        <v>901.68941460841438</v>
      </c>
      <c r="U1421" s="19">
        <v>1358.0883466243931</v>
      </c>
      <c r="V1421" s="19">
        <v>1930.078980162607</v>
      </c>
      <c r="W1421" s="19">
        <v>2605.1990913503464</v>
      </c>
      <c r="X1421" s="19">
        <v>3351.2449691913475</v>
      </c>
      <c r="Y1421" s="19">
        <v>4112.9611066961115</v>
      </c>
      <c r="Z1421" s="19">
        <v>4812.7704101543368</v>
      </c>
      <c r="AA1421" s="19">
        <v>5357.9923245621148</v>
      </c>
      <c r="AB1421" s="19">
        <v>5655.957011752962</v>
      </c>
      <c r="AC1421" s="19">
        <v>5635.7885338940287</v>
      </c>
      <c r="AD1421" s="19">
        <v>5271.7279852852844</v>
      </c>
      <c r="AE1421" s="19">
        <v>4599.2985267585818</v>
      </c>
      <c r="AF1421" s="19">
        <v>3774.2489920832422</v>
      </c>
      <c r="AG1421" s="19">
        <v>676.31406671559557</v>
      </c>
      <c r="AH1421" s="19">
        <v>0</v>
      </c>
      <c r="AI1421" s="19">
        <v>0</v>
      </c>
      <c r="AJ1421" s="19">
        <v>0</v>
      </c>
      <c r="AK1421" s="19">
        <v>0</v>
      </c>
      <c r="AL1421" s="19">
        <v>0</v>
      </c>
      <c r="AM1421" s="19">
        <v>0</v>
      </c>
      <c r="AN1421" s="19">
        <v>0</v>
      </c>
      <c r="AO1421" s="19">
        <v>0</v>
      </c>
      <c r="AP1421" s="19">
        <v>0</v>
      </c>
      <c r="AQ1421" s="19">
        <v>0</v>
      </c>
      <c r="AR1421" s="19">
        <v>50601.993376993189</v>
      </c>
    </row>
    <row r="1422" spans="1:44" x14ac:dyDescent="0.25">
      <c r="A1422" t="s">
        <v>435</v>
      </c>
      <c r="B1422" t="s">
        <v>474</v>
      </c>
      <c r="C1422" t="s">
        <v>44</v>
      </c>
      <c r="D1422" t="s">
        <v>475</v>
      </c>
      <c r="E1422" t="s">
        <v>134</v>
      </c>
      <c r="F1422" t="s">
        <v>475</v>
      </c>
      <c r="G1422" t="s">
        <v>33</v>
      </c>
      <c r="H1422" t="s">
        <v>452</v>
      </c>
      <c r="I1422" t="s">
        <v>256</v>
      </c>
      <c r="J1422" t="s">
        <v>40</v>
      </c>
      <c r="K1422" t="s">
        <v>33</v>
      </c>
      <c r="L1422">
        <v>7.9536631333358532E-2</v>
      </c>
      <c r="M1422">
        <v>1</v>
      </c>
      <c r="N1422" s="2">
        <v>4.6198497050152856</v>
      </c>
      <c r="O1422" s="2">
        <v>1.473762203864009</v>
      </c>
      <c r="P1422" s="1">
        <v>-0.63100424586121473</v>
      </c>
      <c r="Q1422" s="1">
        <v>1.3498045353129324</v>
      </c>
      <c r="R1422" s="1">
        <v>-0.25661544227348515</v>
      </c>
      <c r="S1422" s="19">
        <v>179.56739134886973</v>
      </c>
      <c r="T1422" s="19">
        <v>289.83937059330424</v>
      </c>
      <c r="U1422" s="19">
        <v>436.54440788423778</v>
      </c>
      <c r="V1422" s="19">
        <v>620.40528339643197</v>
      </c>
      <c r="W1422" s="19">
        <v>837.41613539419461</v>
      </c>
      <c r="X1422" s="19">
        <v>1077.225391401787</v>
      </c>
      <c r="Y1422" s="19">
        <v>1322.0717013266094</v>
      </c>
      <c r="Z1422" s="19">
        <v>1547.0186561910582</v>
      </c>
      <c r="AA1422" s="19">
        <v>1722.2749849727984</v>
      </c>
      <c r="AB1422" s="19">
        <v>1818.0528614735783</v>
      </c>
      <c r="AC1422" s="19">
        <v>1811.569898677574</v>
      </c>
      <c r="AD1422" s="19">
        <v>1694.5461446475492</v>
      </c>
      <c r="AE1422" s="19">
        <v>1478.4001770114371</v>
      </c>
      <c r="AF1422" s="19">
        <v>1213.1959570612121</v>
      </c>
      <c r="AG1422" s="19">
        <v>217.39463749319111</v>
      </c>
      <c r="AH1422" s="19">
        <v>0</v>
      </c>
      <c r="AI1422" s="19">
        <v>0</v>
      </c>
      <c r="AJ1422" s="19">
        <v>0</v>
      </c>
      <c r="AK1422" s="19">
        <v>0</v>
      </c>
      <c r="AL1422" s="19">
        <v>0</v>
      </c>
      <c r="AM1422" s="19">
        <v>0</v>
      </c>
      <c r="AN1422" s="19">
        <v>0</v>
      </c>
      <c r="AO1422" s="19">
        <v>0</v>
      </c>
      <c r="AP1422" s="19">
        <v>0</v>
      </c>
      <c r="AQ1422" s="19">
        <v>0</v>
      </c>
      <c r="AR1422" s="19">
        <v>16265.522998873832</v>
      </c>
    </row>
    <row r="1423" spans="1:44" x14ac:dyDescent="0.25">
      <c r="A1423" t="s">
        <v>435</v>
      </c>
      <c r="B1423" t="s">
        <v>474</v>
      </c>
      <c r="C1423" t="s">
        <v>44</v>
      </c>
      <c r="D1423" t="s">
        <v>475</v>
      </c>
      <c r="E1423" t="s">
        <v>134</v>
      </c>
      <c r="F1423" t="s">
        <v>475</v>
      </c>
      <c r="G1423" t="s">
        <v>33</v>
      </c>
      <c r="H1423" t="s">
        <v>453</v>
      </c>
      <c r="I1423" t="s">
        <v>256</v>
      </c>
      <c r="J1423" t="s">
        <v>40</v>
      </c>
      <c r="K1423" t="s">
        <v>33</v>
      </c>
      <c r="L1423">
        <v>7.9536631333358532E-2</v>
      </c>
      <c r="M1423">
        <v>1</v>
      </c>
      <c r="N1423" s="2">
        <v>4.6198497050152856</v>
      </c>
      <c r="O1423" s="2">
        <v>1.473762203864009</v>
      </c>
      <c r="P1423" s="1">
        <v>-0.63100424586121473</v>
      </c>
      <c r="Q1423" s="1">
        <v>1.3498045353129324</v>
      </c>
      <c r="R1423" s="1">
        <v>-0.25661544227348515</v>
      </c>
      <c r="S1423" s="19">
        <v>599.96504512134766</v>
      </c>
      <c r="T1423" s="19">
        <v>968.40239059946271</v>
      </c>
      <c r="U1423" s="19">
        <v>1458.5687490714176</v>
      </c>
      <c r="V1423" s="19">
        <v>2072.8790514269822</v>
      </c>
      <c r="W1423" s="19">
        <v>2797.9490356409015</v>
      </c>
      <c r="X1423" s="19">
        <v>3599.1923461347446</v>
      </c>
      <c r="Y1423" s="19">
        <v>4417.2653062549953</v>
      </c>
      <c r="Z1423" s="19">
        <v>5168.8511532808261</v>
      </c>
      <c r="AA1423" s="19">
        <v>5754.4122087458127</v>
      </c>
      <c r="AB1423" s="19">
        <v>6074.4223039238141</v>
      </c>
      <c r="AC1423" s="19">
        <v>6052.7616280226512</v>
      </c>
      <c r="AD1423" s="19">
        <v>5661.7654602914727</v>
      </c>
      <c r="AE1423" s="19">
        <v>4939.5852011059351</v>
      </c>
      <c r="AF1423" s="19">
        <v>4053.4930181456239</v>
      </c>
      <c r="AG1423" s="19">
        <v>726.35227650735931</v>
      </c>
      <c r="AH1423" s="19">
        <v>0</v>
      </c>
      <c r="AI1423" s="19">
        <v>0</v>
      </c>
      <c r="AJ1423" s="19">
        <v>0</v>
      </c>
      <c r="AK1423" s="19">
        <v>0</v>
      </c>
      <c r="AL1423" s="19">
        <v>0</v>
      </c>
      <c r="AM1423" s="19">
        <v>0</v>
      </c>
      <c r="AN1423" s="19">
        <v>0</v>
      </c>
      <c r="AO1423" s="19">
        <v>0</v>
      </c>
      <c r="AP1423" s="19">
        <v>0</v>
      </c>
      <c r="AQ1423" s="19">
        <v>0</v>
      </c>
      <c r="AR1423" s="19">
        <v>54345.865174273335</v>
      </c>
    </row>
    <row r="1424" spans="1:44" x14ac:dyDescent="0.25">
      <c r="A1424" t="s">
        <v>435</v>
      </c>
      <c r="B1424" t="s">
        <v>474</v>
      </c>
      <c r="C1424" t="s">
        <v>44</v>
      </c>
      <c r="D1424" t="s">
        <v>475</v>
      </c>
      <c r="E1424" t="s">
        <v>134</v>
      </c>
      <c r="F1424" t="s">
        <v>475</v>
      </c>
      <c r="G1424" t="s">
        <v>33</v>
      </c>
      <c r="H1424" t="s">
        <v>457</v>
      </c>
      <c r="I1424" t="s">
        <v>256</v>
      </c>
      <c r="J1424" t="s">
        <v>40</v>
      </c>
      <c r="K1424" t="s">
        <v>33</v>
      </c>
      <c r="L1424">
        <v>7.9536631333358532E-2</v>
      </c>
      <c r="M1424">
        <v>1</v>
      </c>
      <c r="N1424" s="2">
        <v>4.6198497050152856</v>
      </c>
      <c r="O1424" s="2">
        <v>1.473762203864009</v>
      </c>
      <c r="P1424" s="1">
        <v>-0.63100424586121473</v>
      </c>
      <c r="Q1424" s="1">
        <v>1.3498045353129324</v>
      </c>
      <c r="R1424" s="1">
        <v>-0.25661544227348515</v>
      </c>
      <c r="S1424" s="19">
        <v>400.38403695184866</v>
      </c>
      <c r="T1424" s="19">
        <v>646.2590807496324</v>
      </c>
      <c r="U1424" s="19">
        <v>973.36944655985121</v>
      </c>
      <c r="V1424" s="19">
        <v>1383.3267279019406</v>
      </c>
      <c r="W1424" s="19">
        <v>1867.1989963162871</v>
      </c>
      <c r="X1424" s="19">
        <v>2401.9051993606708</v>
      </c>
      <c r="Y1424" s="19">
        <v>2947.8425951431987</v>
      </c>
      <c r="Z1424" s="19">
        <v>3449.4101081092449</v>
      </c>
      <c r="AA1424" s="19">
        <v>3840.181705846971</v>
      </c>
      <c r="AB1424" s="19">
        <v>4053.7390369191503</v>
      </c>
      <c r="AC1424" s="19">
        <v>4039.2838800213694</v>
      </c>
      <c r="AD1424" s="19">
        <v>3778.3543053038152</v>
      </c>
      <c r="AE1424" s="19">
        <v>3296.4104821913288</v>
      </c>
      <c r="AF1424" s="19">
        <v>2705.0807568847999</v>
      </c>
      <c r="AG1424" s="19">
        <v>484.7280005427134</v>
      </c>
      <c r="AH1424" s="19">
        <v>0</v>
      </c>
      <c r="AI1424" s="19">
        <v>0</v>
      </c>
      <c r="AJ1424" s="19">
        <v>0</v>
      </c>
      <c r="AK1424" s="19">
        <v>0</v>
      </c>
      <c r="AL1424" s="19">
        <v>0</v>
      </c>
      <c r="AM1424" s="19">
        <v>0</v>
      </c>
      <c r="AN1424" s="19">
        <v>0</v>
      </c>
      <c r="AO1424" s="19">
        <v>0</v>
      </c>
      <c r="AP1424" s="19">
        <v>0</v>
      </c>
      <c r="AQ1424" s="19">
        <v>0</v>
      </c>
      <c r="AR1424" s="19">
        <v>36267.474358802829</v>
      </c>
    </row>
    <row r="1425" spans="1:44" x14ac:dyDescent="0.25">
      <c r="A1425" t="s">
        <v>435</v>
      </c>
      <c r="B1425" t="s">
        <v>476</v>
      </c>
      <c r="C1425" t="s">
        <v>45</v>
      </c>
      <c r="D1425" t="s">
        <v>477</v>
      </c>
      <c r="E1425" t="s">
        <v>145</v>
      </c>
      <c r="F1425" t="s">
        <v>477</v>
      </c>
      <c r="G1425" t="s">
        <v>33</v>
      </c>
      <c r="H1425" t="s">
        <v>450</v>
      </c>
      <c r="I1425" t="s">
        <v>135</v>
      </c>
      <c r="J1425" t="s">
        <v>39</v>
      </c>
      <c r="K1425" t="s">
        <v>31</v>
      </c>
      <c r="L1425">
        <v>0.10091851851851852</v>
      </c>
      <c r="M1425">
        <v>1</v>
      </c>
      <c r="N1425" s="2">
        <v>3.2426727002102926</v>
      </c>
      <c r="O1425" s="2">
        <v>3.1523474906593334</v>
      </c>
      <c r="P1425" s="1">
        <v>-0.68880560164319704</v>
      </c>
      <c r="Q1425" s="1">
        <v>0.52656664600916792</v>
      </c>
      <c r="R1425" s="1">
        <v>-0.67371772101320471</v>
      </c>
      <c r="S1425" s="19">
        <v>0</v>
      </c>
      <c r="T1425" s="19">
        <v>0</v>
      </c>
      <c r="U1425" s="19">
        <v>2.6475595016003139</v>
      </c>
      <c r="V1425" s="19">
        <v>4.9434166538739346</v>
      </c>
      <c r="W1425" s="19">
        <v>8.3939767885695673</v>
      </c>
      <c r="X1425" s="19">
        <v>13.28727156665237</v>
      </c>
      <c r="Y1425" s="19">
        <v>19.877099289989221</v>
      </c>
      <c r="Z1425" s="19">
        <v>28.332576721984022</v>
      </c>
      <c r="AA1425" s="19">
        <v>38.679576246970079</v>
      </c>
      <c r="AB1425" s="19">
        <v>50.744490231907655</v>
      </c>
      <c r="AC1425" s="19">
        <v>64.116970855170024</v>
      </c>
      <c r="AD1425" s="19">
        <v>78.15178256388829</v>
      </c>
      <c r="AE1425" s="19">
        <v>92.026597044900782</v>
      </c>
      <c r="AF1425" s="19">
        <v>104.85925530255253</v>
      </c>
      <c r="AG1425" s="19">
        <v>115.86565066667583</v>
      </c>
      <c r="AH1425" s="19">
        <v>124.51575926696208</v>
      </c>
      <c r="AI1425" s="19">
        <v>130.63405984655509</v>
      </c>
      <c r="AJ1425" s="19">
        <v>134.77297659371354</v>
      </c>
      <c r="AK1425" s="19">
        <v>136.5201963866817</v>
      </c>
      <c r="AL1425" s="19">
        <v>137.67954068921765</v>
      </c>
      <c r="AM1425" s="19">
        <v>137.1668961627895</v>
      </c>
      <c r="AN1425" s="19">
        <v>136.1095358069372</v>
      </c>
      <c r="AO1425" s="19">
        <v>135.06032618536122</v>
      </c>
      <c r="AP1425" s="19">
        <v>134.01920446757157</v>
      </c>
      <c r="AQ1425" s="19">
        <v>132.98610830741137</v>
      </c>
      <c r="AR1425" s="19">
        <v>1961.3908271479352</v>
      </c>
    </row>
    <row r="1426" spans="1:44" x14ac:dyDescent="0.25">
      <c r="A1426" t="s">
        <v>435</v>
      </c>
      <c r="B1426" t="s">
        <v>476</v>
      </c>
      <c r="C1426" t="s">
        <v>45</v>
      </c>
      <c r="D1426" t="s">
        <v>477</v>
      </c>
      <c r="E1426" t="s">
        <v>145</v>
      </c>
      <c r="F1426" t="s">
        <v>477</v>
      </c>
      <c r="G1426" t="s">
        <v>33</v>
      </c>
      <c r="H1426" t="s">
        <v>451</v>
      </c>
      <c r="I1426" t="s">
        <v>135</v>
      </c>
      <c r="J1426" t="s">
        <v>39</v>
      </c>
      <c r="K1426" t="s">
        <v>31</v>
      </c>
      <c r="L1426">
        <v>0.10091851851851852</v>
      </c>
      <c r="M1426">
        <v>1</v>
      </c>
      <c r="N1426" s="2">
        <v>3.2426727002102926</v>
      </c>
      <c r="O1426" s="2">
        <v>3.1523474906593334</v>
      </c>
      <c r="P1426" s="1">
        <v>-0.68880560164319704</v>
      </c>
      <c r="Q1426" s="1">
        <v>0.52656664600916792</v>
      </c>
      <c r="R1426" s="1">
        <v>-0.67371772101320471</v>
      </c>
      <c r="S1426" s="19">
        <v>0</v>
      </c>
      <c r="T1426" s="19">
        <v>0</v>
      </c>
      <c r="U1426" s="19">
        <v>0.6925560613970273</v>
      </c>
      <c r="V1426" s="19">
        <v>1.2931128330003601</v>
      </c>
      <c r="W1426" s="19">
        <v>2.1957200586562693</v>
      </c>
      <c r="X1426" s="19">
        <v>3.4757218704060202</v>
      </c>
      <c r="Y1426" s="19">
        <v>5.1995075419274759</v>
      </c>
      <c r="Z1426" s="19">
        <v>7.411315111877907</v>
      </c>
      <c r="AA1426" s="19">
        <v>10.117912351324216</v>
      </c>
      <c r="AB1426" s="19">
        <v>13.273886487298018</v>
      </c>
      <c r="AC1426" s="19">
        <v>16.771897582405316</v>
      </c>
      <c r="AD1426" s="19">
        <v>20.443163105829296</v>
      </c>
      <c r="AE1426" s="19">
        <v>24.072576104395047</v>
      </c>
      <c r="AF1426" s="19">
        <v>27.429378946711296</v>
      </c>
      <c r="AG1426" s="19">
        <v>30.308462804486091</v>
      </c>
      <c r="AH1426" s="19">
        <v>32.571182542890369</v>
      </c>
      <c r="AI1426" s="19">
        <v>34.171624817855232</v>
      </c>
      <c r="AJ1426" s="19">
        <v>35.25429430238605</v>
      </c>
      <c r="AK1426" s="19">
        <v>35.711336970353109</v>
      </c>
      <c r="AL1426" s="19">
        <v>36.014601513976046</v>
      </c>
      <c r="AM1426" s="19">
        <v>35.880502516803269</v>
      </c>
      <c r="AN1426" s="19">
        <v>35.603915220810947</v>
      </c>
      <c r="AO1426" s="19">
        <v>35.329460016816739</v>
      </c>
      <c r="AP1426" s="19">
        <v>35.057120469444349</v>
      </c>
      <c r="AQ1426" s="19">
        <v>34.786880270010691</v>
      </c>
      <c r="AR1426" s="19">
        <v>513.06612950106114</v>
      </c>
    </row>
    <row r="1427" spans="1:44" x14ac:dyDescent="0.25">
      <c r="A1427" t="s">
        <v>435</v>
      </c>
      <c r="B1427" t="s">
        <v>476</v>
      </c>
      <c r="C1427" t="s">
        <v>45</v>
      </c>
      <c r="D1427" t="s">
        <v>477</v>
      </c>
      <c r="E1427" t="s">
        <v>145</v>
      </c>
      <c r="F1427" t="s">
        <v>477</v>
      </c>
      <c r="G1427" t="s">
        <v>33</v>
      </c>
      <c r="H1427" t="s">
        <v>452</v>
      </c>
      <c r="I1427" t="s">
        <v>135</v>
      </c>
      <c r="J1427" t="s">
        <v>39</v>
      </c>
      <c r="K1427" t="s">
        <v>31</v>
      </c>
      <c r="L1427">
        <v>0.10091851851851852</v>
      </c>
      <c r="M1427">
        <v>1</v>
      </c>
      <c r="N1427" s="2">
        <v>3.2426727002102926</v>
      </c>
      <c r="O1427" s="2">
        <v>3.1523474906593334</v>
      </c>
      <c r="P1427" s="1">
        <v>-0.68880560164319704</v>
      </c>
      <c r="Q1427" s="1">
        <v>0.52656664600916792</v>
      </c>
      <c r="R1427" s="1">
        <v>-0.67371772101320471</v>
      </c>
      <c r="S1427" s="19">
        <v>0</v>
      </c>
      <c r="T1427" s="19">
        <v>0</v>
      </c>
      <c r="U1427" s="19">
        <v>15.685921262073302</v>
      </c>
      <c r="V1427" s="19">
        <v>29.288121513952081</v>
      </c>
      <c r="W1427" s="19">
        <v>49.731558026018682</v>
      </c>
      <c r="X1427" s="19">
        <v>78.722723873179575</v>
      </c>
      <c r="Y1427" s="19">
        <v>117.76529071120876</v>
      </c>
      <c r="Z1427" s="19">
        <v>167.86121986835855</v>
      </c>
      <c r="AA1427" s="19">
        <v>229.16379673189559</v>
      </c>
      <c r="AB1427" s="19">
        <v>300.6444530446343</v>
      </c>
      <c r="AC1427" s="19">
        <v>379.87201261725409</v>
      </c>
      <c r="AD1427" s="19">
        <v>463.02366653019186</v>
      </c>
      <c r="AE1427" s="19">
        <v>545.2273893713533</v>
      </c>
      <c r="AF1427" s="19">
        <v>621.25667856804546</v>
      </c>
      <c r="AG1427" s="19">
        <v>686.4659594006506</v>
      </c>
      <c r="AH1427" s="19">
        <v>737.71501436257267</v>
      </c>
      <c r="AI1427" s="19">
        <v>773.96393760346029</v>
      </c>
      <c r="AJ1427" s="19">
        <v>798.48566116319989</v>
      </c>
      <c r="AK1427" s="19">
        <v>808.83736509410971</v>
      </c>
      <c r="AL1427" s="19">
        <v>815.7060996529442</v>
      </c>
      <c r="AM1427" s="19">
        <v>812.66884905588483</v>
      </c>
      <c r="AN1427" s="19">
        <v>806.40433591557189</v>
      </c>
      <c r="AO1427" s="19">
        <v>800.18811320121813</v>
      </c>
      <c r="AP1427" s="19">
        <v>794.01980866278859</v>
      </c>
      <c r="AQ1427" s="19">
        <v>787.89905291976277</v>
      </c>
      <c r="AR1427" s="19">
        <v>11620.597029150327</v>
      </c>
    </row>
    <row r="1428" spans="1:44" x14ac:dyDescent="0.25">
      <c r="A1428" t="s">
        <v>435</v>
      </c>
      <c r="B1428" t="s">
        <v>476</v>
      </c>
      <c r="C1428" t="s">
        <v>45</v>
      </c>
      <c r="D1428" t="s">
        <v>477</v>
      </c>
      <c r="E1428" t="s">
        <v>145</v>
      </c>
      <c r="F1428" t="s">
        <v>477</v>
      </c>
      <c r="G1428" t="s">
        <v>33</v>
      </c>
      <c r="H1428" t="s">
        <v>453</v>
      </c>
      <c r="I1428" t="s">
        <v>135</v>
      </c>
      <c r="J1428" t="s">
        <v>39</v>
      </c>
      <c r="K1428" t="s">
        <v>31</v>
      </c>
      <c r="L1428">
        <v>0.10091851851851852</v>
      </c>
      <c r="M1428">
        <v>1</v>
      </c>
      <c r="N1428" s="2">
        <v>3.2426727002102926</v>
      </c>
      <c r="O1428" s="2">
        <v>3.1523474906593334</v>
      </c>
      <c r="P1428" s="1">
        <v>-0.68880560164319704</v>
      </c>
      <c r="Q1428" s="1">
        <v>0.52656664600916792</v>
      </c>
      <c r="R1428" s="1">
        <v>-0.67371772101320471</v>
      </c>
      <c r="S1428" s="19">
        <v>0</v>
      </c>
      <c r="T1428" s="19">
        <v>0</v>
      </c>
      <c r="U1428" s="19">
        <v>4.7972233990016928</v>
      </c>
      <c r="V1428" s="19">
        <v>8.9571826539287915</v>
      </c>
      <c r="W1428" s="19">
        <v>15.209396365393561</v>
      </c>
      <c r="X1428" s="19">
        <v>24.075761103728116</v>
      </c>
      <c r="Y1428" s="19">
        <v>36.016144589226066</v>
      </c>
      <c r="Z1428" s="19">
        <v>51.336976533504583</v>
      </c>
      <c r="AA1428" s="19">
        <v>70.085136187978648</v>
      </c>
      <c r="AB1428" s="19">
        <v>91.946056647179276</v>
      </c>
      <c r="AC1428" s="19">
        <v>116.17621159169896</v>
      </c>
      <c r="AD1428" s="19">
        <v>141.60647183285687</v>
      </c>
      <c r="AE1428" s="19">
        <v>166.7468264291891</v>
      </c>
      <c r="AF1428" s="19">
        <v>189.99885473215596</v>
      </c>
      <c r="AG1428" s="19">
        <v>209.94180118813591</v>
      </c>
      <c r="AH1428" s="19">
        <v>225.61529345757</v>
      </c>
      <c r="AI1428" s="19">
        <v>236.70129726024479</v>
      </c>
      <c r="AJ1428" s="19">
        <v>244.2007730053553</v>
      </c>
      <c r="AK1428" s="19">
        <v>247.36663336428569</v>
      </c>
      <c r="AL1428" s="19">
        <v>249.46729762216657</v>
      </c>
      <c r="AM1428" s="19">
        <v>248.53841564007519</v>
      </c>
      <c r="AN1428" s="19">
        <v>246.62254034541027</v>
      </c>
      <c r="AO1428" s="19">
        <v>244.72143370586565</v>
      </c>
      <c r="AP1428" s="19">
        <v>242.83498187625784</v>
      </c>
      <c r="AQ1428" s="19">
        <v>240.96307188898703</v>
      </c>
      <c r="AR1428" s="19">
        <v>3553.925781420196</v>
      </c>
    </row>
    <row r="1429" spans="1:44" x14ac:dyDescent="0.25">
      <c r="A1429" t="s">
        <v>435</v>
      </c>
      <c r="B1429" t="s">
        <v>476</v>
      </c>
      <c r="C1429" t="s">
        <v>45</v>
      </c>
      <c r="D1429" t="s">
        <v>477</v>
      </c>
      <c r="E1429" t="s">
        <v>145</v>
      </c>
      <c r="F1429" t="s">
        <v>477</v>
      </c>
      <c r="G1429" t="s">
        <v>33</v>
      </c>
      <c r="H1429" t="s">
        <v>454</v>
      </c>
      <c r="I1429" t="s">
        <v>135</v>
      </c>
      <c r="J1429" t="s">
        <v>39</v>
      </c>
      <c r="K1429" t="s">
        <v>31</v>
      </c>
      <c r="L1429">
        <v>0.10091851851851852</v>
      </c>
      <c r="M1429">
        <v>1</v>
      </c>
      <c r="N1429" s="2">
        <v>3.2426727002102926</v>
      </c>
      <c r="O1429" s="2">
        <v>3.1523474906593334</v>
      </c>
      <c r="P1429" s="1">
        <v>-0.68880560164319704</v>
      </c>
      <c r="Q1429" s="1">
        <v>0.52656664600916792</v>
      </c>
      <c r="R1429" s="1">
        <v>-0.67371772101320471</v>
      </c>
      <c r="S1429" s="19">
        <v>0</v>
      </c>
      <c r="T1429" s="19">
        <v>0</v>
      </c>
      <c r="U1429" s="19">
        <v>0.26415482785431876</v>
      </c>
      <c r="V1429" s="19">
        <v>0.49321927398683046</v>
      </c>
      <c r="W1429" s="19">
        <v>0.8374918457007261</v>
      </c>
      <c r="X1429" s="19">
        <v>1.3257103121652556</v>
      </c>
      <c r="Y1429" s="19">
        <v>1.9831968792454209</v>
      </c>
      <c r="Z1429" s="19">
        <v>2.8268248257087931</v>
      </c>
      <c r="AA1429" s="19">
        <v>3.8591755157232472</v>
      </c>
      <c r="AB1429" s="19">
        <v>5.0629276031992685</v>
      </c>
      <c r="AC1429" s="19">
        <v>6.3971394745048711</v>
      </c>
      <c r="AD1429" s="19">
        <v>7.7974340736039052</v>
      </c>
      <c r="AE1429" s="19">
        <v>9.1817652769355362</v>
      </c>
      <c r="AF1429" s="19">
        <v>10.462117477108691</v>
      </c>
      <c r="AG1429" s="19">
        <v>11.560258036725653</v>
      </c>
      <c r="AH1429" s="19">
        <v>12.423304909458306</v>
      </c>
      <c r="AI1429" s="19">
        <v>13.033745821319386</v>
      </c>
      <c r="AJ1429" s="19">
        <v>13.44669776449126</v>
      </c>
      <c r="AK1429" s="19">
        <v>13.621023041545913</v>
      </c>
      <c r="AL1429" s="19">
        <v>13.736694245337612</v>
      </c>
      <c r="AM1429" s="19">
        <v>13.685546187457431</v>
      </c>
      <c r="AN1429" s="19">
        <v>13.580050223113169</v>
      </c>
      <c r="AO1429" s="19">
        <v>13.475367481591032</v>
      </c>
      <c r="AP1429" s="19">
        <v>13.371491694107547</v>
      </c>
      <c r="AQ1429" s="19">
        <v>13.268416640202574</v>
      </c>
      <c r="AR1429" s="19">
        <v>195.69375343108675</v>
      </c>
    </row>
    <row r="1430" spans="1:44" x14ac:dyDescent="0.25">
      <c r="A1430" t="s">
        <v>435</v>
      </c>
      <c r="B1430" t="s">
        <v>476</v>
      </c>
      <c r="C1430" t="s">
        <v>45</v>
      </c>
      <c r="D1430" t="s">
        <v>477</v>
      </c>
      <c r="E1430" t="s">
        <v>145</v>
      </c>
      <c r="F1430" t="s">
        <v>477</v>
      </c>
      <c r="G1430" t="s">
        <v>33</v>
      </c>
      <c r="H1430" t="s">
        <v>455</v>
      </c>
      <c r="I1430" t="s">
        <v>135</v>
      </c>
      <c r="J1430" t="s">
        <v>39</v>
      </c>
      <c r="K1430" t="s">
        <v>31</v>
      </c>
      <c r="L1430">
        <v>0.10091851851851852</v>
      </c>
      <c r="M1430">
        <v>1</v>
      </c>
      <c r="N1430" s="2">
        <v>3.2426727002102926</v>
      </c>
      <c r="O1430" s="2">
        <v>3.1523474906593334</v>
      </c>
      <c r="P1430" s="1">
        <v>-0.68880560164319704</v>
      </c>
      <c r="Q1430" s="1">
        <v>0.52656664600916792</v>
      </c>
      <c r="R1430" s="1">
        <v>-0.67371772101320471</v>
      </c>
      <c r="S1430" s="19">
        <v>0</v>
      </c>
      <c r="T1430" s="19">
        <v>0</v>
      </c>
      <c r="U1430" s="19">
        <v>6.2238792843667352E-2</v>
      </c>
      <c r="V1430" s="19">
        <v>0.11620977163097668</v>
      </c>
      <c r="W1430" s="19">
        <v>0.19732549246298359</v>
      </c>
      <c r="X1430" s="19">
        <v>0.31235699971787562</v>
      </c>
      <c r="Y1430" s="19">
        <v>0.4672705804326085</v>
      </c>
      <c r="Z1430" s="19">
        <v>0.66604182918684129</v>
      </c>
      <c r="AA1430" s="19">
        <v>0.90927895364046574</v>
      </c>
      <c r="AB1430" s="19">
        <v>1.1929007879113522</v>
      </c>
      <c r="AC1430" s="19">
        <v>1.5072608809759676</v>
      </c>
      <c r="AD1430" s="19">
        <v>1.8371910442115067</v>
      </c>
      <c r="AE1430" s="19">
        <v>2.1633599947888507</v>
      </c>
      <c r="AF1430" s="19">
        <v>2.4650299510065667</v>
      </c>
      <c r="AG1430" s="19">
        <v>2.7237681439004793</v>
      </c>
      <c r="AH1430" s="19">
        <v>2.9271147795183081</v>
      </c>
      <c r="AI1430" s="19">
        <v>3.0709437065352119</v>
      </c>
      <c r="AJ1430" s="19">
        <v>3.1682413052739267</v>
      </c>
      <c r="AK1430" s="19">
        <v>3.2093149244621522</v>
      </c>
      <c r="AL1430" s="19">
        <v>3.2365687745971186</v>
      </c>
      <c r="AM1430" s="19">
        <v>3.2245175340249927</v>
      </c>
      <c r="AN1430" s="19">
        <v>3.1996611211250303</v>
      </c>
      <c r="AO1430" s="19">
        <v>3.1749963155758518</v>
      </c>
      <c r="AP1430" s="19">
        <v>3.1505216403591532</v>
      </c>
      <c r="AQ1430" s="19">
        <v>3.1262356298423235</v>
      </c>
      <c r="AR1430" s="19">
        <v>46.108348954024208</v>
      </c>
    </row>
    <row r="1431" spans="1:44" x14ac:dyDescent="0.25">
      <c r="A1431" t="s">
        <v>435</v>
      </c>
      <c r="B1431" t="s">
        <v>476</v>
      </c>
      <c r="C1431" t="s">
        <v>45</v>
      </c>
      <c r="D1431" t="s">
        <v>477</v>
      </c>
      <c r="E1431" t="s">
        <v>145</v>
      </c>
      <c r="F1431" t="s">
        <v>477</v>
      </c>
      <c r="G1431" t="s">
        <v>33</v>
      </c>
      <c r="H1431" t="s">
        <v>457</v>
      </c>
      <c r="I1431" t="s">
        <v>135</v>
      </c>
      <c r="J1431" t="s">
        <v>39</v>
      </c>
      <c r="K1431" t="s">
        <v>31</v>
      </c>
      <c r="L1431">
        <v>0.10091851851851852</v>
      </c>
      <c r="M1431">
        <v>1</v>
      </c>
      <c r="N1431" s="2">
        <v>3.2426727002102926</v>
      </c>
      <c r="O1431" s="2">
        <v>3.1523474906593334</v>
      </c>
      <c r="P1431" s="1">
        <v>-0.68880560164319704</v>
      </c>
      <c r="Q1431" s="1">
        <v>0.52656664600916792</v>
      </c>
      <c r="R1431" s="1">
        <v>-0.67371772101320471</v>
      </c>
      <c r="S1431" s="19">
        <v>0</v>
      </c>
      <c r="T1431" s="19">
        <v>0</v>
      </c>
      <c r="U1431" s="19">
        <v>4.1475375697119032</v>
      </c>
      <c r="V1431" s="19">
        <v>7.7441153946827743</v>
      </c>
      <c r="W1431" s="19">
        <v>13.149594586576224</v>
      </c>
      <c r="X1431" s="19">
        <v>20.815191495543196</v>
      </c>
      <c r="Y1431" s="19">
        <v>31.138494161242718</v>
      </c>
      <c r="Z1431" s="19">
        <v>44.384432655864615</v>
      </c>
      <c r="AA1431" s="19">
        <v>60.59353739467452</v>
      </c>
      <c r="AB1431" s="19">
        <v>79.493843128171648</v>
      </c>
      <c r="AC1431" s="19">
        <v>100.44251897538136</v>
      </c>
      <c r="AD1431" s="19">
        <v>122.42877039317072</v>
      </c>
      <c r="AE1431" s="19">
        <v>144.16437795855239</v>
      </c>
      <c r="AF1431" s="19">
        <v>164.26739441983048</v>
      </c>
      <c r="AG1431" s="19">
        <v>181.50947651551584</v>
      </c>
      <c r="AH1431" s="19">
        <v>195.06031470445541</v>
      </c>
      <c r="AI1431" s="19">
        <v>204.64494594742217</v>
      </c>
      <c r="AJ1431" s="19">
        <v>211.12877103100325</v>
      </c>
      <c r="AK1431" s="19">
        <v>213.86588033090737</v>
      </c>
      <c r="AL1431" s="19">
        <v>215.6820525635211</v>
      </c>
      <c r="AM1431" s="19">
        <v>214.87896865474295</v>
      </c>
      <c r="AN1431" s="19">
        <v>213.22255949832152</v>
      </c>
      <c r="AO1431" s="19">
        <v>211.57891888463217</v>
      </c>
      <c r="AP1431" s="19">
        <v>209.94794838649389</v>
      </c>
      <c r="AQ1431" s="19">
        <v>208.3295503354588</v>
      </c>
      <c r="AR1431" s="19">
        <v>3072.6191949858767</v>
      </c>
    </row>
    <row r="1432" spans="1:44" x14ac:dyDescent="0.25">
      <c r="A1432" t="s">
        <v>435</v>
      </c>
      <c r="B1432" t="s">
        <v>476</v>
      </c>
      <c r="C1432" t="s">
        <v>45</v>
      </c>
      <c r="D1432" t="s">
        <v>477</v>
      </c>
      <c r="E1432" t="s">
        <v>145</v>
      </c>
      <c r="F1432" t="s">
        <v>477</v>
      </c>
      <c r="G1432" t="s">
        <v>33</v>
      </c>
      <c r="H1432" t="s">
        <v>450</v>
      </c>
      <c r="I1432" t="s">
        <v>135</v>
      </c>
      <c r="J1432" t="s">
        <v>39</v>
      </c>
      <c r="K1432" t="s">
        <v>33</v>
      </c>
      <c r="L1432">
        <v>0.10091851851851852</v>
      </c>
      <c r="M1432">
        <v>1</v>
      </c>
      <c r="N1432" s="2">
        <v>3.2426727002102926</v>
      </c>
      <c r="O1432" s="2">
        <v>3.1523474906593334</v>
      </c>
      <c r="P1432" s="1">
        <v>-0.68880560164319704</v>
      </c>
      <c r="Q1432" s="1">
        <v>0.52656664600916792</v>
      </c>
      <c r="R1432" s="1">
        <v>-0.67371772101320471</v>
      </c>
      <c r="S1432" s="19">
        <v>0</v>
      </c>
      <c r="T1432" s="19">
        <v>0</v>
      </c>
      <c r="U1432" s="19">
        <v>1.6288358501189872</v>
      </c>
      <c r="V1432" s="19">
        <v>3.039176809452298</v>
      </c>
      <c r="W1432" s="19">
        <v>5.1569589505751834</v>
      </c>
      <c r="X1432" s="19">
        <v>8.157533799699797</v>
      </c>
      <c r="Y1432" s="19">
        <v>12.194759448765348</v>
      </c>
      <c r="Z1432" s="19">
        <v>17.370145826227834</v>
      </c>
      <c r="AA1432" s="19">
        <v>23.697157699613921</v>
      </c>
      <c r="AB1432" s="19">
        <v>31.067092132283776</v>
      </c>
      <c r="AC1432" s="19">
        <v>39.226708471023592</v>
      </c>
      <c r="AD1432" s="19">
        <v>47.779865177711734</v>
      </c>
      <c r="AE1432" s="19">
        <v>56.223328752995336</v>
      </c>
      <c r="AF1432" s="19">
        <v>64.018739831198801</v>
      </c>
      <c r="AG1432" s="19">
        <v>70.689061694465906</v>
      </c>
      <c r="AH1432" s="19">
        <v>75.913496223547199</v>
      </c>
      <c r="AI1432" s="19">
        <v>79.588121920085626</v>
      </c>
      <c r="AJ1432" s="19">
        <v>82.052499084387875</v>
      </c>
      <c r="AK1432" s="19">
        <v>83.058303683013406</v>
      </c>
      <c r="AL1432" s="19">
        <v>83.705254557109342</v>
      </c>
      <c r="AM1432" s="19">
        <v>83.335449947714807</v>
      </c>
      <c r="AN1432" s="19">
        <v>82.635409995639776</v>
      </c>
      <c r="AO1432" s="19">
        <v>81.941250565417221</v>
      </c>
      <c r="AP1432" s="19">
        <v>81.252922259098924</v>
      </c>
      <c r="AQ1432" s="19">
        <v>80.570376093692701</v>
      </c>
      <c r="AR1432" s="19">
        <v>1194.3024487738394</v>
      </c>
    </row>
    <row r="1433" spans="1:44" x14ac:dyDescent="0.25">
      <c r="A1433" t="s">
        <v>435</v>
      </c>
      <c r="B1433" t="s">
        <v>476</v>
      </c>
      <c r="C1433" t="s">
        <v>45</v>
      </c>
      <c r="D1433" t="s">
        <v>477</v>
      </c>
      <c r="E1433" t="s">
        <v>145</v>
      </c>
      <c r="F1433" t="s">
        <v>477</v>
      </c>
      <c r="G1433" t="s">
        <v>33</v>
      </c>
      <c r="H1433" t="s">
        <v>451</v>
      </c>
      <c r="I1433" t="s">
        <v>135</v>
      </c>
      <c r="J1433" t="s">
        <v>39</v>
      </c>
      <c r="K1433" t="s">
        <v>33</v>
      </c>
      <c r="L1433">
        <v>0.10091851851851852</v>
      </c>
      <c r="M1433">
        <v>1</v>
      </c>
      <c r="N1433" s="2">
        <v>3.2426727002102926</v>
      </c>
      <c r="O1433" s="2">
        <v>3.1523474906593334</v>
      </c>
      <c r="P1433" s="1">
        <v>-0.68880560164319704</v>
      </c>
      <c r="Q1433" s="1">
        <v>0.52656664600916792</v>
      </c>
      <c r="R1433" s="1">
        <v>-0.67371772101320471</v>
      </c>
      <c r="S1433" s="19">
        <v>0</v>
      </c>
      <c r="T1433" s="19">
        <v>0</v>
      </c>
      <c r="U1433" s="19">
        <v>3.1198352941848482</v>
      </c>
      <c r="V1433" s="19">
        <v>5.825231025514201</v>
      </c>
      <c r="W1433" s="19">
        <v>9.8913074579508109</v>
      </c>
      <c r="X1433" s="19">
        <v>15.657475789308602</v>
      </c>
      <c r="Y1433" s="19">
        <v>23.42280725832266</v>
      </c>
      <c r="Z1433" s="19">
        <v>33.386585940378964</v>
      </c>
      <c r="AA1433" s="19">
        <v>45.579299376074424</v>
      </c>
      <c r="AB1433" s="19">
        <v>59.796371532058416</v>
      </c>
      <c r="AC1433" s="19">
        <v>75.554256102372833</v>
      </c>
      <c r="AD1433" s="19">
        <v>92.092619410027098</v>
      </c>
      <c r="AE1433" s="19">
        <v>108.44244493499257</v>
      </c>
      <c r="AF1433" s="19">
        <v>123.56421278430253</v>
      </c>
      <c r="AG1433" s="19">
        <v>136.53394611720353</v>
      </c>
      <c r="AH1433" s="19">
        <v>146.72707457886517</v>
      </c>
      <c r="AI1433" s="19">
        <v>153.93676715691987</v>
      </c>
      <c r="AJ1433" s="19">
        <v>158.81399032779572</v>
      </c>
      <c r="AK1433" s="19">
        <v>160.87288191210402</v>
      </c>
      <c r="AL1433" s="19">
        <v>162.23903185924496</v>
      </c>
      <c r="AM1433" s="19">
        <v>161.63494100275827</v>
      </c>
      <c r="AN1433" s="19">
        <v>160.38896705774744</v>
      </c>
      <c r="AO1433" s="19">
        <v>159.15259778770368</v>
      </c>
      <c r="AP1433" s="19">
        <v>157.92575915433611</v>
      </c>
      <c r="AQ1433" s="19">
        <v>156.70837769008332</v>
      </c>
      <c r="AR1433" s="19">
        <v>2311.2667815502496</v>
      </c>
    </row>
    <row r="1434" spans="1:44" x14ac:dyDescent="0.25">
      <c r="A1434" t="s">
        <v>435</v>
      </c>
      <c r="B1434" t="s">
        <v>476</v>
      </c>
      <c r="C1434" t="s">
        <v>45</v>
      </c>
      <c r="D1434" t="s">
        <v>477</v>
      </c>
      <c r="E1434" t="s">
        <v>145</v>
      </c>
      <c r="F1434" t="s">
        <v>477</v>
      </c>
      <c r="G1434" t="s">
        <v>33</v>
      </c>
      <c r="H1434" t="s">
        <v>452</v>
      </c>
      <c r="I1434" t="s">
        <v>135</v>
      </c>
      <c r="J1434" t="s">
        <v>39</v>
      </c>
      <c r="K1434" t="s">
        <v>33</v>
      </c>
      <c r="L1434">
        <v>0.10091851851851852</v>
      </c>
      <c r="M1434">
        <v>1</v>
      </c>
      <c r="N1434" s="2">
        <v>3.2426727002102926</v>
      </c>
      <c r="O1434" s="2">
        <v>3.1523474906593334</v>
      </c>
      <c r="P1434" s="1">
        <v>-0.68880560164319704</v>
      </c>
      <c r="Q1434" s="1">
        <v>0.52656664600916792</v>
      </c>
      <c r="R1434" s="1">
        <v>-0.67371772101320471</v>
      </c>
      <c r="S1434" s="19">
        <v>0</v>
      </c>
      <c r="T1434" s="19">
        <v>0</v>
      </c>
      <c r="U1434" s="19">
        <v>31.018388924909143</v>
      </c>
      <c r="V1434" s="19">
        <v>57.916288678328264</v>
      </c>
      <c r="W1434" s="19">
        <v>98.342506182441525</v>
      </c>
      <c r="X1434" s="19">
        <v>155.67157488101279</v>
      </c>
      <c r="Y1434" s="19">
        <v>232.87695558994793</v>
      </c>
      <c r="Z1434" s="19">
        <v>331.93999359641185</v>
      </c>
      <c r="AA1434" s="19">
        <v>453.16380566857549</v>
      </c>
      <c r="AB1434" s="19">
        <v>594.51443219997702</v>
      </c>
      <c r="AC1434" s="19">
        <v>751.18430292901724</v>
      </c>
      <c r="AD1434" s="19">
        <v>915.61394003660757</v>
      </c>
      <c r="AE1434" s="19">
        <v>1078.1690748967935</v>
      </c>
      <c r="AF1434" s="19">
        <v>1228.5144720581</v>
      </c>
      <c r="AG1434" s="19">
        <v>1357.4636616265816</v>
      </c>
      <c r="AH1434" s="19">
        <v>1458.8069676577393</v>
      </c>
      <c r="AI1434" s="19">
        <v>1530.4880108307443</v>
      </c>
      <c r="AJ1434" s="19">
        <v>1578.9789056769534</v>
      </c>
      <c r="AK1434" s="19">
        <v>1599.4490567888834</v>
      </c>
      <c r="AL1434" s="19">
        <v>1613.031751512912</v>
      </c>
      <c r="AM1434" s="19">
        <v>1607.0256892161576</v>
      </c>
      <c r="AN1434" s="19">
        <v>1594.637822302579</v>
      </c>
      <c r="AO1434" s="19">
        <v>1582.3454481043298</v>
      </c>
      <c r="AP1434" s="19">
        <v>1570.1478305093149</v>
      </c>
      <c r="AQ1434" s="19">
        <v>1558.044239079808</v>
      </c>
      <c r="AR1434" s="19">
        <v>22979.345118948127</v>
      </c>
    </row>
    <row r="1435" spans="1:44" x14ac:dyDescent="0.25">
      <c r="A1435" t="s">
        <v>435</v>
      </c>
      <c r="B1435" t="s">
        <v>476</v>
      </c>
      <c r="C1435" t="s">
        <v>45</v>
      </c>
      <c r="D1435" t="s">
        <v>477</v>
      </c>
      <c r="E1435" t="s">
        <v>145</v>
      </c>
      <c r="F1435" t="s">
        <v>477</v>
      </c>
      <c r="G1435" t="s">
        <v>33</v>
      </c>
      <c r="H1435" t="s">
        <v>453</v>
      </c>
      <c r="I1435" t="s">
        <v>135</v>
      </c>
      <c r="J1435" t="s">
        <v>39</v>
      </c>
      <c r="K1435" t="s">
        <v>33</v>
      </c>
      <c r="L1435">
        <v>0.10091851851851852</v>
      </c>
      <c r="M1435">
        <v>1</v>
      </c>
      <c r="N1435" s="2">
        <v>3.2426727002102926</v>
      </c>
      <c r="O1435" s="2">
        <v>3.1523474906593334</v>
      </c>
      <c r="P1435" s="1">
        <v>-0.68880560164319704</v>
      </c>
      <c r="Q1435" s="1">
        <v>0.52656664600916792</v>
      </c>
      <c r="R1435" s="1">
        <v>-0.67371772101320471</v>
      </c>
      <c r="S1435" s="19">
        <v>0</v>
      </c>
      <c r="T1435" s="19">
        <v>0</v>
      </c>
      <c r="U1435" s="19">
        <v>4.3649164496022514</v>
      </c>
      <c r="V1435" s="19">
        <v>8.1499964993003964</v>
      </c>
      <c r="W1435" s="19">
        <v>13.838785243489475</v>
      </c>
      <c r="X1435" s="19">
        <v>21.906147981398153</v>
      </c>
      <c r="Y1435" s="19">
        <v>32.770510958793594</v>
      </c>
      <c r="Z1435" s="19">
        <v>46.710689644049218</v>
      </c>
      <c r="AA1435" s="19">
        <v>63.769338714387061</v>
      </c>
      <c r="AB1435" s="19">
        <v>83.660238799563089</v>
      </c>
      <c r="AC1435" s="19">
        <v>105.7068672546304</v>
      </c>
      <c r="AD1435" s="19">
        <v>128.84545222596938</v>
      </c>
      <c r="AE1435" s="19">
        <v>151.72025671166418</v>
      </c>
      <c r="AF1435" s="19">
        <v>172.8769034601475</v>
      </c>
      <c r="AG1435" s="19">
        <v>191.02266983353735</v>
      </c>
      <c r="AH1435" s="19">
        <v>205.28372847921207</v>
      </c>
      <c r="AI1435" s="19">
        <v>215.37070511839019</v>
      </c>
      <c r="AJ1435" s="19">
        <v>222.19435753575272</v>
      </c>
      <c r="AK1435" s="19">
        <v>225.07492298132155</v>
      </c>
      <c r="AL1435" s="19">
        <v>226.98628361885704</v>
      </c>
      <c r="AM1435" s="19">
        <v>226.14110883624977</v>
      </c>
      <c r="AN1435" s="19">
        <v>224.39788470563923</v>
      </c>
      <c r="AO1435" s="19">
        <v>222.66809833689865</v>
      </c>
      <c r="AP1435" s="19">
        <v>220.95164614412585</v>
      </c>
      <c r="AQ1435" s="19">
        <v>219.24842533991784</v>
      </c>
      <c r="AR1435" s="19">
        <v>3233.6599348728969</v>
      </c>
    </row>
    <row r="1436" spans="1:44" x14ac:dyDescent="0.25">
      <c r="A1436" t="s">
        <v>435</v>
      </c>
      <c r="B1436" t="s">
        <v>476</v>
      </c>
      <c r="C1436" t="s">
        <v>45</v>
      </c>
      <c r="D1436" t="s">
        <v>477</v>
      </c>
      <c r="E1436" t="s">
        <v>145</v>
      </c>
      <c r="F1436" t="s">
        <v>477</v>
      </c>
      <c r="G1436" t="s">
        <v>33</v>
      </c>
      <c r="H1436" t="s">
        <v>454</v>
      </c>
      <c r="I1436" t="s">
        <v>135</v>
      </c>
      <c r="J1436" t="s">
        <v>39</v>
      </c>
      <c r="K1436" t="s">
        <v>33</v>
      </c>
      <c r="L1436">
        <v>0.10091851851851852</v>
      </c>
      <c r="M1436">
        <v>1</v>
      </c>
      <c r="N1436" s="2">
        <v>3.2426727002102926</v>
      </c>
      <c r="O1436" s="2">
        <v>3.1523474906593334</v>
      </c>
      <c r="P1436" s="1">
        <v>-0.68880560164319704</v>
      </c>
      <c r="Q1436" s="1">
        <v>0.52656664600916792</v>
      </c>
      <c r="R1436" s="1">
        <v>-0.67371772101320471</v>
      </c>
      <c r="S1436" s="19">
        <v>0</v>
      </c>
      <c r="T1436" s="19">
        <v>0</v>
      </c>
      <c r="U1436" s="19">
        <v>2.1198435989221882</v>
      </c>
      <c r="V1436" s="19">
        <v>3.958086737686469</v>
      </c>
      <c r="W1436" s="19">
        <v>6.7208755663451969</v>
      </c>
      <c r="X1436" s="19">
        <v>10.638830802738656</v>
      </c>
      <c r="Y1436" s="19">
        <v>15.915163254897635</v>
      </c>
      <c r="Z1436" s="19">
        <v>22.685281055540404</v>
      </c>
      <c r="AA1436" s="19">
        <v>30.969899662916227</v>
      </c>
      <c r="AB1436" s="19">
        <v>40.630015202173233</v>
      </c>
      <c r="AC1436" s="19">
        <v>51.337071052589067</v>
      </c>
      <c r="AD1436" s="19">
        <v>62.574441070079253</v>
      </c>
      <c r="AE1436" s="19">
        <v>73.683704769735058</v>
      </c>
      <c r="AF1436" s="19">
        <v>83.958536533929987</v>
      </c>
      <c r="AG1436" s="19">
        <v>92.771119120172429</v>
      </c>
      <c r="AH1436" s="19">
        <v>99.697073885387297</v>
      </c>
      <c r="AI1436" s="19">
        <v>104.59586475754428</v>
      </c>
      <c r="AJ1436" s="19">
        <v>107.9098058295513</v>
      </c>
      <c r="AK1436" s="19">
        <v>109.3087669074024</v>
      </c>
      <c r="AL1436" s="19">
        <v>110.23702880187248</v>
      </c>
      <c r="AM1436" s="19">
        <v>109.82656542334806</v>
      </c>
      <c r="AN1436" s="19">
        <v>108.97995986802336</v>
      </c>
      <c r="AO1436" s="19">
        <v>108.13988042924926</v>
      </c>
      <c r="AP1436" s="19">
        <v>107.30627680001211</v>
      </c>
      <c r="AQ1436" s="19">
        <v>106.47909906109336</v>
      </c>
      <c r="AR1436" s="19">
        <v>1570.4431901912094</v>
      </c>
    </row>
    <row r="1437" spans="1:44" x14ac:dyDescent="0.25">
      <c r="A1437" t="s">
        <v>435</v>
      </c>
      <c r="B1437" t="s">
        <v>476</v>
      </c>
      <c r="C1437" t="s">
        <v>45</v>
      </c>
      <c r="D1437" t="s">
        <v>477</v>
      </c>
      <c r="E1437" t="s">
        <v>145</v>
      </c>
      <c r="F1437" t="s">
        <v>477</v>
      </c>
      <c r="G1437" t="s">
        <v>33</v>
      </c>
      <c r="H1437" t="s">
        <v>455</v>
      </c>
      <c r="I1437" t="s">
        <v>135</v>
      </c>
      <c r="J1437" t="s">
        <v>39</v>
      </c>
      <c r="K1437" t="s">
        <v>33</v>
      </c>
      <c r="L1437">
        <v>0.10091851851851852</v>
      </c>
      <c r="M1437">
        <v>1</v>
      </c>
      <c r="N1437" s="2">
        <v>3.2426727002102926</v>
      </c>
      <c r="O1437" s="2">
        <v>3.1523474906593334</v>
      </c>
      <c r="P1437" s="1">
        <v>-0.68880560164319704</v>
      </c>
      <c r="Q1437" s="1">
        <v>0.52656664600916792</v>
      </c>
      <c r="R1437" s="1">
        <v>-0.67371772101320471</v>
      </c>
      <c r="S1437" s="19">
        <v>0</v>
      </c>
      <c r="T1437" s="19">
        <v>0</v>
      </c>
      <c r="U1437" s="19">
        <v>1.5824697347158521</v>
      </c>
      <c r="V1437" s="19">
        <v>2.9547238640405702</v>
      </c>
      <c r="W1437" s="19">
        <v>5.0171541805914739</v>
      </c>
      <c r="X1437" s="19">
        <v>7.941919756087934</v>
      </c>
      <c r="Y1437" s="19">
        <v>11.880718080684121</v>
      </c>
      <c r="Z1437" s="19">
        <v>16.934631739892463</v>
      </c>
      <c r="AA1437" s="19">
        <v>23.119124886699023</v>
      </c>
      <c r="AB1437" s="19">
        <v>30.330430703083277</v>
      </c>
      <c r="AC1437" s="19">
        <v>38.323280666075902</v>
      </c>
      <c r="AD1437" s="19">
        <v>46.712011777900877</v>
      </c>
      <c r="AE1437" s="19">
        <v>55.005111131372566</v>
      </c>
      <c r="AF1437" s="19">
        <v>62.675304491110353</v>
      </c>
      <c r="AG1437" s="19">
        <v>69.25392436405906</v>
      </c>
      <c r="AH1437" s="19">
        <v>74.424170794284436</v>
      </c>
      <c r="AI1437" s="19">
        <v>78.081133173882733</v>
      </c>
      <c r="AJ1437" s="19">
        <v>80.55500032698275</v>
      </c>
      <c r="AK1437" s="19">
        <v>81.599329053342743</v>
      </c>
      <c r="AL1437" s="19">
        <v>82.292279398658678</v>
      </c>
      <c r="AM1437" s="19">
        <v>81.98586723030138</v>
      </c>
      <c r="AN1437" s="19">
        <v>81.353873592079751</v>
      </c>
      <c r="AO1437" s="19">
        <v>80.726751719837367</v>
      </c>
      <c r="AP1437" s="19">
        <v>80.104464059234601</v>
      </c>
      <c r="AQ1437" s="19">
        <v>79.486973345421958</v>
      </c>
      <c r="AR1437" s="19">
        <v>1172.34064807034</v>
      </c>
    </row>
    <row r="1438" spans="1:44" x14ac:dyDescent="0.25">
      <c r="A1438" t="s">
        <v>435</v>
      </c>
      <c r="B1438" t="s">
        <v>476</v>
      </c>
      <c r="C1438" t="s">
        <v>45</v>
      </c>
      <c r="D1438" t="s">
        <v>477</v>
      </c>
      <c r="E1438" t="s">
        <v>145</v>
      </c>
      <c r="F1438" t="s">
        <v>477</v>
      </c>
      <c r="G1438" t="s">
        <v>33</v>
      </c>
      <c r="H1438" t="s">
        <v>457</v>
      </c>
      <c r="I1438" t="s">
        <v>135</v>
      </c>
      <c r="J1438" t="s">
        <v>39</v>
      </c>
      <c r="K1438" t="s">
        <v>33</v>
      </c>
      <c r="L1438">
        <v>0.10091851851851852</v>
      </c>
      <c r="M1438">
        <v>1</v>
      </c>
      <c r="N1438" s="2">
        <v>3.2426727002102926</v>
      </c>
      <c r="O1438" s="2">
        <v>3.1523474906593334</v>
      </c>
      <c r="P1438" s="1">
        <v>-0.68880560164319704</v>
      </c>
      <c r="Q1438" s="1">
        <v>0.52656664600916792</v>
      </c>
      <c r="R1438" s="1">
        <v>-0.67371772101320471</v>
      </c>
      <c r="S1438" s="19">
        <v>0</v>
      </c>
      <c r="T1438" s="19">
        <v>0</v>
      </c>
      <c r="U1438" s="19">
        <v>1.213546974077093</v>
      </c>
      <c r="V1438" s="19">
        <v>2.2658861182477263</v>
      </c>
      <c r="W1438" s="19">
        <v>3.8474999810522639</v>
      </c>
      <c r="X1438" s="19">
        <v>6.0904120166912232</v>
      </c>
      <c r="Y1438" s="19">
        <v>9.1109543268870663</v>
      </c>
      <c r="Z1438" s="19">
        <v>12.986644012339694</v>
      </c>
      <c r="AA1438" s="19">
        <v>17.729340052498237</v>
      </c>
      <c r="AB1438" s="19">
        <v>23.259466891978704</v>
      </c>
      <c r="AC1438" s="19">
        <v>29.388935705221812</v>
      </c>
      <c r="AD1438" s="19">
        <v>35.821993496958662</v>
      </c>
      <c r="AE1438" s="19">
        <v>42.181714258337642</v>
      </c>
      <c r="AF1438" s="19">
        <v>48.063747726716961</v>
      </c>
      <c r="AG1438" s="19">
        <v>53.108687333005129</v>
      </c>
      <c r="AH1438" s="19">
        <v>57.073589013579451</v>
      </c>
      <c r="AI1438" s="19">
        <v>59.87800007605842</v>
      </c>
      <c r="AJ1438" s="19">
        <v>61.775132091952727</v>
      </c>
      <c r="AK1438" s="19">
        <v>62.575995412124563</v>
      </c>
      <c r="AL1438" s="19">
        <v>63.107397546582959</v>
      </c>
      <c r="AM1438" s="19">
        <v>62.872419555173117</v>
      </c>
      <c r="AN1438" s="19">
        <v>62.387763229384035</v>
      </c>
      <c r="AO1438" s="19">
        <v>61.906842909872232</v>
      </c>
      <c r="AP1438" s="19">
        <v>61.429629797379057</v>
      </c>
      <c r="AQ1438" s="19">
        <v>60.956095314646838</v>
      </c>
      <c r="AR1438" s="19">
        <v>899.0316938407658</v>
      </c>
    </row>
    <row r="1439" spans="1:44" x14ac:dyDescent="0.25">
      <c r="A1439" t="s">
        <v>435</v>
      </c>
      <c r="B1439" t="s">
        <v>476</v>
      </c>
      <c r="C1439" t="s">
        <v>45</v>
      </c>
      <c r="D1439" t="s">
        <v>477</v>
      </c>
      <c r="E1439" t="s">
        <v>145</v>
      </c>
      <c r="F1439" t="s">
        <v>477</v>
      </c>
      <c r="G1439" t="s">
        <v>33</v>
      </c>
      <c r="H1439" t="s">
        <v>457</v>
      </c>
      <c r="I1439" t="s">
        <v>256</v>
      </c>
      <c r="J1439" t="s">
        <v>39</v>
      </c>
      <c r="K1439" t="s">
        <v>33</v>
      </c>
      <c r="L1439">
        <v>0.10091851851851852</v>
      </c>
      <c r="M1439">
        <v>1</v>
      </c>
      <c r="N1439" s="2">
        <v>2.7221264772067415</v>
      </c>
      <c r="O1439" s="2">
        <v>2.6463011728329859</v>
      </c>
      <c r="P1439" s="1">
        <v>-0.41470332290347733</v>
      </c>
      <c r="Q1439" s="1">
        <v>1.3498045353129324</v>
      </c>
      <c r="R1439" s="1">
        <v>-0.39961544227348506</v>
      </c>
      <c r="S1439" s="19">
        <v>0</v>
      </c>
      <c r="T1439" s="19">
        <v>0</v>
      </c>
      <c r="U1439" s="19">
        <v>3.3373356065384954</v>
      </c>
      <c r="V1439" s="19">
        <v>6.2313388639449947</v>
      </c>
      <c r="W1439" s="19">
        <v>10.580883111415678</v>
      </c>
      <c r="X1439" s="19">
        <v>16.749041706647869</v>
      </c>
      <c r="Y1439" s="19">
        <v>25.055735735149696</v>
      </c>
      <c r="Z1439" s="19">
        <v>35.714142425168227</v>
      </c>
      <c r="AA1439" s="19">
        <v>48.756874765914645</v>
      </c>
      <c r="AB1439" s="19">
        <v>63.965094640640224</v>
      </c>
      <c r="AC1439" s="19">
        <v>80.821545158478997</v>
      </c>
      <c r="AD1439" s="19">
        <v>98.512885737701936</v>
      </c>
      <c r="AE1439" s="19">
        <v>116.00254456259708</v>
      </c>
      <c r="AF1439" s="19">
        <v>132.17853127938844</v>
      </c>
      <c r="AG1439" s="19">
        <v>146.05245370724188</v>
      </c>
      <c r="AH1439" s="19">
        <v>156.95619936988354</v>
      </c>
      <c r="AI1439" s="19">
        <v>164.66851796496655</v>
      </c>
      <c r="AJ1439" s="19">
        <v>169.88575830439655</v>
      </c>
      <c r="AK1439" s="19">
        <v>172.08818617202215</v>
      </c>
      <c r="AL1439" s="19">
        <v>173.5495776983513</v>
      </c>
      <c r="AM1439" s="19">
        <v>172.90337245517856</v>
      </c>
      <c r="AN1439" s="19">
        <v>171.57053503928859</v>
      </c>
      <c r="AO1439" s="19">
        <v>170.2479718913435</v>
      </c>
      <c r="AP1439" s="19">
        <v>168.93560381144962</v>
      </c>
      <c r="AQ1439" s="19">
        <v>167.63335221023095</v>
      </c>
      <c r="AR1439" s="19">
        <v>2472.3974822179398</v>
      </c>
    </row>
    <row r="1440" spans="1:44" x14ac:dyDescent="0.25">
      <c r="A1440" t="s">
        <v>435</v>
      </c>
      <c r="B1440" t="s">
        <v>476</v>
      </c>
      <c r="C1440" t="s">
        <v>45</v>
      </c>
      <c r="D1440" t="s">
        <v>477</v>
      </c>
      <c r="E1440" t="s">
        <v>145</v>
      </c>
      <c r="F1440" t="s">
        <v>477</v>
      </c>
      <c r="G1440" t="s">
        <v>33</v>
      </c>
      <c r="H1440" t="s">
        <v>452</v>
      </c>
      <c r="I1440" t="s">
        <v>135</v>
      </c>
      <c r="J1440" t="s">
        <v>40</v>
      </c>
      <c r="K1440" t="s">
        <v>33</v>
      </c>
      <c r="L1440">
        <v>0.10091851851851852</v>
      </c>
      <c r="M1440">
        <v>1</v>
      </c>
      <c r="N1440" s="2">
        <v>3.2426727002102926</v>
      </c>
      <c r="O1440" s="2">
        <v>1.9798085216903551</v>
      </c>
      <c r="P1440" s="1">
        <v>-0.68880560164319704</v>
      </c>
      <c r="Q1440" s="1">
        <v>1.3498045353129324</v>
      </c>
      <c r="R1440" s="1">
        <v>-0.5307177210132048</v>
      </c>
      <c r="S1440" s="19">
        <v>0</v>
      </c>
      <c r="T1440" s="19">
        <v>0</v>
      </c>
      <c r="U1440" s="19">
        <v>2.2712476490942692</v>
      </c>
      <c r="V1440" s="19">
        <v>4.2407822928315859</v>
      </c>
      <c r="W1440" s="19">
        <v>7.2008957819708277</v>
      </c>
      <c r="X1440" s="19">
        <v>11.398680290431566</v>
      </c>
      <c r="Y1440" s="19">
        <v>17.05186040423758</v>
      </c>
      <c r="Z1440" s="19">
        <v>24.305515412852007</v>
      </c>
      <c r="AA1440" s="19">
        <v>33.181840319657375</v>
      </c>
      <c r="AB1440" s="19">
        <v>43.531903276977395</v>
      </c>
      <c r="AC1440" s="19">
        <v>55.003681403129001</v>
      </c>
      <c r="AD1440" s="19">
        <v>67.043649940054934</v>
      </c>
      <c r="AE1440" s="19">
        <v>78.946362514624326</v>
      </c>
      <c r="AF1440" s="19">
        <v>89.955046127477729</v>
      </c>
      <c r="AG1440" s="19">
        <v>99.397043401063826</v>
      </c>
      <c r="AH1440" s="19">
        <v>106.81766560461956</v>
      </c>
      <c r="AI1440" s="19">
        <v>112.06633926028364</v>
      </c>
      <c r="AJ1440" s="19">
        <v>115.6169695392626</v>
      </c>
      <c r="AK1440" s="19">
        <v>117.11584759840773</v>
      </c>
      <c r="AL1440" s="19">
        <v>118.11040806816639</v>
      </c>
      <c r="AM1440" s="19">
        <v>117.6706284617903</v>
      </c>
      <c r="AN1440" s="19">
        <v>116.76355641259806</v>
      </c>
      <c r="AO1440" s="19">
        <v>115.86347659004032</v>
      </c>
      <c r="AP1440" s="19">
        <v>114.97033509406208</v>
      </c>
      <c r="AQ1440" s="19">
        <v>114.0840784401006</v>
      </c>
      <c r="AR1440" s="19">
        <v>1682.6078138837338</v>
      </c>
    </row>
    <row r="1441" spans="1:44" x14ac:dyDescent="0.25">
      <c r="A1441" t="s">
        <v>435</v>
      </c>
      <c r="B1441" t="s">
        <v>476</v>
      </c>
      <c r="C1441" t="s">
        <v>45</v>
      </c>
      <c r="D1441" t="s">
        <v>477</v>
      </c>
      <c r="E1441" t="s">
        <v>145</v>
      </c>
      <c r="F1441" t="s">
        <v>477</v>
      </c>
      <c r="G1441" t="s">
        <v>33</v>
      </c>
      <c r="H1441" t="s">
        <v>453</v>
      </c>
      <c r="I1441" t="s">
        <v>135</v>
      </c>
      <c r="J1441" t="s">
        <v>40</v>
      </c>
      <c r="K1441" t="s">
        <v>33</v>
      </c>
      <c r="L1441">
        <v>0.10091851851851852</v>
      </c>
      <c r="M1441">
        <v>1</v>
      </c>
      <c r="N1441" s="2">
        <v>3.2426727002102926</v>
      </c>
      <c r="O1441" s="2">
        <v>1.9798085216903551</v>
      </c>
      <c r="P1441" s="1">
        <v>-0.68880560164319704</v>
      </c>
      <c r="Q1441" s="1">
        <v>1.3498045353129324</v>
      </c>
      <c r="R1441" s="1">
        <v>-0.5307177210132048</v>
      </c>
      <c r="S1441" s="19">
        <v>0</v>
      </c>
      <c r="T1441" s="19">
        <v>0</v>
      </c>
      <c r="U1441" s="19">
        <v>88.889848727260926</v>
      </c>
      <c r="V1441" s="19">
        <v>165.97155164711873</v>
      </c>
      <c r="W1441" s="19">
        <v>281.82155169887028</v>
      </c>
      <c r="X1441" s="19">
        <v>446.11029850088266</v>
      </c>
      <c r="Y1441" s="19">
        <v>667.35888200280419</v>
      </c>
      <c r="Z1441" s="19">
        <v>951.24527223972962</v>
      </c>
      <c r="AA1441" s="19">
        <v>1298.6381153471698</v>
      </c>
      <c r="AB1441" s="19">
        <v>1703.7086636692288</v>
      </c>
      <c r="AC1441" s="19">
        <v>2152.6797931156207</v>
      </c>
      <c r="AD1441" s="19">
        <v>2623.8881980445658</v>
      </c>
      <c r="AE1441" s="19">
        <v>3089.7248145929461</v>
      </c>
      <c r="AF1441" s="19">
        <v>3520.571808060633</v>
      </c>
      <c r="AG1441" s="19">
        <v>3890.1033779301606</v>
      </c>
      <c r="AH1441" s="19">
        <v>4180.5243654430224</v>
      </c>
      <c r="AI1441" s="19">
        <v>4385.9417744414604</v>
      </c>
      <c r="AJ1441" s="19">
        <v>4524.9028377630821</v>
      </c>
      <c r="AK1441" s="19">
        <v>4583.5644478218328</v>
      </c>
      <c r="AL1441" s="19">
        <v>4622.4885738378634</v>
      </c>
      <c r="AM1441" s="19">
        <v>4605.2769136740353</v>
      </c>
      <c r="AN1441" s="19">
        <v>4569.7768231094615</v>
      </c>
      <c r="AO1441" s="19">
        <v>4534.5503874094502</v>
      </c>
      <c r="AP1441" s="19">
        <v>4499.5954970868524</v>
      </c>
      <c r="AQ1441" s="19">
        <v>4464.9100589156442</v>
      </c>
      <c r="AR1441" s="19">
        <v>65852.243855079694</v>
      </c>
    </row>
    <row r="1442" spans="1:44" x14ac:dyDescent="0.25">
      <c r="A1442" t="s">
        <v>435</v>
      </c>
      <c r="B1442" t="s">
        <v>476</v>
      </c>
      <c r="C1442" t="s">
        <v>45</v>
      </c>
      <c r="D1442" t="s">
        <v>477</v>
      </c>
      <c r="E1442" t="s">
        <v>145</v>
      </c>
      <c r="F1442" t="s">
        <v>477</v>
      </c>
      <c r="G1442" t="s">
        <v>33</v>
      </c>
      <c r="H1442" t="s">
        <v>450</v>
      </c>
      <c r="I1442" t="s">
        <v>256</v>
      </c>
      <c r="J1442" t="s">
        <v>40</v>
      </c>
      <c r="K1442" t="s">
        <v>33</v>
      </c>
      <c r="L1442">
        <v>0.10091851851851852</v>
      </c>
      <c r="M1442">
        <v>1</v>
      </c>
      <c r="N1442" s="2">
        <v>2.7221264772067415</v>
      </c>
      <c r="O1442" s="2">
        <v>1.4737622038640086</v>
      </c>
      <c r="P1442" s="1">
        <v>-0.41470332290347733</v>
      </c>
      <c r="Q1442" s="1">
        <v>1.3498045353129324</v>
      </c>
      <c r="R1442" s="1">
        <v>-0.25661544227348493</v>
      </c>
      <c r="S1442" s="19">
        <v>0</v>
      </c>
      <c r="T1442" s="19">
        <v>0</v>
      </c>
      <c r="U1442" s="19">
        <v>42.607837850153985</v>
      </c>
      <c r="V1442" s="19">
        <v>79.555641747313857</v>
      </c>
      <c r="W1442" s="19">
        <v>135.08636980930842</v>
      </c>
      <c r="X1442" s="19">
        <v>213.83538766198905</v>
      </c>
      <c r="Y1442" s="19">
        <v>319.88713491324808</v>
      </c>
      <c r="Z1442" s="19">
        <v>455.96324997328975</v>
      </c>
      <c r="AA1442" s="19">
        <v>622.48010360009073</v>
      </c>
      <c r="AB1442" s="19">
        <v>816.64378469415215</v>
      </c>
      <c r="AC1442" s="19">
        <v>1031.8504630354289</v>
      </c>
      <c r="AD1442" s="19">
        <v>1257.7162013431248</v>
      </c>
      <c r="AE1442" s="19">
        <v>1481.0070642115934</v>
      </c>
      <c r="AF1442" s="19">
        <v>1687.5262460837937</v>
      </c>
      <c r="AG1442" s="19">
        <v>1864.6549220231975</v>
      </c>
      <c r="AH1442" s="19">
        <v>2003.8632851985833</v>
      </c>
      <c r="AI1442" s="19">
        <v>2102.326628083315</v>
      </c>
      <c r="AJ1442" s="19">
        <v>2168.9352514330899</v>
      </c>
      <c r="AK1442" s="19">
        <v>2197.0536969608934</v>
      </c>
      <c r="AL1442" s="19">
        <v>2215.7113150522314</v>
      </c>
      <c r="AM1442" s="19">
        <v>2207.4611983528271</v>
      </c>
      <c r="AN1442" s="19">
        <v>2190.444833446164</v>
      </c>
      <c r="AO1442" s="19">
        <v>2173.5596403466661</v>
      </c>
      <c r="AP1442" s="19">
        <v>2156.8046079075298</v>
      </c>
      <c r="AQ1442" s="19">
        <v>2140.1787327764459</v>
      </c>
      <c r="AR1442" s="19">
        <v>31565.153596504431</v>
      </c>
    </row>
    <row r="1443" spans="1:44" x14ac:dyDescent="0.25">
      <c r="A1443" t="s">
        <v>435</v>
      </c>
      <c r="B1443" t="s">
        <v>476</v>
      </c>
      <c r="C1443" t="s">
        <v>45</v>
      </c>
      <c r="D1443" t="s">
        <v>477</v>
      </c>
      <c r="E1443" t="s">
        <v>145</v>
      </c>
      <c r="F1443" t="s">
        <v>477</v>
      </c>
      <c r="G1443" t="s">
        <v>33</v>
      </c>
      <c r="H1443" t="s">
        <v>452</v>
      </c>
      <c r="I1443" t="s">
        <v>256</v>
      </c>
      <c r="J1443" t="s">
        <v>40</v>
      </c>
      <c r="K1443" t="s">
        <v>33</v>
      </c>
      <c r="L1443">
        <v>0.10091851851851852</v>
      </c>
      <c r="M1443">
        <v>1</v>
      </c>
      <c r="N1443" s="2">
        <v>2.7221264772067415</v>
      </c>
      <c r="O1443" s="2">
        <v>1.4737622038640086</v>
      </c>
      <c r="P1443" s="1">
        <v>-0.41470332290347733</v>
      </c>
      <c r="Q1443" s="1">
        <v>1.3498045353129324</v>
      </c>
      <c r="R1443" s="1">
        <v>-0.25661544227348493</v>
      </c>
      <c r="S1443" s="19">
        <v>0</v>
      </c>
      <c r="T1443" s="19">
        <v>0</v>
      </c>
      <c r="U1443" s="19">
        <v>13.695878763524464</v>
      </c>
      <c r="V1443" s="19">
        <v>25.572394172112595</v>
      </c>
      <c r="W1443" s="19">
        <v>43.422211425502638</v>
      </c>
      <c r="X1443" s="19">
        <v>68.735324122044702</v>
      </c>
      <c r="Y1443" s="19">
        <v>102.82463600220464</v>
      </c>
      <c r="Z1443" s="19">
        <v>146.56499149801866</v>
      </c>
      <c r="AA1443" s="19">
        <v>200.09022897607989</v>
      </c>
      <c r="AB1443" s="19">
        <v>262.50227264504264</v>
      </c>
      <c r="AC1443" s="19">
        <v>331.67838493754363</v>
      </c>
      <c r="AD1443" s="19">
        <v>404.28074930945382</v>
      </c>
      <c r="AE1443" s="19">
        <v>476.05544479164371</v>
      </c>
      <c r="AF1443" s="19">
        <v>542.43904508629419</v>
      </c>
      <c r="AG1443" s="19">
        <v>599.37535055528747</v>
      </c>
      <c r="AH1443" s="19">
        <v>644.12253701482905</v>
      </c>
      <c r="AI1443" s="19">
        <v>675.77262945892983</v>
      </c>
      <c r="AJ1443" s="19">
        <v>697.18332936846514</v>
      </c>
      <c r="AK1443" s="19">
        <v>706.2217326388195</v>
      </c>
      <c r="AL1443" s="19">
        <v>712.21904412629237</v>
      </c>
      <c r="AM1443" s="19">
        <v>709.56712363933036</v>
      </c>
      <c r="AN1443" s="19">
        <v>704.09737716739789</v>
      </c>
      <c r="AO1443" s="19">
        <v>698.66979460846301</v>
      </c>
      <c r="AP1443" s="19">
        <v>693.28405093913261</v>
      </c>
      <c r="AQ1443" s="19">
        <v>687.93982364147826</v>
      </c>
      <c r="AR1443" s="19">
        <v>10146.314354887892</v>
      </c>
    </row>
    <row r="1444" spans="1:44" x14ac:dyDescent="0.25">
      <c r="A1444" t="s">
        <v>435</v>
      </c>
      <c r="B1444" t="s">
        <v>476</v>
      </c>
      <c r="C1444" t="s">
        <v>45</v>
      </c>
      <c r="D1444" t="s">
        <v>477</v>
      </c>
      <c r="E1444" t="s">
        <v>145</v>
      </c>
      <c r="F1444" t="s">
        <v>477</v>
      </c>
      <c r="G1444" t="s">
        <v>33</v>
      </c>
      <c r="H1444" t="s">
        <v>453</v>
      </c>
      <c r="I1444" t="s">
        <v>256</v>
      </c>
      <c r="J1444" t="s">
        <v>40</v>
      </c>
      <c r="K1444" t="s">
        <v>33</v>
      </c>
      <c r="L1444">
        <v>0.10091851851851852</v>
      </c>
      <c r="M1444">
        <v>1</v>
      </c>
      <c r="N1444" s="2">
        <v>2.7221264772067415</v>
      </c>
      <c r="O1444" s="2">
        <v>1.4737622038640086</v>
      </c>
      <c r="P1444" s="1">
        <v>-0.41470332290347733</v>
      </c>
      <c r="Q1444" s="1">
        <v>1.3498045353129324</v>
      </c>
      <c r="R1444" s="1">
        <v>-0.25661544227348493</v>
      </c>
      <c r="S1444" s="19">
        <v>0</v>
      </c>
      <c r="T1444" s="19">
        <v>0</v>
      </c>
      <c r="U1444" s="19">
        <v>45.760248888229917</v>
      </c>
      <c r="V1444" s="19">
        <v>85.441696892084366</v>
      </c>
      <c r="W1444" s="19">
        <v>145.08095730229786</v>
      </c>
      <c r="X1444" s="19">
        <v>229.65635090278076</v>
      </c>
      <c r="Y1444" s="19">
        <v>343.55451129093404</v>
      </c>
      <c r="Z1444" s="19">
        <v>489.6984417759777</v>
      </c>
      <c r="AA1444" s="19">
        <v>668.53531899198117</v>
      </c>
      <c r="AB1444" s="19">
        <v>877.06451972651348</v>
      </c>
      <c r="AC1444" s="19">
        <v>1108.193618507348</v>
      </c>
      <c r="AD1444" s="19">
        <v>1350.7704053565928</v>
      </c>
      <c r="AE1444" s="19">
        <v>1590.5818103676506</v>
      </c>
      <c r="AF1444" s="19">
        <v>1812.3806539489919</v>
      </c>
      <c r="AG1444" s="19">
        <v>2002.6144866239936</v>
      </c>
      <c r="AH1444" s="19">
        <v>2152.1224097585086</v>
      </c>
      <c r="AI1444" s="19">
        <v>2257.8707251886049</v>
      </c>
      <c r="AJ1444" s="19">
        <v>2329.4074972094613</v>
      </c>
      <c r="AK1444" s="19">
        <v>2359.6063322272717</v>
      </c>
      <c r="AL1444" s="19">
        <v>2379.6443649132711</v>
      </c>
      <c r="AM1444" s="19">
        <v>2370.7838497458647</v>
      </c>
      <c r="AN1444" s="19">
        <v>2352.5085010637663</v>
      </c>
      <c r="AO1444" s="19">
        <v>2334.3740291509648</v>
      </c>
      <c r="AP1444" s="19">
        <v>2316.3793480492936</v>
      </c>
      <c r="AQ1444" s="19">
        <v>2298.5233801717709</v>
      </c>
      <c r="AR1444" s="19">
        <v>33900.553458054157</v>
      </c>
    </row>
    <row r="1445" spans="1:44" x14ac:dyDescent="0.25">
      <c r="A1445" t="s">
        <v>435</v>
      </c>
      <c r="B1445" t="s">
        <v>476</v>
      </c>
      <c r="C1445" t="s">
        <v>45</v>
      </c>
      <c r="D1445" t="s">
        <v>477</v>
      </c>
      <c r="E1445" t="s">
        <v>145</v>
      </c>
      <c r="F1445" t="s">
        <v>477</v>
      </c>
      <c r="G1445" t="s">
        <v>33</v>
      </c>
      <c r="H1445" t="s">
        <v>457</v>
      </c>
      <c r="I1445" t="s">
        <v>256</v>
      </c>
      <c r="J1445" t="s">
        <v>40</v>
      </c>
      <c r="K1445" t="s">
        <v>33</v>
      </c>
      <c r="L1445">
        <v>0.10091851851851852</v>
      </c>
      <c r="M1445">
        <v>1</v>
      </c>
      <c r="N1445" s="2">
        <v>2.7221264772067415</v>
      </c>
      <c r="O1445" s="2">
        <v>1.4737622038640086</v>
      </c>
      <c r="P1445" s="1">
        <v>-0.41470332290347733</v>
      </c>
      <c r="Q1445" s="1">
        <v>1.3498045353129324</v>
      </c>
      <c r="R1445" s="1">
        <v>-0.25661544227348493</v>
      </c>
      <c r="S1445" s="19">
        <v>0</v>
      </c>
      <c r="T1445" s="19">
        <v>0</v>
      </c>
      <c r="U1445" s="19">
        <v>30.537901050693947</v>
      </c>
      <c r="V1445" s="19">
        <v>57.01914103804134</v>
      </c>
      <c r="W1445" s="19">
        <v>96.819139451339268</v>
      </c>
      <c r="X1445" s="19">
        <v>153.26015679378114</v>
      </c>
      <c r="Y1445" s="19">
        <v>229.26959372418492</v>
      </c>
      <c r="Z1445" s="19">
        <v>326.79810365892166</v>
      </c>
      <c r="AA1445" s="19">
        <v>446.14410796009417</v>
      </c>
      <c r="AB1445" s="19">
        <v>585.30515390994208</v>
      </c>
      <c r="AC1445" s="19">
        <v>739.5481425297146</v>
      </c>
      <c r="AD1445" s="19">
        <v>901.43069548722031</v>
      </c>
      <c r="AE1445" s="19">
        <v>1061.4677830245482</v>
      </c>
      <c r="AF1445" s="19">
        <v>1209.4842668288468</v>
      </c>
      <c r="AG1445" s="19">
        <v>1336.4359792837515</v>
      </c>
      <c r="AH1445" s="19">
        <v>1436.2094349336169</v>
      </c>
      <c r="AI1445" s="19">
        <v>1506.7801086371082</v>
      </c>
      <c r="AJ1445" s="19">
        <v>1554.519859152776</v>
      </c>
      <c r="AK1445" s="19">
        <v>1574.6729190251699</v>
      </c>
      <c r="AL1445" s="19">
        <v>1588.0452121022954</v>
      </c>
      <c r="AM1445" s="19">
        <v>1582.1321862334603</v>
      </c>
      <c r="AN1445" s="19">
        <v>1569.9362125820933</v>
      </c>
      <c r="AO1445" s="19">
        <v>1557.8342524237828</v>
      </c>
      <c r="AP1445" s="19">
        <v>1545.825581049118</v>
      </c>
      <c r="AQ1445" s="19">
        <v>1533.909479335161</v>
      </c>
      <c r="AR1445" s="19">
        <v>22623.385410215655</v>
      </c>
    </row>
    <row r="1446" spans="1:44" x14ac:dyDescent="0.25">
      <c r="A1446" t="s">
        <v>435</v>
      </c>
      <c r="B1446" t="s">
        <v>478</v>
      </c>
      <c r="C1446" t="s">
        <v>45</v>
      </c>
      <c r="D1446" t="s">
        <v>358</v>
      </c>
      <c r="E1446" t="s">
        <v>145</v>
      </c>
      <c r="F1446" t="s">
        <v>358</v>
      </c>
      <c r="G1446" t="s">
        <v>33</v>
      </c>
      <c r="H1446" t="s">
        <v>450</v>
      </c>
      <c r="I1446" t="s">
        <v>135</v>
      </c>
      <c r="J1446" t="s">
        <v>39</v>
      </c>
      <c r="K1446" t="s">
        <v>31</v>
      </c>
      <c r="L1446">
        <v>2.2326092598625055E-2</v>
      </c>
      <c r="M1446">
        <v>1</v>
      </c>
      <c r="N1446" s="2">
        <v>2.0723427924853257</v>
      </c>
      <c r="O1446" s="2">
        <v>3.1523474906593343</v>
      </c>
      <c r="P1446" s="1">
        <v>-0.39143361450399961</v>
      </c>
      <c r="Q1446" s="1">
        <v>0.82393863314836524</v>
      </c>
      <c r="R1446" s="1">
        <v>-0.67371772101320482</v>
      </c>
      <c r="S1446" s="19">
        <v>1.9828408016772203</v>
      </c>
      <c r="T1446" s="19">
        <v>3.7022806229915144</v>
      </c>
      <c r="U1446" s="19">
        <v>6.2865139214612036</v>
      </c>
      <c r="V1446" s="19">
        <v>9.9512566910767379</v>
      </c>
      <c r="W1446" s="19">
        <v>14.886586483649079</v>
      </c>
      <c r="X1446" s="19">
        <v>21.219160176397477</v>
      </c>
      <c r="Y1446" s="19">
        <v>28.968354413836153</v>
      </c>
      <c r="Z1446" s="19">
        <v>38.00414896485578</v>
      </c>
      <c r="AA1446" s="19">
        <v>48.019221405499849</v>
      </c>
      <c r="AB1446" s="19">
        <v>58.530334482687607</v>
      </c>
      <c r="AC1446" s="19">
        <v>68.921620590525464</v>
      </c>
      <c r="AD1446" s="19">
        <v>78.532403038236922</v>
      </c>
      <c r="AE1446" s="19">
        <v>86.775439613688121</v>
      </c>
      <c r="AF1446" s="19">
        <v>93.253778726074188</v>
      </c>
      <c r="AG1446" s="19">
        <v>97.835966971063328</v>
      </c>
      <c r="AH1446" s="19">
        <v>100.93573224396856</v>
      </c>
      <c r="AI1446" s="19">
        <v>102.2442802455909</v>
      </c>
      <c r="AJ1446" s="19">
        <v>103.11254975374392</v>
      </c>
      <c r="AK1446" s="19">
        <v>102.72861410162965</v>
      </c>
      <c r="AL1446" s="19">
        <v>101.93672358721716</v>
      </c>
      <c r="AM1446" s="19">
        <v>101.15093741473808</v>
      </c>
      <c r="AN1446" s="19">
        <v>100.37120852845705</v>
      </c>
      <c r="AO1446" s="19">
        <v>99.597490235371083</v>
      </c>
      <c r="AP1446" s="19">
        <v>98.829736202413429</v>
      </c>
      <c r="AQ1446" s="19">
        <v>98.067900453678902</v>
      </c>
      <c r="AR1446" s="19">
        <v>1665.8450796705292</v>
      </c>
    </row>
    <row r="1447" spans="1:44" x14ac:dyDescent="0.25">
      <c r="A1447" t="s">
        <v>435</v>
      </c>
      <c r="B1447" t="s">
        <v>478</v>
      </c>
      <c r="C1447" t="s">
        <v>45</v>
      </c>
      <c r="D1447" t="s">
        <v>358</v>
      </c>
      <c r="E1447" t="s">
        <v>145</v>
      </c>
      <c r="F1447" t="s">
        <v>358</v>
      </c>
      <c r="G1447" t="s">
        <v>33</v>
      </c>
      <c r="H1447" t="s">
        <v>451</v>
      </c>
      <c r="I1447" t="s">
        <v>135</v>
      </c>
      <c r="J1447" t="s">
        <v>39</v>
      </c>
      <c r="K1447" t="s">
        <v>31</v>
      </c>
      <c r="L1447">
        <v>2.2326092598625055E-2</v>
      </c>
      <c r="M1447">
        <v>1</v>
      </c>
      <c r="N1447" s="2">
        <v>2.0723427924853257</v>
      </c>
      <c r="O1447" s="2">
        <v>3.1523474906593343</v>
      </c>
      <c r="P1447" s="1">
        <v>-0.39143361450399961</v>
      </c>
      <c r="Q1447" s="1">
        <v>0.82393863314836524</v>
      </c>
      <c r="R1447" s="1">
        <v>-0.67371772101320482</v>
      </c>
      <c r="S1447" s="19">
        <v>0.51867707417221531</v>
      </c>
      <c r="T1447" s="19">
        <v>0.96845297901546923</v>
      </c>
      <c r="U1447" s="19">
        <v>1.6444439940757232</v>
      </c>
      <c r="V1447" s="19">
        <v>2.6030777158198632</v>
      </c>
      <c r="W1447" s="19">
        <v>3.894075164894494</v>
      </c>
      <c r="X1447" s="19">
        <v>5.5505676034989326</v>
      </c>
      <c r="Y1447" s="19">
        <v>7.577623628807201</v>
      </c>
      <c r="Z1447" s="19">
        <v>9.9412321830490793</v>
      </c>
      <c r="AA1447" s="19">
        <v>12.561003002139604</v>
      </c>
      <c r="AB1447" s="19">
        <v>15.31052952618405</v>
      </c>
      <c r="AC1447" s="19">
        <v>18.028711374540578</v>
      </c>
      <c r="AD1447" s="19">
        <v>20.542726880106184</v>
      </c>
      <c r="AE1447" s="19">
        <v>22.698963573255277</v>
      </c>
      <c r="AF1447" s="19">
        <v>24.393585740332711</v>
      </c>
      <c r="AG1447" s="19">
        <v>25.59220743008559</v>
      </c>
      <c r="AH1447" s="19">
        <v>26.403052749090108</v>
      </c>
      <c r="AI1447" s="19">
        <v>26.745346415995321</v>
      </c>
      <c r="AJ1447" s="19">
        <v>26.972470796177937</v>
      </c>
      <c r="AK1447" s="19">
        <v>26.872039828376288</v>
      </c>
      <c r="AL1447" s="19">
        <v>26.66489488021265</v>
      </c>
      <c r="AM1447" s="19">
        <v>26.45934672298203</v>
      </c>
      <c r="AN1447" s="19">
        <v>26.255383047712833</v>
      </c>
      <c r="AO1447" s="19">
        <v>26.052991640318002</v>
      </c>
      <c r="AP1447" s="19">
        <v>25.852160380863605</v>
      </c>
      <c r="AQ1447" s="19">
        <v>25.652877242843051</v>
      </c>
      <c r="AR1447" s="19">
        <v>435.75644157454877</v>
      </c>
    </row>
    <row r="1448" spans="1:44" x14ac:dyDescent="0.25">
      <c r="A1448" t="s">
        <v>435</v>
      </c>
      <c r="B1448" t="s">
        <v>478</v>
      </c>
      <c r="C1448" t="s">
        <v>45</v>
      </c>
      <c r="D1448" t="s">
        <v>358</v>
      </c>
      <c r="E1448" t="s">
        <v>145</v>
      </c>
      <c r="F1448" t="s">
        <v>358</v>
      </c>
      <c r="G1448" t="s">
        <v>33</v>
      </c>
      <c r="H1448" t="s">
        <v>452</v>
      </c>
      <c r="I1448" t="s">
        <v>135</v>
      </c>
      <c r="J1448" t="s">
        <v>39</v>
      </c>
      <c r="K1448" t="s">
        <v>31</v>
      </c>
      <c r="L1448">
        <v>2.2326092598625055E-2</v>
      </c>
      <c r="M1448">
        <v>1</v>
      </c>
      <c r="N1448" s="2">
        <v>2.0723427924853257</v>
      </c>
      <c r="O1448" s="2">
        <v>3.1523474906593343</v>
      </c>
      <c r="P1448" s="1">
        <v>-0.39143361450399961</v>
      </c>
      <c r="Q1448" s="1">
        <v>0.82393863314836524</v>
      </c>
      <c r="R1448" s="1">
        <v>-0.67371772101320482</v>
      </c>
      <c r="S1448" s="19">
        <v>11.747681089522327</v>
      </c>
      <c r="T1448" s="19">
        <v>21.934797804257848</v>
      </c>
      <c r="U1448" s="19">
        <v>37.2455320929949</v>
      </c>
      <c r="V1448" s="19">
        <v>58.957930433880179</v>
      </c>
      <c r="W1448" s="19">
        <v>88.198139948287988</v>
      </c>
      <c r="X1448" s="19">
        <v>125.7165610718498</v>
      </c>
      <c r="Y1448" s="19">
        <v>171.62799406495256</v>
      </c>
      <c r="Z1448" s="19">
        <v>225.16211172383552</v>
      </c>
      <c r="AA1448" s="19">
        <v>284.49812953304689</v>
      </c>
      <c r="AB1448" s="19">
        <v>346.77302534024466</v>
      </c>
      <c r="AC1448" s="19">
        <v>408.33798567473298</v>
      </c>
      <c r="AD1448" s="19">
        <v>465.27871794178691</v>
      </c>
      <c r="AE1448" s="19">
        <v>514.11600473544058</v>
      </c>
      <c r="AF1448" s="19">
        <v>552.49803813807955</v>
      </c>
      <c r="AG1448" s="19">
        <v>579.64599986488986</v>
      </c>
      <c r="AH1448" s="19">
        <v>598.01109193262641</v>
      </c>
      <c r="AI1448" s="19">
        <v>605.76380944801531</v>
      </c>
      <c r="AJ1448" s="19">
        <v>610.90802136503362</v>
      </c>
      <c r="AK1448" s="19">
        <v>608.63332861303797</v>
      </c>
      <c r="AL1448" s="19">
        <v>603.94163717050446</v>
      </c>
      <c r="AM1448" s="19">
        <v>599.28611195081328</v>
      </c>
      <c r="AN1448" s="19">
        <v>594.66647416417425</v>
      </c>
      <c r="AO1448" s="19">
        <v>590.08244716986621</v>
      </c>
      <c r="AP1448" s="19">
        <v>585.53375645967299</v>
      </c>
      <c r="AQ1448" s="19">
        <v>581.02012964144319</v>
      </c>
      <c r="AR1448" s="19">
        <v>9869.5854573729903</v>
      </c>
    </row>
    <row r="1449" spans="1:44" x14ac:dyDescent="0.25">
      <c r="A1449" t="s">
        <v>435</v>
      </c>
      <c r="B1449" t="s">
        <v>478</v>
      </c>
      <c r="C1449" t="s">
        <v>45</v>
      </c>
      <c r="D1449" t="s">
        <v>358</v>
      </c>
      <c r="E1449" t="s">
        <v>145</v>
      </c>
      <c r="F1449" t="s">
        <v>358</v>
      </c>
      <c r="G1449" t="s">
        <v>33</v>
      </c>
      <c r="H1449" t="s">
        <v>453</v>
      </c>
      <c r="I1449" t="s">
        <v>135</v>
      </c>
      <c r="J1449" t="s">
        <v>39</v>
      </c>
      <c r="K1449" t="s">
        <v>31</v>
      </c>
      <c r="L1449">
        <v>2.2326092598625055E-2</v>
      </c>
      <c r="M1449">
        <v>1</v>
      </c>
      <c r="N1449" s="2">
        <v>2.0723427924853257</v>
      </c>
      <c r="O1449" s="2">
        <v>3.1523474906593343</v>
      </c>
      <c r="P1449" s="1">
        <v>-0.39143361450399961</v>
      </c>
      <c r="Q1449" s="1">
        <v>0.82393863314836524</v>
      </c>
      <c r="R1449" s="1">
        <v>-0.67371772101320482</v>
      </c>
      <c r="S1449" s="19">
        <v>3.5927918842056772</v>
      </c>
      <c r="T1449" s="19">
        <v>6.7083165547554433</v>
      </c>
      <c r="U1449" s="19">
        <v>11.390796567161086</v>
      </c>
      <c r="V1449" s="19">
        <v>18.031096720980234</v>
      </c>
      <c r="W1449" s="19">
        <v>26.97362645389364</v>
      </c>
      <c r="X1449" s="19">
        <v>38.447880640208531</v>
      </c>
      <c r="Y1449" s="19">
        <v>52.488968629649285</v>
      </c>
      <c r="Z1449" s="19">
        <v>68.861301346826153</v>
      </c>
      <c r="AA1449" s="19">
        <v>87.008028483993115</v>
      </c>
      <c r="AB1449" s="19">
        <v>106.05355232319636</v>
      </c>
      <c r="AC1449" s="19">
        <v>124.88195668279988</v>
      </c>
      <c r="AD1449" s="19">
        <v>142.29613393283256</v>
      </c>
      <c r="AE1449" s="19">
        <v>157.23203543558603</v>
      </c>
      <c r="AF1449" s="19">
        <v>168.97040806057183</v>
      </c>
      <c r="AG1449" s="19">
        <v>177.27306590611062</v>
      </c>
      <c r="AH1449" s="19">
        <v>182.88965978798771</v>
      </c>
      <c r="AI1449" s="19">
        <v>185.26067244636425</v>
      </c>
      <c r="AJ1449" s="19">
        <v>186.8339261536496</v>
      </c>
      <c r="AK1449" s="19">
        <v>186.13825714491901</v>
      </c>
      <c r="AL1449" s="19">
        <v>184.70339771951583</v>
      </c>
      <c r="AM1449" s="19">
        <v>183.27959900566253</v>
      </c>
      <c r="AN1449" s="19">
        <v>181.86677574111116</v>
      </c>
      <c r="AO1449" s="19">
        <v>180.46484332086376</v>
      </c>
      <c r="AP1449" s="19">
        <v>179.07371779210553</v>
      </c>
      <c r="AQ1449" s="19">
        <v>177.69331584917805</v>
      </c>
      <c r="AR1449" s="19">
        <v>3018.4141245841274</v>
      </c>
    </row>
    <row r="1450" spans="1:44" x14ac:dyDescent="0.25">
      <c r="A1450" t="s">
        <v>435</v>
      </c>
      <c r="B1450" t="s">
        <v>478</v>
      </c>
      <c r="C1450" t="s">
        <v>45</v>
      </c>
      <c r="D1450" t="s">
        <v>358</v>
      </c>
      <c r="E1450" t="s">
        <v>145</v>
      </c>
      <c r="F1450" t="s">
        <v>358</v>
      </c>
      <c r="G1450" t="s">
        <v>33</v>
      </c>
      <c r="H1450" t="s">
        <v>454</v>
      </c>
      <c r="I1450" t="s">
        <v>135</v>
      </c>
      <c r="J1450" t="s">
        <v>39</v>
      </c>
      <c r="K1450" t="s">
        <v>31</v>
      </c>
      <c r="L1450">
        <v>2.2326092598625055E-2</v>
      </c>
      <c r="M1450">
        <v>1</v>
      </c>
      <c r="N1450" s="2">
        <v>2.0723427924853257</v>
      </c>
      <c r="O1450" s="2">
        <v>3.1523474906593343</v>
      </c>
      <c r="P1450" s="1">
        <v>-0.39143361450399961</v>
      </c>
      <c r="Q1450" s="1">
        <v>0.82393863314836524</v>
      </c>
      <c r="R1450" s="1">
        <v>-0.67371772101320482</v>
      </c>
      <c r="S1450" s="19">
        <v>0.19783388071655017</v>
      </c>
      <c r="T1450" s="19">
        <v>0.36938746798459771</v>
      </c>
      <c r="U1450" s="19">
        <v>0.62722405359486999</v>
      </c>
      <c r="V1450" s="19">
        <v>0.99286625912528725</v>
      </c>
      <c r="W1450" s="19">
        <v>1.4852786830852485</v>
      </c>
      <c r="X1450" s="19">
        <v>2.1170982560435259</v>
      </c>
      <c r="Y1450" s="19">
        <v>2.8902582430288968</v>
      </c>
      <c r="Z1450" s="19">
        <v>3.7917861417253569</v>
      </c>
      <c r="AA1450" s="19">
        <v>4.7910194865879649</v>
      </c>
      <c r="AB1450" s="19">
        <v>5.8397442702173894</v>
      </c>
      <c r="AC1450" s="19">
        <v>6.8765135633500742</v>
      </c>
      <c r="AD1450" s="19">
        <v>7.8354097020340205</v>
      </c>
      <c r="AE1450" s="19">
        <v>8.6578417970517183</v>
      </c>
      <c r="AF1450" s="19">
        <v>9.3042048162699267</v>
      </c>
      <c r="AG1450" s="19">
        <v>9.7613832654490924</v>
      </c>
      <c r="AH1450" s="19">
        <v>10.070655998151851</v>
      </c>
      <c r="AI1450" s="19">
        <v>10.201213695494904</v>
      </c>
      <c r="AJ1450" s="19">
        <v>10.287843507712031</v>
      </c>
      <c r="AK1450" s="19">
        <v>10.249537114208852</v>
      </c>
      <c r="AL1450" s="19">
        <v>10.170527859690626</v>
      </c>
      <c r="AM1450" s="19">
        <v>10.092127653388916</v>
      </c>
      <c r="AN1450" s="19">
        <v>10.014331800414087</v>
      </c>
      <c r="AO1450" s="19">
        <v>9.9371356420673838</v>
      </c>
      <c r="AP1450" s="19">
        <v>9.8605345555619426</v>
      </c>
      <c r="AQ1450" s="19">
        <v>9.7845239537459676</v>
      </c>
      <c r="AR1450" s="19">
        <v>166.20628166670107</v>
      </c>
    </row>
    <row r="1451" spans="1:44" x14ac:dyDescent="0.25">
      <c r="A1451" t="s">
        <v>435</v>
      </c>
      <c r="B1451" t="s">
        <v>478</v>
      </c>
      <c r="C1451" t="s">
        <v>45</v>
      </c>
      <c r="D1451" t="s">
        <v>358</v>
      </c>
      <c r="E1451" t="s">
        <v>145</v>
      </c>
      <c r="F1451" t="s">
        <v>358</v>
      </c>
      <c r="G1451" t="s">
        <v>33</v>
      </c>
      <c r="H1451" t="s">
        <v>455</v>
      </c>
      <c r="I1451" t="s">
        <v>135</v>
      </c>
      <c r="J1451" t="s">
        <v>39</v>
      </c>
      <c r="K1451" t="s">
        <v>31</v>
      </c>
      <c r="L1451">
        <v>2.2326092598625055E-2</v>
      </c>
      <c r="M1451">
        <v>1</v>
      </c>
      <c r="N1451" s="2">
        <v>2.0723427924853257</v>
      </c>
      <c r="O1451" s="2">
        <v>3.1523474906593343</v>
      </c>
      <c r="P1451" s="1">
        <v>-0.39143361450399961</v>
      </c>
      <c r="Q1451" s="1">
        <v>0.82393863314836524</v>
      </c>
      <c r="R1451" s="1">
        <v>-0.67371772101320482</v>
      </c>
      <c r="S1451" s="19">
        <v>4.6612594664242675E-2</v>
      </c>
      <c r="T1451" s="19">
        <v>8.7033162655725818E-2</v>
      </c>
      <c r="U1451" s="19">
        <v>0.14778328397535728</v>
      </c>
      <c r="V1451" s="19">
        <v>0.23393400728320393</v>
      </c>
      <c r="W1451" s="19">
        <v>0.34995367308841885</v>
      </c>
      <c r="X1451" s="19">
        <v>0.49881972954229387</v>
      </c>
      <c r="Y1451" s="19">
        <v>0.68098768254118214</v>
      </c>
      <c r="Z1451" s="19">
        <v>0.89340101825617579</v>
      </c>
      <c r="AA1451" s="19">
        <v>1.1288352053144075</v>
      </c>
      <c r="AB1451" s="19">
        <v>1.3759303089266293</v>
      </c>
      <c r="AC1451" s="19">
        <v>1.6202085217690891</v>
      </c>
      <c r="AD1451" s="19">
        <v>1.8461386651585427</v>
      </c>
      <c r="AE1451" s="19">
        <v>2.0399158571393743</v>
      </c>
      <c r="AF1451" s="19">
        <v>2.1922085651004632</v>
      </c>
      <c r="AG1451" s="19">
        <v>2.2999265841962329</v>
      </c>
      <c r="AH1451" s="19">
        <v>2.3727958241765732</v>
      </c>
      <c r="AI1451" s="19">
        <v>2.4035571528453867</v>
      </c>
      <c r="AJ1451" s="19">
        <v>2.4239684206630665</v>
      </c>
      <c r="AK1451" s="19">
        <v>2.4149428665620936</v>
      </c>
      <c r="AL1451" s="19">
        <v>2.3963271150930177</v>
      </c>
      <c r="AM1451" s="19">
        <v>2.3778548644112925</v>
      </c>
      <c r="AN1451" s="19">
        <v>2.3595250083313308</v>
      </c>
      <c r="AO1451" s="19">
        <v>2.3413364491946513</v>
      </c>
      <c r="AP1451" s="19">
        <v>2.3232880978041512</v>
      </c>
      <c r="AQ1451" s="19">
        <v>2.3053788733588729</v>
      </c>
      <c r="AR1451" s="19">
        <v>39.160663532051778</v>
      </c>
    </row>
    <row r="1452" spans="1:44" x14ac:dyDescent="0.25">
      <c r="A1452" t="s">
        <v>435</v>
      </c>
      <c r="B1452" t="s">
        <v>478</v>
      </c>
      <c r="C1452" t="s">
        <v>45</v>
      </c>
      <c r="D1452" t="s">
        <v>358</v>
      </c>
      <c r="E1452" t="s">
        <v>145</v>
      </c>
      <c r="F1452" t="s">
        <v>358</v>
      </c>
      <c r="G1452" t="s">
        <v>33</v>
      </c>
      <c r="H1452" t="s">
        <v>457</v>
      </c>
      <c r="I1452" t="s">
        <v>135</v>
      </c>
      <c r="J1452" t="s">
        <v>39</v>
      </c>
      <c r="K1452" t="s">
        <v>31</v>
      </c>
      <c r="L1452">
        <v>2.2326092598625055E-2</v>
      </c>
      <c r="M1452">
        <v>1</v>
      </c>
      <c r="N1452" s="2">
        <v>2.0723427924853257</v>
      </c>
      <c r="O1452" s="2">
        <v>3.1523474906593343</v>
      </c>
      <c r="P1452" s="1">
        <v>-0.39143361450399961</v>
      </c>
      <c r="Q1452" s="1">
        <v>0.82393863314836524</v>
      </c>
      <c r="R1452" s="1">
        <v>-0.67371772101320482</v>
      </c>
      <c r="S1452" s="19">
        <v>3.1062216787736054</v>
      </c>
      <c r="T1452" s="19">
        <v>5.7998122301659976</v>
      </c>
      <c r="U1452" s="19">
        <v>9.8481460590468721</v>
      </c>
      <c r="V1452" s="19">
        <v>15.589153319175708</v>
      </c>
      <c r="W1452" s="19">
        <v>23.320600231413</v>
      </c>
      <c r="X1452" s="19">
        <v>33.240901281405492</v>
      </c>
      <c r="Y1452" s="19">
        <v>45.380410975274458</v>
      </c>
      <c r="Z1452" s="19">
        <v>59.535445961230181</v>
      </c>
      <c r="AA1452" s="19">
        <v>75.224569920805038</v>
      </c>
      <c r="AB1452" s="19">
        <v>91.690766945187406</v>
      </c>
      <c r="AC1452" s="19">
        <v>107.96924888443452</v>
      </c>
      <c r="AD1452" s="19">
        <v>123.0250318619718</v>
      </c>
      <c r="AE1452" s="19">
        <v>135.93817087340028</v>
      </c>
      <c r="AF1452" s="19">
        <v>146.08682091949521</v>
      </c>
      <c r="AG1452" s="19">
        <v>153.26505350920567</v>
      </c>
      <c r="AH1452" s="19">
        <v>158.12099458206606</v>
      </c>
      <c r="AI1452" s="19">
        <v>160.17090205165059</v>
      </c>
      <c r="AJ1452" s="19">
        <v>161.53109070974233</v>
      </c>
      <c r="AK1452" s="19">
        <v>160.92963584516488</v>
      </c>
      <c r="AL1452" s="19">
        <v>159.68909879297064</v>
      </c>
      <c r="AM1452" s="19">
        <v>158.45812450508507</v>
      </c>
      <c r="AN1452" s="19">
        <v>157.23663926628856</v>
      </c>
      <c r="AO1452" s="19">
        <v>156.02456992960026</v>
      </c>
      <c r="AP1452" s="19">
        <v>154.82184391189793</v>
      </c>
      <c r="AQ1452" s="19">
        <v>153.62838918957115</v>
      </c>
      <c r="AR1452" s="19">
        <v>2609.6316434350224</v>
      </c>
    </row>
    <row r="1453" spans="1:44" x14ac:dyDescent="0.25">
      <c r="A1453" t="s">
        <v>435</v>
      </c>
      <c r="B1453" t="s">
        <v>478</v>
      </c>
      <c r="C1453" t="s">
        <v>45</v>
      </c>
      <c r="D1453" t="s">
        <v>358</v>
      </c>
      <c r="E1453" t="s">
        <v>145</v>
      </c>
      <c r="F1453" t="s">
        <v>358</v>
      </c>
      <c r="G1453" t="s">
        <v>33</v>
      </c>
      <c r="H1453" t="s">
        <v>450</v>
      </c>
      <c r="I1453" t="s">
        <v>135</v>
      </c>
      <c r="J1453" t="s">
        <v>39</v>
      </c>
      <c r="K1453" t="s">
        <v>33</v>
      </c>
      <c r="L1453">
        <v>2.2326092598625055E-2</v>
      </c>
      <c r="M1453">
        <v>1</v>
      </c>
      <c r="N1453" s="2">
        <v>2.0723427924853257</v>
      </c>
      <c r="O1453" s="2">
        <v>3.1523474906593343</v>
      </c>
      <c r="P1453" s="1">
        <v>-0.39143361450399961</v>
      </c>
      <c r="Q1453" s="1">
        <v>0.82393863314836524</v>
      </c>
      <c r="R1453" s="1">
        <v>-0.67371772101320482</v>
      </c>
      <c r="S1453" s="19">
        <v>1.2215890095621844</v>
      </c>
      <c r="T1453" s="19">
        <v>2.2793119320599335</v>
      </c>
      <c r="U1453" s="19">
        <v>3.8675992895943354</v>
      </c>
      <c r="V1453" s="19">
        <v>6.1179606490840417</v>
      </c>
      <c r="W1453" s="19">
        <v>9.1457860015655488</v>
      </c>
      <c r="X1453" s="19">
        <v>13.027205432801772</v>
      </c>
      <c r="Y1453" s="19">
        <v>17.772317205319112</v>
      </c>
      <c r="Z1453" s="19">
        <v>23.299596644487735</v>
      </c>
      <c r="AA1453" s="19">
        <v>29.419119149423036</v>
      </c>
      <c r="AB1453" s="19">
        <v>35.833787778671393</v>
      </c>
      <c r="AC1453" s="19">
        <v>42.166189110243025</v>
      </c>
      <c r="AD1453" s="19">
        <v>48.01256613924626</v>
      </c>
      <c r="AE1453" s="19">
        <v>53.01515242061663</v>
      </c>
      <c r="AF1453" s="19">
        <v>56.933356824968783</v>
      </c>
      <c r="AG1453" s="19">
        <v>59.689240645194253</v>
      </c>
      <c r="AH1453" s="19">
        <v>61.537466210163075</v>
      </c>
      <c r="AI1453" s="19">
        <v>62.291796269486291</v>
      </c>
      <c r="AJ1453" s="19">
        <v>62.776994380434381</v>
      </c>
      <c r="AK1453" s="19">
        <v>62.499649523069664</v>
      </c>
      <c r="AL1453" s="19">
        <v>61.97463583820582</v>
      </c>
      <c r="AM1453" s="19">
        <v>61.454032407981778</v>
      </c>
      <c r="AN1453" s="19">
        <v>60.937802185085154</v>
      </c>
      <c r="AO1453" s="19">
        <v>60.425908433410839</v>
      </c>
      <c r="AP1453" s="19">
        <v>59.918314725446749</v>
      </c>
      <c r="AQ1453" s="19">
        <v>59.414984939681709</v>
      </c>
      <c r="AR1453" s="19">
        <v>1015.0323631458036</v>
      </c>
    </row>
    <row r="1454" spans="1:44" x14ac:dyDescent="0.25">
      <c r="A1454" t="s">
        <v>435</v>
      </c>
      <c r="B1454" t="s">
        <v>478</v>
      </c>
      <c r="C1454" t="s">
        <v>45</v>
      </c>
      <c r="D1454" t="s">
        <v>358</v>
      </c>
      <c r="E1454" t="s">
        <v>145</v>
      </c>
      <c r="F1454" t="s">
        <v>358</v>
      </c>
      <c r="G1454" t="s">
        <v>33</v>
      </c>
      <c r="H1454" t="s">
        <v>451</v>
      </c>
      <c r="I1454" t="s">
        <v>135</v>
      </c>
      <c r="J1454" t="s">
        <v>39</v>
      </c>
      <c r="K1454" t="s">
        <v>33</v>
      </c>
      <c r="L1454">
        <v>2.2326092598625055E-2</v>
      </c>
      <c r="M1454">
        <v>1</v>
      </c>
      <c r="N1454" s="2">
        <v>2.0723427924853257</v>
      </c>
      <c r="O1454" s="2">
        <v>3.1523474906593343</v>
      </c>
      <c r="P1454" s="1">
        <v>-0.39143361450399961</v>
      </c>
      <c r="Q1454" s="1">
        <v>0.82393863314836524</v>
      </c>
      <c r="R1454" s="1">
        <v>-0.67371772101320482</v>
      </c>
      <c r="S1454" s="19">
        <v>2.3365430359858461</v>
      </c>
      <c r="T1454" s="19">
        <v>4.3626992139757039</v>
      </c>
      <c r="U1454" s="19">
        <v>7.4079120781625756</v>
      </c>
      <c r="V1454" s="19">
        <v>11.726377377939365</v>
      </c>
      <c r="W1454" s="19">
        <v>17.542078995222081</v>
      </c>
      <c r="X1454" s="19">
        <v>25.004267058501139</v>
      </c>
      <c r="Y1454" s="19">
        <v>34.135774648355778</v>
      </c>
      <c r="Z1454" s="19">
        <v>44.783388322093657</v>
      </c>
      <c r="AA1454" s="19">
        <v>56.584965002524463</v>
      </c>
      <c r="AB1454" s="19">
        <v>68.971066821787332</v>
      </c>
      <c r="AC1454" s="19">
        <v>81.215966750045638</v>
      </c>
      <c r="AD1454" s="19">
        <v>92.541135558141804</v>
      </c>
      <c r="AE1454" s="19">
        <v>102.25457785237714</v>
      </c>
      <c r="AF1454" s="19">
        <v>109.88853319816012</v>
      </c>
      <c r="AG1454" s="19">
        <v>115.28809932790152</v>
      </c>
      <c r="AH1454" s="19">
        <v>118.94080556406082</v>
      </c>
      <c r="AI1454" s="19">
        <v>120.48277439880422</v>
      </c>
      <c r="AJ1454" s="19">
        <v>121.50592717582882</v>
      </c>
      <c r="AK1454" s="19">
        <v>121.05350448336884</v>
      </c>
      <c r="AL1454" s="19">
        <v>120.12035530409604</v>
      </c>
      <c r="AM1454" s="19">
        <v>119.19439936879004</v>
      </c>
      <c r="AN1454" s="19">
        <v>118.27558122783996</v>
      </c>
      <c r="AO1454" s="19">
        <v>117.36384585907228</v>
      </c>
      <c r="AP1454" s="19">
        <v>116.45913866445538</v>
      </c>
      <c r="AQ1454" s="19">
        <v>115.56140546683054</v>
      </c>
      <c r="AR1454" s="19">
        <v>1963.0011227543216</v>
      </c>
    </row>
    <row r="1455" spans="1:44" x14ac:dyDescent="0.25">
      <c r="A1455" t="s">
        <v>435</v>
      </c>
      <c r="B1455" t="s">
        <v>478</v>
      </c>
      <c r="C1455" t="s">
        <v>45</v>
      </c>
      <c r="D1455" t="s">
        <v>358</v>
      </c>
      <c r="E1455" t="s">
        <v>145</v>
      </c>
      <c r="F1455" t="s">
        <v>358</v>
      </c>
      <c r="G1455" t="s">
        <v>33</v>
      </c>
      <c r="H1455" t="s">
        <v>452</v>
      </c>
      <c r="I1455" t="s">
        <v>135</v>
      </c>
      <c r="J1455" t="s">
        <v>39</v>
      </c>
      <c r="K1455" t="s">
        <v>33</v>
      </c>
      <c r="L1455">
        <v>2.2326092598625055E-2</v>
      </c>
      <c r="M1455">
        <v>1</v>
      </c>
      <c r="N1455" s="2">
        <v>2.0723427924853257</v>
      </c>
      <c r="O1455" s="2">
        <v>3.1523474906593343</v>
      </c>
      <c r="P1455" s="1">
        <v>-0.39143361450399961</v>
      </c>
      <c r="Q1455" s="1">
        <v>0.82393863314836524</v>
      </c>
      <c r="R1455" s="1">
        <v>-0.67371772101320482</v>
      </c>
      <c r="S1455" s="19">
        <v>23.23064963239781</v>
      </c>
      <c r="T1455" s="19">
        <v>43.375334984423041</v>
      </c>
      <c r="U1455" s="19">
        <v>73.651804116158033</v>
      </c>
      <c r="V1455" s="19">
        <v>116.58735153972792</v>
      </c>
      <c r="W1455" s="19">
        <v>174.40889582840867</v>
      </c>
      <c r="X1455" s="19">
        <v>248.60032894958624</v>
      </c>
      <c r="Y1455" s="19">
        <v>339.38866460974708</v>
      </c>
      <c r="Z1455" s="19">
        <v>445.25060631858838</v>
      </c>
      <c r="AA1455" s="19">
        <v>562.58561310021639</v>
      </c>
      <c r="AB1455" s="19">
        <v>685.73215362738324</v>
      </c>
      <c r="AC1455" s="19">
        <v>807.47482030894173</v>
      </c>
      <c r="AD1455" s="19">
        <v>920.07322939308574</v>
      </c>
      <c r="AE1455" s="19">
        <v>1016.6473438804268</v>
      </c>
      <c r="AF1455" s="19">
        <v>1092.5465416336699</v>
      </c>
      <c r="AG1455" s="19">
        <v>1146.2307353314168</v>
      </c>
      <c r="AH1455" s="19">
        <v>1182.5470956446727</v>
      </c>
      <c r="AI1455" s="19">
        <v>1197.8778373396942</v>
      </c>
      <c r="AJ1455" s="19">
        <v>1208.0503457495147</v>
      </c>
      <c r="AK1455" s="19">
        <v>1203.552216293984</v>
      </c>
      <c r="AL1455" s="19">
        <v>1194.274552110367</v>
      </c>
      <c r="AM1455" s="19">
        <v>1185.0684054326284</v>
      </c>
      <c r="AN1455" s="19">
        <v>1175.9332249632073</v>
      </c>
      <c r="AO1455" s="19">
        <v>1166.8684636542539</v>
      </c>
      <c r="AP1455" s="19">
        <v>1157.8735786748782</v>
      </c>
      <c r="AQ1455" s="19">
        <v>1148.9480313786369</v>
      </c>
      <c r="AR1455" s="19">
        <v>19516.777824496017</v>
      </c>
    </row>
    <row r="1456" spans="1:44" x14ac:dyDescent="0.25">
      <c r="A1456" t="s">
        <v>435</v>
      </c>
      <c r="B1456" t="s">
        <v>478</v>
      </c>
      <c r="C1456" t="s">
        <v>45</v>
      </c>
      <c r="D1456" t="s">
        <v>358</v>
      </c>
      <c r="E1456" t="s">
        <v>145</v>
      </c>
      <c r="F1456" t="s">
        <v>358</v>
      </c>
      <c r="G1456" t="s">
        <v>33</v>
      </c>
      <c r="H1456" t="s">
        <v>453</v>
      </c>
      <c r="I1456" t="s">
        <v>135</v>
      </c>
      <c r="J1456" t="s">
        <v>39</v>
      </c>
      <c r="K1456" t="s">
        <v>33</v>
      </c>
      <c r="L1456">
        <v>2.2326092598625055E-2</v>
      </c>
      <c r="M1456">
        <v>1</v>
      </c>
      <c r="N1456" s="2">
        <v>2.0723427924853257</v>
      </c>
      <c r="O1456" s="2">
        <v>3.1523474906593343</v>
      </c>
      <c r="P1456" s="1">
        <v>-0.39143361450399961</v>
      </c>
      <c r="Q1456" s="1">
        <v>0.82393863314836524</v>
      </c>
      <c r="R1456" s="1">
        <v>-0.67371772101320482</v>
      </c>
      <c r="S1456" s="19">
        <v>3.2690235769779497</v>
      </c>
      <c r="T1456" s="19">
        <v>6.1037893888962103</v>
      </c>
      <c r="U1456" s="19">
        <v>10.364302675672985</v>
      </c>
      <c r="V1456" s="19">
        <v>16.406205034802902</v>
      </c>
      <c r="W1456" s="19">
        <v>24.542869076834769</v>
      </c>
      <c r="X1456" s="19">
        <v>34.983108498493955</v>
      </c>
      <c r="Y1456" s="19">
        <v>47.758868732669555</v>
      </c>
      <c r="Z1456" s="19">
        <v>62.655791067042848</v>
      </c>
      <c r="AA1456" s="19">
        <v>79.16720635863571</v>
      </c>
      <c r="AB1456" s="19">
        <v>96.496422320170879</v>
      </c>
      <c r="AC1456" s="19">
        <v>113.62808475767558</v>
      </c>
      <c r="AD1456" s="19">
        <v>129.47296468358761</v>
      </c>
      <c r="AE1456" s="19">
        <v>143.06290134832042</v>
      </c>
      <c r="AF1456" s="19">
        <v>153.74345789130396</v>
      </c>
      <c r="AG1456" s="19">
        <v>161.29791278972559</v>
      </c>
      <c r="AH1456" s="19">
        <v>166.40836126932794</v>
      </c>
      <c r="AI1456" s="19">
        <v>168.56570757029789</v>
      </c>
      <c r="AJ1456" s="19">
        <v>169.99718582660694</v>
      </c>
      <c r="AK1456" s="19">
        <v>169.36420777928089</v>
      </c>
      <c r="AL1456" s="19">
        <v>168.05865225520162</v>
      </c>
      <c r="AM1456" s="19">
        <v>166.76316069474726</v>
      </c>
      <c r="AN1456" s="19">
        <v>165.47765551916919</v>
      </c>
      <c r="AO1456" s="19">
        <v>164.20205974773978</v>
      </c>
      <c r="AP1456" s="19">
        <v>162.93629699314269</v>
      </c>
      <c r="AQ1456" s="19">
        <v>161.68029145689829</v>
      </c>
      <c r="AR1456" s="19">
        <v>2746.4064873132238</v>
      </c>
    </row>
    <row r="1457" spans="1:44" x14ac:dyDescent="0.25">
      <c r="A1457" t="s">
        <v>435</v>
      </c>
      <c r="B1457" t="s">
        <v>478</v>
      </c>
      <c r="C1457" t="s">
        <v>45</v>
      </c>
      <c r="D1457" t="s">
        <v>358</v>
      </c>
      <c r="E1457" t="s">
        <v>145</v>
      </c>
      <c r="F1457" t="s">
        <v>358</v>
      </c>
      <c r="G1457" t="s">
        <v>33</v>
      </c>
      <c r="H1457" t="s">
        <v>454</v>
      </c>
      <c r="I1457" t="s">
        <v>135</v>
      </c>
      <c r="J1457" t="s">
        <v>39</v>
      </c>
      <c r="K1457" t="s">
        <v>33</v>
      </c>
      <c r="L1457">
        <v>2.2326092598625055E-2</v>
      </c>
      <c r="M1457">
        <v>1</v>
      </c>
      <c r="N1457" s="2">
        <v>2.0723427924853257</v>
      </c>
      <c r="O1457" s="2">
        <v>3.1523474906593343</v>
      </c>
      <c r="P1457" s="1">
        <v>-0.39143361450399961</v>
      </c>
      <c r="Q1457" s="1">
        <v>0.82393863314836524</v>
      </c>
      <c r="R1457" s="1">
        <v>-0.67371772101320482</v>
      </c>
      <c r="S1457" s="19">
        <v>1.5876177206127031</v>
      </c>
      <c r="T1457" s="19">
        <v>2.9643359763277628</v>
      </c>
      <c r="U1457" s="19">
        <v>5.0334756548019444</v>
      </c>
      <c r="V1457" s="19">
        <v>7.967755884262357</v>
      </c>
      <c r="W1457" s="19">
        <v>11.919367647106826</v>
      </c>
      <c r="X1457" s="19">
        <v>16.98972236403069</v>
      </c>
      <c r="Y1457" s="19">
        <v>23.194334494979863</v>
      </c>
      <c r="Z1457" s="19">
        <v>30.429099654583283</v>
      </c>
      <c r="AA1457" s="19">
        <v>38.447951428531574</v>
      </c>
      <c r="AB1457" s="19">
        <v>46.863972205687112</v>
      </c>
      <c r="AC1457" s="19">
        <v>55.184050121576966</v>
      </c>
      <c r="AD1457" s="19">
        <v>62.879195647145032</v>
      </c>
      <c r="AE1457" s="19">
        <v>69.479216651239383</v>
      </c>
      <c r="AF1457" s="19">
        <v>74.666282585258202</v>
      </c>
      <c r="AG1457" s="19">
        <v>78.335141553045489</v>
      </c>
      <c r="AH1457" s="19">
        <v>80.817056527178323</v>
      </c>
      <c r="AI1457" s="19">
        <v>81.864782594692528</v>
      </c>
      <c r="AJ1457" s="19">
        <v>82.55998720024904</v>
      </c>
      <c r="AK1457" s="19">
        <v>82.252578232087771</v>
      </c>
      <c r="AL1457" s="19">
        <v>81.61852863395417</v>
      </c>
      <c r="AM1457" s="19">
        <v>80.989366650306778</v>
      </c>
      <c r="AN1457" s="19">
        <v>80.365054604636626</v>
      </c>
      <c r="AO1457" s="19">
        <v>79.745555110866661</v>
      </c>
      <c r="AP1457" s="19">
        <v>79.130831071112979</v>
      </c>
      <c r="AQ1457" s="19">
        <v>78.520845673463228</v>
      </c>
      <c r="AR1457" s="19">
        <v>1333.8061058877374</v>
      </c>
    </row>
    <row r="1458" spans="1:44" x14ac:dyDescent="0.25">
      <c r="A1458" t="s">
        <v>435</v>
      </c>
      <c r="B1458" t="s">
        <v>478</v>
      </c>
      <c r="C1458" t="s">
        <v>45</v>
      </c>
      <c r="D1458" t="s">
        <v>358</v>
      </c>
      <c r="E1458" t="s">
        <v>145</v>
      </c>
      <c r="F1458" t="s">
        <v>358</v>
      </c>
      <c r="G1458" t="s">
        <v>33</v>
      </c>
      <c r="H1458" t="s">
        <v>455</v>
      </c>
      <c r="I1458" t="s">
        <v>135</v>
      </c>
      <c r="J1458" t="s">
        <v>39</v>
      </c>
      <c r="K1458" t="s">
        <v>33</v>
      </c>
      <c r="L1458">
        <v>2.2326092598625055E-2</v>
      </c>
      <c r="M1458">
        <v>1</v>
      </c>
      <c r="N1458" s="2">
        <v>2.0723427924853257</v>
      </c>
      <c r="O1458" s="2">
        <v>3.1523474906593343</v>
      </c>
      <c r="P1458" s="1">
        <v>-0.39143361450399961</v>
      </c>
      <c r="Q1458" s="1">
        <v>0.82393863314836524</v>
      </c>
      <c r="R1458" s="1">
        <v>-0.67371772101320482</v>
      </c>
      <c r="S1458" s="19">
        <v>1.1851614875953822</v>
      </c>
      <c r="T1458" s="19">
        <v>2.2128858791531245</v>
      </c>
      <c r="U1458" s="19">
        <v>3.7575049820670809</v>
      </c>
      <c r="V1458" s="19">
        <v>5.9479541541933072</v>
      </c>
      <c r="W1458" s="19">
        <v>8.8978444296966295</v>
      </c>
      <c r="X1458" s="19">
        <v>12.68287974451199</v>
      </c>
      <c r="Y1458" s="19">
        <v>17.314641690473511</v>
      </c>
      <c r="Z1458" s="19">
        <v>22.715416025273544</v>
      </c>
      <c r="AA1458" s="19">
        <v>28.701513417504547</v>
      </c>
      <c r="AB1458" s="19">
        <v>34.984098686229018</v>
      </c>
      <c r="AC1458" s="19">
        <v>41.195062315370194</v>
      </c>
      <c r="AD1458" s="19">
        <v>46.939512002430611</v>
      </c>
      <c r="AE1458" s="19">
        <v>51.866447882407101</v>
      </c>
      <c r="AF1458" s="19">
        <v>55.738608477997197</v>
      </c>
      <c r="AG1458" s="19">
        <v>58.477422926580189</v>
      </c>
      <c r="AH1458" s="19">
        <v>60.330180051068133</v>
      </c>
      <c r="AI1458" s="19">
        <v>61.112310767200718</v>
      </c>
      <c r="AJ1458" s="19">
        <v>61.631283133033563</v>
      </c>
      <c r="AK1458" s="19">
        <v>61.401801397426851</v>
      </c>
      <c r="AL1458" s="19">
        <v>60.928481431809914</v>
      </c>
      <c r="AM1458" s="19">
        <v>60.458810085366224</v>
      </c>
      <c r="AN1458" s="19">
        <v>59.992759232466568</v>
      </c>
      <c r="AO1458" s="19">
        <v>59.530300964289978</v>
      </c>
      <c r="AP1458" s="19">
        <v>59.071407587152599</v>
      </c>
      <c r="AQ1458" s="19">
        <v>58.616051620849191</v>
      </c>
      <c r="AR1458" s="19">
        <v>995.69034037214715</v>
      </c>
    </row>
    <row r="1459" spans="1:44" x14ac:dyDescent="0.25">
      <c r="A1459" t="s">
        <v>435</v>
      </c>
      <c r="B1459" t="s">
        <v>478</v>
      </c>
      <c r="C1459" t="s">
        <v>45</v>
      </c>
      <c r="D1459" t="s">
        <v>358</v>
      </c>
      <c r="E1459" t="s">
        <v>145</v>
      </c>
      <c r="F1459" t="s">
        <v>358</v>
      </c>
      <c r="G1459" t="s">
        <v>33</v>
      </c>
      <c r="H1459" t="s">
        <v>457</v>
      </c>
      <c r="I1459" t="s">
        <v>135</v>
      </c>
      <c r="J1459" t="s">
        <v>39</v>
      </c>
      <c r="K1459" t="s">
        <v>33</v>
      </c>
      <c r="L1459">
        <v>2.2326092598625055E-2</v>
      </c>
      <c r="M1459">
        <v>1</v>
      </c>
      <c r="N1459" s="2">
        <v>2.0723427924853257</v>
      </c>
      <c r="O1459" s="2">
        <v>3.1523474906593343</v>
      </c>
      <c r="P1459" s="1">
        <v>-0.39143361450399961</v>
      </c>
      <c r="Q1459" s="1">
        <v>0.82393863314836524</v>
      </c>
      <c r="R1459" s="1">
        <v>-0.67371772101320482</v>
      </c>
      <c r="S1459" s="19">
        <v>0.9088635981542702</v>
      </c>
      <c r="T1459" s="19">
        <v>1.6969935687941609</v>
      </c>
      <c r="U1459" s="19">
        <v>2.8815140669251944</v>
      </c>
      <c r="V1459" s="19">
        <v>4.5613016207647394</v>
      </c>
      <c r="W1459" s="19">
        <v>6.8234810098317258</v>
      </c>
      <c r="X1459" s="19">
        <v>9.7261072353461682</v>
      </c>
      <c r="Y1459" s="19">
        <v>13.278061860991071</v>
      </c>
      <c r="Z1459" s="19">
        <v>17.419748243920012</v>
      </c>
      <c r="AA1459" s="19">
        <v>22.010300731280601</v>
      </c>
      <c r="AB1459" s="19">
        <v>26.828220578329621</v>
      </c>
      <c r="AC1459" s="19">
        <v>31.591216010656517</v>
      </c>
      <c r="AD1459" s="19">
        <v>35.996456365361951</v>
      </c>
      <c r="AE1459" s="19">
        <v>39.774770728948141</v>
      </c>
      <c r="AF1459" s="19">
        <v>42.744210630914218</v>
      </c>
      <c r="AG1459" s="19">
        <v>44.844522512855704</v>
      </c>
      <c r="AH1459" s="19">
        <v>46.265344505717295</v>
      </c>
      <c r="AI1459" s="19">
        <v>46.865136301461085</v>
      </c>
      <c r="AJ1459" s="19">
        <v>47.263120117751377</v>
      </c>
      <c r="AK1459" s="19">
        <v>47.087137689941166</v>
      </c>
      <c r="AL1459" s="19">
        <v>46.724163283894875</v>
      </c>
      <c r="AM1459" s="19">
        <v>46.363986890764821</v>
      </c>
      <c r="AN1459" s="19">
        <v>46.006586941877963</v>
      </c>
      <c r="AO1459" s="19">
        <v>45.651942034824877</v>
      </c>
      <c r="AP1459" s="19">
        <v>45.300030932178053</v>
      </c>
      <c r="AQ1459" s="19">
        <v>44.950832560220135</v>
      </c>
      <c r="AR1459" s="19">
        <v>763.56405002170573</v>
      </c>
    </row>
    <row r="1460" spans="1:44" x14ac:dyDescent="0.25">
      <c r="A1460" t="s">
        <v>435</v>
      </c>
      <c r="B1460" t="s">
        <v>478</v>
      </c>
      <c r="C1460" t="s">
        <v>45</v>
      </c>
      <c r="D1460" t="s">
        <v>358</v>
      </c>
      <c r="E1460" t="s">
        <v>145</v>
      </c>
      <c r="F1460" t="s">
        <v>358</v>
      </c>
      <c r="G1460" t="s">
        <v>33</v>
      </c>
      <c r="H1460" t="s">
        <v>457</v>
      </c>
      <c r="I1460" t="s">
        <v>256</v>
      </c>
      <c r="J1460" t="s">
        <v>39</v>
      </c>
      <c r="K1460" t="s">
        <v>33</v>
      </c>
      <c r="L1460">
        <v>2.2326092598625055E-2</v>
      </c>
      <c r="M1460">
        <v>1</v>
      </c>
      <c r="N1460" s="2">
        <v>1.7396696203434354</v>
      </c>
      <c r="O1460" s="2">
        <v>2.6463011728329873</v>
      </c>
      <c r="P1460" s="1">
        <v>-0.11733133576427998</v>
      </c>
      <c r="Q1460" s="1">
        <v>1.3498045353129324</v>
      </c>
      <c r="R1460" s="1">
        <v>-0.39961544227348522</v>
      </c>
      <c r="S1460" s="19">
        <v>2.4994358787913331</v>
      </c>
      <c r="T1460" s="19">
        <v>4.6668461808086619</v>
      </c>
      <c r="U1460" s="19">
        <v>7.924357030847073</v>
      </c>
      <c r="V1460" s="19">
        <v>12.543885516023607</v>
      </c>
      <c r="W1460" s="19">
        <v>18.765030626003625</v>
      </c>
      <c r="X1460" s="19">
        <v>26.747447509576528</v>
      </c>
      <c r="Y1460" s="19">
        <v>36.515561062814882</v>
      </c>
      <c r="Z1460" s="19">
        <v>47.905476519014037</v>
      </c>
      <c r="AA1460" s="19">
        <v>60.52980388088104</v>
      </c>
      <c r="AB1460" s="19">
        <v>73.779406738020853</v>
      </c>
      <c r="AC1460" s="19">
        <v>86.877963769299782</v>
      </c>
      <c r="AD1460" s="19">
        <v>98.99267033210046</v>
      </c>
      <c r="AE1460" s="19">
        <v>109.38328835319656</v>
      </c>
      <c r="AF1460" s="19">
        <v>117.5494473301444</v>
      </c>
      <c r="AG1460" s="19">
        <v>123.32544593437642</v>
      </c>
      <c r="AH1460" s="19">
        <v>127.23280175052524</v>
      </c>
      <c r="AI1460" s="19">
        <v>128.88226943426918</v>
      </c>
      <c r="AJ1460" s="19">
        <v>129.97675163339602</v>
      </c>
      <c r="AK1460" s="19">
        <v>129.49278814866753</v>
      </c>
      <c r="AL1460" s="19">
        <v>128.49458417680918</v>
      </c>
      <c r="AM1460" s="19">
        <v>127.50407492821439</v>
      </c>
      <c r="AN1460" s="19">
        <v>126.5212010875852</v>
      </c>
      <c r="AO1460" s="19">
        <v>125.54590379685943</v>
      </c>
      <c r="AP1460" s="19">
        <v>124.57812465168652</v>
      </c>
      <c r="AQ1460" s="19">
        <v>123.61780569792975</v>
      </c>
      <c r="AR1460" s="19">
        <v>2099.8523719678419</v>
      </c>
    </row>
    <row r="1461" spans="1:44" x14ac:dyDescent="0.25">
      <c r="A1461" t="s">
        <v>435</v>
      </c>
      <c r="B1461" t="s">
        <v>478</v>
      </c>
      <c r="C1461" t="s">
        <v>45</v>
      </c>
      <c r="D1461" t="s">
        <v>358</v>
      </c>
      <c r="E1461" t="s">
        <v>145</v>
      </c>
      <c r="F1461" t="s">
        <v>358</v>
      </c>
      <c r="G1461" t="s">
        <v>33</v>
      </c>
      <c r="H1461" t="s">
        <v>452</v>
      </c>
      <c r="I1461" t="s">
        <v>135</v>
      </c>
      <c r="J1461" t="s">
        <v>40</v>
      </c>
      <c r="K1461" t="s">
        <v>33</v>
      </c>
      <c r="L1461">
        <v>2.2326092598625055E-2</v>
      </c>
      <c r="M1461">
        <v>1</v>
      </c>
      <c r="N1461" s="2">
        <v>2.0723427924853257</v>
      </c>
      <c r="O1461" s="2">
        <v>1.979808521690356</v>
      </c>
      <c r="P1461" s="1">
        <v>-0.39143361450399961</v>
      </c>
      <c r="Q1461" s="1">
        <v>1.3498045353129324</v>
      </c>
      <c r="R1461" s="1">
        <v>-0.5307177210132048</v>
      </c>
      <c r="S1461" s="19">
        <v>1.7010089883212951</v>
      </c>
      <c r="T1461" s="19">
        <v>3.1760555923952061</v>
      </c>
      <c r="U1461" s="19">
        <v>5.392977931746838</v>
      </c>
      <c r="V1461" s="19">
        <v>8.5368311274893145</v>
      </c>
      <c r="W1461" s="19">
        <v>12.770675988052169</v>
      </c>
      <c r="X1461" s="19">
        <v>18.20316696839739</v>
      </c>
      <c r="Y1461" s="19">
        <v>24.850926606478783</v>
      </c>
      <c r="Z1461" s="19">
        <v>32.602415144997863</v>
      </c>
      <c r="AA1461" s="19">
        <v>41.193991546802017</v>
      </c>
      <c r="AB1461" s="19">
        <v>50.211103665149707</v>
      </c>
      <c r="AC1461" s="19">
        <v>59.125420464914541</v>
      </c>
      <c r="AD1461" s="19">
        <v>67.370170781999732</v>
      </c>
      <c r="AE1461" s="19">
        <v>74.441580294071173</v>
      </c>
      <c r="AF1461" s="19">
        <v>79.99911827202726</v>
      </c>
      <c r="AG1461" s="19">
        <v>83.93001548995511</v>
      </c>
      <c r="AH1461" s="19">
        <v>86.589194475195868</v>
      </c>
      <c r="AI1461" s="19">
        <v>87.711751520888427</v>
      </c>
      <c r="AJ1461" s="19">
        <v>88.456609220207639</v>
      </c>
      <c r="AK1461" s="19">
        <v>88.127244404519459</v>
      </c>
      <c r="AL1461" s="19">
        <v>87.447909542314406</v>
      </c>
      <c r="AM1461" s="19">
        <v>86.773811379136163</v>
      </c>
      <c r="AN1461" s="19">
        <v>86.104909547533779</v>
      </c>
      <c r="AO1461" s="19">
        <v>85.441163991231633</v>
      </c>
      <c r="AP1461" s="19">
        <v>84.782534962730594</v>
      </c>
      <c r="AQ1461" s="19">
        <v>84.128983020927819</v>
      </c>
      <c r="AR1461" s="19">
        <v>1429.0695709274839</v>
      </c>
    </row>
    <row r="1462" spans="1:44" x14ac:dyDescent="0.25">
      <c r="A1462" t="s">
        <v>435</v>
      </c>
      <c r="B1462" t="s">
        <v>478</v>
      </c>
      <c r="C1462" t="s">
        <v>45</v>
      </c>
      <c r="D1462" t="s">
        <v>358</v>
      </c>
      <c r="E1462" t="s">
        <v>145</v>
      </c>
      <c r="F1462" t="s">
        <v>358</v>
      </c>
      <c r="G1462" t="s">
        <v>33</v>
      </c>
      <c r="H1462" t="s">
        <v>453</v>
      </c>
      <c r="I1462" t="s">
        <v>135</v>
      </c>
      <c r="J1462" t="s">
        <v>40</v>
      </c>
      <c r="K1462" t="s">
        <v>33</v>
      </c>
      <c r="L1462">
        <v>2.2326092598625055E-2</v>
      </c>
      <c r="M1462">
        <v>1</v>
      </c>
      <c r="N1462" s="2">
        <v>2.0723427924853257</v>
      </c>
      <c r="O1462" s="2">
        <v>1.979808521690356</v>
      </c>
      <c r="P1462" s="1">
        <v>-0.39143361450399961</v>
      </c>
      <c r="Q1462" s="1">
        <v>1.3498045353129324</v>
      </c>
      <c r="R1462" s="1">
        <v>-0.5307177210132048</v>
      </c>
      <c r="S1462" s="19">
        <v>66.572410857921071</v>
      </c>
      <c r="T1462" s="19">
        <v>124.30132895017616</v>
      </c>
      <c r="U1462" s="19">
        <v>211.06504732480451</v>
      </c>
      <c r="V1462" s="19">
        <v>334.10607065914087</v>
      </c>
      <c r="W1462" s="19">
        <v>499.80611192949846</v>
      </c>
      <c r="X1462" s="19">
        <v>712.41758195024477</v>
      </c>
      <c r="Y1462" s="19">
        <v>972.59103720506596</v>
      </c>
      <c r="Z1462" s="19">
        <v>1275.9611447645957</v>
      </c>
      <c r="AA1462" s="19">
        <v>1612.2097819352834</v>
      </c>
      <c r="AB1462" s="19">
        <v>1965.1126159685127</v>
      </c>
      <c r="AC1462" s="19">
        <v>2313.9923482839067</v>
      </c>
      <c r="AD1462" s="19">
        <v>2636.6672484745559</v>
      </c>
      <c r="AE1462" s="19">
        <v>2913.4210943474213</v>
      </c>
      <c r="AF1462" s="19">
        <v>3130.9265303369866</v>
      </c>
      <c r="AG1462" s="19">
        <v>3284.7701057847617</v>
      </c>
      <c r="AH1462" s="19">
        <v>3388.8424282507967</v>
      </c>
      <c r="AI1462" s="19">
        <v>3432.7759579207668</v>
      </c>
      <c r="AJ1462" s="19">
        <v>3461.9274633685436</v>
      </c>
      <c r="AK1462" s="19">
        <v>3449.0371083012401</v>
      </c>
      <c r="AL1462" s="19">
        <v>3422.4499709801985</v>
      </c>
      <c r="AM1462" s="19">
        <v>3396.0677824169497</v>
      </c>
      <c r="AN1462" s="19">
        <v>3369.8889627500448</v>
      </c>
      <c r="AO1462" s="19">
        <v>3343.9119442965016</v>
      </c>
      <c r="AP1462" s="19">
        <v>3318.13517145793</v>
      </c>
      <c r="AQ1462" s="19">
        <v>3292.5571006273785</v>
      </c>
      <c r="AR1462" s="19">
        <v>55929.514349143225</v>
      </c>
    </row>
    <row r="1463" spans="1:44" x14ac:dyDescent="0.25">
      <c r="A1463" t="s">
        <v>435</v>
      </c>
      <c r="B1463" t="s">
        <v>478</v>
      </c>
      <c r="C1463" t="s">
        <v>45</v>
      </c>
      <c r="D1463" t="s">
        <v>358</v>
      </c>
      <c r="E1463" t="s">
        <v>145</v>
      </c>
      <c r="F1463" t="s">
        <v>358</v>
      </c>
      <c r="G1463" t="s">
        <v>33</v>
      </c>
      <c r="H1463" t="s">
        <v>450</v>
      </c>
      <c r="I1463" t="s">
        <v>256</v>
      </c>
      <c r="J1463" t="s">
        <v>40</v>
      </c>
      <c r="K1463" t="s">
        <v>33</v>
      </c>
      <c r="L1463">
        <v>2.2326092598625055E-2</v>
      </c>
      <c r="M1463">
        <v>1</v>
      </c>
      <c r="N1463" s="2">
        <v>1.7396696203434354</v>
      </c>
      <c r="O1463" s="2">
        <v>1.4737622038640092</v>
      </c>
      <c r="P1463" s="1">
        <v>-0.11733133576427998</v>
      </c>
      <c r="Q1463" s="1">
        <v>1.3498045353129324</v>
      </c>
      <c r="R1463" s="1">
        <v>-0.25661544227348509</v>
      </c>
      <c r="S1463" s="19">
        <v>31.910353406397757</v>
      </c>
      <c r="T1463" s="19">
        <v>59.581728895928507</v>
      </c>
      <c r="U1463" s="19">
        <v>101.1704423059992</v>
      </c>
      <c r="V1463" s="19">
        <v>160.14806513030976</v>
      </c>
      <c r="W1463" s="19">
        <v>239.5735629942296</v>
      </c>
      <c r="X1463" s="19">
        <v>341.48525673017161</v>
      </c>
      <c r="Y1463" s="19">
        <v>466.19497952905874</v>
      </c>
      <c r="Z1463" s="19">
        <v>611.61028326234168</v>
      </c>
      <c r="AA1463" s="19">
        <v>772.78535122609344</v>
      </c>
      <c r="AB1463" s="19">
        <v>941.94332533271665</v>
      </c>
      <c r="AC1463" s="19">
        <v>1109.1728940240694</v>
      </c>
      <c r="AD1463" s="19">
        <v>1263.8416219214696</v>
      </c>
      <c r="AE1463" s="19">
        <v>1396.4988730946425</v>
      </c>
      <c r="AF1463" s="19">
        <v>1500.7564062197755</v>
      </c>
      <c r="AG1463" s="19">
        <v>1574.4987087528705</v>
      </c>
      <c r="AH1463" s="19">
        <v>1624.3840072859732</v>
      </c>
      <c r="AI1463" s="19">
        <v>1645.4427978584099</v>
      </c>
      <c r="AJ1463" s="19">
        <v>1659.4160764159851</v>
      </c>
      <c r="AK1463" s="19">
        <v>1653.2373038519352</v>
      </c>
      <c r="AL1463" s="19">
        <v>1640.4932115613683</v>
      </c>
      <c r="AM1463" s="19">
        <v>1627.8473579736988</v>
      </c>
      <c r="AN1463" s="19">
        <v>1615.2989858091969</v>
      </c>
      <c r="AO1463" s="19">
        <v>1602.8473436256772</v>
      </c>
      <c r="AP1463" s="19">
        <v>1590.4916857734968</v>
      </c>
      <c r="AQ1463" s="19">
        <v>1578.2312723509051</v>
      </c>
      <c r="AR1463" s="19">
        <v>26808.861895332724</v>
      </c>
    </row>
    <row r="1464" spans="1:44" x14ac:dyDescent="0.25">
      <c r="A1464" t="s">
        <v>435</v>
      </c>
      <c r="B1464" t="s">
        <v>478</v>
      </c>
      <c r="C1464" t="s">
        <v>45</v>
      </c>
      <c r="D1464" t="s">
        <v>358</v>
      </c>
      <c r="E1464" t="s">
        <v>145</v>
      </c>
      <c r="F1464" t="s">
        <v>358</v>
      </c>
      <c r="G1464" t="s">
        <v>33</v>
      </c>
      <c r="H1464" t="s">
        <v>452</v>
      </c>
      <c r="I1464" t="s">
        <v>256</v>
      </c>
      <c r="J1464" t="s">
        <v>40</v>
      </c>
      <c r="K1464" t="s">
        <v>33</v>
      </c>
      <c r="L1464">
        <v>2.2326092598625055E-2</v>
      </c>
      <c r="M1464">
        <v>1</v>
      </c>
      <c r="N1464" s="2">
        <v>1.7396696203434354</v>
      </c>
      <c r="O1464" s="2">
        <v>1.4737622038640092</v>
      </c>
      <c r="P1464" s="1">
        <v>-0.11733133576427998</v>
      </c>
      <c r="Q1464" s="1">
        <v>1.3498045353129324</v>
      </c>
      <c r="R1464" s="1">
        <v>-0.25661544227348509</v>
      </c>
      <c r="S1464" s="19">
        <v>10.257275506263792</v>
      </c>
      <c r="T1464" s="19">
        <v>19.15197242229625</v>
      </c>
      <c r="U1464" s="19">
        <v>32.520263458290081</v>
      </c>
      <c r="V1464" s="19">
        <v>51.478051807076518</v>
      </c>
      <c r="W1464" s="19">
        <v>77.008612482379277</v>
      </c>
      <c r="X1464" s="19">
        <v>109.76714406761565</v>
      </c>
      <c r="Y1464" s="19">
        <v>149.8538823361271</v>
      </c>
      <c r="Z1464" s="19">
        <v>196.59623000690743</v>
      </c>
      <c r="AA1464" s="19">
        <v>248.40440197511691</v>
      </c>
      <c r="AB1464" s="19">
        <v>302.77860217263634</v>
      </c>
      <c r="AC1464" s="19">
        <v>356.53293503806185</v>
      </c>
      <c r="AD1464" s="19">
        <v>406.24970670906777</v>
      </c>
      <c r="AE1464" s="19">
        <v>448.89110136419754</v>
      </c>
      <c r="AF1464" s="19">
        <v>482.40368040863729</v>
      </c>
      <c r="AG1464" s="19">
        <v>506.10743272736141</v>
      </c>
      <c r="AH1464" s="19">
        <v>522.142581077165</v>
      </c>
      <c r="AI1464" s="19">
        <v>528.91172631285815</v>
      </c>
      <c r="AJ1464" s="19">
        <v>533.40330201136112</v>
      </c>
      <c r="AK1464" s="19">
        <v>531.41719513022258</v>
      </c>
      <c r="AL1464" s="19">
        <v>527.32072950864847</v>
      </c>
      <c r="AM1464" s="19">
        <v>523.25584177115945</v>
      </c>
      <c r="AN1464" s="19">
        <v>519.22228849748672</v>
      </c>
      <c r="AO1464" s="19">
        <v>515.21982814378316</v>
      </c>
      <c r="AP1464" s="19">
        <v>511.2482210281587</v>
      </c>
      <c r="AQ1464" s="19">
        <v>507.30722931632749</v>
      </c>
      <c r="AR1464" s="19">
        <v>8617.450235279206</v>
      </c>
    </row>
    <row r="1465" spans="1:44" x14ac:dyDescent="0.25">
      <c r="A1465" t="s">
        <v>435</v>
      </c>
      <c r="B1465" t="s">
        <v>478</v>
      </c>
      <c r="C1465" t="s">
        <v>45</v>
      </c>
      <c r="D1465" t="s">
        <v>358</v>
      </c>
      <c r="E1465" t="s">
        <v>145</v>
      </c>
      <c r="F1465" t="s">
        <v>358</v>
      </c>
      <c r="G1465" t="s">
        <v>33</v>
      </c>
      <c r="H1465" t="s">
        <v>453</v>
      </c>
      <c r="I1465" t="s">
        <v>256</v>
      </c>
      <c r="J1465" t="s">
        <v>40</v>
      </c>
      <c r="K1465" t="s">
        <v>33</v>
      </c>
      <c r="L1465">
        <v>2.2326092598625055E-2</v>
      </c>
      <c r="M1465">
        <v>1</v>
      </c>
      <c r="N1465" s="2">
        <v>1.7396696203434354</v>
      </c>
      <c r="O1465" s="2">
        <v>1.4737622038640092</v>
      </c>
      <c r="P1465" s="1">
        <v>-0.11733133576427998</v>
      </c>
      <c r="Q1465" s="1">
        <v>1.3498045353129324</v>
      </c>
      <c r="R1465" s="1">
        <v>-0.25661544227348509</v>
      </c>
      <c r="S1465" s="19">
        <v>34.271293444261445</v>
      </c>
      <c r="T1465" s="19">
        <v>63.989981210907089</v>
      </c>
      <c r="U1465" s="19">
        <v>108.65570405934356</v>
      </c>
      <c r="V1465" s="19">
        <v>171.99688341625026</v>
      </c>
      <c r="W1465" s="19">
        <v>257.29880751544295</v>
      </c>
      <c r="X1465" s="19">
        <v>366.75060571226027</v>
      </c>
      <c r="Y1465" s="19">
        <v>500.68718268969559</v>
      </c>
      <c r="Z1465" s="19">
        <v>656.86127709914786</v>
      </c>
      <c r="AA1465" s="19">
        <v>829.96114784445501</v>
      </c>
      <c r="AB1465" s="19">
        <v>1011.6345531876422</v>
      </c>
      <c r="AC1465" s="19">
        <v>1191.2368768657489</v>
      </c>
      <c r="AD1465" s="19">
        <v>1357.3490252620652</v>
      </c>
      <c r="AE1465" s="19">
        <v>1499.8211415863359</v>
      </c>
      <c r="AF1465" s="19">
        <v>1611.792339962029</v>
      </c>
      <c r="AG1465" s="19">
        <v>1690.9905881663408</v>
      </c>
      <c r="AH1465" s="19">
        <v>1744.566732648645</v>
      </c>
      <c r="AI1465" s="19">
        <v>1767.1835925153405</v>
      </c>
      <c r="AJ1465" s="19">
        <v>1782.1907070943057</v>
      </c>
      <c r="AK1465" s="19">
        <v>1775.5547878686209</v>
      </c>
      <c r="AL1465" s="19">
        <v>1761.8678029265111</v>
      </c>
      <c r="AM1465" s="19">
        <v>1748.2863250394844</v>
      </c>
      <c r="AN1465" s="19">
        <v>1734.809540899224</v>
      </c>
      <c r="AO1465" s="19">
        <v>1721.4366434668568</v>
      </c>
      <c r="AP1465" s="19">
        <v>1708.1668319246237</v>
      </c>
      <c r="AQ1465" s="19">
        <v>1694.9993116279236</v>
      </c>
      <c r="AR1465" s="19">
        <v>28792.359684033458</v>
      </c>
    </row>
    <row r="1466" spans="1:44" x14ac:dyDescent="0.25">
      <c r="A1466" t="s">
        <v>435</v>
      </c>
      <c r="B1466" t="s">
        <v>478</v>
      </c>
      <c r="C1466" t="s">
        <v>45</v>
      </c>
      <c r="D1466" t="s">
        <v>358</v>
      </c>
      <c r="E1466" t="s">
        <v>145</v>
      </c>
      <c r="F1466" t="s">
        <v>358</v>
      </c>
      <c r="G1466" t="s">
        <v>33</v>
      </c>
      <c r="H1466" t="s">
        <v>457</v>
      </c>
      <c r="I1466" t="s">
        <v>256</v>
      </c>
      <c r="J1466" t="s">
        <v>40</v>
      </c>
      <c r="K1466" t="s">
        <v>33</v>
      </c>
      <c r="L1466">
        <v>2.2326092598625055E-2</v>
      </c>
      <c r="M1466">
        <v>1</v>
      </c>
      <c r="N1466" s="2">
        <v>1.7396696203434354</v>
      </c>
      <c r="O1466" s="2">
        <v>1.4737622038640092</v>
      </c>
      <c r="P1466" s="1">
        <v>-0.11733133576427998</v>
      </c>
      <c r="Q1466" s="1">
        <v>1.3498045353129324</v>
      </c>
      <c r="R1466" s="1">
        <v>-0.25661544227348509</v>
      </c>
      <c r="S1466" s="19">
        <v>22.870797111187542</v>
      </c>
      <c r="T1466" s="19">
        <v>42.703432825013941</v>
      </c>
      <c r="U1466" s="19">
        <v>72.510906731785226</v>
      </c>
      <c r="V1466" s="19">
        <v>114.7813644900034</v>
      </c>
      <c r="W1466" s="19">
        <v>171.70722876879177</v>
      </c>
      <c r="X1466" s="19">
        <v>244.74940542562899</v>
      </c>
      <c r="Y1466" s="19">
        <v>334.13139162932737</v>
      </c>
      <c r="Z1466" s="19">
        <v>438.353487392104</v>
      </c>
      <c r="AA1466" s="19">
        <v>553.87092563024578</v>
      </c>
      <c r="AB1466" s="19">
        <v>675.10987451498102</v>
      </c>
      <c r="AC1466" s="19">
        <v>794.96669614969574</v>
      </c>
      <c r="AD1466" s="19">
        <v>905.82090857837125</v>
      </c>
      <c r="AE1466" s="19">
        <v>1000.8990494648079</v>
      </c>
      <c r="AF1466" s="19">
        <v>1075.6225367621869</v>
      </c>
      <c r="AG1466" s="19">
        <v>1128.4751397486546</v>
      </c>
      <c r="AH1466" s="19">
        <v>1164.2289443853929</v>
      </c>
      <c r="AI1466" s="19">
        <v>1179.3222064516358</v>
      </c>
      <c r="AJ1466" s="19">
        <v>1189.3371384330642</v>
      </c>
      <c r="AK1466" s="19">
        <v>1184.9086868923102</v>
      </c>
      <c r="AL1466" s="19">
        <v>1175.7747376241282</v>
      </c>
      <c r="AM1466" s="19">
        <v>1166.7111980256168</v>
      </c>
      <c r="AN1466" s="19">
        <v>1157.7175253390442</v>
      </c>
      <c r="AO1466" s="19">
        <v>1148.7931809905642</v>
      </c>
      <c r="AP1466" s="19">
        <v>1139.9376305579638</v>
      </c>
      <c r="AQ1466" s="19">
        <v>1131.1503437386591</v>
      </c>
      <c r="AR1466" s="19">
        <v>19214.454737661166</v>
      </c>
    </row>
    <row r="1467" spans="1:44" x14ac:dyDescent="0.25">
      <c r="A1467" t="s">
        <v>435</v>
      </c>
      <c r="B1467" t="s">
        <v>479</v>
      </c>
      <c r="C1467" t="s">
        <v>44</v>
      </c>
      <c r="D1467" t="s">
        <v>191</v>
      </c>
      <c r="E1467" t="s">
        <v>134</v>
      </c>
      <c r="F1467" t="s">
        <v>191</v>
      </c>
      <c r="G1467" t="s">
        <v>33</v>
      </c>
      <c r="H1467" t="s">
        <v>450</v>
      </c>
      <c r="I1467" t="s">
        <v>135</v>
      </c>
      <c r="J1467" t="s">
        <v>39</v>
      </c>
      <c r="K1467" t="s">
        <v>31</v>
      </c>
      <c r="L1467">
        <v>9.2342432105322225E-2</v>
      </c>
      <c r="M1467">
        <v>1</v>
      </c>
      <c r="N1467" s="2">
        <v>4.0443999858966739</v>
      </c>
      <c r="O1467" s="2">
        <v>5.3471683850504288</v>
      </c>
      <c r="P1467" s="1">
        <v>-1.6880764755566879</v>
      </c>
      <c r="Q1467" s="1">
        <v>0.71613044470482479</v>
      </c>
      <c r="R1467" s="1">
        <v>-1.8625523936223527</v>
      </c>
      <c r="S1467" s="19">
        <v>9.8630107543994008</v>
      </c>
      <c r="T1467" s="19">
        <v>19.563533201586669</v>
      </c>
      <c r="U1467" s="19">
        <v>34.468174770286893</v>
      </c>
      <c r="V1467" s="19">
        <v>55.635012603767159</v>
      </c>
      <c r="W1467" s="19">
        <v>83.795219348660538</v>
      </c>
      <c r="X1467" s="19">
        <v>119.0875335208916</v>
      </c>
      <c r="Y1467" s="19">
        <v>160.74302518627647</v>
      </c>
      <c r="Z1467" s="19">
        <v>206.77469767152803</v>
      </c>
      <c r="AA1467" s="19">
        <v>253.77323865914099</v>
      </c>
      <c r="AB1467" s="19">
        <v>296.95207472770028</v>
      </c>
      <c r="AC1467" s="19">
        <v>330.59273590048343</v>
      </c>
      <c r="AD1467" s="19">
        <v>348.97741343885667</v>
      </c>
      <c r="AE1467" s="19">
        <v>347.73300100404089</v>
      </c>
      <c r="AF1467" s="19">
        <v>325.27015195398513</v>
      </c>
      <c r="AG1467" s="19">
        <v>283.78067587255197</v>
      </c>
      <c r="AH1467" s="19">
        <v>232.87440979386113</v>
      </c>
      <c r="AI1467" s="19">
        <v>84.344935931507393</v>
      </c>
      <c r="AJ1467" s="19">
        <v>0</v>
      </c>
      <c r="AK1467" s="19">
        <v>0</v>
      </c>
      <c r="AL1467" s="19">
        <v>0</v>
      </c>
      <c r="AM1467" s="19">
        <v>0</v>
      </c>
      <c r="AN1467" s="19">
        <v>0</v>
      </c>
      <c r="AO1467" s="19">
        <v>0</v>
      </c>
      <c r="AP1467" s="19">
        <v>0</v>
      </c>
      <c r="AQ1467" s="19">
        <v>0</v>
      </c>
      <c r="AR1467" s="19">
        <v>3194.2288443395241</v>
      </c>
    </row>
    <row r="1468" spans="1:44" x14ac:dyDescent="0.25">
      <c r="A1468" t="s">
        <v>435</v>
      </c>
      <c r="B1468" t="s">
        <v>479</v>
      </c>
      <c r="C1468" t="s">
        <v>44</v>
      </c>
      <c r="D1468" t="s">
        <v>191</v>
      </c>
      <c r="E1468" t="s">
        <v>134</v>
      </c>
      <c r="F1468" t="s">
        <v>191</v>
      </c>
      <c r="G1468" t="s">
        <v>33</v>
      </c>
      <c r="H1468" t="s">
        <v>451</v>
      </c>
      <c r="I1468" t="s">
        <v>135</v>
      </c>
      <c r="J1468" t="s">
        <v>39</v>
      </c>
      <c r="K1468" t="s">
        <v>31</v>
      </c>
      <c r="L1468">
        <v>9.2342432105322225E-2</v>
      </c>
      <c r="M1468">
        <v>1</v>
      </c>
      <c r="N1468" s="2">
        <v>4.0443999858966739</v>
      </c>
      <c r="O1468" s="2">
        <v>5.3471683850504288</v>
      </c>
      <c r="P1468" s="1">
        <v>-1.6880764755566879</v>
      </c>
      <c r="Q1468" s="1">
        <v>0.71613044470482479</v>
      </c>
      <c r="R1468" s="1">
        <v>-1.8625523936223527</v>
      </c>
      <c r="S1468" s="19">
        <v>2.579994095488531</v>
      </c>
      <c r="T1468" s="19">
        <v>5.1174840425347394</v>
      </c>
      <c r="U1468" s="19">
        <v>9.0162821073616612</v>
      </c>
      <c r="V1468" s="19">
        <v>14.553163085229745</v>
      </c>
      <c r="W1468" s="19">
        <v>21.919389173663671</v>
      </c>
      <c r="X1468" s="19">
        <v>31.151251983898135</v>
      </c>
      <c r="Y1468" s="19">
        <v>42.047612660928451</v>
      </c>
      <c r="Z1468" s="19">
        <v>54.088707025997167</v>
      </c>
      <c r="AA1468" s="19">
        <v>66.382717573489586</v>
      </c>
      <c r="AB1468" s="19">
        <v>77.677558964315367</v>
      </c>
      <c r="AC1468" s="19">
        <v>86.477377737238911</v>
      </c>
      <c r="AD1468" s="19">
        <v>91.286493399543815</v>
      </c>
      <c r="AE1468" s="19">
        <v>90.960976494602278</v>
      </c>
      <c r="AF1468" s="19">
        <v>85.085081257324589</v>
      </c>
      <c r="AG1468" s="19">
        <v>74.232147403707529</v>
      </c>
      <c r="AH1468" s="19">
        <v>60.915943135370185</v>
      </c>
      <c r="AI1468" s="19">
        <v>22.06318558362943</v>
      </c>
      <c r="AJ1468" s="19">
        <v>0</v>
      </c>
      <c r="AK1468" s="19">
        <v>0</v>
      </c>
      <c r="AL1468" s="19">
        <v>0</v>
      </c>
      <c r="AM1468" s="19">
        <v>0</v>
      </c>
      <c r="AN1468" s="19">
        <v>0</v>
      </c>
      <c r="AO1468" s="19">
        <v>0</v>
      </c>
      <c r="AP1468" s="19">
        <v>0</v>
      </c>
      <c r="AQ1468" s="19">
        <v>0</v>
      </c>
      <c r="AR1468" s="19">
        <v>835.55536572432379</v>
      </c>
    </row>
    <row r="1469" spans="1:44" x14ac:dyDescent="0.25">
      <c r="A1469" t="s">
        <v>435</v>
      </c>
      <c r="B1469" t="s">
        <v>479</v>
      </c>
      <c r="C1469" t="s">
        <v>44</v>
      </c>
      <c r="D1469" t="s">
        <v>191</v>
      </c>
      <c r="E1469" t="s">
        <v>134</v>
      </c>
      <c r="F1469" t="s">
        <v>191</v>
      </c>
      <c r="G1469" t="s">
        <v>33</v>
      </c>
      <c r="H1469" t="s">
        <v>452</v>
      </c>
      <c r="I1469" t="s">
        <v>135</v>
      </c>
      <c r="J1469" t="s">
        <v>39</v>
      </c>
      <c r="K1469" t="s">
        <v>31</v>
      </c>
      <c r="L1469">
        <v>9.2342432105322225E-2</v>
      </c>
      <c r="M1469">
        <v>1</v>
      </c>
      <c r="N1469" s="2">
        <v>4.0443999858966739</v>
      </c>
      <c r="O1469" s="2">
        <v>5.3471683850504288</v>
      </c>
      <c r="P1469" s="1">
        <v>-1.6880764755566879</v>
      </c>
      <c r="Q1469" s="1">
        <v>0.71613044470482479</v>
      </c>
      <c r="R1469" s="1">
        <v>-1.8625523936223527</v>
      </c>
      <c r="S1469" s="19">
        <v>58.435102216579693</v>
      </c>
      <c r="T1469" s="19">
        <v>115.9075145327449</v>
      </c>
      <c r="U1469" s="19">
        <v>204.21262493526476</v>
      </c>
      <c r="V1469" s="19">
        <v>329.61919329467497</v>
      </c>
      <c r="W1469" s="19">
        <v>496.45917761121513</v>
      </c>
      <c r="X1469" s="19">
        <v>705.55455806530938</v>
      </c>
      <c r="Y1469" s="19">
        <v>952.34967711786612</v>
      </c>
      <c r="Z1469" s="19">
        <v>1225.0722315038047</v>
      </c>
      <c r="AA1469" s="19">
        <v>1503.5231644926248</v>
      </c>
      <c r="AB1469" s="19">
        <v>1759.3435992552802</v>
      </c>
      <c r="AC1469" s="19">
        <v>1958.653477670252</v>
      </c>
      <c r="AD1469" s="19">
        <v>2067.576659234715</v>
      </c>
      <c r="AE1469" s="19">
        <v>2060.2039239068536</v>
      </c>
      <c r="AF1469" s="19">
        <v>1927.1189143695667</v>
      </c>
      <c r="AG1469" s="19">
        <v>1681.3073831746451</v>
      </c>
      <c r="AH1469" s="19">
        <v>1379.7044613238477</v>
      </c>
      <c r="AI1469" s="19">
        <v>499.71606797752975</v>
      </c>
      <c r="AJ1469" s="19">
        <v>0</v>
      </c>
      <c r="AK1469" s="19">
        <v>0</v>
      </c>
      <c r="AL1469" s="19">
        <v>0</v>
      </c>
      <c r="AM1469" s="19">
        <v>0</v>
      </c>
      <c r="AN1469" s="19">
        <v>0</v>
      </c>
      <c r="AO1469" s="19">
        <v>0</v>
      </c>
      <c r="AP1469" s="19">
        <v>0</v>
      </c>
      <c r="AQ1469" s="19">
        <v>0</v>
      </c>
      <c r="AR1469" s="19">
        <v>18924.757730682773</v>
      </c>
    </row>
    <row r="1470" spans="1:44" x14ac:dyDescent="0.25">
      <c r="A1470" t="s">
        <v>435</v>
      </c>
      <c r="B1470" t="s">
        <v>479</v>
      </c>
      <c r="C1470" t="s">
        <v>44</v>
      </c>
      <c r="D1470" t="s">
        <v>191</v>
      </c>
      <c r="E1470" t="s">
        <v>134</v>
      </c>
      <c r="F1470" t="s">
        <v>191</v>
      </c>
      <c r="G1470" t="s">
        <v>33</v>
      </c>
      <c r="H1470" t="s">
        <v>453</v>
      </c>
      <c r="I1470" t="s">
        <v>135</v>
      </c>
      <c r="J1470" t="s">
        <v>39</v>
      </c>
      <c r="K1470" t="s">
        <v>31</v>
      </c>
      <c r="L1470">
        <v>9.2342432105322225E-2</v>
      </c>
      <c r="M1470">
        <v>1</v>
      </c>
      <c r="N1470" s="2">
        <v>4.0443999858966739</v>
      </c>
      <c r="O1470" s="2">
        <v>5.3471683850504288</v>
      </c>
      <c r="P1470" s="1">
        <v>-1.6880764755566879</v>
      </c>
      <c r="Q1470" s="1">
        <v>0.71613044470482479</v>
      </c>
      <c r="R1470" s="1">
        <v>-1.8625523936223527</v>
      </c>
      <c r="S1470" s="19">
        <v>17.871200230631494</v>
      </c>
      <c r="T1470" s="19">
        <v>35.447981125663141</v>
      </c>
      <c r="U1470" s="19">
        <v>62.454322340613501</v>
      </c>
      <c r="V1470" s="19">
        <v>100.80739794713674</v>
      </c>
      <c r="W1470" s="19">
        <v>151.83205013556625</v>
      </c>
      <c r="X1470" s="19">
        <v>215.77966500488637</v>
      </c>
      <c r="Y1470" s="19">
        <v>291.25698636190089</v>
      </c>
      <c r="Z1470" s="19">
        <v>374.66369212543674</v>
      </c>
      <c r="AA1470" s="19">
        <v>459.82230722301495</v>
      </c>
      <c r="AB1470" s="19">
        <v>538.05983979010023</v>
      </c>
      <c r="AC1470" s="19">
        <v>599.0147557564519</v>
      </c>
      <c r="AD1470" s="19">
        <v>632.32671917667915</v>
      </c>
      <c r="AE1470" s="19">
        <v>630.07191642467365</v>
      </c>
      <c r="AF1470" s="19">
        <v>589.37054408307563</v>
      </c>
      <c r="AG1470" s="19">
        <v>514.19403328138583</v>
      </c>
      <c r="AH1470" s="19">
        <v>421.95484823535003</v>
      </c>
      <c r="AI1470" s="19">
        <v>152.82810452167649</v>
      </c>
      <c r="AJ1470" s="19">
        <v>0</v>
      </c>
      <c r="AK1470" s="19">
        <v>0</v>
      </c>
      <c r="AL1470" s="19">
        <v>0</v>
      </c>
      <c r="AM1470" s="19">
        <v>0</v>
      </c>
      <c r="AN1470" s="19">
        <v>0</v>
      </c>
      <c r="AO1470" s="19">
        <v>0</v>
      </c>
      <c r="AP1470" s="19">
        <v>0</v>
      </c>
      <c r="AQ1470" s="19">
        <v>0</v>
      </c>
      <c r="AR1470" s="19">
        <v>5787.7563637642425</v>
      </c>
    </row>
    <row r="1471" spans="1:44" x14ac:dyDescent="0.25">
      <c r="A1471" t="s">
        <v>435</v>
      </c>
      <c r="B1471" t="s">
        <v>479</v>
      </c>
      <c r="C1471" t="s">
        <v>44</v>
      </c>
      <c r="D1471" t="s">
        <v>191</v>
      </c>
      <c r="E1471" t="s">
        <v>134</v>
      </c>
      <c r="F1471" t="s">
        <v>191</v>
      </c>
      <c r="G1471" t="s">
        <v>33</v>
      </c>
      <c r="H1471" t="s">
        <v>454</v>
      </c>
      <c r="I1471" t="s">
        <v>135</v>
      </c>
      <c r="J1471" t="s">
        <v>39</v>
      </c>
      <c r="K1471" t="s">
        <v>31</v>
      </c>
      <c r="L1471">
        <v>9.2342432105322225E-2</v>
      </c>
      <c r="M1471">
        <v>1</v>
      </c>
      <c r="N1471" s="2">
        <v>4.0443999858966739</v>
      </c>
      <c r="O1471" s="2">
        <v>5.3471683850504288</v>
      </c>
      <c r="P1471" s="1">
        <v>-1.6880764755566879</v>
      </c>
      <c r="Q1471" s="1">
        <v>0.71613044470482479</v>
      </c>
      <c r="R1471" s="1">
        <v>-1.8625523936223527</v>
      </c>
      <c r="S1471" s="19">
        <v>0.98406170149485217</v>
      </c>
      <c r="T1471" s="19">
        <v>1.9519114648655504</v>
      </c>
      <c r="U1471" s="19">
        <v>3.4389915570903091</v>
      </c>
      <c r="V1471" s="19">
        <v>5.5508694585099345</v>
      </c>
      <c r="W1471" s="19">
        <v>8.3604964227171816</v>
      </c>
      <c r="X1471" s="19">
        <v>11.881714801043024</v>
      </c>
      <c r="Y1471" s="19">
        <v>16.037806183845067</v>
      </c>
      <c r="Z1471" s="19">
        <v>20.630522046826886</v>
      </c>
      <c r="AA1471" s="19">
        <v>25.31970523477144</v>
      </c>
      <c r="AB1471" s="19">
        <v>29.627785186041972</v>
      </c>
      <c r="AC1471" s="19">
        <v>32.984213268444144</v>
      </c>
      <c r="AD1471" s="19">
        <v>34.818506823459884</v>
      </c>
      <c r="AE1471" s="19">
        <v>34.694348120964307</v>
      </c>
      <c r="AF1471" s="19">
        <v>32.453163354258059</v>
      </c>
      <c r="AG1471" s="19">
        <v>28.313635836394031</v>
      </c>
      <c r="AH1471" s="19">
        <v>23.234567379350999</v>
      </c>
      <c r="AI1471" s="19">
        <v>8.4153432691139312</v>
      </c>
      <c r="AJ1471" s="19">
        <v>0</v>
      </c>
      <c r="AK1471" s="19">
        <v>0</v>
      </c>
      <c r="AL1471" s="19">
        <v>0</v>
      </c>
      <c r="AM1471" s="19">
        <v>0</v>
      </c>
      <c r="AN1471" s="19">
        <v>0</v>
      </c>
      <c r="AO1471" s="19">
        <v>0</v>
      </c>
      <c r="AP1471" s="19">
        <v>0</v>
      </c>
      <c r="AQ1471" s="19">
        <v>0</v>
      </c>
      <c r="AR1471" s="19">
        <v>318.69764210919158</v>
      </c>
    </row>
    <row r="1472" spans="1:44" x14ac:dyDescent="0.25">
      <c r="A1472" t="s">
        <v>435</v>
      </c>
      <c r="B1472" t="s">
        <v>479</v>
      </c>
      <c r="C1472" t="s">
        <v>44</v>
      </c>
      <c r="D1472" t="s">
        <v>191</v>
      </c>
      <c r="E1472" t="s">
        <v>134</v>
      </c>
      <c r="F1472" t="s">
        <v>191</v>
      </c>
      <c r="G1472" t="s">
        <v>33</v>
      </c>
      <c r="H1472" t="s">
        <v>455</v>
      </c>
      <c r="I1472" t="s">
        <v>135</v>
      </c>
      <c r="J1472" t="s">
        <v>39</v>
      </c>
      <c r="K1472" t="s">
        <v>31</v>
      </c>
      <c r="L1472">
        <v>9.2342432105322225E-2</v>
      </c>
      <c r="M1472">
        <v>1</v>
      </c>
      <c r="N1472" s="2">
        <v>4.0443999858966739</v>
      </c>
      <c r="O1472" s="2">
        <v>5.3471683850504288</v>
      </c>
      <c r="P1472" s="1">
        <v>-1.6880764755566879</v>
      </c>
      <c r="Q1472" s="1">
        <v>0.71613044470482479</v>
      </c>
      <c r="R1472" s="1">
        <v>-1.8625523936223527</v>
      </c>
      <c r="S1472" s="19">
        <v>0.23185952300104279</v>
      </c>
      <c r="T1472" s="19">
        <v>0.45989927308065309</v>
      </c>
      <c r="U1472" s="19">
        <v>0.81027738486349743</v>
      </c>
      <c r="V1472" s="19">
        <v>1.3078671214783606</v>
      </c>
      <c r="W1472" s="19">
        <v>1.9698568795823328</v>
      </c>
      <c r="X1472" s="19">
        <v>2.7995081223254745</v>
      </c>
      <c r="Y1472" s="19">
        <v>3.7787448552472127</v>
      </c>
      <c r="Z1472" s="19">
        <v>4.8608567875098858</v>
      </c>
      <c r="AA1472" s="19">
        <v>5.965697851408378</v>
      </c>
      <c r="AB1472" s="19">
        <v>6.9807453438924325</v>
      </c>
      <c r="AC1472" s="19">
        <v>7.7715695503328481</v>
      </c>
      <c r="AD1472" s="19">
        <v>8.203756300476444</v>
      </c>
      <c r="AE1472" s="19">
        <v>8.1745026698419796</v>
      </c>
      <c r="AF1472" s="19">
        <v>7.646446319131095</v>
      </c>
      <c r="AG1472" s="19">
        <v>6.6711122783045269</v>
      </c>
      <c r="AH1472" s="19">
        <v>5.4744084659818402</v>
      </c>
      <c r="AI1472" s="19">
        <v>1.9827796095537784</v>
      </c>
      <c r="AJ1472" s="19">
        <v>0</v>
      </c>
      <c r="AK1472" s="19">
        <v>0</v>
      </c>
      <c r="AL1472" s="19">
        <v>0</v>
      </c>
      <c r="AM1472" s="19">
        <v>0</v>
      </c>
      <c r="AN1472" s="19">
        <v>0</v>
      </c>
      <c r="AO1472" s="19">
        <v>0</v>
      </c>
      <c r="AP1472" s="19">
        <v>0</v>
      </c>
      <c r="AQ1472" s="19">
        <v>0</v>
      </c>
      <c r="AR1472" s="19">
        <v>75.089888336011782</v>
      </c>
    </row>
    <row r="1473" spans="1:44" x14ac:dyDescent="0.25">
      <c r="A1473" t="s">
        <v>435</v>
      </c>
      <c r="B1473" t="s">
        <v>479</v>
      </c>
      <c r="C1473" t="s">
        <v>44</v>
      </c>
      <c r="D1473" t="s">
        <v>191</v>
      </c>
      <c r="E1473" t="s">
        <v>134</v>
      </c>
      <c r="F1473" t="s">
        <v>191</v>
      </c>
      <c r="G1473" t="s">
        <v>33</v>
      </c>
      <c r="H1473" t="s">
        <v>456</v>
      </c>
      <c r="I1473" t="s">
        <v>135</v>
      </c>
      <c r="J1473" t="s">
        <v>39</v>
      </c>
      <c r="K1473" t="s">
        <v>31</v>
      </c>
      <c r="L1473">
        <v>9.2342432105322225E-2</v>
      </c>
      <c r="M1473">
        <v>1</v>
      </c>
      <c r="N1473" s="2">
        <v>4.0443999858966739</v>
      </c>
      <c r="O1473" s="2">
        <v>5.3471683850504288</v>
      </c>
      <c r="P1473" s="1">
        <v>-1.6880764755566879</v>
      </c>
      <c r="Q1473" s="1">
        <v>0.71613044470482479</v>
      </c>
      <c r="R1473" s="1">
        <v>-1.8625523936223527</v>
      </c>
      <c r="S1473" s="19">
        <v>41.793228079348317</v>
      </c>
      <c r="T1473" s="19">
        <v>82.897933044138071</v>
      </c>
      <c r="U1473" s="19">
        <v>146.05441741112244</v>
      </c>
      <c r="V1473" s="19">
        <v>235.7461457607676</v>
      </c>
      <c r="W1473" s="19">
        <v>355.07136729375367</v>
      </c>
      <c r="X1473" s="19">
        <v>504.61796846623594</v>
      </c>
      <c r="Y1473" s="19">
        <v>681.12770847156685</v>
      </c>
      <c r="Z1473" s="19">
        <v>876.18094677325519</v>
      </c>
      <c r="AA1473" s="19">
        <v>1075.3311648763602</v>
      </c>
      <c r="AB1473" s="19">
        <v>1258.2958790950031</v>
      </c>
      <c r="AC1473" s="19">
        <v>1400.8438150289749</v>
      </c>
      <c r="AD1473" s="19">
        <v>1478.7465001886542</v>
      </c>
      <c r="AE1473" s="19">
        <v>1473.4734639922945</v>
      </c>
      <c r="AF1473" s="19">
        <v>1378.2900563049204</v>
      </c>
      <c r="AG1473" s="19">
        <v>1202.4837857915722</v>
      </c>
      <c r="AH1473" s="19">
        <v>986.77508974805119</v>
      </c>
      <c r="AI1473" s="19">
        <v>357.40071997297304</v>
      </c>
      <c r="AJ1473" s="19">
        <v>0</v>
      </c>
      <c r="AK1473" s="19">
        <v>0</v>
      </c>
      <c r="AL1473" s="19">
        <v>0</v>
      </c>
      <c r="AM1473" s="19">
        <v>0</v>
      </c>
      <c r="AN1473" s="19">
        <v>0</v>
      </c>
      <c r="AO1473" s="19">
        <v>0</v>
      </c>
      <c r="AP1473" s="19">
        <v>0</v>
      </c>
      <c r="AQ1473" s="19">
        <v>0</v>
      </c>
      <c r="AR1473" s="19">
        <v>13535.130190298993</v>
      </c>
    </row>
    <row r="1474" spans="1:44" x14ac:dyDescent="0.25">
      <c r="A1474" t="s">
        <v>435</v>
      </c>
      <c r="B1474" t="s">
        <v>479</v>
      </c>
      <c r="C1474" t="s">
        <v>44</v>
      </c>
      <c r="D1474" t="s">
        <v>191</v>
      </c>
      <c r="E1474" t="s">
        <v>134</v>
      </c>
      <c r="F1474" t="s">
        <v>191</v>
      </c>
      <c r="G1474" t="s">
        <v>33</v>
      </c>
      <c r="H1474" t="s">
        <v>457</v>
      </c>
      <c r="I1474" t="s">
        <v>135</v>
      </c>
      <c r="J1474" t="s">
        <v>39</v>
      </c>
      <c r="K1474" t="s">
        <v>31</v>
      </c>
      <c r="L1474">
        <v>9.2342432105322225E-2</v>
      </c>
      <c r="M1474">
        <v>1</v>
      </c>
      <c r="N1474" s="2">
        <v>4.0443999858966739</v>
      </c>
      <c r="O1474" s="2">
        <v>5.3471683850504288</v>
      </c>
      <c r="P1474" s="1">
        <v>-1.6880764755566879</v>
      </c>
      <c r="Q1474" s="1">
        <v>0.71613044470482479</v>
      </c>
      <c r="R1474" s="1">
        <v>-1.8625523936223527</v>
      </c>
      <c r="S1474" s="19">
        <v>15.450911539331877</v>
      </c>
      <c r="T1474" s="19">
        <v>30.647276822614039</v>
      </c>
      <c r="U1474" s="19">
        <v>53.996161269557874</v>
      </c>
      <c r="V1474" s="19">
        <v>87.155096920784587</v>
      </c>
      <c r="W1474" s="19">
        <v>131.26950317858655</v>
      </c>
      <c r="X1474" s="19">
        <v>186.556721034475</v>
      </c>
      <c r="Y1474" s="19">
        <v>251.81218236124613</v>
      </c>
      <c r="Z1474" s="19">
        <v>323.92315509438174</v>
      </c>
      <c r="AA1474" s="19">
        <v>397.5487768603686</v>
      </c>
      <c r="AB1474" s="19">
        <v>465.19063522182682</v>
      </c>
      <c r="AC1474" s="19">
        <v>517.89045405488048</v>
      </c>
      <c r="AD1474" s="19">
        <v>546.69099309898945</v>
      </c>
      <c r="AE1474" s="19">
        <v>544.74155727989069</v>
      </c>
      <c r="AF1474" s="19">
        <v>509.55235367500097</v>
      </c>
      <c r="AG1474" s="19">
        <v>444.55696426396241</v>
      </c>
      <c r="AH1474" s="19">
        <v>364.8096909854961</v>
      </c>
      <c r="AI1474" s="19">
        <v>132.13066236261</v>
      </c>
      <c r="AJ1474" s="19">
        <v>0</v>
      </c>
      <c r="AK1474" s="19">
        <v>0</v>
      </c>
      <c r="AL1474" s="19">
        <v>0</v>
      </c>
      <c r="AM1474" s="19">
        <v>0</v>
      </c>
      <c r="AN1474" s="19">
        <v>0</v>
      </c>
      <c r="AO1474" s="19">
        <v>0</v>
      </c>
      <c r="AP1474" s="19">
        <v>0</v>
      </c>
      <c r="AQ1474" s="19">
        <v>0</v>
      </c>
      <c r="AR1474" s="19">
        <v>5003.9230960240029</v>
      </c>
    </row>
    <row r="1475" spans="1:44" x14ac:dyDescent="0.25">
      <c r="A1475" t="s">
        <v>435</v>
      </c>
      <c r="B1475" t="s">
        <v>479</v>
      </c>
      <c r="C1475" t="s">
        <v>44</v>
      </c>
      <c r="D1475" t="s">
        <v>191</v>
      </c>
      <c r="E1475" t="s">
        <v>134</v>
      </c>
      <c r="F1475" t="s">
        <v>191</v>
      </c>
      <c r="G1475" t="s">
        <v>33</v>
      </c>
      <c r="H1475" t="s">
        <v>450</v>
      </c>
      <c r="I1475" t="s">
        <v>135</v>
      </c>
      <c r="J1475" t="s">
        <v>39</v>
      </c>
      <c r="K1475" t="s">
        <v>33</v>
      </c>
      <c r="L1475">
        <v>9.2342432105322225E-2</v>
      </c>
      <c r="M1475">
        <v>1</v>
      </c>
      <c r="N1475" s="2">
        <v>4.0443999858966739</v>
      </c>
      <c r="O1475" s="2">
        <v>5.3471683850504288</v>
      </c>
      <c r="P1475" s="1">
        <v>-1.6880764755566879</v>
      </c>
      <c r="Q1475" s="1">
        <v>0.71613044470482479</v>
      </c>
      <c r="R1475" s="1">
        <v>-1.8625523936223527</v>
      </c>
      <c r="S1475" s="19">
        <v>6.0764058963162677</v>
      </c>
      <c r="T1475" s="19">
        <v>12.044304362751534</v>
      </c>
      <c r="U1475" s="19">
        <v>21.205566379178453</v>
      </c>
      <c r="V1475" s="19">
        <v>34.204003412589429</v>
      </c>
      <c r="W1475" s="19">
        <v>51.480784057436686</v>
      </c>
      <c r="X1475" s="19">
        <v>73.112118988948154</v>
      </c>
      <c r="Y1475" s="19">
        <v>98.617132038008464</v>
      </c>
      <c r="Z1475" s="19">
        <v>126.76950236374758</v>
      </c>
      <c r="AA1475" s="19">
        <v>155.4749312156309</v>
      </c>
      <c r="AB1475" s="19">
        <v>181.80175664938329</v>
      </c>
      <c r="AC1475" s="19">
        <v>202.25635585778281</v>
      </c>
      <c r="AD1475" s="19">
        <v>213.35525841069884</v>
      </c>
      <c r="AE1475" s="19">
        <v>212.44626511808153</v>
      </c>
      <c r="AF1475" s="19">
        <v>198.58414188346595</v>
      </c>
      <c r="AG1475" s="19">
        <v>173.13318994049007</v>
      </c>
      <c r="AH1475" s="19">
        <v>141.97649142984957</v>
      </c>
      <c r="AI1475" s="19">
        <v>32.703168657642657</v>
      </c>
      <c r="AJ1475" s="19">
        <v>0</v>
      </c>
      <c r="AK1475" s="19">
        <v>0</v>
      </c>
      <c r="AL1475" s="19">
        <v>0</v>
      </c>
      <c r="AM1475" s="19">
        <v>0</v>
      </c>
      <c r="AN1475" s="19">
        <v>0</v>
      </c>
      <c r="AO1475" s="19">
        <v>0</v>
      </c>
      <c r="AP1475" s="19">
        <v>0</v>
      </c>
      <c r="AQ1475" s="19">
        <v>0</v>
      </c>
      <c r="AR1475" s="19">
        <v>1935.241376662002</v>
      </c>
    </row>
    <row r="1476" spans="1:44" x14ac:dyDescent="0.25">
      <c r="A1476" t="s">
        <v>435</v>
      </c>
      <c r="B1476" t="s">
        <v>479</v>
      </c>
      <c r="C1476" t="s">
        <v>44</v>
      </c>
      <c r="D1476" t="s">
        <v>191</v>
      </c>
      <c r="E1476" t="s">
        <v>134</v>
      </c>
      <c r="F1476" t="s">
        <v>191</v>
      </c>
      <c r="G1476" t="s">
        <v>33</v>
      </c>
      <c r="H1476" t="s">
        <v>451</v>
      </c>
      <c r="I1476" t="s">
        <v>135</v>
      </c>
      <c r="J1476" t="s">
        <v>39</v>
      </c>
      <c r="K1476" t="s">
        <v>33</v>
      </c>
      <c r="L1476">
        <v>9.2342432105322225E-2</v>
      </c>
      <c r="M1476">
        <v>1</v>
      </c>
      <c r="N1476" s="2">
        <v>4.0443999858966739</v>
      </c>
      <c r="O1476" s="2">
        <v>5.3471683850504288</v>
      </c>
      <c r="P1476" s="1">
        <v>-1.6880764755566879</v>
      </c>
      <c r="Q1476" s="1">
        <v>0.71613044470482479</v>
      </c>
      <c r="R1476" s="1">
        <v>-1.8625523936223527</v>
      </c>
      <c r="S1476" s="19">
        <v>11.62238999346398</v>
      </c>
      <c r="T1476" s="19">
        <v>23.053306762085864</v>
      </c>
      <c r="U1476" s="19">
        <v>40.616661536586186</v>
      </c>
      <c r="V1476" s="19">
        <v>65.559272911047415</v>
      </c>
      <c r="W1476" s="19">
        <v>98.742741249023055</v>
      </c>
      <c r="X1476" s="19">
        <v>140.33055345926158</v>
      </c>
      <c r="Y1476" s="19">
        <v>189.41661668682545</v>
      </c>
      <c r="Z1476" s="19">
        <v>243.65949069326027</v>
      </c>
      <c r="AA1476" s="19">
        <v>299.04170471327359</v>
      </c>
      <c r="AB1476" s="19">
        <v>349.9228488942021</v>
      </c>
      <c r="AC1476" s="19">
        <v>389.56438366731055</v>
      </c>
      <c r="AD1476" s="19">
        <v>411.22854865463381</v>
      </c>
      <c r="AE1476" s="19">
        <v>409.76215598911887</v>
      </c>
      <c r="AF1476" s="19">
        <v>383.29234889622813</v>
      </c>
      <c r="AG1476" s="19">
        <v>334.40191537137116</v>
      </c>
      <c r="AH1476" s="19">
        <v>274.41491016470206</v>
      </c>
      <c r="AI1476" s="19">
        <v>99.390517133164082</v>
      </c>
      <c r="AJ1476" s="19">
        <v>0</v>
      </c>
      <c r="AK1476" s="19">
        <v>0</v>
      </c>
      <c r="AL1476" s="19">
        <v>0</v>
      </c>
      <c r="AM1476" s="19">
        <v>0</v>
      </c>
      <c r="AN1476" s="19">
        <v>0</v>
      </c>
      <c r="AO1476" s="19">
        <v>0</v>
      </c>
      <c r="AP1476" s="19">
        <v>0</v>
      </c>
      <c r="AQ1476" s="19">
        <v>0</v>
      </c>
      <c r="AR1476" s="19">
        <v>3764.0203667755586</v>
      </c>
    </row>
    <row r="1477" spans="1:44" x14ac:dyDescent="0.25">
      <c r="A1477" t="s">
        <v>435</v>
      </c>
      <c r="B1477" t="s">
        <v>479</v>
      </c>
      <c r="C1477" t="s">
        <v>44</v>
      </c>
      <c r="D1477" t="s">
        <v>191</v>
      </c>
      <c r="E1477" t="s">
        <v>134</v>
      </c>
      <c r="F1477" t="s">
        <v>191</v>
      </c>
      <c r="G1477" t="s">
        <v>33</v>
      </c>
      <c r="H1477" t="s">
        <v>452</v>
      </c>
      <c r="I1477" t="s">
        <v>135</v>
      </c>
      <c r="J1477" t="s">
        <v>39</v>
      </c>
      <c r="K1477" t="s">
        <v>33</v>
      </c>
      <c r="L1477">
        <v>9.2342432105322225E-2</v>
      </c>
      <c r="M1477">
        <v>1</v>
      </c>
      <c r="N1477" s="2">
        <v>4.0443999858966739</v>
      </c>
      <c r="O1477" s="2">
        <v>5.3471683850504288</v>
      </c>
      <c r="P1477" s="1">
        <v>-1.6880764755566879</v>
      </c>
      <c r="Q1477" s="1">
        <v>0.71613044470482479</v>
      </c>
      <c r="R1477" s="1">
        <v>-1.8625523936223527</v>
      </c>
      <c r="S1477" s="19">
        <v>115.55347608452244</v>
      </c>
      <c r="T1477" s="19">
        <v>229.20326482762368</v>
      </c>
      <c r="U1477" s="19">
        <v>403.82369118059665</v>
      </c>
      <c r="V1477" s="19">
        <v>651.81101982515202</v>
      </c>
      <c r="W1477" s="19">
        <v>981.73155399670748</v>
      </c>
      <c r="X1477" s="19">
        <v>1395.2107322333627</v>
      </c>
      <c r="Y1477" s="19">
        <v>1883.2398928827145</v>
      </c>
      <c r="Z1477" s="19">
        <v>2422.5396967770266</v>
      </c>
      <c r="AA1477" s="19">
        <v>2973.1671793230798</v>
      </c>
      <c r="AB1477" s="19">
        <v>3479.0436023798238</v>
      </c>
      <c r="AC1477" s="19">
        <v>3873.1722749621586</v>
      </c>
      <c r="AD1477" s="19">
        <v>4088.5642530459786</v>
      </c>
      <c r="AE1477" s="19">
        <v>4073.9849135211152</v>
      </c>
      <c r="AF1477" s="19">
        <v>3810.8137221748962</v>
      </c>
      <c r="AG1477" s="19">
        <v>3324.7295738840935</v>
      </c>
      <c r="AH1477" s="19">
        <v>2728.3198014165446</v>
      </c>
      <c r="AI1477" s="19">
        <v>988.17194665074453</v>
      </c>
      <c r="AJ1477" s="19">
        <v>0</v>
      </c>
      <c r="AK1477" s="19">
        <v>0</v>
      </c>
      <c r="AL1477" s="19">
        <v>0</v>
      </c>
      <c r="AM1477" s="19">
        <v>0</v>
      </c>
      <c r="AN1477" s="19">
        <v>0</v>
      </c>
      <c r="AO1477" s="19">
        <v>0</v>
      </c>
      <c r="AP1477" s="19">
        <v>0</v>
      </c>
      <c r="AQ1477" s="19">
        <v>0</v>
      </c>
      <c r="AR1477" s="19">
        <v>37423.080595166139</v>
      </c>
    </row>
    <row r="1478" spans="1:44" x14ac:dyDescent="0.25">
      <c r="A1478" t="s">
        <v>435</v>
      </c>
      <c r="B1478" t="s">
        <v>479</v>
      </c>
      <c r="C1478" t="s">
        <v>44</v>
      </c>
      <c r="D1478" t="s">
        <v>191</v>
      </c>
      <c r="E1478" t="s">
        <v>134</v>
      </c>
      <c r="F1478" t="s">
        <v>191</v>
      </c>
      <c r="G1478" t="s">
        <v>33</v>
      </c>
      <c r="H1478" t="s">
        <v>453</v>
      </c>
      <c r="I1478" t="s">
        <v>135</v>
      </c>
      <c r="J1478" t="s">
        <v>39</v>
      </c>
      <c r="K1478" t="s">
        <v>33</v>
      </c>
      <c r="L1478">
        <v>9.2342432105322225E-2</v>
      </c>
      <c r="M1478">
        <v>1</v>
      </c>
      <c r="N1478" s="2">
        <v>4.0443999858966739</v>
      </c>
      <c r="O1478" s="2">
        <v>5.3471683850504288</v>
      </c>
      <c r="P1478" s="1">
        <v>-1.6880764755566879</v>
      </c>
      <c r="Q1478" s="1">
        <v>0.71613044470482479</v>
      </c>
      <c r="R1478" s="1">
        <v>-1.8625523936223527</v>
      </c>
      <c r="S1478" s="19">
        <v>16.260717788763426</v>
      </c>
      <c r="T1478" s="19">
        <v>32.253548157210311</v>
      </c>
      <c r="U1478" s="19">
        <v>56.826183869201365</v>
      </c>
      <c r="V1478" s="19">
        <v>91.723030791650288</v>
      </c>
      <c r="W1478" s="19">
        <v>138.1495415351061</v>
      </c>
      <c r="X1478" s="19">
        <v>196.33444826969995</v>
      </c>
      <c r="Y1478" s="19">
        <v>265.01004958351564</v>
      </c>
      <c r="Z1478" s="19">
        <v>340.9004702944116</v>
      </c>
      <c r="AA1478" s="19">
        <v>418.38492514429805</v>
      </c>
      <c r="AB1478" s="19">
        <v>489.57199826443446</v>
      </c>
      <c r="AC1478" s="19">
        <v>545.03389637845999</v>
      </c>
      <c r="AD1478" s="19">
        <v>575.34391636455382</v>
      </c>
      <c r="AE1478" s="19">
        <v>573.29230758917663</v>
      </c>
      <c r="AF1478" s="19">
        <v>536.25878321918401</v>
      </c>
      <c r="AG1478" s="19">
        <v>467.85688459376581</v>
      </c>
      <c r="AH1478" s="19">
        <v>383.92993297647575</v>
      </c>
      <c r="AI1478" s="19">
        <v>139.05583540825168</v>
      </c>
      <c r="AJ1478" s="19">
        <v>0</v>
      </c>
      <c r="AK1478" s="19">
        <v>0</v>
      </c>
      <c r="AL1478" s="19">
        <v>0</v>
      </c>
      <c r="AM1478" s="19">
        <v>0</v>
      </c>
      <c r="AN1478" s="19">
        <v>0</v>
      </c>
      <c r="AO1478" s="19">
        <v>0</v>
      </c>
      <c r="AP1478" s="19">
        <v>0</v>
      </c>
      <c r="AQ1478" s="19">
        <v>0</v>
      </c>
      <c r="AR1478" s="19">
        <v>5266.1864702281591</v>
      </c>
    </row>
    <row r="1479" spans="1:44" x14ac:dyDescent="0.25">
      <c r="A1479" t="s">
        <v>435</v>
      </c>
      <c r="B1479" t="s">
        <v>479</v>
      </c>
      <c r="C1479" t="s">
        <v>44</v>
      </c>
      <c r="D1479" t="s">
        <v>191</v>
      </c>
      <c r="E1479" t="s">
        <v>134</v>
      </c>
      <c r="F1479" t="s">
        <v>191</v>
      </c>
      <c r="G1479" t="s">
        <v>33</v>
      </c>
      <c r="H1479" t="s">
        <v>454</v>
      </c>
      <c r="I1479" t="s">
        <v>135</v>
      </c>
      <c r="J1479" t="s">
        <v>39</v>
      </c>
      <c r="K1479" t="s">
        <v>33</v>
      </c>
      <c r="L1479">
        <v>9.2342432105322225E-2</v>
      </c>
      <c r="M1479">
        <v>1</v>
      </c>
      <c r="N1479" s="2">
        <v>4.0443999858966739</v>
      </c>
      <c r="O1479" s="2">
        <v>5.3471683850504288</v>
      </c>
      <c r="P1479" s="1">
        <v>-1.6880764755566879</v>
      </c>
      <c r="Q1479" s="1">
        <v>0.71613044470482479</v>
      </c>
      <c r="R1479" s="1">
        <v>-1.8625523936223527</v>
      </c>
      <c r="S1479" s="19">
        <v>7.8970992724342652</v>
      </c>
      <c r="T1479" s="19">
        <v>15.664097673581164</v>
      </c>
      <c r="U1479" s="19">
        <v>27.597921636570799</v>
      </c>
      <c r="V1479" s="19">
        <v>44.54575063289942</v>
      </c>
      <c r="W1479" s="19">
        <v>67.093018777923135</v>
      </c>
      <c r="X1479" s="19">
        <v>95.350810998998256</v>
      </c>
      <c r="Y1479" s="19">
        <v>128.70346173770608</v>
      </c>
      <c r="Z1479" s="19">
        <v>165.56002575697022</v>
      </c>
      <c r="AA1479" s="19">
        <v>203.19074046274079</v>
      </c>
      <c r="AB1479" s="19">
        <v>237.76310009942475</v>
      </c>
      <c r="AC1479" s="19">
        <v>264.69844950612531</v>
      </c>
      <c r="AD1479" s="19">
        <v>279.41866296097385</v>
      </c>
      <c r="AE1479" s="19">
        <v>278.42228885388812</v>
      </c>
      <c r="AF1479" s="19">
        <v>260.4367717225324</v>
      </c>
      <c r="AG1479" s="19">
        <v>227.2170460692659</v>
      </c>
      <c r="AH1479" s="19">
        <v>186.45750044745299</v>
      </c>
      <c r="AI1479" s="19">
        <v>67.533164949771106</v>
      </c>
      <c r="AJ1479" s="19">
        <v>0</v>
      </c>
      <c r="AK1479" s="19">
        <v>0</v>
      </c>
      <c r="AL1479" s="19">
        <v>0</v>
      </c>
      <c r="AM1479" s="19">
        <v>0</v>
      </c>
      <c r="AN1479" s="19">
        <v>0</v>
      </c>
      <c r="AO1479" s="19">
        <v>0</v>
      </c>
      <c r="AP1479" s="19">
        <v>0</v>
      </c>
      <c r="AQ1479" s="19">
        <v>0</v>
      </c>
      <c r="AR1479" s="19">
        <v>2557.5499115592588</v>
      </c>
    </row>
    <row r="1480" spans="1:44" x14ac:dyDescent="0.25">
      <c r="A1480" t="s">
        <v>435</v>
      </c>
      <c r="B1480" t="s">
        <v>479</v>
      </c>
      <c r="C1480" t="s">
        <v>44</v>
      </c>
      <c r="D1480" t="s">
        <v>191</v>
      </c>
      <c r="E1480" t="s">
        <v>134</v>
      </c>
      <c r="F1480" t="s">
        <v>191</v>
      </c>
      <c r="G1480" t="s">
        <v>33</v>
      </c>
      <c r="H1480" t="s">
        <v>455</v>
      </c>
      <c r="I1480" t="s">
        <v>135</v>
      </c>
      <c r="J1480" t="s">
        <v>39</v>
      </c>
      <c r="K1480" t="s">
        <v>33</v>
      </c>
      <c r="L1480">
        <v>9.2342432105322225E-2</v>
      </c>
      <c r="M1480">
        <v>1</v>
      </c>
      <c r="N1480" s="2">
        <v>4.0443999858966739</v>
      </c>
      <c r="O1480" s="2">
        <v>5.3471683850504288</v>
      </c>
      <c r="P1480" s="1">
        <v>-1.6880764755566879</v>
      </c>
      <c r="Q1480" s="1">
        <v>0.71613044470482479</v>
      </c>
      <c r="R1480" s="1">
        <v>-1.8625523936223527</v>
      </c>
      <c r="S1480" s="19">
        <v>5.895208777207773</v>
      </c>
      <c r="T1480" s="19">
        <v>11.693296855805</v>
      </c>
      <c r="U1480" s="19">
        <v>20.601932969554017</v>
      </c>
      <c r="V1480" s="19">
        <v>33.253539186855051</v>
      </c>
      <c r="W1480" s="19">
        <v>50.085143866636237</v>
      </c>
      <c r="X1480" s="19">
        <v>71.179672247162202</v>
      </c>
      <c r="Y1480" s="19">
        <v>96.077528104730462</v>
      </c>
      <c r="Z1480" s="19">
        <v>123.59106595052113</v>
      </c>
      <c r="AA1480" s="19">
        <v>151.68250965320087</v>
      </c>
      <c r="AB1480" s="19">
        <v>177.49088193622256</v>
      </c>
      <c r="AC1480" s="19">
        <v>197.59820270827009</v>
      </c>
      <c r="AD1480" s="19">
        <v>208.58688710588257</v>
      </c>
      <c r="AE1480" s="19">
        <v>207.84309078538075</v>
      </c>
      <c r="AF1480" s="19">
        <v>194.41684719927144</v>
      </c>
      <c r="AG1480" s="19">
        <v>169.6182203248236</v>
      </c>
      <c r="AH1480" s="19">
        <v>139.19109476703073</v>
      </c>
      <c r="AI1480" s="19">
        <v>50.413714331058891</v>
      </c>
      <c r="AJ1480" s="19">
        <v>0</v>
      </c>
      <c r="AK1480" s="19">
        <v>0</v>
      </c>
      <c r="AL1480" s="19">
        <v>0</v>
      </c>
      <c r="AM1480" s="19">
        <v>0</v>
      </c>
      <c r="AN1480" s="19">
        <v>0</v>
      </c>
      <c r="AO1480" s="19">
        <v>0</v>
      </c>
      <c r="AP1480" s="19">
        <v>0</v>
      </c>
      <c r="AQ1480" s="19">
        <v>0</v>
      </c>
      <c r="AR1480" s="19">
        <v>1909.2188367696133</v>
      </c>
    </row>
    <row r="1481" spans="1:44" x14ac:dyDescent="0.25">
      <c r="A1481" t="s">
        <v>435</v>
      </c>
      <c r="B1481" t="s">
        <v>479</v>
      </c>
      <c r="C1481" t="s">
        <v>44</v>
      </c>
      <c r="D1481" t="s">
        <v>191</v>
      </c>
      <c r="E1481" t="s">
        <v>134</v>
      </c>
      <c r="F1481" t="s">
        <v>191</v>
      </c>
      <c r="G1481" t="s">
        <v>33</v>
      </c>
      <c r="H1481" t="s">
        <v>456</v>
      </c>
      <c r="I1481" t="s">
        <v>135</v>
      </c>
      <c r="J1481" t="s">
        <v>39</v>
      </c>
      <c r="K1481" t="s">
        <v>33</v>
      </c>
      <c r="L1481">
        <v>9.2342432105322225E-2</v>
      </c>
      <c r="M1481">
        <v>1</v>
      </c>
      <c r="N1481" s="2">
        <v>4.0443999858966739</v>
      </c>
      <c r="O1481" s="2">
        <v>5.3471683850504288</v>
      </c>
      <c r="P1481" s="1">
        <v>-1.6880764755566879</v>
      </c>
      <c r="Q1481" s="1">
        <v>0.71613044470482479</v>
      </c>
      <c r="R1481" s="1">
        <v>-1.8625523936223527</v>
      </c>
      <c r="S1481" s="19">
        <v>38.587676049559981</v>
      </c>
      <c r="T1481" s="19">
        <v>76.539638895852249</v>
      </c>
      <c r="U1481" s="19">
        <v>134.85200363004566</v>
      </c>
      <c r="V1481" s="19">
        <v>217.66435187245048</v>
      </c>
      <c r="W1481" s="19">
        <v>327.8372962622642</v>
      </c>
      <c r="X1481" s="19">
        <v>465.91363220358863</v>
      </c>
      <c r="Y1481" s="19">
        <v>628.88502685121591</v>
      </c>
      <c r="Z1481" s="19">
        <v>808.97762840171413</v>
      </c>
      <c r="AA1481" s="19">
        <v>992.85297028178229</v>
      </c>
      <c r="AB1481" s="19">
        <v>1161.7842408542515</v>
      </c>
      <c r="AC1481" s="19">
        <v>1293.3987110959415</v>
      </c>
      <c r="AD1481" s="19">
        <v>1365.326238986949</v>
      </c>
      <c r="AE1481" s="19">
        <v>1360.457646109739</v>
      </c>
      <c r="AF1481" s="19">
        <v>1272.5748318375263</v>
      </c>
      <c r="AG1481" s="19">
        <v>1110.2529503793523</v>
      </c>
      <c r="AH1481" s="19">
        <v>911.0891703478826</v>
      </c>
      <c r="AI1481" s="19">
        <v>329.98798695359437</v>
      </c>
      <c r="AJ1481" s="19">
        <v>0</v>
      </c>
      <c r="AK1481" s="19">
        <v>0</v>
      </c>
      <c r="AL1481" s="19">
        <v>0</v>
      </c>
      <c r="AM1481" s="19">
        <v>0</v>
      </c>
      <c r="AN1481" s="19">
        <v>0</v>
      </c>
      <c r="AO1481" s="19">
        <v>0</v>
      </c>
      <c r="AP1481" s="19">
        <v>0</v>
      </c>
      <c r="AQ1481" s="19">
        <v>0</v>
      </c>
      <c r="AR1481" s="19">
        <v>12496.98200101371</v>
      </c>
    </row>
    <row r="1482" spans="1:44" x14ac:dyDescent="0.25">
      <c r="A1482" t="s">
        <v>435</v>
      </c>
      <c r="B1482" t="s">
        <v>479</v>
      </c>
      <c r="C1482" t="s">
        <v>44</v>
      </c>
      <c r="D1482" t="s">
        <v>191</v>
      </c>
      <c r="E1482" t="s">
        <v>134</v>
      </c>
      <c r="F1482" t="s">
        <v>191</v>
      </c>
      <c r="G1482" t="s">
        <v>33</v>
      </c>
      <c r="H1482" t="s">
        <v>457</v>
      </c>
      <c r="I1482" t="s">
        <v>135</v>
      </c>
      <c r="J1482" t="s">
        <v>39</v>
      </c>
      <c r="K1482" t="s">
        <v>33</v>
      </c>
      <c r="L1482">
        <v>9.2342432105322225E-2</v>
      </c>
      <c r="M1482">
        <v>1</v>
      </c>
      <c r="N1482" s="2">
        <v>4.0443999858966739</v>
      </c>
      <c r="O1482" s="2">
        <v>5.3471683850504288</v>
      </c>
      <c r="P1482" s="1">
        <v>-1.6880764755566879</v>
      </c>
      <c r="Q1482" s="1">
        <v>0.71613044470482479</v>
      </c>
      <c r="R1482" s="1">
        <v>-1.8625523936223527</v>
      </c>
      <c r="S1482" s="19">
        <v>4.5208528265583574</v>
      </c>
      <c r="T1482" s="19">
        <v>8.9672268006410665</v>
      </c>
      <c r="U1482" s="19">
        <v>15.798983618369563</v>
      </c>
      <c r="V1482" s="19">
        <v>25.501108155353172</v>
      </c>
      <c r="W1482" s="19">
        <v>38.408743909712783</v>
      </c>
      <c r="X1482" s="19">
        <v>54.585483675524003</v>
      </c>
      <c r="Y1482" s="19">
        <v>73.678877358901417</v>
      </c>
      <c r="Z1482" s="19">
        <v>94.778156458169761</v>
      </c>
      <c r="AA1482" s="19">
        <v>116.32061364074916</v>
      </c>
      <c r="AB1482" s="19">
        <v>136.11225413966827</v>
      </c>
      <c r="AC1482" s="19">
        <v>151.53193499953466</v>
      </c>
      <c r="AD1482" s="19">
        <v>159.95881635294342</v>
      </c>
      <c r="AE1482" s="19">
        <v>159.38842201662661</v>
      </c>
      <c r="AF1482" s="19">
        <v>149.09225209962625</v>
      </c>
      <c r="AG1482" s="19">
        <v>130.07495404674637</v>
      </c>
      <c r="AH1482" s="19">
        <v>106.74133486877608</v>
      </c>
      <c r="AI1482" s="19">
        <v>38.660714411343235</v>
      </c>
      <c r="AJ1482" s="19">
        <v>0</v>
      </c>
      <c r="AK1482" s="19">
        <v>0</v>
      </c>
      <c r="AL1482" s="19">
        <v>0</v>
      </c>
      <c r="AM1482" s="19">
        <v>0</v>
      </c>
      <c r="AN1482" s="19">
        <v>0</v>
      </c>
      <c r="AO1482" s="19">
        <v>0</v>
      </c>
      <c r="AP1482" s="19">
        <v>0</v>
      </c>
      <c r="AQ1482" s="19">
        <v>0</v>
      </c>
      <c r="AR1482" s="19">
        <v>1464.120729379244</v>
      </c>
    </row>
    <row r="1483" spans="1:44" x14ac:dyDescent="0.25">
      <c r="A1483" t="s">
        <v>435</v>
      </c>
      <c r="B1483" t="s">
        <v>479</v>
      </c>
      <c r="C1483" t="s">
        <v>44</v>
      </c>
      <c r="D1483" t="s">
        <v>191</v>
      </c>
      <c r="E1483" t="s">
        <v>134</v>
      </c>
      <c r="F1483" t="s">
        <v>191</v>
      </c>
      <c r="G1483" t="s">
        <v>33</v>
      </c>
      <c r="H1483" t="s">
        <v>457</v>
      </c>
      <c r="I1483" t="s">
        <v>256</v>
      </c>
      <c r="J1483" t="s">
        <v>39</v>
      </c>
      <c r="K1483" t="s">
        <v>33</v>
      </c>
      <c r="L1483">
        <v>9.2342432105322225E-2</v>
      </c>
      <c r="M1483">
        <v>1</v>
      </c>
      <c r="N1483" s="2">
        <v>2.0015641280358047</v>
      </c>
      <c r="O1483" s="2">
        <v>2.6463011728329868</v>
      </c>
      <c r="P1483" s="1">
        <v>-0.22513952420782057</v>
      </c>
      <c r="Q1483" s="1">
        <v>1.3498045353129324</v>
      </c>
      <c r="R1483" s="1">
        <v>-0.39961544227348522</v>
      </c>
      <c r="S1483" s="19">
        <v>12.432648617881146</v>
      </c>
      <c r="T1483" s="19">
        <v>24.660475393995402</v>
      </c>
      <c r="U1483" s="19">
        <v>43.448265047013841</v>
      </c>
      <c r="V1483" s="19">
        <v>70.129758526877509</v>
      </c>
      <c r="W1483" s="19">
        <v>105.62662294122292</v>
      </c>
      <c r="X1483" s="19">
        <v>150.11374274077289</v>
      </c>
      <c r="Y1483" s="19">
        <v>202.62185651828267</v>
      </c>
      <c r="Z1483" s="19">
        <v>260.64628978246083</v>
      </c>
      <c r="AA1483" s="19">
        <v>319.88949251256463</v>
      </c>
      <c r="AB1483" s="19">
        <v>374.31783188449901</v>
      </c>
      <c r="AC1483" s="19">
        <v>416.72298889478134</v>
      </c>
      <c r="AD1483" s="19">
        <v>439.89747805223192</v>
      </c>
      <c r="AE1483" s="19">
        <v>438.32885535445325</v>
      </c>
      <c r="AF1483" s="19">
        <v>410.01369721967393</v>
      </c>
      <c r="AG1483" s="19">
        <v>357.71485153197557</v>
      </c>
      <c r="AH1483" s="19">
        <v>293.54583312931186</v>
      </c>
      <c r="AI1483" s="19">
        <v>106.31955872768228</v>
      </c>
      <c r="AJ1483" s="19">
        <v>0</v>
      </c>
      <c r="AK1483" s="19">
        <v>0</v>
      </c>
      <c r="AL1483" s="19">
        <v>0</v>
      </c>
      <c r="AM1483" s="19">
        <v>0</v>
      </c>
      <c r="AN1483" s="19">
        <v>0</v>
      </c>
      <c r="AO1483" s="19">
        <v>0</v>
      </c>
      <c r="AP1483" s="19">
        <v>0</v>
      </c>
      <c r="AQ1483" s="19">
        <v>0</v>
      </c>
      <c r="AR1483" s="19">
        <v>4026.4302468756814</v>
      </c>
    </row>
    <row r="1484" spans="1:44" x14ac:dyDescent="0.25">
      <c r="A1484" t="s">
        <v>435</v>
      </c>
      <c r="B1484" t="s">
        <v>479</v>
      </c>
      <c r="C1484" t="s">
        <v>44</v>
      </c>
      <c r="D1484" t="s">
        <v>191</v>
      </c>
      <c r="E1484" t="s">
        <v>134</v>
      </c>
      <c r="F1484" t="s">
        <v>191</v>
      </c>
      <c r="G1484" t="s">
        <v>33</v>
      </c>
      <c r="H1484" t="s">
        <v>452</v>
      </c>
      <c r="I1484" t="s">
        <v>135</v>
      </c>
      <c r="J1484" t="s">
        <v>40</v>
      </c>
      <c r="K1484" t="s">
        <v>33</v>
      </c>
      <c r="L1484">
        <v>9.2342432105322225E-2</v>
      </c>
      <c r="M1484">
        <v>1</v>
      </c>
      <c r="N1484" s="2">
        <v>4.0443999858966739</v>
      </c>
      <c r="O1484" s="2">
        <v>4.1746294160814523</v>
      </c>
      <c r="P1484" s="1">
        <v>-1.6880764755566879</v>
      </c>
      <c r="Q1484" s="1">
        <v>1.3498045353129324</v>
      </c>
      <c r="R1484" s="1">
        <v>-1.7195523936223525</v>
      </c>
      <c r="S1484" s="19">
        <v>8.4611280597775664</v>
      </c>
      <c r="T1484" s="19">
        <v>16.782863148202541</v>
      </c>
      <c r="U1484" s="19">
        <v>29.569027955090249</v>
      </c>
      <c r="V1484" s="19">
        <v>47.727309436202461</v>
      </c>
      <c r="W1484" s="19">
        <v>71.884954742639536</v>
      </c>
      <c r="X1484" s="19">
        <v>102.16098273986682</v>
      </c>
      <c r="Y1484" s="19">
        <v>137.89575563531423</v>
      </c>
      <c r="Z1484" s="19">
        <v>177.38469926540455</v>
      </c>
      <c r="AA1484" s="19">
        <v>217.70308518438188</v>
      </c>
      <c r="AB1484" s="19">
        <v>254.74468136080921</v>
      </c>
      <c r="AC1484" s="19">
        <v>283.6038146707412</v>
      </c>
      <c r="AD1484" s="19">
        <v>299.37537924299988</v>
      </c>
      <c r="AE1484" s="19">
        <v>298.3078418315194</v>
      </c>
      <c r="AF1484" s="19">
        <v>279.03775816916533</v>
      </c>
      <c r="AG1484" s="19">
        <v>243.44540417102127</v>
      </c>
      <c r="AH1484" s="19">
        <v>199.77471911729279</v>
      </c>
      <c r="AI1484" s="19">
        <v>72.356537154933946</v>
      </c>
      <c r="AJ1484" s="19">
        <v>0</v>
      </c>
      <c r="AK1484" s="19">
        <v>0</v>
      </c>
      <c r="AL1484" s="19">
        <v>0</v>
      </c>
      <c r="AM1484" s="19">
        <v>0</v>
      </c>
      <c r="AN1484" s="19">
        <v>0</v>
      </c>
      <c r="AO1484" s="19">
        <v>0</v>
      </c>
      <c r="AP1484" s="19">
        <v>0</v>
      </c>
      <c r="AQ1484" s="19">
        <v>0</v>
      </c>
      <c r="AR1484" s="19">
        <v>2740.2159418853635</v>
      </c>
    </row>
    <row r="1485" spans="1:44" x14ac:dyDescent="0.25">
      <c r="A1485" t="s">
        <v>435</v>
      </c>
      <c r="B1485" t="s">
        <v>479</v>
      </c>
      <c r="C1485" t="s">
        <v>44</v>
      </c>
      <c r="D1485" t="s">
        <v>191</v>
      </c>
      <c r="E1485" t="s">
        <v>134</v>
      </c>
      <c r="F1485" t="s">
        <v>191</v>
      </c>
      <c r="G1485" t="s">
        <v>33</v>
      </c>
      <c r="H1485" t="s">
        <v>453</v>
      </c>
      <c r="I1485" t="s">
        <v>135</v>
      </c>
      <c r="J1485" t="s">
        <v>40</v>
      </c>
      <c r="K1485" t="s">
        <v>33</v>
      </c>
      <c r="L1485">
        <v>9.2342432105322225E-2</v>
      </c>
      <c r="M1485">
        <v>1</v>
      </c>
      <c r="N1485" s="2">
        <v>4.0443999858966739</v>
      </c>
      <c r="O1485" s="2">
        <v>4.1746294160814523</v>
      </c>
      <c r="P1485" s="1">
        <v>-1.6880764755566879</v>
      </c>
      <c r="Q1485" s="1">
        <v>1.3498045353129324</v>
      </c>
      <c r="R1485" s="1">
        <v>-1.7195523936223525</v>
      </c>
      <c r="S1485" s="19">
        <v>331.14327871535158</v>
      </c>
      <c r="T1485" s="19">
        <v>656.83113290131882</v>
      </c>
      <c r="U1485" s="19">
        <v>1157.2434309346552</v>
      </c>
      <c r="V1485" s="19">
        <v>1867.90432898633</v>
      </c>
      <c r="W1485" s="19">
        <v>2813.3624069516923</v>
      </c>
      <c r="X1485" s="19">
        <v>3998.275707713527</v>
      </c>
      <c r="Y1485" s="19">
        <v>5396.8279784207998</v>
      </c>
      <c r="Z1485" s="19">
        <v>6942.3072779053155</v>
      </c>
      <c r="AA1485" s="19">
        <v>8520.248471017574</v>
      </c>
      <c r="AB1485" s="19">
        <v>9969.945901437346</v>
      </c>
      <c r="AC1485" s="19">
        <v>11099.406176428802</v>
      </c>
      <c r="AD1485" s="19">
        <v>11716.65810383503</v>
      </c>
      <c r="AE1485" s="19">
        <v>11674.877878303463</v>
      </c>
      <c r="AF1485" s="19">
        <v>10920.704363851444</v>
      </c>
      <c r="AG1485" s="19">
        <v>9527.7259433767758</v>
      </c>
      <c r="AH1485" s="19">
        <v>7818.5857755092147</v>
      </c>
      <c r="AI1485" s="19">
        <v>2831.8187339436508</v>
      </c>
      <c r="AJ1485" s="19">
        <v>0</v>
      </c>
      <c r="AK1485" s="19">
        <v>0</v>
      </c>
      <c r="AL1485" s="19">
        <v>0</v>
      </c>
      <c r="AM1485" s="19">
        <v>0</v>
      </c>
      <c r="AN1485" s="19">
        <v>0</v>
      </c>
      <c r="AO1485" s="19">
        <v>0</v>
      </c>
      <c r="AP1485" s="19">
        <v>0</v>
      </c>
      <c r="AQ1485" s="19">
        <v>0</v>
      </c>
      <c r="AR1485" s="19">
        <v>107243.8668902323</v>
      </c>
    </row>
    <row r="1486" spans="1:44" x14ac:dyDescent="0.25">
      <c r="A1486" t="s">
        <v>435</v>
      </c>
      <c r="B1486" t="s">
        <v>479</v>
      </c>
      <c r="C1486" t="s">
        <v>44</v>
      </c>
      <c r="D1486" t="s">
        <v>191</v>
      </c>
      <c r="E1486" t="s">
        <v>134</v>
      </c>
      <c r="F1486" t="s">
        <v>191</v>
      </c>
      <c r="G1486" t="s">
        <v>33</v>
      </c>
      <c r="H1486" t="s">
        <v>456</v>
      </c>
      <c r="I1486" t="s">
        <v>135</v>
      </c>
      <c r="J1486" t="s">
        <v>40</v>
      </c>
      <c r="K1486" t="s">
        <v>33</v>
      </c>
      <c r="L1486">
        <v>9.2342432105322225E-2</v>
      </c>
      <c r="M1486">
        <v>1</v>
      </c>
      <c r="N1486" s="2">
        <v>4.0443999858966739</v>
      </c>
      <c r="O1486" s="2">
        <v>4.1746294160814523</v>
      </c>
      <c r="P1486" s="1">
        <v>-1.6880764755566879</v>
      </c>
      <c r="Q1486" s="1">
        <v>1.3498045353129324</v>
      </c>
      <c r="R1486" s="1">
        <v>-1.7195523936223525</v>
      </c>
      <c r="S1486" s="19">
        <v>142.45465521474958</v>
      </c>
      <c r="T1486" s="19">
        <v>282.56243924009004</v>
      </c>
      <c r="U1486" s="19">
        <v>497.83499937813355</v>
      </c>
      <c r="V1486" s="19">
        <v>803.55448611903205</v>
      </c>
      <c r="W1486" s="19">
        <v>1210.2814625476544</v>
      </c>
      <c r="X1486" s="19">
        <v>1720.0197739342921</v>
      </c>
      <c r="Y1486" s="19">
        <v>2321.6635164747127</v>
      </c>
      <c r="Z1486" s="19">
        <v>2986.5138543819121</v>
      </c>
      <c r="AA1486" s="19">
        <v>3665.328986870773</v>
      </c>
      <c r="AB1486" s="19">
        <v>4288.9748854598156</v>
      </c>
      <c r="AC1486" s="19">
        <v>4774.8578382313553</v>
      </c>
      <c r="AD1486" s="19">
        <v>5040.3936837433466</v>
      </c>
      <c r="AE1486" s="19">
        <v>5022.4202323540176</v>
      </c>
      <c r="AF1486" s="19">
        <v>4697.9820363255558</v>
      </c>
      <c r="AG1486" s="19">
        <v>4098.73611057364</v>
      </c>
      <c r="AH1486" s="19">
        <v>3363.4804403640633</v>
      </c>
      <c r="AI1486" s="19">
        <v>1218.221196998463</v>
      </c>
      <c r="AJ1486" s="19">
        <v>0</v>
      </c>
      <c r="AK1486" s="19">
        <v>0</v>
      </c>
      <c r="AL1486" s="19">
        <v>0</v>
      </c>
      <c r="AM1486" s="19">
        <v>0</v>
      </c>
      <c r="AN1486" s="19">
        <v>0</v>
      </c>
      <c r="AO1486" s="19">
        <v>0</v>
      </c>
      <c r="AP1486" s="19">
        <v>0</v>
      </c>
      <c r="AQ1486" s="19">
        <v>0</v>
      </c>
      <c r="AR1486" s="19">
        <v>46135.280598211619</v>
      </c>
    </row>
    <row r="1487" spans="1:44" x14ac:dyDescent="0.25">
      <c r="A1487" t="s">
        <v>435</v>
      </c>
      <c r="B1487" t="s">
        <v>479</v>
      </c>
      <c r="C1487" t="s">
        <v>44</v>
      </c>
      <c r="D1487" t="s">
        <v>191</v>
      </c>
      <c r="E1487" t="s">
        <v>134</v>
      </c>
      <c r="F1487" t="s">
        <v>191</v>
      </c>
      <c r="G1487" t="s">
        <v>33</v>
      </c>
      <c r="H1487" t="s">
        <v>450</v>
      </c>
      <c r="I1487" t="s">
        <v>256</v>
      </c>
      <c r="J1487" t="s">
        <v>40</v>
      </c>
      <c r="K1487" t="s">
        <v>33</v>
      </c>
      <c r="L1487">
        <v>9.2342432105322225E-2</v>
      </c>
      <c r="M1487">
        <v>1</v>
      </c>
      <c r="N1487" s="2">
        <v>2.0015641280358047</v>
      </c>
      <c r="O1487" s="2">
        <v>1.4737622038640092</v>
      </c>
      <c r="P1487" s="1">
        <v>-0.22513952420782057</v>
      </c>
      <c r="Q1487" s="1">
        <v>1.3498045353129324</v>
      </c>
      <c r="R1487" s="1">
        <v>-0.25661544227348515</v>
      </c>
      <c r="S1487" s="19">
        <v>158.72790117984505</v>
      </c>
      <c r="T1487" s="19">
        <v>314.84083735435001</v>
      </c>
      <c r="U1487" s="19">
        <v>554.70496535222333</v>
      </c>
      <c r="V1487" s="19">
        <v>895.34818551943613</v>
      </c>
      <c r="W1487" s="19">
        <v>1348.5374423002509</v>
      </c>
      <c r="X1487" s="19">
        <v>1916.5054893632855</v>
      </c>
      <c r="Y1487" s="19">
        <v>2586.8777447835514</v>
      </c>
      <c r="Z1487" s="19">
        <v>3327.6769736724514</v>
      </c>
      <c r="AA1487" s="19">
        <v>4084.0362594160265</v>
      </c>
      <c r="AB1487" s="19">
        <v>4778.9240776711076</v>
      </c>
      <c r="AC1487" s="19">
        <v>5320.3116595386819</v>
      </c>
      <c r="AD1487" s="19">
        <v>5616.1808775898307</v>
      </c>
      <c r="AE1487" s="19">
        <v>5596.1542367497304</v>
      </c>
      <c r="AF1487" s="19">
        <v>5234.6539836303036</v>
      </c>
      <c r="AG1487" s="19">
        <v>4566.9534585629654</v>
      </c>
      <c r="AH1487" s="19">
        <v>3747.7061746675145</v>
      </c>
      <c r="AI1487" s="19">
        <v>1357.3841688842376</v>
      </c>
      <c r="AJ1487" s="19">
        <v>0</v>
      </c>
      <c r="AK1487" s="19">
        <v>0</v>
      </c>
      <c r="AL1487" s="19">
        <v>0</v>
      </c>
      <c r="AM1487" s="19">
        <v>0</v>
      </c>
      <c r="AN1487" s="19">
        <v>0</v>
      </c>
      <c r="AO1487" s="19">
        <v>0</v>
      </c>
      <c r="AP1487" s="19">
        <v>0</v>
      </c>
      <c r="AQ1487" s="19">
        <v>0</v>
      </c>
      <c r="AR1487" s="19">
        <v>51405.524436235799</v>
      </c>
    </row>
    <row r="1488" spans="1:44" x14ac:dyDescent="0.25">
      <c r="A1488" t="s">
        <v>435</v>
      </c>
      <c r="B1488" t="s">
        <v>479</v>
      </c>
      <c r="C1488" t="s">
        <v>44</v>
      </c>
      <c r="D1488" t="s">
        <v>191</v>
      </c>
      <c r="E1488" t="s">
        <v>134</v>
      </c>
      <c r="F1488" t="s">
        <v>191</v>
      </c>
      <c r="G1488" t="s">
        <v>33</v>
      </c>
      <c r="H1488" t="s">
        <v>452</v>
      </c>
      <c r="I1488" t="s">
        <v>256</v>
      </c>
      <c r="J1488" t="s">
        <v>40</v>
      </c>
      <c r="K1488" t="s">
        <v>33</v>
      </c>
      <c r="L1488">
        <v>9.2342432105322225E-2</v>
      </c>
      <c r="M1488">
        <v>1</v>
      </c>
      <c r="N1488" s="2">
        <v>2.0015641280358047</v>
      </c>
      <c r="O1488" s="2">
        <v>1.4737622038640092</v>
      </c>
      <c r="P1488" s="1">
        <v>-0.22513952420782057</v>
      </c>
      <c r="Q1488" s="1">
        <v>1.3498045353129324</v>
      </c>
      <c r="R1488" s="1">
        <v>-0.25661544227348515</v>
      </c>
      <c r="S1488" s="19">
        <v>51.021553794708538</v>
      </c>
      <c r="T1488" s="19">
        <v>101.20255229510832</v>
      </c>
      <c r="U1488" s="19">
        <v>178.30456409704053</v>
      </c>
      <c r="V1488" s="19">
        <v>287.80104362820879</v>
      </c>
      <c r="W1488" s="19">
        <v>433.4743617540982</v>
      </c>
      <c r="X1488" s="19">
        <v>616.0422156191114</v>
      </c>
      <c r="Y1488" s="19">
        <v>831.52691514683534</v>
      </c>
      <c r="Z1488" s="19">
        <v>1069.6496864232499</v>
      </c>
      <c r="AA1488" s="19">
        <v>1312.7740879862015</v>
      </c>
      <c r="AB1488" s="19">
        <v>1536.1390788721972</v>
      </c>
      <c r="AC1488" s="19">
        <v>1710.1628984195013</v>
      </c>
      <c r="AD1488" s="19">
        <v>1805.2672065643619</v>
      </c>
      <c r="AE1488" s="19">
        <v>1798.8298359108392</v>
      </c>
      <c r="AF1488" s="19">
        <v>1682.6290641861781</v>
      </c>
      <c r="AG1488" s="19">
        <v>1468.003166626562</v>
      </c>
      <c r="AH1488" s="19">
        <v>1204.6640242593962</v>
      </c>
      <c r="AI1488" s="19">
        <v>436.31805673750841</v>
      </c>
      <c r="AJ1488" s="19">
        <v>0</v>
      </c>
      <c r="AK1488" s="19">
        <v>0</v>
      </c>
      <c r="AL1488" s="19">
        <v>0</v>
      </c>
      <c r="AM1488" s="19">
        <v>0</v>
      </c>
      <c r="AN1488" s="19">
        <v>0</v>
      </c>
      <c r="AO1488" s="19">
        <v>0</v>
      </c>
      <c r="AP1488" s="19">
        <v>0</v>
      </c>
      <c r="AQ1488" s="19">
        <v>0</v>
      </c>
      <c r="AR1488" s="19">
        <v>16523.810312321108</v>
      </c>
    </row>
    <row r="1489" spans="1:44" x14ac:dyDescent="0.25">
      <c r="A1489" t="s">
        <v>435</v>
      </c>
      <c r="B1489" t="s">
        <v>479</v>
      </c>
      <c r="C1489" t="s">
        <v>44</v>
      </c>
      <c r="D1489" t="s">
        <v>191</v>
      </c>
      <c r="E1489" t="s">
        <v>134</v>
      </c>
      <c r="F1489" t="s">
        <v>191</v>
      </c>
      <c r="G1489" t="s">
        <v>33</v>
      </c>
      <c r="H1489" t="s">
        <v>453</v>
      </c>
      <c r="I1489" t="s">
        <v>256</v>
      </c>
      <c r="J1489" t="s">
        <v>40</v>
      </c>
      <c r="K1489" t="s">
        <v>33</v>
      </c>
      <c r="L1489">
        <v>9.2342432105322225E-2</v>
      </c>
      <c r="M1489">
        <v>1</v>
      </c>
      <c r="N1489" s="2">
        <v>2.0015641280358047</v>
      </c>
      <c r="O1489" s="2">
        <v>1.4737622038640092</v>
      </c>
      <c r="P1489" s="1">
        <v>-0.22513952420782057</v>
      </c>
      <c r="Q1489" s="1">
        <v>1.3498045353129324</v>
      </c>
      <c r="R1489" s="1">
        <v>-0.25661544227348515</v>
      </c>
      <c r="S1489" s="19">
        <v>170.47164629757958</v>
      </c>
      <c r="T1489" s="19">
        <v>338.13485509830218</v>
      </c>
      <c r="U1489" s="19">
        <v>595.74572554760505</v>
      </c>
      <c r="V1489" s="19">
        <v>961.59199523536449</v>
      </c>
      <c r="W1489" s="19">
        <v>1448.3112053650816</v>
      </c>
      <c r="X1489" s="19">
        <v>2058.3013035618251</v>
      </c>
      <c r="Y1489" s="19">
        <v>2778.2721540818675</v>
      </c>
      <c r="Z1489" s="19">
        <v>3573.8806336621642</v>
      </c>
      <c r="AA1489" s="19">
        <v>4386.2004065235042</v>
      </c>
      <c r="AB1489" s="19">
        <v>5132.5006441601017</v>
      </c>
      <c r="AC1489" s="19">
        <v>5713.9436776785842</v>
      </c>
      <c r="AD1489" s="19">
        <v>6031.7032669823548</v>
      </c>
      <c r="AE1489" s="19">
        <v>6010.1949221453988</v>
      </c>
      <c r="AF1489" s="19">
        <v>5621.948477580896</v>
      </c>
      <c r="AG1489" s="19">
        <v>4904.8470297830054</v>
      </c>
      <c r="AH1489" s="19">
        <v>4024.9863866800674</v>
      </c>
      <c r="AI1489" s="19">
        <v>1457.8124715817028</v>
      </c>
      <c r="AJ1489" s="19">
        <v>0</v>
      </c>
      <c r="AK1489" s="19">
        <v>0</v>
      </c>
      <c r="AL1489" s="19">
        <v>0</v>
      </c>
      <c r="AM1489" s="19">
        <v>0</v>
      </c>
      <c r="AN1489" s="19">
        <v>0</v>
      </c>
      <c r="AO1489" s="19">
        <v>0</v>
      </c>
      <c r="AP1489" s="19">
        <v>0</v>
      </c>
      <c r="AQ1489" s="19">
        <v>0</v>
      </c>
      <c r="AR1489" s="19">
        <v>55208.846801965403</v>
      </c>
    </row>
    <row r="1490" spans="1:44" x14ac:dyDescent="0.25">
      <c r="A1490" t="s">
        <v>435</v>
      </c>
      <c r="B1490" t="s">
        <v>479</v>
      </c>
      <c r="C1490" t="s">
        <v>44</v>
      </c>
      <c r="D1490" t="s">
        <v>191</v>
      </c>
      <c r="E1490" t="s">
        <v>134</v>
      </c>
      <c r="F1490" t="s">
        <v>191</v>
      </c>
      <c r="G1490" t="s">
        <v>33</v>
      </c>
      <c r="H1490" t="s">
        <v>456</v>
      </c>
      <c r="I1490" t="s">
        <v>256</v>
      </c>
      <c r="J1490" t="s">
        <v>40</v>
      </c>
      <c r="K1490" t="s">
        <v>33</v>
      </c>
      <c r="L1490">
        <v>9.2342432105322225E-2</v>
      </c>
      <c r="M1490">
        <v>1</v>
      </c>
      <c r="N1490" s="2">
        <v>2.0015641280358047</v>
      </c>
      <c r="O1490" s="2">
        <v>1.4737622038640092</v>
      </c>
      <c r="P1490" s="1">
        <v>-0.22513952420782057</v>
      </c>
      <c r="Q1490" s="1">
        <v>1.3498045353129324</v>
      </c>
      <c r="R1490" s="1">
        <v>-0.25661544227348515</v>
      </c>
      <c r="S1490" s="19">
        <v>213.92131876268783</v>
      </c>
      <c r="T1490" s="19">
        <v>424.31838779799602</v>
      </c>
      <c r="U1490" s="19">
        <v>747.58890422112086</v>
      </c>
      <c r="V1490" s="19">
        <v>1206.6817690802941</v>
      </c>
      <c r="W1490" s="19">
        <v>1817.4555696472755</v>
      </c>
      <c r="X1490" s="19">
        <v>2582.9194404580403</v>
      </c>
      <c r="Y1490" s="19">
        <v>3486.395866942978</v>
      </c>
      <c r="Z1490" s="19">
        <v>4484.7883789358111</v>
      </c>
      <c r="AA1490" s="19">
        <v>5504.1515448441342</v>
      </c>
      <c r="AB1490" s="19">
        <v>6440.6681708960732</v>
      </c>
      <c r="AC1490" s="19">
        <v>7170.3089247521439</v>
      </c>
      <c r="AD1490" s="19">
        <v>7569.0588158319342</v>
      </c>
      <c r="AE1490" s="19">
        <v>7542.0684418204573</v>
      </c>
      <c r="AF1490" s="19">
        <v>7054.8660640057815</v>
      </c>
      <c r="AG1490" s="19">
        <v>6154.9903912398067</v>
      </c>
      <c r="AH1490" s="19">
        <v>5050.8715938451714</v>
      </c>
      <c r="AI1490" s="19">
        <v>1829.3785107528479</v>
      </c>
      <c r="AJ1490" s="19">
        <v>0</v>
      </c>
      <c r="AK1490" s="19">
        <v>0</v>
      </c>
      <c r="AL1490" s="19">
        <v>0</v>
      </c>
      <c r="AM1490" s="19">
        <v>0</v>
      </c>
      <c r="AN1490" s="19">
        <v>0</v>
      </c>
      <c r="AO1490" s="19">
        <v>0</v>
      </c>
      <c r="AP1490" s="19">
        <v>0</v>
      </c>
      <c r="AQ1490" s="19">
        <v>0</v>
      </c>
      <c r="AR1490" s="19">
        <v>69280.432093834548</v>
      </c>
    </row>
    <row r="1491" spans="1:44" x14ac:dyDescent="0.25">
      <c r="A1491" t="s">
        <v>435</v>
      </c>
      <c r="B1491" t="s">
        <v>479</v>
      </c>
      <c r="C1491" t="s">
        <v>44</v>
      </c>
      <c r="D1491" t="s">
        <v>191</v>
      </c>
      <c r="E1491" t="s">
        <v>134</v>
      </c>
      <c r="F1491" t="s">
        <v>191</v>
      </c>
      <c r="G1491" t="s">
        <v>33</v>
      </c>
      <c r="H1491" t="s">
        <v>457</v>
      </c>
      <c r="I1491" t="s">
        <v>256</v>
      </c>
      <c r="J1491" t="s">
        <v>40</v>
      </c>
      <c r="K1491" t="s">
        <v>33</v>
      </c>
      <c r="L1491">
        <v>9.2342432105322225E-2</v>
      </c>
      <c r="M1491">
        <v>1</v>
      </c>
      <c r="N1491" s="2">
        <v>2.0015641280358047</v>
      </c>
      <c r="O1491" s="2">
        <v>1.4737622038640092</v>
      </c>
      <c r="P1491" s="1">
        <v>-0.22513952420782057</v>
      </c>
      <c r="Q1491" s="1">
        <v>1.3498045353129324</v>
      </c>
      <c r="R1491" s="1">
        <v>-0.25661544227348515</v>
      </c>
      <c r="S1491" s="19">
        <v>113.76350419989494</v>
      </c>
      <c r="T1491" s="19">
        <v>225.6528099749614</v>
      </c>
      <c r="U1491" s="19">
        <v>397.5682925716352</v>
      </c>
      <c r="V1491" s="19">
        <v>641.71419332445873</v>
      </c>
      <c r="W1491" s="19">
        <v>966.52411983332127</v>
      </c>
      <c r="X1491" s="19">
        <v>1373.5983319105756</v>
      </c>
      <c r="Y1491" s="19">
        <v>1854.0677158570463</v>
      </c>
      <c r="Z1491" s="19">
        <v>2385.0135392475622</v>
      </c>
      <c r="AA1491" s="19">
        <v>2927.1115707891322</v>
      </c>
      <c r="AB1491" s="19">
        <v>3425.1517555512783</v>
      </c>
      <c r="AC1491" s="19">
        <v>3813.1752094352846</v>
      </c>
      <c r="AD1491" s="19">
        <v>4025.2306752997542</v>
      </c>
      <c r="AE1491" s="19">
        <v>4010.8771758684152</v>
      </c>
      <c r="AF1491" s="19">
        <v>3751.782616825401</v>
      </c>
      <c r="AG1491" s="19">
        <v>3273.2281161790115</v>
      </c>
      <c r="AH1491" s="19">
        <v>2686.0569816184102</v>
      </c>
      <c r="AI1491" s="19">
        <v>972.86474809975618</v>
      </c>
      <c r="AJ1491" s="19">
        <v>0</v>
      </c>
      <c r="AK1491" s="19">
        <v>0</v>
      </c>
      <c r="AL1491" s="19">
        <v>0</v>
      </c>
      <c r="AM1491" s="19">
        <v>0</v>
      </c>
      <c r="AN1491" s="19">
        <v>0</v>
      </c>
      <c r="AO1491" s="19">
        <v>0</v>
      </c>
      <c r="AP1491" s="19">
        <v>0</v>
      </c>
      <c r="AQ1491" s="19">
        <v>0</v>
      </c>
      <c r="AR1491" s="19">
        <v>36843.381356585895</v>
      </c>
    </row>
    <row r="1492" spans="1:44" x14ac:dyDescent="0.25">
      <c r="A1492" t="s">
        <v>435</v>
      </c>
      <c r="B1492" t="s">
        <v>480</v>
      </c>
      <c r="C1492" t="s">
        <v>44</v>
      </c>
      <c r="D1492" t="s">
        <v>212</v>
      </c>
      <c r="E1492" t="s">
        <v>134</v>
      </c>
      <c r="F1492" t="s">
        <v>481</v>
      </c>
      <c r="G1492" t="s">
        <v>33</v>
      </c>
      <c r="H1492" t="s">
        <v>450</v>
      </c>
      <c r="I1492" t="s">
        <v>135</v>
      </c>
      <c r="J1492" t="s">
        <v>39</v>
      </c>
      <c r="K1492" t="s">
        <v>31</v>
      </c>
      <c r="L1492">
        <v>0.10518942197789628</v>
      </c>
      <c r="M1492">
        <v>1</v>
      </c>
      <c r="N1492" s="2">
        <v>3.1302248495983953</v>
      </c>
      <c r="O1492" s="2">
        <v>5.3471683850504315</v>
      </c>
      <c r="P1492" s="1">
        <v>-1.4789321877336017</v>
      </c>
      <c r="Q1492" s="1">
        <v>0.92527473252791004</v>
      </c>
      <c r="R1492" s="1">
        <v>-1.862552393622352</v>
      </c>
      <c r="S1492" s="19">
        <v>11.235185998065688</v>
      </c>
      <c r="T1492" s="19">
        <v>22.28527776887173</v>
      </c>
      <c r="U1492" s="19">
        <v>39.26350322443605</v>
      </c>
      <c r="V1492" s="19">
        <v>63.375142760463909</v>
      </c>
      <c r="W1492" s="19">
        <v>95.453092222471483</v>
      </c>
      <c r="X1492" s="19">
        <v>135.6553918955525</v>
      </c>
      <c r="Y1492" s="19">
        <v>183.10613572574849</v>
      </c>
      <c r="Z1492" s="19">
        <v>235.5418893766464</v>
      </c>
      <c r="AA1492" s="19">
        <v>289.07902552931807</v>
      </c>
      <c r="AB1492" s="19">
        <v>338.26504656187774</v>
      </c>
      <c r="AC1492" s="19">
        <v>376.58590971266926</v>
      </c>
      <c r="AD1492" s="19">
        <v>397.52832545179336</v>
      </c>
      <c r="AE1492" s="19">
        <v>396.11078617178958</v>
      </c>
      <c r="AF1492" s="19">
        <v>370.52282997785784</v>
      </c>
      <c r="AG1492" s="19">
        <v>323.2611983782698</v>
      </c>
      <c r="AH1492" s="19">
        <v>265.27268127095562</v>
      </c>
      <c r="AI1492" s="19">
        <v>96.079287226035746</v>
      </c>
      <c r="AJ1492" s="19">
        <v>0</v>
      </c>
      <c r="AK1492" s="19">
        <v>0</v>
      </c>
      <c r="AL1492" s="19">
        <v>0</v>
      </c>
      <c r="AM1492" s="19">
        <v>0</v>
      </c>
      <c r="AN1492" s="19">
        <v>0</v>
      </c>
      <c r="AO1492" s="19">
        <v>0</v>
      </c>
      <c r="AP1492" s="19">
        <v>0</v>
      </c>
      <c r="AQ1492" s="19">
        <v>0</v>
      </c>
      <c r="AR1492" s="19">
        <v>3638.6207092528234</v>
      </c>
    </row>
    <row r="1493" spans="1:44" x14ac:dyDescent="0.25">
      <c r="A1493" t="s">
        <v>435</v>
      </c>
      <c r="B1493" t="s">
        <v>480</v>
      </c>
      <c r="C1493" t="s">
        <v>44</v>
      </c>
      <c r="D1493" t="s">
        <v>212</v>
      </c>
      <c r="E1493" t="s">
        <v>134</v>
      </c>
      <c r="F1493" t="s">
        <v>481</v>
      </c>
      <c r="G1493" t="s">
        <v>33</v>
      </c>
      <c r="H1493" t="s">
        <v>451</v>
      </c>
      <c r="I1493" t="s">
        <v>135</v>
      </c>
      <c r="J1493" t="s">
        <v>39</v>
      </c>
      <c r="K1493" t="s">
        <v>31</v>
      </c>
      <c r="L1493">
        <v>0.10518942197789628</v>
      </c>
      <c r="M1493">
        <v>1</v>
      </c>
      <c r="N1493" s="2">
        <v>3.1302248495983953</v>
      </c>
      <c r="O1493" s="2">
        <v>5.3471683850504315</v>
      </c>
      <c r="P1493" s="1">
        <v>-1.4789321877336017</v>
      </c>
      <c r="Q1493" s="1">
        <v>0.92527473252791004</v>
      </c>
      <c r="R1493" s="1">
        <v>-1.862552393622352</v>
      </c>
      <c r="S1493" s="19">
        <v>2.9389315553362203</v>
      </c>
      <c r="T1493" s="19">
        <v>5.8294456420788991</v>
      </c>
      <c r="U1493" s="19">
        <v>10.27065761254039</v>
      </c>
      <c r="V1493" s="19">
        <v>16.577848102802388</v>
      </c>
      <c r="W1493" s="19">
        <v>24.968888350877094</v>
      </c>
      <c r="X1493" s="19">
        <v>35.48511897906986</v>
      </c>
      <c r="Y1493" s="19">
        <v>47.897418018066425</v>
      </c>
      <c r="Z1493" s="19">
        <v>61.613709947634113</v>
      </c>
      <c r="AA1493" s="19">
        <v>75.618104609948332</v>
      </c>
      <c r="AB1493" s="19">
        <v>88.484322340469888</v>
      </c>
      <c r="AC1493" s="19">
        <v>98.508401511119331</v>
      </c>
      <c r="AD1493" s="19">
        <v>103.98657752629862</v>
      </c>
      <c r="AE1493" s="19">
        <v>103.61577361422732</v>
      </c>
      <c r="AF1493" s="19">
        <v>96.922404060055797</v>
      </c>
      <c r="AG1493" s="19">
        <v>84.559573530270313</v>
      </c>
      <c r="AH1493" s="19">
        <v>69.39077411714257</v>
      </c>
      <c r="AI1493" s="19">
        <v>25.132690201250092</v>
      </c>
      <c r="AJ1493" s="19">
        <v>0</v>
      </c>
      <c r="AK1493" s="19">
        <v>0</v>
      </c>
      <c r="AL1493" s="19">
        <v>0</v>
      </c>
      <c r="AM1493" s="19">
        <v>0</v>
      </c>
      <c r="AN1493" s="19">
        <v>0</v>
      </c>
      <c r="AO1493" s="19">
        <v>0</v>
      </c>
      <c r="AP1493" s="19">
        <v>0</v>
      </c>
      <c r="AQ1493" s="19">
        <v>0</v>
      </c>
      <c r="AR1493" s="19">
        <v>951.80063971918764</v>
      </c>
    </row>
    <row r="1494" spans="1:44" x14ac:dyDescent="0.25">
      <c r="A1494" t="s">
        <v>435</v>
      </c>
      <c r="B1494" t="s">
        <v>480</v>
      </c>
      <c r="C1494" t="s">
        <v>44</v>
      </c>
      <c r="D1494" t="s">
        <v>212</v>
      </c>
      <c r="E1494" t="s">
        <v>134</v>
      </c>
      <c r="F1494" t="s">
        <v>481</v>
      </c>
      <c r="G1494" t="s">
        <v>33</v>
      </c>
      <c r="H1494" t="s">
        <v>452</v>
      </c>
      <c r="I1494" t="s">
        <v>135</v>
      </c>
      <c r="J1494" t="s">
        <v>39</v>
      </c>
      <c r="K1494" t="s">
        <v>31</v>
      </c>
      <c r="L1494">
        <v>0.10518942197789628</v>
      </c>
      <c r="M1494">
        <v>1</v>
      </c>
      <c r="N1494" s="2">
        <v>3.1302248495983953</v>
      </c>
      <c r="O1494" s="2">
        <v>5.3471683850504315</v>
      </c>
      <c r="P1494" s="1">
        <v>-1.4789321877336017</v>
      </c>
      <c r="Q1494" s="1">
        <v>0.92527473252791004</v>
      </c>
      <c r="R1494" s="1">
        <v>-1.862552393622352</v>
      </c>
      <c r="S1494" s="19">
        <v>66.564790262081814</v>
      </c>
      <c r="T1494" s="19">
        <v>132.03295796550003</v>
      </c>
      <c r="U1494" s="19">
        <v>232.62337246033348</v>
      </c>
      <c r="V1494" s="19">
        <v>375.47692458371966</v>
      </c>
      <c r="W1494" s="19">
        <v>565.52824890926388</v>
      </c>
      <c r="X1494" s="19">
        <v>803.71368226592779</v>
      </c>
      <c r="Y1494" s="19">
        <v>1084.8437687086939</v>
      </c>
      <c r="Z1494" s="19">
        <v>1395.5084025302554</v>
      </c>
      <c r="AA1494" s="19">
        <v>1712.6983662610432</v>
      </c>
      <c r="AB1494" s="19">
        <v>2004.1094007042968</v>
      </c>
      <c r="AC1494" s="19">
        <v>2231.1479400514463</v>
      </c>
      <c r="AD1494" s="19">
        <v>2355.2248811449103</v>
      </c>
      <c r="AE1494" s="19">
        <v>2346.8264260701162</v>
      </c>
      <c r="AF1494" s="19">
        <v>2195.2261821954139</v>
      </c>
      <c r="AG1494" s="19">
        <v>1915.2165236626588</v>
      </c>
      <c r="AH1494" s="19">
        <v>1571.6535884765333</v>
      </c>
      <c r="AI1494" s="19">
        <v>569.23824882227541</v>
      </c>
      <c r="AJ1494" s="19">
        <v>0</v>
      </c>
      <c r="AK1494" s="19">
        <v>0</v>
      </c>
      <c r="AL1494" s="19">
        <v>0</v>
      </c>
      <c r="AM1494" s="19">
        <v>0</v>
      </c>
      <c r="AN1494" s="19">
        <v>0</v>
      </c>
      <c r="AO1494" s="19">
        <v>0</v>
      </c>
      <c r="AP1494" s="19">
        <v>0</v>
      </c>
      <c r="AQ1494" s="19">
        <v>0</v>
      </c>
      <c r="AR1494" s="19">
        <v>21557.633705074473</v>
      </c>
    </row>
    <row r="1495" spans="1:44" x14ac:dyDescent="0.25">
      <c r="A1495" t="s">
        <v>435</v>
      </c>
      <c r="B1495" t="s">
        <v>480</v>
      </c>
      <c r="C1495" t="s">
        <v>44</v>
      </c>
      <c r="D1495" t="s">
        <v>212</v>
      </c>
      <c r="E1495" t="s">
        <v>134</v>
      </c>
      <c r="F1495" t="s">
        <v>481</v>
      </c>
      <c r="G1495" t="s">
        <v>33</v>
      </c>
      <c r="H1495" t="s">
        <v>453</v>
      </c>
      <c r="I1495" t="s">
        <v>135</v>
      </c>
      <c r="J1495" t="s">
        <v>39</v>
      </c>
      <c r="K1495" t="s">
        <v>31</v>
      </c>
      <c r="L1495">
        <v>0.10518942197789628</v>
      </c>
      <c r="M1495">
        <v>1</v>
      </c>
      <c r="N1495" s="2">
        <v>3.1302248495983953</v>
      </c>
      <c r="O1495" s="2">
        <v>5.3471683850504315</v>
      </c>
      <c r="P1495" s="1">
        <v>-1.4789321877336017</v>
      </c>
      <c r="Q1495" s="1">
        <v>0.92527473252791004</v>
      </c>
      <c r="R1495" s="1">
        <v>-1.862552393622352</v>
      </c>
      <c r="S1495" s="19">
        <v>20.357501740557105</v>
      </c>
      <c r="T1495" s="19">
        <v>40.379623536869936</v>
      </c>
      <c r="U1495" s="19">
        <v>71.143177813828771</v>
      </c>
      <c r="V1495" s="19">
        <v>114.83206235093216</v>
      </c>
      <c r="W1495" s="19">
        <v>172.95543584192291</v>
      </c>
      <c r="X1495" s="19">
        <v>245.79965806575169</v>
      </c>
      <c r="Y1495" s="19">
        <v>331.7776383395319</v>
      </c>
      <c r="Z1495" s="19">
        <v>426.78816565962762</v>
      </c>
      <c r="AA1495" s="19">
        <v>523.79433383522326</v>
      </c>
      <c r="AB1495" s="19">
        <v>612.91653519030547</v>
      </c>
      <c r="AC1495" s="19">
        <v>682.35170416981327</v>
      </c>
      <c r="AD1495" s="19">
        <v>720.298140030696</v>
      </c>
      <c r="AE1495" s="19">
        <v>717.729641532767</v>
      </c>
      <c r="AF1495" s="19">
        <v>671.36575731714788</v>
      </c>
      <c r="AG1495" s="19">
        <v>585.73043737533033</v>
      </c>
      <c r="AH1495" s="19">
        <v>480.65862653501887</v>
      </c>
      <c r="AI1495" s="19">
        <v>174.09006466579862</v>
      </c>
      <c r="AJ1495" s="19">
        <v>0</v>
      </c>
      <c r="AK1495" s="19">
        <v>0</v>
      </c>
      <c r="AL1495" s="19">
        <v>0</v>
      </c>
      <c r="AM1495" s="19">
        <v>0</v>
      </c>
      <c r="AN1495" s="19">
        <v>0</v>
      </c>
      <c r="AO1495" s="19">
        <v>0</v>
      </c>
      <c r="AP1495" s="19">
        <v>0</v>
      </c>
      <c r="AQ1495" s="19">
        <v>0</v>
      </c>
      <c r="AR1495" s="19">
        <v>6592.9685040011227</v>
      </c>
    </row>
    <row r="1496" spans="1:44" x14ac:dyDescent="0.25">
      <c r="A1496" t="s">
        <v>435</v>
      </c>
      <c r="B1496" t="s">
        <v>480</v>
      </c>
      <c r="C1496" t="s">
        <v>44</v>
      </c>
      <c r="D1496" t="s">
        <v>212</v>
      </c>
      <c r="E1496" t="s">
        <v>134</v>
      </c>
      <c r="F1496" t="s">
        <v>481</v>
      </c>
      <c r="G1496" t="s">
        <v>33</v>
      </c>
      <c r="H1496" t="s">
        <v>454</v>
      </c>
      <c r="I1496" t="s">
        <v>135</v>
      </c>
      <c r="J1496" t="s">
        <v>39</v>
      </c>
      <c r="K1496" t="s">
        <v>31</v>
      </c>
      <c r="L1496">
        <v>0.10518942197789628</v>
      </c>
      <c r="M1496">
        <v>1</v>
      </c>
      <c r="N1496" s="2">
        <v>3.1302248495983953</v>
      </c>
      <c r="O1496" s="2">
        <v>5.3471683850504315</v>
      </c>
      <c r="P1496" s="1">
        <v>-1.4789321877336017</v>
      </c>
      <c r="Q1496" s="1">
        <v>0.92527473252791004</v>
      </c>
      <c r="R1496" s="1">
        <v>-1.862552393622352</v>
      </c>
      <c r="S1496" s="19">
        <v>1.1209676766230914</v>
      </c>
      <c r="T1496" s="19">
        <v>2.2234679557395181</v>
      </c>
      <c r="U1496" s="19">
        <v>3.9174356341903809</v>
      </c>
      <c r="V1496" s="19">
        <v>6.323125095399833</v>
      </c>
      <c r="W1496" s="19">
        <v>9.5236368168302015</v>
      </c>
      <c r="X1496" s="19">
        <v>13.534738944307009</v>
      </c>
      <c r="Y1496" s="19">
        <v>18.269039744892765</v>
      </c>
      <c r="Z1496" s="19">
        <v>23.500709692515127</v>
      </c>
      <c r="AA1496" s="19">
        <v>28.842267823946749</v>
      </c>
      <c r="AB1496" s="19">
        <v>33.749702354064489</v>
      </c>
      <c r="AC1496" s="19">
        <v>37.573088005154723</v>
      </c>
      <c r="AD1496" s="19">
        <v>39.662574651659945</v>
      </c>
      <c r="AE1496" s="19">
        <v>39.521142572698245</v>
      </c>
      <c r="AF1496" s="19">
        <v>36.96815664000578</v>
      </c>
      <c r="AG1496" s="19">
        <v>32.252724124983075</v>
      </c>
      <c r="AH1496" s="19">
        <v>26.467038573912035</v>
      </c>
      <c r="AI1496" s="19">
        <v>9.5861141410488688</v>
      </c>
      <c r="AJ1496" s="19">
        <v>0</v>
      </c>
      <c r="AK1496" s="19">
        <v>0</v>
      </c>
      <c r="AL1496" s="19">
        <v>0</v>
      </c>
      <c r="AM1496" s="19">
        <v>0</v>
      </c>
      <c r="AN1496" s="19">
        <v>0</v>
      </c>
      <c r="AO1496" s="19">
        <v>0</v>
      </c>
      <c r="AP1496" s="19">
        <v>0</v>
      </c>
      <c r="AQ1496" s="19">
        <v>0</v>
      </c>
      <c r="AR1496" s="19">
        <v>363.03593044797185</v>
      </c>
    </row>
    <row r="1497" spans="1:44" x14ac:dyDescent="0.25">
      <c r="A1497" t="s">
        <v>435</v>
      </c>
      <c r="B1497" t="s">
        <v>480</v>
      </c>
      <c r="C1497" t="s">
        <v>44</v>
      </c>
      <c r="D1497" t="s">
        <v>212</v>
      </c>
      <c r="E1497" t="s">
        <v>134</v>
      </c>
      <c r="F1497" t="s">
        <v>481</v>
      </c>
      <c r="G1497" t="s">
        <v>33</v>
      </c>
      <c r="H1497" t="s">
        <v>455</v>
      </c>
      <c r="I1497" t="s">
        <v>135</v>
      </c>
      <c r="J1497" t="s">
        <v>39</v>
      </c>
      <c r="K1497" t="s">
        <v>31</v>
      </c>
      <c r="L1497">
        <v>0.10518942197789628</v>
      </c>
      <c r="M1497">
        <v>1</v>
      </c>
      <c r="N1497" s="2">
        <v>3.1302248495983953</v>
      </c>
      <c r="O1497" s="2">
        <v>5.3471683850504315</v>
      </c>
      <c r="P1497" s="1">
        <v>-1.4789321877336017</v>
      </c>
      <c r="Q1497" s="1">
        <v>0.92527473252791004</v>
      </c>
      <c r="R1497" s="1">
        <v>-1.862552393622352</v>
      </c>
      <c r="S1497" s="19">
        <v>0.26411660001258241</v>
      </c>
      <c r="T1497" s="19">
        <v>0.52388200744195434</v>
      </c>
      <c r="U1497" s="19">
        <v>0.92300590110448533</v>
      </c>
      <c r="V1497" s="19">
        <v>1.489821996190142</v>
      </c>
      <c r="W1497" s="19">
        <v>2.2439099969352596</v>
      </c>
      <c r="X1497" s="19">
        <v>3.1889851122176576</v>
      </c>
      <c r="Y1497" s="19">
        <v>4.3044565544044673</v>
      </c>
      <c r="Z1497" s="19">
        <v>5.5371155398237439</v>
      </c>
      <c r="AA1497" s="19">
        <v>6.7956658101520482</v>
      </c>
      <c r="AB1497" s="19">
        <v>7.9519301252691807</v>
      </c>
      <c r="AC1497" s="19">
        <v>8.8527764563114122</v>
      </c>
      <c r="AD1497" s="19">
        <v>9.3450904813769284</v>
      </c>
      <c r="AE1497" s="19">
        <v>9.3117669872146287</v>
      </c>
      <c r="AF1497" s="19">
        <v>8.7102456601644427</v>
      </c>
      <c r="AG1497" s="19">
        <v>7.599219865729042</v>
      </c>
      <c r="AH1497" s="19">
        <v>6.2360265923117488</v>
      </c>
      <c r="AI1497" s="19">
        <v>2.2586305805833322</v>
      </c>
      <c r="AJ1497" s="19">
        <v>0</v>
      </c>
      <c r="AK1497" s="19">
        <v>0</v>
      </c>
      <c r="AL1497" s="19">
        <v>0</v>
      </c>
      <c r="AM1497" s="19">
        <v>0</v>
      </c>
      <c r="AN1497" s="19">
        <v>0</v>
      </c>
      <c r="AO1497" s="19">
        <v>0</v>
      </c>
      <c r="AP1497" s="19">
        <v>0</v>
      </c>
      <c r="AQ1497" s="19">
        <v>0</v>
      </c>
      <c r="AR1497" s="19">
        <v>85.536646267243043</v>
      </c>
    </row>
    <row r="1498" spans="1:44" x14ac:dyDescent="0.25">
      <c r="A1498" t="s">
        <v>435</v>
      </c>
      <c r="B1498" t="s">
        <v>480</v>
      </c>
      <c r="C1498" t="s">
        <v>44</v>
      </c>
      <c r="D1498" t="s">
        <v>212</v>
      </c>
      <c r="E1498" t="s">
        <v>134</v>
      </c>
      <c r="F1498" t="s">
        <v>481</v>
      </c>
      <c r="G1498" t="s">
        <v>33</v>
      </c>
      <c r="H1498" t="s">
        <v>456</v>
      </c>
      <c r="I1498" t="s">
        <v>135</v>
      </c>
      <c r="J1498" t="s">
        <v>39</v>
      </c>
      <c r="K1498" t="s">
        <v>31</v>
      </c>
      <c r="L1498">
        <v>0.10518942197789628</v>
      </c>
      <c r="M1498">
        <v>1</v>
      </c>
      <c r="N1498" s="2">
        <v>3.1302248495983953</v>
      </c>
      <c r="O1498" s="2">
        <v>5.3471683850504315</v>
      </c>
      <c r="P1498" s="1">
        <v>-1.4789321877336017</v>
      </c>
      <c r="Q1498" s="1">
        <v>0.92527473252791004</v>
      </c>
      <c r="R1498" s="1">
        <v>-1.862552393622352</v>
      </c>
      <c r="S1498" s="19">
        <v>47.607642597531886</v>
      </c>
      <c r="T1498" s="19">
        <v>94.430972428033414</v>
      </c>
      <c r="U1498" s="19">
        <v>166.373999412009</v>
      </c>
      <c r="V1498" s="19">
        <v>268.54394280852796</v>
      </c>
      <c r="W1498" s="19">
        <v>404.47009067220114</v>
      </c>
      <c r="X1498" s="19">
        <v>574.82211820111161</v>
      </c>
      <c r="Y1498" s="19">
        <v>775.88848716411167</v>
      </c>
      <c r="Z1498" s="19">
        <v>998.07818830247845</v>
      </c>
      <c r="AA1498" s="19">
        <v>1224.9348548579417</v>
      </c>
      <c r="AB1498" s="19">
        <v>1433.3542357668057</v>
      </c>
      <c r="AC1498" s="19">
        <v>1595.7339201997916</v>
      </c>
      <c r="AD1498" s="19">
        <v>1684.4746890494391</v>
      </c>
      <c r="AE1498" s="19">
        <v>1678.4680503144864</v>
      </c>
      <c r="AF1498" s="19">
        <v>1570.0424066721173</v>
      </c>
      <c r="AG1498" s="19">
        <v>1369.777376243891</v>
      </c>
      <c r="AH1498" s="19">
        <v>1124.0585605802096</v>
      </c>
      <c r="AI1498" s="19">
        <v>407.123510734067</v>
      </c>
      <c r="AJ1498" s="19">
        <v>0</v>
      </c>
      <c r="AK1498" s="19">
        <v>0</v>
      </c>
      <c r="AL1498" s="19">
        <v>0</v>
      </c>
      <c r="AM1498" s="19">
        <v>0</v>
      </c>
      <c r="AN1498" s="19">
        <v>0</v>
      </c>
      <c r="AO1498" s="19">
        <v>0</v>
      </c>
      <c r="AP1498" s="19">
        <v>0</v>
      </c>
      <c r="AQ1498" s="19">
        <v>0</v>
      </c>
      <c r="AR1498" s="19">
        <v>15418.183046004751</v>
      </c>
    </row>
    <row r="1499" spans="1:44" x14ac:dyDescent="0.25">
      <c r="A1499" t="s">
        <v>435</v>
      </c>
      <c r="B1499" t="s">
        <v>480</v>
      </c>
      <c r="C1499" t="s">
        <v>44</v>
      </c>
      <c r="D1499" t="s">
        <v>212</v>
      </c>
      <c r="E1499" t="s">
        <v>134</v>
      </c>
      <c r="F1499" t="s">
        <v>481</v>
      </c>
      <c r="G1499" t="s">
        <v>33</v>
      </c>
      <c r="H1499" t="s">
        <v>457</v>
      </c>
      <c r="I1499" t="s">
        <v>135</v>
      </c>
      <c r="J1499" t="s">
        <v>39</v>
      </c>
      <c r="K1499" t="s">
        <v>31</v>
      </c>
      <c r="L1499">
        <v>0.10518942197789628</v>
      </c>
      <c r="M1499">
        <v>1</v>
      </c>
      <c r="N1499" s="2">
        <v>3.1302248495983953</v>
      </c>
      <c r="O1499" s="2">
        <v>5.3471683850504315</v>
      </c>
      <c r="P1499" s="1">
        <v>-1.4789321877336017</v>
      </c>
      <c r="Q1499" s="1">
        <v>0.92527473252791004</v>
      </c>
      <c r="R1499" s="1">
        <v>-1.862552393622352</v>
      </c>
      <c r="S1499" s="19">
        <v>17.600494342624682</v>
      </c>
      <c r="T1499" s="19">
        <v>34.911029097549019</v>
      </c>
      <c r="U1499" s="19">
        <v>61.508288914156743</v>
      </c>
      <c r="V1499" s="19">
        <v>99.280407267900699</v>
      </c>
      <c r="W1499" s="19">
        <v>149.53215816248027</v>
      </c>
      <c r="X1499" s="19">
        <v>212.51111979946475</v>
      </c>
      <c r="Y1499" s="19">
        <v>286.84514048060726</v>
      </c>
      <c r="Z1499" s="19">
        <v>368.9884343827091</v>
      </c>
      <c r="AA1499" s="19">
        <v>452.85710038767365</v>
      </c>
      <c r="AB1499" s="19">
        <v>529.90952168882791</v>
      </c>
      <c r="AC1499" s="19">
        <v>589.94111664472098</v>
      </c>
      <c r="AD1499" s="19">
        <v>622.74848359003079</v>
      </c>
      <c r="AE1499" s="19">
        <v>620.52783570022723</v>
      </c>
      <c r="AF1499" s="19">
        <v>580.44299168356736</v>
      </c>
      <c r="AG1499" s="19">
        <v>506.40522499817598</v>
      </c>
      <c r="AH1499" s="19">
        <v>415.56324272390015</v>
      </c>
      <c r="AI1499" s="19">
        <v>150.51312470985326</v>
      </c>
      <c r="AJ1499" s="19">
        <v>0</v>
      </c>
      <c r="AK1499" s="19">
        <v>0</v>
      </c>
      <c r="AL1499" s="19">
        <v>0</v>
      </c>
      <c r="AM1499" s="19">
        <v>0</v>
      </c>
      <c r="AN1499" s="19">
        <v>0</v>
      </c>
      <c r="AO1499" s="19">
        <v>0</v>
      </c>
      <c r="AP1499" s="19">
        <v>0</v>
      </c>
      <c r="AQ1499" s="19">
        <v>0</v>
      </c>
      <c r="AR1499" s="19">
        <v>5700.0857145744694</v>
      </c>
    </row>
    <row r="1500" spans="1:44" x14ac:dyDescent="0.25">
      <c r="A1500" t="s">
        <v>435</v>
      </c>
      <c r="B1500" t="s">
        <v>480</v>
      </c>
      <c r="C1500" t="s">
        <v>44</v>
      </c>
      <c r="D1500" t="s">
        <v>212</v>
      </c>
      <c r="E1500" t="s">
        <v>134</v>
      </c>
      <c r="F1500" t="s">
        <v>481</v>
      </c>
      <c r="G1500" t="s">
        <v>33</v>
      </c>
      <c r="H1500" t="s">
        <v>450</v>
      </c>
      <c r="I1500" t="s">
        <v>135</v>
      </c>
      <c r="J1500" t="s">
        <v>39</v>
      </c>
      <c r="K1500" t="s">
        <v>33</v>
      </c>
      <c r="L1500">
        <v>0.10518942197789628</v>
      </c>
      <c r="M1500">
        <v>1</v>
      </c>
      <c r="N1500" s="2">
        <v>3.1302248495983953</v>
      </c>
      <c r="O1500" s="2">
        <v>5.3471683850504315</v>
      </c>
      <c r="P1500" s="1">
        <v>-1.4789321877336017</v>
      </c>
      <c r="Q1500" s="1">
        <v>0.92527473252791004</v>
      </c>
      <c r="R1500" s="1">
        <v>-1.862552393622352</v>
      </c>
      <c r="S1500" s="19">
        <v>6.9217759307830677</v>
      </c>
      <c r="T1500" s="19">
        <v>13.719948512929276</v>
      </c>
      <c r="U1500" s="19">
        <v>24.155756127319176</v>
      </c>
      <c r="V1500" s="19">
        <v>38.96257945855973</v>
      </c>
      <c r="W1500" s="19">
        <v>58.642963960427814</v>
      </c>
      <c r="X1500" s="19">
        <v>83.283722993726272</v>
      </c>
      <c r="Y1500" s="19">
        <v>112.33707927861803</v>
      </c>
      <c r="Z1500" s="19">
        <v>144.40610209247026</v>
      </c>
      <c r="AA1500" s="19">
        <v>177.10512679558073</v>
      </c>
      <c r="AB1500" s="19">
        <v>207.09462876939523</v>
      </c>
      <c r="AC1500" s="19">
        <v>230.39494064624768</v>
      </c>
      <c r="AD1500" s="19">
        <v>243.03795986842545</v>
      </c>
      <c r="AE1500" s="19">
        <v>242.00250437031659</v>
      </c>
      <c r="AF1500" s="19">
        <v>226.21183590738863</v>
      </c>
      <c r="AG1500" s="19">
        <v>197.22006189156707</v>
      </c>
      <c r="AH1500" s="19">
        <v>161.72873864662773</v>
      </c>
      <c r="AI1500" s="19">
        <v>37.252943522426641</v>
      </c>
      <c r="AJ1500" s="19">
        <v>0</v>
      </c>
      <c r="AK1500" s="19">
        <v>0</v>
      </c>
      <c r="AL1500" s="19">
        <v>0</v>
      </c>
      <c r="AM1500" s="19">
        <v>0</v>
      </c>
      <c r="AN1500" s="19">
        <v>0</v>
      </c>
      <c r="AO1500" s="19">
        <v>0</v>
      </c>
      <c r="AP1500" s="19">
        <v>0</v>
      </c>
      <c r="AQ1500" s="19">
        <v>0</v>
      </c>
      <c r="AR1500" s="19">
        <v>2204.4786687728092</v>
      </c>
    </row>
    <row r="1501" spans="1:44" x14ac:dyDescent="0.25">
      <c r="A1501" t="s">
        <v>435</v>
      </c>
      <c r="B1501" t="s">
        <v>480</v>
      </c>
      <c r="C1501" t="s">
        <v>44</v>
      </c>
      <c r="D1501" t="s">
        <v>212</v>
      </c>
      <c r="E1501" t="s">
        <v>134</v>
      </c>
      <c r="F1501" t="s">
        <v>481</v>
      </c>
      <c r="G1501" t="s">
        <v>33</v>
      </c>
      <c r="H1501" t="s">
        <v>451</v>
      </c>
      <c r="I1501" t="s">
        <v>135</v>
      </c>
      <c r="J1501" t="s">
        <v>39</v>
      </c>
      <c r="K1501" t="s">
        <v>33</v>
      </c>
      <c r="L1501">
        <v>0.10518942197789628</v>
      </c>
      <c r="M1501">
        <v>1</v>
      </c>
      <c r="N1501" s="2">
        <v>3.1302248495983953</v>
      </c>
      <c r="O1501" s="2">
        <v>5.3471683850504315</v>
      </c>
      <c r="P1501" s="1">
        <v>-1.4789321877336017</v>
      </c>
      <c r="Q1501" s="1">
        <v>0.92527473252791004</v>
      </c>
      <c r="R1501" s="1">
        <v>-1.862552393622352</v>
      </c>
      <c r="S1501" s="19">
        <v>13.239335996909476</v>
      </c>
      <c r="T1501" s="19">
        <v>26.260560369658869</v>
      </c>
      <c r="U1501" s="19">
        <v>46.267388158375219</v>
      </c>
      <c r="V1501" s="19">
        <v>74.680099555302561</v>
      </c>
      <c r="W1501" s="19">
        <v>112.48016366572467</v>
      </c>
      <c r="X1501" s="19">
        <v>159.85381224724338</v>
      </c>
      <c r="Y1501" s="19">
        <v>215.76889375807917</v>
      </c>
      <c r="Z1501" s="19">
        <v>277.55821891521765</v>
      </c>
      <c r="AA1501" s="19">
        <v>340.6453929023275</v>
      </c>
      <c r="AB1501" s="19">
        <v>398.60529306893136</v>
      </c>
      <c r="AC1501" s="19">
        <v>443.76189154734226</v>
      </c>
      <c r="AD1501" s="19">
        <v>468.44004806428518</v>
      </c>
      <c r="AE1501" s="19">
        <v>466.76964591695798</v>
      </c>
      <c r="AF1501" s="19">
        <v>436.61727019447454</v>
      </c>
      <c r="AG1501" s="19">
        <v>380.92503504885002</v>
      </c>
      <c r="AH1501" s="19">
        <v>312.59243583078268</v>
      </c>
      <c r="AI1501" s="19">
        <v>113.21806031053362</v>
      </c>
      <c r="AJ1501" s="19">
        <v>0</v>
      </c>
      <c r="AK1501" s="19">
        <v>0</v>
      </c>
      <c r="AL1501" s="19">
        <v>0</v>
      </c>
      <c r="AM1501" s="19">
        <v>0</v>
      </c>
      <c r="AN1501" s="19">
        <v>0</v>
      </c>
      <c r="AO1501" s="19">
        <v>0</v>
      </c>
      <c r="AP1501" s="19">
        <v>0</v>
      </c>
      <c r="AQ1501" s="19">
        <v>0</v>
      </c>
      <c r="AR1501" s="19">
        <v>4287.6835455509963</v>
      </c>
    </row>
    <row r="1502" spans="1:44" x14ac:dyDescent="0.25">
      <c r="A1502" t="s">
        <v>435</v>
      </c>
      <c r="B1502" t="s">
        <v>480</v>
      </c>
      <c r="C1502" t="s">
        <v>44</v>
      </c>
      <c r="D1502" t="s">
        <v>212</v>
      </c>
      <c r="E1502" t="s">
        <v>134</v>
      </c>
      <c r="F1502" t="s">
        <v>481</v>
      </c>
      <c r="G1502" t="s">
        <v>33</v>
      </c>
      <c r="H1502" t="s">
        <v>452</v>
      </c>
      <c r="I1502" t="s">
        <v>135</v>
      </c>
      <c r="J1502" t="s">
        <v>39</v>
      </c>
      <c r="K1502" t="s">
        <v>33</v>
      </c>
      <c r="L1502">
        <v>0.10518942197789628</v>
      </c>
      <c r="M1502">
        <v>1</v>
      </c>
      <c r="N1502" s="2">
        <v>3.1302248495983953</v>
      </c>
      <c r="O1502" s="2">
        <v>5.3471683850504315</v>
      </c>
      <c r="P1502" s="1">
        <v>-1.4789321877336017</v>
      </c>
      <c r="Q1502" s="1">
        <v>0.92527473252791004</v>
      </c>
      <c r="R1502" s="1">
        <v>-1.862552393622352</v>
      </c>
      <c r="S1502" s="19">
        <v>131.62966449707591</v>
      </c>
      <c r="T1502" s="19">
        <v>261.09079426417702</v>
      </c>
      <c r="U1502" s="19">
        <v>460.00500190225335</v>
      </c>
      <c r="V1502" s="19">
        <v>742.49316214705937</v>
      </c>
      <c r="W1502" s="19">
        <v>1118.3133511644169</v>
      </c>
      <c r="X1502" s="19">
        <v>1589.3171439711964</v>
      </c>
      <c r="Y1502" s="19">
        <v>2145.2425635931522</v>
      </c>
      <c r="Z1502" s="19">
        <v>2759.5715708661351</v>
      </c>
      <c r="AA1502" s="19">
        <v>3386.8042015607875</v>
      </c>
      <c r="AB1502" s="19">
        <v>3963.0598547895447</v>
      </c>
      <c r="AC1502" s="19">
        <v>4412.0210344838997</v>
      </c>
      <c r="AD1502" s="19">
        <v>4657.3790693196188</v>
      </c>
      <c r="AE1502" s="19">
        <v>4640.7714030228208</v>
      </c>
      <c r="AF1502" s="19">
        <v>4340.986950005934</v>
      </c>
      <c r="AG1502" s="19">
        <v>3787.2771394065167</v>
      </c>
      <c r="AH1502" s="19">
        <v>3107.8928325661263</v>
      </c>
      <c r="AI1502" s="19">
        <v>1125.6497529154144</v>
      </c>
      <c r="AJ1502" s="19">
        <v>0</v>
      </c>
      <c r="AK1502" s="19">
        <v>0</v>
      </c>
      <c r="AL1502" s="19">
        <v>0</v>
      </c>
      <c r="AM1502" s="19">
        <v>0</v>
      </c>
      <c r="AN1502" s="19">
        <v>0</v>
      </c>
      <c r="AO1502" s="19">
        <v>0</v>
      </c>
      <c r="AP1502" s="19">
        <v>0</v>
      </c>
      <c r="AQ1502" s="19">
        <v>0</v>
      </c>
      <c r="AR1502" s="19">
        <v>42629.50549047612</v>
      </c>
    </row>
    <row r="1503" spans="1:44" x14ac:dyDescent="0.25">
      <c r="A1503" t="s">
        <v>435</v>
      </c>
      <c r="B1503" t="s">
        <v>480</v>
      </c>
      <c r="C1503" t="s">
        <v>44</v>
      </c>
      <c r="D1503" t="s">
        <v>212</v>
      </c>
      <c r="E1503" t="s">
        <v>134</v>
      </c>
      <c r="F1503" t="s">
        <v>481</v>
      </c>
      <c r="G1503" t="s">
        <v>33</v>
      </c>
      <c r="H1503" t="s">
        <v>453</v>
      </c>
      <c r="I1503" t="s">
        <v>135</v>
      </c>
      <c r="J1503" t="s">
        <v>39</v>
      </c>
      <c r="K1503" t="s">
        <v>33</v>
      </c>
      <c r="L1503">
        <v>0.10518942197789628</v>
      </c>
      <c r="M1503">
        <v>1</v>
      </c>
      <c r="N1503" s="2">
        <v>3.1302248495983953</v>
      </c>
      <c r="O1503" s="2">
        <v>5.3471683850504315</v>
      </c>
      <c r="P1503" s="1">
        <v>-1.4789321877336017</v>
      </c>
      <c r="Q1503" s="1">
        <v>0.92527473252791004</v>
      </c>
      <c r="R1503" s="1">
        <v>-1.862552393622352</v>
      </c>
      <c r="S1503" s="19">
        <v>18.522963562350629</v>
      </c>
      <c r="T1503" s="19">
        <v>36.740770305070313</v>
      </c>
      <c r="U1503" s="19">
        <v>64.732033780453435</v>
      </c>
      <c r="V1503" s="19">
        <v>104.48384746927616</v>
      </c>
      <c r="W1503" s="19">
        <v>157.36937060542971</v>
      </c>
      <c r="X1503" s="19">
        <v>223.64915734820252</v>
      </c>
      <c r="Y1503" s="19">
        <v>301.87913939963221</v>
      </c>
      <c r="Z1503" s="19">
        <v>388.3276907994217</v>
      </c>
      <c r="AA1503" s="19">
        <v>476.59204373129768</v>
      </c>
      <c r="AB1503" s="19">
        <v>557.68290199745991</v>
      </c>
      <c r="AC1503" s="19">
        <v>620.86084599786557</v>
      </c>
      <c r="AD1503" s="19">
        <v>655.38769795298037</v>
      </c>
      <c r="AE1503" s="19">
        <v>653.05066246142462</v>
      </c>
      <c r="AF1503" s="19">
        <v>610.864909568965</v>
      </c>
      <c r="AG1503" s="19">
        <v>532.94670864491013</v>
      </c>
      <c r="AH1503" s="19">
        <v>437.34355711733855</v>
      </c>
      <c r="AI1503" s="19">
        <v>158.40175113174681</v>
      </c>
      <c r="AJ1503" s="19">
        <v>0</v>
      </c>
      <c r="AK1503" s="19">
        <v>0</v>
      </c>
      <c r="AL1503" s="19">
        <v>0</v>
      </c>
      <c r="AM1503" s="19">
        <v>0</v>
      </c>
      <c r="AN1503" s="19">
        <v>0</v>
      </c>
      <c r="AO1503" s="19">
        <v>0</v>
      </c>
      <c r="AP1503" s="19">
        <v>0</v>
      </c>
      <c r="AQ1503" s="19">
        <v>0</v>
      </c>
      <c r="AR1503" s="19">
        <v>5998.8360518738264</v>
      </c>
    </row>
    <row r="1504" spans="1:44" x14ac:dyDescent="0.25">
      <c r="A1504" t="s">
        <v>435</v>
      </c>
      <c r="B1504" t="s">
        <v>480</v>
      </c>
      <c r="C1504" t="s">
        <v>44</v>
      </c>
      <c r="D1504" t="s">
        <v>212</v>
      </c>
      <c r="E1504" t="s">
        <v>134</v>
      </c>
      <c r="F1504" t="s">
        <v>481</v>
      </c>
      <c r="G1504" t="s">
        <v>33</v>
      </c>
      <c r="H1504" t="s">
        <v>454</v>
      </c>
      <c r="I1504" t="s">
        <v>135</v>
      </c>
      <c r="J1504" t="s">
        <v>39</v>
      </c>
      <c r="K1504" t="s">
        <v>33</v>
      </c>
      <c r="L1504">
        <v>0.10518942197789628</v>
      </c>
      <c r="M1504">
        <v>1</v>
      </c>
      <c r="N1504" s="2">
        <v>3.1302248495983953</v>
      </c>
      <c r="O1504" s="2">
        <v>5.3471683850504315</v>
      </c>
      <c r="P1504" s="1">
        <v>-1.4789321877336017</v>
      </c>
      <c r="Q1504" s="1">
        <v>0.92527473252791004</v>
      </c>
      <c r="R1504" s="1">
        <v>-1.862552393622352</v>
      </c>
      <c r="S1504" s="19">
        <v>8.9957702957397867</v>
      </c>
      <c r="T1504" s="19">
        <v>17.843339649209288</v>
      </c>
      <c r="U1504" s="19">
        <v>31.437437357412236</v>
      </c>
      <c r="V1504" s="19">
        <v>50.743105350548063</v>
      </c>
      <c r="W1504" s="19">
        <v>76.427225307996991</v>
      </c>
      <c r="X1504" s="19">
        <v>108.6163366659928</v>
      </c>
      <c r="Y1504" s="19">
        <v>146.60912040200969</v>
      </c>
      <c r="Z1504" s="19">
        <v>188.59329362430319</v>
      </c>
      <c r="AA1504" s="19">
        <v>231.45931998150789</v>
      </c>
      <c r="AB1504" s="19">
        <v>270.84150262152025</v>
      </c>
      <c r="AC1504" s="19">
        <v>301.52418847098903</v>
      </c>
      <c r="AD1504" s="19">
        <v>318.29232755293037</v>
      </c>
      <c r="AE1504" s="19">
        <v>317.15733452742126</v>
      </c>
      <c r="AF1504" s="19">
        <v>296.66961173425244</v>
      </c>
      <c r="AG1504" s="19">
        <v>258.82824606883588</v>
      </c>
      <c r="AH1504" s="19">
        <v>212.39809531051421</v>
      </c>
      <c r="AI1504" s="19">
        <v>76.928606096296605</v>
      </c>
      <c r="AJ1504" s="19">
        <v>0</v>
      </c>
      <c r="AK1504" s="19">
        <v>0</v>
      </c>
      <c r="AL1504" s="19">
        <v>0</v>
      </c>
      <c r="AM1504" s="19">
        <v>0</v>
      </c>
      <c r="AN1504" s="19">
        <v>0</v>
      </c>
      <c r="AO1504" s="19">
        <v>0</v>
      </c>
      <c r="AP1504" s="19">
        <v>0</v>
      </c>
      <c r="AQ1504" s="19">
        <v>0</v>
      </c>
      <c r="AR1504" s="19">
        <v>2913.3648610174805</v>
      </c>
    </row>
    <row r="1505" spans="1:44" x14ac:dyDescent="0.25">
      <c r="A1505" t="s">
        <v>435</v>
      </c>
      <c r="B1505" t="s">
        <v>480</v>
      </c>
      <c r="C1505" t="s">
        <v>44</v>
      </c>
      <c r="D1505" t="s">
        <v>212</v>
      </c>
      <c r="E1505" t="s">
        <v>134</v>
      </c>
      <c r="F1505" t="s">
        <v>481</v>
      </c>
      <c r="G1505" t="s">
        <v>33</v>
      </c>
      <c r="H1505" t="s">
        <v>455</v>
      </c>
      <c r="I1505" t="s">
        <v>135</v>
      </c>
      <c r="J1505" t="s">
        <v>39</v>
      </c>
      <c r="K1505" t="s">
        <v>33</v>
      </c>
      <c r="L1505">
        <v>0.10518942197789628</v>
      </c>
      <c r="M1505">
        <v>1</v>
      </c>
      <c r="N1505" s="2">
        <v>3.1302248495983953</v>
      </c>
      <c r="O1505" s="2">
        <v>5.3471683850504315</v>
      </c>
      <c r="P1505" s="1">
        <v>-1.4789321877336017</v>
      </c>
      <c r="Q1505" s="1">
        <v>0.92527473252791004</v>
      </c>
      <c r="R1505" s="1">
        <v>-1.862552393622352</v>
      </c>
      <c r="S1505" s="19">
        <v>6.7153700587637619</v>
      </c>
      <c r="T1505" s="19">
        <v>13.320107660530065</v>
      </c>
      <c r="U1505" s="19">
        <v>23.468143206614208</v>
      </c>
      <c r="V1505" s="19">
        <v>37.879883451575246</v>
      </c>
      <c r="W1505" s="19">
        <v>57.053157610168618</v>
      </c>
      <c r="X1505" s="19">
        <v>81.082427758836985</v>
      </c>
      <c r="Y1505" s="19">
        <v>109.44415710076576</v>
      </c>
      <c r="Z1505" s="19">
        <v>140.78547091048603</v>
      </c>
      <c r="AA1505" s="19">
        <v>172.78509078447016</v>
      </c>
      <c r="AB1505" s="19">
        <v>202.18401066070919</v>
      </c>
      <c r="AC1505" s="19">
        <v>225.08872955660584</v>
      </c>
      <c r="AD1505" s="19">
        <v>237.60619670284709</v>
      </c>
      <c r="AE1505" s="19">
        <v>236.75892093547685</v>
      </c>
      <c r="AF1505" s="19">
        <v>221.46477316442329</v>
      </c>
      <c r="AG1505" s="19">
        <v>193.2160778756369</v>
      </c>
      <c r="AH1505" s="19">
        <v>158.55582822764609</v>
      </c>
      <c r="AI1505" s="19">
        <v>57.427439903190823</v>
      </c>
      <c r="AJ1505" s="19">
        <v>0</v>
      </c>
      <c r="AK1505" s="19">
        <v>0</v>
      </c>
      <c r="AL1505" s="19">
        <v>0</v>
      </c>
      <c r="AM1505" s="19">
        <v>0</v>
      </c>
      <c r="AN1505" s="19">
        <v>0</v>
      </c>
      <c r="AO1505" s="19">
        <v>0</v>
      </c>
      <c r="AP1505" s="19">
        <v>0</v>
      </c>
      <c r="AQ1505" s="19">
        <v>0</v>
      </c>
      <c r="AR1505" s="19">
        <v>2174.8357855687473</v>
      </c>
    </row>
    <row r="1506" spans="1:44" x14ac:dyDescent="0.25">
      <c r="A1506" t="s">
        <v>435</v>
      </c>
      <c r="B1506" t="s">
        <v>480</v>
      </c>
      <c r="C1506" t="s">
        <v>44</v>
      </c>
      <c r="D1506" t="s">
        <v>212</v>
      </c>
      <c r="E1506" t="s">
        <v>134</v>
      </c>
      <c r="F1506" t="s">
        <v>481</v>
      </c>
      <c r="G1506" t="s">
        <v>33</v>
      </c>
      <c r="H1506" t="s">
        <v>456</v>
      </c>
      <c r="I1506" t="s">
        <v>135</v>
      </c>
      <c r="J1506" t="s">
        <v>39</v>
      </c>
      <c r="K1506" t="s">
        <v>33</v>
      </c>
      <c r="L1506">
        <v>0.10518942197789628</v>
      </c>
      <c r="M1506">
        <v>1</v>
      </c>
      <c r="N1506" s="2">
        <v>3.1302248495983953</v>
      </c>
      <c r="O1506" s="2">
        <v>5.3471683850504315</v>
      </c>
      <c r="P1506" s="1">
        <v>-1.4789321877336017</v>
      </c>
      <c r="Q1506" s="1">
        <v>0.92527473252791004</v>
      </c>
      <c r="R1506" s="1">
        <v>-1.862552393622352</v>
      </c>
      <c r="S1506" s="19">
        <v>43.956123383169839</v>
      </c>
      <c r="T1506" s="19">
        <v>87.188091003156202</v>
      </c>
      <c r="U1506" s="19">
        <v>153.61306813130938</v>
      </c>
      <c r="V1506" s="19">
        <v>247.94654891201273</v>
      </c>
      <c r="W1506" s="19">
        <v>373.4471240403505</v>
      </c>
      <c r="X1506" s="19">
        <v>530.733104443466</v>
      </c>
      <c r="Y1506" s="19">
        <v>716.37762788814894</v>
      </c>
      <c r="Z1506" s="19">
        <v>921.52531815025827</v>
      </c>
      <c r="AA1506" s="19">
        <v>1130.9820163049264</v>
      </c>
      <c r="AB1506" s="19">
        <v>1323.4155736671814</v>
      </c>
      <c r="AC1506" s="19">
        <v>1473.3406918713451</v>
      </c>
      <c r="AD1506" s="19">
        <v>1555.2750194676182</v>
      </c>
      <c r="AE1506" s="19">
        <v>1549.7290915672647</v>
      </c>
      <c r="AF1506" s="19">
        <v>1449.6197244613479</v>
      </c>
      <c r="AG1506" s="19">
        <v>1264.7150766665477</v>
      </c>
      <c r="AH1506" s="19">
        <v>1037.8429614016111</v>
      </c>
      <c r="AI1506" s="19">
        <v>375.89702605740194</v>
      </c>
      <c r="AJ1506" s="19">
        <v>0</v>
      </c>
      <c r="AK1506" s="19">
        <v>0</v>
      </c>
      <c r="AL1506" s="19">
        <v>0</v>
      </c>
      <c r="AM1506" s="19">
        <v>0</v>
      </c>
      <c r="AN1506" s="19">
        <v>0</v>
      </c>
      <c r="AO1506" s="19">
        <v>0</v>
      </c>
      <c r="AP1506" s="19">
        <v>0</v>
      </c>
      <c r="AQ1506" s="19">
        <v>0</v>
      </c>
      <c r="AR1506" s="19">
        <v>14235.604187417115</v>
      </c>
    </row>
    <row r="1507" spans="1:44" x14ac:dyDescent="0.25">
      <c r="A1507" t="s">
        <v>435</v>
      </c>
      <c r="B1507" t="s">
        <v>480</v>
      </c>
      <c r="C1507" t="s">
        <v>44</v>
      </c>
      <c r="D1507" t="s">
        <v>212</v>
      </c>
      <c r="E1507" t="s">
        <v>134</v>
      </c>
      <c r="F1507" t="s">
        <v>481</v>
      </c>
      <c r="G1507" t="s">
        <v>33</v>
      </c>
      <c r="H1507" t="s">
        <v>457</v>
      </c>
      <c r="I1507" t="s">
        <v>135</v>
      </c>
      <c r="J1507" t="s">
        <v>39</v>
      </c>
      <c r="K1507" t="s">
        <v>33</v>
      </c>
      <c r="L1507">
        <v>0.10518942197789628</v>
      </c>
      <c r="M1507">
        <v>1</v>
      </c>
      <c r="N1507" s="2">
        <v>3.1302248495983953</v>
      </c>
      <c r="O1507" s="2">
        <v>5.3471683850504315</v>
      </c>
      <c r="P1507" s="1">
        <v>-1.4789321877336017</v>
      </c>
      <c r="Q1507" s="1">
        <v>0.92527473252791004</v>
      </c>
      <c r="R1507" s="1">
        <v>-1.862552393622352</v>
      </c>
      <c r="S1507" s="19">
        <v>5.1498090837636035</v>
      </c>
      <c r="T1507" s="19">
        <v>10.214777566485264</v>
      </c>
      <c r="U1507" s="19">
        <v>17.996991380507108</v>
      </c>
      <c r="V1507" s="19">
        <v>29.048908129232739</v>
      </c>
      <c r="W1507" s="19">
        <v>43.752297601947966</v>
      </c>
      <c r="X1507" s="19">
        <v>62.179599836220135</v>
      </c>
      <c r="Y1507" s="19">
        <v>83.929330695162179</v>
      </c>
      <c r="Z1507" s="19">
        <v>107.96401249854981</v>
      </c>
      <c r="AA1507" s="19">
        <v>132.50352881142479</v>
      </c>
      <c r="AB1507" s="19">
        <v>155.04864893237985</v>
      </c>
      <c r="AC1507" s="19">
        <v>172.61356767832535</v>
      </c>
      <c r="AD1507" s="19">
        <v>182.21282512078</v>
      </c>
      <c r="AE1507" s="19">
        <v>181.56307560510561</v>
      </c>
      <c r="AF1507" s="19">
        <v>169.83446788422395</v>
      </c>
      <c r="AG1507" s="19">
        <v>148.17141933594436</v>
      </c>
      <c r="AH1507" s="19">
        <v>121.59154854389509</v>
      </c>
      <c r="AI1507" s="19">
        <v>44.039323087607222</v>
      </c>
      <c r="AJ1507" s="19">
        <v>0</v>
      </c>
      <c r="AK1507" s="19">
        <v>0</v>
      </c>
      <c r="AL1507" s="19">
        <v>0</v>
      </c>
      <c r="AM1507" s="19">
        <v>0</v>
      </c>
      <c r="AN1507" s="19">
        <v>0</v>
      </c>
      <c r="AO1507" s="19">
        <v>0</v>
      </c>
      <c r="AP1507" s="19">
        <v>0</v>
      </c>
      <c r="AQ1507" s="19">
        <v>0</v>
      </c>
      <c r="AR1507" s="19">
        <v>1667.8141317915547</v>
      </c>
    </row>
    <row r="1508" spans="1:44" x14ac:dyDescent="0.25">
      <c r="A1508" t="s">
        <v>435</v>
      </c>
      <c r="B1508" t="s">
        <v>480</v>
      </c>
      <c r="C1508" t="s">
        <v>44</v>
      </c>
      <c r="D1508" t="s">
        <v>212</v>
      </c>
      <c r="E1508" t="s">
        <v>134</v>
      </c>
      <c r="F1508" t="s">
        <v>481</v>
      </c>
      <c r="G1508" t="s">
        <v>33</v>
      </c>
      <c r="H1508" t="s">
        <v>457</v>
      </c>
      <c r="I1508" t="s">
        <v>256</v>
      </c>
      <c r="J1508" t="s">
        <v>39</v>
      </c>
      <c r="K1508" t="s">
        <v>33</v>
      </c>
      <c r="L1508">
        <v>0.10518942197789628</v>
      </c>
      <c r="M1508">
        <v>1</v>
      </c>
      <c r="N1508" s="2">
        <v>1.5491409834562504</v>
      </c>
      <c r="O1508" s="2">
        <v>2.6463011728329877</v>
      </c>
      <c r="P1508" s="1">
        <v>-1.5995236384734907E-2</v>
      </c>
      <c r="Q1508" s="1">
        <v>1.3498045353129324</v>
      </c>
      <c r="R1508" s="1">
        <v>-0.39961544227348506</v>
      </c>
      <c r="S1508" s="19">
        <v>14.162320527551213</v>
      </c>
      <c r="T1508" s="19">
        <v>28.091323709514921</v>
      </c>
      <c r="U1508" s="19">
        <v>49.492933877083878</v>
      </c>
      <c r="V1508" s="19">
        <v>79.886446508988087</v>
      </c>
      <c r="W1508" s="19">
        <v>120.32175414214652</v>
      </c>
      <c r="X1508" s="19">
        <v>170.9980717405258</v>
      </c>
      <c r="Y1508" s="19">
        <v>230.81129098848979</v>
      </c>
      <c r="Z1508" s="19">
        <v>296.90827865167415</v>
      </c>
      <c r="AA1508" s="19">
        <v>364.39359508985547</v>
      </c>
      <c r="AB1508" s="19">
        <v>426.39418817820422</v>
      </c>
      <c r="AC1508" s="19">
        <v>474.69889331858838</v>
      </c>
      <c r="AD1508" s="19">
        <v>501.09749538621514</v>
      </c>
      <c r="AE1508" s="19">
        <v>499.31064062054742</v>
      </c>
      <c r="AF1508" s="19">
        <v>467.05618240990538</v>
      </c>
      <c r="AG1508" s="19">
        <v>407.48134533256234</v>
      </c>
      <c r="AH1508" s="19">
        <v>334.38491717084241</v>
      </c>
      <c r="AI1508" s="19">
        <v>121.11109348684046</v>
      </c>
      <c r="AJ1508" s="19">
        <v>0</v>
      </c>
      <c r="AK1508" s="19">
        <v>0</v>
      </c>
      <c r="AL1508" s="19">
        <v>0</v>
      </c>
      <c r="AM1508" s="19">
        <v>0</v>
      </c>
      <c r="AN1508" s="19">
        <v>0</v>
      </c>
      <c r="AO1508" s="19">
        <v>0</v>
      </c>
      <c r="AP1508" s="19">
        <v>0</v>
      </c>
      <c r="AQ1508" s="19">
        <v>0</v>
      </c>
      <c r="AR1508" s="19">
        <v>4586.600771139535</v>
      </c>
    </row>
    <row r="1509" spans="1:44" x14ac:dyDescent="0.25">
      <c r="A1509" t="s">
        <v>435</v>
      </c>
      <c r="B1509" t="s">
        <v>480</v>
      </c>
      <c r="C1509" t="s">
        <v>44</v>
      </c>
      <c r="D1509" t="s">
        <v>212</v>
      </c>
      <c r="E1509" t="s">
        <v>134</v>
      </c>
      <c r="F1509" t="s">
        <v>481</v>
      </c>
      <c r="G1509" t="s">
        <v>33</v>
      </c>
      <c r="H1509" t="s">
        <v>452</v>
      </c>
      <c r="I1509" t="s">
        <v>135</v>
      </c>
      <c r="J1509" t="s">
        <v>40</v>
      </c>
      <c r="K1509" t="s">
        <v>33</v>
      </c>
      <c r="L1509">
        <v>0.10518942197789628</v>
      </c>
      <c r="M1509">
        <v>1</v>
      </c>
      <c r="N1509" s="2">
        <v>3.1302248495983953</v>
      </c>
      <c r="O1509" s="2">
        <v>4.1746294160814532</v>
      </c>
      <c r="P1509" s="1">
        <v>-1.4789321877336017</v>
      </c>
      <c r="Q1509" s="1">
        <v>1.3498045353129324</v>
      </c>
      <c r="R1509" s="1">
        <v>-1.719552393622352</v>
      </c>
      <c r="S1509" s="19">
        <v>9.6382686658484094</v>
      </c>
      <c r="T1509" s="19">
        <v>19.117751541133742</v>
      </c>
      <c r="U1509" s="19">
        <v>33.682770619433711</v>
      </c>
      <c r="V1509" s="19">
        <v>54.367293320022675</v>
      </c>
      <c r="W1509" s="19">
        <v>81.885831528252254</v>
      </c>
      <c r="X1509" s="19">
        <v>116.37396241463148</v>
      </c>
      <c r="Y1509" s="19">
        <v>157.0802771573083</v>
      </c>
      <c r="Z1509" s="19">
        <v>202.06305549943863</v>
      </c>
      <c r="AA1509" s="19">
        <v>247.99067093263164</v>
      </c>
      <c r="AB1509" s="19">
        <v>290.18561860839759</v>
      </c>
      <c r="AC1509" s="19">
        <v>323.05973165095236</v>
      </c>
      <c r="AD1509" s="19">
        <v>341.02548935539278</v>
      </c>
      <c r="AE1509" s="19">
        <v>339.80943254712798</v>
      </c>
      <c r="AF1509" s="19">
        <v>317.85843000479946</v>
      </c>
      <c r="AG1509" s="19">
        <v>277.31434795563655</v>
      </c>
      <c r="AH1509" s="19">
        <v>227.56805025209471</v>
      </c>
      <c r="AI1509" s="19">
        <v>82.42302207254734</v>
      </c>
      <c r="AJ1509" s="19">
        <v>0</v>
      </c>
      <c r="AK1509" s="19">
        <v>0</v>
      </c>
      <c r="AL1509" s="19">
        <v>0</v>
      </c>
      <c r="AM1509" s="19">
        <v>0</v>
      </c>
      <c r="AN1509" s="19">
        <v>0</v>
      </c>
      <c r="AO1509" s="19">
        <v>0</v>
      </c>
      <c r="AP1509" s="19">
        <v>0</v>
      </c>
      <c r="AQ1509" s="19">
        <v>0</v>
      </c>
      <c r="AR1509" s="19">
        <v>3121.4440041256498</v>
      </c>
    </row>
    <row r="1510" spans="1:44" x14ac:dyDescent="0.25">
      <c r="A1510" t="s">
        <v>435</v>
      </c>
      <c r="B1510" t="s">
        <v>480</v>
      </c>
      <c r="C1510" t="s">
        <v>44</v>
      </c>
      <c r="D1510" t="s">
        <v>212</v>
      </c>
      <c r="E1510" t="s">
        <v>134</v>
      </c>
      <c r="F1510" t="s">
        <v>481</v>
      </c>
      <c r="G1510" t="s">
        <v>33</v>
      </c>
      <c r="H1510" t="s">
        <v>453</v>
      </c>
      <c r="I1510" t="s">
        <v>135</v>
      </c>
      <c r="J1510" t="s">
        <v>40</v>
      </c>
      <c r="K1510" t="s">
        <v>33</v>
      </c>
      <c r="L1510">
        <v>0.10518942197789628</v>
      </c>
      <c r="M1510">
        <v>1</v>
      </c>
      <c r="N1510" s="2">
        <v>3.1302248495983953</v>
      </c>
      <c r="O1510" s="2">
        <v>4.1746294160814532</v>
      </c>
      <c r="P1510" s="1">
        <v>-1.4789321877336017</v>
      </c>
      <c r="Q1510" s="1">
        <v>1.3498045353129324</v>
      </c>
      <c r="R1510" s="1">
        <v>-1.719552393622352</v>
      </c>
      <c r="S1510" s="19">
        <v>377.21304589643381</v>
      </c>
      <c r="T1510" s="19">
        <v>748.21169024629091</v>
      </c>
      <c r="U1510" s="19">
        <v>1318.2430309924437</v>
      </c>
      <c r="V1510" s="19">
        <v>2127.7734644456891</v>
      </c>
      <c r="W1510" s="19">
        <v>3204.7668515386122</v>
      </c>
      <c r="X1510" s="19">
        <v>4554.5292777534496</v>
      </c>
      <c r="Y1510" s="19">
        <v>6147.6528462748083</v>
      </c>
      <c r="Z1510" s="19">
        <v>7908.1444262037548</v>
      </c>
      <c r="AA1510" s="19">
        <v>9705.614107631216</v>
      </c>
      <c r="AB1510" s="19">
        <v>11356.998322579875</v>
      </c>
      <c r="AC1510" s="19">
        <v>12643.592911488257</v>
      </c>
      <c r="AD1510" s="19">
        <v>13346.719003993039</v>
      </c>
      <c r="AE1510" s="19">
        <v>13299.12617290149</v>
      </c>
      <c r="AF1510" s="19">
        <v>12440.029501441022</v>
      </c>
      <c r="AG1510" s="19">
        <v>10853.255235951774</v>
      </c>
      <c r="AH1510" s="19">
        <v>8906.33373693668</v>
      </c>
      <c r="AI1510" s="19">
        <v>3225.7908848443931</v>
      </c>
      <c r="AJ1510" s="19">
        <v>0</v>
      </c>
      <c r="AK1510" s="19">
        <v>0</v>
      </c>
      <c r="AL1510" s="19">
        <v>0</v>
      </c>
      <c r="AM1510" s="19">
        <v>0</v>
      </c>
      <c r="AN1510" s="19">
        <v>0</v>
      </c>
      <c r="AO1510" s="19">
        <v>0</v>
      </c>
      <c r="AP1510" s="19">
        <v>0</v>
      </c>
      <c r="AQ1510" s="19">
        <v>0</v>
      </c>
      <c r="AR1510" s="19">
        <v>122163.99451111922</v>
      </c>
    </row>
    <row r="1511" spans="1:44" x14ac:dyDescent="0.25">
      <c r="A1511" t="s">
        <v>435</v>
      </c>
      <c r="B1511" t="s">
        <v>480</v>
      </c>
      <c r="C1511" t="s">
        <v>44</v>
      </c>
      <c r="D1511" t="s">
        <v>212</v>
      </c>
      <c r="E1511" t="s">
        <v>134</v>
      </c>
      <c r="F1511" t="s">
        <v>481</v>
      </c>
      <c r="G1511" t="s">
        <v>33</v>
      </c>
      <c r="H1511" t="s">
        <v>456</v>
      </c>
      <c r="I1511" t="s">
        <v>135</v>
      </c>
      <c r="J1511" t="s">
        <v>40</v>
      </c>
      <c r="K1511" t="s">
        <v>33</v>
      </c>
      <c r="L1511">
        <v>0.10518942197789628</v>
      </c>
      <c r="M1511">
        <v>1</v>
      </c>
      <c r="N1511" s="2">
        <v>3.1302248495983953</v>
      </c>
      <c r="O1511" s="2">
        <v>4.1746294160814532</v>
      </c>
      <c r="P1511" s="1">
        <v>-1.4789321877336017</v>
      </c>
      <c r="Q1511" s="1">
        <v>1.3498045353129324</v>
      </c>
      <c r="R1511" s="1">
        <v>-1.719552393622352</v>
      </c>
      <c r="S1511" s="19">
        <v>162.27342618623061</v>
      </c>
      <c r="T1511" s="19">
        <v>321.87347656632085</v>
      </c>
      <c r="U1511" s="19">
        <v>567.09547962982458</v>
      </c>
      <c r="V1511" s="19">
        <v>915.34769006516956</v>
      </c>
      <c r="W1511" s="19">
        <v>1378.6598920282624</v>
      </c>
      <c r="X1511" s="19">
        <v>1959.3147124860284</v>
      </c>
      <c r="Y1511" s="19">
        <v>2644.6611569273323</v>
      </c>
      <c r="Z1511" s="19">
        <v>3402.0077109633135</v>
      </c>
      <c r="AA1511" s="19">
        <v>4175.2618887925419</v>
      </c>
      <c r="AB1511" s="19">
        <v>4885.671503265823</v>
      </c>
      <c r="AC1511" s="19">
        <v>5439.1521273483468</v>
      </c>
      <c r="AD1511" s="19">
        <v>5741.6302131752464</v>
      </c>
      <c r="AE1511" s="19">
        <v>5721.1562347507352</v>
      </c>
      <c r="AF1511" s="19">
        <v>5351.5811052061626</v>
      </c>
      <c r="AG1511" s="19">
        <v>4668.9660698932648</v>
      </c>
      <c r="AH1511" s="19">
        <v>3831.4191568218857</v>
      </c>
      <c r="AI1511" s="19">
        <v>1387.704229051853</v>
      </c>
      <c r="AJ1511" s="19">
        <v>0</v>
      </c>
      <c r="AK1511" s="19">
        <v>0</v>
      </c>
      <c r="AL1511" s="19">
        <v>0</v>
      </c>
      <c r="AM1511" s="19">
        <v>0</v>
      </c>
      <c r="AN1511" s="19">
        <v>0</v>
      </c>
      <c r="AO1511" s="19">
        <v>0</v>
      </c>
      <c r="AP1511" s="19">
        <v>0</v>
      </c>
      <c r="AQ1511" s="19">
        <v>0</v>
      </c>
      <c r="AR1511" s="19">
        <v>52553.77607315834</v>
      </c>
    </row>
    <row r="1512" spans="1:44" x14ac:dyDescent="0.25">
      <c r="A1512" t="s">
        <v>435</v>
      </c>
      <c r="B1512" t="s">
        <v>480</v>
      </c>
      <c r="C1512" t="s">
        <v>44</v>
      </c>
      <c r="D1512" t="s">
        <v>212</v>
      </c>
      <c r="E1512" t="s">
        <v>134</v>
      </c>
      <c r="F1512" t="s">
        <v>481</v>
      </c>
      <c r="G1512" t="s">
        <v>33</v>
      </c>
      <c r="H1512" t="s">
        <v>450</v>
      </c>
      <c r="I1512" t="s">
        <v>256</v>
      </c>
      <c r="J1512" t="s">
        <v>40</v>
      </c>
      <c r="K1512" t="s">
        <v>33</v>
      </c>
      <c r="L1512">
        <v>0.10518942197789628</v>
      </c>
      <c r="M1512">
        <v>1</v>
      </c>
      <c r="N1512" s="2">
        <v>1.5491409834562504</v>
      </c>
      <c r="O1512" s="2">
        <v>1.4737622038640092</v>
      </c>
      <c r="P1512" s="1">
        <v>-1.5995236384734907E-2</v>
      </c>
      <c r="Q1512" s="1">
        <v>1.3498045353129324</v>
      </c>
      <c r="R1512" s="1">
        <v>-0.25661544227348509</v>
      </c>
      <c r="S1512" s="19">
        <v>180.81066088695999</v>
      </c>
      <c r="T1512" s="19">
        <v>358.64255403808193</v>
      </c>
      <c r="U1512" s="19">
        <v>631.87738662891866</v>
      </c>
      <c r="V1512" s="19">
        <v>1019.9120377978384</v>
      </c>
      <c r="W1512" s="19">
        <v>1536.1505088941478</v>
      </c>
      <c r="X1512" s="19">
        <v>2183.1361817897164</v>
      </c>
      <c r="Y1512" s="19">
        <v>2946.7728810835847</v>
      </c>
      <c r="Z1512" s="19">
        <v>3790.6345913709774</v>
      </c>
      <c r="AA1512" s="19">
        <v>4652.221125979866</v>
      </c>
      <c r="AB1512" s="19">
        <v>5443.7840757012282</v>
      </c>
      <c r="AC1512" s="19">
        <v>6060.4913196441648</v>
      </c>
      <c r="AD1512" s="19">
        <v>6397.5228588650043</v>
      </c>
      <c r="AE1512" s="19">
        <v>6374.7100443646623</v>
      </c>
      <c r="AF1512" s="19">
        <v>5962.9166596385085</v>
      </c>
      <c r="AG1512" s="19">
        <v>5202.3233908142283</v>
      </c>
      <c r="AH1512" s="19">
        <v>4269.0996681421339</v>
      </c>
      <c r="AI1512" s="19">
        <v>1546.2280218483731</v>
      </c>
      <c r="AJ1512" s="19">
        <v>0</v>
      </c>
      <c r="AK1512" s="19">
        <v>0</v>
      </c>
      <c r="AL1512" s="19">
        <v>0</v>
      </c>
      <c r="AM1512" s="19">
        <v>0</v>
      </c>
      <c r="AN1512" s="19">
        <v>0</v>
      </c>
      <c r="AO1512" s="19">
        <v>0</v>
      </c>
      <c r="AP1512" s="19">
        <v>0</v>
      </c>
      <c r="AQ1512" s="19">
        <v>0</v>
      </c>
      <c r="AR1512" s="19">
        <v>58557.233967488399</v>
      </c>
    </row>
    <row r="1513" spans="1:44" x14ac:dyDescent="0.25">
      <c r="A1513" t="s">
        <v>435</v>
      </c>
      <c r="B1513" t="s">
        <v>480</v>
      </c>
      <c r="C1513" t="s">
        <v>44</v>
      </c>
      <c r="D1513" t="s">
        <v>212</v>
      </c>
      <c r="E1513" t="s">
        <v>134</v>
      </c>
      <c r="F1513" t="s">
        <v>481</v>
      </c>
      <c r="G1513" t="s">
        <v>33</v>
      </c>
      <c r="H1513" t="s">
        <v>452</v>
      </c>
      <c r="I1513" t="s">
        <v>256</v>
      </c>
      <c r="J1513" t="s">
        <v>40</v>
      </c>
      <c r="K1513" t="s">
        <v>33</v>
      </c>
      <c r="L1513">
        <v>0.10518942197789628</v>
      </c>
      <c r="M1513">
        <v>1</v>
      </c>
      <c r="N1513" s="2">
        <v>1.5491409834562504</v>
      </c>
      <c r="O1513" s="2">
        <v>1.4737622038640092</v>
      </c>
      <c r="P1513" s="1">
        <v>-1.5995236384734907E-2</v>
      </c>
      <c r="Q1513" s="1">
        <v>1.3498045353129324</v>
      </c>
      <c r="R1513" s="1">
        <v>-0.25661544227348509</v>
      </c>
      <c r="S1513" s="19">
        <v>58.119844038309715</v>
      </c>
      <c r="T1513" s="19">
        <v>115.28219190142715</v>
      </c>
      <c r="U1513" s="19">
        <v>203.11089502165547</v>
      </c>
      <c r="V1513" s="19">
        <v>327.84089322401275</v>
      </c>
      <c r="W1513" s="19">
        <v>493.78077353588662</v>
      </c>
      <c r="X1513" s="19">
        <v>701.74808154334949</v>
      </c>
      <c r="Y1513" s="19">
        <v>947.21173754224253</v>
      </c>
      <c r="Z1513" s="19">
        <v>1218.4629500051335</v>
      </c>
      <c r="AA1513" s="19">
        <v>1495.4116363897415</v>
      </c>
      <c r="AB1513" s="19">
        <v>1749.8519163966373</v>
      </c>
      <c r="AC1513" s="19">
        <v>1948.0865152827496</v>
      </c>
      <c r="AD1513" s="19">
        <v>2056.4220547880936</v>
      </c>
      <c r="AE1513" s="19">
        <v>2049.0890954684901</v>
      </c>
      <c r="AF1513" s="19">
        <v>1916.7220813837696</v>
      </c>
      <c r="AG1513" s="19">
        <v>1672.236706772524</v>
      </c>
      <c r="AH1513" s="19">
        <v>1372.260936823526</v>
      </c>
      <c r="AI1513" s="19">
        <v>497.0200929339851</v>
      </c>
      <c r="AJ1513" s="19">
        <v>0</v>
      </c>
      <c r="AK1513" s="19">
        <v>0</v>
      </c>
      <c r="AL1513" s="19">
        <v>0</v>
      </c>
      <c r="AM1513" s="19">
        <v>0</v>
      </c>
      <c r="AN1513" s="19">
        <v>0</v>
      </c>
      <c r="AO1513" s="19">
        <v>0</v>
      </c>
      <c r="AP1513" s="19">
        <v>0</v>
      </c>
      <c r="AQ1513" s="19">
        <v>0</v>
      </c>
      <c r="AR1513" s="19">
        <v>18822.658403051533</v>
      </c>
    </row>
    <row r="1514" spans="1:44" x14ac:dyDescent="0.25">
      <c r="A1514" t="s">
        <v>435</v>
      </c>
      <c r="B1514" t="s">
        <v>480</v>
      </c>
      <c r="C1514" t="s">
        <v>44</v>
      </c>
      <c r="D1514" t="s">
        <v>212</v>
      </c>
      <c r="E1514" t="s">
        <v>134</v>
      </c>
      <c r="F1514" t="s">
        <v>481</v>
      </c>
      <c r="G1514" t="s">
        <v>33</v>
      </c>
      <c r="H1514" t="s">
        <v>453</v>
      </c>
      <c r="I1514" t="s">
        <v>256</v>
      </c>
      <c r="J1514" t="s">
        <v>40</v>
      </c>
      <c r="K1514" t="s">
        <v>33</v>
      </c>
      <c r="L1514">
        <v>0.10518942197789628</v>
      </c>
      <c r="M1514">
        <v>1</v>
      </c>
      <c r="N1514" s="2">
        <v>1.5491409834562504</v>
      </c>
      <c r="O1514" s="2">
        <v>1.4737622038640092</v>
      </c>
      <c r="P1514" s="1">
        <v>-1.5995236384734907E-2</v>
      </c>
      <c r="Q1514" s="1">
        <v>1.3498045353129324</v>
      </c>
      <c r="R1514" s="1">
        <v>-0.25661544227348509</v>
      </c>
      <c r="S1514" s="19">
        <v>194.18823534136985</v>
      </c>
      <c r="T1514" s="19">
        <v>385.1773139113597</v>
      </c>
      <c r="U1514" s="19">
        <v>678.62787547852781</v>
      </c>
      <c r="V1514" s="19">
        <v>1095.3719092216782</v>
      </c>
      <c r="W1514" s="19">
        <v>1649.8051335999253</v>
      </c>
      <c r="X1514" s="19">
        <v>2344.659106780663</v>
      </c>
      <c r="Y1514" s="19">
        <v>3164.794724616233</v>
      </c>
      <c r="Z1514" s="19">
        <v>4071.0909329759079</v>
      </c>
      <c r="AA1514" s="19">
        <v>4996.4233659688171</v>
      </c>
      <c r="AB1514" s="19">
        <v>5846.5514038509364</v>
      </c>
      <c r="AC1514" s="19">
        <v>6508.8867486588915</v>
      </c>
      <c r="AD1514" s="19">
        <v>6870.8541212387481</v>
      </c>
      <c r="AE1514" s="19">
        <v>6846.3534630958029</v>
      </c>
      <c r="AF1514" s="19">
        <v>6404.0928667739126</v>
      </c>
      <c r="AG1514" s="19">
        <v>5587.2258526222995</v>
      </c>
      <c r="AH1514" s="19">
        <v>4584.956036255141</v>
      </c>
      <c r="AI1514" s="19">
        <v>1660.6282479429024</v>
      </c>
      <c r="AJ1514" s="19">
        <v>0</v>
      </c>
      <c r="AK1514" s="19">
        <v>0</v>
      </c>
      <c r="AL1514" s="19">
        <v>0</v>
      </c>
      <c r="AM1514" s="19">
        <v>0</v>
      </c>
      <c r="AN1514" s="19">
        <v>0</v>
      </c>
      <c r="AO1514" s="19">
        <v>0</v>
      </c>
      <c r="AP1514" s="19">
        <v>0</v>
      </c>
      <c r="AQ1514" s="19">
        <v>0</v>
      </c>
      <c r="AR1514" s="19">
        <v>62889.687338333119</v>
      </c>
    </row>
    <row r="1515" spans="1:44" x14ac:dyDescent="0.25">
      <c r="A1515" t="s">
        <v>435</v>
      </c>
      <c r="B1515" t="s">
        <v>480</v>
      </c>
      <c r="C1515" t="s">
        <v>44</v>
      </c>
      <c r="D1515" t="s">
        <v>212</v>
      </c>
      <c r="E1515" t="s">
        <v>134</v>
      </c>
      <c r="F1515" t="s">
        <v>481</v>
      </c>
      <c r="G1515" t="s">
        <v>33</v>
      </c>
      <c r="H1515" t="s">
        <v>456</v>
      </c>
      <c r="I1515" t="s">
        <v>256</v>
      </c>
      <c r="J1515" t="s">
        <v>40</v>
      </c>
      <c r="K1515" t="s">
        <v>33</v>
      </c>
      <c r="L1515">
        <v>0.10518942197789628</v>
      </c>
      <c r="M1515">
        <v>1</v>
      </c>
      <c r="N1515" s="2">
        <v>1.5491409834562504</v>
      </c>
      <c r="O1515" s="2">
        <v>1.4737622038640092</v>
      </c>
      <c r="P1515" s="1">
        <v>-1.5995236384734907E-2</v>
      </c>
      <c r="Q1515" s="1">
        <v>1.3498045353129324</v>
      </c>
      <c r="R1515" s="1">
        <v>-0.25661544227348509</v>
      </c>
      <c r="S1515" s="19">
        <v>243.68277244128919</v>
      </c>
      <c r="T1515" s="19">
        <v>483.3509896745673</v>
      </c>
      <c r="U1515" s="19">
        <v>851.59598809804561</v>
      </c>
      <c r="V1515" s="19">
        <v>1374.559397093308</v>
      </c>
      <c r="W1515" s="19">
        <v>2070.3061039550689</v>
      </c>
      <c r="X1515" s="19">
        <v>2942.2638841412231</v>
      </c>
      <c r="Y1515" s="19">
        <v>3971.434991137965</v>
      </c>
      <c r="Z1515" s="19">
        <v>5108.7272288364884</v>
      </c>
      <c r="AA1515" s="19">
        <v>6269.9076283862514</v>
      </c>
      <c r="AB1515" s="19">
        <v>7336.7155986889456</v>
      </c>
      <c r="AC1515" s="19">
        <v>8167.8664293503889</v>
      </c>
      <c r="AD1515" s="19">
        <v>8622.0917470092554</v>
      </c>
      <c r="AE1515" s="19">
        <v>8591.3463813468443</v>
      </c>
      <c r="AF1515" s="19">
        <v>8036.3627693695216</v>
      </c>
      <c r="AG1515" s="19">
        <v>7011.2933650651084</v>
      </c>
      <c r="AH1515" s="19">
        <v>5753.5658453869937</v>
      </c>
      <c r="AI1515" s="19">
        <v>2083.8878047461117</v>
      </c>
      <c r="AJ1515" s="19">
        <v>0</v>
      </c>
      <c r="AK1515" s="19">
        <v>0</v>
      </c>
      <c r="AL1515" s="19">
        <v>0</v>
      </c>
      <c r="AM1515" s="19">
        <v>0</v>
      </c>
      <c r="AN1515" s="19">
        <v>0</v>
      </c>
      <c r="AO1515" s="19">
        <v>0</v>
      </c>
      <c r="AP1515" s="19">
        <v>0</v>
      </c>
      <c r="AQ1515" s="19">
        <v>0</v>
      </c>
      <c r="AR1515" s="19">
        <v>78918.958924727369</v>
      </c>
    </row>
    <row r="1516" spans="1:44" x14ac:dyDescent="0.25">
      <c r="A1516" t="s">
        <v>435</v>
      </c>
      <c r="B1516" t="s">
        <v>480</v>
      </c>
      <c r="C1516" t="s">
        <v>44</v>
      </c>
      <c r="D1516" t="s">
        <v>212</v>
      </c>
      <c r="E1516" t="s">
        <v>134</v>
      </c>
      <c r="F1516" t="s">
        <v>481</v>
      </c>
      <c r="G1516" t="s">
        <v>33</v>
      </c>
      <c r="H1516" t="s">
        <v>457</v>
      </c>
      <c r="I1516" t="s">
        <v>256</v>
      </c>
      <c r="J1516" t="s">
        <v>40</v>
      </c>
      <c r="K1516" t="s">
        <v>33</v>
      </c>
      <c r="L1516">
        <v>0.10518942197789628</v>
      </c>
      <c r="M1516">
        <v>1</v>
      </c>
      <c r="N1516" s="2">
        <v>1.5491409834562504</v>
      </c>
      <c r="O1516" s="2">
        <v>1.4737622038640092</v>
      </c>
      <c r="P1516" s="1">
        <v>-1.5995236384734907E-2</v>
      </c>
      <c r="Q1516" s="1">
        <v>1.3498045353129324</v>
      </c>
      <c r="R1516" s="1">
        <v>-0.25661544227348509</v>
      </c>
      <c r="S1516" s="19">
        <v>129.59066570087896</v>
      </c>
      <c r="T1516" s="19">
        <v>257.04638818567787</v>
      </c>
      <c r="U1516" s="19">
        <v>452.87933119035898</v>
      </c>
      <c r="V1516" s="19">
        <v>730.99163116932141</v>
      </c>
      <c r="W1516" s="19">
        <v>1100.9902075895434</v>
      </c>
      <c r="X1516" s="19">
        <v>1564.6979537931002</v>
      </c>
      <c r="Y1516" s="19">
        <v>2112.0118551397841</v>
      </c>
      <c r="Z1516" s="19">
        <v>2716.8246480314242</v>
      </c>
      <c r="AA1516" s="19">
        <v>3334.3411817975575</v>
      </c>
      <c r="AB1516" s="19">
        <v>3901.6703928924362</v>
      </c>
      <c r="AC1516" s="19">
        <v>4343.6769753200297</v>
      </c>
      <c r="AD1516" s="19">
        <v>4585.2343111295922</v>
      </c>
      <c r="AE1516" s="19">
        <v>4568.8839045600471</v>
      </c>
      <c r="AF1516" s="19">
        <v>4273.7432386496266</v>
      </c>
      <c r="AG1516" s="19">
        <v>3728.6106256110193</v>
      </c>
      <c r="AH1516" s="19">
        <v>3059.7502670697877</v>
      </c>
      <c r="AI1516" s="19">
        <v>1108.2129653956436</v>
      </c>
      <c r="AJ1516" s="19">
        <v>0</v>
      </c>
      <c r="AK1516" s="19">
        <v>0</v>
      </c>
      <c r="AL1516" s="19">
        <v>0</v>
      </c>
      <c r="AM1516" s="19">
        <v>0</v>
      </c>
      <c r="AN1516" s="19">
        <v>0</v>
      </c>
      <c r="AO1516" s="19">
        <v>0</v>
      </c>
      <c r="AP1516" s="19">
        <v>0</v>
      </c>
      <c r="AQ1516" s="19">
        <v>0</v>
      </c>
      <c r="AR1516" s="19">
        <v>41969.156543225843</v>
      </c>
    </row>
    <row r="1517" spans="1:44" x14ac:dyDescent="0.25">
      <c r="A1517" t="s">
        <v>435</v>
      </c>
      <c r="B1517" t="s">
        <v>482</v>
      </c>
      <c r="C1517" t="s">
        <v>44</v>
      </c>
      <c r="D1517" t="s">
        <v>212</v>
      </c>
      <c r="E1517" t="s">
        <v>134</v>
      </c>
      <c r="F1517" t="s">
        <v>483</v>
      </c>
      <c r="G1517" t="s">
        <v>33</v>
      </c>
      <c r="H1517" t="s">
        <v>450</v>
      </c>
      <c r="I1517" t="s">
        <v>135</v>
      </c>
      <c r="J1517" t="s">
        <v>39</v>
      </c>
      <c r="K1517" t="s">
        <v>31</v>
      </c>
      <c r="L1517">
        <v>8.2931909248260549E-3</v>
      </c>
      <c r="M1517">
        <v>0</v>
      </c>
      <c r="N1517" s="2">
        <v>0.54981264760003967</v>
      </c>
      <c r="O1517" s="2">
        <v>5.3471683850504297</v>
      </c>
      <c r="P1517" s="1">
        <v>2.8636201715795879</v>
      </c>
      <c r="Q1517" s="1">
        <v>5.2678270918411005</v>
      </c>
      <c r="R1517" s="1">
        <v>-1.8625523936223525</v>
      </c>
      <c r="S1517" s="19">
        <v>0.88578814110672011</v>
      </c>
      <c r="T1517" s="19">
        <v>1.7569833532203525</v>
      </c>
      <c r="U1517" s="19">
        <v>3.0955558315188276</v>
      </c>
      <c r="V1517" s="19">
        <v>4.9965305343257507</v>
      </c>
      <c r="W1517" s="19">
        <v>7.525573420608092</v>
      </c>
      <c r="X1517" s="19">
        <v>10.695144471925328</v>
      </c>
      <c r="Y1517" s="19">
        <v>14.436186781213024</v>
      </c>
      <c r="Z1517" s="19">
        <v>18.570249961115465</v>
      </c>
      <c r="AA1517" s="19">
        <v>22.791146733186434</v>
      </c>
      <c r="AB1517" s="19">
        <v>26.668999235705577</v>
      </c>
      <c r="AC1517" s="19">
        <v>29.690236813952051</v>
      </c>
      <c r="AD1517" s="19">
        <v>31.341348198404127</v>
      </c>
      <c r="AE1517" s="19">
        <v>31.229588634833352</v>
      </c>
      <c r="AF1517" s="19">
        <v>29.212220328189812</v>
      </c>
      <c r="AG1517" s="19">
        <v>25.486087729452485</v>
      </c>
      <c r="AH1517" s="19">
        <v>20.914241675202344</v>
      </c>
      <c r="AI1517" s="19">
        <v>7.5749429733927984</v>
      </c>
      <c r="AJ1517" s="19">
        <v>0</v>
      </c>
      <c r="AK1517" s="19">
        <v>0</v>
      </c>
      <c r="AL1517" s="19">
        <v>0</v>
      </c>
      <c r="AM1517" s="19">
        <v>0</v>
      </c>
      <c r="AN1517" s="19">
        <v>0</v>
      </c>
      <c r="AO1517" s="19">
        <v>0</v>
      </c>
      <c r="AP1517" s="19">
        <v>0</v>
      </c>
      <c r="AQ1517" s="19">
        <v>0</v>
      </c>
      <c r="AR1517" s="19">
        <v>286.87082481735251</v>
      </c>
    </row>
    <row r="1518" spans="1:44" x14ac:dyDescent="0.25">
      <c r="A1518" t="s">
        <v>435</v>
      </c>
      <c r="B1518" t="s">
        <v>482</v>
      </c>
      <c r="C1518" t="s">
        <v>44</v>
      </c>
      <c r="D1518" t="s">
        <v>212</v>
      </c>
      <c r="E1518" t="s">
        <v>134</v>
      </c>
      <c r="F1518" t="s">
        <v>483</v>
      </c>
      <c r="G1518" t="s">
        <v>33</v>
      </c>
      <c r="H1518" t="s">
        <v>451</v>
      </c>
      <c r="I1518" t="s">
        <v>135</v>
      </c>
      <c r="J1518" t="s">
        <v>39</v>
      </c>
      <c r="K1518" t="s">
        <v>31</v>
      </c>
      <c r="L1518">
        <v>8.2931909248260549E-3</v>
      </c>
      <c r="M1518">
        <v>0</v>
      </c>
      <c r="N1518" s="2">
        <v>0.54981264760003967</v>
      </c>
      <c r="O1518" s="2">
        <v>5.3471683850504297</v>
      </c>
      <c r="P1518" s="1">
        <v>2.8636201715795879</v>
      </c>
      <c r="Q1518" s="1">
        <v>5.2678270918411005</v>
      </c>
      <c r="R1518" s="1">
        <v>-1.8625523936223525</v>
      </c>
      <c r="S1518" s="19">
        <v>0.23170695346648876</v>
      </c>
      <c r="T1518" s="19">
        <v>0.4595966475204542</v>
      </c>
      <c r="U1518" s="19">
        <v>0.80974420148647597</v>
      </c>
      <c r="V1518" s="19">
        <v>1.3070065112459246</v>
      </c>
      <c r="W1518" s="19">
        <v>1.9685606630484336</v>
      </c>
      <c r="X1518" s="19">
        <v>2.7976659739173564</v>
      </c>
      <c r="Y1518" s="19">
        <v>3.7762583438617794</v>
      </c>
      <c r="Z1518" s="19">
        <v>4.8576582186178028</v>
      </c>
      <c r="AA1518" s="19">
        <v>5.9617722686559498</v>
      </c>
      <c r="AB1518" s="19">
        <v>6.9761518337610706</v>
      </c>
      <c r="AC1518" s="19">
        <v>7.7664556575166239</v>
      </c>
      <c r="AD1518" s="19">
        <v>8.1983580176534758</v>
      </c>
      <c r="AE1518" s="19">
        <v>8.1691236366610021</v>
      </c>
      <c r="AF1518" s="19">
        <v>7.6414147606218652</v>
      </c>
      <c r="AG1518" s="19">
        <v>6.6667225147007523</v>
      </c>
      <c r="AH1518" s="19">
        <v>5.470806164291564</v>
      </c>
      <c r="AI1518" s="19">
        <v>1.9814748895309069</v>
      </c>
      <c r="AJ1518" s="19">
        <v>0</v>
      </c>
      <c r="AK1518" s="19">
        <v>0</v>
      </c>
      <c r="AL1518" s="19">
        <v>0</v>
      </c>
      <c r="AM1518" s="19">
        <v>0</v>
      </c>
      <c r="AN1518" s="19">
        <v>0</v>
      </c>
      <c r="AO1518" s="19">
        <v>0</v>
      </c>
      <c r="AP1518" s="19">
        <v>0</v>
      </c>
      <c r="AQ1518" s="19">
        <v>0</v>
      </c>
      <c r="AR1518" s="19">
        <v>75.040477256557921</v>
      </c>
    </row>
    <row r="1519" spans="1:44" x14ac:dyDescent="0.25">
      <c r="A1519" t="s">
        <v>435</v>
      </c>
      <c r="B1519" t="s">
        <v>482</v>
      </c>
      <c r="C1519" t="s">
        <v>44</v>
      </c>
      <c r="D1519" t="s">
        <v>212</v>
      </c>
      <c r="E1519" t="s">
        <v>134</v>
      </c>
      <c r="F1519" t="s">
        <v>483</v>
      </c>
      <c r="G1519" t="s">
        <v>33</v>
      </c>
      <c r="H1519" t="s">
        <v>452</v>
      </c>
      <c r="I1519" t="s">
        <v>135</v>
      </c>
      <c r="J1519" t="s">
        <v>39</v>
      </c>
      <c r="K1519" t="s">
        <v>31</v>
      </c>
      <c r="L1519">
        <v>8.2931909248260549E-3</v>
      </c>
      <c r="M1519">
        <v>0</v>
      </c>
      <c r="N1519" s="2">
        <v>0.54981264760003967</v>
      </c>
      <c r="O1519" s="2">
        <v>5.3471683850504297</v>
      </c>
      <c r="P1519" s="1">
        <v>2.8636201715795879</v>
      </c>
      <c r="Q1519" s="1">
        <v>5.2678270918411005</v>
      </c>
      <c r="R1519" s="1">
        <v>-1.8625523936223525</v>
      </c>
      <c r="S1519" s="19">
        <v>5.2480040686072691</v>
      </c>
      <c r="T1519" s="19">
        <v>10.409549821535425</v>
      </c>
      <c r="U1519" s="19">
        <v>18.340152508831679</v>
      </c>
      <c r="V1519" s="19">
        <v>29.602803826544775</v>
      </c>
      <c r="W1519" s="19">
        <v>44.58655303356079</v>
      </c>
      <c r="X1519" s="19">
        <v>63.365221431931914</v>
      </c>
      <c r="Y1519" s="19">
        <v>85.529669508019182</v>
      </c>
      <c r="Z1519" s="19">
        <v>110.02263727444311</v>
      </c>
      <c r="AA1519" s="19">
        <v>135.03006558040752</v>
      </c>
      <c r="AB1519" s="19">
        <v>158.00506915773295</v>
      </c>
      <c r="AC1519" s="19">
        <v>175.90491040313114</v>
      </c>
      <c r="AD1519" s="19">
        <v>185.68720355113152</v>
      </c>
      <c r="AE1519" s="19">
        <v>185.02506481037983</v>
      </c>
      <c r="AF1519" s="19">
        <v>173.07281958397971</v>
      </c>
      <c r="AG1519" s="19">
        <v>150.99670665034793</v>
      </c>
      <c r="AH1519" s="19">
        <v>123.91001900992252</v>
      </c>
      <c r="AI1519" s="19">
        <v>44.879051433410893</v>
      </c>
      <c r="AJ1519" s="19">
        <v>0</v>
      </c>
      <c r="AK1519" s="19">
        <v>0</v>
      </c>
      <c r="AL1519" s="19">
        <v>0</v>
      </c>
      <c r="AM1519" s="19">
        <v>0</v>
      </c>
      <c r="AN1519" s="19">
        <v>0</v>
      </c>
      <c r="AO1519" s="19">
        <v>0</v>
      </c>
      <c r="AP1519" s="19">
        <v>0</v>
      </c>
      <c r="AQ1519" s="19">
        <v>0</v>
      </c>
      <c r="AR1519" s="19">
        <v>1699.615501653918</v>
      </c>
    </row>
    <row r="1520" spans="1:44" x14ac:dyDescent="0.25">
      <c r="A1520" t="s">
        <v>435</v>
      </c>
      <c r="B1520" t="s">
        <v>482</v>
      </c>
      <c r="C1520" t="s">
        <v>44</v>
      </c>
      <c r="D1520" t="s">
        <v>212</v>
      </c>
      <c r="E1520" t="s">
        <v>134</v>
      </c>
      <c r="F1520" t="s">
        <v>483</v>
      </c>
      <c r="G1520" t="s">
        <v>33</v>
      </c>
      <c r="H1520" t="s">
        <v>453</v>
      </c>
      <c r="I1520" t="s">
        <v>135</v>
      </c>
      <c r="J1520" t="s">
        <v>39</v>
      </c>
      <c r="K1520" t="s">
        <v>31</v>
      </c>
      <c r="L1520">
        <v>8.2931909248260549E-3</v>
      </c>
      <c r="M1520">
        <v>0</v>
      </c>
      <c r="N1520" s="2">
        <v>0.54981264760003967</v>
      </c>
      <c r="O1520" s="2">
        <v>5.3471683850504297</v>
      </c>
      <c r="P1520" s="1">
        <v>2.8636201715795879</v>
      </c>
      <c r="Q1520" s="1">
        <v>5.2678270918411005</v>
      </c>
      <c r="R1520" s="1">
        <v>-1.8625523936223525</v>
      </c>
      <c r="S1520" s="19">
        <v>1.6049964484299113</v>
      </c>
      <c r="T1520" s="19">
        <v>3.1835513606513648</v>
      </c>
      <c r="U1520" s="19">
        <v>5.6089666195989754</v>
      </c>
      <c r="V1520" s="19">
        <v>9.0534219074606632</v>
      </c>
      <c r="W1520" s="19">
        <v>13.635900111942572</v>
      </c>
      <c r="X1520" s="19">
        <v>19.378977992906801</v>
      </c>
      <c r="Y1520" s="19">
        <v>26.157528462470356</v>
      </c>
      <c r="Z1520" s="19">
        <v>33.648209826795451</v>
      </c>
      <c r="AA1520" s="19">
        <v>41.296228595593789</v>
      </c>
      <c r="AB1520" s="19">
        <v>48.32267115589039</v>
      </c>
      <c r="AC1520" s="19">
        <v>53.796977435143631</v>
      </c>
      <c r="AD1520" s="19">
        <v>56.788694963329071</v>
      </c>
      <c r="AE1520" s="19">
        <v>56.586193152472752</v>
      </c>
      <c r="AF1520" s="19">
        <v>52.930839443071662</v>
      </c>
      <c r="AG1520" s="19">
        <v>46.179304499422194</v>
      </c>
      <c r="AH1520" s="19">
        <v>37.895386100298218</v>
      </c>
      <c r="AI1520" s="19">
        <v>13.725354862128279</v>
      </c>
      <c r="AJ1520" s="19">
        <v>0</v>
      </c>
      <c r="AK1520" s="19">
        <v>0</v>
      </c>
      <c r="AL1520" s="19">
        <v>0</v>
      </c>
      <c r="AM1520" s="19">
        <v>0</v>
      </c>
      <c r="AN1520" s="19">
        <v>0</v>
      </c>
      <c r="AO1520" s="19">
        <v>0</v>
      </c>
      <c r="AP1520" s="19">
        <v>0</v>
      </c>
      <c r="AQ1520" s="19">
        <v>0</v>
      </c>
      <c r="AR1520" s="19">
        <v>519.793202937606</v>
      </c>
    </row>
    <row r="1521" spans="1:44" x14ac:dyDescent="0.25">
      <c r="A1521" t="s">
        <v>435</v>
      </c>
      <c r="B1521" t="s">
        <v>482</v>
      </c>
      <c r="C1521" t="s">
        <v>44</v>
      </c>
      <c r="D1521" t="s">
        <v>212</v>
      </c>
      <c r="E1521" t="s">
        <v>134</v>
      </c>
      <c r="F1521" t="s">
        <v>483</v>
      </c>
      <c r="G1521" t="s">
        <v>33</v>
      </c>
      <c r="H1521" t="s">
        <v>454</v>
      </c>
      <c r="I1521" t="s">
        <v>135</v>
      </c>
      <c r="J1521" t="s">
        <v>39</v>
      </c>
      <c r="K1521" t="s">
        <v>31</v>
      </c>
      <c r="L1521">
        <v>8.2931909248260549E-3</v>
      </c>
      <c r="M1521">
        <v>0</v>
      </c>
      <c r="N1521" s="2">
        <v>0.54981264760003967</v>
      </c>
      <c r="O1521" s="2">
        <v>5.3471683850504297</v>
      </c>
      <c r="P1521" s="1">
        <v>2.8636201715795879</v>
      </c>
      <c r="Q1521" s="1">
        <v>5.2678270918411005</v>
      </c>
      <c r="R1521" s="1">
        <v>-1.8625523936223525</v>
      </c>
      <c r="S1521" s="19">
        <v>8.8377697947113393E-2</v>
      </c>
      <c r="T1521" s="19">
        <v>0.17529941628593873</v>
      </c>
      <c r="U1521" s="19">
        <v>0.30885274430811738</v>
      </c>
      <c r="V1521" s="19">
        <v>0.49851860264741155</v>
      </c>
      <c r="W1521" s="19">
        <v>0.75084867789531218</v>
      </c>
      <c r="X1521" s="19">
        <v>1.0670861391975632</v>
      </c>
      <c r="Y1521" s="19">
        <v>1.4403409750599074</v>
      </c>
      <c r="Z1521" s="19">
        <v>1.852808663497477</v>
      </c>
      <c r="AA1521" s="19">
        <v>2.273939995784179</v>
      </c>
      <c r="AB1521" s="19">
        <v>2.6608447885294275</v>
      </c>
      <c r="AC1521" s="19">
        <v>2.9622825812990712</v>
      </c>
      <c r="AD1521" s="19">
        <v>3.1270188386955953</v>
      </c>
      <c r="AE1521" s="19">
        <v>3.1158682570908129</v>
      </c>
      <c r="AF1521" s="19">
        <v>2.9145894652683544</v>
      </c>
      <c r="AG1521" s="19">
        <v>2.5428222152455011</v>
      </c>
      <c r="AH1521" s="19">
        <v>2.0866756369695776</v>
      </c>
      <c r="AI1521" s="19">
        <v>0.75577442393018013</v>
      </c>
      <c r="AJ1521" s="19">
        <v>0</v>
      </c>
      <c r="AK1521" s="19">
        <v>0</v>
      </c>
      <c r="AL1521" s="19">
        <v>0</v>
      </c>
      <c r="AM1521" s="19">
        <v>0</v>
      </c>
      <c r="AN1521" s="19">
        <v>0</v>
      </c>
      <c r="AO1521" s="19">
        <v>0</v>
      </c>
      <c r="AP1521" s="19">
        <v>0</v>
      </c>
      <c r="AQ1521" s="19">
        <v>0</v>
      </c>
      <c r="AR1521" s="19">
        <v>28.621949119651539</v>
      </c>
    </row>
    <row r="1522" spans="1:44" x14ac:dyDescent="0.25">
      <c r="A1522" t="s">
        <v>435</v>
      </c>
      <c r="B1522" t="s">
        <v>482</v>
      </c>
      <c r="C1522" t="s">
        <v>44</v>
      </c>
      <c r="D1522" t="s">
        <v>212</v>
      </c>
      <c r="E1522" t="s">
        <v>134</v>
      </c>
      <c r="F1522" t="s">
        <v>483</v>
      </c>
      <c r="G1522" t="s">
        <v>33</v>
      </c>
      <c r="H1522" t="s">
        <v>455</v>
      </c>
      <c r="I1522" t="s">
        <v>135</v>
      </c>
      <c r="J1522" t="s">
        <v>39</v>
      </c>
      <c r="K1522" t="s">
        <v>31</v>
      </c>
      <c r="L1522">
        <v>8.2931909248260549E-3</v>
      </c>
      <c r="M1522">
        <v>0</v>
      </c>
      <c r="N1522" s="2">
        <v>0.54981264760003967</v>
      </c>
      <c r="O1522" s="2">
        <v>5.3471683850504297</v>
      </c>
      <c r="P1522" s="1">
        <v>2.8636201715795879</v>
      </c>
      <c r="Q1522" s="1">
        <v>5.2678270918411005</v>
      </c>
      <c r="R1522" s="1">
        <v>-1.8625523936223525</v>
      </c>
      <c r="S1522" s="19">
        <v>2.0823095603477407E-2</v>
      </c>
      <c r="T1522" s="19">
        <v>4.13031408301704E-2</v>
      </c>
      <c r="U1522" s="19">
        <v>7.2770284489338741E-2</v>
      </c>
      <c r="V1522" s="19">
        <v>0.11745837201203169</v>
      </c>
      <c r="W1522" s="19">
        <v>0.17691107787074203</v>
      </c>
      <c r="X1522" s="19">
        <v>0.25142131114292293</v>
      </c>
      <c r="Y1522" s="19">
        <v>0.3393656829942121</v>
      </c>
      <c r="Z1522" s="19">
        <v>0.43654918413972221</v>
      </c>
      <c r="AA1522" s="19">
        <v>0.5357739681918422</v>
      </c>
      <c r="AB1522" s="19">
        <v>0.62693447220948573</v>
      </c>
      <c r="AC1522" s="19">
        <v>0.69795768420918813</v>
      </c>
      <c r="AD1522" s="19">
        <v>0.73677198823393941</v>
      </c>
      <c r="AE1522" s="19">
        <v>0.73414474592978129</v>
      </c>
      <c r="AF1522" s="19">
        <v>0.68672047914723167</v>
      </c>
      <c r="AG1522" s="19">
        <v>0.59912660456927769</v>
      </c>
      <c r="AH1522" s="19">
        <v>0.49165170955308679</v>
      </c>
      <c r="AI1522" s="19">
        <v>0.17807165664779809</v>
      </c>
      <c r="AJ1522" s="19">
        <v>0</v>
      </c>
      <c r="AK1522" s="19">
        <v>0</v>
      </c>
      <c r="AL1522" s="19">
        <v>0</v>
      </c>
      <c r="AM1522" s="19">
        <v>0</v>
      </c>
      <c r="AN1522" s="19">
        <v>0</v>
      </c>
      <c r="AO1522" s="19">
        <v>0</v>
      </c>
      <c r="AP1522" s="19">
        <v>0</v>
      </c>
      <c r="AQ1522" s="19">
        <v>0</v>
      </c>
      <c r="AR1522" s="19">
        <v>6.743755457774248</v>
      </c>
    </row>
    <row r="1523" spans="1:44" x14ac:dyDescent="0.25">
      <c r="A1523" t="s">
        <v>435</v>
      </c>
      <c r="B1523" t="s">
        <v>482</v>
      </c>
      <c r="C1523" t="s">
        <v>44</v>
      </c>
      <c r="D1523" t="s">
        <v>212</v>
      </c>
      <c r="E1523" t="s">
        <v>134</v>
      </c>
      <c r="F1523" t="s">
        <v>483</v>
      </c>
      <c r="G1523" t="s">
        <v>33</v>
      </c>
      <c r="H1523" t="s">
        <v>456</v>
      </c>
      <c r="I1523" t="s">
        <v>135</v>
      </c>
      <c r="J1523" t="s">
        <v>39</v>
      </c>
      <c r="K1523" t="s">
        <v>31</v>
      </c>
      <c r="L1523">
        <v>8.2931909248260549E-3</v>
      </c>
      <c r="M1523">
        <v>0</v>
      </c>
      <c r="N1523" s="2">
        <v>0.54981264760003967</v>
      </c>
      <c r="O1523" s="2">
        <v>5.3471683850504297</v>
      </c>
      <c r="P1523" s="1">
        <v>2.8636201715795879</v>
      </c>
      <c r="Q1523" s="1">
        <v>5.2678270918411005</v>
      </c>
      <c r="R1523" s="1">
        <v>-1.8625523936223525</v>
      </c>
      <c r="S1523" s="19">
        <v>3.7534122929697062</v>
      </c>
      <c r="T1523" s="19">
        <v>7.4449889431584477</v>
      </c>
      <c r="U1523" s="19">
        <v>13.117016103963602</v>
      </c>
      <c r="V1523" s="19">
        <v>21.172149704222868</v>
      </c>
      <c r="W1523" s="19">
        <v>31.888640723124489</v>
      </c>
      <c r="X1523" s="19">
        <v>45.319286715507126</v>
      </c>
      <c r="Y1523" s="19">
        <v>61.171467999686747</v>
      </c>
      <c r="Z1523" s="19">
        <v>78.689024218008015</v>
      </c>
      <c r="AA1523" s="19">
        <v>96.574526514136167</v>
      </c>
      <c r="AB1523" s="19">
        <v>113.00642323731104</v>
      </c>
      <c r="AC1523" s="19">
        <v>125.80852538783655</v>
      </c>
      <c r="AD1523" s="19">
        <v>132.80489560309101</v>
      </c>
      <c r="AE1523" s="19">
        <v>132.33132895628609</v>
      </c>
      <c r="AF1523" s="19">
        <v>123.78299256498744</v>
      </c>
      <c r="AG1523" s="19">
        <v>107.99398924432678</v>
      </c>
      <c r="AH1523" s="19">
        <v>88.621384910126181</v>
      </c>
      <c r="AI1523" s="19">
        <v>32.097837796014971</v>
      </c>
      <c r="AJ1523" s="19">
        <v>0</v>
      </c>
      <c r="AK1523" s="19">
        <v>0</v>
      </c>
      <c r="AL1523" s="19">
        <v>0</v>
      </c>
      <c r="AM1523" s="19">
        <v>0</v>
      </c>
      <c r="AN1523" s="19">
        <v>0</v>
      </c>
      <c r="AO1523" s="19">
        <v>0</v>
      </c>
      <c r="AP1523" s="19">
        <v>0</v>
      </c>
      <c r="AQ1523" s="19">
        <v>0</v>
      </c>
      <c r="AR1523" s="19">
        <v>1215.5778909147573</v>
      </c>
    </row>
    <row r="1524" spans="1:44" x14ac:dyDescent="0.25">
      <c r="A1524" t="s">
        <v>435</v>
      </c>
      <c r="B1524" t="s">
        <v>482</v>
      </c>
      <c r="C1524" t="s">
        <v>44</v>
      </c>
      <c r="D1524" t="s">
        <v>212</v>
      </c>
      <c r="E1524" t="s">
        <v>134</v>
      </c>
      <c r="F1524" t="s">
        <v>483</v>
      </c>
      <c r="G1524" t="s">
        <v>33</v>
      </c>
      <c r="H1524" t="s">
        <v>457</v>
      </c>
      <c r="I1524" t="s">
        <v>135</v>
      </c>
      <c r="J1524" t="s">
        <v>39</v>
      </c>
      <c r="K1524" t="s">
        <v>31</v>
      </c>
      <c r="L1524">
        <v>8.2931909248260549E-3</v>
      </c>
      <c r="M1524">
        <v>0</v>
      </c>
      <c r="N1524" s="2">
        <v>0.54981264760003967</v>
      </c>
      <c r="O1524" s="2">
        <v>5.3471683850504297</v>
      </c>
      <c r="P1524" s="1">
        <v>2.8636201715795879</v>
      </c>
      <c r="Q1524" s="1">
        <v>5.2678270918411005</v>
      </c>
      <c r="R1524" s="1">
        <v>-1.8625523936223525</v>
      </c>
      <c r="S1524" s="19">
        <v>1.3876324939344109</v>
      </c>
      <c r="T1524" s="19">
        <v>2.7524044171377824</v>
      </c>
      <c r="U1524" s="19">
        <v>4.8493467673170825</v>
      </c>
      <c r="V1524" s="19">
        <v>7.827321008952798</v>
      </c>
      <c r="W1524" s="19">
        <v>11.789196230238062</v>
      </c>
      <c r="X1524" s="19">
        <v>16.754491630497601</v>
      </c>
      <c r="Y1524" s="19">
        <v>22.615026027656121</v>
      </c>
      <c r="Z1524" s="19">
        <v>29.091247749526399</v>
      </c>
      <c r="AA1524" s="19">
        <v>35.703498741225872</v>
      </c>
      <c r="AB1524" s="19">
        <v>41.778353313626525</v>
      </c>
      <c r="AC1524" s="19">
        <v>46.511276730542555</v>
      </c>
      <c r="AD1524" s="19">
        <v>49.097827285744337</v>
      </c>
      <c r="AE1524" s="19">
        <v>48.922750204982137</v>
      </c>
      <c r="AF1524" s="19">
        <v>45.762439421147931</v>
      </c>
      <c r="AG1524" s="19">
        <v>39.925261849255783</v>
      </c>
      <c r="AH1524" s="19">
        <v>32.763230831074679</v>
      </c>
      <c r="AI1524" s="19">
        <v>11.866536163429643</v>
      </c>
      <c r="AJ1524" s="19">
        <v>0</v>
      </c>
      <c r="AK1524" s="19">
        <v>0</v>
      </c>
      <c r="AL1524" s="19">
        <v>0</v>
      </c>
      <c r="AM1524" s="19">
        <v>0</v>
      </c>
      <c r="AN1524" s="19">
        <v>0</v>
      </c>
      <c r="AO1524" s="19">
        <v>0</v>
      </c>
      <c r="AP1524" s="19">
        <v>0</v>
      </c>
      <c r="AQ1524" s="19">
        <v>0</v>
      </c>
      <c r="AR1524" s="19">
        <v>449.39784086628976</v>
      </c>
    </row>
    <row r="1525" spans="1:44" x14ac:dyDescent="0.25">
      <c r="A1525" t="s">
        <v>435</v>
      </c>
      <c r="B1525" t="s">
        <v>482</v>
      </c>
      <c r="C1525" t="s">
        <v>44</v>
      </c>
      <c r="D1525" t="s">
        <v>212</v>
      </c>
      <c r="E1525" t="s">
        <v>134</v>
      </c>
      <c r="F1525" t="s">
        <v>483</v>
      </c>
      <c r="G1525" t="s">
        <v>33</v>
      </c>
      <c r="H1525" t="s">
        <v>450</v>
      </c>
      <c r="I1525" t="s">
        <v>135</v>
      </c>
      <c r="J1525" t="s">
        <v>39</v>
      </c>
      <c r="K1525" t="s">
        <v>33</v>
      </c>
      <c r="L1525">
        <v>8.2931909248260549E-3</v>
      </c>
      <c r="M1525">
        <v>0</v>
      </c>
      <c r="N1525" s="2">
        <v>0.54981264760003967</v>
      </c>
      <c r="O1525" s="2">
        <v>5.3471683850504297</v>
      </c>
      <c r="P1525" s="1">
        <v>2.8636201715795879</v>
      </c>
      <c r="Q1525" s="1">
        <v>5.2678270918411005</v>
      </c>
      <c r="R1525" s="1">
        <v>-1.8625523936223525</v>
      </c>
      <c r="S1525" s="19">
        <v>0.54571655831431343</v>
      </c>
      <c r="T1525" s="19">
        <v>1.0816881617660674</v>
      </c>
      <c r="U1525" s="19">
        <v>1.9044528787266295</v>
      </c>
      <c r="V1525" s="19">
        <v>3.0718308390499618</v>
      </c>
      <c r="W1525" s="19">
        <v>4.6234429981345144</v>
      </c>
      <c r="X1525" s="19">
        <v>6.5661337683026124</v>
      </c>
      <c r="Y1525" s="19">
        <v>8.8567160925237012</v>
      </c>
      <c r="Z1525" s="19">
        <v>11.385055197037124</v>
      </c>
      <c r="AA1525" s="19">
        <v>13.963063991262482</v>
      </c>
      <c r="AB1525" s="19">
        <v>16.327452547951701</v>
      </c>
      <c r="AC1525" s="19">
        <v>18.164461739268813</v>
      </c>
      <c r="AD1525" s="19">
        <v>19.16124421324988</v>
      </c>
      <c r="AE1525" s="19">
        <v>19.079608341709655</v>
      </c>
      <c r="AF1525" s="19">
        <v>17.834663499050393</v>
      </c>
      <c r="AG1525" s="19">
        <v>15.54893635423214</v>
      </c>
      <c r="AH1525" s="19">
        <v>12.7507812326378</v>
      </c>
      <c r="AI1525" s="19">
        <v>2.937042217117285</v>
      </c>
      <c r="AJ1525" s="19">
        <v>0</v>
      </c>
      <c r="AK1525" s="19">
        <v>0</v>
      </c>
      <c r="AL1525" s="19">
        <v>0</v>
      </c>
      <c r="AM1525" s="19">
        <v>0</v>
      </c>
      <c r="AN1525" s="19">
        <v>0</v>
      </c>
      <c r="AO1525" s="19">
        <v>0</v>
      </c>
      <c r="AP1525" s="19">
        <v>0</v>
      </c>
      <c r="AQ1525" s="19">
        <v>0</v>
      </c>
      <c r="AR1525" s="19">
        <v>173.80229063033508</v>
      </c>
    </row>
    <row r="1526" spans="1:44" x14ac:dyDescent="0.25">
      <c r="A1526" t="s">
        <v>435</v>
      </c>
      <c r="B1526" t="s">
        <v>482</v>
      </c>
      <c r="C1526" t="s">
        <v>44</v>
      </c>
      <c r="D1526" t="s">
        <v>212</v>
      </c>
      <c r="E1526" t="s">
        <v>134</v>
      </c>
      <c r="F1526" t="s">
        <v>483</v>
      </c>
      <c r="G1526" t="s">
        <v>33</v>
      </c>
      <c r="H1526" t="s">
        <v>451</v>
      </c>
      <c r="I1526" t="s">
        <v>135</v>
      </c>
      <c r="J1526" t="s">
        <v>39</v>
      </c>
      <c r="K1526" t="s">
        <v>33</v>
      </c>
      <c r="L1526">
        <v>8.2931909248260549E-3</v>
      </c>
      <c r="M1526">
        <v>0</v>
      </c>
      <c r="N1526" s="2">
        <v>0.54981264760003967</v>
      </c>
      <c r="O1526" s="2">
        <v>5.3471683850504297</v>
      </c>
      <c r="P1526" s="1">
        <v>2.8636201715795879</v>
      </c>
      <c r="Q1526" s="1">
        <v>5.2678270918411005</v>
      </c>
      <c r="R1526" s="1">
        <v>-1.8625523936223525</v>
      </c>
      <c r="S1526" s="19">
        <v>1.0437964110437301</v>
      </c>
      <c r="T1526" s="19">
        <v>2.070396783663905</v>
      </c>
      <c r="U1526" s="19">
        <v>3.6477459080540497</v>
      </c>
      <c r="V1526" s="19">
        <v>5.8878194427884978</v>
      </c>
      <c r="W1526" s="19">
        <v>8.8679969429963492</v>
      </c>
      <c r="X1526" s="19">
        <v>12.60296102117815</v>
      </c>
      <c r="Y1526" s="19">
        <v>17.011336291497763</v>
      </c>
      <c r="Z1526" s="19">
        <v>21.882840108221703</v>
      </c>
      <c r="AA1526" s="19">
        <v>26.85666702869629</v>
      </c>
      <c r="AB1526" s="19">
        <v>31.426256907862168</v>
      </c>
      <c r="AC1526" s="19">
        <v>34.986427556730874</v>
      </c>
      <c r="AD1526" s="19">
        <v>36.932066764737485</v>
      </c>
      <c r="AE1526" s="19">
        <v>36.800371355935503</v>
      </c>
      <c r="AF1526" s="19">
        <v>34.423141744804163</v>
      </c>
      <c r="AG1526" s="19">
        <v>30.032335802453559</v>
      </c>
      <c r="AH1526" s="19">
        <v>24.644956719563144</v>
      </c>
      <c r="AI1526" s="19">
        <v>8.9261731135952811</v>
      </c>
      <c r="AJ1526" s="19">
        <v>0</v>
      </c>
      <c r="AK1526" s="19">
        <v>0</v>
      </c>
      <c r="AL1526" s="19">
        <v>0</v>
      </c>
      <c r="AM1526" s="19">
        <v>0</v>
      </c>
      <c r="AN1526" s="19">
        <v>0</v>
      </c>
      <c r="AO1526" s="19">
        <v>0</v>
      </c>
      <c r="AP1526" s="19">
        <v>0</v>
      </c>
      <c r="AQ1526" s="19">
        <v>0</v>
      </c>
      <c r="AR1526" s="19">
        <v>338.04328990382265</v>
      </c>
    </row>
    <row r="1527" spans="1:44" x14ac:dyDescent="0.25">
      <c r="A1527" t="s">
        <v>435</v>
      </c>
      <c r="B1527" t="s">
        <v>482</v>
      </c>
      <c r="C1527" t="s">
        <v>44</v>
      </c>
      <c r="D1527" t="s">
        <v>212</v>
      </c>
      <c r="E1527" t="s">
        <v>134</v>
      </c>
      <c r="F1527" t="s">
        <v>483</v>
      </c>
      <c r="G1527" t="s">
        <v>33</v>
      </c>
      <c r="H1527" t="s">
        <v>452</v>
      </c>
      <c r="I1527" t="s">
        <v>135</v>
      </c>
      <c r="J1527" t="s">
        <v>39</v>
      </c>
      <c r="K1527" t="s">
        <v>33</v>
      </c>
      <c r="L1527">
        <v>8.2931909248260549E-3</v>
      </c>
      <c r="M1527">
        <v>0</v>
      </c>
      <c r="N1527" s="2">
        <v>0.54981264760003967</v>
      </c>
      <c r="O1527" s="2">
        <v>5.3471683850504297</v>
      </c>
      <c r="P1527" s="1">
        <v>2.8636201715795879</v>
      </c>
      <c r="Q1527" s="1">
        <v>5.2678270918411005</v>
      </c>
      <c r="R1527" s="1">
        <v>-1.8625523936223525</v>
      </c>
      <c r="S1527" s="19">
        <v>10.377753946346768</v>
      </c>
      <c r="T1527" s="19">
        <v>20.584539441639809</v>
      </c>
      <c r="U1527" s="19">
        <v>36.26704316287617</v>
      </c>
      <c r="V1527" s="19">
        <v>58.538562512087125</v>
      </c>
      <c r="W1527" s="19">
        <v>88.168429492248805</v>
      </c>
      <c r="X1527" s="19">
        <v>125.30262327919289</v>
      </c>
      <c r="Y1527" s="19">
        <v>169.13208405765133</v>
      </c>
      <c r="Z1527" s="19">
        <v>217.56611527653448</v>
      </c>
      <c r="AA1527" s="19">
        <v>267.0174751454453</v>
      </c>
      <c r="AB1527" s="19">
        <v>312.44978253791925</v>
      </c>
      <c r="AC1527" s="19">
        <v>347.84612478441255</v>
      </c>
      <c r="AD1527" s="19">
        <v>367.1902849629933</v>
      </c>
      <c r="AE1527" s="19">
        <v>365.88092756920435</v>
      </c>
      <c r="AF1527" s="19">
        <v>342.2457591424207</v>
      </c>
      <c r="AG1527" s="19">
        <v>298.59097817770379</v>
      </c>
      <c r="AH1527" s="19">
        <v>245.02795195305256</v>
      </c>
      <c r="AI1527" s="19">
        <v>88.746835374496499</v>
      </c>
      <c r="AJ1527" s="19">
        <v>0</v>
      </c>
      <c r="AK1527" s="19">
        <v>0</v>
      </c>
      <c r="AL1527" s="19">
        <v>0</v>
      </c>
      <c r="AM1527" s="19">
        <v>0</v>
      </c>
      <c r="AN1527" s="19">
        <v>0</v>
      </c>
      <c r="AO1527" s="19">
        <v>0</v>
      </c>
      <c r="AP1527" s="19">
        <v>0</v>
      </c>
      <c r="AQ1527" s="19">
        <v>0</v>
      </c>
      <c r="AR1527" s="19">
        <v>3360.9332708162256</v>
      </c>
    </row>
    <row r="1528" spans="1:44" x14ac:dyDescent="0.25">
      <c r="A1528" t="s">
        <v>435</v>
      </c>
      <c r="B1528" t="s">
        <v>482</v>
      </c>
      <c r="C1528" t="s">
        <v>44</v>
      </c>
      <c r="D1528" t="s">
        <v>212</v>
      </c>
      <c r="E1528" t="s">
        <v>134</v>
      </c>
      <c r="F1528" t="s">
        <v>483</v>
      </c>
      <c r="G1528" t="s">
        <v>33</v>
      </c>
      <c r="H1528" t="s">
        <v>453</v>
      </c>
      <c r="I1528" t="s">
        <v>135</v>
      </c>
      <c r="J1528" t="s">
        <v>39</v>
      </c>
      <c r="K1528" t="s">
        <v>33</v>
      </c>
      <c r="L1528">
        <v>8.2931909248260549E-3</v>
      </c>
      <c r="M1528">
        <v>0</v>
      </c>
      <c r="N1528" s="2">
        <v>0.54981264760003967</v>
      </c>
      <c r="O1528" s="2">
        <v>5.3471683850504297</v>
      </c>
      <c r="P1528" s="1">
        <v>2.8636201715795879</v>
      </c>
      <c r="Q1528" s="1">
        <v>5.2678270918411005</v>
      </c>
      <c r="R1528" s="1">
        <v>-1.8625523936223525</v>
      </c>
      <c r="S1528" s="19">
        <v>1.4603604661735792</v>
      </c>
      <c r="T1528" s="19">
        <v>2.8966622036306533</v>
      </c>
      <c r="U1528" s="19">
        <v>5.1035085562728595</v>
      </c>
      <c r="V1528" s="19">
        <v>8.2375630489270257</v>
      </c>
      <c r="W1528" s="19">
        <v>12.407086298323614</v>
      </c>
      <c r="X1528" s="19">
        <v>17.632620535312515</v>
      </c>
      <c r="Y1528" s="19">
        <v>23.800314634197772</v>
      </c>
      <c r="Z1528" s="19">
        <v>30.615965185863924</v>
      </c>
      <c r="AA1528" s="19">
        <v>37.574774512471819</v>
      </c>
      <c r="AB1528" s="19">
        <v>43.968021639550877</v>
      </c>
      <c r="AC1528" s="19">
        <v>48.949004916970459</v>
      </c>
      <c r="AD1528" s="19">
        <v>51.671120600400499</v>
      </c>
      <c r="AE1528" s="19">
        <v>51.486867458163061</v>
      </c>
      <c r="AF1528" s="19">
        <v>48.160919882196566</v>
      </c>
      <c r="AG1528" s="19">
        <v>42.017806776033375</v>
      </c>
      <c r="AH1528" s="19">
        <v>34.480402598645348</v>
      </c>
      <c r="AI1528" s="19">
        <v>12.488479737424546</v>
      </c>
      <c r="AJ1528" s="19">
        <v>0</v>
      </c>
      <c r="AK1528" s="19">
        <v>0</v>
      </c>
      <c r="AL1528" s="19">
        <v>0</v>
      </c>
      <c r="AM1528" s="19">
        <v>0</v>
      </c>
      <c r="AN1528" s="19">
        <v>0</v>
      </c>
      <c r="AO1528" s="19">
        <v>0</v>
      </c>
      <c r="AP1528" s="19">
        <v>0</v>
      </c>
      <c r="AQ1528" s="19">
        <v>0</v>
      </c>
      <c r="AR1528" s="19">
        <v>472.95147905055853</v>
      </c>
    </row>
    <row r="1529" spans="1:44" x14ac:dyDescent="0.25">
      <c r="A1529" t="s">
        <v>435</v>
      </c>
      <c r="B1529" t="s">
        <v>482</v>
      </c>
      <c r="C1529" t="s">
        <v>44</v>
      </c>
      <c r="D1529" t="s">
        <v>212</v>
      </c>
      <c r="E1529" t="s">
        <v>134</v>
      </c>
      <c r="F1529" t="s">
        <v>483</v>
      </c>
      <c r="G1529" t="s">
        <v>33</v>
      </c>
      <c r="H1529" t="s">
        <v>454</v>
      </c>
      <c r="I1529" t="s">
        <v>135</v>
      </c>
      <c r="J1529" t="s">
        <v>39</v>
      </c>
      <c r="K1529" t="s">
        <v>33</v>
      </c>
      <c r="L1529">
        <v>8.2931909248260549E-3</v>
      </c>
      <c r="M1529">
        <v>0</v>
      </c>
      <c r="N1529" s="2">
        <v>0.54981264760003967</v>
      </c>
      <c r="O1529" s="2">
        <v>5.3471683850504297</v>
      </c>
      <c r="P1529" s="1">
        <v>2.8636201715795879</v>
      </c>
      <c r="Q1529" s="1">
        <v>5.2678270918411005</v>
      </c>
      <c r="R1529" s="1">
        <v>-1.8625523936223525</v>
      </c>
      <c r="S1529" s="19">
        <v>0.70923139585390671</v>
      </c>
      <c r="T1529" s="19">
        <v>1.4067785492585596</v>
      </c>
      <c r="U1529" s="19">
        <v>2.4785445655083436</v>
      </c>
      <c r="V1529" s="19">
        <v>4.0006138723633837</v>
      </c>
      <c r="W1529" s="19">
        <v>6.0255637821368024</v>
      </c>
      <c r="X1529" s="19">
        <v>8.5633707324254082</v>
      </c>
      <c r="Y1529" s="19">
        <v>11.558742352155605</v>
      </c>
      <c r="Z1529" s="19">
        <v>14.868797277893425</v>
      </c>
      <c r="AA1529" s="19">
        <v>18.248377981774709</v>
      </c>
      <c r="AB1529" s="19">
        <v>21.353290562610287</v>
      </c>
      <c r="AC1529" s="19">
        <v>23.772330110993519</v>
      </c>
      <c r="AD1529" s="19">
        <v>25.094339265961576</v>
      </c>
      <c r="AE1529" s="19">
        <v>25.004855801922091</v>
      </c>
      <c r="AF1529" s="19">
        <v>23.389592655268785</v>
      </c>
      <c r="AG1529" s="19">
        <v>20.406158918125499</v>
      </c>
      <c r="AH1529" s="19">
        <v>16.745580718654729</v>
      </c>
      <c r="AI1529" s="19">
        <v>6.0650929146790675</v>
      </c>
      <c r="AJ1529" s="19">
        <v>0</v>
      </c>
      <c r="AK1529" s="19">
        <v>0</v>
      </c>
      <c r="AL1529" s="19">
        <v>0</v>
      </c>
      <c r="AM1529" s="19">
        <v>0</v>
      </c>
      <c r="AN1529" s="19">
        <v>0</v>
      </c>
      <c r="AO1529" s="19">
        <v>0</v>
      </c>
      <c r="AP1529" s="19">
        <v>0</v>
      </c>
      <c r="AQ1529" s="19">
        <v>0</v>
      </c>
      <c r="AR1529" s="19">
        <v>229.69126145758571</v>
      </c>
    </row>
    <row r="1530" spans="1:44" x14ac:dyDescent="0.25">
      <c r="A1530" t="s">
        <v>435</v>
      </c>
      <c r="B1530" t="s">
        <v>482</v>
      </c>
      <c r="C1530" t="s">
        <v>44</v>
      </c>
      <c r="D1530" t="s">
        <v>212</v>
      </c>
      <c r="E1530" t="s">
        <v>134</v>
      </c>
      <c r="F1530" t="s">
        <v>483</v>
      </c>
      <c r="G1530" t="s">
        <v>33</v>
      </c>
      <c r="H1530" t="s">
        <v>455</v>
      </c>
      <c r="I1530" t="s">
        <v>135</v>
      </c>
      <c r="J1530" t="s">
        <v>39</v>
      </c>
      <c r="K1530" t="s">
        <v>33</v>
      </c>
      <c r="L1530">
        <v>8.2931909248260549E-3</v>
      </c>
      <c r="M1530">
        <v>0</v>
      </c>
      <c r="N1530" s="2">
        <v>0.54981264760003967</v>
      </c>
      <c r="O1530" s="2">
        <v>5.3471683850504297</v>
      </c>
      <c r="P1530" s="1">
        <v>2.8636201715795879</v>
      </c>
      <c r="Q1530" s="1">
        <v>5.2678270918411005</v>
      </c>
      <c r="R1530" s="1">
        <v>-1.8625523936223525</v>
      </c>
      <c r="S1530" s="19">
        <v>0.52944340772108156</v>
      </c>
      <c r="T1530" s="19">
        <v>1.0501644926923019</v>
      </c>
      <c r="U1530" s="19">
        <v>1.8502411041341056</v>
      </c>
      <c r="V1530" s="19">
        <v>2.9864705002379859</v>
      </c>
      <c r="W1530" s="19">
        <v>4.4981018055669679</v>
      </c>
      <c r="X1530" s="19">
        <v>6.3925824613215472</v>
      </c>
      <c r="Y1530" s="19">
        <v>8.6286365432641379</v>
      </c>
      <c r="Z1530" s="19">
        <v>11.099602676280016</v>
      </c>
      <c r="AA1530" s="19">
        <v>13.622470015474761</v>
      </c>
      <c r="AB1530" s="19">
        <v>15.940296760150156</v>
      </c>
      <c r="AC1530" s="19">
        <v>17.74611718687574</v>
      </c>
      <c r="AD1530" s="19">
        <v>18.733001067279893</v>
      </c>
      <c r="AE1530" s="19">
        <v>18.666201387495963</v>
      </c>
      <c r="AF1530" s="19">
        <v>17.460402504748014</v>
      </c>
      <c r="AG1530" s="19">
        <v>15.233260088694356</v>
      </c>
      <c r="AH1530" s="19">
        <v>12.500627259004272</v>
      </c>
      <c r="AI1530" s="19">
        <v>4.5276104239950365</v>
      </c>
      <c r="AJ1530" s="19">
        <v>0</v>
      </c>
      <c r="AK1530" s="19">
        <v>0</v>
      </c>
      <c r="AL1530" s="19">
        <v>0</v>
      </c>
      <c r="AM1530" s="19">
        <v>0</v>
      </c>
      <c r="AN1530" s="19">
        <v>0</v>
      </c>
      <c r="AO1530" s="19">
        <v>0</v>
      </c>
      <c r="AP1530" s="19">
        <v>0</v>
      </c>
      <c r="AQ1530" s="19">
        <v>0</v>
      </c>
      <c r="AR1530" s="19">
        <v>171.4652296849363</v>
      </c>
    </row>
    <row r="1531" spans="1:44" x14ac:dyDescent="0.25">
      <c r="A1531" t="s">
        <v>435</v>
      </c>
      <c r="B1531" t="s">
        <v>482</v>
      </c>
      <c r="C1531" t="s">
        <v>44</v>
      </c>
      <c r="D1531" t="s">
        <v>212</v>
      </c>
      <c r="E1531" t="s">
        <v>134</v>
      </c>
      <c r="F1531" t="s">
        <v>483</v>
      </c>
      <c r="G1531" t="s">
        <v>33</v>
      </c>
      <c r="H1531" t="s">
        <v>456</v>
      </c>
      <c r="I1531" t="s">
        <v>135</v>
      </c>
      <c r="J1531" t="s">
        <v>39</v>
      </c>
      <c r="K1531" t="s">
        <v>33</v>
      </c>
      <c r="L1531">
        <v>8.2931909248260549E-3</v>
      </c>
      <c r="M1531">
        <v>0</v>
      </c>
      <c r="N1531" s="2">
        <v>0.54981264760003967</v>
      </c>
      <c r="O1531" s="2">
        <v>5.3471683850504297</v>
      </c>
      <c r="P1531" s="1">
        <v>2.8636201715795879</v>
      </c>
      <c r="Q1531" s="1">
        <v>5.2678270918411005</v>
      </c>
      <c r="R1531" s="1">
        <v>-1.8625523936223525</v>
      </c>
      <c r="S1531" s="19">
        <v>3.4655245430328483</v>
      </c>
      <c r="T1531" s="19">
        <v>6.8739562540064458</v>
      </c>
      <c r="U1531" s="19">
        <v>12.110937379511013</v>
      </c>
      <c r="V1531" s="19">
        <v>19.548240028461535</v>
      </c>
      <c r="W1531" s="19">
        <v>29.442773253803217</v>
      </c>
      <c r="X1531" s="19">
        <v>41.843285023471303</v>
      </c>
      <c r="Y1531" s="19">
        <v>56.479599665438059</v>
      </c>
      <c r="Z1531" s="19">
        <v>72.653554528392391</v>
      </c>
      <c r="AA1531" s="19">
        <v>89.167233904302819</v>
      </c>
      <c r="AB1531" s="19">
        <v>104.33879965246328</v>
      </c>
      <c r="AC1531" s="19">
        <v>116.15897706493648</v>
      </c>
      <c r="AD1531" s="19">
        <v>122.61872377022708</v>
      </c>
      <c r="AE1531" s="19">
        <v>122.18147981481664</v>
      </c>
      <c r="AF1531" s="19">
        <v>114.28880316385715</v>
      </c>
      <c r="AG1531" s="19">
        <v>99.710820718319738</v>
      </c>
      <c r="AH1531" s="19">
        <v>81.824100437580654</v>
      </c>
      <c r="AI1531" s="19">
        <v>29.635924853959292</v>
      </c>
      <c r="AJ1531" s="19">
        <v>0</v>
      </c>
      <c r="AK1531" s="19">
        <v>0</v>
      </c>
      <c r="AL1531" s="19">
        <v>0</v>
      </c>
      <c r="AM1531" s="19">
        <v>0</v>
      </c>
      <c r="AN1531" s="19">
        <v>0</v>
      </c>
      <c r="AO1531" s="19">
        <v>0</v>
      </c>
      <c r="AP1531" s="19">
        <v>0</v>
      </c>
      <c r="AQ1531" s="19">
        <v>0</v>
      </c>
      <c r="AR1531" s="19">
        <v>1122.3427340565795</v>
      </c>
    </row>
    <row r="1532" spans="1:44" x14ac:dyDescent="0.25">
      <c r="A1532" t="s">
        <v>435</v>
      </c>
      <c r="B1532" t="s">
        <v>482</v>
      </c>
      <c r="C1532" t="s">
        <v>44</v>
      </c>
      <c r="D1532" t="s">
        <v>212</v>
      </c>
      <c r="E1532" t="s">
        <v>134</v>
      </c>
      <c r="F1532" t="s">
        <v>483</v>
      </c>
      <c r="G1532" t="s">
        <v>33</v>
      </c>
      <c r="H1532" t="s">
        <v>457</v>
      </c>
      <c r="I1532" t="s">
        <v>135</v>
      </c>
      <c r="J1532" t="s">
        <v>39</v>
      </c>
      <c r="K1532" t="s">
        <v>33</v>
      </c>
      <c r="L1532">
        <v>8.2931909248260549E-3</v>
      </c>
      <c r="M1532">
        <v>0</v>
      </c>
      <c r="N1532" s="2">
        <v>0.54981264760003967</v>
      </c>
      <c r="O1532" s="2">
        <v>5.3471683850504297</v>
      </c>
      <c r="P1532" s="1">
        <v>2.8636201715795879</v>
      </c>
      <c r="Q1532" s="1">
        <v>5.2678270918411005</v>
      </c>
      <c r="R1532" s="1">
        <v>-1.8625523936223525</v>
      </c>
      <c r="S1532" s="19">
        <v>0.40601373365308074</v>
      </c>
      <c r="T1532" s="19">
        <v>0.80533858843043493</v>
      </c>
      <c r="U1532" s="19">
        <v>1.418892534863031</v>
      </c>
      <c r="V1532" s="19">
        <v>2.2902316292229594</v>
      </c>
      <c r="W1532" s="19">
        <v>3.4494548081936354</v>
      </c>
      <c r="X1532" s="19">
        <v>4.9022732835190874</v>
      </c>
      <c r="Y1532" s="19">
        <v>6.6170338286876866</v>
      </c>
      <c r="Z1532" s="19">
        <v>8.5119411422274514</v>
      </c>
      <c r="AA1532" s="19">
        <v>10.446649881556016</v>
      </c>
      <c r="AB1532" s="19">
        <v>12.224119346361196</v>
      </c>
      <c r="AC1532" s="19">
        <v>13.608947041010872</v>
      </c>
      <c r="AD1532" s="19">
        <v>14.365757689932993</v>
      </c>
      <c r="AE1532" s="19">
        <v>14.314531086673078</v>
      </c>
      <c r="AF1532" s="19">
        <v>13.389841310051816</v>
      </c>
      <c r="AG1532" s="19">
        <v>11.681914845141591</v>
      </c>
      <c r="AH1532" s="19">
        <v>9.5863434550640569</v>
      </c>
      <c r="AI1532" s="19">
        <v>3.4720840527327237</v>
      </c>
      <c r="AJ1532" s="19">
        <v>0</v>
      </c>
      <c r="AK1532" s="19">
        <v>0</v>
      </c>
      <c r="AL1532" s="19">
        <v>0</v>
      </c>
      <c r="AM1532" s="19">
        <v>0</v>
      </c>
      <c r="AN1532" s="19">
        <v>0</v>
      </c>
      <c r="AO1532" s="19">
        <v>0</v>
      </c>
      <c r="AP1532" s="19">
        <v>0</v>
      </c>
      <c r="AQ1532" s="19">
        <v>0</v>
      </c>
      <c r="AR1532" s="19">
        <v>131.49136825732171</v>
      </c>
    </row>
    <row r="1533" spans="1:44" x14ac:dyDescent="0.25">
      <c r="A1533" t="s">
        <v>435</v>
      </c>
      <c r="B1533" t="s">
        <v>482</v>
      </c>
      <c r="C1533" t="s">
        <v>44</v>
      </c>
      <c r="D1533" t="s">
        <v>212</v>
      </c>
      <c r="E1533" t="s">
        <v>134</v>
      </c>
      <c r="F1533" t="s">
        <v>483</v>
      </c>
      <c r="G1533" t="s">
        <v>33</v>
      </c>
      <c r="H1533" t="s">
        <v>457</v>
      </c>
      <c r="I1533" t="s">
        <v>256</v>
      </c>
      <c r="J1533" t="s">
        <v>39</v>
      </c>
      <c r="K1533" t="s">
        <v>33</v>
      </c>
      <c r="L1533">
        <v>8.2931909248260549E-3</v>
      </c>
      <c r="M1533">
        <v>0</v>
      </c>
      <c r="N1533" s="2">
        <v>0.27210099802545729</v>
      </c>
      <c r="O1533" s="2">
        <v>2.6463011728329868</v>
      </c>
      <c r="P1533" s="1">
        <v>4.3265571229284552</v>
      </c>
      <c r="Q1533" s="1">
        <v>1.3498045353129324</v>
      </c>
      <c r="R1533" s="1">
        <v>-0.39961544227348522</v>
      </c>
      <c r="S1533" s="19">
        <v>1.1165650106742262</v>
      </c>
      <c r="T1533" s="19">
        <v>2.2147351556229102</v>
      </c>
      <c r="U1533" s="19">
        <v>3.9020496771880526</v>
      </c>
      <c r="V1533" s="19">
        <v>6.2982906526870899</v>
      </c>
      <c r="W1533" s="19">
        <v>9.4862321776089065</v>
      </c>
      <c r="X1533" s="19">
        <v>13.481580467466362</v>
      </c>
      <c r="Y1533" s="19">
        <v>18.197287025451637</v>
      </c>
      <c r="Z1533" s="19">
        <v>23.40840928413127</v>
      </c>
      <c r="AA1533" s="19">
        <v>28.728988134367224</v>
      </c>
      <c r="AB1533" s="19">
        <v>33.617148429060862</v>
      </c>
      <c r="AC1533" s="19">
        <v>37.425517509944413</v>
      </c>
      <c r="AD1533" s="19">
        <v>39.506797575741714</v>
      </c>
      <c r="AE1533" s="19">
        <v>39.365920979521505</v>
      </c>
      <c r="AF1533" s="19">
        <v>36.822962048024699</v>
      </c>
      <c r="AG1533" s="19">
        <v>32.12604966931012</v>
      </c>
      <c r="AH1533" s="19">
        <v>26.36308773578644</v>
      </c>
      <c r="AI1533" s="19">
        <v>9.5484641184917027</v>
      </c>
      <c r="AJ1533" s="19">
        <v>0</v>
      </c>
      <c r="AK1533" s="19">
        <v>0</v>
      </c>
      <c r="AL1533" s="19">
        <v>0</v>
      </c>
      <c r="AM1533" s="19">
        <v>0</v>
      </c>
      <c r="AN1533" s="19">
        <v>0</v>
      </c>
      <c r="AO1533" s="19">
        <v>0</v>
      </c>
      <c r="AP1533" s="19">
        <v>0</v>
      </c>
      <c r="AQ1533" s="19">
        <v>0</v>
      </c>
      <c r="AR1533" s="19">
        <v>361.61008565107915</v>
      </c>
    </row>
    <row r="1534" spans="1:44" x14ac:dyDescent="0.25">
      <c r="A1534" t="s">
        <v>435</v>
      </c>
      <c r="B1534" t="s">
        <v>482</v>
      </c>
      <c r="C1534" t="s">
        <v>44</v>
      </c>
      <c r="D1534" t="s">
        <v>212</v>
      </c>
      <c r="E1534" t="s">
        <v>134</v>
      </c>
      <c r="F1534" t="s">
        <v>483</v>
      </c>
      <c r="G1534" t="s">
        <v>33</v>
      </c>
      <c r="H1534" t="s">
        <v>452</v>
      </c>
      <c r="I1534" t="s">
        <v>135</v>
      </c>
      <c r="J1534" t="s">
        <v>40</v>
      </c>
      <c r="K1534" t="s">
        <v>33</v>
      </c>
      <c r="L1534">
        <v>8.2931909248260549E-3</v>
      </c>
      <c r="M1534">
        <v>0</v>
      </c>
      <c r="N1534" s="2">
        <v>0.54981264760003967</v>
      </c>
      <c r="O1534" s="2">
        <v>4.1746294160814532</v>
      </c>
      <c r="P1534" s="1">
        <v>2.8636201715795879</v>
      </c>
      <c r="Q1534" s="1">
        <v>1.3498045353129324</v>
      </c>
      <c r="R1534" s="1">
        <v>-1.7195523936223529</v>
      </c>
      <c r="S1534" s="19">
        <v>0.75988631487532721</v>
      </c>
      <c r="T1534" s="19">
        <v>1.5072538721367399</v>
      </c>
      <c r="U1534" s="19">
        <v>2.6555678543683152</v>
      </c>
      <c r="V1534" s="19">
        <v>4.2863468121700725</v>
      </c>
      <c r="W1534" s="19">
        <v>6.4559232490567036</v>
      </c>
      <c r="X1534" s="19">
        <v>9.1749861424837142</v>
      </c>
      <c r="Y1534" s="19">
        <v>12.384294014505466</v>
      </c>
      <c r="Z1534" s="19">
        <v>15.930760589811936</v>
      </c>
      <c r="AA1534" s="19">
        <v>19.551718632432365</v>
      </c>
      <c r="AB1534" s="19">
        <v>22.878391130088112</v>
      </c>
      <c r="AC1534" s="19">
        <v>25.470203983699093</v>
      </c>
      <c r="AD1534" s="19">
        <v>26.886634038646989</v>
      </c>
      <c r="AE1534" s="19">
        <v>26.79075946212831</v>
      </c>
      <c r="AF1534" s="19">
        <v>25.060130548575337</v>
      </c>
      <c r="AG1534" s="19">
        <v>21.863613189860544</v>
      </c>
      <c r="AH1534" s="19">
        <v>17.941588171552148</v>
      </c>
      <c r="AI1534" s="19">
        <v>6.498275642130853</v>
      </c>
      <c r="AJ1534" s="19">
        <v>0</v>
      </c>
      <c r="AK1534" s="19">
        <v>0</v>
      </c>
      <c r="AL1534" s="19">
        <v>0</v>
      </c>
      <c r="AM1534" s="19">
        <v>0</v>
      </c>
      <c r="AN1534" s="19">
        <v>0</v>
      </c>
      <c r="AO1534" s="19">
        <v>0</v>
      </c>
      <c r="AP1534" s="19">
        <v>0</v>
      </c>
      <c r="AQ1534" s="19">
        <v>0</v>
      </c>
      <c r="AR1534" s="19">
        <v>246.09633364852203</v>
      </c>
    </row>
    <row r="1535" spans="1:44" x14ac:dyDescent="0.25">
      <c r="A1535" t="s">
        <v>435</v>
      </c>
      <c r="B1535" t="s">
        <v>482</v>
      </c>
      <c r="C1535" t="s">
        <v>44</v>
      </c>
      <c r="D1535" t="s">
        <v>212</v>
      </c>
      <c r="E1535" t="s">
        <v>134</v>
      </c>
      <c r="F1535" t="s">
        <v>483</v>
      </c>
      <c r="G1535" t="s">
        <v>33</v>
      </c>
      <c r="H1535" t="s">
        <v>453</v>
      </c>
      <c r="I1535" t="s">
        <v>135</v>
      </c>
      <c r="J1535" t="s">
        <v>40</v>
      </c>
      <c r="K1535" t="s">
        <v>33</v>
      </c>
      <c r="L1535">
        <v>8.2931909248260549E-3</v>
      </c>
      <c r="M1535">
        <v>0</v>
      </c>
      <c r="N1535" s="2">
        <v>0.54981264760003967</v>
      </c>
      <c r="O1535" s="2">
        <v>4.1746294160814532</v>
      </c>
      <c r="P1535" s="1">
        <v>2.8636201715795879</v>
      </c>
      <c r="Q1535" s="1">
        <v>1.3498045353129324</v>
      </c>
      <c r="R1535" s="1">
        <v>-1.7195523936223529</v>
      </c>
      <c r="S1535" s="19">
        <v>29.739680569892823</v>
      </c>
      <c r="T1535" s="19">
        <v>58.989414360535115</v>
      </c>
      <c r="U1535" s="19">
        <v>103.93099359020135</v>
      </c>
      <c r="V1535" s="19">
        <v>167.75481083197403</v>
      </c>
      <c r="W1535" s="19">
        <v>252.6655520071993</v>
      </c>
      <c r="X1535" s="19">
        <v>359.08155176531449</v>
      </c>
      <c r="Y1535" s="19">
        <v>484.68427561490574</v>
      </c>
      <c r="Z1535" s="19">
        <v>623.48238401184494</v>
      </c>
      <c r="AA1535" s="19">
        <v>765.19586593207634</v>
      </c>
      <c r="AB1535" s="19">
        <v>895.391890658698</v>
      </c>
      <c r="AC1535" s="19">
        <v>996.827703956611</v>
      </c>
      <c r="AD1535" s="19">
        <v>1052.2625454047788</v>
      </c>
      <c r="AE1535" s="19">
        <v>1048.5103008589522</v>
      </c>
      <c r="AF1535" s="19">
        <v>980.77865460272164</v>
      </c>
      <c r="AG1535" s="19">
        <v>855.67651323846746</v>
      </c>
      <c r="AH1535" s="19">
        <v>702.18016918237458</v>
      </c>
      <c r="AI1535" s="19">
        <v>254.32309816475288</v>
      </c>
      <c r="AJ1535" s="19">
        <v>0</v>
      </c>
      <c r="AK1535" s="19">
        <v>0</v>
      </c>
      <c r="AL1535" s="19">
        <v>0</v>
      </c>
      <c r="AM1535" s="19">
        <v>0</v>
      </c>
      <c r="AN1535" s="19">
        <v>0</v>
      </c>
      <c r="AO1535" s="19">
        <v>0</v>
      </c>
      <c r="AP1535" s="19">
        <v>0</v>
      </c>
      <c r="AQ1535" s="19">
        <v>0</v>
      </c>
      <c r="AR1535" s="19">
        <v>9631.4754047513015</v>
      </c>
    </row>
    <row r="1536" spans="1:44" x14ac:dyDescent="0.25">
      <c r="A1536" t="s">
        <v>435</v>
      </c>
      <c r="B1536" t="s">
        <v>482</v>
      </c>
      <c r="C1536" t="s">
        <v>44</v>
      </c>
      <c r="D1536" t="s">
        <v>212</v>
      </c>
      <c r="E1536" t="s">
        <v>134</v>
      </c>
      <c r="F1536" t="s">
        <v>483</v>
      </c>
      <c r="G1536" t="s">
        <v>33</v>
      </c>
      <c r="H1536" t="s">
        <v>456</v>
      </c>
      <c r="I1536" t="s">
        <v>135</v>
      </c>
      <c r="J1536" t="s">
        <v>40</v>
      </c>
      <c r="K1536" t="s">
        <v>33</v>
      </c>
      <c r="L1536">
        <v>8.2931909248260549E-3</v>
      </c>
      <c r="M1536">
        <v>0</v>
      </c>
      <c r="N1536" s="2">
        <v>0.54981264760003967</v>
      </c>
      <c r="O1536" s="2">
        <v>4.1746294160814532</v>
      </c>
      <c r="P1536" s="1">
        <v>2.8636201715795879</v>
      </c>
      <c r="Q1536" s="1">
        <v>1.3498045353129324</v>
      </c>
      <c r="R1536" s="1">
        <v>-1.7195523936223529</v>
      </c>
      <c r="S1536" s="19">
        <v>12.793724692877078</v>
      </c>
      <c r="T1536" s="19">
        <v>25.376678991191177</v>
      </c>
      <c r="U1536" s="19">
        <v>44.710114351271933</v>
      </c>
      <c r="V1536" s="19">
        <v>72.166506988736046</v>
      </c>
      <c r="W1536" s="19">
        <v>108.69429159324598</v>
      </c>
      <c r="X1536" s="19">
        <v>154.47343170952814</v>
      </c>
      <c r="Y1536" s="19">
        <v>208.50651608750636</v>
      </c>
      <c r="Z1536" s="19">
        <v>268.21612805019294</v>
      </c>
      <c r="AA1536" s="19">
        <v>329.1799056770414</v>
      </c>
      <c r="AB1536" s="19">
        <v>385.18898393680217</v>
      </c>
      <c r="AC1536" s="19">
        <v>428.82569571256209</v>
      </c>
      <c r="AD1536" s="19">
        <v>452.67323160705081</v>
      </c>
      <c r="AE1536" s="19">
        <v>451.05905207385666</v>
      </c>
      <c r="AF1536" s="19">
        <v>421.92154896043041</v>
      </c>
      <c r="AG1536" s="19">
        <v>368.10381035553235</v>
      </c>
      <c r="AH1536" s="19">
        <v>302.07115870678376</v>
      </c>
      <c r="AI1536" s="19">
        <v>109.40735201619296</v>
      </c>
      <c r="AJ1536" s="19">
        <v>0</v>
      </c>
      <c r="AK1536" s="19">
        <v>0</v>
      </c>
      <c r="AL1536" s="19">
        <v>0</v>
      </c>
      <c r="AM1536" s="19">
        <v>0</v>
      </c>
      <c r="AN1536" s="19">
        <v>0</v>
      </c>
      <c r="AO1536" s="19">
        <v>0</v>
      </c>
      <c r="AP1536" s="19">
        <v>0</v>
      </c>
      <c r="AQ1536" s="19">
        <v>0</v>
      </c>
      <c r="AR1536" s="19">
        <v>4143.3681315108024</v>
      </c>
    </row>
    <row r="1537" spans="1:44" x14ac:dyDescent="0.25">
      <c r="A1537" t="s">
        <v>435</v>
      </c>
      <c r="B1537" t="s">
        <v>482</v>
      </c>
      <c r="C1537" t="s">
        <v>44</v>
      </c>
      <c r="D1537" t="s">
        <v>212</v>
      </c>
      <c r="E1537" t="s">
        <v>134</v>
      </c>
      <c r="F1537" t="s">
        <v>483</v>
      </c>
      <c r="G1537" t="s">
        <v>33</v>
      </c>
      <c r="H1537" t="s">
        <v>450</v>
      </c>
      <c r="I1537" t="s">
        <v>256</v>
      </c>
      <c r="J1537" t="s">
        <v>40</v>
      </c>
      <c r="K1537" t="s">
        <v>33</v>
      </c>
      <c r="L1537">
        <v>8.2931909248260549E-3</v>
      </c>
      <c r="M1537">
        <v>0</v>
      </c>
      <c r="N1537" s="2">
        <v>0.27210099802545729</v>
      </c>
      <c r="O1537" s="2">
        <v>1.4737622038640097</v>
      </c>
      <c r="P1537" s="1">
        <v>4.3265571229284552</v>
      </c>
      <c r="Q1537" s="1">
        <v>1.3498045353129324</v>
      </c>
      <c r="R1537" s="1">
        <v>-0.25661544227348526</v>
      </c>
      <c r="S1537" s="19">
        <v>14.255210303319576</v>
      </c>
      <c r="T1537" s="19">
        <v>28.275572947154838</v>
      </c>
      <c r="U1537" s="19">
        <v>49.817554939078434</v>
      </c>
      <c r="V1537" s="19">
        <v>80.410416721970876</v>
      </c>
      <c r="W1537" s="19">
        <v>121.110937012325</v>
      </c>
      <c r="X1537" s="19">
        <v>172.11963741261326</v>
      </c>
      <c r="Y1537" s="19">
        <v>232.32516782971925</v>
      </c>
      <c r="Z1537" s="19">
        <v>298.85568150659992</v>
      </c>
      <c r="AA1537" s="19">
        <v>366.78362992019822</v>
      </c>
      <c r="AB1537" s="19">
        <v>429.19088102608578</v>
      </c>
      <c r="AC1537" s="19">
        <v>477.8124137103967</v>
      </c>
      <c r="AD1537" s="19">
        <v>504.38416256014091</v>
      </c>
      <c r="AE1537" s="19">
        <v>502.58558792567118</v>
      </c>
      <c r="AF1537" s="19">
        <v>470.11957473822383</v>
      </c>
      <c r="AG1537" s="19">
        <v>410.15399002550657</v>
      </c>
      <c r="AH1537" s="19">
        <v>336.57812695704229</v>
      </c>
      <c r="AI1537" s="19">
        <v>121.9054535844796</v>
      </c>
      <c r="AJ1537" s="19">
        <v>0</v>
      </c>
      <c r="AK1537" s="19">
        <v>0</v>
      </c>
      <c r="AL1537" s="19">
        <v>0</v>
      </c>
      <c r="AM1537" s="19">
        <v>0</v>
      </c>
      <c r="AN1537" s="19">
        <v>0</v>
      </c>
      <c r="AO1537" s="19">
        <v>0</v>
      </c>
      <c r="AP1537" s="19">
        <v>0</v>
      </c>
      <c r="AQ1537" s="19">
        <v>0</v>
      </c>
      <c r="AR1537" s="19">
        <v>4616.6839991205261</v>
      </c>
    </row>
    <row r="1538" spans="1:44" x14ac:dyDescent="0.25">
      <c r="A1538" t="s">
        <v>435</v>
      </c>
      <c r="B1538" t="s">
        <v>482</v>
      </c>
      <c r="C1538" t="s">
        <v>44</v>
      </c>
      <c r="D1538" t="s">
        <v>212</v>
      </c>
      <c r="E1538" t="s">
        <v>134</v>
      </c>
      <c r="F1538" t="s">
        <v>483</v>
      </c>
      <c r="G1538" t="s">
        <v>33</v>
      </c>
      <c r="H1538" t="s">
        <v>452</v>
      </c>
      <c r="I1538" t="s">
        <v>256</v>
      </c>
      <c r="J1538" t="s">
        <v>40</v>
      </c>
      <c r="K1538" t="s">
        <v>33</v>
      </c>
      <c r="L1538">
        <v>8.2931909248260549E-3</v>
      </c>
      <c r="M1538">
        <v>0</v>
      </c>
      <c r="N1538" s="2">
        <v>0.27210099802545729</v>
      </c>
      <c r="O1538" s="2">
        <v>1.4737622038640097</v>
      </c>
      <c r="P1538" s="1">
        <v>4.3265571229284552</v>
      </c>
      <c r="Q1538" s="1">
        <v>1.3498045353129324</v>
      </c>
      <c r="R1538" s="1">
        <v>-0.25661544227348526</v>
      </c>
      <c r="S1538" s="19">
        <v>4.5821999405234823</v>
      </c>
      <c r="T1538" s="19">
        <v>9.0889103646930405</v>
      </c>
      <c r="U1538" s="19">
        <v>16.013372824511251</v>
      </c>
      <c r="V1538" s="19">
        <v>25.847153348209943</v>
      </c>
      <c r="W1538" s="19">
        <v>38.929943267507461</v>
      </c>
      <c r="X1538" s="19">
        <v>55.3261983186134</v>
      </c>
      <c r="Y1538" s="19">
        <v>74.67868572682832</v>
      </c>
      <c r="Z1538" s="19">
        <v>96.064278034940941</v>
      </c>
      <c r="AA1538" s="19">
        <v>117.89906226875829</v>
      </c>
      <c r="AB1538" s="19">
        <v>137.95927156914584</v>
      </c>
      <c r="AC1538" s="19">
        <v>153.5881945687826</v>
      </c>
      <c r="AD1538" s="19">
        <v>162.12942710118159</v>
      </c>
      <c r="AE1538" s="19">
        <v>161.551292622087</v>
      </c>
      <c r="AF1538" s="19">
        <v>151.11540563542405</v>
      </c>
      <c r="AG1538" s="19">
        <v>131.84004646095551</v>
      </c>
      <c r="AH1538" s="19">
        <v>108.18979450376258</v>
      </c>
      <c r="AI1538" s="19">
        <v>39.185332960974627</v>
      </c>
      <c r="AJ1538" s="19">
        <v>0</v>
      </c>
      <c r="AK1538" s="19">
        <v>0</v>
      </c>
      <c r="AL1538" s="19">
        <v>0</v>
      </c>
      <c r="AM1538" s="19">
        <v>0</v>
      </c>
      <c r="AN1538" s="19">
        <v>0</v>
      </c>
      <c r="AO1538" s="19">
        <v>0</v>
      </c>
      <c r="AP1538" s="19">
        <v>0</v>
      </c>
      <c r="AQ1538" s="19">
        <v>0</v>
      </c>
      <c r="AR1538" s="19">
        <v>1483.9885695168998</v>
      </c>
    </row>
    <row r="1539" spans="1:44" x14ac:dyDescent="0.25">
      <c r="A1539" t="s">
        <v>435</v>
      </c>
      <c r="B1539" t="s">
        <v>482</v>
      </c>
      <c r="C1539" t="s">
        <v>44</v>
      </c>
      <c r="D1539" t="s">
        <v>212</v>
      </c>
      <c r="E1539" t="s">
        <v>134</v>
      </c>
      <c r="F1539" t="s">
        <v>483</v>
      </c>
      <c r="G1539" t="s">
        <v>33</v>
      </c>
      <c r="H1539" t="s">
        <v>453</v>
      </c>
      <c r="I1539" t="s">
        <v>256</v>
      </c>
      <c r="J1539" t="s">
        <v>40</v>
      </c>
      <c r="K1539" t="s">
        <v>33</v>
      </c>
      <c r="L1539">
        <v>8.2931909248260549E-3</v>
      </c>
      <c r="M1539">
        <v>0</v>
      </c>
      <c r="N1539" s="2">
        <v>0.27210099802545729</v>
      </c>
      <c r="O1539" s="2">
        <v>1.4737622038640097</v>
      </c>
      <c r="P1539" s="1">
        <v>4.3265571229284552</v>
      </c>
      <c r="Q1539" s="1">
        <v>1.3498045353129324</v>
      </c>
      <c r="R1539" s="1">
        <v>-0.25661544227348526</v>
      </c>
      <c r="S1539" s="19">
        <v>15.309905509124675</v>
      </c>
      <c r="T1539" s="19">
        <v>30.367587767996305</v>
      </c>
      <c r="U1539" s="19">
        <v>53.503388766934535</v>
      </c>
      <c r="V1539" s="19">
        <v>86.359713800647</v>
      </c>
      <c r="W1539" s="19">
        <v>130.07152909897539</v>
      </c>
      <c r="X1539" s="19">
        <v>184.85419218531425</v>
      </c>
      <c r="Y1539" s="19">
        <v>249.51412790004591</v>
      </c>
      <c r="Z1539" s="19">
        <v>320.96701117524918</v>
      </c>
      <c r="AA1539" s="19">
        <v>393.92072069707314</v>
      </c>
      <c r="AB1539" s="19">
        <v>460.94527503092678</v>
      </c>
      <c r="AC1539" s="19">
        <v>513.16415186729819</v>
      </c>
      <c r="AD1539" s="19">
        <v>541.70185530665344</v>
      </c>
      <c r="AE1539" s="19">
        <v>539.77021016646017</v>
      </c>
      <c r="AF1539" s="19">
        <v>504.90214553734216</v>
      </c>
      <c r="AG1539" s="19">
        <v>440.49990830501434</v>
      </c>
      <c r="AH1539" s="19">
        <v>361.48041386316993</v>
      </c>
      <c r="AI1539" s="19">
        <v>130.92482928790878</v>
      </c>
      <c r="AJ1539" s="19">
        <v>0</v>
      </c>
      <c r="AK1539" s="19">
        <v>0</v>
      </c>
      <c r="AL1539" s="19">
        <v>0</v>
      </c>
      <c r="AM1539" s="19">
        <v>0</v>
      </c>
      <c r="AN1539" s="19">
        <v>0</v>
      </c>
      <c r="AO1539" s="19">
        <v>0</v>
      </c>
      <c r="AP1539" s="19">
        <v>0</v>
      </c>
      <c r="AQ1539" s="19">
        <v>0</v>
      </c>
      <c r="AR1539" s="19">
        <v>4958.2569662661335</v>
      </c>
    </row>
    <row r="1540" spans="1:44" x14ac:dyDescent="0.25">
      <c r="A1540" t="s">
        <v>435</v>
      </c>
      <c r="B1540" t="s">
        <v>482</v>
      </c>
      <c r="C1540" t="s">
        <v>44</v>
      </c>
      <c r="D1540" t="s">
        <v>212</v>
      </c>
      <c r="E1540" t="s">
        <v>134</v>
      </c>
      <c r="F1540" t="s">
        <v>483</v>
      </c>
      <c r="G1540" t="s">
        <v>33</v>
      </c>
      <c r="H1540" t="s">
        <v>456</v>
      </c>
      <c r="I1540" t="s">
        <v>256</v>
      </c>
      <c r="J1540" t="s">
        <v>40</v>
      </c>
      <c r="K1540" t="s">
        <v>33</v>
      </c>
      <c r="L1540">
        <v>8.2931909248260549E-3</v>
      </c>
      <c r="M1540">
        <v>0</v>
      </c>
      <c r="N1540" s="2">
        <v>0.27210099802545729</v>
      </c>
      <c r="O1540" s="2">
        <v>1.4737622038640097</v>
      </c>
      <c r="P1540" s="1">
        <v>4.3265571229284552</v>
      </c>
      <c r="Q1540" s="1">
        <v>1.3498045353129324</v>
      </c>
      <c r="R1540" s="1">
        <v>-0.25661544227348526</v>
      </c>
      <c r="S1540" s="19">
        <v>19.212081585268248</v>
      </c>
      <c r="T1540" s="19">
        <v>38.107653466497176</v>
      </c>
      <c r="U1540" s="19">
        <v>67.140288322879456</v>
      </c>
      <c r="V1540" s="19">
        <v>108.37100635465036</v>
      </c>
      <c r="W1540" s="19">
        <v>163.22405304727334</v>
      </c>
      <c r="X1540" s="19">
        <v>231.9696760719043</v>
      </c>
      <c r="Y1540" s="19">
        <v>313.11008281767062</v>
      </c>
      <c r="Z1540" s="19">
        <v>402.7748179897913</v>
      </c>
      <c r="AA1540" s="19">
        <v>494.3229087631729</v>
      </c>
      <c r="AB1540" s="19">
        <v>578.43062616944871</v>
      </c>
      <c r="AC1540" s="19">
        <v>643.95900722140982</v>
      </c>
      <c r="AD1540" s="19">
        <v>679.77037695235401</v>
      </c>
      <c r="AE1540" s="19">
        <v>677.34639569361536</v>
      </c>
      <c r="AF1540" s="19">
        <v>633.59118753927578</v>
      </c>
      <c r="AG1540" s="19">
        <v>552.77416125234959</v>
      </c>
      <c r="AH1540" s="19">
        <v>453.61424330650971</v>
      </c>
      <c r="AI1540" s="19">
        <v>164.29484168386881</v>
      </c>
      <c r="AJ1540" s="19">
        <v>0</v>
      </c>
      <c r="AK1540" s="19">
        <v>0</v>
      </c>
      <c r="AL1540" s="19">
        <v>0</v>
      </c>
      <c r="AM1540" s="19">
        <v>0</v>
      </c>
      <c r="AN1540" s="19">
        <v>0</v>
      </c>
      <c r="AO1540" s="19">
        <v>0</v>
      </c>
      <c r="AP1540" s="19">
        <v>0</v>
      </c>
      <c r="AQ1540" s="19">
        <v>0</v>
      </c>
      <c r="AR1540" s="19">
        <v>6222.01340823794</v>
      </c>
    </row>
    <row r="1541" spans="1:44" x14ac:dyDescent="0.25">
      <c r="A1541" t="s">
        <v>435</v>
      </c>
      <c r="B1541" t="s">
        <v>482</v>
      </c>
      <c r="C1541" t="s">
        <v>44</v>
      </c>
      <c r="D1541" t="s">
        <v>212</v>
      </c>
      <c r="E1541" t="s">
        <v>134</v>
      </c>
      <c r="F1541" t="s">
        <v>483</v>
      </c>
      <c r="G1541" t="s">
        <v>33</v>
      </c>
      <c r="H1541" t="s">
        <v>457</v>
      </c>
      <c r="I1541" t="s">
        <v>256</v>
      </c>
      <c r="J1541" t="s">
        <v>40</v>
      </c>
      <c r="K1541" t="s">
        <v>33</v>
      </c>
      <c r="L1541">
        <v>8.2931909248260549E-3</v>
      </c>
      <c r="M1541">
        <v>0</v>
      </c>
      <c r="N1541" s="2">
        <v>0.27210099802545729</v>
      </c>
      <c r="O1541" s="2">
        <v>1.4737622038640097</v>
      </c>
      <c r="P1541" s="1">
        <v>4.3265571229284552</v>
      </c>
      <c r="Q1541" s="1">
        <v>1.3498045353129324</v>
      </c>
      <c r="R1541" s="1">
        <v>-0.25661544227348526</v>
      </c>
      <c r="S1541" s="19">
        <v>10.216998178377006</v>
      </c>
      <c r="T1541" s="19">
        <v>20.265676278825129</v>
      </c>
      <c r="U1541" s="19">
        <v>35.705251429734041</v>
      </c>
      <c r="V1541" s="19">
        <v>57.631775588719243</v>
      </c>
      <c r="W1541" s="19">
        <v>86.802663482860623</v>
      </c>
      <c r="X1541" s="19">
        <v>123.36163300923536</v>
      </c>
      <c r="Y1541" s="19">
        <v>166.51215702897233</v>
      </c>
      <c r="Z1541" s="19">
        <v>214.19592475878869</v>
      </c>
      <c r="AA1541" s="19">
        <v>262.88126229049857</v>
      </c>
      <c r="AB1541" s="19">
        <v>307.6098041568988</v>
      </c>
      <c r="AC1541" s="19">
        <v>342.45784219319643</v>
      </c>
      <c r="AD1541" s="19">
        <v>361.50235320478834</v>
      </c>
      <c r="AE1541" s="19">
        <v>360.21327830704558</v>
      </c>
      <c r="AF1541" s="19">
        <v>336.94422856752186</v>
      </c>
      <c r="AG1541" s="19">
        <v>293.96567849783446</v>
      </c>
      <c r="AH1541" s="19">
        <v>241.23236604940553</v>
      </c>
      <c r="AI1541" s="19">
        <v>87.372109615023561</v>
      </c>
      <c r="AJ1541" s="19">
        <v>0</v>
      </c>
      <c r="AK1541" s="19">
        <v>0</v>
      </c>
      <c r="AL1541" s="19">
        <v>0</v>
      </c>
      <c r="AM1541" s="19">
        <v>0</v>
      </c>
      <c r="AN1541" s="19">
        <v>0</v>
      </c>
      <c r="AO1541" s="19">
        <v>0</v>
      </c>
      <c r="AP1541" s="19">
        <v>0</v>
      </c>
      <c r="AQ1541" s="19">
        <v>0</v>
      </c>
      <c r="AR1541" s="19">
        <v>3308.8710026377262</v>
      </c>
    </row>
  </sheetData>
  <phoneticPr fontId="3" type="noConversion"/>
  <pageMargins left="0.7" right="0.7" top="0.75" bottom="0.75" header="0.3" footer="0.3"/>
  <pageSetup orientation="portrait" r:id="rId1"/>
  <headerFooter>
    <oddHeader>&amp;RNWN 2025 CPA 
CPA Summary/ &amp;A &amp;P of &amp;N</oddHeader>
  </headerFooter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82C76-1B6C-4BCD-BF51-7578F08E7BB4}">
  <sheetPr>
    <tabColor theme="4"/>
  </sheetPr>
  <dimension ref="A1:AR1541"/>
  <sheetViews>
    <sheetView zoomScale="85" zoomScaleNormal="85" workbookViewId="0"/>
  </sheetViews>
  <sheetFormatPr defaultRowHeight="15" x14ac:dyDescent="0.25"/>
  <cols>
    <col min="1" max="1" width="45.5703125" bestFit="1" customWidth="1"/>
    <col min="2" max="2" width="81" bestFit="1" customWidth="1"/>
    <col min="3" max="3" width="13" bestFit="1" customWidth="1"/>
    <col min="4" max="4" width="33.7109375" bestFit="1" customWidth="1"/>
    <col min="5" max="5" width="12.7109375" bestFit="1" customWidth="1"/>
    <col min="6" max="6" width="37.42578125" bestFit="1" customWidth="1"/>
    <col min="7" max="7" width="11" bestFit="1" customWidth="1"/>
    <col min="8" max="8" width="25.7109375" bestFit="1" customWidth="1"/>
    <col min="9" max="9" width="18.28515625" bestFit="1" customWidth="1"/>
    <col min="10" max="10" width="16.7109375" bestFit="1" customWidth="1"/>
    <col min="11" max="11" width="12" bestFit="1" customWidth="1"/>
    <col min="12" max="12" width="26" bestFit="1" customWidth="1"/>
    <col min="13" max="13" width="15.140625" bestFit="1" customWidth="1"/>
    <col min="14" max="14" width="12.42578125" bestFit="1" customWidth="1"/>
    <col min="15" max="15" width="11.7109375" bestFit="1" customWidth="1"/>
    <col min="16" max="16" width="32.140625" bestFit="1" customWidth="1"/>
    <col min="17" max="17" width="34.28515625" bestFit="1" customWidth="1"/>
    <col min="18" max="18" width="28.28515625" bestFit="1" customWidth="1"/>
    <col min="19" max="43" width="31.7109375" bestFit="1" customWidth="1"/>
    <col min="44" max="46" width="22.140625" bestFit="1" customWidth="1"/>
    <col min="47" max="71" width="22.28515625" bestFit="1" customWidth="1"/>
    <col min="72" max="72" width="12.5703125" bestFit="1" customWidth="1"/>
  </cols>
  <sheetData>
    <row r="1" spans="1:44" x14ac:dyDescent="0.25">
      <c r="A1" t="s">
        <v>92</v>
      </c>
      <c r="B1" t="s">
        <v>93</v>
      </c>
      <c r="C1" t="s">
        <v>94</v>
      </c>
      <c r="D1" t="s">
        <v>95</v>
      </c>
      <c r="E1" t="s">
        <v>96</v>
      </c>
      <c r="F1" t="s">
        <v>97</v>
      </c>
      <c r="G1" t="s">
        <v>60</v>
      </c>
      <c r="H1" t="s">
        <v>50</v>
      </c>
      <c r="I1" t="s">
        <v>98</v>
      </c>
      <c r="J1" t="s">
        <v>99</v>
      </c>
      <c r="K1" t="s">
        <v>100</v>
      </c>
      <c r="L1" t="s">
        <v>101</v>
      </c>
      <c r="M1" t="s">
        <v>32</v>
      </c>
      <c r="N1" t="s">
        <v>102</v>
      </c>
      <c r="O1" t="s">
        <v>103</v>
      </c>
      <c r="P1" t="s">
        <v>87</v>
      </c>
      <c r="Q1" t="s">
        <v>88</v>
      </c>
      <c r="R1" t="s">
        <v>104</v>
      </c>
      <c r="S1" t="s">
        <v>484</v>
      </c>
      <c r="T1" t="s">
        <v>485</v>
      </c>
      <c r="U1" t="s">
        <v>486</v>
      </c>
      <c r="V1" t="s">
        <v>487</v>
      </c>
      <c r="W1" t="s">
        <v>488</v>
      </c>
      <c r="X1" t="s">
        <v>489</v>
      </c>
      <c r="Y1" t="s">
        <v>490</v>
      </c>
      <c r="Z1" t="s">
        <v>491</v>
      </c>
      <c r="AA1" t="s">
        <v>492</v>
      </c>
      <c r="AB1" t="s">
        <v>493</v>
      </c>
      <c r="AC1" t="s">
        <v>494</v>
      </c>
      <c r="AD1" t="s">
        <v>495</v>
      </c>
      <c r="AE1" t="s">
        <v>496</v>
      </c>
      <c r="AF1" t="s">
        <v>497</v>
      </c>
      <c r="AG1" t="s">
        <v>498</v>
      </c>
      <c r="AH1" t="s">
        <v>499</v>
      </c>
      <c r="AI1" t="s">
        <v>500</v>
      </c>
      <c r="AJ1" t="s">
        <v>501</v>
      </c>
      <c r="AK1" t="s">
        <v>502</v>
      </c>
      <c r="AL1" t="s">
        <v>503</v>
      </c>
      <c r="AM1" t="s">
        <v>504</v>
      </c>
      <c r="AN1" t="s">
        <v>505</v>
      </c>
      <c r="AO1" t="s">
        <v>506</v>
      </c>
      <c r="AP1" t="s">
        <v>507</v>
      </c>
      <c r="AQ1" t="s">
        <v>508</v>
      </c>
      <c r="AR1" t="s">
        <v>509</v>
      </c>
    </row>
    <row r="2" spans="1:44" x14ac:dyDescent="0.25">
      <c r="A2" t="s">
        <v>250</v>
      </c>
      <c r="B2" t="s">
        <v>286</v>
      </c>
      <c r="C2" t="s">
        <v>44</v>
      </c>
      <c r="D2" t="s">
        <v>287</v>
      </c>
      <c r="E2" t="s">
        <v>134</v>
      </c>
      <c r="F2" t="s">
        <v>287</v>
      </c>
      <c r="G2" t="s">
        <v>31</v>
      </c>
      <c r="H2" t="s">
        <v>254</v>
      </c>
      <c r="I2" t="s">
        <v>135</v>
      </c>
      <c r="J2" t="s">
        <v>39</v>
      </c>
      <c r="K2" t="s">
        <v>31</v>
      </c>
      <c r="L2">
        <v>15.196759042494826</v>
      </c>
      <c r="M2">
        <v>1</v>
      </c>
      <c r="N2">
        <v>1.6936671816670661</v>
      </c>
      <c r="O2">
        <v>8.7544663803383234</v>
      </c>
      <c r="P2">
        <v>-1.4152039125174969</v>
      </c>
      <c r="Q2">
        <v>2.7997804967521378</v>
      </c>
      <c r="R2">
        <v>-3.6733298826304734</v>
      </c>
      <c r="S2" s="2">
        <v>9.1289306842027816E-3</v>
      </c>
      <c r="T2" s="2">
        <v>1.4782832416178312E-2</v>
      </c>
      <c r="U2" s="2">
        <v>2.2337601796005802E-2</v>
      </c>
      <c r="V2" s="2">
        <v>3.1848680396689262E-2</v>
      </c>
      <c r="W2" s="2">
        <v>4.3128576036503559E-2</v>
      </c>
      <c r="X2" s="2">
        <v>5.5659361003415855E-2</v>
      </c>
      <c r="Y2" s="2">
        <v>6.8532169995106043E-2</v>
      </c>
      <c r="Z2" s="2">
        <v>8.045311519575804E-2</v>
      </c>
      <c r="AA2" s="2">
        <v>8.985818604293426E-2</v>
      </c>
      <c r="AB2" s="2">
        <v>9.5163301320390706E-2</v>
      </c>
      <c r="AC2" s="2">
        <v>9.5131846990835295E-2</v>
      </c>
      <c r="AD2" s="2">
        <v>8.9275455009383886E-2</v>
      </c>
      <c r="AE2" s="2">
        <v>7.8140919648925403E-2</v>
      </c>
      <c r="AF2" s="2">
        <v>6.4331741231029152E-2</v>
      </c>
      <c r="AG2" s="2">
        <v>4.8974139998618264E-2</v>
      </c>
      <c r="AH2" s="2">
        <v>7.0701632379613581E-3</v>
      </c>
      <c r="AI2" s="2">
        <v>0</v>
      </c>
      <c r="AJ2" s="2">
        <v>0</v>
      </c>
      <c r="AK2" s="2">
        <v>0</v>
      </c>
      <c r="AL2" s="2">
        <v>0</v>
      </c>
      <c r="AM2" s="2">
        <v>0</v>
      </c>
      <c r="AN2" s="2">
        <v>0</v>
      </c>
      <c r="AO2" s="2">
        <v>0</v>
      </c>
      <c r="AP2" s="2">
        <v>0</v>
      </c>
      <c r="AQ2" s="2">
        <v>0</v>
      </c>
      <c r="AR2" s="2">
        <v>0.89381702100393789</v>
      </c>
    </row>
    <row r="3" spans="1:44" x14ac:dyDescent="0.25">
      <c r="A3" t="s">
        <v>250</v>
      </c>
      <c r="B3" t="s">
        <v>286</v>
      </c>
      <c r="C3" t="s">
        <v>44</v>
      </c>
      <c r="D3" t="s">
        <v>287</v>
      </c>
      <c r="E3" t="s">
        <v>134</v>
      </c>
      <c r="F3" t="s">
        <v>287</v>
      </c>
      <c r="G3" t="s">
        <v>31</v>
      </c>
      <c r="H3" t="s">
        <v>272</v>
      </c>
      <c r="I3" t="s">
        <v>135</v>
      </c>
      <c r="J3" t="s">
        <v>39</v>
      </c>
      <c r="K3" t="s">
        <v>31</v>
      </c>
      <c r="L3">
        <v>15.196759042494826</v>
      </c>
      <c r="M3">
        <v>1</v>
      </c>
      <c r="N3">
        <v>1.6936671816670661</v>
      </c>
      <c r="O3">
        <v>8.7544663803383234</v>
      </c>
      <c r="P3">
        <v>-1.4152039125174969</v>
      </c>
      <c r="Q3">
        <v>2.7997804967521378</v>
      </c>
      <c r="R3">
        <v>-3.6733298826304734</v>
      </c>
      <c r="S3" s="2">
        <v>9.6834845664271862E-2</v>
      </c>
      <c r="T3" s="2">
        <v>0.15679057908638325</v>
      </c>
      <c r="U3" s="2">
        <v>0.23689146323668431</v>
      </c>
      <c r="V3" s="2">
        <v>0.33771850947811327</v>
      </c>
      <c r="W3" s="2">
        <v>0.45727672411527603</v>
      </c>
      <c r="X3" s="2">
        <v>0.59006893051075782</v>
      </c>
      <c r="Y3" s="2">
        <v>0.72645642740415384</v>
      </c>
      <c r="Z3" s="2">
        <v>0.85272404107247335</v>
      </c>
      <c r="AA3" s="2">
        <v>0.9523001330819072</v>
      </c>
      <c r="AB3" s="2">
        <v>1.0084079313247614</v>
      </c>
      <c r="AC3" s="2">
        <v>1.0079598588512548</v>
      </c>
      <c r="AD3" s="2">
        <v>0.945801364014627</v>
      </c>
      <c r="AE3" s="2">
        <v>0.82774570728931551</v>
      </c>
      <c r="AF3" s="2">
        <v>0.68138768586102505</v>
      </c>
      <c r="AG3" s="2">
        <v>0.51866429015169624</v>
      </c>
      <c r="AH3" s="2">
        <v>5.8236471120444389E-2</v>
      </c>
      <c r="AI3" s="2">
        <v>0</v>
      </c>
      <c r="AJ3" s="2">
        <v>0</v>
      </c>
      <c r="AK3" s="2">
        <v>0</v>
      </c>
      <c r="AL3" s="2">
        <v>0</v>
      </c>
      <c r="AM3" s="2">
        <v>0</v>
      </c>
      <c r="AN3" s="2">
        <v>0</v>
      </c>
      <c r="AO3" s="2">
        <v>0</v>
      </c>
      <c r="AP3" s="2">
        <v>0</v>
      </c>
      <c r="AQ3" s="2">
        <v>0</v>
      </c>
      <c r="AR3" s="2">
        <v>9.4552649622631453</v>
      </c>
    </row>
    <row r="4" spans="1:44" x14ac:dyDescent="0.25">
      <c r="A4" t="s">
        <v>250</v>
      </c>
      <c r="B4" t="s">
        <v>286</v>
      </c>
      <c r="C4" t="s">
        <v>44</v>
      </c>
      <c r="D4" t="s">
        <v>287</v>
      </c>
      <c r="E4" t="s">
        <v>134</v>
      </c>
      <c r="F4" t="s">
        <v>287</v>
      </c>
      <c r="G4" t="s">
        <v>31</v>
      </c>
      <c r="H4" t="s">
        <v>272</v>
      </c>
      <c r="I4" t="s">
        <v>135</v>
      </c>
      <c r="J4" t="s">
        <v>40</v>
      </c>
      <c r="K4" t="s">
        <v>31</v>
      </c>
      <c r="L4">
        <v>15.196759042494826</v>
      </c>
      <c r="M4">
        <v>1</v>
      </c>
      <c r="N4">
        <v>1.6936671816670661</v>
      </c>
      <c r="O4">
        <v>7.5176781675495903</v>
      </c>
      <c r="P4">
        <v>-1.4152039125174969</v>
      </c>
      <c r="Q4">
        <v>0.4672931329656026</v>
      </c>
      <c r="R4">
        <v>-3.5303298826304736</v>
      </c>
      <c r="S4" s="2">
        <v>9.578500268889038E-3</v>
      </c>
      <c r="T4" s="2">
        <v>1.5509072107627676E-2</v>
      </c>
      <c r="U4" s="2">
        <v>2.3432318487675265E-2</v>
      </c>
      <c r="V4" s="2">
        <v>3.34057106370588E-2</v>
      </c>
      <c r="W4" s="2">
        <v>4.5231912075127327E-2</v>
      </c>
      <c r="X4" s="2">
        <v>5.836716494758367E-2</v>
      </c>
      <c r="Y4" s="2">
        <v>7.1858049005950053E-2</v>
      </c>
      <c r="Z4" s="2">
        <v>8.4347916296771908E-2</v>
      </c>
      <c r="AA4" s="2">
        <v>9.4197569255316319E-2</v>
      </c>
      <c r="AB4" s="2">
        <v>9.9747519346828059E-2</v>
      </c>
      <c r="AC4" s="2">
        <v>9.9703197880949501E-2</v>
      </c>
      <c r="AD4" s="2">
        <v>9.3554738042736008E-2</v>
      </c>
      <c r="AE4" s="2">
        <v>8.187716338528514E-2</v>
      </c>
      <c r="AF4" s="2">
        <v>6.7400036499935131E-2</v>
      </c>
      <c r="AG4" s="2">
        <v>5.1304114842144727E-2</v>
      </c>
      <c r="AH4" s="2">
        <v>5.7605095609929973E-3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2">
        <v>0</v>
      </c>
      <c r="AO4" s="2">
        <v>0</v>
      </c>
      <c r="AP4" s="2">
        <v>0</v>
      </c>
      <c r="AQ4" s="2">
        <v>0</v>
      </c>
      <c r="AR4" s="2">
        <v>0.93527549264087162</v>
      </c>
    </row>
    <row r="5" spans="1:44" x14ac:dyDescent="0.25">
      <c r="A5" t="s">
        <v>250</v>
      </c>
      <c r="B5" t="s">
        <v>286</v>
      </c>
      <c r="C5" t="s">
        <v>44</v>
      </c>
      <c r="D5" t="s">
        <v>287</v>
      </c>
      <c r="E5" t="s">
        <v>134</v>
      </c>
      <c r="F5" t="s">
        <v>287</v>
      </c>
      <c r="G5" t="s">
        <v>31</v>
      </c>
      <c r="H5" t="s">
        <v>253</v>
      </c>
      <c r="I5" t="s">
        <v>135</v>
      </c>
      <c r="J5" t="s">
        <v>39</v>
      </c>
      <c r="K5" t="s">
        <v>31</v>
      </c>
      <c r="L5">
        <v>15.196759042494826</v>
      </c>
      <c r="M5">
        <v>1</v>
      </c>
      <c r="N5">
        <v>1.6936671816670661</v>
      </c>
      <c r="O5">
        <v>8.7544663803383234</v>
      </c>
      <c r="P5">
        <v>-1.4152039125174969</v>
      </c>
      <c r="Q5">
        <v>2.7997804967521378</v>
      </c>
      <c r="R5">
        <v>-3.6733298826304734</v>
      </c>
      <c r="S5" s="2">
        <v>9.2394123010923251E-4</v>
      </c>
      <c r="T5" s="2">
        <v>1.496755087350195E-3</v>
      </c>
      <c r="U5" s="2">
        <v>2.2625505202164865E-3</v>
      </c>
      <c r="V5" s="2">
        <v>3.2271699326741976E-3</v>
      </c>
      <c r="W5" s="2">
        <v>4.3718390263036656E-3</v>
      </c>
      <c r="X5" s="2">
        <v>5.6442456971694472E-3</v>
      </c>
      <c r="Y5" s="2">
        <v>6.9523372202576978E-3</v>
      </c>
      <c r="Z5" s="2">
        <v>8.1648434462702271E-3</v>
      </c>
      <c r="AA5" s="2">
        <v>9.1228659947987789E-3</v>
      </c>
      <c r="AB5" s="2">
        <v>9.6652212341782895E-3</v>
      </c>
      <c r="AC5" s="2">
        <v>9.6657794095133982E-3</v>
      </c>
      <c r="AD5" s="2">
        <v>9.0742695224355855E-3</v>
      </c>
      <c r="AE5" s="2">
        <v>7.9456013485462527E-3</v>
      </c>
      <c r="AF5" s="2">
        <v>6.5439837322529637E-3</v>
      </c>
      <c r="AG5" s="2">
        <v>4.9837055403740846E-3</v>
      </c>
      <c r="AH5" s="2">
        <v>1.2653844411456303E-3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9.1310493383596147E-2</v>
      </c>
    </row>
    <row r="6" spans="1:44" x14ac:dyDescent="0.25">
      <c r="A6" t="s">
        <v>250</v>
      </c>
      <c r="B6" t="s">
        <v>286</v>
      </c>
      <c r="C6" t="s">
        <v>44</v>
      </c>
      <c r="D6" t="s">
        <v>287</v>
      </c>
      <c r="E6" t="s">
        <v>134</v>
      </c>
      <c r="F6" t="s">
        <v>287</v>
      </c>
      <c r="G6" t="s">
        <v>31</v>
      </c>
      <c r="H6" t="s">
        <v>253</v>
      </c>
      <c r="I6" t="s">
        <v>135</v>
      </c>
      <c r="J6" t="s">
        <v>40</v>
      </c>
      <c r="K6" t="s">
        <v>31</v>
      </c>
      <c r="L6">
        <v>15.196759042494826</v>
      </c>
      <c r="M6">
        <v>1</v>
      </c>
      <c r="N6">
        <v>1.6936671816670661</v>
      </c>
      <c r="O6">
        <v>7.5176781675495903</v>
      </c>
      <c r="P6">
        <v>-1.4152039125174969</v>
      </c>
      <c r="Q6">
        <v>0.4672931329656026</v>
      </c>
      <c r="R6">
        <v>-3.5303298826304736</v>
      </c>
      <c r="S6" s="2">
        <v>4.8601229017955705E-4</v>
      </c>
      <c r="T6" s="2">
        <v>7.8732428441900977E-4</v>
      </c>
      <c r="U6" s="2">
        <v>1.1901485983555036E-3</v>
      </c>
      <c r="V6" s="2">
        <v>1.6975584579033939E-3</v>
      </c>
      <c r="W6" s="2">
        <v>2.299678191889986E-3</v>
      </c>
      <c r="X6" s="2">
        <v>2.9689905463934356E-3</v>
      </c>
      <c r="Y6" s="2">
        <v>3.6570738748378474E-3</v>
      </c>
      <c r="Z6" s="2">
        <v>4.2948773503810401E-3</v>
      </c>
      <c r="AA6" s="2">
        <v>4.7988171223933458E-3</v>
      </c>
      <c r="AB6" s="2">
        <v>5.0841072505874909E-3</v>
      </c>
      <c r="AC6" s="2">
        <v>5.0844008624148429E-3</v>
      </c>
      <c r="AD6" s="2">
        <v>4.7732543679039853E-3</v>
      </c>
      <c r="AE6" s="2">
        <v>4.1795514502629121E-3</v>
      </c>
      <c r="AF6" s="2">
        <v>3.4422714529516339E-3</v>
      </c>
      <c r="AG6" s="2">
        <v>2.6215326952899361E-3</v>
      </c>
      <c r="AH6" s="2">
        <v>6.6561851572105937E-4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0</v>
      </c>
      <c r="AP6" s="2">
        <v>0</v>
      </c>
      <c r="AQ6" s="2">
        <v>0</v>
      </c>
      <c r="AR6" s="2">
        <v>4.8031217311884977E-2</v>
      </c>
    </row>
    <row r="7" spans="1:44" x14ac:dyDescent="0.25">
      <c r="A7" t="s">
        <v>250</v>
      </c>
      <c r="B7" t="s">
        <v>286</v>
      </c>
      <c r="C7" t="s">
        <v>44</v>
      </c>
      <c r="D7" t="s">
        <v>287</v>
      </c>
      <c r="E7" t="s">
        <v>134</v>
      </c>
      <c r="F7" t="s">
        <v>287</v>
      </c>
      <c r="G7" t="s">
        <v>31</v>
      </c>
      <c r="H7" t="s">
        <v>253</v>
      </c>
      <c r="I7" t="s">
        <v>256</v>
      </c>
      <c r="J7" t="s">
        <v>39</v>
      </c>
      <c r="K7" t="s">
        <v>31</v>
      </c>
      <c r="L7">
        <v>15.196759042494826</v>
      </c>
      <c r="M7">
        <v>1</v>
      </c>
      <c r="N7">
        <v>1.1711487367225639</v>
      </c>
      <c r="O7">
        <v>6.0535991681208801</v>
      </c>
      <c r="P7">
        <v>4.7733038831375328E-2</v>
      </c>
      <c r="Q7">
        <v>0.4672931329656026</v>
      </c>
      <c r="R7">
        <v>-2.2103929312816009</v>
      </c>
      <c r="S7" s="2">
        <v>4.846634543911595E-4</v>
      </c>
      <c r="T7" s="2">
        <v>7.8513921380792202E-4</v>
      </c>
      <c r="U7" s="2">
        <v>1.18684556455284E-3</v>
      </c>
      <c r="V7" s="2">
        <v>1.692847203379211E-3</v>
      </c>
      <c r="W7" s="2">
        <v>2.2932958671840155E-3</v>
      </c>
      <c r="X7" s="2">
        <v>2.9607506710131034E-3</v>
      </c>
      <c r="Y7" s="2">
        <v>3.6469243534720964E-3</v>
      </c>
      <c r="Z7" s="2">
        <v>4.2829577253138814E-3</v>
      </c>
      <c r="AA7" s="2">
        <v>4.7854989071805841E-3</v>
      </c>
      <c r="AB7" s="2">
        <v>5.0699972662306952E-3</v>
      </c>
      <c r="AC7" s="2">
        <v>5.0702900631935891E-3</v>
      </c>
      <c r="AD7" s="2">
        <v>4.7600070973129972E-3</v>
      </c>
      <c r="AE7" s="2">
        <v>4.1679518905614879E-3</v>
      </c>
      <c r="AF7" s="2">
        <v>3.4327180753458836E-3</v>
      </c>
      <c r="AG7" s="2">
        <v>2.6142571238870903E-3</v>
      </c>
      <c r="AH7" s="2">
        <v>6.6377121660211912E-4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4.7897915693428668E-2</v>
      </c>
    </row>
    <row r="8" spans="1:44" x14ac:dyDescent="0.25">
      <c r="A8" t="s">
        <v>250</v>
      </c>
      <c r="B8" t="s">
        <v>286</v>
      </c>
      <c r="C8" t="s">
        <v>44</v>
      </c>
      <c r="D8" t="s">
        <v>287</v>
      </c>
      <c r="E8" t="s">
        <v>134</v>
      </c>
      <c r="F8" t="s">
        <v>287</v>
      </c>
      <c r="G8" t="s">
        <v>31</v>
      </c>
      <c r="H8" t="s">
        <v>288</v>
      </c>
      <c r="I8" t="s">
        <v>135</v>
      </c>
      <c r="J8" t="s">
        <v>39</v>
      </c>
      <c r="K8" t="s">
        <v>31</v>
      </c>
      <c r="L8">
        <v>15.196759042494826</v>
      </c>
      <c r="M8">
        <v>1</v>
      </c>
      <c r="N8">
        <v>1.6936671816670661</v>
      </c>
      <c r="O8">
        <v>8.7544663803383234</v>
      </c>
      <c r="P8">
        <v>-1.4152039125174969</v>
      </c>
      <c r="Q8">
        <v>2.7997804967521378</v>
      </c>
      <c r="R8">
        <v>-3.6733298826304734</v>
      </c>
      <c r="S8" s="2">
        <v>0.19344679323425235</v>
      </c>
      <c r="T8" s="2">
        <v>0.31372372007069615</v>
      </c>
      <c r="U8" s="2">
        <v>0.47476022219455105</v>
      </c>
      <c r="V8" s="2">
        <v>0.67791820958639204</v>
      </c>
      <c r="W8" s="2">
        <v>0.91938847131129975</v>
      </c>
      <c r="X8" s="2">
        <v>1.1882839399443368</v>
      </c>
      <c r="Y8" s="2">
        <v>1.4652933280116403</v>
      </c>
      <c r="Z8" s="2">
        <v>1.7227451295301022</v>
      </c>
      <c r="AA8" s="2">
        <v>1.9270096538089163</v>
      </c>
      <c r="AB8" s="2">
        <v>2.0438255315408096</v>
      </c>
      <c r="AC8" s="2">
        <v>2.0462011583843802</v>
      </c>
      <c r="AD8" s="2">
        <v>1.9231030075376452</v>
      </c>
      <c r="AE8" s="2">
        <v>1.6857651451231892</v>
      </c>
      <c r="AF8" s="2">
        <v>1.3899268212330775</v>
      </c>
      <c r="AG8" s="2">
        <v>1.0596965605883475</v>
      </c>
      <c r="AH8" s="2">
        <v>0.59998807609306481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19.631075768192698</v>
      </c>
    </row>
    <row r="9" spans="1:44" x14ac:dyDescent="0.25">
      <c r="A9" t="s">
        <v>250</v>
      </c>
      <c r="B9" t="s">
        <v>286</v>
      </c>
      <c r="C9" t="s">
        <v>44</v>
      </c>
      <c r="D9" t="s">
        <v>287</v>
      </c>
      <c r="E9" t="s">
        <v>134</v>
      </c>
      <c r="F9" t="s">
        <v>287</v>
      </c>
      <c r="G9" t="s">
        <v>31</v>
      </c>
      <c r="H9" t="s">
        <v>288</v>
      </c>
      <c r="I9" t="s">
        <v>135</v>
      </c>
      <c r="J9" t="s">
        <v>39</v>
      </c>
      <c r="K9" t="s">
        <v>33</v>
      </c>
      <c r="L9">
        <v>15.196759042494826</v>
      </c>
      <c r="M9">
        <v>1</v>
      </c>
      <c r="N9">
        <v>1.6936671816670661</v>
      </c>
      <c r="O9">
        <v>8.7544663803383234</v>
      </c>
      <c r="P9">
        <v>-1.4152039125174969</v>
      </c>
      <c r="Q9">
        <v>2.7997804967521378</v>
      </c>
      <c r="R9">
        <v>-3.6733298826304734</v>
      </c>
      <c r="S9" s="2">
        <v>1.8197759160584795E-3</v>
      </c>
      <c r="T9" s="2">
        <v>2.9512346032513005E-3</v>
      </c>
      <c r="U9" s="2">
        <v>4.4661232363051723E-3</v>
      </c>
      <c r="V9" s="2">
        <v>6.3772534568144251E-3</v>
      </c>
      <c r="W9" s="2">
        <v>8.6487915856435296E-3</v>
      </c>
      <c r="X9" s="2">
        <v>1.1178321745200693E-2</v>
      </c>
      <c r="Y9" s="2">
        <v>1.3784180464794705E-2</v>
      </c>
      <c r="Z9" s="2">
        <v>1.6206058750374942E-2</v>
      </c>
      <c r="AA9" s="2">
        <v>1.8127598288833979E-2</v>
      </c>
      <c r="AB9" s="2">
        <v>1.9226498494702537E-2</v>
      </c>
      <c r="AC9" s="2">
        <v>1.9248846285757612E-2</v>
      </c>
      <c r="AD9" s="2">
        <v>1.8090848024442635E-2</v>
      </c>
      <c r="AE9" s="2">
        <v>1.5858183844439284E-2</v>
      </c>
      <c r="AF9" s="2">
        <v>1.3075199190822352E-2</v>
      </c>
      <c r="AG9" s="2">
        <v>9.9686856889557914E-3</v>
      </c>
      <c r="AH9" s="2">
        <v>5.6441558556840667E-3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0.18467175543208153</v>
      </c>
    </row>
    <row r="10" spans="1:44" x14ac:dyDescent="0.25">
      <c r="A10" t="s">
        <v>250</v>
      </c>
      <c r="B10" t="s">
        <v>286</v>
      </c>
      <c r="C10" t="s">
        <v>44</v>
      </c>
      <c r="D10" t="s">
        <v>287</v>
      </c>
      <c r="E10" t="s">
        <v>134</v>
      </c>
      <c r="F10" t="s">
        <v>287</v>
      </c>
      <c r="G10" t="s">
        <v>31</v>
      </c>
      <c r="H10" t="s">
        <v>273</v>
      </c>
      <c r="I10" t="s">
        <v>135</v>
      </c>
      <c r="J10" t="s">
        <v>39</v>
      </c>
      <c r="K10" t="s">
        <v>31</v>
      </c>
      <c r="L10">
        <v>15.196759042494826</v>
      </c>
      <c r="M10">
        <v>1</v>
      </c>
      <c r="N10">
        <v>1.6936671816670661</v>
      </c>
      <c r="O10">
        <v>8.7544663803383234</v>
      </c>
      <c r="P10">
        <v>-1.4152039125174969</v>
      </c>
      <c r="Q10">
        <v>2.7997804967521378</v>
      </c>
      <c r="R10">
        <v>-3.6733298826304734</v>
      </c>
      <c r="S10" s="2">
        <v>2.9123713857609482E-2</v>
      </c>
      <c r="T10" s="2">
        <v>4.7155793243190997E-2</v>
      </c>
      <c r="U10" s="2">
        <v>7.1246658610218866E-2</v>
      </c>
      <c r="V10" s="2">
        <v>0.1015710529302562</v>
      </c>
      <c r="W10" s="2">
        <v>0.13752896878723467</v>
      </c>
      <c r="X10" s="2">
        <v>0.17746709431480545</v>
      </c>
      <c r="Y10" s="2">
        <v>0.21848652699971149</v>
      </c>
      <c r="Z10" s="2">
        <v>0.25646233854495692</v>
      </c>
      <c r="AA10" s="2">
        <v>0.28641050018912567</v>
      </c>
      <c r="AB10" s="2">
        <v>0.30328528787527237</v>
      </c>
      <c r="AC10" s="2">
        <v>0.30315052714512042</v>
      </c>
      <c r="AD10" s="2">
        <v>0.28445595284158981</v>
      </c>
      <c r="AE10" s="2">
        <v>0.24894994111456631</v>
      </c>
      <c r="AF10" s="2">
        <v>0.20493180789399471</v>
      </c>
      <c r="AG10" s="2">
        <v>0.15599168120646292</v>
      </c>
      <c r="AH10" s="2">
        <v>1.7514999991520862E-2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2.8437328455456372</v>
      </c>
    </row>
    <row r="11" spans="1:44" x14ac:dyDescent="0.25">
      <c r="A11" t="s">
        <v>250</v>
      </c>
      <c r="B11" t="s">
        <v>286</v>
      </c>
      <c r="C11" t="s">
        <v>44</v>
      </c>
      <c r="D11" t="s">
        <v>287</v>
      </c>
      <c r="E11" t="s">
        <v>134</v>
      </c>
      <c r="F11" t="s">
        <v>287</v>
      </c>
      <c r="G11" t="s">
        <v>31</v>
      </c>
      <c r="H11" t="s">
        <v>252</v>
      </c>
      <c r="I11" t="s">
        <v>135</v>
      </c>
      <c r="J11" t="s">
        <v>39</v>
      </c>
      <c r="K11" t="s">
        <v>31</v>
      </c>
      <c r="L11">
        <v>15.196759042494826</v>
      </c>
      <c r="M11">
        <v>1</v>
      </c>
      <c r="N11">
        <v>1.6936671816670661</v>
      </c>
      <c r="O11">
        <v>8.7544663803383234</v>
      </c>
      <c r="P11">
        <v>-1.4152039125174969</v>
      </c>
      <c r="Q11">
        <v>2.7997804967521378</v>
      </c>
      <c r="R11">
        <v>-3.6733298826304734</v>
      </c>
      <c r="S11" s="2">
        <v>1.8802582562130243E-2</v>
      </c>
      <c r="T11" s="2">
        <v>3.0471813224102924E-2</v>
      </c>
      <c r="U11" s="2">
        <v>4.6080824167873367E-2</v>
      </c>
      <c r="V11" s="2">
        <v>6.5753395580655155E-2</v>
      </c>
      <c r="W11" s="2">
        <v>8.9111737403354416E-2</v>
      </c>
      <c r="X11" s="2">
        <v>0.11509356887553419</v>
      </c>
      <c r="Y11" s="2">
        <v>0.14182421018779137</v>
      </c>
      <c r="Z11" s="2">
        <v>0.16662562995090849</v>
      </c>
      <c r="AA11" s="2">
        <v>0.1862514386097304</v>
      </c>
      <c r="AB11" s="2">
        <v>0.19740335869629611</v>
      </c>
      <c r="AC11" s="2">
        <v>0.19749404991682765</v>
      </c>
      <c r="AD11" s="2">
        <v>0.18548261437876556</v>
      </c>
      <c r="AE11" s="2">
        <v>0.16247730383075273</v>
      </c>
      <c r="AF11" s="2">
        <v>0.1338697773659934</v>
      </c>
      <c r="AG11" s="2">
        <v>0.10199223349803585</v>
      </c>
      <c r="AH11" s="2">
        <v>3.7466607918974354E-2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1.8762011461677264</v>
      </c>
    </row>
    <row r="12" spans="1:44" x14ac:dyDescent="0.25">
      <c r="A12" t="s">
        <v>250</v>
      </c>
      <c r="B12" t="s">
        <v>286</v>
      </c>
      <c r="C12" t="s">
        <v>44</v>
      </c>
      <c r="D12" t="s">
        <v>287</v>
      </c>
      <c r="E12" t="s">
        <v>134</v>
      </c>
      <c r="F12" t="s">
        <v>287</v>
      </c>
      <c r="G12" t="s">
        <v>31</v>
      </c>
      <c r="H12" t="s">
        <v>289</v>
      </c>
      <c r="I12" t="s">
        <v>135</v>
      </c>
      <c r="J12" t="s">
        <v>39</v>
      </c>
      <c r="K12" t="s">
        <v>31</v>
      </c>
      <c r="L12">
        <v>15.196759042494826</v>
      </c>
      <c r="M12">
        <v>1</v>
      </c>
      <c r="N12">
        <v>1.6936671816670661</v>
      </c>
      <c r="O12">
        <v>8.7544663803383234</v>
      </c>
      <c r="P12">
        <v>-1.4152039125174969</v>
      </c>
      <c r="Q12">
        <v>2.7997804967521378</v>
      </c>
      <c r="R12">
        <v>-3.6733298826304734</v>
      </c>
      <c r="S12" s="2">
        <v>0.18386279140151035</v>
      </c>
      <c r="T12" s="2">
        <v>0.29818079657290908</v>
      </c>
      <c r="U12" s="2">
        <v>0.4512390112013262</v>
      </c>
      <c r="V12" s="2">
        <v>0.64433187168697026</v>
      </c>
      <c r="W12" s="2">
        <v>0.8738388881585859</v>
      </c>
      <c r="X12" s="2">
        <v>1.129412374963398</v>
      </c>
      <c r="Y12" s="2">
        <v>1.3926977904667894</v>
      </c>
      <c r="Z12" s="2">
        <v>1.637394567741413</v>
      </c>
      <c r="AA12" s="2">
        <v>1.8315391435717567</v>
      </c>
      <c r="AB12" s="2">
        <v>1.9425675715994826</v>
      </c>
      <c r="AC12" s="2">
        <v>1.9448255019351814</v>
      </c>
      <c r="AD12" s="2">
        <v>1.8278260456369451</v>
      </c>
      <c r="AE12" s="2">
        <v>1.6022466955778971</v>
      </c>
      <c r="AF12" s="2">
        <v>1.3210651927751471</v>
      </c>
      <c r="AG12" s="2">
        <v>1.0071956449152166</v>
      </c>
      <c r="AH12" s="2">
        <v>0.57026265793150954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18.658486546136036</v>
      </c>
    </row>
    <row r="13" spans="1:44" x14ac:dyDescent="0.25">
      <c r="A13" t="s">
        <v>250</v>
      </c>
      <c r="B13" t="s">
        <v>286</v>
      </c>
      <c r="C13" t="s">
        <v>44</v>
      </c>
      <c r="D13" t="s">
        <v>287</v>
      </c>
      <c r="E13" t="s">
        <v>134</v>
      </c>
      <c r="F13" t="s">
        <v>287</v>
      </c>
      <c r="G13" t="s">
        <v>31</v>
      </c>
      <c r="H13" t="s">
        <v>274</v>
      </c>
      <c r="I13" t="s">
        <v>135</v>
      </c>
      <c r="J13" t="s">
        <v>39</v>
      </c>
      <c r="K13" t="s">
        <v>31</v>
      </c>
      <c r="L13">
        <v>15.196759042494826</v>
      </c>
      <c r="M13">
        <v>1</v>
      </c>
      <c r="N13">
        <v>1.6936671816670661</v>
      </c>
      <c r="O13">
        <v>8.7544663803383234</v>
      </c>
      <c r="P13">
        <v>-1.4152039125174969</v>
      </c>
      <c r="Q13">
        <v>2.7997804967521378</v>
      </c>
      <c r="R13">
        <v>-3.6733298826304734</v>
      </c>
      <c r="S13" s="2">
        <v>4.5845940807885822E-2</v>
      </c>
      <c r="T13" s="2">
        <v>7.423166277302827E-2</v>
      </c>
      <c r="U13" s="2">
        <v>0.11215499882238758</v>
      </c>
      <c r="V13" s="2">
        <v>0.15989102568450334</v>
      </c>
      <c r="W13" s="2">
        <v>0.21649522424289722</v>
      </c>
      <c r="X13" s="2">
        <v>0.27936498556066686</v>
      </c>
      <c r="Y13" s="2">
        <v>0.34393691797422138</v>
      </c>
      <c r="Z13" s="2">
        <v>0.40371764569139912</v>
      </c>
      <c r="AA13" s="2">
        <v>0.45086141494955018</v>
      </c>
      <c r="AB13" s="2">
        <v>0.47742535254305812</v>
      </c>
      <c r="AC13" s="2">
        <v>0.47721321502213682</v>
      </c>
      <c r="AD13" s="2">
        <v>0.44778460742289183</v>
      </c>
      <c r="AE13" s="2">
        <v>0.39189178688771459</v>
      </c>
      <c r="AF13" s="2">
        <v>0.32259936285242352</v>
      </c>
      <c r="AG13" s="2">
        <v>0.24555883971664291</v>
      </c>
      <c r="AH13" s="2">
        <v>2.757174640526253E-2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4.4765447273566705</v>
      </c>
    </row>
    <row r="14" spans="1:44" x14ac:dyDescent="0.25">
      <c r="A14" t="s">
        <v>250</v>
      </c>
      <c r="B14" t="s">
        <v>286</v>
      </c>
      <c r="C14" t="s">
        <v>44</v>
      </c>
      <c r="D14" t="s">
        <v>287</v>
      </c>
      <c r="E14" t="s">
        <v>134</v>
      </c>
      <c r="F14" t="s">
        <v>287</v>
      </c>
      <c r="G14" t="s">
        <v>31</v>
      </c>
      <c r="H14" t="s">
        <v>274</v>
      </c>
      <c r="I14" t="s">
        <v>135</v>
      </c>
      <c r="J14" t="s">
        <v>39</v>
      </c>
      <c r="K14" t="s">
        <v>33</v>
      </c>
      <c r="L14">
        <v>15.196759042494826</v>
      </c>
      <c r="M14">
        <v>1</v>
      </c>
      <c r="N14">
        <v>1.6936671816670661</v>
      </c>
      <c r="O14">
        <v>8.7544663803383234</v>
      </c>
      <c r="P14">
        <v>-1.4152039125174969</v>
      </c>
      <c r="Q14">
        <v>2.7997804967521378</v>
      </c>
      <c r="R14">
        <v>-3.6733298826304734</v>
      </c>
      <c r="S14" s="2">
        <v>1.475085179153615E-4</v>
      </c>
      <c r="T14" s="2">
        <v>2.3883908509865002E-4</v>
      </c>
      <c r="U14" s="2">
        <v>3.6085675986921508E-4</v>
      </c>
      <c r="V14" s="2">
        <v>5.1444659682131004E-4</v>
      </c>
      <c r="W14" s="2">
        <v>6.9656962210993807E-4</v>
      </c>
      <c r="X14" s="2">
        <v>8.9885198670439613E-4</v>
      </c>
      <c r="Y14" s="2">
        <v>1.1066110572220626E-3</v>
      </c>
      <c r="Z14" s="2">
        <v>1.2989545098826714E-3</v>
      </c>
      <c r="AA14" s="2">
        <v>1.4506387682852713E-3</v>
      </c>
      <c r="AB14" s="2">
        <v>1.5361077759087451E-3</v>
      </c>
      <c r="AC14" s="2">
        <v>1.5354252271213514E-3</v>
      </c>
      <c r="AD14" s="2">
        <v>1.4407391935318582E-3</v>
      </c>
      <c r="AE14" s="2">
        <v>1.2609050146717938E-3</v>
      </c>
      <c r="AF14" s="2">
        <v>1.037957844385991E-3</v>
      </c>
      <c r="AG14" s="2">
        <v>7.9008129987785886E-4</v>
      </c>
      <c r="AH14" s="2">
        <v>8.8711614963277809E-5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1.4403204874369753E-2</v>
      </c>
    </row>
    <row r="15" spans="1:44" x14ac:dyDescent="0.25">
      <c r="A15" t="s">
        <v>250</v>
      </c>
      <c r="B15" t="s">
        <v>286</v>
      </c>
      <c r="C15" t="s">
        <v>44</v>
      </c>
      <c r="D15" t="s">
        <v>287</v>
      </c>
      <c r="E15" t="s">
        <v>134</v>
      </c>
      <c r="F15" t="s">
        <v>287</v>
      </c>
      <c r="G15" t="s">
        <v>31</v>
      </c>
      <c r="H15" t="s">
        <v>255</v>
      </c>
      <c r="I15" t="s">
        <v>135</v>
      </c>
      <c r="J15" t="s">
        <v>39</v>
      </c>
      <c r="K15" t="s">
        <v>31</v>
      </c>
      <c r="L15">
        <v>15.196759042494826</v>
      </c>
      <c r="M15">
        <v>1</v>
      </c>
      <c r="N15">
        <v>1.6936671816670661</v>
      </c>
      <c r="O15">
        <v>8.7544663803383234</v>
      </c>
      <c r="P15">
        <v>-1.4152039125174969</v>
      </c>
      <c r="Q15">
        <v>2.7997804967521378</v>
      </c>
      <c r="R15">
        <v>-3.6733298826304734</v>
      </c>
      <c r="S15" s="2">
        <v>1.9137774199445819E-3</v>
      </c>
      <c r="T15" s="2">
        <v>3.0850040866198616E-3</v>
      </c>
      <c r="U15" s="2">
        <v>4.6404618661107797E-3</v>
      </c>
      <c r="V15" s="2">
        <v>6.5863177587248472E-3</v>
      </c>
      <c r="W15" s="2">
        <v>8.8785680898649782E-3</v>
      </c>
      <c r="X15" s="2">
        <v>1.1406242478329635E-2</v>
      </c>
      <c r="Y15" s="2">
        <v>1.3980588097376991E-2</v>
      </c>
      <c r="Z15" s="2">
        <v>1.6338056565485357E-2</v>
      </c>
      <c r="AA15" s="2">
        <v>1.8165265554079071E-2</v>
      </c>
      <c r="AB15" s="2">
        <v>1.9150502625800959E-2</v>
      </c>
      <c r="AC15" s="2">
        <v>1.9057379362906159E-2</v>
      </c>
      <c r="AD15" s="2">
        <v>1.7803110864945709E-2</v>
      </c>
      <c r="AE15" s="2">
        <v>1.5512039985520669E-2</v>
      </c>
      <c r="AF15" s="2">
        <v>1.1501493041537501E-2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0.16801880779724707</v>
      </c>
    </row>
    <row r="16" spans="1:44" x14ac:dyDescent="0.25">
      <c r="A16" t="s">
        <v>250</v>
      </c>
      <c r="B16" t="s">
        <v>286</v>
      </c>
      <c r="C16" t="s">
        <v>44</v>
      </c>
      <c r="D16" t="s">
        <v>287</v>
      </c>
      <c r="E16" t="s">
        <v>134</v>
      </c>
      <c r="F16" t="s">
        <v>287</v>
      </c>
      <c r="G16" t="s">
        <v>31</v>
      </c>
      <c r="H16" t="s">
        <v>278</v>
      </c>
      <c r="I16" t="s">
        <v>135</v>
      </c>
      <c r="J16" t="s">
        <v>39</v>
      </c>
      <c r="K16" t="s">
        <v>31</v>
      </c>
      <c r="L16">
        <v>15.196759042494826</v>
      </c>
      <c r="M16">
        <v>1</v>
      </c>
      <c r="N16">
        <v>1.6936671816670661</v>
      </c>
      <c r="O16">
        <v>8.7544663803383234</v>
      </c>
      <c r="P16">
        <v>-1.4152039125174969</v>
      </c>
      <c r="Q16">
        <v>2.7997804967521378</v>
      </c>
      <c r="R16">
        <v>-3.6733298826304734</v>
      </c>
      <c r="S16" s="2">
        <v>7.2434218743835307E-2</v>
      </c>
      <c r="T16" s="2">
        <v>0.11676376704367203</v>
      </c>
      <c r="U16" s="2">
        <v>0.17563600990340231</v>
      </c>
      <c r="V16" s="2">
        <v>0.24928436101294232</v>
      </c>
      <c r="W16" s="2">
        <v>0.3360433331750452</v>
      </c>
      <c r="X16" s="2">
        <v>0.43171282831024271</v>
      </c>
      <c r="Y16" s="2">
        <v>0.52914877449133524</v>
      </c>
      <c r="Z16" s="2">
        <v>0.61837617623672769</v>
      </c>
      <c r="AA16" s="2">
        <v>0.6875338819297605</v>
      </c>
      <c r="AB16" s="2">
        <v>0.72482394336736766</v>
      </c>
      <c r="AC16" s="2">
        <v>0.72129933767165555</v>
      </c>
      <c r="AD16" s="2">
        <v>0.67382675397516711</v>
      </c>
      <c r="AE16" s="2">
        <v>0.5871124226697485</v>
      </c>
      <c r="AF16" s="2">
        <v>0.4353179498144315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6.3593137583453334</v>
      </c>
    </row>
    <row r="17" spans="1:44" x14ac:dyDescent="0.25">
      <c r="A17" t="s">
        <v>250</v>
      </c>
      <c r="B17" t="s">
        <v>286</v>
      </c>
      <c r="C17" t="s">
        <v>44</v>
      </c>
      <c r="D17" t="s">
        <v>287</v>
      </c>
      <c r="E17" t="s">
        <v>134</v>
      </c>
      <c r="F17" t="s">
        <v>287</v>
      </c>
      <c r="G17" t="s">
        <v>31</v>
      </c>
      <c r="H17" t="s">
        <v>276</v>
      </c>
      <c r="I17" t="s">
        <v>135</v>
      </c>
      <c r="J17" t="s">
        <v>39</v>
      </c>
      <c r="K17" t="s">
        <v>31</v>
      </c>
      <c r="L17">
        <v>15.196759042494826</v>
      </c>
      <c r="M17">
        <v>1</v>
      </c>
      <c r="N17">
        <v>1.6936671816670661</v>
      </c>
      <c r="O17">
        <v>8.7544663803383234</v>
      </c>
      <c r="P17">
        <v>-1.4152039125174969</v>
      </c>
      <c r="Q17">
        <v>2.7997804967521378</v>
      </c>
      <c r="R17">
        <v>-3.6733298826304734</v>
      </c>
      <c r="S17" s="2">
        <v>0.11240317816189635</v>
      </c>
      <c r="T17" s="2">
        <v>0.18245521312374649</v>
      </c>
      <c r="U17" s="2">
        <v>0.27635995237421002</v>
      </c>
      <c r="V17" s="2">
        <v>0.39497531009108305</v>
      </c>
      <c r="W17" s="2">
        <v>0.53614661326292312</v>
      </c>
      <c r="X17" s="2">
        <v>0.69358007000705979</v>
      </c>
      <c r="Y17" s="2">
        <v>0.85603754752169814</v>
      </c>
      <c r="Z17" s="2">
        <v>1.0073517310827322</v>
      </c>
      <c r="AA17" s="2">
        <v>1.1278097921045602</v>
      </c>
      <c r="AB17" s="2">
        <v>1.197257744620162</v>
      </c>
      <c r="AC17" s="2">
        <v>1.1997313996211083</v>
      </c>
      <c r="AD17" s="2">
        <v>1.1285741814515897</v>
      </c>
      <c r="AE17" s="2">
        <v>0.99018535328930191</v>
      </c>
      <c r="AF17" s="2">
        <v>0.81715271449760885</v>
      </c>
      <c r="AG17" s="2">
        <v>0.62356923643312523</v>
      </c>
      <c r="AH17" s="2">
        <v>0.43079520533304155</v>
      </c>
      <c r="AI17" s="2">
        <v>8.2053854461808587E-2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11.656439097437659</v>
      </c>
    </row>
    <row r="18" spans="1:44" x14ac:dyDescent="0.25">
      <c r="A18" t="s">
        <v>250</v>
      </c>
      <c r="B18" t="s">
        <v>286</v>
      </c>
      <c r="C18" t="s">
        <v>44</v>
      </c>
      <c r="D18" t="s">
        <v>287</v>
      </c>
      <c r="E18" t="s">
        <v>134</v>
      </c>
      <c r="F18" t="s">
        <v>287</v>
      </c>
      <c r="G18" t="s">
        <v>31</v>
      </c>
      <c r="H18" t="s">
        <v>290</v>
      </c>
      <c r="I18" t="s">
        <v>135</v>
      </c>
      <c r="J18" t="s">
        <v>39</v>
      </c>
      <c r="K18" t="s">
        <v>31</v>
      </c>
      <c r="L18">
        <v>15.196759042494826</v>
      </c>
      <c r="M18">
        <v>1</v>
      </c>
      <c r="N18">
        <v>1.6936671816670661</v>
      </c>
      <c r="O18">
        <v>8.7544663803383234</v>
      </c>
      <c r="P18">
        <v>-1.4152039125174969</v>
      </c>
      <c r="Q18">
        <v>2.7997804967521378</v>
      </c>
      <c r="R18">
        <v>-3.6733298826304734</v>
      </c>
      <c r="S18" s="2">
        <v>0.26624584478784696</v>
      </c>
      <c r="T18" s="2">
        <v>0.43178610244038318</v>
      </c>
      <c r="U18" s="2">
        <v>0.65342482197049345</v>
      </c>
      <c r="V18" s="2">
        <v>0.93303643544934689</v>
      </c>
      <c r="W18" s="2">
        <v>1.2653782269529088</v>
      </c>
      <c r="X18" s="2">
        <v>1.6354660428782573</v>
      </c>
      <c r="Y18" s="2">
        <v>2.0167212568162518</v>
      </c>
      <c r="Z18" s="2">
        <v>2.3710588565325295</v>
      </c>
      <c r="AA18" s="2">
        <v>2.6521934254625186</v>
      </c>
      <c r="AB18" s="2">
        <v>2.812970151358924</v>
      </c>
      <c r="AC18" s="2">
        <v>2.8162397882719601</v>
      </c>
      <c r="AD18" s="2">
        <v>2.6468166067549466</v>
      </c>
      <c r="AE18" s="2">
        <v>2.3201623437289411</v>
      </c>
      <c r="AF18" s="2">
        <v>1.912992376484445</v>
      </c>
      <c r="AG18" s="2">
        <v>1.4584878936244048</v>
      </c>
      <c r="AH18" s="2">
        <v>0.82577916909994464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27.018759342614104</v>
      </c>
    </row>
    <row r="19" spans="1:44" x14ac:dyDescent="0.25">
      <c r="A19" t="s">
        <v>250</v>
      </c>
      <c r="B19" t="s">
        <v>286</v>
      </c>
      <c r="C19" t="s">
        <v>44</v>
      </c>
      <c r="D19" t="s">
        <v>287</v>
      </c>
      <c r="E19" t="s">
        <v>134</v>
      </c>
      <c r="F19" t="s">
        <v>287</v>
      </c>
      <c r="G19" t="s">
        <v>31</v>
      </c>
      <c r="H19" t="s">
        <v>275</v>
      </c>
      <c r="I19" t="s">
        <v>135</v>
      </c>
      <c r="J19" t="s">
        <v>39</v>
      </c>
      <c r="K19" t="s">
        <v>31</v>
      </c>
      <c r="L19">
        <v>15.196759042494826</v>
      </c>
      <c r="M19">
        <v>1</v>
      </c>
      <c r="N19">
        <v>1.6936671816670661</v>
      </c>
      <c r="O19">
        <v>8.7544663803383234</v>
      </c>
      <c r="P19">
        <v>-1.4152039125174969</v>
      </c>
      <c r="Q19">
        <v>2.7997804967521378</v>
      </c>
      <c r="R19">
        <v>-3.6733298826304734</v>
      </c>
      <c r="S19" s="2">
        <v>7.0038266066552474E-2</v>
      </c>
      <c r="T19" s="2">
        <v>0.11340277582362707</v>
      </c>
      <c r="U19" s="2">
        <v>0.17133777843348602</v>
      </c>
      <c r="V19" s="2">
        <v>0.24426350514807199</v>
      </c>
      <c r="W19" s="2">
        <v>0.33073702601504557</v>
      </c>
      <c r="X19" s="2">
        <v>0.4267823681570308</v>
      </c>
      <c r="Y19" s="2">
        <v>0.52542809563295312</v>
      </c>
      <c r="Z19" s="2">
        <v>0.61675436006829076</v>
      </c>
      <c r="AA19" s="2">
        <v>0.68877530230435013</v>
      </c>
      <c r="AB19" s="2">
        <v>0.72935669503322176</v>
      </c>
      <c r="AC19" s="2">
        <v>0.72903261521565954</v>
      </c>
      <c r="AD19" s="2">
        <v>0.68407490221679002</v>
      </c>
      <c r="AE19" s="2">
        <v>0.5986881445917952</v>
      </c>
      <c r="AF19" s="2">
        <v>0.49283098154835903</v>
      </c>
      <c r="AG19" s="2">
        <v>0.37513714514306318</v>
      </c>
      <c r="AH19" s="2">
        <v>4.2121009551168695E-2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6.8387609709494646</v>
      </c>
    </row>
    <row r="20" spans="1:44" x14ac:dyDescent="0.25">
      <c r="A20" t="s">
        <v>250</v>
      </c>
      <c r="B20" t="s">
        <v>286</v>
      </c>
      <c r="C20" t="s">
        <v>44</v>
      </c>
      <c r="D20" t="s">
        <v>287</v>
      </c>
      <c r="E20" t="s">
        <v>134</v>
      </c>
      <c r="F20" t="s">
        <v>287</v>
      </c>
      <c r="G20" t="s">
        <v>31</v>
      </c>
      <c r="H20" t="s">
        <v>277</v>
      </c>
      <c r="I20" t="s">
        <v>135</v>
      </c>
      <c r="J20" t="s">
        <v>39</v>
      </c>
      <c r="K20" t="s">
        <v>31</v>
      </c>
      <c r="L20">
        <v>15.196759042494826</v>
      </c>
      <c r="M20">
        <v>1</v>
      </c>
      <c r="N20">
        <v>1.6936671816670661</v>
      </c>
      <c r="O20">
        <v>8.7544663803383234</v>
      </c>
      <c r="P20">
        <v>-1.4152039125174969</v>
      </c>
      <c r="Q20">
        <v>2.7997804967521378</v>
      </c>
      <c r="R20">
        <v>-3.6733298826304734</v>
      </c>
      <c r="S20" s="2">
        <v>0.35511223130196068</v>
      </c>
      <c r="T20" s="2">
        <v>0.57491226157155317</v>
      </c>
      <c r="U20" s="2">
        <v>0.86851766941464226</v>
      </c>
      <c r="V20" s="2">
        <v>1.2380316638094155</v>
      </c>
      <c r="W20" s="2">
        <v>1.6761142755864729</v>
      </c>
      <c r="X20" s="2">
        <v>2.1625936214091279</v>
      </c>
      <c r="Y20" s="2">
        <v>2.6621307445482203</v>
      </c>
      <c r="Z20" s="2">
        <v>3.124467117805275</v>
      </c>
      <c r="AA20" s="2">
        <v>3.4889033346265954</v>
      </c>
      <c r="AB20" s="2">
        <v>3.6940178127465764</v>
      </c>
      <c r="AC20" s="2">
        <v>3.6919312929355779</v>
      </c>
      <c r="AD20" s="2">
        <v>3.4638410107401372</v>
      </c>
      <c r="AE20" s="2">
        <v>3.031116241642601</v>
      </c>
      <c r="AF20" s="2">
        <v>2.4948680181590999</v>
      </c>
      <c r="AG20" s="2">
        <v>1.8988352432043558</v>
      </c>
      <c r="AH20" s="2">
        <v>0.1487203702014116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34.574112909703018</v>
      </c>
    </row>
    <row r="21" spans="1:44" x14ac:dyDescent="0.25">
      <c r="A21" t="s">
        <v>250</v>
      </c>
      <c r="B21" t="s">
        <v>286</v>
      </c>
      <c r="C21" t="s">
        <v>44</v>
      </c>
      <c r="D21" t="s">
        <v>287</v>
      </c>
      <c r="E21" t="s">
        <v>134</v>
      </c>
      <c r="F21" t="s">
        <v>287</v>
      </c>
      <c r="G21" t="s">
        <v>31</v>
      </c>
      <c r="H21" t="s">
        <v>277</v>
      </c>
      <c r="I21" t="s">
        <v>135</v>
      </c>
      <c r="J21" t="s">
        <v>40</v>
      </c>
      <c r="K21" t="s">
        <v>31</v>
      </c>
      <c r="L21">
        <v>15.196759042494826</v>
      </c>
      <c r="M21">
        <v>1</v>
      </c>
      <c r="N21">
        <v>1.6936671816670661</v>
      </c>
      <c r="O21">
        <v>7.5176781675495903</v>
      </c>
      <c r="P21">
        <v>-1.4152039125174969</v>
      </c>
      <c r="Q21">
        <v>0.4672931329656026</v>
      </c>
      <c r="R21">
        <v>-3.5303298826304736</v>
      </c>
      <c r="S21" s="2">
        <v>5.6017317428024946E-2</v>
      </c>
      <c r="T21" s="2">
        <v>9.0689758929572456E-2</v>
      </c>
      <c r="U21" s="2">
        <v>0.13700465850211288</v>
      </c>
      <c r="V21" s="2">
        <v>0.19529378766620648</v>
      </c>
      <c r="W21" s="2">
        <v>0.26439930012248247</v>
      </c>
      <c r="X21" s="2">
        <v>0.34113917426653356</v>
      </c>
      <c r="Y21" s="2">
        <v>0.4199388525861758</v>
      </c>
      <c r="Z21" s="2">
        <v>0.49287028410659511</v>
      </c>
      <c r="AA21" s="2">
        <v>0.55035841726692347</v>
      </c>
      <c r="AB21" s="2">
        <v>0.58271428061695385</v>
      </c>
      <c r="AC21" s="2">
        <v>0.58238514173558109</v>
      </c>
      <c r="AD21" s="2">
        <v>0.5464049512106165</v>
      </c>
      <c r="AE21" s="2">
        <v>0.47814461373749373</v>
      </c>
      <c r="AF21" s="2">
        <v>0.39355392857591537</v>
      </c>
      <c r="AG21" s="2">
        <v>0.29953250602526355</v>
      </c>
      <c r="AH21" s="2">
        <v>2.3459952801517487E-2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5.4539069255779689</v>
      </c>
    </row>
    <row r="22" spans="1:44" x14ac:dyDescent="0.25">
      <c r="A22" t="s">
        <v>250</v>
      </c>
      <c r="B22" t="s">
        <v>384</v>
      </c>
      <c r="C22" t="s">
        <v>44</v>
      </c>
      <c r="D22" t="s">
        <v>191</v>
      </c>
      <c r="E22" t="s">
        <v>134</v>
      </c>
      <c r="F22" t="s">
        <v>385</v>
      </c>
      <c r="G22" t="s">
        <v>31</v>
      </c>
      <c r="H22" t="s">
        <v>254</v>
      </c>
      <c r="I22" t="s">
        <v>135</v>
      </c>
      <c r="J22" t="s">
        <v>39</v>
      </c>
      <c r="K22" t="s">
        <v>31</v>
      </c>
      <c r="L22">
        <v>0.47</v>
      </c>
      <c r="M22">
        <v>1</v>
      </c>
      <c r="N22">
        <v>5.3213707330090463</v>
      </c>
      <c r="O22">
        <v>6.6226500173868947</v>
      </c>
      <c r="P22">
        <v>-2.3861665887837624</v>
      </c>
      <c r="Q22">
        <v>0.67410983752979503</v>
      </c>
      <c r="R22">
        <v>-2.5186218996743959</v>
      </c>
      <c r="S22" s="2">
        <v>1.9382878705347271E-3</v>
      </c>
      <c r="T22" s="2">
        <v>3.8571266809371272E-3</v>
      </c>
      <c r="U22" s="2">
        <v>6.8177761389768858E-3</v>
      </c>
      <c r="V22" s="2">
        <v>1.1040289996715648E-2</v>
      </c>
      <c r="W22" s="2">
        <v>1.6682432345588031E-2</v>
      </c>
      <c r="X22" s="2">
        <v>2.3785608717809135E-2</v>
      </c>
      <c r="Y22" s="2">
        <v>3.2209793981517389E-2</v>
      </c>
      <c r="Z22" s="2">
        <v>4.1568183228343575E-2</v>
      </c>
      <c r="AA22" s="2">
        <v>5.1182006908374808E-2</v>
      </c>
      <c r="AB22" s="2">
        <v>6.0084948397863602E-2</v>
      </c>
      <c r="AC22" s="2">
        <v>6.7108954804027343E-2</v>
      </c>
      <c r="AD22" s="2">
        <v>7.1070983830685788E-2</v>
      </c>
      <c r="AE22" s="2">
        <v>7.1047492735734047E-2</v>
      </c>
      <c r="AF22" s="2">
        <v>6.6673752711535167E-2</v>
      </c>
      <c r="AG22" s="2">
        <v>5.8358127133339911E-2</v>
      </c>
      <c r="AH22" s="2">
        <v>4.8044992947829393E-2</v>
      </c>
      <c r="AI22" s="2">
        <v>3.6575447296065391E-2</v>
      </c>
      <c r="AJ22" s="2">
        <v>1.0474259371165246E-2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0.67852046509704322</v>
      </c>
    </row>
    <row r="23" spans="1:44" x14ac:dyDescent="0.25">
      <c r="A23" t="s">
        <v>250</v>
      </c>
      <c r="B23" t="s">
        <v>384</v>
      </c>
      <c r="C23" t="s">
        <v>44</v>
      </c>
      <c r="D23" t="s">
        <v>191</v>
      </c>
      <c r="E23" t="s">
        <v>134</v>
      </c>
      <c r="F23" t="s">
        <v>385</v>
      </c>
      <c r="G23" t="s">
        <v>31</v>
      </c>
      <c r="H23" t="s">
        <v>272</v>
      </c>
      <c r="I23" t="s">
        <v>135</v>
      </c>
      <c r="J23" t="s">
        <v>39</v>
      </c>
      <c r="K23" t="s">
        <v>31</v>
      </c>
      <c r="L23">
        <v>0.47</v>
      </c>
      <c r="M23">
        <v>1</v>
      </c>
      <c r="N23">
        <v>5.3213707330090463</v>
      </c>
      <c r="O23">
        <v>6.6226500173868947</v>
      </c>
      <c r="P23">
        <v>-2.3861665887837624</v>
      </c>
      <c r="Q23">
        <v>0.67410983752979503</v>
      </c>
      <c r="R23">
        <v>-2.5186218996743959</v>
      </c>
      <c r="S23" s="2">
        <v>3.4202147274763179E-3</v>
      </c>
      <c r="T23" s="2">
        <v>6.8053356913159819E-3</v>
      </c>
      <c r="U23" s="2">
        <v>1.202759905938401E-2</v>
      </c>
      <c r="V23" s="2">
        <v>1.9474541510375393E-2</v>
      </c>
      <c r="W23" s="2">
        <v>2.94236596429347E-2</v>
      </c>
      <c r="X23" s="2">
        <v>4.1947119335722954E-2</v>
      </c>
      <c r="Y23" s="2">
        <v>5.679712771903915E-2</v>
      </c>
      <c r="Z23" s="2">
        <v>7.3290895079119955E-2</v>
      </c>
      <c r="AA23" s="2">
        <v>9.0231223925557019E-2</v>
      </c>
      <c r="AB23" s="2">
        <v>0.10591458894741175</v>
      </c>
      <c r="AC23" s="2">
        <v>0.11828267093663818</v>
      </c>
      <c r="AD23" s="2">
        <v>0.12525167157623801</v>
      </c>
      <c r="AE23" s="2">
        <v>0.12519601768404753</v>
      </c>
      <c r="AF23" s="2">
        <v>0.11747547608663791</v>
      </c>
      <c r="AG23" s="2">
        <v>0.10281209643188817</v>
      </c>
      <c r="AH23" s="2">
        <v>8.4633355207191757E-2</v>
      </c>
      <c r="AI23" s="2">
        <v>6.4421914297182498E-2</v>
      </c>
      <c r="AJ23" s="2">
        <v>1.6613865344501315E-2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1.1940193732026627</v>
      </c>
    </row>
    <row r="24" spans="1:44" x14ac:dyDescent="0.25">
      <c r="A24" t="s">
        <v>250</v>
      </c>
      <c r="B24" t="s">
        <v>384</v>
      </c>
      <c r="C24" t="s">
        <v>44</v>
      </c>
      <c r="D24" t="s">
        <v>191</v>
      </c>
      <c r="E24" t="s">
        <v>134</v>
      </c>
      <c r="F24" t="s">
        <v>385</v>
      </c>
      <c r="G24" t="s">
        <v>31</v>
      </c>
      <c r="H24" t="s">
        <v>272</v>
      </c>
      <c r="I24" t="s">
        <v>135</v>
      </c>
      <c r="J24" t="s">
        <v>40</v>
      </c>
      <c r="K24" t="s">
        <v>31</v>
      </c>
      <c r="L24">
        <v>0.47</v>
      </c>
      <c r="M24">
        <v>1</v>
      </c>
      <c r="N24">
        <v>5.3213707330090463</v>
      </c>
      <c r="O24">
        <v>5.385861804598159</v>
      </c>
      <c r="P24">
        <v>-2.3861665887837624</v>
      </c>
      <c r="Q24">
        <v>0.4672931329656026</v>
      </c>
      <c r="R24">
        <v>-2.3756218996743956</v>
      </c>
      <c r="S24" s="2">
        <v>3.3831341870850398E-4</v>
      </c>
      <c r="T24" s="2">
        <v>6.7315550824697471E-4</v>
      </c>
      <c r="U24" s="2">
        <v>1.1897200851005826E-3</v>
      </c>
      <c r="V24" s="2">
        <v>1.9263406660485441E-3</v>
      </c>
      <c r="W24" s="2">
        <v>2.9104660607264755E-3</v>
      </c>
      <c r="X24" s="2">
        <v>4.149234617767221E-3</v>
      </c>
      <c r="Y24" s="2">
        <v>5.6181356968865101E-3</v>
      </c>
      <c r="Z24" s="2">
        <v>7.249630578814302E-3</v>
      </c>
      <c r="AA24" s="2">
        <v>8.9252974660548184E-3</v>
      </c>
      <c r="AB24" s="2">
        <v>1.0476630718546865E-2</v>
      </c>
      <c r="AC24" s="2">
        <v>1.1700029959251776E-2</v>
      </c>
      <c r="AD24" s="2">
        <v>1.2389374523621995E-2</v>
      </c>
      <c r="AE24" s="2">
        <v>1.2383869472029725E-2</v>
      </c>
      <c r="AF24" s="2">
        <v>1.1620185601213768E-2</v>
      </c>
      <c r="AG24" s="2">
        <v>1.0169745059873964E-2</v>
      </c>
      <c r="AH24" s="2">
        <v>8.3715795698135632E-3</v>
      </c>
      <c r="AI24" s="2">
        <v>6.3723478793706731E-3</v>
      </c>
      <c r="AJ24" s="2">
        <v>1.6433744751483312E-3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0.1181074313572246</v>
      </c>
    </row>
    <row r="25" spans="1:44" x14ac:dyDescent="0.25">
      <c r="A25" t="s">
        <v>250</v>
      </c>
      <c r="B25" t="s">
        <v>384</v>
      </c>
      <c r="C25" t="s">
        <v>44</v>
      </c>
      <c r="D25" t="s">
        <v>191</v>
      </c>
      <c r="E25" t="s">
        <v>134</v>
      </c>
      <c r="F25" t="s">
        <v>385</v>
      </c>
      <c r="G25" t="s">
        <v>31</v>
      </c>
      <c r="H25" t="s">
        <v>253</v>
      </c>
      <c r="I25" t="s">
        <v>135</v>
      </c>
      <c r="J25" t="s">
        <v>39</v>
      </c>
      <c r="K25" t="s">
        <v>31</v>
      </c>
      <c r="L25">
        <v>0.47</v>
      </c>
      <c r="M25">
        <v>1</v>
      </c>
      <c r="N25">
        <v>5.3213707330090463</v>
      </c>
      <c r="O25">
        <v>6.6226500173868947</v>
      </c>
      <c r="P25">
        <v>-2.3861665887837624</v>
      </c>
      <c r="Q25">
        <v>0.67410983752979503</v>
      </c>
      <c r="R25">
        <v>-2.5186218996743959</v>
      </c>
      <c r="S25" s="2">
        <v>4.375626557671731E-4</v>
      </c>
      <c r="T25" s="2">
        <v>8.7107294621731129E-4</v>
      </c>
      <c r="U25" s="2">
        <v>1.5402882811928794E-3</v>
      </c>
      <c r="V25" s="2">
        <v>2.4952174940702349E-3</v>
      </c>
      <c r="W25" s="2">
        <v>3.7718633375461524E-3</v>
      </c>
      <c r="X25" s="2">
        <v>5.3799655938380556E-3</v>
      </c>
      <c r="Y25" s="2">
        <v>7.288225917444025E-3</v>
      </c>
      <c r="Z25" s="2">
        <v>9.4094356006773454E-3</v>
      </c>
      <c r="AA25" s="2">
        <v>1.1590134954793595E-2</v>
      </c>
      <c r="AB25" s="2">
        <v>1.3611485523357043E-2</v>
      </c>
      <c r="AC25" s="2">
        <v>1.5208590248776216E-2</v>
      </c>
      <c r="AD25" s="2">
        <v>1.6112742366071665E-2</v>
      </c>
      <c r="AE25" s="2">
        <v>1.6113672891628374E-2</v>
      </c>
      <c r="AF25" s="2">
        <v>1.512757581360539E-2</v>
      </c>
      <c r="AG25" s="2">
        <v>1.3245990378359064E-2</v>
      </c>
      <c r="AH25" s="2">
        <v>1.0909375105940908E-2</v>
      </c>
      <c r="AI25" s="2">
        <v>8.3082592167108907E-3</v>
      </c>
      <c r="AJ25" s="2">
        <v>3.1867521219877183E-3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0.15460821044798403</v>
      </c>
    </row>
    <row r="26" spans="1:44" x14ac:dyDescent="0.25">
      <c r="A26" t="s">
        <v>250</v>
      </c>
      <c r="B26" t="s">
        <v>384</v>
      </c>
      <c r="C26" t="s">
        <v>44</v>
      </c>
      <c r="D26" t="s">
        <v>191</v>
      </c>
      <c r="E26" t="s">
        <v>134</v>
      </c>
      <c r="F26" t="s">
        <v>385</v>
      </c>
      <c r="G26" t="s">
        <v>31</v>
      </c>
      <c r="H26" t="s">
        <v>253</v>
      </c>
      <c r="I26" t="s">
        <v>135</v>
      </c>
      <c r="J26" t="s">
        <v>40</v>
      </c>
      <c r="K26" t="s">
        <v>31</v>
      </c>
      <c r="L26">
        <v>0.47</v>
      </c>
      <c r="M26">
        <v>1</v>
      </c>
      <c r="N26">
        <v>5.3213707330090463</v>
      </c>
      <c r="O26">
        <v>5.385861804598159</v>
      </c>
      <c r="P26">
        <v>-2.3861665887837624</v>
      </c>
      <c r="Q26">
        <v>0.4672931329656026</v>
      </c>
      <c r="R26">
        <v>-2.3756218996743956</v>
      </c>
      <c r="S26" s="2">
        <v>2.301670512109425E-4</v>
      </c>
      <c r="T26" s="2">
        <v>4.5820247404099401E-4</v>
      </c>
      <c r="U26" s="2">
        <v>8.1022364917169242E-4</v>
      </c>
      <c r="V26" s="2">
        <v>1.312536262339758E-3</v>
      </c>
      <c r="W26" s="2">
        <v>1.9840785097428623E-3</v>
      </c>
      <c r="X26" s="2">
        <v>2.8299737192584514E-3</v>
      </c>
      <c r="Y26" s="2">
        <v>3.8337583106494801E-3</v>
      </c>
      <c r="Z26" s="2">
        <v>4.9495586911319023E-3</v>
      </c>
      <c r="AA26" s="2">
        <v>6.0966518749286866E-3</v>
      </c>
      <c r="AB26" s="2">
        <v>7.1599242856285814E-3</v>
      </c>
      <c r="AC26" s="2">
        <v>8.0000345653330612E-3</v>
      </c>
      <c r="AD26" s="2">
        <v>8.4756373708767679E-3</v>
      </c>
      <c r="AE26" s="2">
        <v>8.4761268466595902E-3</v>
      </c>
      <c r="AF26" s="2">
        <v>7.9574192886337838E-3</v>
      </c>
      <c r="AG26" s="2">
        <v>6.9676662429292947E-3</v>
      </c>
      <c r="AH26" s="2">
        <v>5.7385580455581037E-3</v>
      </c>
      <c r="AI26" s="2">
        <v>4.3703170263780641E-3</v>
      </c>
      <c r="AJ26" s="2">
        <v>1.6762978494408911E-3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8.1327132063912899E-2</v>
      </c>
    </row>
    <row r="27" spans="1:44" x14ac:dyDescent="0.25">
      <c r="A27" t="s">
        <v>250</v>
      </c>
      <c r="B27" t="s">
        <v>384</v>
      </c>
      <c r="C27" t="s">
        <v>44</v>
      </c>
      <c r="D27" t="s">
        <v>191</v>
      </c>
      <c r="E27" t="s">
        <v>134</v>
      </c>
      <c r="F27" t="s">
        <v>385</v>
      </c>
      <c r="G27" t="s">
        <v>31</v>
      </c>
      <c r="H27" t="s">
        <v>253</v>
      </c>
      <c r="I27" t="s">
        <v>256</v>
      </c>
      <c r="J27" t="s">
        <v>39</v>
      </c>
      <c r="K27" t="s">
        <v>31</v>
      </c>
      <c r="L27">
        <v>0.47</v>
      </c>
      <c r="M27">
        <v>1</v>
      </c>
      <c r="N27">
        <v>3.1511947914894107</v>
      </c>
      <c r="O27">
        <v>3.921782805169451</v>
      </c>
      <c r="P27">
        <v>-0.92322963743489139</v>
      </c>
      <c r="Q27">
        <v>0.4672931329656026</v>
      </c>
      <c r="R27">
        <v>-1.0556849483255246</v>
      </c>
      <c r="S27" s="2">
        <v>2.2952826580930472E-4</v>
      </c>
      <c r="T27" s="2">
        <v>4.5693081917175086E-4</v>
      </c>
      <c r="U27" s="2">
        <v>8.0797502567658472E-4</v>
      </c>
      <c r="V27" s="2">
        <v>1.308893564572672E-3</v>
      </c>
      <c r="W27" s="2">
        <v>1.9785720726526747E-3</v>
      </c>
      <c r="X27" s="2">
        <v>2.8221196589602025E-3</v>
      </c>
      <c r="Y27" s="2">
        <v>3.8231184348316073E-3</v>
      </c>
      <c r="Z27" s="2">
        <v>4.9358221210198455E-3</v>
      </c>
      <c r="AA27" s="2">
        <v>6.0797317632268503E-3</v>
      </c>
      <c r="AB27" s="2">
        <v>7.1400532611425455E-3</v>
      </c>
      <c r="AC27" s="2">
        <v>7.977831972624647E-3</v>
      </c>
      <c r="AD27" s="2">
        <v>8.4521148319485935E-3</v>
      </c>
      <c r="AE27" s="2">
        <v>8.4526029492833585E-3</v>
      </c>
      <c r="AF27" s="2">
        <v>7.9353349666183258E-3</v>
      </c>
      <c r="AG27" s="2">
        <v>6.9483287945149731E-3</v>
      </c>
      <c r="AH27" s="2">
        <v>5.7226317559929026E-3</v>
      </c>
      <c r="AI27" s="2">
        <v>4.3581880326654882E-3</v>
      </c>
      <c r="AJ27" s="2">
        <v>1.6716455997405049E-3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8.1101423890452828E-2</v>
      </c>
    </row>
    <row r="28" spans="1:44" x14ac:dyDescent="0.25">
      <c r="A28" t="s">
        <v>250</v>
      </c>
      <c r="B28" t="s">
        <v>384</v>
      </c>
      <c r="C28" t="s">
        <v>44</v>
      </c>
      <c r="D28" t="s">
        <v>191</v>
      </c>
      <c r="E28" t="s">
        <v>134</v>
      </c>
      <c r="F28" t="s">
        <v>385</v>
      </c>
      <c r="G28" t="s">
        <v>31</v>
      </c>
      <c r="H28" t="s">
        <v>288</v>
      </c>
      <c r="I28" t="s">
        <v>135</v>
      </c>
      <c r="J28" t="s">
        <v>39</v>
      </c>
      <c r="K28" t="s">
        <v>31</v>
      </c>
      <c r="L28">
        <v>0.47</v>
      </c>
      <c r="M28">
        <v>1</v>
      </c>
      <c r="N28">
        <v>5.3213707330090463</v>
      </c>
      <c r="O28">
        <v>6.6226500173868947</v>
      </c>
      <c r="P28">
        <v>-2.3861665887837624</v>
      </c>
      <c r="Q28">
        <v>0.67410983752979503</v>
      </c>
      <c r="R28">
        <v>-2.5186218996743959</v>
      </c>
      <c r="S28" s="2">
        <v>2.9988211077011198E-3</v>
      </c>
      <c r="T28" s="2">
        <v>5.9764633558516012E-3</v>
      </c>
      <c r="U28" s="2">
        <v>1.057964688462833E-2</v>
      </c>
      <c r="V28" s="2">
        <v>1.7157617979537864E-2</v>
      </c>
      <c r="W28" s="2">
        <v>2.5964739046378173E-2</v>
      </c>
      <c r="X28" s="2">
        <v>3.7075493236005563E-2</v>
      </c>
      <c r="Y28" s="2">
        <v>5.0281553980030182E-2</v>
      </c>
      <c r="Z28" s="2">
        <v>6.4987505210605923E-2</v>
      </c>
      <c r="AA28" s="2">
        <v>8.0137208446731431E-2</v>
      </c>
      <c r="AB28" s="2">
        <v>9.4217303052272133E-2</v>
      </c>
      <c r="AC28" s="2">
        <v>0.10538857398313502</v>
      </c>
      <c r="AD28" s="2">
        <v>0.11177725955532114</v>
      </c>
      <c r="AE28" s="2">
        <v>0.11190718310026301</v>
      </c>
      <c r="AF28" s="2">
        <v>0.10517491865516508</v>
      </c>
      <c r="AG28" s="2">
        <v>9.2194859721560274E-2</v>
      </c>
      <c r="AH28" s="2">
        <v>7.6015397920363048E-2</v>
      </c>
      <c r="AI28" s="2">
        <v>5.7955033673283848E-2</v>
      </c>
      <c r="AJ28" s="2">
        <v>3.8261002503038759E-2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1.0880505814118726</v>
      </c>
    </row>
    <row r="29" spans="1:44" x14ac:dyDescent="0.25">
      <c r="A29" t="s">
        <v>250</v>
      </c>
      <c r="B29" t="s">
        <v>384</v>
      </c>
      <c r="C29" t="s">
        <v>44</v>
      </c>
      <c r="D29" t="s">
        <v>191</v>
      </c>
      <c r="E29" t="s">
        <v>134</v>
      </c>
      <c r="F29" t="s">
        <v>385</v>
      </c>
      <c r="G29" t="s">
        <v>31</v>
      </c>
      <c r="H29" t="s">
        <v>288</v>
      </c>
      <c r="I29" t="s">
        <v>135</v>
      </c>
      <c r="J29" t="s">
        <v>39</v>
      </c>
      <c r="K29" t="s">
        <v>33</v>
      </c>
      <c r="L29">
        <v>0.47</v>
      </c>
      <c r="M29">
        <v>1</v>
      </c>
      <c r="N29">
        <v>5.3213707330090463</v>
      </c>
      <c r="O29">
        <v>6.6226500173868947</v>
      </c>
      <c r="P29">
        <v>-2.3861665887837624</v>
      </c>
      <c r="Q29">
        <v>0.67410983752979503</v>
      </c>
      <c r="R29">
        <v>-2.5186218996743959</v>
      </c>
      <c r="S29" s="2">
        <v>2.8210250152629784E-5</v>
      </c>
      <c r="T29" s="2">
        <v>5.6221268372305447E-5</v>
      </c>
      <c r="U29" s="2">
        <v>9.9523937715194125E-5</v>
      </c>
      <c r="V29" s="2">
        <v>1.6140365758498656E-4</v>
      </c>
      <c r="W29" s="2">
        <v>2.4425324397145897E-4</v>
      </c>
      <c r="X29" s="2">
        <v>3.4877336831927236E-4</v>
      </c>
      <c r="Y29" s="2">
        <v>4.7300427898047887E-4</v>
      </c>
      <c r="Z29" s="2">
        <v>6.1134482949932729E-4</v>
      </c>
      <c r="AA29" s="2">
        <v>7.5385980544493488E-4</v>
      </c>
      <c r="AB29" s="2">
        <v>8.8631285173534566E-4</v>
      </c>
      <c r="AC29" s="2">
        <v>9.9140226392906931E-4</v>
      </c>
      <c r="AD29" s="2">
        <v>1.0515013534262848E-3</v>
      </c>
      <c r="AE29" s="2">
        <v>1.0527235589436843E-3</v>
      </c>
      <c r="AF29" s="2">
        <v>9.8939238403560233E-4</v>
      </c>
      <c r="AG29" s="2">
        <v>8.672874980280563E-4</v>
      </c>
      <c r="AH29" s="2">
        <v>7.150854665115494E-4</v>
      </c>
      <c r="AI29" s="2">
        <v>5.451895724385993E-4</v>
      </c>
      <c r="AJ29" s="2">
        <v>3.5992558840181602E-4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1.0235415177490598E-2</v>
      </c>
    </row>
    <row r="30" spans="1:44" x14ac:dyDescent="0.25">
      <c r="A30" t="s">
        <v>250</v>
      </c>
      <c r="B30" t="s">
        <v>384</v>
      </c>
      <c r="C30" t="s">
        <v>44</v>
      </c>
      <c r="D30" t="s">
        <v>191</v>
      </c>
      <c r="E30" t="s">
        <v>134</v>
      </c>
      <c r="F30" t="s">
        <v>385</v>
      </c>
      <c r="G30" t="s">
        <v>31</v>
      </c>
      <c r="H30" t="s">
        <v>273</v>
      </c>
      <c r="I30" t="s">
        <v>135</v>
      </c>
      <c r="J30" t="s">
        <v>39</v>
      </c>
      <c r="K30" t="s">
        <v>31</v>
      </c>
      <c r="L30">
        <v>0.47</v>
      </c>
      <c r="M30">
        <v>1</v>
      </c>
      <c r="N30">
        <v>5.3213707330090463</v>
      </c>
      <c r="O30">
        <v>6.6226500173868947</v>
      </c>
      <c r="P30">
        <v>-2.3861665887837624</v>
      </c>
      <c r="Q30">
        <v>0.67410983752979503</v>
      </c>
      <c r="R30">
        <v>-2.5186218996743959</v>
      </c>
      <c r="S30" s="2">
        <v>1.0286519730712382E-3</v>
      </c>
      <c r="T30" s="2">
        <v>2.0467492669530856E-3</v>
      </c>
      <c r="U30" s="2">
        <v>3.6173791675571903E-3</v>
      </c>
      <c r="V30" s="2">
        <v>5.857095868389184E-3</v>
      </c>
      <c r="W30" s="2">
        <v>8.8493582883944558E-3</v>
      </c>
      <c r="X30" s="2">
        <v>1.2615870788084856E-2</v>
      </c>
      <c r="Y30" s="2">
        <v>1.7082108039479311E-2</v>
      </c>
      <c r="Z30" s="2">
        <v>2.2042716565612422E-2</v>
      </c>
      <c r="AA30" s="2">
        <v>2.7137631382618974E-2</v>
      </c>
      <c r="AB30" s="2">
        <v>3.1854506099438636E-2</v>
      </c>
      <c r="AC30" s="2">
        <v>3.5574287737450631E-2</v>
      </c>
      <c r="AD30" s="2">
        <v>3.7670260309192842E-2</v>
      </c>
      <c r="AE30" s="2">
        <v>3.765352203672389E-2</v>
      </c>
      <c r="AF30" s="2">
        <v>3.5331518601222051E-2</v>
      </c>
      <c r="AG30" s="2">
        <v>3.0921411161891565E-2</v>
      </c>
      <c r="AH30" s="2">
        <v>2.5454035713644973E-2</v>
      </c>
      <c r="AI30" s="2">
        <v>1.9375312525982864E-2</v>
      </c>
      <c r="AJ30" s="2">
        <v>4.9967287812865396E-3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0.3591091443069947</v>
      </c>
    </row>
    <row r="31" spans="1:44" x14ac:dyDescent="0.25">
      <c r="A31" t="s">
        <v>250</v>
      </c>
      <c r="B31" t="s">
        <v>384</v>
      </c>
      <c r="C31" t="s">
        <v>44</v>
      </c>
      <c r="D31" t="s">
        <v>191</v>
      </c>
      <c r="E31" t="s">
        <v>134</v>
      </c>
      <c r="F31" t="s">
        <v>385</v>
      </c>
      <c r="G31" t="s">
        <v>31</v>
      </c>
      <c r="H31" t="s">
        <v>252</v>
      </c>
      <c r="I31" t="s">
        <v>135</v>
      </c>
      <c r="J31" t="s">
        <v>39</v>
      </c>
      <c r="K31" t="s">
        <v>31</v>
      </c>
      <c r="L31">
        <v>0.47</v>
      </c>
      <c r="M31">
        <v>1</v>
      </c>
      <c r="N31">
        <v>5.3213707330090463</v>
      </c>
      <c r="O31">
        <v>6.6226500173868947</v>
      </c>
      <c r="P31">
        <v>-2.3861665887837624</v>
      </c>
      <c r="Q31">
        <v>0.67410983752979503</v>
      </c>
      <c r="R31">
        <v>-2.5186218996743959</v>
      </c>
      <c r="S31" s="2">
        <v>1.5199949940065868E-4</v>
      </c>
      <c r="T31" s="2">
        <v>3.0271283235826224E-4</v>
      </c>
      <c r="U31" s="2">
        <v>5.3549166474260604E-4</v>
      </c>
      <c r="V31" s="2">
        <v>8.6782770064603007E-4</v>
      </c>
      <c r="W31" s="2">
        <v>1.3123674455265976E-3</v>
      </c>
      <c r="X31" s="2">
        <v>1.8726361203636153E-3</v>
      </c>
      <c r="Y31" s="2">
        <v>2.5378743825508789E-3</v>
      </c>
      <c r="Z31" s="2">
        <v>3.2778288086051633E-3</v>
      </c>
      <c r="AA31" s="2">
        <v>4.0391091044708789E-3</v>
      </c>
      <c r="AB31" s="2">
        <v>4.745445774608976E-3</v>
      </c>
      <c r="AC31" s="2">
        <v>5.3043826608534881E-3</v>
      </c>
      <c r="AD31" s="2">
        <v>5.6219858535265588E-3</v>
      </c>
      <c r="AE31" s="2">
        <v>5.6245687110941019E-3</v>
      </c>
      <c r="AF31" s="2">
        <v>5.2824867874555967E-3</v>
      </c>
      <c r="AG31" s="2">
        <v>4.6273027454459791E-3</v>
      </c>
      <c r="AH31" s="2">
        <v>3.8125693480436512E-3</v>
      </c>
      <c r="AI31" s="2">
        <v>2.9047068787603856E-3</v>
      </c>
      <c r="AJ31" s="2">
        <v>1.4062572581983518E-3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5.4227553576651773E-2</v>
      </c>
    </row>
    <row r="32" spans="1:44" x14ac:dyDescent="0.25">
      <c r="A32" t="s">
        <v>250</v>
      </c>
      <c r="B32" t="s">
        <v>384</v>
      </c>
      <c r="C32" t="s">
        <v>44</v>
      </c>
      <c r="D32" t="s">
        <v>191</v>
      </c>
      <c r="E32" t="s">
        <v>134</v>
      </c>
      <c r="F32" t="s">
        <v>385</v>
      </c>
      <c r="G32" t="s">
        <v>31</v>
      </c>
      <c r="H32" t="s">
        <v>289</v>
      </c>
      <c r="I32" t="s">
        <v>135</v>
      </c>
      <c r="J32" t="s">
        <v>39</v>
      </c>
      <c r="K32" t="s">
        <v>31</v>
      </c>
      <c r="L32">
        <v>0.47</v>
      </c>
      <c r="M32">
        <v>1</v>
      </c>
      <c r="N32">
        <v>5.3213707330090463</v>
      </c>
      <c r="O32">
        <v>6.6226500173868947</v>
      </c>
      <c r="P32">
        <v>-2.3861665887837624</v>
      </c>
      <c r="Q32">
        <v>0.67410983752979503</v>
      </c>
      <c r="R32">
        <v>-2.5186218996743959</v>
      </c>
      <c r="S32" s="2">
        <v>2.8502494694136356E-3</v>
      </c>
      <c r="T32" s="2">
        <v>5.6803693508895416E-3</v>
      </c>
      <c r="U32" s="2">
        <v>1.0055495755334303E-2</v>
      </c>
      <c r="V32" s="2">
        <v>1.6307572137928831E-2</v>
      </c>
      <c r="W32" s="2">
        <v>2.4678358939235125E-2</v>
      </c>
      <c r="X32" s="2">
        <v>3.5238649165432595E-2</v>
      </c>
      <c r="Y32" s="2">
        <v>4.779043744384557E-2</v>
      </c>
      <c r="Z32" s="2">
        <v>6.1767806612193096E-2</v>
      </c>
      <c r="AA32" s="2">
        <v>7.616694282597096E-2</v>
      </c>
      <c r="AB32" s="2">
        <v>8.9549462401972341E-2</v>
      </c>
      <c r="AC32" s="2">
        <v>0.10016727116742308</v>
      </c>
      <c r="AD32" s="2">
        <v>0.1062394398658532</v>
      </c>
      <c r="AE32" s="2">
        <v>0.10636292656337037</v>
      </c>
      <c r="AF32" s="2">
        <v>9.9964201039758657E-2</v>
      </c>
      <c r="AG32" s="2">
        <v>8.762721768538112E-2</v>
      </c>
      <c r="AH32" s="2">
        <v>7.2249340593668734E-2</v>
      </c>
      <c r="AI32" s="2">
        <v>5.5083747260855326E-2</v>
      </c>
      <c r="AJ32" s="2">
        <v>3.6365424334071098E-2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1.0341449126125977</v>
      </c>
    </row>
    <row r="33" spans="1:44" x14ac:dyDescent="0.25">
      <c r="A33" t="s">
        <v>250</v>
      </c>
      <c r="B33" t="s">
        <v>384</v>
      </c>
      <c r="C33" t="s">
        <v>44</v>
      </c>
      <c r="D33" t="s">
        <v>191</v>
      </c>
      <c r="E33" t="s">
        <v>134</v>
      </c>
      <c r="F33" t="s">
        <v>385</v>
      </c>
      <c r="G33" t="s">
        <v>31</v>
      </c>
      <c r="H33" t="s">
        <v>274</v>
      </c>
      <c r="I33" t="s">
        <v>135</v>
      </c>
      <c r="J33" t="s">
        <v>39</v>
      </c>
      <c r="K33" t="s">
        <v>31</v>
      </c>
      <c r="L33">
        <v>0.47</v>
      </c>
      <c r="M33">
        <v>1</v>
      </c>
      <c r="N33">
        <v>5.3213707330090463</v>
      </c>
      <c r="O33">
        <v>6.6226500173868947</v>
      </c>
      <c r="P33">
        <v>-2.3861665887837624</v>
      </c>
      <c r="Q33">
        <v>0.67410983752979503</v>
      </c>
      <c r="R33">
        <v>-2.5186218996743959</v>
      </c>
      <c r="S33" s="2">
        <v>1.6192824067668506E-3</v>
      </c>
      <c r="T33" s="2">
        <v>3.2219498584586418E-3</v>
      </c>
      <c r="U33" s="2">
        <v>5.6944025753835944E-3</v>
      </c>
      <c r="V33" s="2">
        <v>9.2201177295292945E-3</v>
      </c>
      <c r="W33" s="2">
        <v>1.393047460434042E-2</v>
      </c>
      <c r="X33" s="2">
        <v>1.9859639749871837E-2</v>
      </c>
      <c r="Y33" s="2">
        <v>2.6890296954598662E-2</v>
      </c>
      <c r="Z33" s="2">
        <v>3.4699183073041664E-2</v>
      </c>
      <c r="AA33" s="2">
        <v>4.2719491343604914E-2</v>
      </c>
      <c r="AB33" s="2">
        <v>5.014469680067013E-2</v>
      </c>
      <c r="AC33" s="2">
        <v>5.6000299201804188E-2</v>
      </c>
      <c r="AD33" s="2">
        <v>5.9299735356439329E-2</v>
      </c>
      <c r="AE33" s="2">
        <v>5.9273386318243519E-2</v>
      </c>
      <c r="AF33" s="2">
        <v>5.56181371086064E-2</v>
      </c>
      <c r="AG33" s="2">
        <v>4.8675838279257908E-2</v>
      </c>
      <c r="AH33" s="2">
        <v>4.0069210278436872E-2</v>
      </c>
      <c r="AI33" s="2">
        <v>3.0500211461472276E-2</v>
      </c>
      <c r="AJ33" s="2">
        <v>7.8657458681240539E-3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0.56530209896865047</v>
      </c>
    </row>
    <row r="34" spans="1:44" x14ac:dyDescent="0.25">
      <c r="A34" t="s">
        <v>250</v>
      </c>
      <c r="B34" t="s">
        <v>384</v>
      </c>
      <c r="C34" t="s">
        <v>44</v>
      </c>
      <c r="D34" t="s">
        <v>191</v>
      </c>
      <c r="E34" t="s">
        <v>134</v>
      </c>
      <c r="F34" t="s">
        <v>385</v>
      </c>
      <c r="G34" t="s">
        <v>31</v>
      </c>
      <c r="H34" t="s">
        <v>274</v>
      </c>
      <c r="I34" t="s">
        <v>135</v>
      </c>
      <c r="J34" t="s">
        <v>39</v>
      </c>
      <c r="K34" t="s">
        <v>33</v>
      </c>
      <c r="L34">
        <v>0.47</v>
      </c>
      <c r="M34">
        <v>1</v>
      </c>
      <c r="N34">
        <v>5.3213707330090463</v>
      </c>
      <c r="O34">
        <v>6.6226500173868947</v>
      </c>
      <c r="P34">
        <v>-2.3861665887837624</v>
      </c>
      <c r="Q34">
        <v>0.67410983752979503</v>
      </c>
      <c r="R34">
        <v>-2.5186218996743959</v>
      </c>
      <c r="S34" s="2">
        <v>5.2100130065934288E-6</v>
      </c>
      <c r="T34" s="2">
        <v>1.0366567683939733E-5</v>
      </c>
      <c r="U34" s="2">
        <v>1.8321641338501454E-5</v>
      </c>
      <c r="V34" s="2">
        <v>2.96655685829895E-5</v>
      </c>
      <c r="W34" s="2">
        <v>4.4821059978997893E-5</v>
      </c>
      <c r="X34" s="2">
        <v>6.3898045807639004E-5</v>
      </c>
      <c r="Y34" s="2">
        <v>8.651906319685632E-5</v>
      </c>
      <c r="Z34" s="2">
        <v>1.1164401859319613E-4</v>
      </c>
      <c r="AA34" s="2">
        <v>1.3744922109024262E-4</v>
      </c>
      <c r="AB34" s="2">
        <v>1.6133969062555968E-4</v>
      </c>
      <c r="AC34" s="2">
        <v>1.8017998960235247E-4</v>
      </c>
      <c r="AD34" s="2">
        <v>1.9079586809781293E-4</v>
      </c>
      <c r="AE34" s="2">
        <v>1.9071109052526741E-4</v>
      </c>
      <c r="AF34" s="2">
        <v>1.7895038970806171E-4</v>
      </c>
      <c r="AG34" s="2">
        <v>1.5661366385628033E-4</v>
      </c>
      <c r="AH34" s="2">
        <v>1.2892198781521214E-4</v>
      </c>
      <c r="AI34" s="2">
        <v>9.813390039567103E-5</v>
      </c>
      <c r="AJ34" s="2">
        <v>2.53079006529263E-5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1.8188496805580997E-3</v>
      </c>
    </row>
    <row r="35" spans="1:44" x14ac:dyDescent="0.25">
      <c r="A35" t="s">
        <v>250</v>
      </c>
      <c r="B35" t="s">
        <v>384</v>
      </c>
      <c r="C35" t="s">
        <v>44</v>
      </c>
      <c r="D35" t="s">
        <v>191</v>
      </c>
      <c r="E35" t="s">
        <v>134</v>
      </c>
      <c r="F35" t="s">
        <v>385</v>
      </c>
      <c r="G35" t="s">
        <v>31</v>
      </c>
      <c r="H35" t="s">
        <v>255</v>
      </c>
      <c r="I35" t="s">
        <v>135</v>
      </c>
      <c r="J35" t="s">
        <v>39</v>
      </c>
      <c r="K35" t="s">
        <v>31</v>
      </c>
      <c r="L35">
        <v>0.47</v>
      </c>
      <c r="M35">
        <v>1</v>
      </c>
      <c r="N35">
        <v>5.3213707330090463</v>
      </c>
      <c r="O35">
        <v>6.6226500173868947</v>
      </c>
      <c r="P35">
        <v>-2.3861665887837624</v>
      </c>
      <c r="Q35">
        <v>0.67410983752979503</v>
      </c>
      <c r="R35">
        <v>-2.5186218996743959</v>
      </c>
      <c r="S35" s="2">
        <v>4.0634020437912537E-4</v>
      </c>
      <c r="T35" s="2">
        <v>8.0493718918703391E-4</v>
      </c>
      <c r="U35" s="2">
        <v>1.4163396085903619E-3</v>
      </c>
      <c r="V35" s="2">
        <v>2.2831356640571968E-3</v>
      </c>
      <c r="W35" s="2">
        <v>3.4342917178509526E-3</v>
      </c>
      <c r="X35" s="2">
        <v>4.8743718152522812E-3</v>
      </c>
      <c r="Y35" s="2">
        <v>6.5708099187450856E-3</v>
      </c>
      <c r="Z35" s="2">
        <v>8.4414795779709645E-3</v>
      </c>
      <c r="AA35" s="2">
        <v>1.0346689467302517E-2</v>
      </c>
      <c r="AB35" s="2">
        <v>1.2091393910247307E-2</v>
      </c>
      <c r="AC35" s="2">
        <v>1.3443666351518222E-2</v>
      </c>
      <c r="AD35" s="2">
        <v>1.4172816081256229E-2</v>
      </c>
      <c r="AE35" s="2">
        <v>1.4103897844294843E-2</v>
      </c>
      <c r="AF35" s="2">
        <v>1.3175644571497865E-2</v>
      </c>
      <c r="AG35" s="2">
        <v>1.1480079351216607E-2</v>
      </c>
      <c r="AH35" s="2">
        <v>9.4084536888882023E-3</v>
      </c>
      <c r="AI35" s="2">
        <v>1.0932348499476186E-3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0.12754758181220241</v>
      </c>
    </row>
    <row r="36" spans="1:44" x14ac:dyDescent="0.25">
      <c r="A36" t="s">
        <v>250</v>
      </c>
      <c r="B36" t="s">
        <v>384</v>
      </c>
      <c r="C36" t="s">
        <v>44</v>
      </c>
      <c r="D36" t="s">
        <v>191</v>
      </c>
      <c r="E36" t="s">
        <v>134</v>
      </c>
      <c r="F36" t="s">
        <v>385</v>
      </c>
      <c r="G36" t="s">
        <v>31</v>
      </c>
      <c r="H36" t="s">
        <v>278</v>
      </c>
      <c r="I36" t="s">
        <v>135</v>
      </c>
      <c r="J36" t="s">
        <v>39</v>
      </c>
      <c r="K36" t="s">
        <v>31</v>
      </c>
      <c r="L36">
        <v>0.47</v>
      </c>
      <c r="M36">
        <v>1</v>
      </c>
      <c r="N36">
        <v>5.3213707330090463</v>
      </c>
      <c r="O36">
        <v>6.6226500173868947</v>
      </c>
      <c r="P36">
        <v>-2.3861665887837624</v>
      </c>
      <c r="Q36">
        <v>0.67410983752979503</v>
      </c>
      <c r="R36">
        <v>-2.5186218996743959</v>
      </c>
      <c r="S36" s="2">
        <v>8.5938867016484895E-4</v>
      </c>
      <c r="T36" s="2">
        <v>1.7024008284847274E-3</v>
      </c>
      <c r="U36" s="2">
        <v>2.9954855552334386E-3</v>
      </c>
      <c r="V36" s="2">
        <v>4.8287147099757921E-3</v>
      </c>
      <c r="W36" s="2">
        <v>7.2633506617237496E-3</v>
      </c>
      <c r="X36" s="2">
        <v>1.0309046131921162E-2</v>
      </c>
      <c r="Y36" s="2">
        <v>1.3896925623209213E-2</v>
      </c>
      <c r="Z36" s="2">
        <v>1.7853295909571278E-2</v>
      </c>
      <c r="AA36" s="2">
        <v>2.1882717009261199E-2</v>
      </c>
      <c r="AB36" s="2">
        <v>2.5572677330426143E-2</v>
      </c>
      <c r="AC36" s="2">
        <v>2.8432664116080489E-2</v>
      </c>
      <c r="AD36" s="2">
        <v>2.99747783588689E-2</v>
      </c>
      <c r="AE36" s="2">
        <v>2.9829019826058078E-2</v>
      </c>
      <c r="AF36" s="2">
        <v>2.7865811811965388E-2</v>
      </c>
      <c r="AG36" s="2">
        <v>2.4279778423854651E-2</v>
      </c>
      <c r="AH36" s="2">
        <v>1.9898396508304189E-2</v>
      </c>
      <c r="AI36" s="2">
        <v>2.3121355793721391E-3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0.26975658705447536</v>
      </c>
    </row>
    <row r="37" spans="1:44" x14ac:dyDescent="0.25">
      <c r="A37" t="s">
        <v>250</v>
      </c>
      <c r="B37" t="s">
        <v>384</v>
      </c>
      <c r="C37" t="s">
        <v>44</v>
      </c>
      <c r="D37" t="s">
        <v>191</v>
      </c>
      <c r="E37" t="s">
        <v>134</v>
      </c>
      <c r="F37" t="s">
        <v>385</v>
      </c>
      <c r="G37" t="s">
        <v>31</v>
      </c>
      <c r="H37" t="s">
        <v>276</v>
      </c>
      <c r="I37" t="s">
        <v>135</v>
      </c>
      <c r="J37" t="s">
        <v>39</v>
      </c>
      <c r="K37" t="s">
        <v>31</v>
      </c>
      <c r="L37">
        <v>0.47</v>
      </c>
      <c r="M37">
        <v>1</v>
      </c>
      <c r="N37">
        <v>5.3213707330090463</v>
      </c>
      <c r="O37">
        <v>6.6226500173868947</v>
      </c>
      <c r="P37">
        <v>-2.3861665887837624</v>
      </c>
      <c r="Q37">
        <v>0.67410983752979503</v>
      </c>
      <c r="R37">
        <v>-2.5186218996743959</v>
      </c>
      <c r="S37" s="2">
        <v>8.5832626302289657E-3</v>
      </c>
      <c r="T37" s="2">
        <v>1.7121348509466949E-2</v>
      </c>
      <c r="U37" s="2">
        <v>3.033589017563881E-2</v>
      </c>
      <c r="V37" s="2">
        <v>4.9241857728637074E-2</v>
      </c>
      <c r="W37" s="2">
        <v>7.4585303558710042E-2</v>
      </c>
      <c r="X37" s="2">
        <v>0.1065977655165069</v>
      </c>
      <c r="Y37" s="2">
        <v>0.14469773047305384</v>
      </c>
      <c r="Z37" s="2">
        <v>0.18718660073331042</v>
      </c>
      <c r="AA37" s="2">
        <v>0.23103137698151457</v>
      </c>
      <c r="AB37" s="2">
        <v>0.27186874946143297</v>
      </c>
      <c r="AC37" s="2">
        <v>0.30437852871932336</v>
      </c>
      <c r="AD37" s="2">
        <v>0.32312146370468336</v>
      </c>
      <c r="AE37" s="2">
        <v>0.32378906516994671</v>
      </c>
      <c r="AF37" s="2">
        <v>0.30458482565560313</v>
      </c>
      <c r="AG37" s="2">
        <v>0.26723580793815177</v>
      </c>
      <c r="AH37" s="2">
        <v>0.22053695819899746</v>
      </c>
      <c r="AI37" s="2">
        <v>0.16829175280165493</v>
      </c>
      <c r="AJ37" s="2">
        <v>0.11626500469899559</v>
      </c>
      <c r="AK37" s="2">
        <v>3.2953341385485301E-2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3.1824066340413419</v>
      </c>
    </row>
    <row r="38" spans="1:44" x14ac:dyDescent="0.25">
      <c r="A38" t="s">
        <v>250</v>
      </c>
      <c r="B38" t="s">
        <v>384</v>
      </c>
      <c r="C38" t="s">
        <v>44</v>
      </c>
      <c r="D38" t="s">
        <v>191</v>
      </c>
      <c r="E38" t="s">
        <v>134</v>
      </c>
      <c r="F38" t="s">
        <v>385</v>
      </c>
      <c r="G38" t="s">
        <v>31</v>
      </c>
      <c r="H38" t="s">
        <v>290</v>
      </c>
      <c r="I38" t="s">
        <v>135</v>
      </c>
      <c r="J38" t="s">
        <v>39</v>
      </c>
      <c r="K38" t="s">
        <v>31</v>
      </c>
      <c r="L38">
        <v>0.47</v>
      </c>
      <c r="M38">
        <v>1</v>
      </c>
      <c r="N38">
        <v>5.3213707330090463</v>
      </c>
      <c r="O38">
        <v>6.6226500173868947</v>
      </c>
      <c r="P38">
        <v>-2.3861665887837624</v>
      </c>
      <c r="Q38">
        <v>0.67410983752979503</v>
      </c>
      <c r="R38">
        <v>-2.5186218996743959</v>
      </c>
      <c r="S38" s="2">
        <v>4.1273553613301256E-3</v>
      </c>
      <c r="T38" s="2">
        <v>8.2255617083063434E-3</v>
      </c>
      <c r="U38" s="2">
        <v>1.4561042730462971E-2</v>
      </c>
      <c r="V38" s="2">
        <v>2.3614475159469111E-2</v>
      </c>
      <c r="W38" s="2">
        <v>3.5735944579488192E-2</v>
      </c>
      <c r="X38" s="2">
        <v>5.1027964085157973E-2</v>
      </c>
      <c r="Y38" s="2">
        <v>6.9203808410758752E-2</v>
      </c>
      <c r="Z38" s="2">
        <v>8.9443990960862904E-2</v>
      </c>
      <c r="AA38" s="2">
        <v>0.11029492091917463</v>
      </c>
      <c r="AB38" s="2">
        <v>0.12967372074453784</v>
      </c>
      <c r="AC38" s="2">
        <v>0.14504903101261651</v>
      </c>
      <c r="AD38" s="2">
        <v>0.15384194486149522</v>
      </c>
      <c r="AE38" s="2">
        <v>0.15402076201014128</v>
      </c>
      <c r="AF38" s="2">
        <v>0.14475497163671416</v>
      </c>
      <c r="AG38" s="2">
        <v>0.12689017947141432</v>
      </c>
      <c r="AH38" s="2">
        <v>0.10462196606011175</v>
      </c>
      <c r="AI38" s="2">
        <v>7.9765017770888721E-2</v>
      </c>
      <c r="AJ38" s="2">
        <v>5.2659611273657841E-2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1.4975122687565885</v>
      </c>
    </row>
    <row r="39" spans="1:44" x14ac:dyDescent="0.25">
      <c r="A39" t="s">
        <v>250</v>
      </c>
      <c r="B39" t="s">
        <v>384</v>
      </c>
      <c r="C39" t="s">
        <v>44</v>
      </c>
      <c r="D39" t="s">
        <v>191</v>
      </c>
      <c r="E39" t="s">
        <v>134</v>
      </c>
      <c r="F39" t="s">
        <v>385</v>
      </c>
      <c r="G39" t="s">
        <v>31</v>
      </c>
      <c r="H39" t="s">
        <v>275</v>
      </c>
      <c r="I39" t="s">
        <v>135</v>
      </c>
      <c r="J39" t="s">
        <v>39</v>
      </c>
      <c r="K39" t="s">
        <v>31</v>
      </c>
      <c r="L39">
        <v>0.47</v>
      </c>
      <c r="M39">
        <v>1</v>
      </c>
      <c r="N39">
        <v>5.3213707330090463</v>
      </c>
      <c r="O39">
        <v>6.6226500173868947</v>
      </c>
      <c r="P39">
        <v>-2.3861665887837624</v>
      </c>
      <c r="Q39">
        <v>0.67410983752979503</v>
      </c>
      <c r="R39">
        <v>-2.5186218996743959</v>
      </c>
      <c r="S39" s="2">
        <v>2.4737573282063935E-3</v>
      </c>
      <c r="T39" s="2">
        <v>4.9221321989100153E-3</v>
      </c>
      <c r="U39" s="2">
        <v>8.6992670591281001E-3</v>
      </c>
      <c r="V39" s="2">
        <v>1.4085457672506416E-2</v>
      </c>
      <c r="W39" s="2">
        <v>2.1281410514850319E-2</v>
      </c>
      <c r="X39" s="2">
        <v>3.0339321394145205E-2</v>
      </c>
      <c r="Y39" s="2">
        <v>4.1079967812348551E-2</v>
      </c>
      <c r="Z39" s="2">
        <v>5.3009504735557357E-2</v>
      </c>
      <c r="AA39" s="2">
        <v>6.5262028616425327E-2</v>
      </c>
      <c r="AB39" s="2">
        <v>7.6605421428015269E-2</v>
      </c>
      <c r="AC39" s="2">
        <v>8.5550951429659947E-2</v>
      </c>
      <c r="AD39" s="2">
        <v>9.0591458466832392E-2</v>
      </c>
      <c r="AE39" s="2">
        <v>9.0551205373205435E-2</v>
      </c>
      <c r="AF39" s="2">
        <v>8.4967127215514193E-2</v>
      </c>
      <c r="AG39" s="2">
        <v>7.4361464773970626E-2</v>
      </c>
      <c r="AH39" s="2">
        <v>6.121322762941498E-2</v>
      </c>
      <c r="AI39" s="2">
        <v>4.6594788715891504E-2</v>
      </c>
      <c r="AJ39" s="2">
        <v>1.2016400846305902E-2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0.86360489321088796</v>
      </c>
    </row>
    <row r="40" spans="1:44" x14ac:dyDescent="0.25">
      <c r="A40" t="s">
        <v>250</v>
      </c>
      <c r="B40" t="s">
        <v>384</v>
      </c>
      <c r="C40" t="s">
        <v>44</v>
      </c>
      <c r="D40" t="s">
        <v>191</v>
      </c>
      <c r="E40" t="s">
        <v>134</v>
      </c>
      <c r="F40" t="s">
        <v>385</v>
      </c>
      <c r="G40" t="s">
        <v>31</v>
      </c>
      <c r="H40" t="s">
        <v>277</v>
      </c>
      <c r="I40" t="s">
        <v>135</v>
      </c>
      <c r="J40" t="s">
        <v>39</v>
      </c>
      <c r="K40" t="s">
        <v>31</v>
      </c>
      <c r="L40">
        <v>0.47</v>
      </c>
      <c r="M40">
        <v>1</v>
      </c>
      <c r="N40">
        <v>5.3213707330090463</v>
      </c>
      <c r="O40">
        <v>6.6226500173868947</v>
      </c>
      <c r="P40">
        <v>-2.3861665887837624</v>
      </c>
      <c r="Q40">
        <v>0.67410983752979503</v>
      </c>
      <c r="R40">
        <v>-2.5186218996743959</v>
      </c>
      <c r="S40" s="2">
        <v>4.4058677325051008E-3</v>
      </c>
      <c r="T40" s="2">
        <v>8.7654713763999394E-3</v>
      </c>
      <c r="U40" s="2">
        <v>1.5490031688277617E-2</v>
      </c>
      <c r="V40" s="2">
        <v>2.5077731389517296E-2</v>
      </c>
      <c r="W40" s="2">
        <v>3.7884829175658843E-2</v>
      </c>
      <c r="X40" s="2">
        <v>5.4003067236487567E-2</v>
      </c>
      <c r="Y40" s="2">
        <v>7.3112275369450488E-2</v>
      </c>
      <c r="Z40" s="2">
        <v>9.4332553969423014E-2</v>
      </c>
      <c r="AA40" s="2">
        <v>0.11612241414553136</v>
      </c>
      <c r="AB40" s="2">
        <v>0.13628957382386259</v>
      </c>
      <c r="AC40" s="2">
        <v>0.15218631870989857</v>
      </c>
      <c r="AD40" s="2">
        <v>0.16113343313103312</v>
      </c>
      <c r="AE40" s="2">
        <v>0.16104241892441992</v>
      </c>
      <c r="AF40" s="2">
        <v>0.15109309759002953</v>
      </c>
      <c r="AG40" s="2">
        <v>0.13221759910030337</v>
      </c>
      <c r="AH40" s="2">
        <v>0.10882639698910716</v>
      </c>
      <c r="AI40" s="2">
        <v>8.2827386655243598E-2</v>
      </c>
      <c r="AJ40" s="2">
        <v>1.8862744312641632E-2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1.5336732113197913</v>
      </c>
    </row>
    <row r="41" spans="1:44" x14ac:dyDescent="0.25">
      <c r="A41" t="s">
        <v>250</v>
      </c>
      <c r="B41" t="s">
        <v>384</v>
      </c>
      <c r="C41" t="s">
        <v>44</v>
      </c>
      <c r="D41" t="s">
        <v>191</v>
      </c>
      <c r="E41" t="s">
        <v>134</v>
      </c>
      <c r="F41" t="s">
        <v>385</v>
      </c>
      <c r="G41" t="s">
        <v>31</v>
      </c>
      <c r="H41" t="s">
        <v>277</v>
      </c>
      <c r="I41" t="s">
        <v>135</v>
      </c>
      <c r="J41" t="s">
        <v>40</v>
      </c>
      <c r="K41" t="s">
        <v>31</v>
      </c>
      <c r="L41">
        <v>0.47</v>
      </c>
      <c r="M41">
        <v>1</v>
      </c>
      <c r="N41">
        <v>5.3213707330090463</v>
      </c>
      <c r="O41">
        <v>5.385861804598159</v>
      </c>
      <c r="P41">
        <v>-2.3861665887837624</v>
      </c>
      <c r="Q41">
        <v>0.4672931329656026</v>
      </c>
      <c r="R41">
        <v>-2.3756218996743956</v>
      </c>
      <c r="S41" s="2">
        <v>6.9500532384581914E-4</v>
      </c>
      <c r="T41" s="2">
        <v>1.3827127009898381E-3</v>
      </c>
      <c r="U41" s="2">
        <v>2.4434810901080377E-3</v>
      </c>
      <c r="V41" s="2">
        <v>3.9558965188861948E-3</v>
      </c>
      <c r="W41" s="2">
        <v>5.9761571542006854E-3</v>
      </c>
      <c r="X41" s="2">
        <v>8.5187349035606031E-3</v>
      </c>
      <c r="Y41" s="2">
        <v>1.1533124393491048E-2</v>
      </c>
      <c r="Z41" s="2">
        <v>1.4880525517602158E-2</v>
      </c>
      <c r="AA41" s="2">
        <v>1.8317775509589688E-2</v>
      </c>
      <c r="AB41" s="2">
        <v>2.1499051978667787E-2</v>
      </c>
      <c r="AC41" s="2">
        <v>2.4006690200782988E-2</v>
      </c>
      <c r="AD41" s="2">
        <v>2.5418056254709113E-2</v>
      </c>
      <c r="AE41" s="2">
        <v>2.5403699183189448E-2</v>
      </c>
      <c r="AF41" s="2">
        <v>2.3834239608849828E-2</v>
      </c>
      <c r="AG41" s="2">
        <v>2.0856716737743489E-2</v>
      </c>
      <c r="AH41" s="2">
        <v>1.7166862437648218E-2</v>
      </c>
      <c r="AI41" s="2">
        <v>1.3065638412367806E-2</v>
      </c>
      <c r="AJ41" s="2">
        <v>2.9755109584678179E-3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0</v>
      </c>
      <c r="AQ41" s="2">
        <v>0</v>
      </c>
      <c r="AR41" s="2">
        <v>0.24192987888470052</v>
      </c>
    </row>
    <row r="42" spans="1:44" x14ac:dyDescent="0.25">
      <c r="A42" t="s">
        <v>250</v>
      </c>
      <c r="B42" t="s">
        <v>386</v>
      </c>
      <c r="C42" t="s">
        <v>44</v>
      </c>
      <c r="D42" t="s">
        <v>191</v>
      </c>
      <c r="E42" t="s">
        <v>134</v>
      </c>
      <c r="F42" t="s">
        <v>387</v>
      </c>
      <c r="G42" t="s">
        <v>31</v>
      </c>
      <c r="H42" t="s">
        <v>254</v>
      </c>
      <c r="I42" t="s">
        <v>135</v>
      </c>
      <c r="J42" t="s">
        <v>39</v>
      </c>
      <c r="K42" t="s">
        <v>31</v>
      </c>
      <c r="L42">
        <v>0.115</v>
      </c>
      <c r="M42">
        <v>1</v>
      </c>
      <c r="N42">
        <v>2.7606638800723569</v>
      </c>
      <c r="O42">
        <v>7.2695359336160141</v>
      </c>
      <c r="P42">
        <v>-1.984349841954884</v>
      </c>
      <c r="Q42">
        <v>1.4263152691032981</v>
      </c>
      <c r="R42">
        <v>-2.869010584419021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0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</row>
    <row r="43" spans="1:44" x14ac:dyDescent="0.25">
      <c r="A43" t="s">
        <v>250</v>
      </c>
      <c r="B43" t="s">
        <v>386</v>
      </c>
      <c r="C43" t="s">
        <v>44</v>
      </c>
      <c r="D43" t="s">
        <v>191</v>
      </c>
      <c r="E43" t="s">
        <v>134</v>
      </c>
      <c r="F43" t="s">
        <v>387</v>
      </c>
      <c r="G43" t="s">
        <v>31</v>
      </c>
      <c r="H43" t="s">
        <v>272</v>
      </c>
      <c r="I43" t="s">
        <v>135</v>
      </c>
      <c r="J43" t="s">
        <v>39</v>
      </c>
      <c r="K43" t="s">
        <v>31</v>
      </c>
      <c r="L43">
        <v>0.115</v>
      </c>
      <c r="M43">
        <v>1</v>
      </c>
      <c r="N43">
        <v>2.7606638800723569</v>
      </c>
      <c r="O43">
        <v>7.2695359336160141</v>
      </c>
      <c r="P43">
        <v>-1.984349841954884</v>
      </c>
      <c r="Q43">
        <v>1.4263152691032981</v>
      </c>
      <c r="R43">
        <v>-2.869010584419021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</row>
    <row r="44" spans="1:44" x14ac:dyDescent="0.25">
      <c r="A44" t="s">
        <v>250</v>
      </c>
      <c r="B44" t="s">
        <v>386</v>
      </c>
      <c r="C44" t="s">
        <v>44</v>
      </c>
      <c r="D44" t="s">
        <v>191</v>
      </c>
      <c r="E44" t="s">
        <v>134</v>
      </c>
      <c r="F44" t="s">
        <v>387</v>
      </c>
      <c r="G44" t="s">
        <v>31</v>
      </c>
      <c r="H44" t="s">
        <v>272</v>
      </c>
      <c r="I44" t="s">
        <v>135</v>
      </c>
      <c r="J44" t="s">
        <v>40</v>
      </c>
      <c r="K44" t="s">
        <v>31</v>
      </c>
      <c r="L44">
        <v>0.115</v>
      </c>
      <c r="M44">
        <v>1</v>
      </c>
      <c r="N44">
        <v>2.7606638800723569</v>
      </c>
      <c r="O44">
        <v>6.0327477208272802</v>
      </c>
      <c r="P44">
        <v>-1.984349841954884</v>
      </c>
      <c r="Q44">
        <v>0.4672931329656026</v>
      </c>
      <c r="R44">
        <v>-2.7260105844190208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</row>
    <row r="45" spans="1:44" x14ac:dyDescent="0.25">
      <c r="A45" t="s">
        <v>250</v>
      </c>
      <c r="B45" t="s">
        <v>386</v>
      </c>
      <c r="C45" t="s">
        <v>44</v>
      </c>
      <c r="D45" t="s">
        <v>191</v>
      </c>
      <c r="E45" t="s">
        <v>134</v>
      </c>
      <c r="F45" t="s">
        <v>387</v>
      </c>
      <c r="G45" t="s">
        <v>31</v>
      </c>
      <c r="H45" t="s">
        <v>253</v>
      </c>
      <c r="I45" t="s">
        <v>135</v>
      </c>
      <c r="J45" t="s">
        <v>39</v>
      </c>
      <c r="K45" t="s">
        <v>31</v>
      </c>
      <c r="L45">
        <v>0.115</v>
      </c>
      <c r="M45">
        <v>1</v>
      </c>
      <c r="N45">
        <v>2.7606638800723569</v>
      </c>
      <c r="O45">
        <v>7.2695359336160141</v>
      </c>
      <c r="P45">
        <v>-1.984349841954884</v>
      </c>
      <c r="Q45">
        <v>1.4263152691032981</v>
      </c>
      <c r="R45">
        <v>-2.869010584419021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</row>
    <row r="46" spans="1:44" x14ac:dyDescent="0.25">
      <c r="A46" t="s">
        <v>250</v>
      </c>
      <c r="B46" t="s">
        <v>386</v>
      </c>
      <c r="C46" t="s">
        <v>44</v>
      </c>
      <c r="D46" t="s">
        <v>191</v>
      </c>
      <c r="E46" t="s">
        <v>134</v>
      </c>
      <c r="F46" t="s">
        <v>387</v>
      </c>
      <c r="G46" t="s">
        <v>31</v>
      </c>
      <c r="H46" t="s">
        <v>253</v>
      </c>
      <c r="I46" t="s">
        <v>135</v>
      </c>
      <c r="J46" t="s">
        <v>40</v>
      </c>
      <c r="K46" t="s">
        <v>31</v>
      </c>
      <c r="L46">
        <v>0.115</v>
      </c>
      <c r="M46">
        <v>1</v>
      </c>
      <c r="N46">
        <v>2.7606638800723569</v>
      </c>
      <c r="O46">
        <v>6.0327477208272802</v>
      </c>
      <c r="P46">
        <v>-1.984349841954884</v>
      </c>
      <c r="Q46">
        <v>0.4672931329656026</v>
      </c>
      <c r="R46">
        <v>-2.7260105844190208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</row>
    <row r="47" spans="1:44" x14ac:dyDescent="0.25">
      <c r="A47" t="s">
        <v>250</v>
      </c>
      <c r="B47" t="s">
        <v>386</v>
      </c>
      <c r="C47" t="s">
        <v>44</v>
      </c>
      <c r="D47" t="s">
        <v>191</v>
      </c>
      <c r="E47" t="s">
        <v>134</v>
      </c>
      <c r="F47" t="s">
        <v>387</v>
      </c>
      <c r="G47" t="s">
        <v>31</v>
      </c>
      <c r="H47" t="s">
        <v>253</v>
      </c>
      <c r="I47" t="s">
        <v>256</v>
      </c>
      <c r="J47" t="s">
        <v>39</v>
      </c>
      <c r="K47" t="s">
        <v>31</v>
      </c>
      <c r="L47">
        <v>0.115</v>
      </c>
      <c r="M47">
        <v>1</v>
      </c>
      <c r="N47">
        <v>1.7349881525253912</v>
      </c>
      <c r="O47">
        <v>4.5686687213985717</v>
      </c>
      <c r="P47">
        <v>-0.52141289060601304</v>
      </c>
      <c r="Q47">
        <v>0.4672931329656026</v>
      </c>
      <c r="R47">
        <v>-1.4060736330701491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</row>
    <row r="48" spans="1:44" x14ac:dyDescent="0.25">
      <c r="A48" t="s">
        <v>250</v>
      </c>
      <c r="B48" t="s">
        <v>386</v>
      </c>
      <c r="C48" t="s">
        <v>44</v>
      </c>
      <c r="D48" t="s">
        <v>191</v>
      </c>
      <c r="E48" t="s">
        <v>134</v>
      </c>
      <c r="F48" t="s">
        <v>387</v>
      </c>
      <c r="G48" t="s">
        <v>31</v>
      </c>
      <c r="H48" t="s">
        <v>288</v>
      </c>
      <c r="I48" t="s">
        <v>135</v>
      </c>
      <c r="J48" t="s">
        <v>39</v>
      </c>
      <c r="K48" t="s">
        <v>31</v>
      </c>
      <c r="L48">
        <v>0.115</v>
      </c>
      <c r="M48">
        <v>1</v>
      </c>
      <c r="N48">
        <v>2.7606638800723569</v>
      </c>
      <c r="O48">
        <v>7.2695359336160141</v>
      </c>
      <c r="P48">
        <v>-1.984349841954884</v>
      </c>
      <c r="Q48">
        <v>1.4263152691032981</v>
      </c>
      <c r="R48">
        <v>-2.869010584419021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0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</row>
    <row r="49" spans="1:44" x14ac:dyDescent="0.25">
      <c r="A49" t="s">
        <v>250</v>
      </c>
      <c r="B49" t="s">
        <v>386</v>
      </c>
      <c r="C49" t="s">
        <v>44</v>
      </c>
      <c r="D49" t="s">
        <v>191</v>
      </c>
      <c r="E49" t="s">
        <v>134</v>
      </c>
      <c r="F49" t="s">
        <v>387</v>
      </c>
      <c r="G49" t="s">
        <v>31</v>
      </c>
      <c r="H49" t="s">
        <v>288</v>
      </c>
      <c r="I49" t="s">
        <v>135</v>
      </c>
      <c r="J49" t="s">
        <v>39</v>
      </c>
      <c r="K49" t="s">
        <v>33</v>
      </c>
      <c r="L49">
        <v>0.115</v>
      </c>
      <c r="M49">
        <v>1</v>
      </c>
      <c r="N49">
        <v>2.7606638800723569</v>
      </c>
      <c r="O49">
        <v>7.2695359336160141</v>
      </c>
      <c r="P49">
        <v>-1.984349841954884</v>
      </c>
      <c r="Q49">
        <v>1.4263152691032981</v>
      </c>
      <c r="R49">
        <v>-2.869010584419021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</row>
    <row r="50" spans="1:44" x14ac:dyDescent="0.25">
      <c r="A50" t="s">
        <v>250</v>
      </c>
      <c r="B50" t="s">
        <v>386</v>
      </c>
      <c r="C50" t="s">
        <v>44</v>
      </c>
      <c r="D50" t="s">
        <v>191</v>
      </c>
      <c r="E50" t="s">
        <v>134</v>
      </c>
      <c r="F50" t="s">
        <v>387</v>
      </c>
      <c r="G50" t="s">
        <v>31</v>
      </c>
      <c r="H50" t="s">
        <v>273</v>
      </c>
      <c r="I50" t="s">
        <v>135</v>
      </c>
      <c r="J50" t="s">
        <v>39</v>
      </c>
      <c r="K50" t="s">
        <v>31</v>
      </c>
      <c r="L50">
        <v>0.115</v>
      </c>
      <c r="M50">
        <v>1</v>
      </c>
      <c r="N50">
        <v>2.7606638800723569</v>
      </c>
      <c r="O50">
        <v>7.2695359336160141</v>
      </c>
      <c r="P50">
        <v>-1.984349841954884</v>
      </c>
      <c r="Q50">
        <v>1.4263152691032981</v>
      </c>
      <c r="R50">
        <v>-2.869010584419021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</row>
    <row r="51" spans="1:44" x14ac:dyDescent="0.25">
      <c r="A51" t="s">
        <v>250</v>
      </c>
      <c r="B51" t="s">
        <v>386</v>
      </c>
      <c r="C51" t="s">
        <v>44</v>
      </c>
      <c r="D51" t="s">
        <v>191</v>
      </c>
      <c r="E51" t="s">
        <v>134</v>
      </c>
      <c r="F51" t="s">
        <v>387</v>
      </c>
      <c r="G51" t="s">
        <v>31</v>
      </c>
      <c r="H51" t="s">
        <v>252</v>
      </c>
      <c r="I51" t="s">
        <v>135</v>
      </c>
      <c r="J51" t="s">
        <v>39</v>
      </c>
      <c r="K51" t="s">
        <v>31</v>
      </c>
      <c r="L51">
        <v>0.115</v>
      </c>
      <c r="M51">
        <v>1</v>
      </c>
      <c r="N51">
        <v>2.7606638800723569</v>
      </c>
      <c r="O51">
        <v>7.2695359336160141</v>
      </c>
      <c r="P51">
        <v>-1.984349841954884</v>
      </c>
      <c r="Q51">
        <v>1.4263152691032981</v>
      </c>
      <c r="R51">
        <v>-2.869010584419021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</row>
    <row r="52" spans="1:44" x14ac:dyDescent="0.25">
      <c r="A52" t="s">
        <v>250</v>
      </c>
      <c r="B52" t="s">
        <v>386</v>
      </c>
      <c r="C52" t="s">
        <v>44</v>
      </c>
      <c r="D52" t="s">
        <v>191</v>
      </c>
      <c r="E52" t="s">
        <v>134</v>
      </c>
      <c r="F52" t="s">
        <v>387</v>
      </c>
      <c r="G52" t="s">
        <v>31</v>
      </c>
      <c r="H52" t="s">
        <v>289</v>
      </c>
      <c r="I52" t="s">
        <v>135</v>
      </c>
      <c r="J52" t="s">
        <v>39</v>
      </c>
      <c r="K52" t="s">
        <v>31</v>
      </c>
      <c r="L52">
        <v>0.115</v>
      </c>
      <c r="M52">
        <v>1</v>
      </c>
      <c r="N52">
        <v>2.7606638800723569</v>
      </c>
      <c r="O52">
        <v>7.2695359336160141</v>
      </c>
      <c r="P52">
        <v>-1.984349841954884</v>
      </c>
      <c r="Q52">
        <v>1.4263152691032981</v>
      </c>
      <c r="R52">
        <v>-2.869010584419021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</row>
    <row r="53" spans="1:44" x14ac:dyDescent="0.25">
      <c r="A53" t="s">
        <v>250</v>
      </c>
      <c r="B53" t="s">
        <v>386</v>
      </c>
      <c r="C53" t="s">
        <v>44</v>
      </c>
      <c r="D53" t="s">
        <v>191</v>
      </c>
      <c r="E53" t="s">
        <v>134</v>
      </c>
      <c r="F53" t="s">
        <v>387</v>
      </c>
      <c r="G53" t="s">
        <v>31</v>
      </c>
      <c r="H53" t="s">
        <v>274</v>
      </c>
      <c r="I53" t="s">
        <v>135</v>
      </c>
      <c r="J53" t="s">
        <v>39</v>
      </c>
      <c r="K53" t="s">
        <v>31</v>
      </c>
      <c r="L53">
        <v>0.115</v>
      </c>
      <c r="M53">
        <v>1</v>
      </c>
      <c r="N53">
        <v>2.7606638800723569</v>
      </c>
      <c r="O53">
        <v>7.2695359336160141</v>
      </c>
      <c r="P53">
        <v>-1.984349841954884</v>
      </c>
      <c r="Q53">
        <v>1.4263152691032981</v>
      </c>
      <c r="R53">
        <v>-2.869010584419021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</row>
    <row r="54" spans="1:44" x14ac:dyDescent="0.25">
      <c r="A54" t="s">
        <v>250</v>
      </c>
      <c r="B54" t="s">
        <v>386</v>
      </c>
      <c r="C54" t="s">
        <v>44</v>
      </c>
      <c r="D54" t="s">
        <v>191</v>
      </c>
      <c r="E54" t="s">
        <v>134</v>
      </c>
      <c r="F54" t="s">
        <v>387</v>
      </c>
      <c r="G54" t="s">
        <v>31</v>
      </c>
      <c r="H54" t="s">
        <v>274</v>
      </c>
      <c r="I54" t="s">
        <v>135</v>
      </c>
      <c r="J54" t="s">
        <v>39</v>
      </c>
      <c r="K54" t="s">
        <v>33</v>
      </c>
      <c r="L54">
        <v>0.115</v>
      </c>
      <c r="M54">
        <v>1</v>
      </c>
      <c r="N54">
        <v>2.7606638800723569</v>
      </c>
      <c r="O54">
        <v>7.2695359336160141</v>
      </c>
      <c r="P54">
        <v>-1.984349841954884</v>
      </c>
      <c r="Q54">
        <v>1.4263152691032981</v>
      </c>
      <c r="R54">
        <v>-2.869010584419021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</row>
    <row r="55" spans="1:44" x14ac:dyDescent="0.25">
      <c r="A55" t="s">
        <v>250</v>
      </c>
      <c r="B55" t="s">
        <v>386</v>
      </c>
      <c r="C55" t="s">
        <v>44</v>
      </c>
      <c r="D55" t="s">
        <v>191</v>
      </c>
      <c r="E55" t="s">
        <v>134</v>
      </c>
      <c r="F55" t="s">
        <v>387</v>
      </c>
      <c r="G55" t="s">
        <v>31</v>
      </c>
      <c r="H55" t="s">
        <v>255</v>
      </c>
      <c r="I55" t="s">
        <v>135</v>
      </c>
      <c r="J55" t="s">
        <v>39</v>
      </c>
      <c r="K55" t="s">
        <v>31</v>
      </c>
      <c r="L55">
        <v>0.115</v>
      </c>
      <c r="M55">
        <v>1</v>
      </c>
      <c r="N55">
        <v>2.7606638800723569</v>
      </c>
      <c r="O55">
        <v>7.2695359336160141</v>
      </c>
      <c r="P55">
        <v>-1.984349841954884</v>
      </c>
      <c r="Q55">
        <v>1.4263152691032981</v>
      </c>
      <c r="R55">
        <v>-2.869010584419021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</row>
    <row r="56" spans="1:44" x14ac:dyDescent="0.25">
      <c r="A56" t="s">
        <v>250</v>
      </c>
      <c r="B56" t="s">
        <v>386</v>
      </c>
      <c r="C56" t="s">
        <v>44</v>
      </c>
      <c r="D56" t="s">
        <v>191</v>
      </c>
      <c r="E56" t="s">
        <v>134</v>
      </c>
      <c r="F56" t="s">
        <v>387</v>
      </c>
      <c r="G56" t="s">
        <v>31</v>
      </c>
      <c r="H56" t="s">
        <v>278</v>
      </c>
      <c r="I56" t="s">
        <v>135</v>
      </c>
      <c r="J56" t="s">
        <v>39</v>
      </c>
      <c r="K56" t="s">
        <v>31</v>
      </c>
      <c r="L56">
        <v>0.115</v>
      </c>
      <c r="M56">
        <v>1</v>
      </c>
      <c r="N56">
        <v>2.7606638800723569</v>
      </c>
      <c r="O56">
        <v>7.2695359336160141</v>
      </c>
      <c r="P56">
        <v>-1.984349841954884</v>
      </c>
      <c r="Q56">
        <v>1.4263152691032981</v>
      </c>
      <c r="R56">
        <v>-2.869010584419021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</row>
    <row r="57" spans="1:44" x14ac:dyDescent="0.25">
      <c r="A57" t="s">
        <v>250</v>
      </c>
      <c r="B57" t="s">
        <v>386</v>
      </c>
      <c r="C57" t="s">
        <v>44</v>
      </c>
      <c r="D57" t="s">
        <v>191</v>
      </c>
      <c r="E57" t="s">
        <v>134</v>
      </c>
      <c r="F57" t="s">
        <v>387</v>
      </c>
      <c r="G57" t="s">
        <v>31</v>
      </c>
      <c r="H57" t="s">
        <v>276</v>
      </c>
      <c r="I57" t="s">
        <v>135</v>
      </c>
      <c r="J57" t="s">
        <v>39</v>
      </c>
      <c r="K57" t="s">
        <v>31</v>
      </c>
      <c r="L57">
        <v>0.115</v>
      </c>
      <c r="M57">
        <v>1</v>
      </c>
      <c r="N57">
        <v>2.7606638800723569</v>
      </c>
      <c r="O57">
        <v>7.2695359336160141</v>
      </c>
      <c r="P57">
        <v>-1.984349841954884</v>
      </c>
      <c r="Q57">
        <v>1.4263152691032981</v>
      </c>
      <c r="R57">
        <v>-2.869010584419021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</row>
    <row r="58" spans="1:44" x14ac:dyDescent="0.25">
      <c r="A58" t="s">
        <v>250</v>
      </c>
      <c r="B58" t="s">
        <v>386</v>
      </c>
      <c r="C58" t="s">
        <v>44</v>
      </c>
      <c r="D58" t="s">
        <v>191</v>
      </c>
      <c r="E58" t="s">
        <v>134</v>
      </c>
      <c r="F58" t="s">
        <v>387</v>
      </c>
      <c r="G58" t="s">
        <v>31</v>
      </c>
      <c r="H58" t="s">
        <v>290</v>
      </c>
      <c r="I58" t="s">
        <v>135</v>
      </c>
      <c r="J58" t="s">
        <v>39</v>
      </c>
      <c r="K58" t="s">
        <v>31</v>
      </c>
      <c r="L58">
        <v>0.115</v>
      </c>
      <c r="M58">
        <v>1</v>
      </c>
      <c r="N58">
        <v>2.7606638800723569</v>
      </c>
      <c r="O58">
        <v>7.2695359336160141</v>
      </c>
      <c r="P58">
        <v>-1.984349841954884</v>
      </c>
      <c r="Q58">
        <v>1.4263152691032981</v>
      </c>
      <c r="R58">
        <v>-2.869010584419021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</row>
    <row r="59" spans="1:44" x14ac:dyDescent="0.25">
      <c r="A59" t="s">
        <v>250</v>
      </c>
      <c r="B59" t="s">
        <v>386</v>
      </c>
      <c r="C59" t="s">
        <v>44</v>
      </c>
      <c r="D59" t="s">
        <v>191</v>
      </c>
      <c r="E59" t="s">
        <v>134</v>
      </c>
      <c r="F59" t="s">
        <v>387</v>
      </c>
      <c r="G59" t="s">
        <v>31</v>
      </c>
      <c r="H59" t="s">
        <v>275</v>
      </c>
      <c r="I59" t="s">
        <v>135</v>
      </c>
      <c r="J59" t="s">
        <v>39</v>
      </c>
      <c r="K59" t="s">
        <v>31</v>
      </c>
      <c r="L59">
        <v>0.115</v>
      </c>
      <c r="M59">
        <v>1</v>
      </c>
      <c r="N59">
        <v>2.7606638800723569</v>
      </c>
      <c r="O59">
        <v>7.2695359336160141</v>
      </c>
      <c r="P59">
        <v>-1.984349841954884</v>
      </c>
      <c r="Q59">
        <v>1.4263152691032981</v>
      </c>
      <c r="R59">
        <v>-2.869010584419021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v>0</v>
      </c>
      <c r="AP59" s="2">
        <v>0</v>
      </c>
      <c r="AQ59" s="2">
        <v>0</v>
      </c>
      <c r="AR59" s="2">
        <v>0</v>
      </c>
    </row>
    <row r="60" spans="1:44" x14ac:dyDescent="0.25">
      <c r="A60" t="s">
        <v>250</v>
      </c>
      <c r="B60" t="s">
        <v>386</v>
      </c>
      <c r="C60" t="s">
        <v>44</v>
      </c>
      <c r="D60" t="s">
        <v>191</v>
      </c>
      <c r="E60" t="s">
        <v>134</v>
      </c>
      <c r="F60" t="s">
        <v>387</v>
      </c>
      <c r="G60" t="s">
        <v>31</v>
      </c>
      <c r="H60" t="s">
        <v>277</v>
      </c>
      <c r="I60" t="s">
        <v>135</v>
      </c>
      <c r="J60" t="s">
        <v>39</v>
      </c>
      <c r="K60" t="s">
        <v>31</v>
      </c>
      <c r="L60">
        <v>0.115</v>
      </c>
      <c r="M60">
        <v>1</v>
      </c>
      <c r="N60">
        <v>2.7606638800723569</v>
      </c>
      <c r="O60">
        <v>7.2695359336160141</v>
      </c>
      <c r="P60">
        <v>-1.984349841954884</v>
      </c>
      <c r="Q60">
        <v>1.4263152691032981</v>
      </c>
      <c r="R60">
        <v>-2.869010584419021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</row>
    <row r="61" spans="1:44" x14ac:dyDescent="0.25">
      <c r="A61" t="s">
        <v>250</v>
      </c>
      <c r="B61" t="s">
        <v>386</v>
      </c>
      <c r="C61" t="s">
        <v>44</v>
      </c>
      <c r="D61" t="s">
        <v>191</v>
      </c>
      <c r="E61" t="s">
        <v>134</v>
      </c>
      <c r="F61" t="s">
        <v>387</v>
      </c>
      <c r="G61" t="s">
        <v>31</v>
      </c>
      <c r="H61" t="s">
        <v>277</v>
      </c>
      <c r="I61" t="s">
        <v>135</v>
      </c>
      <c r="J61" t="s">
        <v>40</v>
      </c>
      <c r="K61" t="s">
        <v>31</v>
      </c>
      <c r="L61">
        <v>0.115</v>
      </c>
      <c r="M61">
        <v>1</v>
      </c>
      <c r="N61">
        <v>2.7606638800723569</v>
      </c>
      <c r="O61">
        <v>6.0327477208272802</v>
      </c>
      <c r="P61">
        <v>-1.984349841954884</v>
      </c>
      <c r="Q61">
        <v>0.4672931329656026</v>
      </c>
      <c r="R61">
        <v>-2.7260105844190208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</row>
    <row r="62" spans="1:44" x14ac:dyDescent="0.25">
      <c r="A62" t="s">
        <v>250</v>
      </c>
      <c r="B62" t="s">
        <v>251</v>
      </c>
      <c r="C62" t="s">
        <v>43</v>
      </c>
      <c r="D62" t="s">
        <v>172</v>
      </c>
      <c r="E62" t="s">
        <v>145</v>
      </c>
      <c r="F62" t="s">
        <v>172</v>
      </c>
      <c r="G62" t="s">
        <v>31</v>
      </c>
      <c r="H62" t="s">
        <v>254</v>
      </c>
      <c r="I62" t="s">
        <v>135</v>
      </c>
      <c r="J62" t="s">
        <v>39</v>
      </c>
      <c r="K62" t="s">
        <v>31</v>
      </c>
      <c r="L62">
        <v>29.83162275145601</v>
      </c>
      <c r="M62">
        <v>1</v>
      </c>
      <c r="N62">
        <v>3.606567684747835</v>
      </c>
      <c r="O62">
        <v>3.1114376964877604</v>
      </c>
      <c r="P62">
        <v>-0.72038239017334771</v>
      </c>
      <c r="Q62">
        <v>0.4672931329656026</v>
      </c>
      <c r="R62">
        <v>-0.6460209964997905</v>
      </c>
      <c r="S62" s="2">
        <v>6.0244116296299848E-5</v>
      </c>
      <c r="T62" s="2">
        <v>9.2245237896860301E-5</v>
      </c>
      <c r="U62" s="2">
        <v>2.0051254952380167E-4</v>
      </c>
      <c r="V62" s="2">
        <v>3.7560458568375809E-4</v>
      </c>
      <c r="W62" s="2">
        <v>6.3985161896135047E-4</v>
      </c>
      <c r="X62" s="2">
        <v>1.0161437730635407E-3</v>
      </c>
      <c r="Y62" s="2">
        <v>1.5250363509283836E-3</v>
      </c>
      <c r="Z62" s="2">
        <v>2.180826429493782E-3</v>
      </c>
      <c r="AA62" s="2">
        <v>2.9869267720667703E-3</v>
      </c>
      <c r="AB62" s="2">
        <v>3.9313309162151266E-3</v>
      </c>
      <c r="AC62" s="2">
        <v>4.9834665059501895E-3</v>
      </c>
      <c r="AD62" s="2">
        <v>6.0940396467868236E-3</v>
      </c>
      <c r="AE62" s="2">
        <v>8.2282130708509916E-3</v>
      </c>
      <c r="AF62" s="2">
        <v>9.8742988857649164E-3</v>
      </c>
      <c r="AG62" s="2">
        <v>1.0949858564935586E-2</v>
      </c>
      <c r="AH62" s="2">
        <v>1.1797906027277297E-2</v>
      </c>
      <c r="AI62" s="2">
        <v>1.2392884931094991E-2</v>
      </c>
      <c r="AJ62" s="2">
        <v>1.2778559216173499E-2</v>
      </c>
      <c r="AK62" s="2">
        <v>1.2908756053786467E-2</v>
      </c>
      <c r="AL62" s="2">
        <v>1.2949434288781125E-2</v>
      </c>
      <c r="AM62" s="2">
        <v>1.2796914898100911E-2</v>
      </c>
      <c r="AN62" s="2">
        <v>1.2559976434807222E-2</v>
      </c>
      <c r="AO62" s="2">
        <v>7.7501830738100925E-3</v>
      </c>
      <c r="AP62" s="2">
        <v>1.1496288811475553E-3</v>
      </c>
      <c r="AQ62" s="2">
        <v>9.1278946812431091E-4</v>
      </c>
      <c r="AR62" s="2">
        <v>0.15113563229752164</v>
      </c>
    </row>
    <row r="63" spans="1:44" x14ac:dyDescent="0.25">
      <c r="A63" t="s">
        <v>250</v>
      </c>
      <c r="B63" t="s">
        <v>251</v>
      </c>
      <c r="C63" t="s">
        <v>43</v>
      </c>
      <c r="D63" t="s">
        <v>172</v>
      </c>
      <c r="E63" t="s">
        <v>145</v>
      </c>
      <c r="F63" t="s">
        <v>172</v>
      </c>
      <c r="G63" t="s">
        <v>31</v>
      </c>
      <c r="H63" t="s">
        <v>253</v>
      </c>
      <c r="I63" t="s">
        <v>135</v>
      </c>
      <c r="J63" t="s">
        <v>39</v>
      </c>
      <c r="K63" t="s">
        <v>31</v>
      </c>
      <c r="L63">
        <v>29.83162275145601</v>
      </c>
      <c r="M63">
        <v>1</v>
      </c>
      <c r="N63">
        <v>3.606567684747835</v>
      </c>
      <c r="O63">
        <v>3.1114376964877604</v>
      </c>
      <c r="P63">
        <v>-0.72038239017334771</v>
      </c>
      <c r="Q63">
        <v>0.4672931329656026</v>
      </c>
      <c r="R63">
        <v>-0.6460209964997905</v>
      </c>
      <c r="S63" s="2">
        <v>1.3955750139196734E-5</v>
      </c>
      <c r="T63" s="2">
        <v>2.1377216400941673E-5</v>
      </c>
      <c r="U63" s="2">
        <v>4.6485489526124721E-5</v>
      </c>
      <c r="V63" s="2">
        <v>8.7111478884849256E-5</v>
      </c>
      <c r="W63" s="2">
        <v>1.4845417825703547E-4</v>
      </c>
      <c r="X63" s="2">
        <v>2.3585058817216471E-4</v>
      </c>
      <c r="Y63" s="2">
        <v>3.5410385147874735E-4</v>
      </c>
      <c r="Z63" s="2">
        <v>5.0657086466652233E-4</v>
      </c>
      <c r="AA63" s="2">
        <v>6.9408447891741352E-4</v>
      </c>
      <c r="AB63" s="2">
        <v>9.1389438773274104E-4</v>
      </c>
      <c r="AC63" s="2">
        <v>1.158928394750447E-3</v>
      </c>
      <c r="AD63" s="2">
        <v>1.4177478145869728E-3</v>
      </c>
      <c r="AE63" s="2">
        <v>1.9138827326364188E-3</v>
      </c>
      <c r="AF63" s="2">
        <v>2.2877566303773174E-3</v>
      </c>
      <c r="AG63" s="2">
        <v>2.5379125261302616E-3</v>
      </c>
      <c r="AH63" s="2">
        <v>2.7355701901247099E-3</v>
      </c>
      <c r="AI63" s="2">
        <v>2.8747787009082708E-3</v>
      </c>
      <c r="AJ63" s="2">
        <v>2.9656632820341321E-3</v>
      </c>
      <c r="AK63" s="2">
        <v>2.997477858500268E-3</v>
      </c>
      <c r="AL63" s="2">
        <v>3.0087232474966781E-3</v>
      </c>
      <c r="AM63" s="2">
        <v>2.975283082688017E-3</v>
      </c>
      <c r="AN63" s="2">
        <v>2.9223793683348818E-3</v>
      </c>
      <c r="AO63" s="2">
        <v>1.9002459938208484E-3</v>
      </c>
      <c r="AP63" s="2">
        <v>2.6075308285484366E-4</v>
      </c>
      <c r="AQ63" s="2">
        <v>2.0710461370139686E-4</v>
      </c>
      <c r="AR63" s="2">
        <v>3.5186095803121195E-2</v>
      </c>
    </row>
    <row r="64" spans="1:44" x14ac:dyDescent="0.25">
      <c r="A64" t="s">
        <v>250</v>
      </c>
      <c r="B64" t="s">
        <v>251</v>
      </c>
      <c r="C64" t="s">
        <v>43</v>
      </c>
      <c r="D64" t="s">
        <v>172</v>
      </c>
      <c r="E64" t="s">
        <v>145</v>
      </c>
      <c r="F64" t="s">
        <v>172</v>
      </c>
      <c r="G64" t="s">
        <v>31</v>
      </c>
      <c r="H64" t="s">
        <v>253</v>
      </c>
      <c r="I64" t="s">
        <v>135</v>
      </c>
      <c r="J64" t="s">
        <v>40</v>
      </c>
      <c r="K64" t="s">
        <v>31</v>
      </c>
      <c r="L64">
        <v>29.83162275145601</v>
      </c>
      <c r="M64">
        <v>1</v>
      </c>
      <c r="N64">
        <v>3.606567684747835</v>
      </c>
      <c r="O64">
        <v>1.9286749611803649</v>
      </c>
      <c r="P64">
        <v>-0.72038239017334771</v>
      </c>
      <c r="Q64">
        <v>0.4672931329656026</v>
      </c>
      <c r="R64">
        <v>-0.50302099649979048</v>
      </c>
      <c r="S64" s="2">
        <v>7.3410146287365051E-6</v>
      </c>
      <c r="T64" s="2">
        <v>1.1244860129748019E-5</v>
      </c>
      <c r="U64" s="2">
        <v>2.4452333642518255E-5</v>
      </c>
      <c r="V64" s="2">
        <v>4.5822448413465006E-5</v>
      </c>
      <c r="W64" s="2">
        <v>7.8089983226418025E-5</v>
      </c>
      <c r="X64" s="2">
        <v>1.2406231128380066E-4</v>
      </c>
      <c r="Y64" s="2">
        <v>1.8626598555217781E-4</v>
      </c>
      <c r="Z64" s="2">
        <v>2.6646680335469839E-4</v>
      </c>
      <c r="AA64" s="2">
        <v>3.6510286172298584E-4</v>
      </c>
      <c r="AB64" s="2">
        <v>4.8072744227652055E-4</v>
      </c>
      <c r="AC64" s="2">
        <v>6.0962042274073224E-4</v>
      </c>
      <c r="AD64" s="2">
        <v>7.4576481686288061E-4</v>
      </c>
      <c r="AE64" s="2">
        <v>1.0067420953968746E-3</v>
      </c>
      <c r="AF64" s="2">
        <v>1.2034075361824642E-3</v>
      </c>
      <c r="AG64" s="2">
        <v>1.3349947365744533E-3</v>
      </c>
      <c r="AH64" s="2">
        <v>1.4389667759412104E-3</v>
      </c>
      <c r="AI64" s="2">
        <v>1.5121933459151526E-3</v>
      </c>
      <c r="AJ64" s="2">
        <v>1.560000524527331E-3</v>
      </c>
      <c r="AK64" s="2">
        <v>1.576735652980872E-3</v>
      </c>
      <c r="AL64" s="2">
        <v>1.5826509613165061E-3</v>
      </c>
      <c r="AM64" s="2">
        <v>1.5650607396086652E-3</v>
      </c>
      <c r="AN64" s="2">
        <v>1.537232286311123E-3</v>
      </c>
      <c r="AO64" s="2">
        <v>9.9956888735468186E-4</v>
      </c>
      <c r="AP64" s="2">
        <v>1.3716154105892559E-4</v>
      </c>
      <c r="AQ64" s="2">
        <v>1.0894133125747375E-4</v>
      </c>
      <c r="AR64" s="2">
        <v>1.8508617698260413E-2</v>
      </c>
    </row>
    <row r="65" spans="1:44" x14ac:dyDescent="0.25">
      <c r="A65" t="s">
        <v>250</v>
      </c>
      <c r="B65" t="s">
        <v>251</v>
      </c>
      <c r="C65" t="s">
        <v>43</v>
      </c>
      <c r="D65" t="s">
        <v>172</v>
      </c>
      <c r="E65" t="s">
        <v>145</v>
      </c>
      <c r="F65" t="s">
        <v>172</v>
      </c>
      <c r="G65" t="s">
        <v>31</v>
      </c>
      <c r="H65" t="s">
        <v>253</v>
      </c>
      <c r="I65" t="s">
        <v>256</v>
      </c>
      <c r="J65" t="s">
        <v>39</v>
      </c>
      <c r="K65" t="s">
        <v>31</v>
      </c>
      <c r="L65">
        <v>29.83162275145601</v>
      </c>
      <c r="M65">
        <v>1</v>
      </c>
      <c r="N65">
        <v>3.079263650420323</v>
      </c>
      <c r="O65">
        <v>2.6565249391714065</v>
      </c>
      <c r="P65">
        <v>-0.47397683594704287</v>
      </c>
      <c r="Q65">
        <v>0.4672931329656026</v>
      </c>
      <c r="R65">
        <v>-0.39961544227348567</v>
      </c>
      <c r="S65" s="2">
        <v>7.3206410220305243E-6</v>
      </c>
      <c r="T65" s="2">
        <v>1.1213652133396889E-5</v>
      </c>
      <c r="U65" s="2">
        <v>2.4384470785151662E-5</v>
      </c>
      <c r="V65" s="2">
        <v>4.5695276818052783E-5</v>
      </c>
      <c r="W65" s="2">
        <v>7.787325915128766E-5</v>
      </c>
      <c r="X65" s="2">
        <v>1.2371799965046914E-4</v>
      </c>
      <c r="Y65" s="2">
        <v>1.8574903930914947E-4</v>
      </c>
      <c r="Z65" s="2">
        <v>2.6572727481180515E-4</v>
      </c>
      <c r="AA65" s="2">
        <v>3.6408958733406783E-4</v>
      </c>
      <c r="AB65" s="2">
        <v>4.7939327359044104E-4</v>
      </c>
      <c r="AC65" s="2">
        <v>6.0792853580670617E-4</v>
      </c>
      <c r="AD65" s="2">
        <v>7.4369508674486092E-4</v>
      </c>
      <c r="AE65" s="2">
        <v>1.0039480718806054E-3</v>
      </c>
      <c r="AF65" s="2">
        <v>1.2000677046892514E-3</v>
      </c>
      <c r="AG65" s="2">
        <v>1.331289709532136E-3</v>
      </c>
      <c r="AH65" s="2">
        <v>1.4349731940402478E-3</v>
      </c>
      <c r="AI65" s="2">
        <v>1.5079965374286965E-3</v>
      </c>
      <c r="AJ65" s="2">
        <v>1.5556710361997353E-3</v>
      </c>
      <c r="AK65" s="2">
        <v>1.5723597194488258E-3</v>
      </c>
      <c r="AL65" s="2">
        <v>1.5782586109576765E-3</v>
      </c>
      <c r="AM65" s="2">
        <v>1.560717207604939E-3</v>
      </c>
      <c r="AN65" s="2">
        <v>1.5329659869504791E-3</v>
      </c>
      <c r="AO65" s="2">
        <v>9.9679477172946425E-4</v>
      </c>
      <c r="AP65" s="2">
        <v>1.3678087497473264E-4</v>
      </c>
      <c r="AQ65" s="2">
        <v>1.0863898506293465E-4</v>
      </c>
      <c r="AR65" s="2">
        <v>1.845725050765714E-2</v>
      </c>
    </row>
    <row r="66" spans="1:44" x14ac:dyDescent="0.25">
      <c r="A66" t="s">
        <v>250</v>
      </c>
      <c r="B66" t="s">
        <v>251</v>
      </c>
      <c r="C66" t="s">
        <v>43</v>
      </c>
      <c r="D66" t="s">
        <v>172</v>
      </c>
      <c r="E66" t="s">
        <v>145</v>
      </c>
      <c r="F66" t="s">
        <v>172</v>
      </c>
      <c r="G66" t="s">
        <v>31</v>
      </c>
      <c r="H66" t="s">
        <v>252</v>
      </c>
      <c r="I66" t="s">
        <v>135</v>
      </c>
      <c r="J66" t="s">
        <v>39</v>
      </c>
      <c r="K66" t="s">
        <v>31</v>
      </c>
      <c r="L66">
        <v>29.83162275145601</v>
      </c>
      <c r="M66">
        <v>1</v>
      </c>
      <c r="N66">
        <v>3.606567684747835</v>
      </c>
      <c r="O66">
        <v>3.1114376964877604</v>
      </c>
      <c r="P66">
        <v>-0.72038239017334771</v>
      </c>
      <c r="Q66">
        <v>0.4672931329656026</v>
      </c>
      <c r="R66">
        <v>-0.6460209964997905</v>
      </c>
      <c r="S66" s="2">
        <v>2.2215575325716216E-4</v>
      </c>
      <c r="T66" s="2">
        <v>3.4043165103216137E-4</v>
      </c>
      <c r="U66" s="2">
        <v>7.4057762078703188E-4</v>
      </c>
      <c r="V66" s="2">
        <v>1.3883627728778123E-3</v>
      </c>
      <c r="W66" s="2">
        <v>2.3669789552504001E-3</v>
      </c>
      <c r="X66" s="2">
        <v>3.7619527183410948E-3</v>
      </c>
      <c r="Y66" s="2">
        <v>5.6504289407386795E-3</v>
      </c>
      <c r="Z66" s="2">
        <v>8.0865890413956941E-3</v>
      </c>
      <c r="AA66" s="2">
        <v>1.108439250239435E-2</v>
      </c>
      <c r="AB66" s="2">
        <v>1.460057539731564E-2</v>
      </c>
      <c r="AC66" s="2">
        <v>1.8522728564865382E-2</v>
      </c>
      <c r="AD66" s="2">
        <v>2.2668445720909047E-2</v>
      </c>
      <c r="AE66" s="2">
        <v>3.0595135913889595E-2</v>
      </c>
      <c r="AF66" s="2">
        <v>3.6424235121456372E-2</v>
      </c>
      <c r="AG66" s="2">
        <v>4.0422900664436892E-2</v>
      </c>
      <c r="AH66" s="2">
        <v>4.3589257673859759E-2</v>
      </c>
      <c r="AI66" s="2">
        <v>4.5828074434636844E-2</v>
      </c>
      <c r="AJ66" s="2">
        <v>4.7300328583506378E-2</v>
      </c>
      <c r="AK66" s="2">
        <v>4.7834136356268722E-2</v>
      </c>
      <c r="AL66" s="2">
        <v>4.804331793342808E-2</v>
      </c>
      <c r="AM66" s="2">
        <v>4.7542341736925758E-2</v>
      </c>
      <c r="AN66" s="2">
        <v>4.6733099737659788E-2</v>
      </c>
      <c r="AO66" s="2">
        <v>3.2000923253311199E-2</v>
      </c>
      <c r="AP66" s="2">
        <v>4.0584789627371304E-3</v>
      </c>
      <c r="AQ66" s="2">
        <v>3.2246014855429389E-3</v>
      </c>
      <c r="AR66" s="2">
        <v>0.56303045149682396</v>
      </c>
    </row>
    <row r="67" spans="1:44" x14ac:dyDescent="0.25">
      <c r="A67" t="s">
        <v>250</v>
      </c>
      <c r="B67" t="s">
        <v>251</v>
      </c>
      <c r="C67" t="s">
        <v>43</v>
      </c>
      <c r="D67" t="s">
        <v>172</v>
      </c>
      <c r="E67" t="s">
        <v>145</v>
      </c>
      <c r="F67" t="s">
        <v>172</v>
      </c>
      <c r="G67" t="s">
        <v>31</v>
      </c>
      <c r="H67" t="s">
        <v>255</v>
      </c>
      <c r="I67" t="s">
        <v>135</v>
      </c>
      <c r="J67" t="s">
        <v>39</v>
      </c>
      <c r="K67" t="s">
        <v>31</v>
      </c>
      <c r="L67">
        <v>29.83162275145601</v>
      </c>
      <c r="M67">
        <v>1</v>
      </c>
      <c r="N67">
        <v>3.606567684747835</v>
      </c>
      <c r="O67">
        <v>3.1114376964877604</v>
      </c>
      <c r="P67">
        <v>-0.72038239017334771</v>
      </c>
      <c r="Q67">
        <v>0.4672931329656026</v>
      </c>
      <c r="R67">
        <v>-0.6460209964997905</v>
      </c>
      <c r="S67" s="2">
        <v>1.5510385161841551E-5</v>
      </c>
      <c r="T67" s="2">
        <v>2.3641687528053969E-5</v>
      </c>
      <c r="U67" s="2">
        <v>5.1156715177158891E-5</v>
      </c>
      <c r="V67" s="2">
        <v>9.5393448814493355E-5</v>
      </c>
      <c r="W67" s="2">
        <v>1.6176833333162132E-4</v>
      </c>
      <c r="X67" s="2">
        <v>2.5573841632470717E-4</v>
      </c>
      <c r="Y67" s="2">
        <v>3.8207408383259304E-4</v>
      </c>
      <c r="Z67" s="2">
        <v>5.4389499180840977E-4</v>
      </c>
      <c r="AA67" s="2">
        <v>7.4155797015572637E-4</v>
      </c>
      <c r="AB67" s="2">
        <v>9.7159821125553754E-4</v>
      </c>
      <c r="AC67" s="2">
        <v>1.2260416445546555E-3</v>
      </c>
      <c r="AD67" s="2">
        <v>1.4924697141847957E-3</v>
      </c>
      <c r="AE67" s="2">
        <v>2.0200650062248506E-3</v>
      </c>
      <c r="AF67" s="2">
        <v>2.5414168773302318E-3</v>
      </c>
      <c r="AG67" s="2">
        <v>2.8057770435112529E-3</v>
      </c>
      <c r="AH67" s="2">
        <v>3.0088962571468516E-3</v>
      </c>
      <c r="AI67" s="2">
        <v>3.1446148506232871E-3</v>
      </c>
      <c r="AJ67" s="2">
        <v>3.2244148617640799E-3</v>
      </c>
      <c r="AK67" s="2">
        <v>3.2370657890741354E-3</v>
      </c>
      <c r="AL67" s="2">
        <v>3.2246708249015297E-3</v>
      </c>
      <c r="AM67" s="2">
        <v>3.1617865494958063E-3</v>
      </c>
      <c r="AN67" s="2">
        <v>3.0761806524043666E-3</v>
      </c>
      <c r="AO67" s="2">
        <v>7.4889209922405662E-4</v>
      </c>
      <c r="AP67" s="2">
        <v>3.6457796834465602E-4</v>
      </c>
      <c r="AQ67" s="2">
        <v>2.8832526413137999E-4</v>
      </c>
      <c r="AR67" s="2">
        <v>3.6807529646306077E-2</v>
      </c>
    </row>
    <row r="68" spans="1:44" x14ac:dyDescent="0.25">
      <c r="A68" t="s">
        <v>250</v>
      </c>
      <c r="B68" t="s">
        <v>251</v>
      </c>
      <c r="C68" t="s">
        <v>43</v>
      </c>
      <c r="D68" t="s">
        <v>172</v>
      </c>
      <c r="E68" t="s">
        <v>148</v>
      </c>
      <c r="F68" t="s">
        <v>172</v>
      </c>
      <c r="G68" t="s">
        <v>31</v>
      </c>
      <c r="H68" t="s">
        <v>254</v>
      </c>
      <c r="I68" t="s">
        <v>135</v>
      </c>
      <c r="J68" t="s">
        <v>39</v>
      </c>
      <c r="K68" t="s">
        <v>31</v>
      </c>
      <c r="L68">
        <v>29.83162275145601</v>
      </c>
      <c r="M68">
        <v>1</v>
      </c>
      <c r="N68">
        <v>3.606567684747835</v>
      </c>
      <c r="O68">
        <v>3.1114376964877604</v>
      </c>
      <c r="P68">
        <v>-0.72038239017334771</v>
      </c>
      <c r="Q68">
        <v>0.4672931329656026</v>
      </c>
      <c r="R68">
        <v>-0.6460209964997905</v>
      </c>
      <c r="S68" s="2">
        <v>8.1991038561872548E-6</v>
      </c>
      <c r="T68" s="2">
        <v>1.7599840793052462E-5</v>
      </c>
      <c r="U68" s="2">
        <v>3.8688938098315201E-5</v>
      </c>
      <c r="V68" s="2">
        <v>7.3295625757096241E-5</v>
      </c>
      <c r="W68" s="2">
        <v>1.2628438992200717E-4</v>
      </c>
      <c r="X68" s="2">
        <v>2.0284763116723128E-4</v>
      </c>
      <c r="Y68" s="2">
        <v>3.0793593003397568E-4</v>
      </c>
      <c r="Z68" s="2">
        <v>4.4543825927769733E-4</v>
      </c>
      <c r="AA68" s="2">
        <v>6.1716023908758074E-4</v>
      </c>
      <c r="AB68" s="2">
        <v>8.2175142130880828E-4</v>
      </c>
      <c r="AC68" s="2">
        <v>1.0538536452049661E-3</v>
      </c>
      <c r="AD68" s="2">
        <v>1.3038336114987591E-3</v>
      </c>
      <c r="AE68" s="2">
        <v>1.5584494259105991E-3</v>
      </c>
      <c r="AF68" s="2">
        <v>1.8026114167402256E-3</v>
      </c>
      <c r="AG68" s="2">
        <v>2.0220217672126412E-3</v>
      </c>
      <c r="AH68" s="2">
        <v>2.2060270570821391E-3</v>
      </c>
      <c r="AI68" s="2">
        <v>2.349729075464524E-3</v>
      </c>
      <c r="AJ68" s="2">
        <v>2.4612648162617274E-3</v>
      </c>
      <c r="AK68" s="2">
        <v>2.5314288710527461E-3</v>
      </c>
      <c r="AL68" s="2">
        <v>2.5922120237404241E-3</v>
      </c>
      <c r="AM68" s="2">
        <v>2.6224157139913768E-3</v>
      </c>
      <c r="AN68" s="2">
        <v>2.6424730264895165E-3</v>
      </c>
      <c r="AO68" s="2">
        <v>2.6627972240367828E-3</v>
      </c>
      <c r="AP68" s="2">
        <v>2.6833911113226562E-3</v>
      </c>
      <c r="AQ68" s="2">
        <v>2.7042575253340647E-3</v>
      </c>
      <c r="AR68" s="2">
        <v>3.5855967690645099E-2</v>
      </c>
    </row>
    <row r="69" spans="1:44" x14ac:dyDescent="0.25">
      <c r="A69" t="s">
        <v>250</v>
      </c>
      <c r="B69" t="s">
        <v>251</v>
      </c>
      <c r="C69" t="s">
        <v>43</v>
      </c>
      <c r="D69" t="s">
        <v>172</v>
      </c>
      <c r="E69" t="s">
        <v>148</v>
      </c>
      <c r="F69" t="s">
        <v>172</v>
      </c>
      <c r="G69" t="s">
        <v>31</v>
      </c>
      <c r="H69" t="s">
        <v>253</v>
      </c>
      <c r="I69" t="s">
        <v>135</v>
      </c>
      <c r="J69" t="s">
        <v>39</v>
      </c>
      <c r="K69" t="s">
        <v>31</v>
      </c>
      <c r="L69">
        <v>29.83162275145601</v>
      </c>
      <c r="M69">
        <v>1</v>
      </c>
      <c r="N69">
        <v>3.606567684747835</v>
      </c>
      <c r="O69">
        <v>3.1114376964877604</v>
      </c>
      <c r="P69">
        <v>-0.72038239017334771</v>
      </c>
      <c r="Q69">
        <v>0.4672931329656026</v>
      </c>
      <c r="R69">
        <v>-0.6460209964997905</v>
      </c>
      <c r="S69" s="2">
        <v>1.8993497094304896E-6</v>
      </c>
      <c r="T69" s="2">
        <v>3.9774630846456305E-6</v>
      </c>
      <c r="U69" s="2">
        <v>8.7468164094022529E-6</v>
      </c>
      <c r="V69" s="2">
        <v>1.657697068314686E-5</v>
      </c>
      <c r="W69" s="2">
        <v>2.8571880702381911E-5</v>
      </c>
      <c r="X69" s="2">
        <v>4.5911267563216566E-5</v>
      </c>
      <c r="Y69" s="2">
        <v>6.9721711644462738E-5</v>
      </c>
      <c r="Z69" s="2">
        <v>1.008908258099953E-4</v>
      </c>
      <c r="AA69" s="2">
        <v>1.3983527640842693E-4</v>
      </c>
      <c r="AB69" s="2">
        <v>1.8625677755030958E-4</v>
      </c>
      <c r="AC69" s="2">
        <v>2.3894773242612424E-4</v>
      </c>
      <c r="AD69" s="2">
        <v>2.9572902986631699E-4</v>
      </c>
      <c r="AE69" s="2">
        <v>3.5359968272817766E-4</v>
      </c>
      <c r="AF69" s="2">
        <v>4.0913519401850399E-4</v>
      </c>
      <c r="AG69" s="2">
        <v>4.5908629451628282E-4</v>
      </c>
      <c r="AH69" s="2">
        <v>5.0102723582063301E-4</v>
      </c>
      <c r="AI69" s="2">
        <v>5.3383681282202354E-4</v>
      </c>
      <c r="AJ69" s="2">
        <v>5.5935501857329621E-4</v>
      </c>
      <c r="AK69" s="2">
        <v>5.7548186317160068E-4</v>
      </c>
      <c r="AL69" s="2">
        <v>5.8948316825010224E-4</v>
      </c>
      <c r="AM69" s="2">
        <v>5.9653464783009785E-4</v>
      </c>
      <c r="AN69" s="2">
        <v>6.0127926163011929E-4</v>
      </c>
      <c r="AO69" s="2">
        <v>6.0608505797564091E-4</v>
      </c>
      <c r="AP69" s="2">
        <v>6.1095269028950817E-4</v>
      </c>
      <c r="AQ69" s="2">
        <v>6.158828194563887E-4</v>
      </c>
      <c r="AR69" s="2">
        <v>8.1488048489402332E-3</v>
      </c>
    </row>
    <row r="70" spans="1:44" x14ac:dyDescent="0.25">
      <c r="A70" t="s">
        <v>250</v>
      </c>
      <c r="B70" t="s">
        <v>251</v>
      </c>
      <c r="C70" t="s">
        <v>43</v>
      </c>
      <c r="D70" t="s">
        <v>172</v>
      </c>
      <c r="E70" t="s">
        <v>148</v>
      </c>
      <c r="F70" t="s">
        <v>172</v>
      </c>
      <c r="G70" t="s">
        <v>31</v>
      </c>
      <c r="H70" t="s">
        <v>253</v>
      </c>
      <c r="I70" t="s">
        <v>135</v>
      </c>
      <c r="J70" t="s">
        <v>40</v>
      </c>
      <c r="K70" t="s">
        <v>31</v>
      </c>
      <c r="L70">
        <v>29.83162275145601</v>
      </c>
      <c r="M70">
        <v>1</v>
      </c>
      <c r="N70">
        <v>3.606567684747835</v>
      </c>
      <c r="O70">
        <v>1.9286749611803649</v>
      </c>
      <c r="P70">
        <v>-0.72038239017334771</v>
      </c>
      <c r="Q70">
        <v>0.4672931329656026</v>
      </c>
      <c r="R70">
        <v>-0.50302099649979048</v>
      </c>
      <c r="S70" s="2">
        <v>9.9909742313702618E-7</v>
      </c>
      <c r="T70" s="2">
        <v>2.0922282498906678E-6</v>
      </c>
      <c r="U70" s="2">
        <v>4.6010072246814715E-6</v>
      </c>
      <c r="V70" s="2">
        <v>8.7198311141533925E-6</v>
      </c>
      <c r="W70" s="2">
        <v>1.502940308580032E-5</v>
      </c>
      <c r="X70" s="2">
        <v>2.4150280955431904E-5</v>
      </c>
      <c r="Y70" s="2">
        <v>3.6675069417086307E-5</v>
      </c>
      <c r="Z70" s="2">
        <v>5.3070671285255815E-5</v>
      </c>
      <c r="AA70" s="2">
        <v>7.35562617192828E-5</v>
      </c>
      <c r="AB70" s="2">
        <v>9.7974936141760459E-5</v>
      </c>
      <c r="AC70" s="2">
        <v>1.256914735322527E-4</v>
      </c>
      <c r="AD70" s="2">
        <v>1.5555961612505857E-4</v>
      </c>
      <c r="AE70" s="2">
        <v>1.8600078231076223E-4</v>
      </c>
      <c r="AF70" s="2">
        <v>2.1521361549639174E-4</v>
      </c>
      <c r="AG70" s="2">
        <v>2.4148893253905906E-4</v>
      </c>
      <c r="AH70" s="2">
        <v>2.6355073936329431E-4</v>
      </c>
      <c r="AI70" s="2">
        <v>2.8080925877841208E-4</v>
      </c>
      <c r="AJ70" s="2">
        <v>2.9423236537251801E-4</v>
      </c>
      <c r="AK70" s="2">
        <v>3.0271542081065347E-4</v>
      </c>
      <c r="AL70" s="2">
        <v>3.100803982842733E-4</v>
      </c>
      <c r="AM70" s="2">
        <v>3.1378962310090331E-4</v>
      </c>
      <c r="AN70" s="2">
        <v>3.1628538857149759E-4</v>
      </c>
      <c r="AO70" s="2">
        <v>3.1881333733264097E-4</v>
      </c>
      <c r="AP70" s="2">
        <v>3.2137381309833016E-4</v>
      </c>
      <c r="AQ70" s="2">
        <v>3.2396716350763358E-4</v>
      </c>
      <c r="AR70" s="2">
        <v>4.2864407148401618E-3</v>
      </c>
    </row>
    <row r="71" spans="1:44" x14ac:dyDescent="0.25">
      <c r="A71" t="s">
        <v>250</v>
      </c>
      <c r="B71" t="s">
        <v>251</v>
      </c>
      <c r="C71" t="s">
        <v>43</v>
      </c>
      <c r="D71" t="s">
        <v>172</v>
      </c>
      <c r="E71" t="s">
        <v>148</v>
      </c>
      <c r="F71" t="s">
        <v>172</v>
      </c>
      <c r="G71" t="s">
        <v>31</v>
      </c>
      <c r="H71" t="s">
        <v>253</v>
      </c>
      <c r="I71" t="s">
        <v>256</v>
      </c>
      <c r="J71" t="s">
        <v>39</v>
      </c>
      <c r="K71" t="s">
        <v>31</v>
      </c>
      <c r="L71">
        <v>29.83162275145601</v>
      </c>
      <c r="M71">
        <v>1</v>
      </c>
      <c r="N71">
        <v>3.079263650420323</v>
      </c>
      <c r="O71">
        <v>2.6565249391714065</v>
      </c>
      <c r="P71">
        <v>-0.47397683594704287</v>
      </c>
      <c r="Q71">
        <v>0.4672931329656026</v>
      </c>
      <c r="R71">
        <v>-0.39961544227348567</v>
      </c>
      <c r="S71" s="2">
        <v>9.9632461597215997E-7</v>
      </c>
      <c r="T71" s="2">
        <v>2.0864216635183274E-6</v>
      </c>
      <c r="U71" s="2">
        <v>4.5882379936708311E-6</v>
      </c>
      <c r="V71" s="2">
        <v>8.6956308613752875E-6</v>
      </c>
      <c r="W71" s="2">
        <v>1.4987691801600264E-5</v>
      </c>
      <c r="X71" s="2">
        <v>2.4083256388542033E-5</v>
      </c>
      <c r="Y71" s="2">
        <v>3.6573284653261801E-5</v>
      </c>
      <c r="Z71" s="2">
        <v>5.2923383609223171E-5</v>
      </c>
      <c r="AA71" s="2">
        <v>7.3352120136298043E-5</v>
      </c>
      <c r="AB71" s="2">
        <v>9.7703025116247918E-5</v>
      </c>
      <c r="AC71" s="2">
        <v>1.2534264046522599E-4</v>
      </c>
      <c r="AD71" s="2">
        <v>1.551278896405665E-4</v>
      </c>
      <c r="AE71" s="2">
        <v>1.8548457208950061E-4</v>
      </c>
      <c r="AF71" s="2">
        <v>2.1461633054578903E-4</v>
      </c>
      <c r="AG71" s="2">
        <v>2.4081872538320786E-4</v>
      </c>
      <c r="AH71" s="2">
        <v>2.6281930380807442E-4</v>
      </c>
      <c r="AI71" s="2">
        <v>2.8002992544547356E-4</v>
      </c>
      <c r="AJ71" s="2">
        <v>2.9341577872946757E-4</v>
      </c>
      <c r="AK71" s="2">
        <v>3.0187529104122259E-4</v>
      </c>
      <c r="AL71" s="2">
        <v>3.0921982840376432E-4</v>
      </c>
      <c r="AM71" s="2">
        <v>3.1291875896388748E-4</v>
      </c>
      <c r="AN71" s="2">
        <v>3.1540759790638182E-4</v>
      </c>
      <c r="AO71" s="2">
        <v>3.1792853082074037E-4</v>
      </c>
      <c r="AP71" s="2">
        <v>3.2048190046706773E-4</v>
      </c>
      <c r="AQ71" s="2">
        <v>3.230680535196081E-4</v>
      </c>
      <c r="AR71" s="2">
        <v>4.2745445040696878E-3</v>
      </c>
    </row>
    <row r="72" spans="1:44" x14ac:dyDescent="0.25">
      <c r="A72" t="s">
        <v>250</v>
      </c>
      <c r="B72" t="s">
        <v>251</v>
      </c>
      <c r="C72" t="s">
        <v>43</v>
      </c>
      <c r="D72" t="s">
        <v>172</v>
      </c>
      <c r="E72" t="s">
        <v>148</v>
      </c>
      <c r="F72" t="s">
        <v>172</v>
      </c>
      <c r="G72" t="s">
        <v>31</v>
      </c>
      <c r="H72" t="s">
        <v>252</v>
      </c>
      <c r="I72" t="s">
        <v>135</v>
      </c>
      <c r="J72" t="s">
        <v>39</v>
      </c>
      <c r="K72" t="s">
        <v>31</v>
      </c>
      <c r="L72">
        <v>29.83162275145601</v>
      </c>
      <c r="M72">
        <v>1</v>
      </c>
      <c r="N72">
        <v>3.606567684747835</v>
      </c>
      <c r="O72">
        <v>3.1114376964877604</v>
      </c>
      <c r="P72">
        <v>-0.72038239017334771</v>
      </c>
      <c r="Q72">
        <v>0.4672931329656026</v>
      </c>
      <c r="R72">
        <v>-0.6460209964997905</v>
      </c>
      <c r="S72" s="2">
        <v>3.0234954136373594E-5</v>
      </c>
      <c r="T72" s="2">
        <v>6.1675431904338962E-5</v>
      </c>
      <c r="U72" s="2">
        <v>1.3568362337384413E-4</v>
      </c>
      <c r="V72" s="2">
        <v>2.572480188207914E-4</v>
      </c>
      <c r="W72" s="2">
        <v>4.4356086362361816E-4</v>
      </c>
      <c r="X72" s="2">
        <v>7.1301600990729907E-4</v>
      </c>
      <c r="Y72" s="2">
        <v>1.0832076922293395E-3</v>
      </c>
      <c r="Z72" s="2">
        <v>1.5680401120720712E-3</v>
      </c>
      <c r="AA72" s="2">
        <v>2.1741131400459784E-3</v>
      </c>
      <c r="AB72" s="2">
        <v>2.896913327681144E-3</v>
      </c>
      <c r="AC72" s="2">
        <v>3.7177696506171527E-3</v>
      </c>
      <c r="AD72" s="2">
        <v>4.6028604273539581E-3</v>
      </c>
      <c r="AE72" s="2">
        <v>5.5055174379492972E-3</v>
      </c>
      <c r="AF72" s="2">
        <v>6.3724098337852369E-3</v>
      </c>
      <c r="AG72" s="2">
        <v>7.1528634949307567E-3</v>
      </c>
      <c r="AH72" s="2">
        <v>7.8089720798063403E-3</v>
      </c>
      <c r="AI72" s="2">
        <v>8.3231202094203316E-3</v>
      </c>
      <c r="AJ72" s="2">
        <v>8.7238561923776124E-3</v>
      </c>
      <c r="AK72" s="2">
        <v>8.9783001457475631E-3</v>
      </c>
      <c r="AL72" s="2">
        <v>9.1996992153415037E-3</v>
      </c>
      <c r="AM72" s="2">
        <v>9.312705413022454E-3</v>
      </c>
      <c r="AN72" s="2">
        <v>9.3897198190196363E-3</v>
      </c>
      <c r="AO72" s="2">
        <v>9.4676993470673796E-3</v>
      </c>
      <c r="AP72" s="2">
        <v>9.5466544449509198E-3</v>
      </c>
      <c r="AQ72" s="2">
        <v>9.6265956790081986E-3</v>
      </c>
      <c r="AR72" s="2">
        <v>0.12709243656419314</v>
      </c>
    </row>
    <row r="73" spans="1:44" x14ac:dyDescent="0.25">
      <c r="A73" t="s">
        <v>250</v>
      </c>
      <c r="B73" t="s">
        <v>251</v>
      </c>
      <c r="C73" t="s">
        <v>43</v>
      </c>
      <c r="D73" t="s">
        <v>172</v>
      </c>
      <c r="E73" t="s">
        <v>148</v>
      </c>
      <c r="F73" t="s">
        <v>172</v>
      </c>
      <c r="G73" t="s">
        <v>31</v>
      </c>
      <c r="H73" t="s">
        <v>255</v>
      </c>
      <c r="I73" t="s">
        <v>135</v>
      </c>
      <c r="J73" t="s">
        <v>39</v>
      </c>
      <c r="K73" t="s">
        <v>31</v>
      </c>
      <c r="L73">
        <v>29.83162275145601</v>
      </c>
      <c r="M73">
        <v>1</v>
      </c>
      <c r="N73">
        <v>3.606567684747835</v>
      </c>
      <c r="O73">
        <v>3.1114376964877604</v>
      </c>
      <c r="P73">
        <v>-0.72038239017334771</v>
      </c>
      <c r="Q73">
        <v>0.4672931329656026</v>
      </c>
      <c r="R73">
        <v>-0.6460209964997905</v>
      </c>
      <c r="S73" s="2">
        <v>2.1109324297485859E-6</v>
      </c>
      <c r="T73" s="2">
        <v>5.8232983732982858E-6</v>
      </c>
      <c r="U73" s="2">
        <v>1.2743964443195257E-5</v>
      </c>
      <c r="V73" s="2">
        <v>2.4036728556450386E-5</v>
      </c>
      <c r="W73" s="2">
        <v>4.1233356638265465E-5</v>
      </c>
      <c r="X73" s="2">
        <v>6.5946668622126979E-5</v>
      </c>
      <c r="Y73" s="2">
        <v>9.9684902958729275E-5</v>
      </c>
      <c r="Z73" s="2">
        <v>1.4359021969341149E-4</v>
      </c>
      <c r="AA73" s="2">
        <v>1.9811885994530483E-4</v>
      </c>
      <c r="AB73" s="2">
        <v>2.6271271990295508E-4</v>
      </c>
      <c r="AC73" s="2">
        <v>3.3554896382607605E-4</v>
      </c>
      <c r="AD73" s="2">
        <v>4.1348039957486238E-4</v>
      </c>
      <c r="AE73" s="2">
        <v>4.9227161142034151E-4</v>
      </c>
      <c r="AF73" s="2">
        <v>5.6717314229821946E-4</v>
      </c>
      <c r="AG73" s="2">
        <v>6.3375723497006336E-4</v>
      </c>
      <c r="AH73" s="2">
        <v>6.8880067052060491E-4</v>
      </c>
      <c r="AI73" s="2">
        <v>7.3091714475230463E-4</v>
      </c>
      <c r="AJ73" s="2">
        <v>7.6277822444582497E-4</v>
      </c>
      <c r="AK73" s="2">
        <v>7.8165866636645904E-4</v>
      </c>
      <c r="AL73" s="2">
        <v>7.9754507360562158E-4</v>
      </c>
      <c r="AM73" s="2">
        <v>8.0397269631651456E-4</v>
      </c>
      <c r="AN73" s="2">
        <v>8.0728528566033917E-4</v>
      </c>
      <c r="AO73" s="2">
        <v>8.1068635412724676E-4</v>
      </c>
      <c r="AP73" s="2">
        <v>8.1417643197343511E-4</v>
      </c>
      <c r="AQ73" s="2">
        <v>8.1775605955936926E-4</v>
      </c>
      <c r="AR73" s="2">
        <v>1.1113809610980767E-2</v>
      </c>
    </row>
    <row r="74" spans="1:44" x14ac:dyDescent="0.25">
      <c r="A74" t="s">
        <v>250</v>
      </c>
      <c r="B74" t="s">
        <v>257</v>
      </c>
      <c r="C74" t="s">
        <v>43</v>
      </c>
      <c r="D74" t="s">
        <v>258</v>
      </c>
      <c r="E74" t="s">
        <v>145</v>
      </c>
      <c r="F74" t="s">
        <v>258</v>
      </c>
      <c r="G74" t="s">
        <v>31</v>
      </c>
      <c r="H74" t="s">
        <v>254</v>
      </c>
      <c r="I74" t="s">
        <v>135</v>
      </c>
      <c r="J74" t="s">
        <v>39</v>
      </c>
      <c r="K74" t="s">
        <v>31</v>
      </c>
      <c r="L74">
        <v>38.700000000000003</v>
      </c>
      <c r="M74">
        <v>1</v>
      </c>
      <c r="N74">
        <v>1.5279315446562396</v>
      </c>
      <c r="O74">
        <v>3.2630763305462525</v>
      </c>
      <c r="P74">
        <v>-0.11304474947304376</v>
      </c>
      <c r="Q74">
        <v>1.1567665262170677</v>
      </c>
      <c r="R74">
        <v>-0.72815674905095173</v>
      </c>
      <c r="S74" s="2">
        <v>4.1543581675570481E-4</v>
      </c>
      <c r="T74" s="2">
        <v>6.3611150936344917E-4</v>
      </c>
      <c r="U74" s="2">
        <v>1.3827092154774544E-3</v>
      </c>
      <c r="V74" s="2">
        <v>2.5901217815739465E-3</v>
      </c>
      <c r="W74" s="2">
        <v>4.4123359469378596E-3</v>
      </c>
      <c r="X74" s="2">
        <v>7.0071991134809533E-3</v>
      </c>
      <c r="Y74" s="2">
        <v>1.0516458053995648E-2</v>
      </c>
      <c r="Z74" s="2">
        <v>1.6264652753909259E-2</v>
      </c>
      <c r="AA74" s="2">
        <v>2.2945010023991221E-2</v>
      </c>
      <c r="AB74" s="2">
        <v>3.02060029548431E-2</v>
      </c>
      <c r="AC74" s="2">
        <v>3.8274767142354574E-2</v>
      </c>
      <c r="AD74" s="2">
        <v>4.6746660541443615E-2</v>
      </c>
      <c r="AE74" s="2">
        <v>5.5096515810074111E-2</v>
      </c>
      <c r="AF74" s="2">
        <v>6.275294520028904E-2</v>
      </c>
      <c r="AG74" s="2">
        <v>6.9202656613301244E-2</v>
      </c>
      <c r="AH74" s="2">
        <v>7.4096975222671224E-2</v>
      </c>
      <c r="AI74" s="2">
        <v>7.7323477987820674E-2</v>
      </c>
      <c r="AJ74" s="2">
        <v>5.2821957826488269E-2</v>
      </c>
      <c r="AK74" s="2">
        <v>4.5319992944423473E-3</v>
      </c>
      <c r="AL74" s="2">
        <v>3.6570933918265562E-3</v>
      </c>
      <c r="AM74" s="2">
        <v>2.7621010763140786E-3</v>
      </c>
      <c r="AN74" s="2">
        <v>1.9529752359010359E-3</v>
      </c>
      <c r="AO74" s="2">
        <v>1.2872676590058205E-3</v>
      </c>
      <c r="AP74" s="2">
        <v>7.8469226612039701E-4</v>
      </c>
      <c r="AQ74" s="2">
        <v>4.1252777463314234E-4</v>
      </c>
      <c r="AR74" s="2">
        <v>0.5880806502130147</v>
      </c>
    </row>
    <row r="75" spans="1:44" x14ac:dyDescent="0.25">
      <c r="A75" t="s">
        <v>250</v>
      </c>
      <c r="B75" t="s">
        <v>257</v>
      </c>
      <c r="C75" t="s">
        <v>43</v>
      </c>
      <c r="D75" t="s">
        <v>258</v>
      </c>
      <c r="E75" t="s">
        <v>145</v>
      </c>
      <c r="F75" t="s">
        <v>258</v>
      </c>
      <c r="G75" t="s">
        <v>31</v>
      </c>
      <c r="H75" t="s">
        <v>253</v>
      </c>
      <c r="I75" t="s">
        <v>135</v>
      </c>
      <c r="J75" t="s">
        <v>39</v>
      </c>
      <c r="K75" t="s">
        <v>31</v>
      </c>
      <c r="L75">
        <v>38.700000000000003</v>
      </c>
      <c r="M75">
        <v>1</v>
      </c>
      <c r="N75">
        <v>1.5279315446562396</v>
      </c>
      <c r="O75">
        <v>3.2630763305462525</v>
      </c>
      <c r="P75">
        <v>-0.11304474947304376</v>
      </c>
      <c r="Q75">
        <v>1.1567665262170677</v>
      </c>
      <c r="R75">
        <v>-0.72815674905095173</v>
      </c>
      <c r="S75" s="2">
        <v>6.4065680738186351E-5</v>
      </c>
      <c r="T75" s="2">
        <v>9.8134883997907311E-5</v>
      </c>
      <c r="U75" s="2">
        <v>2.1339766771651502E-4</v>
      </c>
      <c r="V75" s="2">
        <v>3.9989654007872898E-4</v>
      </c>
      <c r="W75" s="2">
        <v>6.8149815621537538E-4</v>
      </c>
      <c r="X75" s="2">
        <v>1.0827027091372867E-3</v>
      </c>
      <c r="Y75" s="2">
        <v>1.6255596489423349E-3</v>
      </c>
      <c r="Z75" s="2">
        <v>2.5145367679469941E-3</v>
      </c>
      <c r="AA75" s="2">
        <v>3.5394626344066441E-3</v>
      </c>
      <c r="AB75" s="2">
        <v>4.6613153115861389E-3</v>
      </c>
      <c r="AC75" s="2">
        <v>5.9088127200910131E-3</v>
      </c>
      <c r="AD75" s="2">
        <v>7.2197060989719454E-3</v>
      </c>
      <c r="AE75" s="2">
        <v>8.5130644578912465E-3</v>
      </c>
      <c r="AF75" s="2">
        <v>9.7007029353004069E-3</v>
      </c>
      <c r="AG75" s="2">
        <v>1.0703262286404469E-2</v>
      </c>
      <c r="AH75" s="2">
        <v>1.1466660855686693E-2</v>
      </c>
      <c r="AI75" s="2">
        <v>1.1973196892940375E-2</v>
      </c>
      <c r="AJ75" s="2">
        <v>8.5328184252386613E-3</v>
      </c>
      <c r="AK75" s="2">
        <v>6.8429691366543317E-4</v>
      </c>
      <c r="AL75" s="2">
        <v>5.5238028027406252E-4</v>
      </c>
      <c r="AM75" s="2">
        <v>4.1733734679189451E-4</v>
      </c>
      <c r="AN75" s="2">
        <v>2.9518086365025616E-4</v>
      </c>
      <c r="AO75" s="2">
        <v>1.9462665554600359E-4</v>
      </c>
      <c r="AP75" s="2">
        <v>1.1867877692825172E-4</v>
      </c>
      <c r="AQ75" s="2">
        <v>6.2411604976775933E-5</v>
      </c>
      <c r="AR75" s="2">
        <v>9.1223707115123606E-2</v>
      </c>
    </row>
    <row r="76" spans="1:44" x14ac:dyDescent="0.25">
      <c r="A76" t="s">
        <v>250</v>
      </c>
      <c r="B76" t="s">
        <v>257</v>
      </c>
      <c r="C76" t="s">
        <v>43</v>
      </c>
      <c r="D76" t="s">
        <v>258</v>
      </c>
      <c r="E76" t="s">
        <v>145</v>
      </c>
      <c r="F76" t="s">
        <v>258</v>
      </c>
      <c r="G76" t="s">
        <v>31</v>
      </c>
      <c r="H76" t="s">
        <v>253</v>
      </c>
      <c r="I76" t="s">
        <v>135</v>
      </c>
      <c r="J76" t="s">
        <v>40</v>
      </c>
      <c r="K76" t="s">
        <v>31</v>
      </c>
      <c r="L76">
        <v>38.700000000000003</v>
      </c>
      <c r="M76">
        <v>1</v>
      </c>
      <c r="N76">
        <v>1.5279315446562396</v>
      </c>
      <c r="O76">
        <v>2.0803135952388567</v>
      </c>
      <c r="P76">
        <v>-0.11304474947304376</v>
      </c>
      <c r="Q76">
        <v>0.4672931329656026</v>
      </c>
      <c r="R76">
        <v>-0.58515674905095172</v>
      </c>
      <c r="S76" s="2">
        <v>3.36998796057593E-5</v>
      </c>
      <c r="T76" s="2">
        <v>5.1620988612759937E-5</v>
      </c>
      <c r="U76" s="2">
        <v>1.1225160846390419E-4</v>
      </c>
      <c r="V76" s="2">
        <v>2.1035389150840969E-4</v>
      </c>
      <c r="W76" s="2">
        <v>3.5848219438829683E-4</v>
      </c>
      <c r="X76" s="2">
        <v>5.6952412783788531E-4</v>
      </c>
      <c r="Y76" s="2">
        <v>8.5507816088317506E-4</v>
      </c>
      <c r="Z76" s="2">
        <v>1.3226986019296253E-3</v>
      </c>
      <c r="AA76" s="2">
        <v>1.8618309096884536E-3</v>
      </c>
      <c r="AB76" s="2">
        <v>2.4519487344072514E-3</v>
      </c>
      <c r="AC76" s="2">
        <v>3.1081582991961745E-3</v>
      </c>
      <c r="AD76" s="2">
        <v>3.7977154620211502E-3</v>
      </c>
      <c r="AE76" s="2">
        <v>4.4780488398994444E-3</v>
      </c>
      <c r="AF76" s="2">
        <v>5.1027713628273913E-3</v>
      </c>
      <c r="AG76" s="2">
        <v>5.6301384186447862E-3</v>
      </c>
      <c r="AH76" s="2">
        <v>6.0317019325197884E-3</v>
      </c>
      <c r="AI76" s="2">
        <v>6.2981504159314878E-3</v>
      </c>
      <c r="AJ76" s="2">
        <v>4.4884398372895375E-3</v>
      </c>
      <c r="AK76" s="2">
        <v>3.599543989762417E-4</v>
      </c>
      <c r="AL76" s="2">
        <v>2.9056350806455725E-4</v>
      </c>
      <c r="AM76" s="2">
        <v>2.1952811832827296E-4</v>
      </c>
      <c r="AN76" s="2">
        <v>1.5527126930235468E-4</v>
      </c>
      <c r="AO76" s="2">
        <v>1.0237766592656378E-4</v>
      </c>
      <c r="AP76" s="2">
        <v>6.2427503277226226E-5</v>
      </c>
      <c r="AQ76" s="2">
        <v>3.2829801377040282E-5</v>
      </c>
      <c r="AR76" s="2">
        <v>4.7985565930907539E-2</v>
      </c>
    </row>
    <row r="77" spans="1:44" x14ac:dyDescent="0.25">
      <c r="A77" t="s">
        <v>250</v>
      </c>
      <c r="B77" t="s">
        <v>257</v>
      </c>
      <c r="C77" t="s">
        <v>43</v>
      </c>
      <c r="D77" t="s">
        <v>258</v>
      </c>
      <c r="E77" t="s">
        <v>145</v>
      </c>
      <c r="F77" t="s">
        <v>258</v>
      </c>
      <c r="G77" t="s">
        <v>31</v>
      </c>
      <c r="H77" t="s">
        <v>253</v>
      </c>
      <c r="I77" t="s">
        <v>256</v>
      </c>
      <c r="J77" t="s">
        <v>39</v>
      </c>
      <c r="K77" t="s">
        <v>31</v>
      </c>
      <c r="L77">
        <v>38.700000000000003</v>
      </c>
      <c r="M77">
        <v>1</v>
      </c>
      <c r="N77">
        <v>1.3149191963199545</v>
      </c>
      <c r="O77">
        <v>2.8081635732298982</v>
      </c>
      <c r="P77">
        <v>0.13336080475326101</v>
      </c>
      <c r="Q77">
        <v>0.4672931329656026</v>
      </c>
      <c r="R77">
        <v>-0.48175119482464696</v>
      </c>
      <c r="S77" s="2">
        <v>3.3606351922210099E-5</v>
      </c>
      <c r="T77" s="2">
        <v>5.1477724258585616E-5</v>
      </c>
      <c r="U77" s="2">
        <v>1.1194007521698701E-4</v>
      </c>
      <c r="V77" s="2">
        <v>2.0977009380858112E-4</v>
      </c>
      <c r="W77" s="2">
        <v>3.5748729441752544E-4</v>
      </c>
      <c r="X77" s="2">
        <v>5.6794352063616266E-4</v>
      </c>
      <c r="Y77" s="2">
        <v>8.527050521190937E-4</v>
      </c>
      <c r="Z77" s="2">
        <v>1.3190277004985383E-3</v>
      </c>
      <c r="AA77" s="2">
        <v>1.8566637478415694E-3</v>
      </c>
      <c r="AB77" s="2">
        <v>2.4451438114225631E-3</v>
      </c>
      <c r="AC77" s="2">
        <v>3.0995321898679229E-3</v>
      </c>
      <c r="AD77" s="2">
        <v>3.7871756163570967E-3</v>
      </c>
      <c r="AE77" s="2">
        <v>4.4656208567815372E-3</v>
      </c>
      <c r="AF77" s="2">
        <v>5.0886095797341097E-3</v>
      </c>
      <c r="AG77" s="2">
        <v>5.6145130273817468E-3</v>
      </c>
      <c r="AH77" s="2">
        <v>6.0149620771788427E-3</v>
      </c>
      <c r="AI77" s="2">
        <v>6.2806710828911981E-3</v>
      </c>
      <c r="AJ77" s="2">
        <v>4.4759830159108449E-3</v>
      </c>
      <c r="AK77" s="2">
        <v>3.5895541317826596E-4</v>
      </c>
      <c r="AL77" s="2">
        <v>2.8975710364558042E-4</v>
      </c>
      <c r="AM77" s="2">
        <v>2.1891885928576694E-4</v>
      </c>
      <c r="AN77" s="2">
        <v>1.5484034307028936E-4</v>
      </c>
      <c r="AO77" s="2">
        <v>1.020935359518195E-4</v>
      </c>
      <c r="AP77" s="2">
        <v>6.2254247472172939E-5</v>
      </c>
      <c r="AQ77" s="2">
        <v>3.2738688432124977E-5</v>
      </c>
      <c r="AR77" s="2">
        <v>4.7852391009281132E-2</v>
      </c>
    </row>
    <row r="78" spans="1:44" x14ac:dyDescent="0.25">
      <c r="A78" t="s">
        <v>250</v>
      </c>
      <c r="B78" t="s">
        <v>257</v>
      </c>
      <c r="C78" t="s">
        <v>43</v>
      </c>
      <c r="D78" t="s">
        <v>258</v>
      </c>
      <c r="E78" t="s">
        <v>145</v>
      </c>
      <c r="F78" t="s">
        <v>258</v>
      </c>
      <c r="G78" t="s">
        <v>31</v>
      </c>
      <c r="H78" t="s">
        <v>252</v>
      </c>
      <c r="I78" t="s">
        <v>135</v>
      </c>
      <c r="J78" t="s">
        <v>39</v>
      </c>
      <c r="K78" t="s">
        <v>31</v>
      </c>
      <c r="L78">
        <v>38.700000000000003</v>
      </c>
      <c r="M78">
        <v>1</v>
      </c>
      <c r="N78">
        <v>1.5279315446562396</v>
      </c>
      <c r="O78">
        <v>3.2630763305462525</v>
      </c>
      <c r="P78">
        <v>-0.11304474947304376</v>
      </c>
      <c r="Q78">
        <v>1.1567665262170677</v>
      </c>
      <c r="R78">
        <v>-0.72815674905095173</v>
      </c>
      <c r="S78" s="2">
        <v>1.8082224523297149E-3</v>
      </c>
      <c r="T78" s="2">
        <v>2.7709215082422477E-3</v>
      </c>
      <c r="U78" s="2">
        <v>6.0278838696105636E-3</v>
      </c>
      <c r="V78" s="2">
        <v>1.1300489413795835E-2</v>
      </c>
      <c r="W78" s="2">
        <v>1.926587283166712E-2</v>
      </c>
      <c r="X78" s="2">
        <v>3.0620171974717308E-2</v>
      </c>
      <c r="Y78" s="2">
        <v>4.5991302616007708E-2</v>
      </c>
      <c r="Z78" s="2">
        <v>7.1156326911372345E-2</v>
      </c>
      <c r="AA78" s="2">
        <v>9.9930750102987118E-2</v>
      </c>
      <c r="AB78" s="2">
        <v>0.13165644038641747</v>
      </c>
      <c r="AC78" s="2">
        <v>0.16695990791275955</v>
      </c>
      <c r="AD78" s="2">
        <v>0.2040886985731121</v>
      </c>
      <c r="AE78" s="2">
        <v>0.24076027344895168</v>
      </c>
      <c r="AF78" s="2">
        <v>0.27448367504127064</v>
      </c>
      <c r="AG78" s="2">
        <v>0.30301313935393703</v>
      </c>
      <c r="AH78" s="2">
        <v>0.32481316569090934</v>
      </c>
      <c r="AI78" s="2">
        <v>0.33937348487975472</v>
      </c>
      <c r="AJ78" s="2">
        <v>0.25228187758896337</v>
      </c>
      <c r="AK78" s="2">
        <v>1.8884281317428406E-2</v>
      </c>
      <c r="AL78" s="2">
        <v>1.5249179436508527E-2</v>
      </c>
      <c r="AM78" s="2">
        <v>1.1525138241288249E-2</v>
      </c>
      <c r="AN78" s="2">
        <v>8.1544719163010662E-3</v>
      </c>
      <c r="AO78" s="2">
        <v>5.3784469329430764E-3</v>
      </c>
      <c r="AP78" s="2">
        <v>3.2807470193155692E-3</v>
      </c>
      <c r="AQ78" s="2">
        <v>1.7258710456561355E-3</v>
      </c>
      <c r="AR78" s="2">
        <v>2.5905007404662466</v>
      </c>
    </row>
    <row r="79" spans="1:44" x14ac:dyDescent="0.25">
      <c r="A79" t="s">
        <v>250</v>
      </c>
      <c r="B79" t="s">
        <v>257</v>
      </c>
      <c r="C79" t="s">
        <v>43</v>
      </c>
      <c r="D79" t="s">
        <v>258</v>
      </c>
      <c r="E79" t="s">
        <v>145</v>
      </c>
      <c r="F79" t="s">
        <v>258</v>
      </c>
      <c r="G79" t="s">
        <v>31</v>
      </c>
      <c r="H79" t="s">
        <v>255</v>
      </c>
      <c r="I79" t="s">
        <v>135</v>
      </c>
      <c r="J79" t="s">
        <v>39</v>
      </c>
      <c r="K79" t="s">
        <v>31</v>
      </c>
      <c r="L79">
        <v>38.700000000000003</v>
      </c>
      <c r="M79">
        <v>1</v>
      </c>
      <c r="N79">
        <v>1.5279315446562396</v>
      </c>
      <c r="O79">
        <v>3.2630763305462525</v>
      </c>
      <c r="P79">
        <v>-0.11304474947304376</v>
      </c>
      <c r="Q79">
        <v>1.1567665262170677</v>
      </c>
      <c r="R79">
        <v>-0.72815674905095173</v>
      </c>
      <c r="S79" s="2">
        <v>1.0695765701356916E-4</v>
      </c>
      <c r="T79" s="2">
        <v>1.6303009109461361E-4</v>
      </c>
      <c r="U79" s="2">
        <v>3.5277024643595392E-4</v>
      </c>
      <c r="V79" s="2">
        <v>6.5782117421193888E-4</v>
      </c>
      <c r="W79" s="2">
        <v>1.1155339942625876E-3</v>
      </c>
      <c r="X79" s="2">
        <v>1.7635398175504581E-3</v>
      </c>
      <c r="Y79" s="2">
        <v>2.6347346236686325E-3</v>
      </c>
      <c r="Z79" s="2">
        <v>4.0662627107226207E-3</v>
      </c>
      <c r="AA79" s="2">
        <v>5.8904259570929278E-3</v>
      </c>
      <c r="AB79" s="2">
        <v>7.7198408733790847E-3</v>
      </c>
      <c r="AC79" s="2">
        <v>9.7366893410969716E-3</v>
      </c>
      <c r="AD79" s="2">
        <v>1.1833976440495338E-2</v>
      </c>
      <c r="AE79" s="2">
        <v>1.3875558682948238E-2</v>
      </c>
      <c r="AF79" s="2">
        <v>1.5715846857651396E-2</v>
      </c>
      <c r="AG79" s="2">
        <v>1.7226779130224655E-2</v>
      </c>
      <c r="AH79" s="2">
        <v>1.8324730723054006E-2</v>
      </c>
      <c r="AI79" s="2">
        <v>1.8987859472156695E-2</v>
      </c>
      <c r="AJ79" s="2">
        <v>6.6481544286599642E-3</v>
      </c>
      <c r="AK79" s="2">
        <v>1.437217803416629E-3</v>
      </c>
      <c r="AL79" s="2">
        <v>1.1551759249789192E-3</v>
      </c>
      <c r="AM79" s="2">
        <v>8.6906669526775281E-4</v>
      </c>
      <c r="AN79" s="2">
        <v>6.1211615302036765E-4</v>
      </c>
      <c r="AO79" s="2">
        <v>4.0193107505919596E-4</v>
      </c>
      <c r="AP79" s="2">
        <v>2.4408985557134949E-4</v>
      </c>
      <c r="AQ79" s="2">
        <v>1.278477640399482E-4</v>
      </c>
      <c r="AR79" s="2">
        <v>0.14166795749307382</v>
      </c>
    </row>
    <row r="80" spans="1:44" x14ac:dyDescent="0.25">
      <c r="A80" t="s">
        <v>250</v>
      </c>
      <c r="B80" t="s">
        <v>257</v>
      </c>
      <c r="C80" t="s">
        <v>43</v>
      </c>
      <c r="D80" t="s">
        <v>258</v>
      </c>
      <c r="E80" t="s">
        <v>148</v>
      </c>
      <c r="F80" t="s">
        <v>258</v>
      </c>
      <c r="G80" t="s">
        <v>31</v>
      </c>
      <c r="H80" t="s">
        <v>254</v>
      </c>
      <c r="I80" t="s">
        <v>135</v>
      </c>
      <c r="J80" t="s">
        <v>39</v>
      </c>
      <c r="K80" t="s">
        <v>31</v>
      </c>
      <c r="L80">
        <v>38.700000000000003</v>
      </c>
      <c r="M80">
        <v>1</v>
      </c>
      <c r="N80">
        <v>1.5279315446562396</v>
      </c>
      <c r="O80">
        <v>3.2630763305462525</v>
      </c>
      <c r="P80">
        <v>-0.11304474947304376</v>
      </c>
      <c r="Q80">
        <v>1.1567665262170677</v>
      </c>
      <c r="R80">
        <v>-0.72815674905095173</v>
      </c>
      <c r="S80" s="2">
        <v>3.2981657678749461E-5</v>
      </c>
      <c r="T80" s="2">
        <v>7.0796996161831495E-5</v>
      </c>
      <c r="U80" s="2">
        <v>1.5562985110257376E-4</v>
      </c>
      <c r="V80" s="2">
        <v>2.9483847021233176E-4</v>
      </c>
      <c r="W80" s="2">
        <v>5.0799070137821131E-4</v>
      </c>
      <c r="X80" s="2">
        <v>8.159734587401547E-4</v>
      </c>
      <c r="Y80" s="2">
        <v>1.238700912869127E-3</v>
      </c>
      <c r="Z80" s="2">
        <v>1.791816818301263E-3</v>
      </c>
      <c r="AA80" s="2">
        <v>2.48258445014834E-3</v>
      </c>
      <c r="AB80" s="2">
        <v>3.3055715051322999E-3</v>
      </c>
      <c r="AC80" s="2">
        <v>4.2392242834469436E-3</v>
      </c>
      <c r="AD80" s="2">
        <v>5.2447919429693315E-3</v>
      </c>
      <c r="AE80" s="2">
        <v>6.2690077326242252E-3</v>
      </c>
      <c r="AF80" s="2">
        <v>7.2511720448408378E-3</v>
      </c>
      <c r="AG80" s="2">
        <v>8.1337705821181525E-3</v>
      </c>
      <c r="AH80" s="2">
        <v>8.8739489708789133E-3</v>
      </c>
      <c r="AI80" s="2">
        <v>9.4520037023672343E-3</v>
      </c>
      <c r="AJ80" s="2">
        <v>9.9006665911953989E-3</v>
      </c>
      <c r="AK80" s="2">
        <v>1.0182908025998555E-2</v>
      </c>
      <c r="AL80" s="2">
        <v>1.0427413909780884E-2</v>
      </c>
      <c r="AM80" s="2">
        <v>1.0548911062392282E-2</v>
      </c>
      <c r="AN80" s="2">
        <v>1.06295934670029E-2</v>
      </c>
      <c r="AO80" s="2">
        <v>1.0711349441540697E-2</v>
      </c>
      <c r="AP80" s="2">
        <v>1.0794190268129918E-2</v>
      </c>
      <c r="AQ80" s="2">
        <v>1.0878127358814287E-2</v>
      </c>
      <c r="AR80" s="2">
        <v>0.14423396420582543</v>
      </c>
    </row>
    <row r="81" spans="1:44" x14ac:dyDescent="0.25">
      <c r="A81" t="s">
        <v>250</v>
      </c>
      <c r="B81" t="s">
        <v>257</v>
      </c>
      <c r="C81" t="s">
        <v>43</v>
      </c>
      <c r="D81" t="s">
        <v>258</v>
      </c>
      <c r="E81" t="s">
        <v>148</v>
      </c>
      <c r="F81" t="s">
        <v>258</v>
      </c>
      <c r="G81" t="s">
        <v>31</v>
      </c>
      <c r="H81" t="s">
        <v>253</v>
      </c>
      <c r="I81" t="s">
        <v>135</v>
      </c>
      <c r="J81" t="s">
        <v>39</v>
      </c>
      <c r="K81" t="s">
        <v>31</v>
      </c>
      <c r="L81">
        <v>38.700000000000003</v>
      </c>
      <c r="M81">
        <v>1</v>
      </c>
      <c r="N81">
        <v>1.5279315446562396</v>
      </c>
      <c r="O81">
        <v>3.2630763305462525</v>
      </c>
      <c r="P81">
        <v>-0.11304474947304376</v>
      </c>
      <c r="Q81">
        <v>1.1567665262170677</v>
      </c>
      <c r="R81">
        <v>-0.72815674905095173</v>
      </c>
      <c r="S81" s="2">
        <v>5.0862064989101574E-6</v>
      </c>
      <c r="T81" s="2">
        <v>1.0651118374807225E-5</v>
      </c>
      <c r="U81" s="2">
        <v>2.3422813737452957E-5</v>
      </c>
      <c r="V81" s="2">
        <v>4.4390927906660119E-5</v>
      </c>
      <c r="W81" s="2">
        <v>7.651170534472814E-5</v>
      </c>
      <c r="X81" s="2">
        <v>1.2294428261094335E-4</v>
      </c>
      <c r="Y81" s="2">
        <v>1.8670549247486244E-4</v>
      </c>
      <c r="Z81" s="2">
        <v>2.7017224440941773E-4</v>
      </c>
      <c r="AA81" s="2">
        <v>3.7446031560912408E-4</v>
      </c>
      <c r="AB81" s="2">
        <v>4.9877093604131688E-4</v>
      </c>
      <c r="AC81" s="2">
        <v>6.398703216850001E-4</v>
      </c>
      <c r="AD81" s="2">
        <v>7.9192310197234088E-4</v>
      </c>
      <c r="AE81" s="2">
        <v>9.4689303153335164E-4</v>
      </c>
      <c r="AF81" s="2">
        <v>1.0956097618135549E-3</v>
      </c>
      <c r="AG81" s="2">
        <v>1.2293721809815852E-3</v>
      </c>
      <c r="AH81" s="2">
        <v>1.3416844566901793E-3</v>
      </c>
      <c r="AI81" s="2">
        <v>1.4295441504276756E-3</v>
      </c>
      <c r="AJ81" s="2">
        <v>1.4978785194426196E-3</v>
      </c>
      <c r="AK81" s="2">
        <v>1.5410640694208829E-3</v>
      </c>
      <c r="AL81" s="2">
        <v>1.5785577066009741E-3</v>
      </c>
      <c r="AM81" s="2">
        <v>1.5974406332619415E-3</v>
      </c>
      <c r="AN81" s="2">
        <v>1.6101460794600113E-3</v>
      </c>
      <c r="AO81" s="2">
        <v>1.6230153643966752E-3</v>
      </c>
      <c r="AP81" s="2">
        <v>1.636050237851611E-3</v>
      </c>
      <c r="AQ81" s="2">
        <v>1.6492524695862682E-3</v>
      </c>
      <c r="AR81" s="2">
        <v>2.1821418128132895E-2</v>
      </c>
    </row>
    <row r="82" spans="1:44" x14ac:dyDescent="0.25">
      <c r="A82" t="s">
        <v>250</v>
      </c>
      <c r="B82" t="s">
        <v>257</v>
      </c>
      <c r="C82" t="s">
        <v>43</v>
      </c>
      <c r="D82" t="s">
        <v>258</v>
      </c>
      <c r="E82" t="s">
        <v>148</v>
      </c>
      <c r="F82" t="s">
        <v>258</v>
      </c>
      <c r="G82" t="s">
        <v>31</v>
      </c>
      <c r="H82" t="s">
        <v>253</v>
      </c>
      <c r="I82" t="s">
        <v>135</v>
      </c>
      <c r="J82" t="s">
        <v>40</v>
      </c>
      <c r="K82" t="s">
        <v>31</v>
      </c>
      <c r="L82">
        <v>38.700000000000003</v>
      </c>
      <c r="M82">
        <v>1</v>
      </c>
      <c r="N82">
        <v>1.5279315446562396</v>
      </c>
      <c r="O82">
        <v>2.0803135952388567</v>
      </c>
      <c r="P82">
        <v>-0.11304474947304376</v>
      </c>
      <c r="Q82">
        <v>0.4672931329656026</v>
      </c>
      <c r="R82">
        <v>-0.58515674905095172</v>
      </c>
      <c r="S82" s="2">
        <v>2.6754503298540169E-6</v>
      </c>
      <c r="T82" s="2">
        <v>5.6027096373885474E-6</v>
      </c>
      <c r="U82" s="2">
        <v>1.2320886844331772E-5</v>
      </c>
      <c r="V82" s="2">
        <v>2.3350550697430208E-5</v>
      </c>
      <c r="W82" s="2">
        <v>4.0246747226269833E-5</v>
      </c>
      <c r="X82" s="2">
        <v>6.4671247920350026E-5</v>
      </c>
      <c r="Y82" s="2">
        <v>9.8210969518139826E-5</v>
      </c>
      <c r="Z82" s="2">
        <v>1.4211621580394979E-4</v>
      </c>
      <c r="AA82" s="2">
        <v>1.9697390877235102E-4</v>
      </c>
      <c r="AB82" s="2">
        <v>2.6236387878457039E-4</v>
      </c>
      <c r="AC82" s="2">
        <v>3.3658508823476572E-4</v>
      </c>
      <c r="AD82" s="2">
        <v>4.1656801092226572E-4</v>
      </c>
      <c r="AE82" s="2">
        <v>4.9808541475757887E-4</v>
      </c>
      <c r="AF82" s="2">
        <v>5.7631350580505578E-4</v>
      </c>
      <c r="AG82" s="2">
        <v>6.4667531839796217E-4</v>
      </c>
      <c r="AH82" s="2">
        <v>7.0575390971265584E-4</v>
      </c>
      <c r="AI82" s="2">
        <v>7.5196993468946711E-4</v>
      </c>
      <c r="AJ82" s="2">
        <v>7.8791523304896547E-4</v>
      </c>
      <c r="AK82" s="2">
        <v>8.1063172990356372E-4</v>
      </c>
      <c r="AL82" s="2">
        <v>8.3035416232591318E-4</v>
      </c>
      <c r="AM82" s="2">
        <v>8.4028697421126091E-4</v>
      </c>
      <c r="AN82" s="2">
        <v>8.4697030298071544E-4</v>
      </c>
      <c r="AO82" s="2">
        <v>8.5373981433188996E-4</v>
      </c>
      <c r="AP82" s="2">
        <v>8.6059642868525996E-4</v>
      </c>
      <c r="AQ82" s="2">
        <v>8.67541076972123E-4</v>
      </c>
      <c r="AR82" s="2">
        <v>1.1478519470514079E-2</v>
      </c>
    </row>
    <row r="83" spans="1:44" x14ac:dyDescent="0.25">
      <c r="A83" t="s">
        <v>250</v>
      </c>
      <c r="B83" t="s">
        <v>257</v>
      </c>
      <c r="C83" t="s">
        <v>43</v>
      </c>
      <c r="D83" t="s">
        <v>258</v>
      </c>
      <c r="E83" t="s">
        <v>148</v>
      </c>
      <c r="F83" t="s">
        <v>258</v>
      </c>
      <c r="G83" t="s">
        <v>31</v>
      </c>
      <c r="H83" t="s">
        <v>253</v>
      </c>
      <c r="I83" t="s">
        <v>256</v>
      </c>
      <c r="J83" t="s">
        <v>39</v>
      </c>
      <c r="K83" t="s">
        <v>31</v>
      </c>
      <c r="L83">
        <v>38.700000000000003</v>
      </c>
      <c r="M83">
        <v>1</v>
      </c>
      <c r="N83">
        <v>1.3149191963199545</v>
      </c>
      <c r="O83">
        <v>2.8081635732298982</v>
      </c>
      <c r="P83">
        <v>0.13336080475326101</v>
      </c>
      <c r="Q83">
        <v>0.4672931329656026</v>
      </c>
      <c r="R83">
        <v>-0.48175119482464696</v>
      </c>
      <c r="S83" s="2">
        <v>2.6680251201877069E-6</v>
      </c>
      <c r="T83" s="2">
        <v>5.587160369553958E-6</v>
      </c>
      <c r="U83" s="2">
        <v>1.2286692538022652E-5</v>
      </c>
      <c r="V83" s="2">
        <v>2.3285745631599461E-5</v>
      </c>
      <c r="W83" s="2">
        <v>4.0135049941813557E-5</v>
      </c>
      <c r="X83" s="2">
        <v>6.4491765023646323E-5</v>
      </c>
      <c r="Y83" s="2">
        <v>9.793840342634334E-5</v>
      </c>
      <c r="Z83" s="2">
        <v>1.4172179895099898E-4</v>
      </c>
      <c r="AA83" s="2">
        <v>1.9642724470047445E-4</v>
      </c>
      <c r="AB83" s="2">
        <v>2.6163573713786857E-4</v>
      </c>
      <c r="AC83" s="2">
        <v>3.3565095956760306E-4</v>
      </c>
      <c r="AD83" s="2">
        <v>4.1541190468218124E-4</v>
      </c>
      <c r="AE83" s="2">
        <v>4.9670307228049401E-4</v>
      </c>
      <c r="AF83" s="2">
        <v>5.7471405596052586E-4</v>
      </c>
      <c r="AG83" s="2">
        <v>6.4488059256375622E-4</v>
      </c>
      <c r="AH83" s="2">
        <v>7.0379522234927962E-4</v>
      </c>
      <c r="AI83" s="2">
        <v>7.4988298343287236E-4</v>
      </c>
      <c r="AJ83" s="2">
        <v>7.8572852237099799E-4</v>
      </c>
      <c r="AK83" s="2">
        <v>8.0838197385706481E-4</v>
      </c>
      <c r="AL83" s="2">
        <v>8.2804967037412663E-4</v>
      </c>
      <c r="AM83" s="2">
        <v>8.3795491560648388E-4</v>
      </c>
      <c r="AN83" s="2">
        <v>8.4461969605276156E-4</v>
      </c>
      <c r="AO83" s="2">
        <v>8.513704198971721E-4</v>
      </c>
      <c r="AP83" s="2">
        <v>8.5820800500579575E-4</v>
      </c>
      <c r="AQ83" s="2">
        <v>8.6513337972625795E-4</v>
      </c>
      <c r="AR83" s="2">
        <v>1.1446662996567882E-2</v>
      </c>
    </row>
    <row r="84" spans="1:44" x14ac:dyDescent="0.25">
      <c r="A84" t="s">
        <v>250</v>
      </c>
      <c r="B84" t="s">
        <v>257</v>
      </c>
      <c r="C84" t="s">
        <v>43</v>
      </c>
      <c r="D84" t="s">
        <v>258</v>
      </c>
      <c r="E84" t="s">
        <v>148</v>
      </c>
      <c r="F84" t="s">
        <v>258</v>
      </c>
      <c r="G84" t="s">
        <v>31</v>
      </c>
      <c r="H84" t="s">
        <v>252</v>
      </c>
      <c r="I84" t="s">
        <v>135</v>
      </c>
      <c r="J84" t="s">
        <v>39</v>
      </c>
      <c r="K84" t="s">
        <v>31</v>
      </c>
      <c r="L84">
        <v>38.700000000000003</v>
      </c>
      <c r="M84">
        <v>1</v>
      </c>
      <c r="N84">
        <v>1.5279315446562396</v>
      </c>
      <c r="O84">
        <v>3.2630763305462525</v>
      </c>
      <c r="P84">
        <v>-0.11304474947304376</v>
      </c>
      <c r="Q84">
        <v>1.1567665262170677</v>
      </c>
      <c r="R84">
        <v>-0.72815674905095173</v>
      </c>
      <c r="S84" s="2">
        <v>1.435556866413314E-4</v>
      </c>
      <c r="T84" s="2">
        <v>2.9283520444559183E-4</v>
      </c>
      <c r="U84" s="2">
        <v>6.4422640204977728E-4</v>
      </c>
      <c r="V84" s="2">
        <v>1.2214146518090335E-3</v>
      </c>
      <c r="W84" s="2">
        <v>2.1060288055177374E-3</v>
      </c>
      <c r="X84" s="2">
        <v>3.3854029487468407E-3</v>
      </c>
      <c r="Y84" s="2">
        <v>5.1430745795669206E-3</v>
      </c>
      <c r="Z84" s="2">
        <v>7.44506090382498E-3</v>
      </c>
      <c r="AA84" s="2">
        <v>1.0322698134334783E-2</v>
      </c>
      <c r="AB84" s="2">
        <v>1.3754556399190569E-2</v>
      </c>
      <c r="AC84" s="2">
        <v>1.765198559790709E-2</v>
      </c>
      <c r="AD84" s="2">
        <v>2.1854400247562692E-2</v>
      </c>
      <c r="AE84" s="2">
        <v>2.6140219447854929E-2</v>
      </c>
      <c r="AF84" s="2">
        <v>3.0256228110115916E-2</v>
      </c>
      <c r="AG84" s="2">
        <v>3.396182530441428E-2</v>
      </c>
      <c r="AH84" s="2">
        <v>3.7077031564964731E-2</v>
      </c>
      <c r="AI84" s="2">
        <v>3.9518208999836317E-2</v>
      </c>
      <c r="AJ84" s="2">
        <v>4.1420905095747182E-2</v>
      </c>
      <c r="AK84" s="2">
        <v>4.2629006033258268E-2</v>
      </c>
      <c r="AL84" s="2">
        <v>4.3680209726637588E-2</v>
      </c>
      <c r="AM84" s="2">
        <v>4.421676361819115E-2</v>
      </c>
      <c r="AN84" s="2">
        <v>4.4582428334741832E-2</v>
      </c>
      <c r="AO84" s="2">
        <v>4.4952675454759575E-2</v>
      </c>
      <c r="AP84" s="2">
        <v>4.5327554584371654E-2</v>
      </c>
      <c r="AQ84" s="2">
        <v>4.5707115892594109E-2</v>
      </c>
      <c r="AR84" s="2">
        <v>0.60343541172908477</v>
      </c>
    </row>
    <row r="85" spans="1:44" x14ac:dyDescent="0.25">
      <c r="A85" t="s">
        <v>250</v>
      </c>
      <c r="B85" t="s">
        <v>257</v>
      </c>
      <c r="C85" t="s">
        <v>43</v>
      </c>
      <c r="D85" t="s">
        <v>258</v>
      </c>
      <c r="E85" t="s">
        <v>148</v>
      </c>
      <c r="F85" t="s">
        <v>258</v>
      </c>
      <c r="G85" t="s">
        <v>31</v>
      </c>
      <c r="H85" t="s">
        <v>255</v>
      </c>
      <c r="I85" t="s">
        <v>135</v>
      </c>
      <c r="J85" t="s">
        <v>39</v>
      </c>
      <c r="K85" t="s">
        <v>31</v>
      </c>
      <c r="L85">
        <v>38.700000000000003</v>
      </c>
      <c r="M85">
        <v>1</v>
      </c>
      <c r="N85">
        <v>1.5279315446562396</v>
      </c>
      <c r="O85">
        <v>3.2630763305462525</v>
      </c>
      <c r="P85">
        <v>-0.11304474947304376</v>
      </c>
      <c r="Q85">
        <v>1.1567665262170677</v>
      </c>
      <c r="R85">
        <v>-0.72815674905095173</v>
      </c>
      <c r="S85" s="2">
        <v>8.4914219897824735E-6</v>
      </c>
      <c r="T85" s="2">
        <v>2.3424759202727711E-5</v>
      </c>
      <c r="U85" s="2">
        <v>5.126378200691273E-5</v>
      </c>
      <c r="V85" s="2">
        <v>9.6689975742607896E-5</v>
      </c>
      <c r="W85" s="2">
        <v>1.6586501127959427E-4</v>
      </c>
      <c r="X85" s="2">
        <v>2.652766067730179E-4</v>
      </c>
      <c r="Y85" s="2">
        <v>4.0099179163868392E-4</v>
      </c>
      <c r="Z85" s="2">
        <v>5.7760501086600332E-4</v>
      </c>
      <c r="AA85" s="2">
        <v>7.9695153678157324E-4</v>
      </c>
      <c r="AB85" s="2">
        <v>1.0567863449069315E-3</v>
      </c>
      <c r="AC85" s="2">
        <v>1.3497769089751577E-3</v>
      </c>
      <c r="AD85" s="2">
        <v>1.6632633559531785E-3</v>
      </c>
      <c r="AE85" s="2">
        <v>1.9802083322288974E-3</v>
      </c>
      <c r="AF85" s="2">
        <v>2.2815067051192763E-3</v>
      </c>
      <c r="AG85" s="2">
        <v>2.5493474094049869E-3</v>
      </c>
      <c r="AH85" s="2">
        <v>2.7707647472790891E-3</v>
      </c>
      <c r="AI85" s="2">
        <v>2.940182181197501E-3</v>
      </c>
      <c r="AJ85" s="2">
        <v>3.0683463369587513E-3</v>
      </c>
      <c r="AK85" s="2">
        <v>3.1442946702366554E-3</v>
      </c>
      <c r="AL85" s="2">
        <v>3.2081992205994208E-3</v>
      </c>
      <c r="AM85" s="2">
        <v>3.2340549306449596E-3</v>
      </c>
      <c r="AN85" s="2">
        <v>3.2473801293111345E-3</v>
      </c>
      <c r="AO85" s="2">
        <v>3.2610612434773967E-3</v>
      </c>
      <c r="AP85" s="2">
        <v>3.2751004061486069E-3</v>
      </c>
      <c r="AQ85" s="2">
        <v>3.289499790974986E-3</v>
      </c>
      <c r="AR85" s="2">
        <v>4.4706332609697821E-2</v>
      </c>
    </row>
    <row r="86" spans="1:44" x14ac:dyDescent="0.25">
      <c r="A86" t="s">
        <v>250</v>
      </c>
      <c r="B86" t="s">
        <v>291</v>
      </c>
      <c r="C86" t="s">
        <v>44</v>
      </c>
      <c r="D86" t="s">
        <v>292</v>
      </c>
      <c r="E86" t="s">
        <v>145</v>
      </c>
      <c r="F86" t="s">
        <v>292</v>
      </c>
      <c r="G86" t="s">
        <v>31</v>
      </c>
      <c r="H86" t="s">
        <v>254</v>
      </c>
      <c r="I86" t="s">
        <v>135</v>
      </c>
      <c r="J86" t="s">
        <v>39</v>
      </c>
      <c r="K86" t="s">
        <v>31</v>
      </c>
      <c r="L86">
        <v>2.370000000000001</v>
      </c>
      <c r="M86">
        <v>1</v>
      </c>
      <c r="N86">
        <v>2.729832824165364</v>
      </c>
      <c r="O86">
        <v>5.3797577395665286</v>
      </c>
      <c r="P86">
        <v>-1.3196045040170097</v>
      </c>
      <c r="Q86">
        <v>1.0674536938902881</v>
      </c>
      <c r="R86">
        <v>-1.8454036712681361</v>
      </c>
      <c r="S86" s="2">
        <v>0</v>
      </c>
      <c r="T86" s="2">
        <v>0</v>
      </c>
      <c r="U86" s="2">
        <v>3.7821063830695105E-2</v>
      </c>
      <c r="V86" s="2">
        <v>7.0847261400767927E-2</v>
      </c>
      <c r="W86" s="2">
        <v>0.12069004648528603</v>
      </c>
      <c r="X86" s="2">
        <v>0.19166699836728937</v>
      </c>
      <c r="Y86" s="2">
        <v>0.28765529793309053</v>
      </c>
      <c r="Z86" s="2">
        <v>0.41135168741027039</v>
      </c>
      <c r="AA86" s="2">
        <v>0.56339988879618497</v>
      </c>
      <c r="AB86" s="2">
        <v>0.74153521998934824</v>
      </c>
      <c r="AC86" s="2">
        <v>0.93999106423660461</v>
      </c>
      <c r="AD86" s="2">
        <v>1.1494695120843388</v>
      </c>
      <c r="AE86" s="2">
        <v>1.3579374670573401</v>
      </c>
      <c r="AF86" s="2">
        <v>1.5523191564406942</v>
      </c>
      <c r="AG86" s="2">
        <v>1.7208253390826476</v>
      </c>
      <c r="AH86" s="2">
        <v>1.8553004435016052</v>
      </c>
      <c r="AI86" s="2">
        <v>1.9527839233084152</v>
      </c>
      <c r="AJ86" s="2">
        <v>2.5339426829796432</v>
      </c>
      <c r="AK86" s="2">
        <v>2.5731067686317517</v>
      </c>
      <c r="AL86" s="2">
        <v>2.5970453119298544</v>
      </c>
      <c r="AM86" s="2">
        <v>2.5838679081712641</v>
      </c>
      <c r="AN86" s="2">
        <v>2.5536303573552335</v>
      </c>
      <c r="AO86" s="2">
        <v>2.5158459901509356</v>
      </c>
      <c r="AP86" s="2">
        <v>2.4700894510802209</v>
      </c>
      <c r="AQ86" s="2">
        <v>0.37650762178363761</v>
      </c>
      <c r="AR86" s="2">
        <v>31.157630462007116</v>
      </c>
    </row>
    <row r="87" spans="1:44" x14ac:dyDescent="0.25">
      <c r="A87" t="s">
        <v>250</v>
      </c>
      <c r="B87" t="s">
        <v>291</v>
      </c>
      <c r="C87" t="s">
        <v>44</v>
      </c>
      <c r="D87" t="s">
        <v>292</v>
      </c>
      <c r="E87" t="s">
        <v>145</v>
      </c>
      <c r="F87" t="s">
        <v>292</v>
      </c>
      <c r="G87" t="s">
        <v>31</v>
      </c>
      <c r="H87" t="s">
        <v>272</v>
      </c>
      <c r="I87" t="s">
        <v>135</v>
      </c>
      <c r="J87" t="s">
        <v>39</v>
      </c>
      <c r="K87" t="s">
        <v>31</v>
      </c>
      <c r="L87">
        <v>2.370000000000001</v>
      </c>
      <c r="M87">
        <v>1</v>
      </c>
      <c r="N87">
        <v>2.729832824165364</v>
      </c>
      <c r="O87">
        <v>5.3797577395665286</v>
      </c>
      <c r="P87">
        <v>-1.3196045040170097</v>
      </c>
      <c r="Q87">
        <v>1.0674536938902881</v>
      </c>
      <c r="R87">
        <v>-1.8454036712681361</v>
      </c>
      <c r="S87" s="2">
        <v>0</v>
      </c>
      <c r="T87" s="2">
        <v>0</v>
      </c>
      <c r="U87" s="2">
        <v>4.6171659800623301E-2</v>
      </c>
      <c r="V87" s="2">
        <v>8.6479937907189108E-2</v>
      </c>
      <c r="W87" s="2">
        <v>0.14730392252613053</v>
      </c>
      <c r="X87" s="2">
        <v>0.23390567246698332</v>
      </c>
      <c r="Y87" s="2">
        <v>0.35100745858192356</v>
      </c>
      <c r="Z87" s="2">
        <v>0.50188914909769855</v>
      </c>
      <c r="AA87" s="2">
        <v>0.68732451669155759</v>
      </c>
      <c r="AB87" s="2">
        <v>0.90453925051485196</v>
      </c>
      <c r="AC87" s="2">
        <v>1.1464890579119169</v>
      </c>
      <c r="AD87" s="2">
        <v>1.4018262919684896</v>
      </c>
      <c r="AE87" s="2">
        <v>1.6558731757257248</v>
      </c>
      <c r="AF87" s="2">
        <v>1.8926873171892</v>
      </c>
      <c r="AG87" s="2">
        <v>2.0979020276703579</v>
      </c>
      <c r="AH87" s="2">
        <v>2.2615865570552836</v>
      </c>
      <c r="AI87" s="2">
        <v>2.3801466254501515</v>
      </c>
      <c r="AJ87" s="2">
        <v>3.093762222761407</v>
      </c>
      <c r="AK87" s="2">
        <v>3.1412054685298547</v>
      </c>
      <c r="AL87" s="2">
        <v>3.1700156447614849</v>
      </c>
      <c r="AM87" s="2">
        <v>3.1534709262780662</v>
      </c>
      <c r="AN87" s="2">
        <v>3.1160524379442212</v>
      </c>
      <c r="AO87" s="2">
        <v>3.0693672056409467</v>
      </c>
      <c r="AP87" s="2">
        <v>3.0128953226654782</v>
      </c>
      <c r="AQ87" s="2">
        <v>0.46263594195780761</v>
      </c>
      <c r="AR87" s="2">
        <v>38.014537791097347</v>
      </c>
    </row>
    <row r="88" spans="1:44" x14ac:dyDescent="0.25">
      <c r="A88" t="s">
        <v>250</v>
      </c>
      <c r="B88" t="s">
        <v>291</v>
      </c>
      <c r="C88" t="s">
        <v>44</v>
      </c>
      <c r="D88" t="s">
        <v>292</v>
      </c>
      <c r="E88" t="s">
        <v>145</v>
      </c>
      <c r="F88" t="s">
        <v>292</v>
      </c>
      <c r="G88" t="s">
        <v>31</v>
      </c>
      <c r="H88" t="s">
        <v>272</v>
      </c>
      <c r="I88" t="s">
        <v>135</v>
      </c>
      <c r="J88" t="s">
        <v>40</v>
      </c>
      <c r="K88" t="s">
        <v>31</v>
      </c>
      <c r="L88">
        <v>2.370000000000001</v>
      </c>
      <c r="M88">
        <v>1</v>
      </c>
      <c r="N88">
        <v>2.729832824165364</v>
      </c>
      <c r="O88">
        <v>4.1429695267777937</v>
      </c>
      <c r="P88">
        <v>-1.3196045040170097</v>
      </c>
      <c r="Q88">
        <v>0.4672931329656026</v>
      </c>
      <c r="R88">
        <v>-1.7024036712681361</v>
      </c>
      <c r="S88" s="2">
        <v>0</v>
      </c>
      <c r="T88" s="2">
        <v>0</v>
      </c>
      <c r="U88" s="2">
        <v>4.5671085938282013E-3</v>
      </c>
      <c r="V88" s="2">
        <v>8.5542358519309879E-3</v>
      </c>
      <c r="W88" s="2">
        <v>1.4570691488648025E-2</v>
      </c>
      <c r="X88" s="2">
        <v>2.3136976480423222E-2</v>
      </c>
      <c r="Y88" s="2">
        <v>3.4720198223535774E-2</v>
      </c>
      <c r="Z88" s="2">
        <v>4.9644787644438942E-2</v>
      </c>
      <c r="AA88" s="2">
        <v>6.7987283118820241E-2</v>
      </c>
      <c r="AB88" s="2">
        <v>8.9473261353830144E-2</v>
      </c>
      <c r="AC88" s="2">
        <v>0.11340593021195282</v>
      </c>
      <c r="AD88" s="2">
        <v>0.13866282764686702</v>
      </c>
      <c r="AE88" s="2">
        <v>0.16379208899577963</v>
      </c>
      <c r="AF88" s="2">
        <v>0.1872167591351728</v>
      </c>
      <c r="AG88" s="2">
        <v>0.20751574496036537</v>
      </c>
      <c r="AH88" s="2">
        <v>0.2237067379647045</v>
      </c>
      <c r="AI88" s="2">
        <v>0.23543420692703432</v>
      </c>
      <c r="AJ88" s="2">
        <v>0.30602209441567191</v>
      </c>
      <c r="AK88" s="2">
        <v>0.31071498300585715</v>
      </c>
      <c r="AL88" s="2">
        <v>0.31356476583855797</v>
      </c>
      <c r="AM88" s="2">
        <v>0.31192823108337803</v>
      </c>
      <c r="AN88" s="2">
        <v>0.30822694981310222</v>
      </c>
      <c r="AO88" s="2">
        <v>0.3036090407628782</v>
      </c>
      <c r="AP88" s="2">
        <v>0.29802307692357594</v>
      </c>
      <c r="AQ88" s="2">
        <v>4.5762023619102636E-2</v>
      </c>
      <c r="AR88" s="2">
        <v>3.7602400040594568</v>
      </c>
    </row>
    <row r="89" spans="1:44" x14ac:dyDescent="0.25">
      <c r="A89" t="s">
        <v>250</v>
      </c>
      <c r="B89" t="s">
        <v>291</v>
      </c>
      <c r="C89" t="s">
        <v>44</v>
      </c>
      <c r="D89" t="s">
        <v>292</v>
      </c>
      <c r="E89" t="s">
        <v>145</v>
      </c>
      <c r="F89" t="s">
        <v>292</v>
      </c>
      <c r="G89" t="s">
        <v>31</v>
      </c>
      <c r="H89" t="s">
        <v>253</v>
      </c>
      <c r="I89" t="s">
        <v>135</v>
      </c>
      <c r="J89" t="s">
        <v>39</v>
      </c>
      <c r="K89" t="s">
        <v>31</v>
      </c>
      <c r="L89">
        <v>2.370000000000001</v>
      </c>
      <c r="M89">
        <v>1</v>
      </c>
      <c r="N89">
        <v>2.729832824165364</v>
      </c>
      <c r="O89">
        <v>5.3797577395665286</v>
      </c>
      <c r="P89">
        <v>-1.3196045040170097</v>
      </c>
      <c r="Q89">
        <v>1.0674536938902881</v>
      </c>
      <c r="R89">
        <v>-1.8454036712681361</v>
      </c>
      <c r="S89" s="2">
        <v>0</v>
      </c>
      <c r="T89" s="2">
        <v>0</v>
      </c>
      <c r="U89" s="2">
        <v>2.1656836578740716E-4</v>
      </c>
      <c r="V89" s="2">
        <v>4.0583826944134082E-4</v>
      </c>
      <c r="W89" s="2">
        <v>6.916239692683052E-4</v>
      </c>
      <c r="X89" s="2">
        <v>1.0987896862253957E-3</v>
      </c>
      <c r="Y89" s="2">
        <v>1.6497124848105723E-3</v>
      </c>
      <c r="Z89" s="2">
        <v>2.3600316020053395E-3</v>
      </c>
      <c r="AA89" s="2">
        <v>3.2336271565575475E-3</v>
      </c>
      <c r="AB89" s="2">
        <v>4.2576859159960418E-3</v>
      </c>
      <c r="AC89" s="2">
        <v>5.3992596630540656E-3</v>
      </c>
      <c r="AD89" s="2">
        <v>6.6050574154159101E-3</v>
      </c>
      <c r="AE89" s="2">
        <v>7.805982311342107E-3</v>
      </c>
      <c r="AF89" s="2">
        <v>8.9268340204546708E-3</v>
      </c>
      <c r="AG89" s="2">
        <v>9.8996966409633895E-3</v>
      </c>
      <c r="AH89" s="2">
        <v>1.0677461001428322E-2</v>
      </c>
      <c r="AI89" s="2">
        <v>1.1242854435587885E-2</v>
      </c>
      <c r="AJ89" s="2">
        <v>1.4504445014932633E-2</v>
      </c>
      <c r="AK89" s="2">
        <v>1.4734594788684368E-2</v>
      </c>
      <c r="AL89" s="2">
        <v>1.4878297425504557E-2</v>
      </c>
      <c r="AM89" s="2">
        <v>1.481017545059236E-2</v>
      </c>
      <c r="AN89" s="2">
        <v>1.4645119893455023E-2</v>
      </c>
      <c r="AO89" s="2">
        <v>1.4437716239580513E-2</v>
      </c>
      <c r="AP89" s="2">
        <v>1.4185540395171283E-2</v>
      </c>
      <c r="AQ89" s="2">
        <v>2.1078069026567829E-3</v>
      </c>
      <c r="AR89" s="2">
        <v>0.17877471904891581</v>
      </c>
    </row>
    <row r="90" spans="1:44" x14ac:dyDescent="0.25">
      <c r="A90" t="s">
        <v>250</v>
      </c>
      <c r="B90" t="s">
        <v>291</v>
      </c>
      <c r="C90" t="s">
        <v>44</v>
      </c>
      <c r="D90" t="s">
        <v>292</v>
      </c>
      <c r="E90" t="s">
        <v>145</v>
      </c>
      <c r="F90" t="s">
        <v>292</v>
      </c>
      <c r="G90" t="s">
        <v>31</v>
      </c>
      <c r="H90" t="s">
        <v>253</v>
      </c>
      <c r="I90" t="s">
        <v>135</v>
      </c>
      <c r="J90" t="s">
        <v>40</v>
      </c>
      <c r="K90" t="s">
        <v>31</v>
      </c>
      <c r="L90">
        <v>2.370000000000001</v>
      </c>
      <c r="M90">
        <v>1</v>
      </c>
      <c r="N90">
        <v>2.729832824165364</v>
      </c>
      <c r="O90">
        <v>4.1429695267777937</v>
      </c>
      <c r="P90">
        <v>-1.3196045040170097</v>
      </c>
      <c r="Q90">
        <v>0.4672931329656026</v>
      </c>
      <c r="R90">
        <v>-1.7024036712681361</v>
      </c>
      <c r="S90" s="2">
        <v>0</v>
      </c>
      <c r="T90" s="2">
        <v>0</v>
      </c>
      <c r="U90" s="2">
        <v>1.1391946154880225E-4</v>
      </c>
      <c r="V90" s="2">
        <v>2.1347936464570941E-4</v>
      </c>
      <c r="W90" s="2">
        <v>3.6380858250846201E-4</v>
      </c>
      <c r="X90" s="2">
        <v>5.7798621213704941E-4</v>
      </c>
      <c r="Y90" s="2">
        <v>8.6778305454103825E-4</v>
      </c>
      <c r="Z90" s="2">
        <v>1.2414256734177126E-3</v>
      </c>
      <c r="AA90" s="2">
        <v>1.7009550918726099E-3</v>
      </c>
      <c r="AB90" s="2">
        <v>2.2396312833164087E-3</v>
      </c>
      <c r="AC90" s="2">
        <v>2.8401228006729126E-3</v>
      </c>
      <c r="AD90" s="2">
        <v>3.474397479647309E-3</v>
      </c>
      <c r="AE90" s="2">
        <v>4.1061089348593842E-3</v>
      </c>
      <c r="AF90" s="2">
        <v>4.6957002295709149E-3</v>
      </c>
      <c r="AG90" s="2">
        <v>5.2074461878800025E-3</v>
      </c>
      <c r="AH90" s="2">
        <v>5.6165664064948958E-3</v>
      </c>
      <c r="AI90" s="2">
        <v>5.9139751039678778E-3</v>
      </c>
      <c r="AJ90" s="2">
        <v>7.6296395374167315E-3</v>
      </c>
      <c r="AK90" s="2">
        <v>7.7507031018300152E-3</v>
      </c>
      <c r="AL90" s="2">
        <v>7.8262936755048845E-3</v>
      </c>
      <c r="AM90" s="2">
        <v>7.7904601008577995E-3</v>
      </c>
      <c r="AN90" s="2">
        <v>7.7036374472982333E-3</v>
      </c>
      <c r="AO90" s="2">
        <v>7.5945388146944409E-3</v>
      </c>
      <c r="AP90" s="2">
        <v>7.4618890793267572E-3</v>
      </c>
      <c r="AQ90" s="2">
        <v>1.1087502393365492E-3</v>
      </c>
      <c r="AR90" s="2">
        <v>9.4039217863346514E-2</v>
      </c>
    </row>
    <row r="91" spans="1:44" x14ac:dyDescent="0.25">
      <c r="A91" t="s">
        <v>250</v>
      </c>
      <c r="B91" t="s">
        <v>291</v>
      </c>
      <c r="C91" t="s">
        <v>44</v>
      </c>
      <c r="D91" t="s">
        <v>292</v>
      </c>
      <c r="E91" t="s">
        <v>145</v>
      </c>
      <c r="F91" t="s">
        <v>292</v>
      </c>
      <c r="G91" t="s">
        <v>31</v>
      </c>
      <c r="H91" t="s">
        <v>253</v>
      </c>
      <c r="I91" t="s">
        <v>256</v>
      </c>
      <c r="J91" t="s">
        <v>39</v>
      </c>
      <c r="K91" t="s">
        <v>31</v>
      </c>
      <c r="L91">
        <v>2.370000000000001</v>
      </c>
      <c r="M91">
        <v>1</v>
      </c>
      <c r="N91">
        <v>1.3593406335231053</v>
      </c>
      <c r="O91">
        <v>2.6788905273490848</v>
      </c>
      <c r="P91">
        <v>0.14333244733186137</v>
      </c>
      <c r="Q91">
        <v>0.4672931329656026</v>
      </c>
      <c r="R91">
        <v>-0.38246671991926479</v>
      </c>
      <c r="S91" s="2">
        <v>0</v>
      </c>
      <c r="T91" s="2">
        <v>0</v>
      </c>
      <c r="U91" s="2">
        <v>1.1360329948904194E-4</v>
      </c>
      <c r="V91" s="2">
        <v>2.12886892782473E-4</v>
      </c>
      <c r="W91" s="2">
        <v>3.6279890014830545E-4</v>
      </c>
      <c r="X91" s="2">
        <v>5.763821200104024E-4</v>
      </c>
      <c r="Y91" s="2">
        <v>8.6537468573189241E-4</v>
      </c>
      <c r="Z91" s="2">
        <v>1.2379803297283118E-3</v>
      </c>
      <c r="AA91" s="2">
        <v>1.6962344106290822E-3</v>
      </c>
      <c r="AB91" s="2">
        <v>2.2334156075222099E-3</v>
      </c>
      <c r="AC91" s="2">
        <v>2.8322405735062362E-3</v>
      </c>
      <c r="AD91" s="2">
        <v>3.4647549422910308E-3</v>
      </c>
      <c r="AE91" s="2">
        <v>4.0947132010594198E-3</v>
      </c>
      <c r="AF91" s="2">
        <v>4.6826681959182426E-3</v>
      </c>
      <c r="AG91" s="2">
        <v>5.1929938994784612E-3</v>
      </c>
      <c r="AH91" s="2">
        <v>5.6009786818013623E-3</v>
      </c>
      <c r="AI91" s="2">
        <v>5.8975619773183911E-3</v>
      </c>
      <c r="AJ91" s="2">
        <v>7.6084649065101036E-3</v>
      </c>
      <c r="AK91" s="2">
        <v>7.7291924817484902E-3</v>
      </c>
      <c r="AL91" s="2">
        <v>7.8045732679898104E-3</v>
      </c>
      <c r="AM91" s="2">
        <v>7.7688391426959519E-3</v>
      </c>
      <c r="AN91" s="2">
        <v>7.6822574490971194E-3</v>
      </c>
      <c r="AO91" s="2">
        <v>7.573461599248198E-3</v>
      </c>
      <c r="AP91" s="2">
        <v>7.4411800082958062E-3</v>
      </c>
      <c r="AQ91" s="2">
        <v>1.105673111384365E-3</v>
      </c>
      <c r="AR91" s="2">
        <v>9.3778229684384706E-2</v>
      </c>
    </row>
    <row r="92" spans="1:44" x14ac:dyDescent="0.25">
      <c r="A92" t="s">
        <v>250</v>
      </c>
      <c r="B92" t="s">
        <v>291</v>
      </c>
      <c r="C92" t="s">
        <v>44</v>
      </c>
      <c r="D92" t="s">
        <v>292</v>
      </c>
      <c r="E92" t="s">
        <v>145</v>
      </c>
      <c r="F92" t="s">
        <v>292</v>
      </c>
      <c r="G92" t="s">
        <v>31</v>
      </c>
      <c r="H92" t="s">
        <v>288</v>
      </c>
      <c r="I92" t="s">
        <v>135</v>
      </c>
      <c r="J92" t="s">
        <v>39</v>
      </c>
      <c r="K92" t="s">
        <v>31</v>
      </c>
      <c r="L92">
        <v>2.370000000000001</v>
      </c>
      <c r="M92">
        <v>1</v>
      </c>
      <c r="N92">
        <v>2.729832824165364</v>
      </c>
      <c r="O92">
        <v>5.3797577395665286</v>
      </c>
      <c r="P92">
        <v>-1.3196045040170097</v>
      </c>
      <c r="Q92">
        <v>1.0674536938902881</v>
      </c>
      <c r="R92">
        <v>-1.8454036712681361</v>
      </c>
      <c r="S92" s="2">
        <v>0</v>
      </c>
      <c r="T92" s="2">
        <v>0</v>
      </c>
      <c r="U92" s="2">
        <v>4.3885446559335031E-2</v>
      </c>
      <c r="V92" s="2">
        <v>8.2329964069733488E-2</v>
      </c>
      <c r="W92" s="2">
        <v>0.14046055832816126</v>
      </c>
      <c r="X92" s="2">
        <v>0.22339752361924026</v>
      </c>
      <c r="Y92" s="2">
        <v>0.33577740420532631</v>
      </c>
      <c r="Z92" s="2">
        <v>0.48088413643201017</v>
      </c>
      <c r="AA92" s="2">
        <v>0.65961724551756207</v>
      </c>
      <c r="AB92" s="2">
        <v>0.86947100752519801</v>
      </c>
      <c r="AC92" s="2">
        <v>1.1038120333252814</v>
      </c>
      <c r="AD92" s="2">
        <v>1.3518139789682495</v>
      </c>
      <c r="AE92" s="2">
        <v>1.5993640311912256</v>
      </c>
      <c r="AF92" s="2">
        <v>1.8310350079129134</v>
      </c>
      <c r="AG92" s="2">
        <v>2.0328273746221286</v>
      </c>
      <c r="AH92" s="2">
        <v>2.1949570856835097</v>
      </c>
      <c r="AI92" s="2">
        <v>2.3137373293890415</v>
      </c>
      <c r="AJ92" s="2">
        <v>2.9366336480837152</v>
      </c>
      <c r="AK92" s="2">
        <v>2.9866725584934115</v>
      </c>
      <c r="AL92" s="2">
        <v>3.0196228052514869</v>
      </c>
      <c r="AM92" s="2">
        <v>3.0100584347103747</v>
      </c>
      <c r="AN92" s="2">
        <v>2.9812951263815051</v>
      </c>
      <c r="AO92" s="2">
        <v>2.9444623643145764</v>
      </c>
      <c r="AP92" s="2">
        <v>2.8990779680090175</v>
      </c>
      <c r="AQ92" s="2">
        <v>0.39913827268261087</v>
      </c>
      <c r="AR92" s="2">
        <v>36.440331305275613</v>
      </c>
    </row>
    <row r="93" spans="1:44" x14ac:dyDescent="0.25">
      <c r="A93" t="s">
        <v>250</v>
      </c>
      <c r="B93" t="s">
        <v>291</v>
      </c>
      <c r="C93" t="s">
        <v>44</v>
      </c>
      <c r="D93" t="s">
        <v>292</v>
      </c>
      <c r="E93" t="s">
        <v>145</v>
      </c>
      <c r="F93" t="s">
        <v>292</v>
      </c>
      <c r="G93" t="s">
        <v>31</v>
      </c>
      <c r="H93" t="s">
        <v>288</v>
      </c>
      <c r="I93" t="s">
        <v>135</v>
      </c>
      <c r="J93" t="s">
        <v>39</v>
      </c>
      <c r="K93" t="s">
        <v>33</v>
      </c>
      <c r="L93">
        <v>2.370000000000001</v>
      </c>
      <c r="M93">
        <v>1</v>
      </c>
      <c r="N93">
        <v>2.729832824165364</v>
      </c>
      <c r="O93">
        <v>5.3797577395665286</v>
      </c>
      <c r="P93">
        <v>-1.3196045040170097</v>
      </c>
      <c r="Q93">
        <v>1.0674536938902881</v>
      </c>
      <c r="R93">
        <v>-1.8454036712681361</v>
      </c>
      <c r="S93" s="2">
        <v>0</v>
      </c>
      <c r="T93" s="2">
        <v>0</v>
      </c>
      <c r="U93" s="2">
        <v>4.1283537131288453E-4</v>
      </c>
      <c r="V93" s="2">
        <v>7.7448730619501945E-4</v>
      </c>
      <c r="W93" s="2">
        <v>1.3213283969623155E-3</v>
      </c>
      <c r="X93" s="2">
        <v>2.1015258324655266E-3</v>
      </c>
      <c r="Y93" s="2">
        <v>3.1586961102506059E-3</v>
      </c>
      <c r="Z93" s="2">
        <v>4.523731591838059E-3</v>
      </c>
      <c r="AA93" s="2">
        <v>6.2050942129401694E-3</v>
      </c>
      <c r="AB93" s="2">
        <v>8.1792123443962042E-3</v>
      </c>
      <c r="AC93" s="2">
        <v>1.0383684942600651E-2</v>
      </c>
      <c r="AD93" s="2">
        <v>1.2716667362579103E-2</v>
      </c>
      <c r="AE93" s="2">
        <v>1.5045398769922105E-2</v>
      </c>
      <c r="AF93" s="2">
        <v>1.7224753913728248E-2</v>
      </c>
      <c r="AG93" s="2">
        <v>1.9123037585648275E-2</v>
      </c>
      <c r="AH93" s="2">
        <v>2.064821015912045E-2</v>
      </c>
      <c r="AI93" s="2">
        <v>2.1765589378413754E-2</v>
      </c>
      <c r="AJ93" s="2">
        <v>2.762524566948198E-2</v>
      </c>
      <c r="AK93" s="2">
        <v>2.8095967372886454E-2</v>
      </c>
      <c r="AL93" s="2">
        <v>2.8405934079886515E-2</v>
      </c>
      <c r="AM93" s="2">
        <v>2.8315960961842128E-2</v>
      </c>
      <c r="AN93" s="2">
        <v>2.8045381259341289E-2</v>
      </c>
      <c r="AO93" s="2">
        <v>2.7698891290649341E-2</v>
      </c>
      <c r="AP93" s="2">
        <v>2.7271955129129742E-2</v>
      </c>
      <c r="AQ93" s="2">
        <v>3.7547389835790638E-3</v>
      </c>
      <c r="AR93" s="2">
        <v>0.34279832802516991</v>
      </c>
    </row>
    <row r="94" spans="1:44" x14ac:dyDescent="0.25">
      <c r="A94" t="s">
        <v>250</v>
      </c>
      <c r="B94" t="s">
        <v>291</v>
      </c>
      <c r="C94" t="s">
        <v>44</v>
      </c>
      <c r="D94" t="s">
        <v>292</v>
      </c>
      <c r="E94" t="s">
        <v>145</v>
      </c>
      <c r="F94" t="s">
        <v>292</v>
      </c>
      <c r="G94" t="s">
        <v>31</v>
      </c>
      <c r="H94" t="s">
        <v>273</v>
      </c>
      <c r="I94" t="s">
        <v>135</v>
      </c>
      <c r="J94" t="s">
        <v>39</v>
      </c>
      <c r="K94" t="s">
        <v>31</v>
      </c>
      <c r="L94">
        <v>2.370000000000001</v>
      </c>
      <c r="M94">
        <v>1</v>
      </c>
      <c r="N94">
        <v>2.729832824165364</v>
      </c>
      <c r="O94">
        <v>5.3797577395665286</v>
      </c>
      <c r="P94">
        <v>-1.3196045040170097</v>
      </c>
      <c r="Q94">
        <v>1.0674536938902881</v>
      </c>
      <c r="R94">
        <v>-1.8454036712681361</v>
      </c>
      <c r="S94" s="2">
        <v>0</v>
      </c>
      <c r="T94" s="2">
        <v>0</v>
      </c>
      <c r="U94" s="2">
        <v>1.3886428992991926E-2</v>
      </c>
      <c r="V94" s="2">
        <v>2.6009407551129897E-2</v>
      </c>
      <c r="W94" s="2">
        <v>4.4302619169014179E-2</v>
      </c>
      <c r="X94" s="2">
        <v>7.0348662486830082E-2</v>
      </c>
      <c r="Y94" s="2">
        <v>0.105567791382337</v>
      </c>
      <c r="Z94" s="2">
        <v>0.15094644769959606</v>
      </c>
      <c r="AA94" s="2">
        <v>0.2067173486375502</v>
      </c>
      <c r="AB94" s="2">
        <v>0.27204610204372731</v>
      </c>
      <c r="AC94" s="2">
        <v>0.34481409077958075</v>
      </c>
      <c r="AD94" s="2">
        <v>0.42160843573717066</v>
      </c>
      <c r="AE94" s="2">
        <v>0.49801469939369408</v>
      </c>
      <c r="AF94" s="2">
        <v>0.56923810297435751</v>
      </c>
      <c r="AG94" s="2">
        <v>0.63095777079049087</v>
      </c>
      <c r="AH94" s="2">
        <v>0.68018696472396067</v>
      </c>
      <c r="AI94" s="2">
        <v>0.71584468156322789</v>
      </c>
      <c r="AJ94" s="2">
        <v>0.93046924483743798</v>
      </c>
      <c r="AK94" s="2">
        <v>0.94473811163593979</v>
      </c>
      <c r="AL94" s="2">
        <v>0.95340296077161146</v>
      </c>
      <c r="AM94" s="2">
        <v>0.94842702836153414</v>
      </c>
      <c r="AN94" s="2">
        <v>0.93717317299837866</v>
      </c>
      <c r="AO94" s="2">
        <v>0.92313228371260614</v>
      </c>
      <c r="AP94" s="2">
        <v>0.90614799515929256</v>
      </c>
      <c r="AQ94" s="2">
        <v>0.1391407886427396</v>
      </c>
      <c r="AR94" s="2">
        <v>11.433121140045198</v>
      </c>
    </row>
    <row r="95" spans="1:44" x14ac:dyDescent="0.25">
      <c r="A95" t="s">
        <v>250</v>
      </c>
      <c r="B95" t="s">
        <v>291</v>
      </c>
      <c r="C95" t="s">
        <v>44</v>
      </c>
      <c r="D95" t="s">
        <v>292</v>
      </c>
      <c r="E95" t="s">
        <v>145</v>
      </c>
      <c r="F95" t="s">
        <v>292</v>
      </c>
      <c r="G95" t="s">
        <v>31</v>
      </c>
      <c r="H95" t="s">
        <v>252</v>
      </c>
      <c r="I95" t="s">
        <v>135</v>
      </c>
      <c r="J95" t="s">
        <v>39</v>
      </c>
      <c r="K95" t="s">
        <v>31</v>
      </c>
      <c r="L95">
        <v>2.370000000000001</v>
      </c>
      <c r="M95">
        <v>1</v>
      </c>
      <c r="N95">
        <v>2.729832824165364</v>
      </c>
      <c r="O95">
        <v>5.3797577395665286</v>
      </c>
      <c r="P95">
        <v>-1.3196045040170097</v>
      </c>
      <c r="Q95">
        <v>1.0674536938902881</v>
      </c>
      <c r="R95">
        <v>-1.8454036712681361</v>
      </c>
      <c r="S95" s="2">
        <v>0</v>
      </c>
      <c r="T95" s="2">
        <v>0</v>
      </c>
      <c r="U95" s="2">
        <v>9.9819158877777463E-4</v>
      </c>
      <c r="V95" s="2">
        <v>1.8713123420959407E-3</v>
      </c>
      <c r="W95" s="2">
        <v>3.1903455054907684E-3</v>
      </c>
      <c r="X95" s="2">
        <v>5.0705685068326341E-3</v>
      </c>
      <c r="Y95" s="2">
        <v>7.6159614918391051E-3</v>
      </c>
      <c r="Z95" s="2">
        <v>1.0899553181806132E-2</v>
      </c>
      <c r="AA95" s="2">
        <v>1.4940158940859011E-2</v>
      </c>
      <c r="AB95" s="2">
        <v>1.9679465249608563E-2</v>
      </c>
      <c r="AC95" s="2">
        <v>2.4965960806395203E-2</v>
      </c>
      <c r="AD95" s="2">
        <v>3.0553788305444793E-2</v>
      </c>
      <c r="AE95" s="2">
        <v>3.6123550445822557E-2</v>
      </c>
      <c r="AF95" s="2">
        <v>4.1327080282072194E-2</v>
      </c>
      <c r="AG95" s="2">
        <v>4.5849388580851885E-2</v>
      </c>
      <c r="AH95" s="2">
        <v>4.9471383262784475E-2</v>
      </c>
      <c r="AI95" s="2">
        <v>5.2111916533630426E-2</v>
      </c>
      <c r="AJ95" s="2">
        <v>6.6829929025538401E-2</v>
      </c>
      <c r="AK95" s="2">
        <v>6.7918829596882266E-2</v>
      </c>
      <c r="AL95" s="2">
        <v>6.8612814750825632E-2</v>
      </c>
      <c r="AM95" s="2">
        <v>6.8333850788709585E-2</v>
      </c>
      <c r="AN95" s="2">
        <v>6.7611744436475066E-2</v>
      </c>
      <c r="AO95" s="2">
        <v>6.6698634963354972E-2</v>
      </c>
      <c r="AP95" s="2">
        <v>6.5583414821175218E-2</v>
      </c>
      <c r="AQ95" s="2">
        <v>9.4846203252511307E-3</v>
      </c>
      <c r="AR95" s="2">
        <v>0.8257424637325238</v>
      </c>
    </row>
    <row r="96" spans="1:44" x14ac:dyDescent="0.25">
      <c r="A96" t="s">
        <v>250</v>
      </c>
      <c r="B96" t="s">
        <v>291</v>
      </c>
      <c r="C96" t="s">
        <v>44</v>
      </c>
      <c r="D96" t="s">
        <v>292</v>
      </c>
      <c r="E96" t="s">
        <v>145</v>
      </c>
      <c r="F96" t="s">
        <v>292</v>
      </c>
      <c r="G96" t="s">
        <v>31</v>
      </c>
      <c r="H96" t="s">
        <v>289</v>
      </c>
      <c r="I96" t="s">
        <v>135</v>
      </c>
      <c r="J96" t="s">
        <v>39</v>
      </c>
      <c r="K96" t="s">
        <v>31</v>
      </c>
      <c r="L96">
        <v>2.370000000000001</v>
      </c>
      <c r="M96">
        <v>1</v>
      </c>
      <c r="N96">
        <v>2.729832824165364</v>
      </c>
      <c r="O96">
        <v>5.3797577395665286</v>
      </c>
      <c r="P96">
        <v>-1.3196045040170097</v>
      </c>
      <c r="Q96">
        <v>1.0674536938902881</v>
      </c>
      <c r="R96">
        <v>-1.8454036712681361</v>
      </c>
      <c r="S96" s="2">
        <v>0</v>
      </c>
      <c r="T96" s="2">
        <v>0</v>
      </c>
      <c r="U96" s="2">
        <v>4.1711214600131385E-2</v>
      </c>
      <c r="V96" s="2">
        <v>7.8251061993655044E-2</v>
      </c>
      <c r="W96" s="2">
        <v>0.1335016719804567</v>
      </c>
      <c r="X96" s="2">
        <v>0.21232966232259853</v>
      </c>
      <c r="Y96" s="2">
        <v>0.31914186735566502</v>
      </c>
      <c r="Z96" s="2">
        <v>0.45705952622345541</v>
      </c>
      <c r="AA96" s="2">
        <v>0.62693759865314858</v>
      </c>
      <c r="AB96" s="2">
        <v>0.82639450266141978</v>
      </c>
      <c r="AC96" s="2">
        <v>1.0491254894259376</v>
      </c>
      <c r="AD96" s="2">
        <v>1.2848405883250176</v>
      </c>
      <c r="AE96" s="2">
        <v>1.5201261821171561</v>
      </c>
      <c r="AF96" s="2">
        <v>1.7403194029744431</v>
      </c>
      <c r="AG96" s="2">
        <v>1.9321143001984324</v>
      </c>
      <c r="AH96" s="2">
        <v>2.0862115625333431</v>
      </c>
      <c r="AI96" s="2">
        <v>2.1991070352673092</v>
      </c>
      <c r="AJ96" s="2">
        <v>2.7911429847608882</v>
      </c>
      <c r="AK96" s="2">
        <v>2.838702800009282</v>
      </c>
      <c r="AL96" s="2">
        <v>2.8700205812193942</v>
      </c>
      <c r="AM96" s="2">
        <v>2.8609300616181925</v>
      </c>
      <c r="AN96" s="2">
        <v>2.8335917838888429</v>
      </c>
      <c r="AO96" s="2">
        <v>2.7985838401776664</v>
      </c>
      <c r="AP96" s="2">
        <v>2.755447938820502</v>
      </c>
      <c r="AQ96" s="2">
        <v>0.3793636262645888</v>
      </c>
      <c r="AR96" s="2">
        <v>34.634955283391527</v>
      </c>
    </row>
    <row r="97" spans="1:44" x14ac:dyDescent="0.25">
      <c r="A97" t="s">
        <v>250</v>
      </c>
      <c r="B97" t="s">
        <v>291</v>
      </c>
      <c r="C97" t="s">
        <v>44</v>
      </c>
      <c r="D97" t="s">
        <v>292</v>
      </c>
      <c r="E97" t="s">
        <v>145</v>
      </c>
      <c r="F97" t="s">
        <v>292</v>
      </c>
      <c r="G97" t="s">
        <v>31</v>
      </c>
      <c r="H97" t="s">
        <v>274</v>
      </c>
      <c r="I97" t="s">
        <v>135</v>
      </c>
      <c r="J97" t="s">
        <v>39</v>
      </c>
      <c r="K97" t="s">
        <v>31</v>
      </c>
      <c r="L97">
        <v>2.370000000000001</v>
      </c>
      <c r="M97">
        <v>1</v>
      </c>
      <c r="N97">
        <v>2.729832824165364</v>
      </c>
      <c r="O97">
        <v>5.3797577395665286</v>
      </c>
      <c r="P97">
        <v>-1.3196045040170097</v>
      </c>
      <c r="Q97">
        <v>1.0674536938902881</v>
      </c>
      <c r="R97">
        <v>-1.8454036712681361</v>
      </c>
      <c r="S97" s="2">
        <v>0</v>
      </c>
      <c r="T97" s="2">
        <v>0</v>
      </c>
      <c r="U97" s="2">
        <v>2.1859725883801608E-2</v>
      </c>
      <c r="V97" s="2">
        <v>4.0943465001312726E-2</v>
      </c>
      <c r="W97" s="2">
        <v>6.9740255861161241E-2</v>
      </c>
      <c r="X97" s="2">
        <v>0.11074139211962031</v>
      </c>
      <c r="Y97" s="2">
        <v>0.16618260770575796</v>
      </c>
      <c r="Z97" s="2">
        <v>0.23761673872469313</v>
      </c>
      <c r="AA97" s="2">
        <v>0.32541012372033135</v>
      </c>
      <c r="AB97" s="2">
        <v>0.4282492800297184</v>
      </c>
      <c r="AC97" s="2">
        <v>0.54279912489509707</v>
      </c>
      <c r="AD97" s="2">
        <v>0.66368717545483502</v>
      </c>
      <c r="AE97" s="2">
        <v>0.78396431655280818</v>
      </c>
      <c r="AF97" s="2">
        <v>0.89608270779438737</v>
      </c>
      <c r="AG97" s="2">
        <v>0.99324051710453143</v>
      </c>
      <c r="AH97" s="2">
        <v>1.0707360838488151</v>
      </c>
      <c r="AI97" s="2">
        <v>1.1268677153965641</v>
      </c>
      <c r="AJ97" s="2">
        <v>1.4647252109033351</v>
      </c>
      <c r="AK97" s="2">
        <v>1.4871869623763085</v>
      </c>
      <c r="AL97" s="2">
        <v>1.5008269865341348</v>
      </c>
      <c r="AM97" s="2">
        <v>1.4929939778783048</v>
      </c>
      <c r="AN97" s="2">
        <v>1.4752783943039596</v>
      </c>
      <c r="AO97" s="2">
        <v>1.4531755202600574</v>
      </c>
      <c r="AP97" s="2">
        <v>1.4264392086932571</v>
      </c>
      <c r="AQ97" s="2">
        <v>0.21903251732474002</v>
      </c>
      <c r="AR97" s="2">
        <v>17.997780008367531</v>
      </c>
    </row>
    <row r="98" spans="1:44" x14ac:dyDescent="0.25">
      <c r="A98" t="s">
        <v>250</v>
      </c>
      <c r="B98" t="s">
        <v>291</v>
      </c>
      <c r="C98" t="s">
        <v>44</v>
      </c>
      <c r="D98" t="s">
        <v>292</v>
      </c>
      <c r="E98" t="s">
        <v>145</v>
      </c>
      <c r="F98" t="s">
        <v>292</v>
      </c>
      <c r="G98" t="s">
        <v>31</v>
      </c>
      <c r="H98" t="s">
        <v>274</v>
      </c>
      <c r="I98" t="s">
        <v>135</v>
      </c>
      <c r="J98" t="s">
        <v>39</v>
      </c>
      <c r="K98" t="s">
        <v>33</v>
      </c>
      <c r="L98">
        <v>2.370000000000001</v>
      </c>
      <c r="M98">
        <v>1</v>
      </c>
      <c r="N98">
        <v>2.729832824165364</v>
      </c>
      <c r="O98">
        <v>5.3797577395665286</v>
      </c>
      <c r="P98">
        <v>-1.3196045040170097</v>
      </c>
      <c r="Q98">
        <v>1.0674536938902881</v>
      </c>
      <c r="R98">
        <v>-1.8454036712681361</v>
      </c>
      <c r="S98" s="2">
        <v>0</v>
      </c>
      <c r="T98" s="2">
        <v>0</v>
      </c>
      <c r="U98" s="2">
        <v>7.0333288189409449E-5</v>
      </c>
      <c r="V98" s="2">
        <v>1.3173488719473014E-4</v>
      </c>
      <c r="W98" s="2">
        <v>2.2438806140386835E-4</v>
      </c>
      <c r="X98" s="2">
        <v>3.5630850486635229E-4</v>
      </c>
      <c r="Y98" s="2">
        <v>5.3468965265011676E-4</v>
      </c>
      <c r="Z98" s="2">
        <v>7.6452772794079605E-4</v>
      </c>
      <c r="AA98" s="2">
        <v>1.0470014186377873E-3</v>
      </c>
      <c r="AB98" s="2">
        <v>1.3778846170965395E-3</v>
      </c>
      <c r="AC98" s="2">
        <v>1.7464467524954527E-3</v>
      </c>
      <c r="AD98" s="2">
        <v>2.135401954581239E-3</v>
      </c>
      <c r="AE98" s="2">
        <v>2.5223915660891592E-3</v>
      </c>
      <c r="AF98" s="2">
        <v>2.8831305417032277E-3</v>
      </c>
      <c r="AG98" s="2">
        <v>3.1957341049128544E-3</v>
      </c>
      <c r="AH98" s="2">
        <v>3.445074744324358E-3</v>
      </c>
      <c r="AI98" s="2">
        <v>3.6256772934677144E-3</v>
      </c>
      <c r="AJ98" s="2">
        <v>4.7127279145387857E-3</v>
      </c>
      <c r="AK98" s="2">
        <v>4.7849982096003609E-3</v>
      </c>
      <c r="AL98" s="2">
        <v>4.828884750314651E-3</v>
      </c>
      <c r="AM98" s="2">
        <v>4.8036821810734506E-3</v>
      </c>
      <c r="AN98" s="2">
        <v>4.746682598754738E-3</v>
      </c>
      <c r="AO98" s="2">
        <v>4.6755669855852297E-3</v>
      </c>
      <c r="AP98" s="2">
        <v>4.5895433676979092E-3</v>
      </c>
      <c r="AQ98" s="2">
        <v>7.0473331851193235E-4</v>
      </c>
      <c r="AR98" s="2">
        <v>5.7907544441630647E-2</v>
      </c>
    </row>
    <row r="99" spans="1:44" x14ac:dyDescent="0.25">
      <c r="A99" t="s">
        <v>250</v>
      </c>
      <c r="B99" t="s">
        <v>291</v>
      </c>
      <c r="C99" t="s">
        <v>44</v>
      </c>
      <c r="D99" t="s">
        <v>292</v>
      </c>
      <c r="E99" t="s">
        <v>145</v>
      </c>
      <c r="F99" t="s">
        <v>292</v>
      </c>
      <c r="G99" t="s">
        <v>31</v>
      </c>
      <c r="H99" t="s">
        <v>255</v>
      </c>
      <c r="I99" t="s">
        <v>135</v>
      </c>
      <c r="J99" t="s">
        <v>39</v>
      </c>
      <c r="K99" t="s">
        <v>31</v>
      </c>
      <c r="L99">
        <v>2.370000000000001</v>
      </c>
      <c r="M99">
        <v>1</v>
      </c>
      <c r="N99">
        <v>2.729832824165364</v>
      </c>
      <c r="O99">
        <v>5.3797577395665286</v>
      </c>
      <c r="P99">
        <v>-1.3196045040170097</v>
      </c>
      <c r="Q99">
        <v>1.0674536938902881</v>
      </c>
      <c r="R99">
        <v>-1.8454036712681361</v>
      </c>
      <c r="S99" s="2">
        <v>0</v>
      </c>
      <c r="T99" s="2">
        <v>0</v>
      </c>
      <c r="U99" s="2">
        <v>7.8570298658231456E-3</v>
      </c>
      <c r="V99" s="2">
        <v>1.4651237354543755E-2</v>
      </c>
      <c r="W99" s="2">
        <v>2.4845587171290536E-2</v>
      </c>
      <c r="X99" s="2">
        <v>3.9278213386904397E-2</v>
      </c>
      <c r="Y99" s="2">
        <v>5.8681787468833735E-2</v>
      </c>
      <c r="Z99" s="2">
        <v>8.3535449446104262E-2</v>
      </c>
      <c r="AA99" s="2">
        <v>0.11389400391669786</v>
      </c>
      <c r="AB99" s="2">
        <v>0.14922529988445343</v>
      </c>
      <c r="AC99" s="2">
        <v>0.18830462011974416</v>
      </c>
      <c r="AD99" s="2">
        <v>0.22922463018935627</v>
      </c>
      <c r="AE99" s="2">
        <v>0.26956913716230868</v>
      </c>
      <c r="AF99" s="2">
        <v>0.30675947633065292</v>
      </c>
      <c r="AG99" s="2">
        <v>0.33851688552504794</v>
      </c>
      <c r="AH99" s="2">
        <v>0.36331586770369612</v>
      </c>
      <c r="AI99" s="2">
        <v>0.3806719545260514</v>
      </c>
      <c r="AJ99" s="2">
        <v>0.52974756823947411</v>
      </c>
      <c r="AK99" s="2">
        <v>0.535394339987872</v>
      </c>
      <c r="AL99" s="2">
        <v>0.53757729662431164</v>
      </c>
      <c r="AM99" s="2">
        <v>0.53175697822538304</v>
      </c>
      <c r="AN99" s="2">
        <v>0.5220931825336188</v>
      </c>
      <c r="AO99" s="2">
        <v>0.5105253577517862</v>
      </c>
      <c r="AP99" s="2">
        <v>0.49696569716579053</v>
      </c>
      <c r="AQ99" s="2">
        <v>9.8011713392293712E-2</v>
      </c>
      <c r="AR99" s="2">
        <v>6.330403313972039</v>
      </c>
    </row>
    <row r="100" spans="1:44" x14ac:dyDescent="0.25">
      <c r="A100" t="s">
        <v>250</v>
      </c>
      <c r="B100" t="s">
        <v>291</v>
      </c>
      <c r="C100" t="s">
        <v>44</v>
      </c>
      <c r="D100" t="s">
        <v>292</v>
      </c>
      <c r="E100" t="s">
        <v>145</v>
      </c>
      <c r="F100" t="s">
        <v>292</v>
      </c>
      <c r="G100" t="s">
        <v>31</v>
      </c>
      <c r="H100" t="s">
        <v>278</v>
      </c>
      <c r="I100" t="s">
        <v>135</v>
      </c>
      <c r="J100" t="s">
        <v>39</v>
      </c>
      <c r="K100" t="s">
        <v>31</v>
      </c>
      <c r="L100">
        <v>2.370000000000001</v>
      </c>
      <c r="M100">
        <v>1</v>
      </c>
      <c r="N100">
        <v>2.729832824165364</v>
      </c>
      <c r="O100">
        <v>5.3797577395665286</v>
      </c>
      <c r="P100">
        <v>-1.3196045040170097</v>
      </c>
      <c r="Q100">
        <v>1.0674536938902881</v>
      </c>
      <c r="R100">
        <v>-1.8454036712681361</v>
      </c>
      <c r="S100" s="2">
        <v>0</v>
      </c>
      <c r="T100" s="2">
        <v>0</v>
      </c>
      <c r="U100" s="2">
        <v>2.2961200071880437E-2</v>
      </c>
      <c r="V100" s="2">
        <v>4.2816432919724312E-2</v>
      </c>
      <c r="W100" s="2">
        <v>7.2608162077233043E-2</v>
      </c>
      <c r="X100" s="2">
        <v>0.11478573092432029</v>
      </c>
      <c r="Y100" s="2">
        <v>0.17149028139863076</v>
      </c>
      <c r="Z100" s="2">
        <v>0.24412204109975152</v>
      </c>
      <c r="AA100" s="2">
        <v>0.33284116970132666</v>
      </c>
      <c r="AB100" s="2">
        <v>0.43609252159490464</v>
      </c>
      <c r="AC100" s="2">
        <v>0.55029701183093471</v>
      </c>
      <c r="AD100" s="2">
        <v>0.66988069093068192</v>
      </c>
      <c r="AE100" s="2">
        <v>0.78778253325876735</v>
      </c>
      <c r="AF100" s="2">
        <v>0.89646670946381435</v>
      </c>
      <c r="AG100" s="2">
        <v>0.98927381834969719</v>
      </c>
      <c r="AH100" s="2">
        <v>1.0617457830878994</v>
      </c>
      <c r="AI100" s="2">
        <v>1.1124668047460342</v>
      </c>
      <c r="AJ100" s="2">
        <v>1.5481218869803006</v>
      </c>
      <c r="AK100" s="2">
        <v>1.5646238804930372</v>
      </c>
      <c r="AL100" s="2">
        <v>1.5710033018435359</v>
      </c>
      <c r="AM100" s="2">
        <v>1.553994139663667</v>
      </c>
      <c r="AN100" s="2">
        <v>1.525752889455676</v>
      </c>
      <c r="AO100" s="2">
        <v>1.4919473492263486</v>
      </c>
      <c r="AP100" s="2">
        <v>1.4523209146908047</v>
      </c>
      <c r="AQ100" s="2">
        <v>0.28642713582869672</v>
      </c>
      <c r="AR100" s="2">
        <v>18.499822389637668</v>
      </c>
    </row>
    <row r="101" spans="1:44" x14ac:dyDescent="0.25">
      <c r="A101" t="s">
        <v>250</v>
      </c>
      <c r="B101" t="s">
        <v>291</v>
      </c>
      <c r="C101" t="s">
        <v>44</v>
      </c>
      <c r="D101" t="s">
        <v>292</v>
      </c>
      <c r="E101" t="s">
        <v>145</v>
      </c>
      <c r="F101" t="s">
        <v>292</v>
      </c>
      <c r="G101" t="s">
        <v>31</v>
      </c>
      <c r="H101" t="s">
        <v>276</v>
      </c>
      <c r="I101" t="s">
        <v>135</v>
      </c>
      <c r="J101" t="s">
        <v>39</v>
      </c>
      <c r="K101" t="s">
        <v>31</v>
      </c>
      <c r="L101">
        <v>2.370000000000001</v>
      </c>
      <c r="M101">
        <v>1</v>
      </c>
      <c r="N101">
        <v>2.729832824165364</v>
      </c>
      <c r="O101">
        <v>5.3797577395665286</v>
      </c>
      <c r="P101">
        <v>-1.3196045040170097</v>
      </c>
      <c r="Q101">
        <v>1.0674536938902881</v>
      </c>
      <c r="R101">
        <v>-1.8454036712681361</v>
      </c>
      <c r="S101" s="2">
        <v>0</v>
      </c>
      <c r="T101" s="2">
        <v>0</v>
      </c>
      <c r="U101" s="2">
        <v>2.258677011512622E-2</v>
      </c>
      <c r="V101" s="2">
        <v>4.2411477267967658E-2</v>
      </c>
      <c r="W101" s="2">
        <v>7.242220256533756E-2</v>
      </c>
      <c r="X101" s="2">
        <v>0.11528891641976131</v>
      </c>
      <c r="Y101" s="2">
        <v>0.17344130574255254</v>
      </c>
      <c r="Z101" s="2">
        <v>0.24861846573053079</v>
      </c>
      <c r="AA101" s="2">
        <v>0.34133183640898096</v>
      </c>
      <c r="AB101" s="2">
        <v>0.45033091805248954</v>
      </c>
      <c r="AC101" s="2">
        <v>0.57222081103647915</v>
      </c>
      <c r="AD101" s="2">
        <v>0.70141867034866789</v>
      </c>
      <c r="AE101" s="2">
        <v>0.83061463269518898</v>
      </c>
      <c r="AF101" s="2">
        <v>0.95178918346914376</v>
      </c>
      <c r="AG101" s="2">
        <v>1.0576366258396313</v>
      </c>
      <c r="AH101" s="2">
        <v>1.1430201315169524</v>
      </c>
      <c r="AI101" s="2">
        <v>1.205962389582748</v>
      </c>
      <c r="AJ101" s="2">
        <v>1.5106105812057518</v>
      </c>
      <c r="AK101" s="2">
        <v>1.5378003502425739</v>
      </c>
      <c r="AL101" s="2">
        <v>1.5563782205568151</v>
      </c>
      <c r="AM101" s="2">
        <v>1.5532486861348085</v>
      </c>
      <c r="AN101" s="2">
        <v>1.5404295467852118</v>
      </c>
      <c r="AO101" s="2">
        <v>1.5236801218256684</v>
      </c>
      <c r="AP101" s="2">
        <v>1.5027574298348432</v>
      </c>
      <c r="AQ101" s="2">
        <v>0.19350134544353736</v>
      </c>
      <c r="AR101" s="2">
        <v>18.847500618820767</v>
      </c>
    </row>
    <row r="102" spans="1:44" x14ac:dyDescent="0.25">
      <c r="A102" t="s">
        <v>250</v>
      </c>
      <c r="B102" t="s">
        <v>291</v>
      </c>
      <c r="C102" t="s">
        <v>44</v>
      </c>
      <c r="D102" t="s">
        <v>292</v>
      </c>
      <c r="E102" t="s">
        <v>145</v>
      </c>
      <c r="F102" t="s">
        <v>292</v>
      </c>
      <c r="G102" t="s">
        <v>31</v>
      </c>
      <c r="H102" t="s">
        <v>290</v>
      </c>
      <c r="I102" t="s">
        <v>135</v>
      </c>
      <c r="J102" t="s">
        <v>39</v>
      </c>
      <c r="K102" t="s">
        <v>31</v>
      </c>
      <c r="L102">
        <v>2.370000000000001</v>
      </c>
      <c r="M102">
        <v>1</v>
      </c>
      <c r="N102">
        <v>2.729832824165364</v>
      </c>
      <c r="O102">
        <v>5.3797577395665286</v>
      </c>
      <c r="P102">
        <v>-1.3196045040170097</v>
      </c>
      <c r="Q102">
        <v>1.0674536938902881</v>
      </c>
      <c r="R102">
        <v>-1.8454036712681361</v>
      </c>
      <c r="S102" s="2">
        <v>0</v>
      </c>
      <c r="T102" s="2">
        <v>0</v>
      </c>
      <c r="U102" s="2">
        <v>6.0400679679052979E-2</v>
      </c>
      <c r="V102" s="2">
        <v>0.11331286742269993</v>
      </c>
      <c r="W102" s="2">
        <v>0.19331951378572815</v>
      </c>
      <c r="X102" s="2">
        <v>0.30746781275145019</v>
      </c>
      <c r="Y102" s="2">
        <v>0.46213916058593058</v>
      </c>
      <c r="Z102" s="2">
        <v>0.66185332415603348</v>
      </c>
      <c r="AA102" s="2">
        <v>0.90784834337775944</v>
      </c>
      <c r="AB102" s="2">
        <v>1.1966755253304342</v>
      </c>
      <c r="AC102" s="2">
        <v>1.5192051643048086</v>
      </c>
      <c r="AD102" s="2">
        <v>1.8605366819939335</v>
      </c>
      <c r="AE102" s="2">
        <v>2.2012462470347445</v>
      </c>
      <c r="AF102" s="2">
        <v>2.5201010281289902</v>
      </c>
      <c r="AG102" s="2">
        <v>2.7978331024010856</v>
      </c>
      <c r="AH102" s="2">
        <v>3.0209764337794196</v>
      </c>
      <c r="AI102" s="2">
        <v>3.1844567675743054</v>
      </c>
      <c r="AJ102" s="2">
        <v>4.0417651458283554</v>
      </c>
      <c r="AK102" s="2">
        <v>4.1106349975925038</v>
      </c>
      <c r="AL102" s="2">
        <v>4.1559852778292452</v>
      </c>
      <c r="AM102" s="2">
        <v>4.1428215862941959</v>
      </c>
      <c r="AN102" s="2">
        <v>4.1032338981403536</v>
      </c>
      <c r="AO102" s="2">
        <v>4.0525400112662453</v>
      </c>
      <c r="AP102" s="2">
        <v>3.9900762881280225</v>
      </c>
      <c r="AQ102" s="2">
        <v>0.5493443691716251</v>
      </c>
      <c r="AR102" s="2">
        <v>50.153774226556919</v>
      </c>
    </row>
    <row r="103" spans="1:44" x14ac:dyDescent="0.25">
      <c r="A103" t="s">
        <v>250</v>
      </c>
      <c r="B103" t="s">
        <v>291</v>
      </c>
      <c r="C103" t="s">
        <v>44</v>
      </c>
      <c r="D103" t="s">
        <v>292</v>
      </c>
      <c r="E103" t="s">
        <v>145</v>
      </c>
      <c r="F103" t="s">
        <v>292</v>
      </c>
      <c r="G103" t="s">
        <v>31</v>
      </c>
      <c r="H103" t="s">
        <v>275</v>
      </c>
      <c r="I103" t="s">
        <v>135</v>
      </c>
      <c r="J103" t="s">
        <v>39</v>
      </c>
      <c r="K103" t="s">
        <v>31</v>
      </c>
      <c r="L103">
        <v>2.370000000000001</v>
      </c>
      <c r="M103">
        <v>1</v>
      </c>
      <c r="N103">
        <v>2.729832824165364</v>
      </c>
      <c r="O103">
        <v>5.3797577395665286</v>
      </c>
      <c r="P103">
        <v>-1.3196045040170097</v>
      </c>
      <c r="Q103">
        <v>1.0674536938902881</v>
      </c>
      <c r="R103">
        <v>-1.8454036712681361</v>
      </c>
      <c r="S103" s="2">
        <v>0</v>
      </c>
      <c r="T103" s="2">
        <v>0</v>
      </c>
      <c r="U103" s="2">
        <v>3.3394827777822697E-2</v>
      </c>
      <c r="V103" s="2">
        <v>6.2548815553050446E-2</v>
      </c>
      <c r="W103" s="2">
        <v>0.1065413100806798</v>
      </c>
      <c r="X103" s="2">
        <v>0.16917822928655599</v>
      </c>
      <c r="Y103" s="2">
        <v>0.25387507572158646</v>
      </c>
      <c r="Z103" s="2">
        <v>0.36300409753624147</v>
      </c>
      <c r="AA103" s="2">
        <v>0.4971249455078055</v>
      </c>
      <c r="AB103" s="2">
        <v>0.6542310287233063</v>
      </c>
      <c r="AC103" s="2">
        <v>0.8292273832791649</v>
      </c>
      <c r="AD103" s="2">
        <v>1.0139065348064344</v>
      </c>
      <c r="AE103" s="2">
        <v>1.1976524076470489</v>
      </c>
      <c r="AF103" s="2">
        <v>1.3689342611406263</v>
      </c>
      <c r="AG103" s="2">
        <v>1.5173610221361562</v>
      </c>
      <c r="AH103" s="2">
        <v>1.6357500229281479</v>
      </c>
      <c r="AI103" s="2">
        <v>1.7215016091277855</v>
      </c>
      <c r="AJ103" s="2">
        <v>2.237642247664144</v>
      </c>
      <c r="AK103" s="2">
        <v>2.2719567823484104</v>
      </c>
      <c r="AL103" s="2">
        <v>2.2927944753760872</v>
      </c>
      <c r="AM103" s="2">
        <v>2.2808280867564887</v>
      </c>
      <c r="AN103" s="2">
        <v>2.2537642129643976</v>
      </c>
      <c r="AO103" s="2">
        <v>2.219997930806302</v>
      </c>
      <c r="AP103" s="2">
        <v>2.1791532045305209</v>
      </c>
      <c r="AQ103" s="2">
        <v>0.33461321668369093</v>
      </c>
      <c r="AR103" s="2">
        <v>27.494981728382452</v>
      </c>
    </row>
    <row r="104" spans="1:44" x14ac:dyDescent="0.25">
      <c r="A104" t="s">
        <v>250</v>
      </c>
      <c r="B104" t="s">
        <v>291</v>
      </c>
      <c r="C104" t="s">
        <v>44</v>
      </c>
      <c r="D104" t="s">
        <v>292</v>
      </c>
      <c r="E104" t="s">
        <v>145</v>
      </c>
      <c r="F104" t="s">
        <v>292</v>
      </c>
      <c r="G104" t="s">
        <v>31</v>
      </c>
      <c r="H104" t="s">
        <v>277</v>
      </c>
      <c r="I104" t="s">
        <v>135</v>
      </c>
      <c r="J104" t="s">
        <v>39</v>
      </c>
      <c r="K104" t="s">
        <v>31</v>
      </c>
      <c r="L104">
        <v>2.370000000000001</v>
      </c>
      <c r="M104">
        <v>1</v>
      </c>
      <c r="N104">
        <v>2.729832824165364</v>
      </c>
      <c r="O104">
        <v>5.3797577395665286</v>
      </c>
      <c r="P104">
        <v>-1.3196045040170097</v>
      </c>
      <c r="Q104">
        <v>1.0674536938902881</v>
      </c>
      <c r="R104">
        <v>-1.8454036712681361</v>
      </c>
      <c r="S104" s="2">
        <v>0</v>
      </c>
      <c r="T104" s="2">
        <v>0</v>
      </c>
      <c r="U104" s="2">
        <v>0.12398807518895869</v>
      </c>
      <c r="V104" s="2">
        <v>0.2322027937912946</v>
      </c>
      <c r="W104" s="2">
        <v>0.39547043719820946</v>
      </c>
      <c r="X104" s="2">
        <v>0.62789656471179911</v>
      </c>
      <c r="Y104" s="2">
        <v>0.942131096357256</v>
      </c>
      <c r="Z104" s="2">
        <v>1.3469467929187025</v>
      </c>
      <c r="AA104" s="2">
        <v>1.8443872456147103</v>
      </c>
      <c r="AB104" s="2">
        <v>2.4269751662422778</v>
      </c>
      <c r="AC104" s="2">
        <v>3.0757814293213803</v>
      </c>
      <c r="AD104" s="2">
        <v>3.760342455780961</v>
      </c>
      <c r="AE104" s="2">
        <v>4.4412774883174064</v>
      </c>
      <c r="AF104" s="2">
        <v>5.0758332956849186</v>
      </c>
      <c r="AG104" s="2">
        <v>5.625502495382638</v>
      </c>
      <c r="AH104" s="2">
        <v>6.0636897671328036</v>
      </c>
      <c r="AI104" s="2">
        <v>6.3807997053974503</v>
      </c>
      <c r="AJ104" s="2">
        <v>8.3089049136430813</v>
      </c>
      <c r="AK104" s="2">
        <v>8.4352616229679054</v>
      </c>
      <c r="AL104" s="2">
        <v>8.5114514750433337</v>
      </c>
      <c r="AM104" s="2">
        <v>8.4657214825859022</v>
      </c>
      <c r="AN104" s="2">
        <v>8.3638047812632657</v>
      </c>
      <c r="AO104" s="2">
        <v>8.2368514975426326</v>
      </c>
      <c r="AP104" s="2">
        <v>8.0834637929219912</v>
      </c>
      <c r="AQ104" s="2">
        <v>1.2508631228306295</v>
      </c>
      <c r="AR104" s="2">
        <v>102.01954749783947</v>
      </c>
    </row>
    <row r="105" spans="1:44" x14ac:dyDescent="0.25">
      <c r="A105" t="s">
        <v>250</v>
      </c>
      <c r="B105" t="s">
        <v>291</v>
      </c>
      <c r="C105" t="s">
        <v>44</v>
      </c>
      <c r="D105" t="s">
        <v>292</v>
      </c>
      <c r="E105" t="s">
        <v>145</v>
      </c>
      <c r="F105" t="s">
        <v>292</v>
      </c>
      <c r="G105" t="s">
        <v>31</v>
      </c>
      <c r="H105" t="s">
        <v>277</v>
      </c>
      <c r="I105" t="s">
        <v>135</v>
      </c>
      <c r="J105" t="s">
        <v>40</v>
      </c>
      <c r="K105" t="s">
        <v>31</v>
      </c>
      <c r="L105">
        <v>2.370000000000001</v>
      </c>
      <c r="M105">
        <v>1</v>
      </c>
      <c r="N105">
        <v>2.729832824165364</v>
      </c>
      <c r="O105">
        <v>4.1429695267777937</v>
      </c>
      <c r="P105">
        <v>-1.3196045040170097</v>
      </c>
      <c r="Q105">
        <v>0.4672931329656026</v>
      </c>
      <c r="R105">
        <v>-1.7024036712681361</v>
      </c>
      <c r="S105" s="2">
        <v>0</v>
      </c>
      <c r="T105" s="2">
        <v>0</v>
      </c>
      <c r="U105" s="2">
        <v>1.9558547278659664E-2</v>
      </c>
      <c r="V105" s="2">
        <v>3.6628920270619092E-2</v>
      </c>
      <c r="W105" s="2">
        <v>6.2383638357684443E-2</v>
      </c>
      <c r="X105" s="2">
        <v>9.9047788493431876E-2</v>
      </c>
      <c r="Y105" s="2">
        <v>0.14861683724597233</v>
      </c>
      <c r="Z105" s="2">
        <v>0.21247464718675985</v>
      </c>
      <c r="AA105" s="2">
        <v>0.29094358540961179</v>
      </c>
      <c r="AB105" s="2">
        <v>0.38284414417064522</v>
      </c>
      <c r="AC105" s="2">
        <v>0.48519034118825266</v>
      </c>
      <c r="AD105" s="2">
        <v>0.59317668730042938</v>
      </c>
      <c r="AE105" s="2">
        <v>0.70059104958698681</v>
      </c>
      <c r="AF105" s="2">
        <v>0.80068930291038998</v>
      </c>
      <c r="AG105" s="2">
        <v>0.88739708519934546</v>
      </c>
      <c r="AH105" s="2">
        <v>0.95651910728389911</v>
      </c>
      <c r="AI105" s="2">
        <v>1.0065417381750532</v>
      </c>
      <c r="AJ105" s="2">
        <v>1.3106914462516581</v>
      </c>
      <c r="AK105" s="2">
        <v>1.3306236346458997</v>
      </c>
      <c r="AL105" s="2">
        <v>1.3426422325771958</v>
      </c>
      <c r="AM105" s="2">
        <v>1.3354285370813301</v>
      </c>
      <c r="AN105" s="2">
        <v>1.3193516472815181</v>
      </c>
      <c r="AO105" s="2">
        <v>1.2993253520265338</v>
      </c>
      <c r="AP105" s="2">
        <v>1.2751291487366982</v>
      </c>
      <c r="AQ105" s="2">
        <v>0.1973178911740476</v>
      </c>
      <c r="AR105" s="2">
        <v>16.093113309832624</v>
      </c>
    </row>
    <row r="106" spans="1:44" x14ac:dyDescent="0.25">
      <c r="A106" t="s">
        <v>250</v>
      </c>
      <c r="B106" t="s">
        <v>291</v>
      </c>
      <c r="C106" t="s">
        <v>44</v>
      </c>
      <c r="D106" t="s">
        <v>292</v>
      </c>
      <c r="E106" t="s">
        <v>148</v>
      </c>
      <c r="F106" t="s">
        <v>292</v>
      </c>
      <c r="G106" t="s">
        <v>31</v>
      </c>
      <c r="H106" t="s">
        <v>254</v>
      </c>
      <c r="I106" t="s">
        <v>135</v>
      </c>
      <c r="J106" t="s">
        <v>39</v>
      </c>
      <c r="K106" t="s">
        <v>31</v>
      </c>
      <c r="L106">
        <v>2.370000000000001</v>
      </c>
      <c r="M106">
        <v>1</v>
      </c>
      <c r="N106">
        <v>2.729832824165364</v>
      </c>
      <c r="O106">
        <v>5.3797577395665286</v>
      </c>
      <c r="P106">
        <v>-1.3196045040170097</v>
      </c>
      <c r="Q106">
        <v>1.0674536938902881</v>
      </c>
      <c r="R106">
        <v>-1.8454036712681361</v>
      </c>
      <c r="S106" s="2">
        <v>0</v>
      </c>
      <c r="T106" s="2">
        <v>0</v>
      </c>
      <c r="U106" s="2">
        <v>9.121977656967652E-3</v>
      </c>
      <c r="V106" s="2">
        <v>1.7281452874479651E-2</v>
      </c>
      <c r="W106" s="2">
        <v>2.9775006498369245E-2</v>
      </c>
      <c r="X106" s="2">
        <v>4.782688929259802E-2</v>
      </c>
      <c r="Y106" s="2">
        <v>7.2604336319838245E-2</v>
      </c>
      <c r="Z106" s="2">
        <v>0.10502427950760075</v>
      </c>
      <c r="AA106" s="2">
        <v>0.1455124433092384</v>
      </c>
      <c r="AB106" s="2">
        <v>0.19375042255519515</v>
      </c>
      <c r="AC106" s="2">
        <v>0.24847488397962114</v>
      </c>
      <c r="AD106" s="2">
        <v>0.30741451322007335</v>
      </c>
      <c r="AE106" s="2">
        <v>0.36744717072732525</v>
      </c>
      <c r="AF106" s="2">
        <v>0.42501505277590468</v>
      </c>
      <c r="AG106" s="2">
        <v>0.47674705714446025</v>
      </c>
      <c r="AH106" s="2">
        <v>0.52013134798976779</v>
      </c>
      <c r="AI106" s="2">
        <v>0.55401303783129785</v>
      </c>
      <c r="AJ106" s="2">
        <v>0.58031064602410931</v>
      </c>
      <c r="AK106" s="2">
        <v>0.59685374520402179</v>
      </c>
      <c r="AL106" s="2">
        <v>0.61118503957369597</v>
      </c>
      <c r="AM106" s="2">
        <v>0.61830638746199995</v>
      </c>
      <c r="AN106" s="2">
        <v>0.62303544867329264</v>
      </c>
      <c r="AO106" s="2">
        <v>0.62782743535048791</v>
      </c>
      <c r="AP106" s="2">
        <v>0.63268300877600991</v>
      </c>
      <c r="AQ106" s="2">
        <v>0</v>
      </c>
      <c r="AR106" s="2">
        <v>7.8103415827463563</v>
      </c>
    </row>
    <row r="107" spans="1:44" x14ac:dyDescent="0.25">
      <c r="A107" t="s">
        <v>250</v>
      </c>
      <c r="B107" t="s">
        <v>291</v>
      </c>
      <c r="C107" t="s">
        <v>44</v>
      </c>
      <c r="D107" t="s">
        <v>292</v>
      </c>
      <c r="E107" t="s">
        <v>148</v>
      </c>
      <c r="F107" t="s">
        <v>292</v>
      </c>
      <c r="G107" t="s">
        <v>31</v>
      </c>
      <c r="H107" t="s">
        <v>272</v>
      </c>
      <c r="I107" t="s">
        <v>135</v>
      </c>
      <c r="J107" t="s">
        <v>39</v>
      </c>
      <c r="K107" t="s">
        <v>31</v>
      </c>
      <c r="L107">
        <v>2.370000000000001</v>
      </c>
      <c r="M107">
        <v>1</v>
      </c>
      <c r="N107">
        <v>2.729832824165364</v>
      </c>
      <c r="O107">
        <v>5.3797577395665286</v>
      </c>
      <c r="P107">
        <v>-1.3196045040170097</v>
      </c>
      <c r="Q107">
        <v>1.0674536938902881</v>
      </c>
      <c r="R107">
        <v>-1.8454036712681361</v>
      </c>
      <c r="S107" s="2">
        <v>0</v>
      </c>
      <c r="T107" s="2">
        <v>0</v>
      </c>
      <c r="U107" s="2">
        <v>1.1217074293210673E-2</v>
      </c>
      <c r="V107" s="2">
        <v>2.1248231057105649E-2</v>
      </c>
      <c r="W107" s="2">
        <v>3.6605545113873504E-2</v>
      </c>
      <c r="X107" s="2">
        <v>5.8792263326000835E-2</v>
      </c>
      <c r="Y107" s="2">
        <v>8.9240949071729497E-2</v>
      </c>
      <c r="Z107" s="2">
        <v>0.12907598562554068</v>
      </c>
      <c r="AA107" s="2">
        <v>0.17881771126413454</v>
      </c>
      <c r="AB107" s="2">
        <v>0.23807196470263167</v>
      </c>
      <c r="AC107" s="2">
        <v>0.30528384988263119</v>
      </c>
      <c r="AD107" s="2">
        <v>0.3776608539511529</v>
      </c>
      <c r="AE107" s="2">
        <v>0.45136649121619737</v>
      </c>
      <c r="AF107" s="2">
        <v>0.52203070900473303</v>
      </c>
      <c r="AG107" s="2">
        <v>0.58551445514398215</v>
      </c>
      <c r="AH107" s="2">
        <v>0.63873544268361693</v>
      </c>
      <c r="AI107" s="2">
        <v>0.68027870986106076</v>
      </c>
      <c r="AJ107" s="2">
        <v>0.71250326644571016</v>
      </c>
      <c r="AK107" s="2">
        <v>0.73274723709984313</v>
      </c>
      <c r="AL107" s="2">
        <v>0.75027321050794404</v>
      </c>
      <c r="AM107" s="2">
        <v>0.75894696187145949</v>
      </c>
      <c r="AN107" s="2">
        <v>0.76468386774022268</v>
      </c>
      <c r="AO107" s="2">
        <v>0.770497870216721</v>
      </c>
      <c r="AP107" s="2">
        <v>0.77638977518513375</v>
      </c>
      <c r="AQ107" s="2">
        <v>0</v>
      </c>
      <c r="AR107" s="2">
        <v>9.5899824252646351</v>
      </c>
    </row>
    <row r="108" spans="1:44" x14ac:dyDescent="0.25">
      <c r="A108" t="s">
        <v>250</v>
      </c>
      <c r="B108" t="s">
        <v>291</v>
      </c>
      <c r="C108" t="s">
        <v>44</v>
      </c>
      <c r="D108" t="s">
        <v>292</v>
      </c>
      <c r="E108" t="s">
        <v>148</v>
      </c>
      <c r="F108" t="s">
        <v>292</v>
      </c>
      <c r="G108" t="s">
        <v>31</v>
      </c>
      <c r="H108" t="s">
        <v>272</v>
      </c>
      <c r="I108" t="s">
        <v>135</v>
      </c>
      <c r="J108" t="s">
        <v>40</v>
      </c>
      <c r="K108" t="s">
        <v>31</v>
      </c>
      <c r="L108">
        <v>2.370000000000001</v>
      </c>
      <c r="M108">
        <v>1</v>
      </c>
      <c r="N108">
        <v>2.729832824165364</v>
      </c>
      <c r="O108">
        <v>4.1429695267777937</v>
      </c>
      <c r="P108">
        <v>-1.3196045040170097</v>
      </c>
      <c r="Q108">
        <v>0.4672931329656026</v>
      </c>
      <c r="R108">
        <v>-1.7024036712681361</v>
      </c>
      <c r="S108" s="2">
        <v>0</v>
      </c>
      <c r="T108" s="2">
        <v>0</v>
      </c>
      <c r="U108" s="2">
        <v>1.1095463456013708E-3</v>
      </c>
      <c r="V108" s="2">
        <v>2.1017866605533204E-3</v>
      </c>
      <c r="W108" s="2">
        <v>3.6208683073827887E-3</v>
      </c>
      <c r="X108" s="2">
        <v>5.8154862148396365E-3</v>
      </c>
      <c r="Y108" s="2">
        <v>8.8273435953319466E-3</v>
      </c>
      <c r="Z108" s="2">
        <v>1.2767659766896368E-2</v>
      </c>
      <c r="AA108" s="2">
        <v>1.7687904428164158E-2</v>
      </c>
      <c r="AB108" s="2">
        <v>2.3549088783857596E-2</v>
      </c>
      <c r="AC108" s="2">
        <v>3.0197408981539182E-2</v>
      </c>
      <c r="AD108" s="2">
        <v>3.7356641261779927E-2</v>
      </c>
      <c r="AE108" s="2">
        <v>4.4647296413020517E-2</v>
      </c>
      <c r="AF108" s="2">
        <v>5.1637106996650625E-2</v>
      </c>
      <c r="AG108" s="2">
        <v>5.7916655182983251E-2</v>
      </c>
      <c r="AH108" s="2">
        <v>6.3181053963835568E-2</v>
      </c>
      <c r="AI108" s="2">
        <v>6.7290341205426416E-2</v>
      </c>
      <c r="AJ108" s="2">
        <v>7.047786034477653E-2</v>
      </c>
      <c r="AK108" s="2">
        <v>7.2480309742241095E-2</v>
      </c>
      <c r="AL108" s="2">
        <v>7.421390615426085E-2</v>
      </c>
      <c r="AM108" s="2">
        <v>7.5071877571448065E-2</v>
      </c>
      <c r="AN108" s="2">
        <v>7.5639348444454371E-2</v>
      </c>
      <c r="AO108" s="2">
        <v>7.6214445393310709E-2</v>
      </c>
      <c r="AP108" s="2">
        <v>7.6797248132728063E-2</v>
      </c>
      <c r="AQ108" s="2">
        <v>0</v>
      </c>
      <c r="AR108" s="2">
        <v>0.94860118389108239</v>
      </c>
    </row>
    <row r="109" spans="1:44" x14ac:dyDescent="0.25">
      <c r="A109" t="s">
        <v>250</v>
      </c>
      <c r="B109" t="s">
        <v>291</v>
      </c>
      <c r="C109" t="s">
        <v>44</v>
      </c>
      <c r="D109" t="s">
        <v>292</v>
      </c>
      <c r="E109" t="s">
        <v>148</v>
      </c>
      <c r="F109" t="s">
        <v>292</v>
      </c>
      <c r="G109" t="s">
        <v>31</v>
      </c>
      <c r="H109" t="s">
        <v>253</v>
      </c>
      <c r="I109" t="s">
        <v>135</v>
      </c>
      <c r="J109" t="s">
        <v>39</v>
      </c>
      <c r="K109" t="s">
        <v>31</v>
      </c>
      <c r="L109">
        <v>2.370000000000001</v>
      </c>
      <c r="M109">
        <v>1</v>
      </c>
      <c r="N109">
        <v>2.729832824165364</v>
      </c>
      <c r="O109">
        <v>5.3797577395665286</v>
      </c>
      <c r="P109">
        <v>-1.3196045040170097</v>
      </c>
      <c r="Q109">
        <v>1.0674536938902881</v>
      </c>
      <c r="R109">
        <v>-1.8454036712681361</v>
      </c>
      <c r="S109" s="2">
        <v>0</v>
      </c>
      <c r="T109" s="2">
        <v>0</v>
      </c>
      <c r="U109" s="2">
        <v>5.0937501006688871E-5</v>
      </c>
      <c r="V109" s="2">
        <v>9.6536776506819306E-5</v>
      </c>
      <c r="W109" s="2">
        <v>1.6638970499896797E-4</v>
      </c>
      <c r="X109" s="2">
        <v>2.6736644834637885E-4</v>
      </c>
      <c r="Y109" s="2">
        <v>4.0602770091988186E-4</v>
      </c>
      <c r="Z109" s="2">
        <v>5.8754251841139425E-4</v>
      </c>
      <c r="AA109" s="2">
        <v>8.1433737710194282E-4</v>
      </c>
      <c r="AB109" s="2">
        <v>1.0846751949398564E-3</v>
      </c>
      <c r="AC109" s="2">
        <v>1.3915234745202009E-3</v>
      </c>
      <c r="AD109" s="2">
        <v>1.7221920583962594E-3</v>
      </c>
      <c r="AE109" s="2">
        <v>2.0592045553362998E-3</v>
      </c>
      <c r="AF109" s="2">
        <v>2.3826182443691646E-3</v>
      </c>
      <c r="AG109" s="2">
        <v>2.6735108517818209E-3</v>
      </c>
      <c r="AH109" s="2">
        <v>2.9177559164907775E-3</v>
      </c>
      <c r="AI109" s="2">
        <v>3.108824047261293E-3</v>
      </c>
      <c r="AJ109" s="2">
        <v>3.2574305310726047E-3</v>
      </c>
      <c r="AK109" s="2">
        <v>3.3513459769344651E-3</v>
      </c>
      <c r="AL109" s="2">
        <v>3.4328832423976443E-3</v>
      </c>
      <c r="AM109" s="2">
        <v>3.4739478688163008E-3</v>
      </c>
      <c r="AN109" s="2">
        <v>3.5015783527435904E-3</v>
      </c>
      <c r="AO109" s="2">
        <v>3.5295651361319795E-3</v>
      </c>
      <c r="AP109" s="2">
        <v>3.5579120242204589E-3</v>
      </c>
      <c r="AQ109" s="2">
        <v>0</v>
      </c>
      <c r="AR109" s="2">
        <v>4.3834105502704793E-2</v>
      </c>
    </row>
    <row r="110" spans="1:44" x14ac:dyDescent="0.25">
      <c r="A110" t="s">
        <v>250</v>
      </c>
      <c r="B110" t="s">
        <v>291</v>
      </c>
      <c r="C110" t="s">
        <v>44</v>
      </c>
      <c r="D110" t="s">
        <v>292</v>
      </c>
      <c r="E110" t="s">
        <v>148</v>
      </c>
      <c r="F110" t="s">
        <v>292</v>
      </c>
      <c r="G110" t="s">
        <v>31</v>
      </c>
      <c r="H110" t="s">
        <v>253</v>
      </c>
      <c r="I110" t="s">
        <v>135</v>
      </c>
      <c r="J110" t="s">
        <v>40</v>
      </c>
      <c r="K110" t="s">
        <v>31</v>
      </c>
      <c r="L110">
        <v>2.370000000000001</v>
      </c>
      <c r="M110">
        <v>1</v>
      </c>
      <c r="N110">
        <v>2.729832824165364</v>
      </c>
      <c r="O110">
        <v>4.1429695267777937</v>
      </c>
      <c r="P110">
        <v>-1.3196045040170097</v>
      </c>
      <c r="Q110">
        <v>0.4672931329656026</v>
      </c>
      <c r="R110">
        <v>-1.7024036712681361</v>
      </c>
      <c r="S110" s="2">
        <v>0</v>
      </c>
      <c r="T110" s="2">
        <v>0</v>
      </c>
      <c r="U110" s="2">
        <v>2.6794184211648659E-5</v>
      </c>
      <c r="V110" s="2">
        <v>5.0780350857472638E-5</v>
      </c>
      <c r="W110" s="2">
        <v>8.7524443063645381E-5</v>
      </c>
      <c r="X110" s="2">
        <v>1.4064030875928711E-4</v>
      </c>
      <c r="Y110" s="2">
        <v>2.1357900954055626E-4</v>
      </c>
      <c r="Z110" s="2">
        <v>3.0905957613475415E-4</v>
      </c>
      <c r="AA110" s="2">
        <v>4.283583854974599E-4</v>
      </c>
      <c r="AB110" s="2">
        <v>5.7056169636607844E-4</v>
      </c>
      <c r="AC110" s="2">
        <v>7.3197026894255635E-4</v>
      </c>
      <c r="AD110" s="2">
        <v>9.0590881665845026E-4</v>
      </c>
      <c r="AE110" s="2">
        <v>1.0831843944975219E-3</v>
      </c>
      <c r="AF110" s="2">
        <v>1.2533067167405847E-3</v>
      </c>
      <c r="AG110" s="2">
        <v>1.4063222741350723E-3</v>
      </c>
      <c r="AH110" s="2">
        <v>1.5348002545475658E-3</v>
      </c>
      <c r="AI110" s="2">
        <v>1.6353060624820434E-3</v>
      </c>
      <c r="AJ110" s="2">
        <v>1.7134761615954974E-3</v>
      </c>
      <c r="AK110" s="2">
        <v>1.7628776380521592E-3</v>
      </c>
      <c r="AL110" s="2">
        <v>1.8057679343516768E-3</v>
      </c>
      <c r="AM110" s="2">
        <v>1.8273687813327604E-3</v>
      </c>
      <c r="AN110" s="2">
        <v>1.8419029901489191E-3</v>
      </c>
      <c r="AO110" s="2">
        <v>1.8566246198869327E-3</v>
      </c>
      <c r="AP110" s="2">
        <v>1.8715356721815935E-3</v>
      </c>
      <c r="AQ110" s="2">
        <v>0</v>
      </c>
      <c r="AR110" s="2">
        <v>2.3057650539984233E-2</v>
      </c>
    </row>
    <row r="111" spans="1:44" x14ac:dyDescent="0.25">
      <c r="A111" t="s">
        <v>250</v>
      </c>
      <c r="B111" t="s">
        <v>291</v>
      </c>
      <c r="C111" t="s">
        <v>44</v>
      </c>
      <c r="D111" t="s">
        <v>292</v>
      </c>
      <c r="E111" t="s">
        <v>148</v>
      </c>
      <c r="F111" t="s">
        <v>292</v>
      </c>
      <c r="G111" t="s">
        <v>31</v>
      </c>
      <c r="H111" t="s">
        <v>253</v>
      </c>
      <c r="I111" t="s">
        <v>256</v>
      </c>
      <c r="J111" t="s">
        <v>39</v>
      </c>
      <c r="K111" t="s">
        <v>31</v>
      </c>
      <c r="L111">
        <v>2.370000000000001</v>
      </c>
      <c r="M111">
        <v>1</v>
      </c>
      <c r="N111">
        <v>1.3593406335231053</v>
      </c>
      <c r="O111">
        <v>2.6788905273490848</v>
      </c>
      <c r="P111">
        <v>0.14333244733186137</v>
      </c>
      <c r="Q111">
        <v>0.4672931329656026</v>
      </c>
      <c r="R111">
        <v>-0.38246671991926479</v>
      </c>
      <c r="S111" s="2">
        <v>0</v>
      </c>
      <c r="T111" s="2">
        <v>0</v>
      </c>
      <c r="U111" s="2">
        <v>2.671982198806753E-5</v>
      </c>
      <c r="V111" s="2">
        <v>5.063941953542936E-5</v>
      </c>
      <c r="W111" s="2">
        <v>8.7281535417996553E-5</v>
      </c>
      <c r="X111" s="2">
        <v>1.4024998800901323E-4</v>
      </c>
      <c r="Y111" s="2">
        <v>2.1298626113163766E-4</v>
      </c>
      <c r="Z111" s="2">
        <v>3.082018393543044E-4</v>
      </c>
      <c r="AA111" s="2">
        <v>4.2716955728819099E-4</v>
      </c>
      <c r="AB111" s="2">
        <v>5.6897820958786219E-4</v>
      </c>
      <c r="AC111" s="2">
        <v>7.2993882300026577E-4</v>
      </c>
      <c r="AD111" s="2">
        <v>9.0339463696047532E-4</v>
      </c>
      <c r="AE111" s="2">
        <v>1.0801782197438238E-3</v>
      </c>
      <c r="AF111" s="2">
        <v>1.2498283994479176E-3</v>
      </c>
      <c r="AG111" s="2">
        <v>1.4024192909148955E-3</v>
      </c>
      <c r="AH111" s="2">
        <v>1.5305407048341068E-3</v>
      </c>
      <c r="AI111" s="2">
        <v>1.6307675777839498E-3</v>
      </c>
      <c r="AJ111" s="2">
        <v>1.7087207304756996E-3</v>
      </c>
      <c r="AK111" s="2">
        <v>1.7579851024171211E-3</v>
      </c>
      <c r="AL111" s="2">
        <v>1.8007563647584668E-3</v>
      </c>
      <c r="AM111" s="2">
        <v>1.8222972626476017E-3</v>
      </c>
      <c r="AN111" s="2">
        <v>1.8367911344982239E-3</v>
      </c>
      <c r="AO111" s="2">
        <v>1.8514719071190944E-3</v>
      </c>
      <c r="AP111" s="2">
        <v>1.8663415765899701E-3</v>
      </c>
      <c r="AQ111" s="2">
        <v>0</v>
      </c>
      <c r="AR111" s="2">
        <v>2.2993658363504119E-2</v>
      </c>
    </row>
    <row r="112" spans="1:44" x14ac:dyDescent="0.25">
      <c r="A112" t="s">
        <v>250</v>
      </c>
      <c r="B112" t="s">
        <v>291</v>
      </c>
      <c r="C112" t="s">
        <v>44</v>
      </c>
      <c r="D112" t="s">
        <v>292</v>
      </c>
      <c r="E112" t="s">
        <v>148</v>
      </c>
      <c r="F112" t="s">
        <v>292</v>
      </c>
      <c r="G112" t="s">
        <v>31</v>
      </c>
      <c r="H112" t="s">
        <v>288</v>
      </c>
      <c r="I112" t="s">
        <v>135</v>
      </c>
      <c r="J112" t="s">
        <v>39</v>
      </c>
      <c r="K112" t="s">
        <v>31</v>
      </c>
      <c r="L112">
        <v>2.370000000000001</v>
      </c>
      <c r="M112">
        <v>1</v>
      </c>
      <c r="N112">
        <v>2.729832824165364</v>
      </c>
      <c r="O112">
        <v>5.3797577395665286</v>
      </c>
      <c r="P112">
        <v>-1.3196045040170097</v>
      </c>
      <c r="Q112">
        <v>1.0674536938902881</v>
      </c>
      <c r="R112">
        <v>-1.8454036712681361</v>
      </c>
      <c r="S112" s="2">
        <v>0</v>
      </c>
      <c r="T112" s="2">
        <v>0</v>
      </c>
      <c r="U112" s="2">
        <v>9.5759168279017925E-3</v>
      </c>
      <c r="V112" s="2">
        <v>1.8167752674519654E-2</v>
      </c>
      <c r="W112" s="2">
        <v>3.1346948754960371E-2</v>
      </c>
      <c r="X112" s="2">
        <v>5.0423255383734773E-2</v>
      </c>
      <c r="Y112" s="2">
        <v>7.665307121274173E-2</v>
      </c>
      <c r="Z112" s="2">
        <v>0.1110344934784074</v>
      </c>
      <c r="AA112" s="2">
        <v>0.15405029227518902</v>
      </c>
      <c r="AB112" s="2">
        <v>0.20539613148826655</v>
      </c>
      <c r="AC112" s="2">
        <v>0.26376208090831971</v>
      </c>
      <c r="AD112" s="2">
        <v>0.32675902028760961</v>
      </c>
      <c r="AE112" s="2">
        <v>0.3910791025310274</v>
      </c>
      <c r="AF112" s="2">
        <v>0.45293268913391438</v>
      </c>
      <c r="AG112" s="2">
        <v>0.50870995264952179</v>
      </c>
      <c r="AH112" s="2">
        <v>0.55570121991815391</v>
      </c>
      <c r="AI112" s="2">
        <v>0.59263555422222802</v>
      </c>
      <c r="AJ112" s="2">
        <v>0.62152840688567612</v>
      </c>
      <c r="AK112" s="2">
        <v>0.64002136143876021</v>
      </c>
      <c r="AL112" s="2">
        <v>0.65617363899075087</v>
      </c>
      <c r="AM112" s="2">
        <v>0.6646037326791534</v>
      </c>
      <c r="AN112" s="2">
        <v>0.67046835591555098</v>
      </c>
      <c r="AO112" s="2">
        <v>0.67640351222590445</v>
      </c>
      <c r="AP112" s="2">
        <v>0.68240997829411687</v>
      </c>
      <c r="AQ112" s="2">
        <v>0</v>
      </c>
      <c r="AR112" s="2">
        <v>8.359836468176411</v>
      </c>
    </row>
    <row r="113" spans="1:44" x14ac:dyDescent="0.25">
      <c r="A113" t="s">
        <v>250</v>
      </c>
      <c r="B113" t="s">
        <v>291</v>
      </c>
      <c r="C113" t="s">
        <v>44</v>
      </c>
      <c r="D113" t="s">
        <v>292</v>
      </c>
      <c r="E113" t="s">
        <v>148</v>
      </c>
      <c r="F113" t="s">
        <v>292</v>
      </c>
      <c r="G113" t="s">
        <v>31</v>
      </c>
      <c r="H113" t="s">
        <v>288</v>
      </c>
      <c r="I113" t="s">
        <v>135</v>
      </c>
      <c r="J113" t="s">
        <v>39</v>
      </c>
      <c r="K113" t="s">
        <v>33</v>
      </c>
      <c r="L113">
        <v>2.370000000000001</v>
      </c>
      <c r="M113">
        <v>1</v>
      </c>
      <c r="N113">
        <v>2.729832824165364</v>
      </c>
      <c r="O113">
        <v>5.3797577395665286</v>
      </c>
      <c r="P113">
        <v>-1.3196045040170097</v>
      </c>
      <c r="Q113">
        <v>1.0674536938902881</v>
      </c>
      <c r="R113">
        <v>-1.8454036712681361</v>
      </c>
      <c r="S113" s="2">
        <v>0</v>
      </c>
      <c r="T113" s="2">
        <v>0</v>
      </c>
      <c r="U113" s="2">
        <v>9.0081735273290665E-5</v>
      </c>
      <c r="V113" s="2">
        <v>1.7090610918508488E-4</v>
      </c>
      <c r="W113" s="2">
        <v>2.9488430091016981E-4</v>
      </c>
      <c r="X113" s="2">
        <v>4.7433728015058342E-4</v>
      </c>
      <c r="Y113" s="2">
        <v>7.2108413146939547E-4</v>
      </c>
      <c r="Z113" s="2">
        <v>1.044514068729371E-3</v>
      </c>
      <c r="AA113" s="2">
        <v>1.4491685649432721E-3</v>
      </c>
      <c r="AB113" s="2">
        <v>1.9321846957747902E-3</v>
      </c>
      <c r="AC113" s="2">
        <v>2.4812397992309337E-3</v>
      </c>
      <c r="AD113" s="2">
        <v>3.0738591502739018E-3</v>
      </c>
      <c r="AE113" s="2">
        <v>3.6789254562516116E-3</v>
      </c>
      <c r="AF113" s="2">
        <v>4.26078915809887E-3</v>
      </c>
      <c r="AG113" s="2">
        <v>4.7854921997586902E-3</v>
      </c>
      <c r="AH113" s="2">
        <v>5.2275443786075765E-3</v>
      </c>
      <c r="AI113" s="2">
        <v>5.5749898488501211E-3</v>
      </c>
      <c r="AJ113" s="2">
        <v>5.8467881895935192E-3</v>
      </c>
      <c r="AK113" s="2">
        <v>6.0207535097199956E-3</v>
      </c>
      <c r="AL113" s="2">
        <v>6.1726998159223291E-3</v>
      </c>
      <c r="AM113" s="2">
        <v>6.2520026630140946E-3</v>
      </c>
      <c r="AN113" s="2">
        <v>6.3071718387028176E-3</v>
      </c>
      <c r="AO113" s="2">
        <v>6.3630045270149623E-3</v>
      </c>
      <c r="AP113" s="2">
        <v>6.4195080343040162E-3</v>
      </c>
      <c r="AQ113" s="2">
        <v>0</v>
      </c>
      <c r="AR113" s="2">
        <v>7.8641929455779414E-2</v>
      </c>
    </row>
    <row r="114" spans="1:44" x14ac:dyDescent="0.25">
      <c r="A114" t="s">
        <v>250</v>
      </c>
      <c r="B114" t="s">
        <v>291</v>
      </c>
      <c r="C114" t="s">
        <v>44</v>
      </c>
      <c r="D114" t="s">
        <v>292</v>
      </c>
      <c r="E114" t="s">
        <v>148</v>
      </c>
      <c r="F114" t="s">
        <v>292</v>
      </c>
      <c r="G114" t="s">
        <v>31</v>
      </c>
      <c r="H114" t="s">
        <v>273</v>
      </c>
      <c r="I114" t="s">
        <v>135</v>
      </c>
      <c r="J114" t="s">
        <v>39</v>
      </c>
      <c r="K114" t="s">
        <v>31</v>
      </c>
      <c r="L114">
        <v>2.370000000000001</v>
      </c>
      <c r="M114">
        <v>1</v>
      </c>
      <c r="N114">
        <v>2.729832824165364</v>
      </c>
      <c r="O114">
        <v>5.3797577395665286</v>
      </c>
      <c r="P114">
        <v>-1.3196045040170097</v>
      </c>
      <c r="Q114">
        <v>1.0674536938902881</v>
      </c>
      <c r="R114">
        <v>-1.8454036712681361</v>
      </c>
      <c r="S114" s="2">
        <v>0</v>
      </c>
      <c r="T114" s="2">
        <v>0</v>
      </c>
      <c r="U114" s="2">
        <v>3.3736085372369677E-3</v>
      </c>
      <c r="V114" s="2">
        <v>6.3905446127627413E-3</v>
      </c>
      <c r="W114" s="2">
        <v>1.1009357367020699E-2</v>
      </c>
      <c r="X114" s="2">
        <v>1.7682158136380806E-2</v>
      </c>
      <c r="Y114" s="2">
        <v>2.6839799736527007E-2</v>
      </c>
      <c r="Z114" s="2">
        <v>3.8820447799134378E-2</v>
      </c>
      <c r="AA114" s="2">
        <v>5.3780597467826659E-2</v>
      </c>
      <c r="AB114" s="2">
        <v>7.1601702155410327E-2</v>
      </c>
      <c r="AC114" s="2">
        <v>9.181611669167572E-2</v>
      </c>
      <c r="AD114" s="2">
        <v>0.11358397455216936</v>
      </c>
      <c r="AE114" s="2">
        <v>0.13575142754571171</v>
      </c>
      <c r="AF114" s="2">
        <v>0.15700415371807153</v>
      </c>
      <c r="AG114" s="2">
        <v>0.17609730602791679</v>
      </c>
      <c r="AH114" s="2">
        <v>0.19210386649374059</v>
      </c>
      <c r="AI114" s="2">
        <v>0.20459827610100978</v>
      </c>
      <c r="AJ114" s="2">
        <v>0.21429002248343743</v>
      </c>
      <c r="AK114" s="2">
        <v>0.22037852920462939</v>
      </c>
      <c r="AL114" s="2">
        <v>0.22564958045805572</v>
      </c>
      <c r="AM114" s="2">
        <v>0.22825826797183182</v>
      </c>
      <c r="AN114" s="2">
        <v>0.22998367997413335</v>
      </c>
      <c r="AO114" s="2">
        <v>0.23173227928599482</v>
      </c>
      <c r="AP114" s="2">
        <v>0.23350430828236693</v>
      </c>
      <c r="AQ114" s="2">
        <v>0</v>
      </c>
      <c r="AR114" s="2">
        <v>2.8842500046030448</v>
      </c>
    </row>
    <row r="115" spans="1:44" x14ac:dyDescent="0.25">
      <c r="A115" t="s">
        <v>250</v>
      </c>
      <c r="B115" t="s">
        <v>291</v>
      </c>
      <c r="C115" t="s">
        <v>44</v>
      </c>
      <c r="D115" t="s">
        <v>292</v>
      </c>
      <c r="E115" t="s">
        <v>148</v>
      </c>
      <c r="F115" t="s">
        <v>292</v>
      </c>
      <c r="G115" t="s">
        <v>31</v>
      </c>
      <c r="H115" t="s">
        <v>252</v>
      </c>
      <c r="I115" t="s">
        <v>135</v>
      </c>
      <c r="J115" t="s">
        <v>39</v>
      </c>
      <c r="K115" t="s">
        <v>31</v>
      </c>
      <c r="L115">
        <v>2.370000000000001</v>
      </c>
      <c r="M115">
        <v>1</v>
      </c>
      <c r="N115">
        <v>2.729832824165364</v>
      </c>
      <c r="O115">
        <v>5.3797577395665286</v>
      </c>
      <c r="P115">
        <v>-1.3196045040170097</v>
      </c>
      <c r="Q115">
        <v>1.0674536938902881</v>
      </c>
      <c r="R115">
        <v>-1.8454036712681361</v>
      </c>
      <c r="S115" s="2">
        <v>0</v>
      </c>
      <c r="T115" s="2">
        <v>0</v>
      </c>
      <c r="U115" s="2">
        <v>2.2860239052783002E-4</v>
      </c>
      <c r="V115" s="2">
        <v>4.3341643301307586E-4</v>
      </c>
      <c r="W115" s="2">
        <v>7.4731991413264922E-4</v>
      </c>
      <c r="X115" s="2">
        <v>1.201303151378287E-3</v>
      </c>
      <c r="Y115" s="2">
        <v>1.8250092511127298E-3</v>
      </c>
      <c r="Z115" s="2">
        <v>2.6418642806697217E-3</v>
      </c>
      <c r="AA115" s="2">
        <v>3.6629878295856753E-3</v>
      </c>
      <c r="AB115" s="2">
        <v>4.8807755526633547E-3</v>
      </c>
      <c r="AC115" s="2">
        <v>6.2637701472728433E-3</v>
      </c>
      <c r="AD115" s="2">
        <v>7.7549881908733197E-3</v>
      </c>
      <c r="AE115" s="2">
        <v>9.2758021647178397E-3</v>
      </c>
      <c r="AF115" s="2">
        <v>1.0736359224522126E-2</v>
      </c>
      <c r="AG115" s="2">
        <v>1.2051282633830604E-2</v>
      </c>
      <c r="AH115" s="2">
        <v>1.3156707055871091E-2</v>
      </c>
      <c r="AI115" s="2">
        <v>1.4022953759729588E-2</v>
      </c>
      <c r="AJ115" s="2">
        <v>1.4698121487393724E-2</v>
      </c>
      <c r="AK115" s="2">
        <v>1.5126813576751176E-2</v>
      </c>
      <c r="AL115" s="2">
        <v>1.5499831007383622E-2</v>
      </c>
      <c r="AM115" s="2">
        <v>1.5690226032899324E-2</v>
      </c>
      <c r="AN115" s="2">
        <v>1.5819981392302781E-2</v>
      </c>
      <c r="AO115" s="2">
        <v>1.5951362807986456E-2</v>
      </c>
      <c r="AP115" s="2">
        <v>1.6084387882580792E-2</v>
      </c>
      <c r="AQ115" s="2">
        <v>0</v>
      </c>
      <c r="AR115" s="2">
        <v>0.19775386616719862</v>
      </c>
    </row>
    <row r="116" spans="1:44" x14ac:dyDescent="0.25">
      <c r="A116" t="s">
        <v>250</v>
      </c>
      <c r="B116" t="s">
        <v>291</v>
      </c>
      <c r="C116" t="s">
        <v>44</v>
      </c>
      <c r="D116" t="s">
        <v>292</v>
      </c>
      <c r="E116" t="s">
        <v>148</v>
      </c>
      <c r="F116" t="s">
        <v>292</v>
      </c>
      <c r="G116" t="s">
        <v>31</v>
      </c>
      <c r="H116" t="s">
        <v>289</v>
      </c>
      <c r="I116" t="s">
        <v>135</v>
      </c>
      <c r="J116" t="s">
        <v>39</v>
      </c>
      <c r="K116" t="s">
        <v>31</v>
      </c>
      <c r="L116">
        <v>2.370000000000001</v>
      </c>
      <c r="M116">
        <v>1</v>
      </c>
      <c r="N116">
        <v>2.729832824165364</v>
      </c>
      <c r="O116">
        <v>5.3797577395665286</v>
      </c>
      <c r="P116">
        <v>-1.3196045040170097</v>
      </c>
      <c r="Q116">
        <v>1.0674536938902881</v>
      </c>
      <c r="R116">
        <v>-1.8454036712681361</v>
      </c>
      <c r="S116" s="2">
        <v>0</v>
      </c>
      <c r="T116" s="2">
        <v>0</v>
      </c>
      <c r="U116" s="2">
        <v>9.1014938462934038E-3</v>
      </c>
      <c r="V116" s="2">
        <v>1.7267661378001935E-2</v>
      </c>
      <c r="W116" s="2">
        <v>2.9793915958212763E-2</v>
      </c>
      <c r="X116" s="2">
        <v>4.7925118485568484E-2</v>
      </c>
      <c r="Y116" s="2">
        <v>7.2855421416093441E-2</v>
      </c>
      <c r="Z116" s="2">
        <v>0.10553347290730931</v>
      </c>
      <c r="AA116" s="2">
        <v>0.14641812500678678</v>
      </c>
      <c r="AB116" s="2">
        <v>0.19522011942980935</v>
      </c>
      <c r="AC116" s="2">
        <v>0.25069442429551703</v>
      </c>
      <c r="AD116" s="2">
        <v>0.31057028437246226</v>
      </c>
      <c r="AE116" s="2">
        <v>0.3717037343859193</v>
      </c>
      <c r="AF116" s="2">
        <v>0.43049288721116002</v>
      </c>
      <c r="AG116" s="2">
        <v>0.48350675833953149</v>
      </c>
      <c r="AH116" s="2">
        <v>0.52816992089215908</v>
      </c>
      <c r="AI116" s="2">
        <v>0.56327440461175893</v>
      </c>
      <c r="AJ116" s="2">
        <v>0.59073580861562813</v>
      </c>
      <c r="AK116" s="2">
        <v>0.60831256028228409</v>
      </c>
      <c r="AL116" s="2">
        <v>0.62366459992350975</v>
      </c>
      <c r="AM116" s="2">
        <v>0.6316770385450674</v>
      </c>
      <c r="AN116" s="2">
        <v>0.6372511087104743</v>
      </c>
      <c r="AO116" s="2">
        <v>0.64289221750521164</v>
      </c>
      <c r="AP116" s="2">
        <v>0.64860110313363573</v>
      </c>
      <c r="AQ116" s="2">
        <v>0</v>
      </c>
      <c r="AR116" s="2">
        <v>7.9456621792523956</v>
      </c>
    </row>
    <row r="117" spans="1:44" x14ac:dyDescent="0.25">
      <c r="A117" t="s">
        <v>250</v>
      </c>
      <c r="B117" t="s">
        <v>291</v>
      </c>
      <c r="C117" t="s">
        <v>44</v>
      </c>
      <c r="D117" t="s">
        <v>292</v>
      </c>
      <c r="E117" t="s">
        <v>148</v>
      </c>
      <c r="F117" t="s">
        <v>292</v>
      </c>
      <c r="G117" t="s">
        <v>31</v>
      </c>
      <c r="H117" t="s">
        <v>274</v>
      </c>
      <c r="I117" t="s">
        <v>135</v>
      </c>
      <c r="J117" t="s">
        <v>39</v>
      </c>
      <c r="K117" t="s">
        <v>31</v>
      </c>
      <c r="L117">
        <v>2.370000000000001</v>
      </c>
      <c r="M117">
        <v>1</v>
      </c>
      <c r="N117">
        <v>2.729832824165364</v>
      </c>
      <c r="O117">
        <v>5.3797577395665286</v>
      </c>
      <c r="P117">
        <v>-1.3196045040170097</v>
      </c>
      <c r="Q117">
        <v>1.0674536938902881</v>
      </c>
      <c r="R117">
        <v>-1.8454036712681361</v>
      </c>
      <c r="S117" s="2">
        <v>0</v>
      </c>
      <c r="T117" s="2">
        <v>0</v>
      </c>
      <c r="U117" s="2">
        <v>5.3106639511475897E-3</v>
      </c>
      <c r="V117" s="2">
        <v>1.0059861578070038E-2</v>
      </c>
      <c r="W117" s="2">
        <v>1.7330699946065391E-2</v>
      </c>
      <c r="X117" s="2">
        <v>2.7834883258351172E-2</v>
      </c>
      <c r="Y117" s="2">
        <v>4.22506509998141E-2</v>
      </c>
      <c r="Z117" s="2">
        <v>6.1110336430178117E-2</v>
      </c>
      <c r="AA117" s="2">
        <v>8.4660290929155599E-2</v>
      </c>
      <c r="AB117" s="2">
        <v>0.11271390094032022</v>
      </c>
      <c r="AC117" s="2">
        <v>0.14453500922433526</v>
      </c>
      <c r="AD117" s="2">
        <v>0.17880151547645254</v>
      </c>
      <c r="AE117" s="2">
        <v>0.2136970560236644</v>
      </c>
      <c r="AF117" s="2">
        <v>0.2471526527538008</v>
      </c>
      <c r="AG117" s="2">
        <v>0.27720869350852867</v>
      </c>
      <c r="AH117" s="2">
        <v>0.30240588598341844</v>
      </c>
      <c r="AI117" s="2">
        <v>0.32207432408458564</v>
      </c>
      <c r="AJ117" s="2">
        <v>0.33733086839572823</v>
      </c>
      <c r="AK117" s="2">
        <v>0.34691526824641655</v>
      </c>
      <c r="AL117" s="2">
        <v>0.35521284680872828</v>
      </c>
      <c r="AM117" s="2">
        <v>0.35931938809421171</v>
      </c>
      <c r="AN117" s="2">
        <v>0.36203549555610526</v>
      </c>
      <c r="AO117" s="2">
        <v>0.36478810399540906</v>
      </c>
      <c r="AP117" s="2">
        <v>0.36757759495369768</v>
      </c>
      <c r="AQ117" s="2">
        <v>0</v>
      </c>
      <c r="AR117" s="2">
        <v>4.540325991138185</v>
      </c>
    </row>
    <row r="118" spans="1:44" x14ac:dyDescent="0.25">
      <c r="A118" t="s">
        <v>250</v>
      </c>
      <c r="B118" t="s">
        <v>291</v>
      </c>
      <c r="C118" t="s">
        <v>44</v>
      </c>
      <c r="D118" t="s">
        <v>292</v>
      </c>
      <c r="E118" t="s">
        <v>148</v>
      </c>
      <c r="F118" t="s">
        <v>292</v>
      </c>
      <c r="G118" t="s">
        <v>31</v>
      </c>
      <c r="H118" t="s">
        <v>274</v>
      </c>
      <c r="I118" t="s">
        <v>135</v>
      </c>
      <c r="J118" t="s">
        <v>39</v>
      </c>
      <c r="K118" t="s">
        <v>33</v>
      </c>
      <c r="L118">
        <v>2.370000000000001</v>
      </c>
      <c r="M118">
        <v>1</v>
      </c>
      <c r="N118">
        <v>2.729832824165364</v>
      </c>
      <c r="O118">
        <v>5.3797577395665286</v>
      </c>
      <c r="P118">
        <v>-1.3196045040170097</v>
      </c>
      <c r="Q118">
        <v>1.0674536938902881</v>
      </c>
      <c r="R118">
        <v>-1.8454036712681361</v>
      </c>
      <c r="S118" s="2">
        <v>0</v>
      </c>
      <c r="T118" s="2">
        <v>0</v>
      </c>
      <c r="U118" s="2">
        <v>1.7086968982989589E-5</v>
      </c>
      <c r="V118" s="2">
        <v>3.2367429824006557E-5</v>
      </c>
      <c r="W118" s="2">
        <v>5.5761225932573543E-5</v>
      </c>
      <c r="X118" s="2">
        <v>8.95582532157416E-5</v>
      </c>
      <c r="Y118" s="2">
        <v>1.3594073543081835E-4</v>
      </c>
      <c r="Z118" s="2">
        <v>1.9662144559097348E-4</v>
      </c>
      <c r="AA118" s="2">
        <v>2.72393014979747E-4</v>
      </c>
      <c r="AB118" s="2">
        <v>3.6265501772199643E-4</v>
      </c>
      <c r="AC118" s="2">
        <v>4.6503888069186842E-4</v>
      </c>
      <c r="AD118" s="2">
        <v>5.7529076913207325E-4</v>
      </c>
      <c r="AE118" s="2">
        <v>6.8756656448644025E-4</v>
      </c>
      <c r="AF118" s="2">
        <v>7.9520936563030236E-4</v>
      </c>
      <c r="AG118" s="2">
        <v>8.9191415449506946E-4</v>
      </c>
      <c r="AH118" s="2">
        <v>9.7298568344839694E-4</v>
      </c>
      <c r="AI118" s="2">
        <v>1.0362685412737169E-3</v>
      </c>
      <c r="AJ118" s="2">
        <v>1.0853562074921302E-3</v>
      </c>
      <c r="AK118" s="2">
        <v>1.1161938474700665E-3</v>
      </c>
      <c r="AL118" s="2">
        <v>1.1428911623128683E-3</v>
      </c>
      <c r="AM118" s="2">
        <v>1.1561038875423136E-3</v>
      </c>
      <c r="AN118" s="2">
        <v>1.1648429161049973E-3</v>
      </c>
      <c r="AO118" s="2">
        <v>1.1736993859282293E-3</v>
      </c>
      <c r="AP118" s="2">
        <v>1.1826745246154076E-3</v>
      </c>
      <c r="AQ118" s="2">
        <v>0</v>
      </c>
      <c r="AR118" s="2">
        <v>1.4608419982302728E-2</v>
      </c>
    </row>
    <row r="119" spans="1:44" x14ac:dyDescent="0.25">
      <c r="A119" t="s">
        <v>250</v>
      </c>
      <c r="B119" t="s">
        <v>291</v>
      </c>
      <c r="C119" t="s">
        <v>44</v>
      </c>
      <c r="D119" t="s">
        <v>292</v>
      </c>
      <c r="E119" t="s">
        <v>148</v>
      </c>
      <c r="F119" t="s">
        <v>292</v>
      </c>
      <c r="G119" t="s">
        <v>31</v>
      </c>
      <c r="H119" t="s">
        <v>255</v>
      </c>
      <c r="I119" t="s">
        <v>135</v>
      </c>
      <c r="J119" t="s">
        <v>39</v>
      </c>
      <c r="K119" t="s">
        <v>31</v>
      </c>
      <c r="L119">
        <v>2.370000000000001</v>
      </c>
      <c r="M119">
        <v>1</v>
      </c>
      <c r="N119">
        <v>2.729832824165364</v>
      </c>
      <c r="O119">
        <v>5.3797577395665286</v>
      </c>
      <c r="P119">
        <v>-1.3196045040170097</v>
      </c>
      <c r="Q119">
        <v>1.0674536938902881</v>
      </c>
      <c r="R119">
        <v>-1.8454036712681361</v>
      </c>
      <c r="S119" s="2">
        <v>0</v>
      </c>
      <c r="T119" s="2">
        <v>0</v>
      </c>
      <c r="U119" s="2">
        <v>2.4466413864831318E-3</v>
      </c>
      <c r="V119" s="2">
        <v>4.614675060026093E-3</v>
      </c>
      <c r="W119" s="2">
        <v>7.9161580608981298E-3</v>
      </c>
      <c r="X119" s="2">
        <v>1.2660726532216384E-2</v>
      </c>
      <c r="Y119" s="2">
        <v>1.9137938611921555E-2</v>
      </c>
      <c r="Z119" s="2">
        <v>2.7567071123122337E-2</v>
      </c>
      <c r="AA119" s="2">
        <v>3.8035715208218537E-2</v>
      </c>
      <c r="AB119" s="2">
        <v>5.0436723684781602E-2</v>
      </c>
      <c r="AC119" s="2">
        <v>6.4420140667198061E-2</v>
      </c>
      <c r="AD119" s="2">
        <v>7.9381754603028043E-2</v>
      </c>
      <c r="AE119" s="2">
        <v>9.4508432070748244E-2</v>
      </c>
      <c r="AF119" s="2">
        <v>0.10888835177105878</v>
      </c>
      <c r="AG119" s="2">
        <v>0.12167145372795</v>
      </c>
      <c r="AH119" s="2">
        <v>0.13223893043996174</v>
      </c>
      <c r="AI119" s="2">
        <v>0.1403246332342008</v>
      </c>
      <c r="AJ119" s="2">
        <v>0.14644146105051098</v>
      </c>
      <c r="AK119" s="2">
        <v>0.15006620991135541</v>
      </c>
      <c r="AL119" s="2">
        <v>0.15311615105071683</v>
      </c>
      <c r="AM119" s="2">
        <v>0.15435015384562945</v>
      </c>
      <c r="AN119" s="2">
        <v>0.15498611906831586</v>
      </c>
      <c r="AO119" s="2">
        <v>0.15563907089555057</v>
      </c>
      <c r="AP119" s="2">
        <v>0.1563091111282108</v>
      </c>
      <c r="AQ119" s="2">
        <v>0</v>
      </c>
      <c r="AR119" s="2">
        <v>1.9751576231321033</v>
      </c>
    </row>
    <row r="120" spans="1:44" x14ac:dyDescent="0.25">
      <c r="A120" t="s">
        <v>250</v>
      </c>
      <c r="B120" t="s">
        <v>291</v>
      </c>
      <c r="C120" t="s">
        <v>44</v>
      </c>
      <c r="D120" t="s">
        <v>292</v>
      </c>
      <c r="E120" t="s">
        <v>148</v>
      </c>
      <c r="F120" t="s">
        <v>292</v>
      </c>
      <c r="G120" t="s">
        <v>31</v>
      </c>
      <c r="H120" t="s">
        <v>278</v>
      </c>
      <c r="I120" t="s">
        <v>135</v>
      </c>
      <c r="J120" t="s">
        <v>39</v>
      </c>
      <c r="K120" t="s">
        <v>31</v>
      </c>
      <c r="L120">
        <v>2.370000000000001</v>
      </c>
      <c r="M120">
        <v>1</v>
      </c>
      <c r="N120">
        <v>2.729832824165364</v>
      </c>
      <c r="O120">
        <v>5.3797577395665286</v>
      </c>
      <c r="P120">
        <v>-1.3196045040170097</v>
      </c>
      <c r="Q120">
        <v>1.0674536938902881</v>
      </c>
      <c r="R120">
        <v>-1.8454036712681361</v>
      </c>
      <c r="S120" s="2">
        <v>0</v>
      </c>
      <c r="T120" s="2">
        <v>0</v>
      </c>
      <c r="U120" s="2">
        <v>7.1500074886500075E-3</v>
      </c>
      <c r="V120" s="2">
        <v>1.3485818321867247E-2</v>
      </c>
      <c r="W120" s="2">
        <v>2.3133994924412666E-2</v>
      </c>
      <c r="X120" s="2">
        <v>3.6999410709396427E-2</v>
      </c>
      <c r="Y120" s="2">
        <v>5.5928263597819224E-2</v>
      </c>
      <c r="Z120" s="2">
        <v>8.0561363042172401E-2</v>
      </c>
      <c r="AA120" s="2">
        <v>0.11115468334566013</v>
      </c>
      <c r="AB120" s="2">
        <v>0.14739510009169224</v>
      </c>
      <c r="AC120" s="2">
        <v>0.18825991039595782</v>
      </c>
      <c r="AD120" s="2">
        <v>0.23198338056795514</v>
      </c>
      <c r="AE120" s="2">
        <v>0.27618922853983868</v>
      </c>
      <c r="AF120" s="2">
        <v>0.31821276910096719</v>
      </c>
      <c r="AG120" s="2">
        <v>0.35556980688545553</v>
      </c>
      <c r="AH120" s="2">
        <v>0.38645195334322885</v>
      </c>
      <c r="AI120" s="2">
        <v>0.41008142182569651</v>
      </c>
      <c r="AJ120" s="2">
        <v>0.42795709618281041</v>
      </c>
      <c r="AK120" s="2">
        <v>0.43854997736380164</v>
      </c>
      <c r="AL120" s="2">
        <v>0.4474630539212609</v>
      </c>
      <c r="AM120" s="2">
        <v>0.45106927478933612</v>
      </c>
      <c r="AN120" s="2">
        <v>0.4529278046621027</v>
      </c>
      <c r="AO120" s="2">
        <v>0.45483597579018997</v>
      </c>
      <c r="AP120" s="2">
        <v>0.45679408567408375</v>
      </c>
      <c r="AQ120" s="2">
        <v>0</v>
      </c>
      <c r="AR120" s="2">
        <v>5.7721543805643565</v>
      </c>
    </row>
    <row r="121" spans="1:44" x14ac:dyDescent="0.25">
      <c r="A121" t="s">
        <v>250</v>
      </c>
      <c r="B121" t="s">
        <v>291</v>
      </c>
      <c r="C121" t="s">
        <v>44</v>
      </c>
      <c r="D121" t="s">
        <v>292</v>
      </c>
      <c r="E121" t="s">
        <v>148</v>
      </c>
      <c r="F121" t="s">
        <v>292</v>
      </c>
      <c r="G121" t="s">
        <v>31</v>
      </c>
      <c r="H121" t="s">
        <v>276</v>
      </c>
      <c r="I121" t="s">
        <v>135</v>
      </c>
      <c r="J121" t="s">
        <v>39</v>
      </c>
      <c r="K121" t="s">
        <v>31</v>
      </c>
      <c r="L121">
        <v>2.370000000000001</v>
      </c>
      <c r="M121">
        <v>1</v>
      </c>
      <c r="N121">
        <v>2.729832824165364</v>
      </c>
      <c r="O121">
        <v>5.3797577395665286</v>
      </c>
      <c r="P121">
        <v>-1.3196045040170097</v>
      </c>
      <c r="Q121">
        <v>1.0674536938902881</v>
      </c>
      <c r="R121">
        <v>-1.8454036712681361</v>
      </c>
      <c r="S121" s="2">
        <v>0</v>
      </c>
      <c r="T121" s="2">
        <v>0</v>
      </c>
      <c r="U121" s="2">
        <v>4.6149606781858369E-3</v>
      </c>
      <c r="V121" s="2">
        <v>8.7633293571361542E-3</v>
      </c>
      <c r="W121" s="2">
        <v>1.5133493654610048E-2</v>
      </c>
      <c r="X121" s="2">
        <v>2.4363885363505162E-2</v>
      </c>
      <c r="Y121" s="2">
        <v>3.706915942227286E-2</v>
      </c>
      <c r="Z121" s="2">
        <v>5.374083415363403E-2</v>
      </c>
      <c r="AA121" s="2">
        <v>7.4622217461377635E-2</v>
      </c>
      <c r="AB121" s="2">
        <v>9.9575586988325471E-2</v>
      </c>
      <c r="AC121" s="2">
        <v>0.12797462115784214</v>
      </c>
      <c r="AD121" s="2">
        <v>0.15866672880788446</v>
      </c>
      <c r="AE121" s="2">
        <v>0.19004901676601868</v>
      </c>
      <c r="AF121" s="2">
        <v>0.22027914943907242</v>
      </c>
      <c r="AG121" s="2">
        <v>0.24759659673509454</v>
      </c>
      <c r="AH121" s="2">
        <v>0.2706739942343927</v>
      </c>
      <c r="AI121" s="2">
        <v>0.28888147533377284</v>
      </c>
      <c r="AJ121" s="2">
        <v>0.30319070104600998</v>
      </c>
      <c r="AK121" s="2">
        <v>0.31244126877959555</v>
      </c>
      <c r="AL121" s="2">
        <v>0.32055893588354922</v>
      </c>
      <c r="AM121" s="2">
        <v>0.32491013382557327</v>
      </c>
      <c r="AN121" s="2">
        <v>0.32800945052987535</v>
      </c>
      <c r="AO121" s="2">
        <v>0.33114466702907908</v>
      </c>
      <c r="AP121" s="2">
        <v>0.33431618351423675</v>
      </c>
      <c r="AQ121" s="2">
        <v>0</v>
      </c>
      <c r="AR121" s="2">
        <v>4.076576390161045</v>
      </c>
    </row>
    <row r="122" spans="1:44" x14ac:dyDescent="0.25">
      <c r="A122" t="s">
        <v>250</v>
      </c>
      <c r="B122" t="s">
        <v>291</v>
      </c>
      <c r="C122" t="s">
        <v>44</v>
      </c>
      <c r="D122" t="s">
        <v>292</v>
      </c>
      <c r="E122" t="s">
        <v>148</v>
      </c>
      <c r="F122" t="s">
        <v>292</v>
      </c>
      <c r="G122" t="s">
        <v>31</v>
      </c>
      <c r="H122" t="s">
        <v>290</v>
      </c>
      <c r="I122" t="s">
        <v>135</v>
      </c>
      <c r="J122" t="s">
        <v>39</v>
      </c>
      <c r="K122" t="s">
        <v>31</v>
      </c>
      <c r="L122">
        <v>2.370000000000001</v>
      </c>
      <c r="M122">
        <v>1</v>
      </c>
      <c r="N122">
        <v>2.729832824165364</v>
      </c>
      <c r="O122">
        <v>5.3797577395665286</v>
      </c>
      <c r="P122">
        <v>-1.3196045040170097</v>
      </c>
      <c r="Q122">
        <v>1.0674536938902881</v>
      </c>
      <c r="R122">
        <v>-1.8454036712681361</v>
      </c>
      <c r="S122" s="2">
        <v>0</v>
      </c>
      <c r="T122" s="2">
        <v>0</v>
      </c>
      <c r="U122" s="2">
        <v>1.3179582989393498E-2</v>
      </c>
      <c r="V122" s="2">
        <v>2.5004749770479409E-2</v>
      </c>
      <c r="W122" s="2">
        <v>4.3143619561991413E-2</v>
      </c>
      <c r="X122" s="2">
        <v>6.9398835732258468E-2</v>
      </c>
      <c r="Y122" s="2">
        <v>0.10549961237096089</v>
      </c>
      <c r="Z122" s="2">
        <v>0.15281965662233049</v>
      </c>
      <c r="AA122" s="2">
        <v>0.21202341750351555</v>
      </c>
      <c r="AB122" s="2">
        <v>0.28269202931696141</v>
      </c>
      <c r="AC122" s="2">
        <v>0.36302260110043588</v>
      </c>
      <c r="AD122" s="2">
        <v>0.44972692461835878</v>
      </c>
      <c r="AE122" s="2">
        <v>0.5382523240184186</v>
      </c>
      <c r="AF122" s="2">
        <v>0.62338302142058122</v>
      </c>
      <c r="AG122" s="2">
        <v>0.70015071757299274</v>
      </c>
      <c r="AH122" s="2">
        <v>0.7648260189435363</v>
      </c>
      <c r="AI122" s="2">
        <v>0.81565970232517604</v>
      </c>
      <c r="AJ122" s="2">
        <v>0.85542568571057875</v>
      </c>
      <c r="AK122" s="2">
        <v>0.88087801927108034</v>
      </c>
      <c r="AL122" s="2">
        <v>0.90310881829430334</v>
      </c>
      <c r="AM122" s="2">
        <v>0.91471137514305434</v>
      </c>
      <c r="AN122" s="2">
        <v>0.92278300839078642</v>
      </c>
      <c r="AO122" s="2">
        <v>0.93095171813975808</v>
      </c>
      <c r="AP122" s="2">
        <v>0.93921857336017212</v>
      </c>
      <c r="AQ122" s="2">
        <v>0</v>
      </c>
      <c r="AR122" s="2">
        <v>11.505860012177125</v>
      </c>
    </row>
    <row r="123" spans="1:44" x14ac:dyDescent="0.25">
      <c r="A123" t="s">
        <v>250</v>
      </c>
      <c r="B123" t="s">
        <v>291</v>
      </c>
      <c r="C123" t="s">
        <v>44</v>
      </c>
      <c r="D123" t="s">
        <v>292</v>
      </c>
      <c r="E123" t="s">
        <v>148</v>
      </c>
      <c r="F123" t="s">
        <v>292</v>
      </c>
      <c r="G123" t="s">
        <v>31</v>
      </c>
      <c r="H123" t="s">
        <v>275</v>
      </c>
      <c r="I123" t="s">
        <v>135</v>
      </c>
      <c r="J123" t="s">
        <v>39</v>
      </c>
      <c r="K123" t="s">
        <v>31</v>
      </c>
      <c r="L123">
        <v>2.370000000000001</v>
      </c>
      <c r="M123">
        <v>1</v>
      </c>
      <c r="N123">
        <v>2.729832824165364</v>
      </c>
      <c r="O123">
        <v>5.3797577395665286</v>
      </c>
      <c r="P123">
        <v>-1.3196045040170097</v>
      </c>
      <c r="Q123">
        <v>1.0674536938902881</v>
      </c>
      <c r="R123">
        <v>-1.8454036712681361</v>
      </c>
      <c r="S123" s="2">
        <v>0</v>
      </c>
      <c r="T123" s="2">
        <v>0</v>
      </c>
      <c r="U123" s="2">
        <v>8.1130343983811613E-3</v>
      </c>
      <c r="V123" s="2">
        <v>1.5368323768292473E-2</v>
      </c>
      <c r="W123" s="2">
        <v>2.647589192309301E-2</v>
      </c>
      <c r="X123" s="2">
        <v>4.2523000405839985E-2</v>
      </c>
      <c r="Y123" s="2">
        <v>6.4545787131083429E-2</v>
      </c>
      <c r="Z123" s="2">
        <v>9.3357490911761251E-2</v>
      </c>
      <c r="AA123" s="2">
        <v>0.12933445964638252</v>
      </c>
      <c r="AB123" s="2">
        <v>0.17219160615631304</v>
      </c>
      <c r="AC123" s="2">
        <v>0.22080431230335584</v>
      </c>
      <c r="AD123" s="2">
        <v>0.27315282211175923</v>
      </c>
      <c r="AE123" s="2">
        <v>0.32646229968629897</v>
      </c>
      <c r="AF123" s="2">
        <v>0.37757199323625762</v>
      </c>
      <c r="AG123" s="2">
        <v>0.42348822796045688</v>
      </c>
      <c r="AH123" s="2">
        <v>0.46198166139400115</v>
      </c>
      <c r="AI123" s="2">
        <v>0.49202888643875697</v>
      </c>
      <c r="AJ123" s="2">
        <v>0.51533611693486392</v>
      </c>
      <c r="AK123" s="2">
        <v>0.52997808381353018</v>
      </c>
      <c r="AL123" s="2">
        <v>0.54265419002521087</v>
      </c>
      <c r="AM123" s="2">
        <v>0.54892770140044023</v>
      </c>
      <c r="AN123" s="2">
        <v>0.553077064544236</v>
      </c>
      <c r="AO123" s="2">
        <v>0.55728218977129851</v>
      </c>
      <c r="AP123" s="2">
        <v>0.56154365995782862</v>
      </c>
      <c r="AQ123" s="2">
        <v>0</v>
      </c>
      <c r="AR123" s="2">
        <v>6.9361988039194422</v>
      </c>
    </row>
    <row r="124" spans="1:44" x14ac:dyDescent="0.25">
      <c r="A124" t="s">
        <v>250</v>
      </c>
      <c r="B124" t="s">
        <v>291</v>
      </c>
      <c r="C124" t="s">
        <v>44</v>
      </c>
      <c r="D124" t="s">
        <v>292</v>
      </c>
      <c r="E124" t="s">
        <v>148</v>
      </c>
      <c r="F124" t="s">
        <v>292</v>
      </c>
      <c r="G124" t="s">
        <v>31</v>
      </c>
      <c r="H124" t="s">
        <v>277</v>
      </c>
      <c r="I124" t="s">
        <v>135</v>
      </c>
      <c r="J124" t="s">
        <v>39</v>
      </c>
      <c r="K124" t="s">
        <v>31</v>
      </c>
      <c r="L124">
        <v>2.370000000000001</v>
      </c>
      <c r="M124">
        <v>1</v>
      </c>
      <c r="N124">
        <v>2.729832824165364</v>
      </c>
      <c r="O124">
        <v>5.3797577395665286</v>
      </c>
      <c r="P124">
        <v>-1.3196045040170097</v>
      </c>
      <c r="Q124">
        <v>1.0674536938902881</v>
      </c>
      <c r="R124">
        <v>-1.8454036712681361</v>
      </c>
      <c r="S124" s="2">
        <v>0</v>
      </c>
      <c r="T124" s="2">
        <v>0</v>
      </c>
      <c r="U124" s="2">
        <v>3.0352480029347192E-2</v>
      </c>
      <c r="V124" s="2">
        <v>5.7489226539980592E-2</v>
      </c>
      <c r="W124" s="2">
        <v>9.9028509911758447E-2</v>
      </c>
      <c r="X124" s="2">
        <v>0.15903173779273333</v>
      </c>
      <c r="Y124" s="2">
        <v>0.24136741671540662</v>
      </c>
      <c r="Z124" s="2">
        <v>0.34906903436812808</v>
      </c>
      <c r="AA124" s="2">
        <v>0.48353553174205699</v>
      </c>
      <c r="AB124" s="2">
        <v>0.64369283537749056</v>
      </c>
      <c r="AC124" s="2">
        <v>0.82532951620160511</v>
      </c>
      <c r="AD124" s="2">
        <v>1.020890619629454</v>
      </c>
      <c r="AE124" s="2">
        <v>1.2200027724739737</v>
      </c>
      <c r="AF124" s="2">
        <v>1.4108549877501049</v>
      </c>
      <c r="AG124" s="2">
        <v>1.5822653989140523</v>
      </c>
      <c r="AH124" s="2">
        <v>1.7259120694596666</v>
      </c>
      <c r="AI124" s="2">
        <v>1.8379810336553024</v>
      </c>
      <c r="AJ124" s="2">
        <v>1.924855150118185</v>
      </c>
      <c r="AK124" s="2">
        <v>1.9793517519663315</v>
      </c>
      <c r="AL124" s="2">
        <v>2.0264989008385257</v>
      </c>
      <c r="AM124" s="2">
        <v>2.0497318292289561</v>
      </c>
      <c r="AN124" s="2">
        <v>2.0650319319654935</v>
      </c>
      <c r="AO124" s="2">
        <v>2.0805398938567379</v>
      </c>
      <c r="AP124" s="2">
        <v>2.0962578746633711</v>
      </c>
      <c r="AQ124" s="2">
        <v>0</v>
      </c>
      <c r="AR124" s="2">
        <v>25.909070503198667</v>
      </c>
    </row>
    <row r="125" spans="1:44" x14ac:dyDescent="0.25">
      <c r="A125" t="s">
        <v>250</v>
      </c>
      <c r="B125" t="s">
        <v>291</v>
      </c>
      <c r="C125" t="s">
        <v>44</v>
      </c>
      <c r="D125" t="s">
        <v>292</v>
      </c>
      <c r="E125" t="s">
        <v>148</v>
      </c>
      <c r="F125" t="s">
        <v>292</v>
      </c>
      <c r="G125" t="s">
        <v>31</v>
      </c>
      <c r="H125" t="s">
        <v>277</v>
      </c>
      <c r="I125" t="s">
        <v>135</v>
      </c>
      <c r="J125" t="s">
        <v>40</v>
      </c>
      <c r="K125" t="s">
        <v>31</v>
      </c>
      <c r="L125">
        <v>2.370000000000001</v>
      </c>
      <c r="M125">
        <v>1</v>
      </c>
      <c r="N125">
        <v>2.729832824165364</v>
      </c>
      <c r="O125">
        <v>4.1429695267777937</v>
      </c>
      <c r="P125">
        <v>-1.3196045040170097</v>
      </c>
      <c r="Q125">
        <v>0.4672931329656026</v>
      </c>
      <c r="R125">
        <v>-1.7024036712681361</v>
      </c>
      <c r="S125" s="2">
        <v>0</v>
      </c>
      <c r="T125" s="2">
        <v>0</v>
      </c>
      <c r="U125" s="2">
        <v>4.7879638003399125E-3</v>
      </c>
      <c r="V125" s="2">
        <v>9.0686604625661617E-3</v>
      </c>
      <c r="W125" s="2">
        <v>1.5621290919248257E-2</v>
      </c>
      <c r="X125" s="2">
        <v>2.5086523503863246E-2</v>
      </c>
      <c r="Y125" s="2">
        <v>3.8074597288180335E-2</v>
      </c>
      <c r="Z125" s="2">
        <v>5.5064030970722329E-2</v>
      </c>
      <c r="AA125" s="2">
        <v>7.627550104375791E-2</v>
      </c>
      <c r="AB125" s="2">
        <v>0.10153957737047109</v>
      </c>
      <c r="AC125" s="2">
        <v>0.13019192642922831</v>
      </c>
      <c r="AD125" s="2">
        <v>0.16104078896242907</v>
      </c>
      <c r="AE125" s="2">
        <v>0.19244981317084656</v>
      </c>
      <c r="AF125" s="2">
        <v>0.22255587030599222</v>
      </c>
      <c r="AG125" s="2">
        <v>0.2495950724687363</v>
      </c>
      <c r="AH125" s="2">
        <v>0.27225467253920577</v>
      </c>
      <c r="AI125" s="2">
        <v>0.28993303500551526</v>
      </c>
      <c r="AJ125" s="2">
        <v>0.30363702638970302</v>
      </c>
      <c r="AK125" s="2">
        <v>0.31223361410306288</v>
      </c>
      <c r="AL125" s="2">
        <v>0.31967085949029916</v>
      </c>
      <c r="AM125" s="2">
        <v>0.32333574684057864</v>
      </c>
      <c r="AN125" s="2">
        <v>0.32574926751411892</v>
      </c>
      <c r="AO125" s="2">
        <v>0.3281955770110917</v>
      </c>
      <c r="AP125" s="2">
        <v>0.33067501602377497</v>
      </c>
      <c r="AQ125" s="2">
        <v>0</v>
      </c>
      <c r="AR125" s="2">
        <v>4.0870364316137326</v>
      </c>
    </row>
    <row r="126" spans="1:44" x14ac:dyDescent="0.25">
      <c r="A126" t="s">
        <v>250</v>
      </c>
      <c r="B126" t="s">
        <v>281</v>
      </c>
      <c r="C126" t="s">
        <v>43</v>
      </c>
      <c r="D126" t="s">
        <v>282</v>
      </c>
      <c r="E126" t="s">
        <v>145</v>
      </c>
      <c r="F126" t="s">
        <v>282</v>
      </c>
      <c r="G126" t="s">
        <v>31</v>
      </c>
      <c r="H126" t="s">
        <v>272</v>
      </c>
      <c r="I126" t="s">
        <v>135</v>
      </c>
      <c r="J126" t="s">
        <v>39</v>
      </c>
      <c r="K126" t="s">
        <v>31</v>
      </c>
      <c r="L126">
        <v>2077.3599999999997</v>
      </c>
      <c r="M126">
        <v>1</v>
      </c>
      <c r="N126">
        <v>3.2065728737266936</v>
      </c>
      <c r="O126">
        <v>4.4372583223218758</v>
      </c>
      <c r="P126">
        <v>-1.16169772439717</v>
      </c>
      <c r="Q126">
        <v>0.74954200350345179</v>
      </c>
      <c r="R126">
        <v>-1.3695852012614622</v>
      </c>
      <c r="S126" s="2">
        <v>6.7750832282808876E-4</v>
      </c>
      <c r="T126" s="2">
        <v>1.037276423857935E-3</v>
      </c>
      <c r="U126" s="2">
        <v>2.2544606850305174E-3</v>
      </c>
      <c r="V126" s="2">
        <v>4.2226253268245334E-3</v>
      </c>
      <c r="W126" s="2">
        <v>7.1925268339922098E-3</v>
      </c>
      <c r="X126" s="2">
        <v>1.1421099974736454E-2</v>
      </c>
      <c r="Y126" s="2">
        <v>1.7138922857495836E-2</v>
      </c>
      <c r="Z126" s="2">
        <v>2.4506144240214345E-2</v>
      </c>
      <c r="AA126" s="2">
        <v>3.3560545742343011E-2</v>
      </c>
      <c r="AB126" s="2">
        <v>4.4166663861739161E-2</v>
      </c>
      <c r="AC126" s="2">
        <v>5.5980541267983602E-2</v>
      </c>
      <c r="AD126" s="2">
        <v>6.8448097298906441E-2</v>
      </c>
      <c r="AE126" s="2">
        <v>9.2424355747510248E-2</v>
      </c>
      <c r="AF126" s="2">
        <v>0.11104239639314073</v>
      </c>
      <c r="AG126" s="2">
        <v>0.12312402831432595</v>
      </c>
      <c r="AH126" s="2">
        <v>0.13264411966276307</v>
      </c>
      <c r="AI126" s="2">
        <v>0.13931570186894962</v>
      </c>
      <c r="AJ126" s="2">
        <v>0.14363113446787931</v>
      </c>
      <c r="AK126" s="2">
        <v>0.14507186770826677</v>
      </c>
      <c r="AL126" s="2">
        <v>0.1455034992167728</v>
      </c>
      <c r="AM126" s="2">
        <v>0.14376145142505192</v>
      </c>
      <c r="AN126" s="2">
        <v>0.14106873196016931</v>
      </c>
      <c r="AO126" s="2">
        <v>8.5679735588033726E-2</v>
      </c>
      <c r="AP126" s="2">
        <v>1.3007523825765836E-2</v>
      </c>
      <c r="AQ126" s="2">
        <v>1.0326767227471447E-2</v>
      </c>
      <c r="AR126" s="2">
        <v>1.6972077262420528</v>
      </c>
    </row>
    <row r="127" spans="1:44" x14ac:dyDescent="0.25">
      <c r="A127" t="s">
        <v>250</v>
      </c>
      <c r="B127" t="s">
        <v>281</v>
      </c>
      <c r="C127" t="s">
        <v>43</v>
      </c>
      <c r="D127" t="s">
        <v>282</v>
      </c>
      <c r="E127" t="s">
        <v>145</v>
      </c>
      <c r="F127" t="s">
        <v>282</v>
      </c>
      <c r="G127" t="s">
        <v>31</v>
      </c>
      <c r="H127" t="s">
        <v>272</v>
      </c>
      <c r="I127" t="s">
        <v>135</v>
      </c>
      <c r="J127" t="s">
        <v>40</v>
      </c>
      <c r="K127" t="s">
        <v>31</v>
      </c>
      <c r="L127">
        <v>2077.3599999999997</v>
      </c>
      <c r="M127">
        <v>1</v>
      </c>
      <c r="N127">
        <v>3.2065728737266936</v>
      </c>
      <c r="O127">
        <v>3.2645157400827758</v>
      </c>
      <c r="P127">
        <v>-1.16169772439717</v>
      </c>
      <c r="Q127">
        <v>0.4672931329656026</v>
      </c>
      <c r="R127">
        <v>-1.226585201261462</v>
      </c>
      <c r="S127" s="2">
        <v>6.7016306040107383E-5</v>
      </c>
      <c r="T127" s="2">
        <v>1.0260307058558472E-4</v>
      </c>
      <c r="U127" s="2">
        <v>2.2300187633522527E-4</v>
      </c>
      <c r="V127" s="2">
        <v>4.1768453856615758E-4</v>
      </c>
      <c r="W127" s="2">
        <v>7.1145484604004448E-4</v>
      </c>
      <c r="X127" s="2">
        <v>1.129727717626598E-3</v>
      </c>
      <c r="Y127" s="2">
        <v>1.6953109810094191E-3</v>
      </c>
      <c r="Z127" s="2">
        <v>2.4240458853845553E-3</v>
      </c>
      <c r="AA127" s="2">
        <v>3.3196696314424039E-3</v>
      </c>
      <c r="AB127" s="2">
        <v>4.3687827328431307E-3</v>
      </c>
      <c r="AC127" s="2">
        <v>5.5373623607248091E-3</v>
      </c>
      <c r="AD127" s="2">
        <v>6.7706011599956472E-3</v>
      </c>
      <c r="AE127" s="2">
        <v>9.1422329462756396E-3</v>
      </c>
      <c r="AF127" s="2">
        <v>1.0983852108334741E-2</v>
      </c>
      <c r="AG127" s="2">
        <v>1.2178916899442126E-2</v>
      </c>
      <c r="AH127" s="2">
        <v>1.3120604748638577E-2</v>
      </c>
      <c r="AI127" s="2">
        <v>1.3780529918317935E-2</v>
      </c>
      <c r="AJ127" s="2">
        <v>1.420739456632422E-2</v>
      </c>
      <c r="AK127" s="2">
        <v>1.4349905907523556E-2</v>
      </c>
      <c r="AL127" s="2">
        <v>1.4392601101510015E-2</v>
      </c>
      <c r="AM127" s="2">
        <v>1.4220284977836303E-2</v>
      </c>
      <c r="AN127" s="2">
        <v>1.3953932365390904E-2</v>
      </c>
      <c r="AO127" s="2">
        <v>8.4750831659673887E-3</v>
      </c>
      <c r="AP127" s="2">
        <v>1.2866501682116053E-3</v>
      </c>
      <c r="AQ127" s="2">
        <v>1.0214808727844668E-3</v>
      </c>
      <c r="AR127" s="2">
        <v>0.16788073085315117</v>
      </c>
    </row>
    <row r="128" spans="1:44" x14ac:dyDescent="0.25">
      <c r="A128" t="s">
        <v>250</v>
      </c>
      <c r="B128" t="s">
        <v>281</v>
      </c>
      <c r="C128" t="s">
        <v>43</v>
      </c>
      <c r="D128" t="s">
        <v>282</v>
      </c>
      <c r="E128" t="s">
        <v>145</v>
      </c>
      <c r="F128" t="s">
        <v>282</v>
      </c>
      <c r="G128" t="s">
        <v>31</v>
      </c>
      <c r="H128" t="s">
        <v>253</v>
      </c>
      <c r="I128" t="s">
        <v>135</v>
      </c>
      <c r="J128" t="s">
        <v>39</v>
      </c>
      <c r="K128" t="s">
        <v>31</v>
      </c>
      <c r="L128">
        <v>2077.3599999999997</v>
      </c>
      <c r="M128">
        <v>1</v>
      </c>
      <c r="N128">
        <v>3.2065728737266936</v>
      </c>
      <c r="O128">
        <v>4.4372583223218758</v>
      </c>
      <c r="P128">
        <v>-1.16169772439717</v>
      </c>
      <c r="Q128">
        <v>0.74954200350345179</v>
      </c>
      <c r="R128">
        <v>-1.3695852012614622</v>
      </c>
      <c r="S128" s="2">
        <v>2.2998267403154365E-4</v>
      </c>
      <c r="T128" s="2">
        <v>3.5228413680402245E-4</v>
      </c>
      <c r="U128" s="2">
        <v>7.6605392603416324E-4</v>
      </c>
      <c r="V128" s="2">
        <v>1.4355466852699838E-3</v>
      </c>
      <c r="W128" s="2">
        <v>2.4464388188504501E-3</v>
      </c>
      <c r="X128" s="2">
        <v>3.8866810023634344E-3</v>
      </c>
      <c r="Y128" s="2">
        <v>5.8354262462195598E-3</v>
      </c>
      <c r="Z128" s="2">
        <v>8.3479942590304716E-3</v>
      </c>
      <c r="AA128" s="2">
        <v>1.1438109945582991E-2</v>
      </c>
      <c r="AB128" s="2">
        <v>1.5060449848759884E-2</v>
      </c>
      <c r="AC128" s="2">
        <v>1.909846827131095E-2</v>
      </c>
      <c r="AD128" s="2">
        <v>2.3363662307575278E-2</v>
      </c>
      <c r="AE128" s="2">
        <v>3.1539678214664309E-2</v>
      </c>
      <c r="AF128" s="2">
        <v>3.7700903365259962E-2</v>
      </c>
      <c r="AG128" s="2">
        <v>4.1823327545701013E-2</v>
      </c>
      <c r="AH128" s="2">
        <v>4.508061129289255E-2</v>
      </c>
      <c r="AI128" s="2">
        <v>4.7374686870244147E-2</v>
      </c>
      <c r="AJ128" s="2">
        <v>4.8872412093688512E-2</v>
      </c>
      <c r="AK128" s="2">
        <v>4.939669787523978E-2</v>
      </c>
      <c r="AL128" s="2">
        <v>4.9582015368468284E-2</v>
      </c>
      <c r="AM128" s="2">
        <v>4.9030940833166101E-2</v>
      </c>
      <c r="AN128" s="2">
        <v>4.81591182817604E-2</v>
      </c>
      <c r="AO128" s="2">
        <v>3.1314952662358363E-2</v>
      </c>
      <c r="AP128" s="2">
        <v>4.2970596821230627E-3</v>
      </c>
      <c r="AQ128" s="2">
        <v>3.4129640032419394E-3</v>
      </c>
      <c r="AR128" s="2">
        <v>0.57984646621064118</v>
      </c>
    </row>
    <row r="129" spans="1:44" x14ac:dyDescent="0.25">
      <c r="A129" t="s">
        <v>250</v>
      </c>
      <c r="B129" t="s">
        <v>281</v>
      </c>
      <c r="C129" t="s">
        <v>43</v>
      </c>
      <c r="D129" t="s">
        <v>282</v>
      </c>
      <c r="E129" t="s">
        <v>145</v>
      </c>
      <c r="F129" t="s">
        <v>282</v>
      </c>
      <c r="G129" t="s">
        <v>31</v>
      </c>
      <c r="H129" t="s">
        <v>253</v>
      </c>
      <c r="I129" t="s">
        <v>135</v>
      </c>
      <c r="J129" t="s">
        <v>40</v>
      </c>
      <c r="K129" t="s">
        <v>31</v>
      </c>
      <c r="L129">
        <v>2077.3599999999997</v>
      </c>
      <c r="M129">
        <v>1</v>
      </c>
      <c r="N129">
        <v>3.2065728737266936</v>
      </c>
      <c r="O129">
        <v>3.2645157400827758</v>
      </c>
      <c r="P129">
        <v>-1.16169772439717</v>
      </c>
      <c r="Q129">
        <v>0.4672931329656026</v>
      </c>
      <c r="R129">
        <v>-1.226585201261462</v>
      </c>
      <c r="S129" s="2">
        <v>1.2097566648743947E-4</v>
      </c>
      <c r="T129" s="2">
        <v>1.8530877781242601E-4</v>
      </c>
      <c r="U129" s="2">
        <v>4.0296028671530146E-4</v>
      </c>
      <c r="V129" s="2">
        <v>7.5512739277286292E-4</v>
      </c>
      <c r="W129" s="2">
        <v>1.2868776653609327E-3</v>
      </c>
      <c r="X129" s="2">
        <v>2.0444749878005836E-3</v>
      </c>
      <c r="Y129" s="2">
        <v>3.0695554886794778E-3</v>
      </c>
      <c r="Z129" s="2">
        <v>4.3912184844890302E-3</v>
      </c>
      <c r="AA129" s="2">
        <v>6.0166835604047453E-3</v>
      </c>
      <c r="AB129" s="2">
        <v>7.9221096359828012E-3</v>
      </c>
      <c r="AC129" s="2">
        <v>1.0046191252190433E-2</v>
      </c>
      <c r="AD129" s="2">
        <v>1.2289771962816307E-2</v>
      </c>
      <c r="AE129" s="2">
        <v>1.6590526259795825E-2</v>
      </c>
      <c r="AF129" s="2">
        <v>1.9831458743563075E-2</v>
      </c>
      <c r="AG129" s="2">
        <v>2.199993954270528E-2</v>
      </c>
      <c r="AH129" s="2">
        <v>2.3713338492928684E-2</v>
      </c>
      <c r="AI129" s="2">
        <v>2.4920069926552251E-2</v>
      </c>
      <c r="AJ129" s="2">
        <v>2.5707904522720027E-2</v>
      </c>
      <c r="AK129" s="2">
        <v>2.5983689740541941E-2</v>
      </c>
      <c r="AL129" s="2">
        <v>2.6081170593608333E-2</v>
      </c>
      <c r="AM129" s="2">
        <v>2.5791293934537551E-2</v>
      </c>
      <c r="AN129" s="2">
        <v>2.5332697152587774E-2</v>
      </c>
      <c r="AO129" s="2">
        <v>1.6472315948599818E-2</v>
      </c>
      <c r="AP129" s="2">
        <v>2.2603427026413317E-3</v>
      </c>
      <c r="AQ129" s="2">
        <v>1.7952900005554339E-3</v>
      </c>
      <c r="AR129" s="2">
        <v>0.30501129272284971</v>
      </c>
    </row>
    <row r="130" spans="1:44" x14ac:dyDescent="0.25">
      <c r="A130" t="s">
        <v>250</v>
      </c>
      <c r="B130" t="s">
        <v>281</v>
      </c>
      <c r="C130" t="s">
        <v>43</v>
      </c>
      <c r="D130" t="s">
        <v>282</v>
      </c>
      <c r="E130" t="s">
        <v>145</v>
      </c>
      <c r="F130" t="s">
        <v>282</v>
      </c>
      <c r="G130" t="s">
        <v>31</v>
      </c>
      <c r="H130" t="s">
        <v>253</v>
      </c>
      <c r="I130" t="s">
        <v>256</v>
      </c>
      <c r="J130" t="s">
        <v>39</v>
      </c>
      <c r="K130" t="s">
        <v>31</v>
      </c>
      <c r="L130">
        <v>2077.3599999999997</v>
      </c>
      <c r="M130">
        <v>1</v>
      </c>
      <c r="N130">
        <v>2.2322051837740986</v>
      </c>
      <c r="O130">
        <v>3.088927468322328</v>
      </c>
      <c r="P130">
        <v>-0.43136821392107066</v>
      </c>
      <c r="Q130">
        <v>0.4672931329656026</v>
      </c>
      <c r="R130">
        <v>-0.63925569078536293</v>
      </c>
      <c r="S130" s="2">
        <v>1.2063992125675152E-4</v>
      </c>
      <c r="T130" s="2">
        <v>1.8479448811961751E-4</v>
      </c>
      <c r="U130" s="2">
        <v>4.0184194615682769E-4</v>
      </c>
      <c r="V130" s="2">
        <v>7.5303167858465779E-4</v>
      </c>
      <c r="W130" s="2">
        <v>1.2833061782084438E-3</v>
      </c>
      <c r="X130" s="2">
        <v>2.038800931634205E-3</v>
      </c>
      <c r="Y130" s="2">
        <v>3.06103651419825E-3</v>
      </c>
      <c r="Z130" s="2">
        <v>4.3790314827069068E-3</v>
      </c>
      <c r="AA130" s="2">
        <v>5.9999853857336093E-3</v>
      </c>
      <c r="AB130" s="2">
        <v>7.9001233092735011E-3</v>
      </c>
      <c r="AC130" s="2">
        <v>1.0018309936075904E-2</v>
      </c>
      <c r="AD130" s="2">
        <v>1.2255664010014192E-2</v>
      </c>
      <c r="AE130" s="2">
        <v>1.6544482371565566E-2</v>
      </c>
      <c r="AF130" s="2">
        <v>1.9776420256203915E-2</v>
      </c>
      <c r="AG130" s="2">
        <v>2.1938882844351391E-2</v>
      </c>
      <c r="AH130" s="2">
        <v>2.3647526577740573E-2</v>
      </c>
      <c r="AI130" s="2">
        <v>2.4850908955018184E-2</v>
      </c>
      <c r="AJ130" s="2">
        <v>2.5636557064300562E-2</v>
      </c>
      <c r="AK130" s="2">
        <v>2.5911576892071145E-2</v>
      </c>
      <c r="AL130" s="2">
        <v>2.6008787205346755E-2</v>
      </c>
      <c r="AM130" s="2">
        <v>2.5719715044474678E-2</v>
      </c>
      <c r="AN130" s="2">
        <v>2.5262391011721574E-2</v>
      </c>
      <c r="AO130" s="2">
        <v>1.6426600130876139E-2</v>
      </c>
      <c r="AP130" s="2">
        <v>2.2540695461945185E-3</v>
      </c>
      <c r="AQ130" s="2">
        <v>1.7903075104986608E-3</v>
      </c>
      <c r="AR130" s="2">
        <v>0.30416479119232653</v>
      </c>
    </row>
    <row r="131" spans="1:44" x14ac:dyDescent="0.25">
      <c r="A131" t="s">
        <v>250</v>
      </c>
      <c r="B131" t="s">
        <v>281</v>
      </c>
      <c r="C131" t="s">
        <v>43</v>
      </c>
      <c r="D131" t="s">
        <v>282</v>
      </c>
      <c r="E131" t="s">
        <v>145</v>
      </c>
      <c r="F131" t="s">
        <v>282</v>
      </c>
      <c r="G131" t="s">
        <v>31</v>
      </c>
      <c r="H131" t="s">
        <v>273</v>
      </c>
      <c r="I131" t="s">
        <v>135</v>
      </c>
      <c r="J131" t="s">
        <v>39</v>
      </c>
      <c r="K131" t="s">
        <v>31</v>
      </c>
      <c r="L131">
        <v>2077.3599999999997</v>
      </c>
      <c r="M131">
        <v>1</v>
      </c>
      <c r="N131">
        <v>3.2065728737266936</v>
      </c>
      <c r="O131">
        <v>4.4372583223218758</v>
      </c>
      <c r="P131">
        <v>-1.16169772439717</v>
      </c>
      <c r="Q131">
        <v>0.74954200350345179</v>
      </c>
      <c r="R131">
        <v>-1.3695852012614622</v>
      </c>
      <c r="S131" s="2">
        <v>2.0376506406179267E-4</v>
      </c>
      <c r="T131" s="2">
        <v>3.1196767602046136E-4</v>
      </c>
      <c r="U131" s="2">
        <v>6.7804381205601783E-4</v>
      </c>
      <c r="V131" s="2">
        <v>1.2699822145914416E-3</v>
      </c>
      <c r="W131" s="2">
        <v>2.1631995382386817E-3</v>
      </c>
      <c r="X131" s="2">
        <v>3.4349705968096601E-3</v>
      </c>
      <c r="Y131" s="2">
        <v>5.154643266122509E-3</v>
      </c>
      <c r="Z131" s="2">
        <v>7.3703833336994434E-3</v>
      </c>
      <c r="AA131" s="2">
        <v>1.0093553868964713E-2</v>
      </c>
      <c r="AB131" s="2">
        <v>1.3283413336704521E-2</v>
      </c>
      <c r="AC131" s="2">
        <v>1.6836514317742038E-2</v>
      </c>
      <c r="AD131" s="2">
        <v>2.0586213425098383E-2</v>
      </c>
      <c r="AE131" s="2">
        <v>2.7797230137555078E-2</v>
      </c>
      <c r="AF131" s="2">
        <v>3.3396727762951162E-2</v>
      </c>
      <c r="AG131" s="2">
        <v>3.7030357667474E-2</v>
      </c>
      <c r="AH131" s="2">
        <v>3.9893587473110968E-2</v>
      </c>
      <c r="AI131" s="2">
        <v>4.1900109503663199E-2</v>
      </c>
      <c r="AJ131" s="2">
        <v>4.3198004112993932E-2</v>
      </c>
      <c r="AK131" s="2">
        <v>4.3631314068210532E-2</v>
      </c>
      <c r="AL131" s="2">
        <v>4.3761130070491643E-2</v>
      </c>
      <c r="AM131" s="2">
        <v>4.3237197791111112E-2</v>
      </c>
      <c r="AN131" s="2">
        <v>4.2427344781524517E-2</v>
      </c>
      <c r="AO131" s="2">
        <v>2.5768741464336331E-2</v>
      </c>
      <c r="AP131" s="2">
        <v>3.9120979570829916E-3</v>
      </c>
      <c r="AQ131" s="2">
        <v>3.1058428579494274E-3</v>
      </c>
      <c r="AR131" s="2">
        <v>0.51044633609856471</v>
      </c>
    </row>
    <row r="132" spans="1:44" x14ac:dyDescent="0.25">
      <c r="A132" t="s">
        <v>250</v>
      </c>
      <c r="B132" t="s">
        <v>281</v>
      </c>
      <c r="C132" t="s">
        <v>43</v>
      </c>
      <c r="D132" t="s">
        <v>282</v>
      </c>
      <c r="E132" t="s">
        <v>145</v>
      </c>
      <c r="F132" t="s">
        <v>282</v>
      </c>
      <c r="G132" t="s">
        <v>31</v>
      </c>
      <c r="H132" t="s">
        <v>252</v>
      </c>
      <c r="I132" t="s">
        <v>135</v>
      </c>
      <c r="J132" t="s">
        <v>39</v>
      </c>
      <c r="K132" t="s">
        <v>31</v>
      </c>
      <c r="L132">
        <v>2077.3599999999997</v>
      </c>
      <c r="M132">
        <v>1</v>
      </c>
      <c r="N132">
        <v>3.2065728737266936</v>
      </c>
      <c r="O132">
        <v>4.4372583223218758</v>
      </c>
      <c r="P132">
        <v>-1.16169772439717</v>
      </c>
      <c r="Q132">
        <v>0.74954200350345179</v>
      </c>
      <c r="R132">
        <v>-1.3695852012614622</v>
      </c>
      <c r="S132" s="2">
        <v>8.9257703649698304E-4</v>
      </c>
      <c r="T132" s="2">
        <v>1.367785752801634E-3</v>
      </c>
      <c r="U132" s="2">
        <v>2.9754916015741965E-3</v>
      </c>
      <c r="V132" s="2">
        <v>5.5781617681695582E-3</v>
      </c>
      <c r="W132" s="2">
        <v>9.5100443285954569E-3</v>
      </c>
      <c r="X132" s="2">
        <v>1.5114767722858462E-2</v>
      </c>
      <c r="Y132" s="2">
        <v>2.2702284522981259E-2</v>
      </c>
      <c r="Z132" s="2">
        <v>3.2490284748928719E-2</v>
      </c>
      <c r="AA132" s="2">
        <v>4.4534854785884585E-2</v>
      </c>
      <c r="AB132" s="2">
        <v>5.8662168898237173E-2</v>
      </c>
      <c r="AC132" s="2">
        <v>7.4420589734299603E-2</v>
      </c>
      <c r="AD132" s="2">
        <v>9.1077245612181321E-2</v>
      </c>
      <c r="AE132" s="2">
        <v>0.12292508901910049</v>
      </c>
      <c r="AF132" s="2">
        <v>0.14634523465950661</v>
      </c>
      <c r="AG132" s="2">
        <v>0.16241106679739692</v>
      </c>
      <c r="AH132" s="2">
        <v>0.17513285101646486</v>
      </c>
      <c r="AI132" s="2">
        <v>0.18412796548140953</v>
      </c>
      <c r="AJ132" s="2">
        <v>0.19004318588827063</v>
      </c>
      <c r="AK132" s="2">
        <v>0.19218791791922424</v>
      </c>
      <c r="AL132" s="2">
        <v>0.19302836733137402</v>
      </c>
      <c r="AM132" s="2">
        <v>0.19101554595594941</v>
      </c>
      <c r="AN132" s="2">
        <v>0.1877641747223735</v>
      </c>
      <c r="AO132" s="2">
        <v>0.12857325918336096</v>
      </c>
      <c r="AP132" s="2">
        <v>1.6306150401839612E-2</v>
      </c>
      <c r="AQ132" s="2">
        <v>1.2955798783738648E-2</v>
      </c>
      <c r="AR132" s="2">
        <v>2.2621428636730179</v>
      </c>
    </row>
    <row r="133" spans="1:44" x14ac:dyDescent="0.25">
      <c r="A133" t="s">
        <v>250</v>
      </c>
      <c r="B133" t="s">
        <v>281</v>
      </c>
      <c r="C133" t="s">
        <v>43</v>
      </c>
      <c r="D133" t="s">
        <v>282</v>
      </c>
      <c r="E133" t="s">
        <v>145</v>
      </c>
      <c r="F133" t="s">
        <v>282</v>
      </c>
      <c r="G133" t="s">
        <v>31</v>
      </c>
      <c r="H133" t="s">
        <v>274</v>
      </c>
      <c r="I133" t="s">
        <v>135</v>
      </c>
      <c r="J133" t="s">
        <v>39</v>
      </c>
      <c r="K133" t="s">
        <v>31</v>
      </c>
      <c r="L133">
        <v>2077.3599999999997</v>
      </c>
      <c r="M133">
        <v>1</v>
      </c>
      <c r="N133">
        <v>3.2065728737266936</v>
      </c>
      <c r="O133">
        <v>4.4372583223218758</v>
      </c>
      <c r="P133">
        <v>-1.16169772439717</v>
      </c>
      <c r="Q133">
        <v>0.74954200350345179</v>
      </c>
      <c r="R133">
        <v>-1.3695852012614622</v>
      </c>
      <c r="S133" s="2">
        <v>3.207626991312158E-4</v>
      </c>
      <c r="T133" s="2">
        <v>4.9109298624257745E-4</v>
      </c>
      <c r="U133" s="2">
        <v>1.0673623777741994E-3</v>
      </c>
      <c r="V133" s="2">
        <v>1.9991794220301437E-3</v>
      </c>
      <c r="W133" s="2">
        <v>3.4052634382625035E-3</v>
      </c>
      <c r="X133" s="2">
        <v>5.4072588210455023E-3</v>
      </c>
      <c r="Y133" s="2">
        <v>8.1143315450709283E-3</v>
      </c>
      <c r="Z133" s="2">
        <v>1.1602303184967104E-2</v>
      </c>
      <c r="AA133" s="2">
        <v>1.5889061246797544E-2</v>
      </c>
      <c r="AB133" s="2">
        <v>2.0910471258531439E-2</v>
      </c>
      <c r="AC133" s="2">
        <v>2.6503688458010471E-2</v>
      </c>
      <c r="AD133" s="2">
        <v>3.2406386313226662E-2</v>
      </c>
      <c r="AE133" s="2">
        <v>4.3757817898508043E-2</v>
      </c>
      <c r="AF133" s="2">
        <v>5.2572429865337715E-2</v>
      </c>
      <c r="AG133" s="2">
        <v>5.8292414010731645E-2</v>
      </c>
      <c r="AH133" s="2">
        <v>6.2799650444601063E-2</v>
      </c>
      <c r="AI133" s="2">
        <v>6.5958275429456328E-2</v>
      </c>
      <c r="AJ133" s="2">
        <v>6.8001393959090536E-2</v>
      </c>
      <c r="AK133" s="2">
        <v>6.8683501421602039E-2</v>
      </c>
      <c r="AL133" s="2">
        <v>6.8887855055400335E-2</v>
      </c>
      <c r="AM133" s="2">
        <v>6.8063091826875838E-2</v>
      </c>
      <c r="AN133" s="2">
        <v>6.6788238169058739E-2</v>
      </c>
      <c r="AO133" s="2">
        <v>4.0564613484519604E-2</v>
      </c>
      <c r="AP133" s="2">
        <v>6.1583427255179918E-3</v>
      </c>
      <c r="AQ133" s="2">
        <v>4.8891528230333011E-3</v>
      </c>
      <c r="AR133" s="2">
        <v>0.80353393886482338</v>
      </c>
    </row>
    <row r="134" spans="1:44" x14ac:dyDescent="0.25">
      <c r="A134" t="s">
        <v>250</v>
      </c>
      <c r="B134" t="s">
        <v>281</v>
      </c>
      <c r="C134" t="s">
        <v>43</v>
      </c>
      <c r="D134" t="s">
        <v>282</v>
      </c>
      <c r="E134" t="s">
        <v>145</v>
      </c>
      <c r="F134" t="s">
        <v>282</v>
      </c>
      <c r="G134" t="s">
        <v>31</v>
      </c>
      <c r="H134" t="s">
        <v>274</v>
      </c>
      <c r="I134" t="s">
        <v>135</v>
      </c>
      <c r="J134" t="s">
        <v>39</v>
      </c>
      <c r="K134" t="s">
        <v>33</v>
      </c>
      <c r="L134">
        <v>2077.3599999999997</v>
      </c>
      <c r="M134">
        <v>1</v>
      </c>
      <c r="N134">
        <v>3.2065728737266936</v>
      </c>
      <c r="O134">
        <v>4.4372583223218758</v>
      </c>
      <c r="P134">
        <v>-1.16169772439717</v>
      </c>
      <c r="Q134">
        <v>0.74954200350345179</v>
      </c>
      <c r="R134">
        <v>-1.3695852012614622</v>
      </c>
      <c r="S134" s="2">
        <v>1.0320484107774728E-6</v>
      </c>
      <c r="T134" s="2">
        <v>1.5800831498436904E-6</v>
      </c>
      <c r="U134" s="2">
        <v>3.4342199036518998E-6</v>
      </c>
      <c r="V134" s="2">
        <v>6.4323250519887091E-6</v>
      </c>
      <c r="W134" s="2">
        <v>1.0956375941642146E-5</v>
      </c>
      <c r="X134" s="2">
        <v>1.7397761298422113E-5</v>
      </c>
      <c r="Y134" s="2">
        <v>2.6107720748995882E-5</v>
      </c>
      <c r="Z134" s="2">
        <v>3.7330208892229689E-5</v>
      </c>
      <c r="AA134" s="2">
        <v>5.1122778468063743E-5</v>
      </c>
      <c r="AB134" s="2">
        <v>6.7279077927160456E-5</v>
      </c>
      <c r="AC134" s="2">
        <v>8.5275157076919057E-5</v>
      </c>
      <c r="AD134" s="2">
        <v>1.0426698485887521E-4</v>
      </c>
      <c r="AE134" s="2">
        <v>1.4079001873834276E-4</v>
      </c>
      <c r="AF134" s="2">
        <v>1.6915087957604635E-4</v>
      </c>
      <c r="AG134" s="2">
        <v>1.8755482917154272E-4</v>
      </c>
      <c r="AH134" s="2">
        <v>2.0205678407830802E-4</v>
      </c>
      <c r="AI134" s="2">
        <v>2.1221960508178213E-4</v>
      </c>
      <c r="AJ134" s="2">
        <v>2.1879330344898746E-4</v>
      </c>
      <c r="AK134" s="2">
        <v>2.209879723570962E-4</v>
      </c>
      <c r="AL134" s="2">
        <v>2.2164547662292699E-4</v>
      </c>
      <c r="AM134" s="2">
        <v>2.1899181526650397E-4</v>
      </c>
      <c r="AN134" s="2">
        <v>2.148899957747501E-4</v>
      </c>
      <c r="AO134" s="2">
        <v>1.3051593902249539E-4</v>
      </c>
      <c r="AP134" s="2">
        <v>1.9814360709983642E-5</v>
      </c>
      <c r="AQ134" s="2">
        <v>1.5730764252596575E-5</v>
      </c>
      <c r="AR134" s="2">
        <v>2.5853564858299323E-3</v>
      </c>
    </row>
    <row r="135" spans="1:44" x14ac:dyDescent="0.25">
      <c r="A135" t="s">
        <v>250</v>
      </c>
      <c r="B135" t="s">
        <v>281</v>
      </c>
      <c r="C135" t="s">
        <v>43</v>
      </c>
      <c r="D135" t="s">
        <v>282</v>
      </c>
      <c r="E135" t="s">
        <v>145</v>
      </c>
      <c r="F135" t="s">
        <v>282</v>
      </c>
      <c r="G135" t="s">
        <v>31</v>
      </c>
      <c r="H135" t="s">
        <v>278</v>
      </c>
      <c r="I135" t="s">
        <v>135</v>
      </c>
      <c r="J135" t="s">
        <v>39</v>
      </c>
      <c r="K135" t="s">
        <v>31</v>
      </c>
      <c r="L135">
        <v>2077.3599999999997</v>
      </c>
      <c r="M135">
        <v>1</v>
      </c>
      <c r="N135">
        <v>3.2065728737266936</v>
      </c>
      <c r="O135">
        <v>4.4372583223218758</v>
      </c>
      <c r="P135">
        <v>-1.16169772439717</v>
      </c>
      <c r="Q135">
        <v>0.74954200350345179</v>
      </c>
      <c r="R135">
        <v>-1.3695852012614622</v>
      </c>
      <c r="S135" s="2">
        <v>4.9341778574238625E-2</v>
      </c>
      <c r="T135" s="2">
        <v>7.5209151736633992E-2</v>
      </c>
      <c r="U135" s="2">
        <v>0.16274020835192923</v>
      </c>
      <c r="V135" s="2">
        <v>0.30346650838932776</v>
      </c>
      <c r="W135" s="2">
        <v>0.51461889568091068</v>
      </c>
      <c r="X135" s="2">
        <v>0.81355737975251796</v>
      </c>
      <c r="Y135" s="2">
        <v>1.2154575561284486</v>
      </c>
      <c r="Z135" s="2">
        <v>1.7302437027464217</v>
      </c>
      <c r="AA135" s="2">
        <v>2.3590509701463405</v>
      </c>
      <c r="AB135" s="2">
        <v>3.0908570807667211</v>
      </c>
      <c r="AC135" s="2">
        <v>3.900294848721126</v>
      </c>
      <c r="AD135" s="2">
        <v>4.7478582509500979</v>
      </c>
      <c r="AE135" s="2">
        <v>6.4262492003055014</v>
      </c>
      <c r="AF135" s="2">
        <v>8.0847785221068538</v>
      </c>
      <c r="AG135" s="2">
        <v>8.9257634910451795</v>
      </c>
      <c r="AH135" s="2">
        <v>9.5719281838496961</v>
      </c>
      <c r="AI135" s="2">
        <v>10.003677409793895</v>
      </c>
      <c r="AJ135" s="2">
        <v>10.25753793220165</v>
      </c>
      <c r="AK135" s="2">
        <v>10.297783177408535</v>
      </c>
      <c r="AL135" s="2">
        <v>10.258352204466302</v>
      </c>
      <c r="AM135" s="2">
        <v>10.058304174678856</v>
      </c>
      <c r="AN135" s="2">
        <v>9.7859739149941056</v>
      </c>
      <c r="AO135" s="2">
        <v>2.3823823683513723</v>
      </c>
      <c r="AP135" s="2">
        <v>1.1597987541511148</v>
      </c>
      <c r="AQ135" s="2">
        <v>0.91722295685662214</v>
      </c>
      <c r="AR135" s="2">
        <v>117.09244862215441</v>
      </c>
    </row>
    <row r="136" spans="1:44" x14ac:dyDescent="0.25">
      <c r="A136" t="s">
        <v>250</v>
      </c>
      <c r="B136" t="s">
        <v>281</v>
      </c>
      <c r="C136" t="s">
        <v>43</v>
      </c>
      <c r="D136" t="s">
        <v>282</v>
      </c>
      <c r="E136" t="s">
        <v>145</v>
      </c>
      <c r="F136" t="s">
        <v>282</v>
      </c>
      <c r="G136" t="s">
        <v>31</v>
      </c>
      <c r="H136" t="s">
        <v>276</v>
      </c>
      <c r="I136" t="s">
        <v>135</v>
      </c>
      <c r="J136" t="s">
        <v>39</v>
      </c>
      <c r="K136" t="s">
        <v>31</v>
      </c>
      <c r="L136">
        <v>2077.3599999999997</v>
      </c>
      <c r="M136">
        <v>1</v>
      </c>
      <c r="N136">
        <v>3.2065728737266936</v>
      </c>
      <c r="O136">
        <v>4.4372583223218758</v>
      </c>
      <c r="P136">
        <v>-1.16169772439717</v>
      </c>
      <c r="Q136">
        <v>0.74954200350345179</v>
      </c>
      <c r="R136">
        <v>-1.3695852012614622</v>
      </c>
      <c r="S136" s="2">
        <v>6.348355286992742E-3</v>
      </c>
      <c r="T136" s="2">
        <v>9.7438475995933419E-3</v>
      </c>
      <c r="U136" s="2">
        <v>2.1230881585996713E-2</v>
      </c>
      <c r="V136" s="2">
        <v>3.9865507426420303E-2</v>
      </c>
      <c r="W136" s="2">
        <v>6.8074682613962434E-2</v>
      </c>
      <c r="X136" s="2">
        <v>0.10836809867943999</v>
      </c>
      <c r="Y136" s="2">
        <v>0.16302958792123901</v>
      </c>
      <c r="Z136" s="2">
        <v>0.23369384728815987</v>
      </c>
      <c r="AA136" s="2">
        <v>0.32084161495391295</v>
      </c>
      <c r="AB136" s="2">
        <v>0.42329745895287185</v>
      </c>
      <c r="AC136" s="2">
        <v>0.53787027619422867</v>
      </c>
      <c r="AD136" s="2">
        <v>0.65931236101822832</v>
      </c>
      <c r="AE136" s="2">
        <v>0.88918130826956088</v>
      </c>
      <c r="AF136" s="2">
        <v>1.0418163813497159</v>
      </c>
      <c r="AG136" s="2">
        <v>1.1579998432776006</v>
      </c>
      <c r="AH136" s="2">
        <v>1.2507868476861377</v>
      </c>
      <c r="AI136" s="2">
        <v>1.3173999222628172</v>
      </c>
      <c r="AJ136" s="2">
        <v>1.3624190207892601</v>
      </c>
      <c r="AK136" s="2">
        <v>1.3808389305504012</v>
      </c>
      <c r="AL136" s="2">
        <v>1.3903141905740548</v>
      </c>
      <c r="AM136" s="2">
        <v>1.37963915594403</v>
      </c>
      <c r="AN136" s="2">
        <v>1.360347249564716</v>
      </c>
      <c r="AO136" s="2">
        <v>1.1219425537823711</v>
      </c>
      <c r="AP136" s="2">
        <v>0.10520230239265733</v>
      </c>
      <c r="AQ136" s="2">
        <v>8.3704232310748417E-2</v>
      </c>
      <c r="AR136" s="2">
        <v>16.433268458275119</v>
      </c>
    </row>
    <row r="137" spans="1:44" x14ac:dyDescent="0.25">
      <c r="A137" t="s">
        <v>250</v>
      </c>
      <c r="B137" t="s">
        <v>281</v>
      </c>
      <c r="C137" t="s">
        <v>43</v>
      </c>
      <c r="D137" t="s">
        <v>282</v>
      </c>
      <c r="E137" t="s">
        <v>145</v>
      </c>
      <c r="F137" t="s">
        <v>282</v>
      </c>
      <c r="G137" t="s">
        <v>31</v>
      </c>
      <c r="H137" t="s">
        <v>275</v>
      </c>
      <c r="I137" t="s">
        <v>135</v>
      </c>
      <c r="J137" t="s">
        <v>39</v>
      </c>
      <c r="K137" t="s">
        <v>31</v>
      </c>
      <c r="L137">
        <v>2077.3599999999997</v>
      </c>
      <c r="M137">
        <v>1</v>
      </c>
      <c r="N137">
        <v>3.2065728737266936</v>
      </c>
      <c r="O137">
        <v>4.4372583223218758</v>
      </c>
      <c r="P137">
        <v>-1.16169772439717</v>
      </c>
      <c r="Q137">
        <v>0.74954200350345179</v>
      </c>
      <c r="R137">
        <v>-1.3695852012614622</v>
      </c>
      <c r="S137" s="2">
        <v>4.9002513352530773E-4</v>
      </c>
      <c r="T137" s="2">
        <v>7.5023656680984064E-4</v>
      </c>
      <c r="U137" s="2">
        <v>1.6305960546700981E-3</v>
      </c>
      <c r="V137" s="2">
        <v>3.0541212113339273E-3</v>
      </c>
      <c r="W137" s="2">
        <v>5.2021780448381393E-3</v>
      </c>
      <c r="X137" s="2">
        <v>8.2606011639302212E-3</v>
      </c>
      <c r="Y137" s="2">
        <v>1.23961620525441E-2</v>
      </c>
      <c r="Z137" s="2">
        <v>1.7724692374810228E-2</v>
      </c>
      <c r="AA137" s="2">
        <v>2.4273518648340986E-2</v>
      </c>
      <c r="AB137" s="2">
        <v>3.1944663448374759E-2</v>
      </c>
      <c r="AC137" s="2">
        <v>4.0489350883772479E-2</v>
      </c>
      <c r="AD137" s="2">
        <v>4.9506828017167659E-2</v>
      </c>
      <c r="AE137" s="2">
        <v>6.6848267010376272E-2</v>
      </c>
      <c r="AF137" s="2">
        <v>8.0314238638992883E-2</v>
      </c>
      <c r="AG137" s="2">
        <v>8.9052586340272064E-2</v>
      </c>
      <c r="AH137" s="2">
        <v>9.5938234644514273E-2</v>
      </c>
      <c r="AI137" s="2">
        <v>0.10076362623197826</v>
      </c>
      <c r="AJ137" s="2">
        <v>0.10388487266432159</v>
      </c>
      <c r="AK137" s="2">
        <v>0.10492691963955</v>
      </c>
      <c r="AL137" s="2">
        <v>0.10523910811083916</v>
      </c>
      <c r="AM137" s="2">
        <v>0.10397912771948098</v>
      </c>
      <c r="AN137" s="2">
        <v>0.10203154985089113</v>
      </c>
      <c r="AO137" s="2">
        <v>6.197004886476145E-2</v>
      </c>
      <c r="AP137" s="2">
        <v>9.4080225803689996E-3</v>
      </c>
      <c r="AQ137" s="2">
        <v>7.469097159431436E-3</v>
      </c>
      <c r="AR137" s="2">
        <v>1.2275486730558964</v>
      </c>
    </row>
    <row r="138" spans="1:44" x14ac:dyDescent="0.25">
      <c r="A138" t="s">
        <v>250</v>
      </c>
      <c r="B138" t="s">
        <v>281</v>
      </c>
      <c r="C138" t="s">
        <v>43</v>
      </c>
      <c r="D138" t="s">
        <v>282</v>
      </c>
      <c r="E138" t="s">
        <v>145</v>
      </c>
      <c r="F138" t="s">
        <v>282</v>
      </c>
      <c r="G138" t="s">
        <v>31</v>
      </c>
      <c r="H138" t="s">
        <v>277</v>
      </c>
      <c r="I138" t="s">
        <v>135</v>
      </c>
      <c r="J138" t="s">
        <v>39</v>
      </c>
      <c r="K138" t="s">
        <v>31</v>
      </c>
      <c r="L138">
        <v>2077.3599999999997</v>
      </c>
      <c r="M138">
        <v>1</v>
      </c>
      <c r="N138">
        <v>3.2065728737266936</v>
      </c>
      <c r="O138">
        <v>4.4372583223218758</v>
      </c>
      <c r="P138">
        <v>-1.16169772439717</v>
      </c>
      <c r="Q138">
        <v>0.74954200350345179</v>
      </c>
      <c r="R138">
        <v>-1.3695852012614622</v>
      </c>
      <c r="S138" s="2">
        <v>3.6717175574073947E-3</v>
      </c>
      <c r="T138" s="2">
        <v>5.6207824858682523E-3</v>
      </c>
      <c r="U138" s="2">
        <v>1.2214974904394892E-2</v>
      </c>
      <c r="V138" s="2">
        <v>2.2876000732880361E-2</v>
      </c>
      <c r="W138" s="2">
        <v>3.8960694070330905E-2</v>
      </c>
      <c r="X138" s="2">
        <v>6.185869704664463E-2</v>
      </c>
      <c r="Y138" s="2">
        <v>9.2816246087500706E-2</v>
      </c>
      <c r="Z138" s="2">
        <v>0.13269761021761786</v>
      </c>
      <c r="AA138" s="2">
        <v>0.1817041186003987</v>
      </c>
      <c r="AB138" s="2">
        <v>0.23909912871910616</v>
      </c>
      <c r="AC138" s="2">
        <v>0.30301779355237718</v>
      </c>
      <c r="AD138" s="2">
        <v>0.37045892243502981</v>
      </c>
      <c r="AE138" s="2">
        <v>0.50025503357507184</v>
      </c>
      <c r="AF138" s="2">
        <v>0.60176342484155076</v>
      </c>
      <c r="AG138" s="2">
        <v>0.6671579794900715</v>
      </c>
      <c r="AH138" s="2">
        <v>0.71865361782988657</v>
      </c>
      <c r="AI138" s="2">
        <v>0.75469765733963823</v>
      </c>
      <c r="AJ138" s="2">
        <v>0.77795950613140086</v>
      </c>
      <c r="AK138" s="2">
        <v>0.7856330026125401</v>
      </c>
      <c r="AL138" s="2">
        <v>0.78782417971957441</v>
      </c>
      <c r="AM138" s="2">
        <v>0.77822971059550161</v>
      </c>
      <c r="AN138" s="2">
        <v>0.76347578996939236</v>
      </c>
      <c r="AO138" s="2">
        <v>0.45588380363162884</v>
      </c>
      <c r="AP138" s="2">
        <v>7.0944274947203317E-2</v>
      </c>
      <c r="AQ138" s="2">
        <v>5.6317241314039701E-2</v>
      </c>
      <c r="AR138" s="2">
        <v>9.1837919084070556</v>
      </c>
    </row>
    <row r="139" spans="1:44" x14ac:dyDescent="0.25">
      <c r="A139" t="s">
        <v>250</v>
      </c>
      <c r="B139" t="s">
        <v>281</v>
      </c>
      <c r="C139" t="s">
        <v>43</v>
      </c>
      <c r="D139" t="s">
        <v>282</v>
      </c>
      <c r="E139" t="s">
        <v>145</v>
      </c>
      <c r="F139" t="s">
        <v>282</v>
      </c>
      <c r="G139" t="s">
        <v>31</v>
      </c>
      <c r="H139" t="s">
        <v>277</v>
      </c>
      <c r="I139" t="s">
        <v>135</v>
      </c>
      <c r="J139" t="s">
        <v>40</v>
      </c>
      <c r="K139" t="s">
        <v>31</v>
      </c>
      <c r="L139">
        <v>2077.3599999999997</v>
      </c>
      <c r="M139">
        <v>1</v>
      </c>
      <c r="N139">
        <v>3.2065728737266936</v>
      </c>
      <c r="O139">
        <v>3.2645157400827758</v>
      </c>
      <c r="P139">
        <v>-1.16169772439717</v>
      </c>
      <c r="Q139">
        <v>0.4672931329656026</v>
      </c>
      <c r="R139">
        <v>-1.226585201261462</v>
      </c>
      <c r="S139" s="2">
        <v>5.791965181409025E-4</v>
      </c>
      <c r="T139" s="2">
        <v>8.8665252545759533E-4</v>
      </c>
      <c r="U139" s="2">
        <v>1.9268559803928933E-3</v>
      </c>
      <c r="V139" s="2">
        <v>3.608583657733378E-3</v>
      </c>
      <c r="W139" s="2">
        <v>6.1458698816208466E-3</v>
      </c>
      <c r="X139" s="2">
        <v>9.7579242918259604E-3</v>
      </c>
      <c r="Y139" s="2">
        <v>1.46413349393761E-2</v>
      </c>
      <c r="Z139" s="2">
        <v>2.0932436278658772E-2</v>
      </c>
      <c r="AA139" s="2">
        <v>2.8662987057077545E-2</v>
      </c>
      <c r="AB139" s="2">
        <v>3.771678531352355E-2</v>
      </c>
      <c r="AC139" s="2">
        <v>4.7799660027281983E-2</v>
      </c>
      <c r="AD139" s="2">
        <v>5.8438187206345762E-2</v>
      </c>
      <c r="AE139" s="2">
        <v>7.891292538136617E-2</v>
      </c>
      <c r="AF139" s="2">
        <v>9.4925406152121194E-2</v>
      </c>
      <c r="AG139" s="2">
        <v>0.10524109568041433</v>
      </c>
      <c r="AH139" s="2">
        <v>0.11336429523471904</v>
      </c>
      <c r="AI139" s="2">
        <v>0.11905007630512422</v>
      </c>
      <c r="AJ139" s="2">
        <v>0.12271952571539477</v>
      </c>
      <c r="AK139" s="2">
        <v>0.12392998441063847</v>
      </c>
      <c r="AL139" s="2">
        <v>0.12427563249799296</v>
      </c>
      <c r="AM139" s="2">
        <v>0.12276214922397008</v>
      </c>
      <c r="AN139" s="2">
        <v>0.12043478626046243</v>
      </c>
      <c r="AO139" s="2">
        <v>7.1913568408217651E-2</v>
      </c>
      <c r="AP139" s="2">
        <v>1.119113232131758E-2</v>
      </c>
      <c r="AQ139" s="2">
        <v>8.8837851960009671E-3</v>
      </c>
      <c r="AR139" s="2">
        <v>1.4487008364651752</v>
      </c>
    </row>
    <row r="140" spans="1:44" x14ac:dyDescent="0.25">
      <c r="A140" t="s">
        <v>250</v>
      </c>
      <c r="B140" t="s">
        <v>281</v>
      </c>
      <c r="C140" t="s">
        <v>43</v>
      </c>
      <c r="D140" t="s">
        <v>282</v>
      </c>
      <c r="E140" t="s">
        <v>148</v>
      </c>
      <c r="F140" t="s">
        <v>282</v>
      </c>
      <c r="G140" t="s">
        <v>31</v>
      </c>
      <c r="H140" t="s">
        <v>272</v>
      </c>
      <c r="I140" t="s">
        <v>135</v>
      </c>
      <c r="J140" t="s">
        <v>39</v>
      </c>
      <c r="K140" t="s">
        <v>31</v>
      </c>
      <c r="L140">
        <v>2077.3599999999997</v>
      </c>
      <c r="M140">
        <v>1</v>
      </c>
      <c r="N140">
        <v>3.2065728737266936</v>
      </c>
      <c r="O140">
        <v>4.4372583223218758</v>
      </c>
      <c r="P140">
        <v>-1.16169772439717</v>
      </c>
      <c r="Q140">
        <v>0.74954200350345179</v>
      </c>
      <c r="R140">
        <v>-1.3695852012614622</v>
      </c>
      <c r="S140" s="2">
        <v>9.2207529030348168E-5</v>
      </c>
      <c r="T140" s="2">
        <v>1.9934589846990771E-4</v>
      </c>
      <c r="U140" s="2">
        <v>4.3816407041565459E-4</v>
      </c>
      <c r="V140" s="2">
        <v>8.3000354332581202E-4</v>
      </c>
      <c r="W140" s="2">
        <v>1.4298946612653456E-3</v>
      </c>
      <c r="X140" s="2">
        <v>2.2965576169413104E-3</v>
      </c>
      <c r="Y140" s="2">
        <v>3.4859515476947842E-3</v>
      </c>
      <c r="Z140" s="2">
        <v>5.0419973850784955E-3</v>
      </c>
      <c r="AA140" s="2">
        <v>6.9850207087714502E-3</v>
      </c>
      <c r="AB140" s="2">
        <v>9.2996246952822027E-3</v>
      </c>
      <c r="AC140" s="2">
        <v>1.1925071618514509E-2</v>
      </c>
      <c r="AD140" s="2">
        <v>1.4752279665656426E-2</v>
      </c>
      <c r="AE140" s="2">
        <v>1.7631387104231455E-2</v>
      </c>
      <c r="AF140" s="2">
        <v>2.0391689879234353E-2</v>
      </c>
      <c r="AG140" s="2">
        <v>2.2871507333099651E-2</v>
      </c>
      <c r="AH140" s="2">
        <v>2.4950438427103521E-2</v>
      </c>
      <c r="AI140" s="2">
        <v>2.6573211582475362E-2</v>
      </c>
      <c r="AJ140" s="2">
        <v>2.7831975009674517E-2</v>
      </c>
      <c r="AK140" s="2">
        <v>2.8622749890122517E-2</v>
      </c>
      <c r="AL140" s="2">
        <v>2.9307353704428902E-2</v>
      </c>
      <c r="AM140" s="2">
        <v>2.9646169879116415E-2</v>
      </c>
      <c r="AN140" s="2">
        <v>2.987026628441259E-2</v>
      </c>
      <c r="AO140" s="2">
        <v>3.0097374256056429E-2</v>
      </c>
      <c r="AP140" s="2">
        <v>3.032752527369071E-2</v>
      </c>
      <c r="AQ140" s="2">
        <v>3.0560751180530504E-2</v>
      </c>
      <c r="AR140" s="2">
        <v>0.40545851874462313</v>
      </c>
    </row>
    <row r="141" spans="1:44" x14ac:dyDescent="0.25">
      <c r="A141" t="s">
        <v>250</v>
      </c>
      <c r="B141" t="s">
        <v>281</v>
      </c>
      <c r="C141" t="s">
        <v>43</v>
      </c>
      <c r="D141" t="s">
        <v>282</v>
      </c>
      <c r="E141" t="s">
        <v>148</v>
      </c>
      <c r="F141" t="s">
        <v>282</v>
      </c>
      <c r="G141" t="s">
        <v>31</v>
      </c>
      <c r="H141" t="s">
        <v>272</v>
      </c>
      <c r="I141" t="s">
        <v>135</v>
      </c>
      <c r="J141" t="s">
        <v>40</v>
      </c>
      <c r="K141" t="s">
        <v>31</v>
      </c>
      <c r="L141">
        <v>2077.3599999999997</v>
      </c>
      <c r="M141">
        <v>1</v>
      </c>
      <c r="N141">
        <v>3.2065728737266936</v>
      </c>
      <c r="O141">
        <v>3.2645157400827758</v>
      </c>
      <c r="P141">
        <v>-1.16169772439717</v>
      </c>
      <c r="Q141">
        <v>0.4672931329656026</v>
      </c>
      <c r="R141">
        <v>-1.226585201261462</v>
      </c>
      <c r="S141" s="2">
        <v>9.1207853490352858E-6</v>
      </c>
      <c r="T141" s="2">
        <v>1.9718467345071022E-5</v>
      </c>
      <c r="U141" s="2">
        <v>4.3341367846495401E-5</v>
      </c>
      <c r="V141" s="2">
        <v>8.2100499137353089E-5</v>
      </c>
      <c r="W141" s="2">
        <v>1.4143923402220497E-4</v>
      </c>
      <c r="X141" s="2">
        <v>2.2716592978996021E-4</v>
      </c>
      <c r="Y141" s="2">
        <v>3.448158316138881E-4</v>
      </c>
      <c r="Z141" s="2">
        <v>4.987334154086476E-4</v>
      </c>
      <c r="AA141" s="2">
        <v>6.9092920299711604E-4</v>
      </c>
      <c r="AB141" s="2">
        <v>9.1988020462341466E-4</v>
      </c>
      <c r="AC141" s="2">
        <v>1.179578496985261E-3</v>
      </c>
      <c r="AD141" s="2">
        <v>1.4592341607495729E-3</v>
      </c>
      <c r="AE141" s="2">
        <v>1.7440234965033679E-3</v>
      </c>
      <c r="AF141" s="2">
        <v>2.0170611689570069E-3</v>
      </c>
      <c r="AG141" s="2">
        <v>2.2623543997738974E-3</v>
      </c>
      <c r="AH141" s="2">
        <v>2.4679936188620358E-3</v>
      </c>
      <c r="AI141" s="2">
        <v>2.6285115914827903E-3</v>
      </c>
      <c r="AJ141" s="2">
        <v>2.7530232354388983E-3</v>
      </c>
      <c r="AK141" s="2">
        <v>2.8312433983672569E-3</v>
      </c>
      <c r="AL141" s="2">
        <v>2.8989615609195277E-3</v>
      </c>
      <c r="AM141" s="2">
        <v>2.9324758480347153E-3</v>
      </c>
      <c r="AN141" s="2">
        <v>2.9546425325960592E-3</v>
      </c>
      <c r="AO141" s="2">
        <v>2.9771071087776623E-3</v>
      </c>
      <c r="AP141" s="2">
        <v>2.9998726904148501E-3</v>
      </c>
      <c r="AQ141" s="2">
        <v>3.022942427306051E-3</v>
      </c>
      <c r="AR141" s="2">
        <v>4.0106270673302143E-2</v>
      </c>
    </row>
    <row r="142" spans="1:44" x14ac:dyDescent="0.25">
      <c r="A142" t="s">
        <v>250</v>
      </c>
      <c r="B142" t="s">
        <v>281</v>
      </c>
      <c r="C142" t="s">
        <v>43</v>
      </c>
      <c r="D142" t="s">
        <v>282</v>
      </c>
      <c r="E142" t="s">
        <v>148</v>
      </c>
      <c r="F142" t="s">
        <v>282</v>
      </c>
      <c r="G142" t="s">
        <v>31</v>
      </c>
      <c r="H142" t="s">
        <v>253</v>
      </c>
      <c r="I142" t="s">
        <v>135</v>
      </c>
      <c r="J142" t="s">
        <v>39</v>
      </c>
      <c r="K142" t="s">
        <v>31</v>
      </c>
      <c r="L142">
        <v>2077.3599999999997</v>
      </c>
      <c r="M142">
        <v>1</v>
      </c>
      <c r="N142">
        <v>3.2065728737266936</v>
      </c>
      <c r="O142">
        <v>4.4372583223218758</v>
      </c>
      <c r="P142">
        <v>-1.16169772439717</v>
      </c>
      <c r="Q142">
        <v>0.74954200350345179</v>
      </c>
      <c r="R142">
        <v>-1.3695852012614622</v>
      </c>
      <c r="S142" s="2">
        <v>3.1300182415060198E-5</v>
      </c>
      <c r="T142" s="2">
        <v>6.5546286437111957E-5</v>
      </c>
      <c r="U142" s="2">
        <v>1.4414246507949449E-4</v>
      </c>
      <c r="V142" s="2">
        <v>2.73178869428516E-4</v>
      </c>
      <c r="W142" s="2">
        <v>4.7084803471712691E-4</v>
      </c>
      <c r="X142" s="2">
        <v>7.5659108088431013E-4</v>
      </c>
      <c r="Y142" s="2">
        <v>1.1489733996464836E-3</v>
      </c>
      <c r="Z142" s="2">
        <v>1.6626223365710764E-3</v>
      </c>
      <c r="AA142" s="2">
        <v>2.3044043115980511E-3</v>
      </c>
      <c r="AB142" s="2">
        <v>3.0694037461453248E-3</v>
      </c>
      <c r="AC142" s="2">
        <v>3.9377201446727022E-3</v>
      </c>
      <c r="AD142" s="2">
        <v>4.873443018042203E-3</v>
      </c>
      <c r="AE142" s="2">
        <v>5.8271178374086647E-3</v>
      </c>
      <c r="AF142" s="2">
        <v>6.7423108770422457E-3</v>
      </c>
      <c r="AG142" s="2">
        <v>7.5654760633429219E-3</v>
      </c>
      <c r="AH142" s="2">
        <v>8.2566384685427065E-3</v>
      </c>
      <c r="AI142" s="2">
        <v>8.7973212822476214E-3</v>
      </c>
      <c r="AJ142" s="2">
        <v>9.2178465235731727E-3</v>
      </c>
      <c r="AK142" s="2">
        <v>9.4836075760007486E-3</v>
      </c>
      <c r="AL142" s="2">
        <v>9.7143409690299953E-3</v>
      </c>
      <c r="AM142" s="2">
        <v>9.8305452657185231E-3</v>
      </c>
      <c r="AN142" s="2">
        <v>9.9087337513314305E-3</v>
      </c>
      <c r="AO142" s="2">
        <v>9.9879304898349251E-3</v>
      </c>
      <c r="AP142" s="2">
        <v>1.0068146249258801E-2</v>
      </c>
      <c r="AQ142" s="2">
        <v>1.014939192059936E-2</v>
      </c>
      <c r="AR142" s="2">
        <v>0.13428758114956854</v>
      </c>
    </row>
    <row r="143" spans="1:44" x14ac:dyDescent="0.25">
      <c r="A143" t="s">
        <v>250</v>
      </c>
      <c r="B143" t="s">
        <v>281</v>
      </c>
      <c r="C143" t="s">
        <v>43</v>
      </c>
      <c r="D143" t="s">
        <v>282</v>
      </c>
      <c r="E143" t="s">
        <v>148</v>
      </c>
      <c r="F143" t="s">
        <v>282</v>
      </c>
      <c r="G143" t="s">
        <v>31</v>
      </c>
      <c r="H143" t="s">
        <v>253</v>
      </c>
      <c r="I143" t="s">
        <v>135</v>
      </c>
      <c r="J143" t="s">
        <v>40</v>
      </c>
      <c r="K143" t="s">
        <v>31</v>
      </c>
      <c r="L143">
        <v>2077.3599999999997</v>
      </c>
      <c r="M143">
        <v>1</v>
      </c>
      <c r="N143">
        <v>3.2065728737266936</v>
      </c>
      <c r="O143">
        <v>3.2645157400827758</v>
      </c>
      <c r="P143">
        <v>-1.16169772439717</v>
      </c>
      <c r="Q143">
        <v>0.4672931329656026</v>
      </c>
      <c r="R143">
        <v>-1.226585201261462</v>
      </c>
      <c r="S143" s="2">
        <v>1.6464546491536957E-5</v>
      </c>
      <c r="T143" s="2">
        <v>3.4478708976219039E-5</v>
      </c>
      <c r="U143" s="2">
        <v>7.582193248062847E-5</v>
      </c>
      <c r="V143" s="2">
        <v>1.436977630535222E-4</v>
      </c>
      <c r="W143" s="2">
        <v>2.4767585234004776E-4</v>
      </c>
      <c r="X143" s="2">
        <v>3.979826334912426E-4</v>
      </c>
      <c r="Y143" s="2">
        <v>6.043838884119974E-4</v>
      </c>
      <c r="Z143" s="2">
        <v>8.7457390488467903E-4</v>
      </c>
      <c r="AA143" s="2">
        <v>1.2121645625090289E-3</v>
      </c>
      <c r="AB143" s="2">
        <v>1.6145701647857628E-3</v>
      </c>
      <c r="AC143" s="2">
        <v>2.0713226374498776E-3</v>
      </c>
      <c r="AD143" s="2">
        <v>2.5635323168533464E-3</v>
      </c>
      <c r="AE143" s="2">
        <v>3.0651850929634293E-3</v>
      </c>
      <c r="AF143" s="2">
        <v>3.5465956531309396E-3</v>
      </c>
      <c r="AG143" s="2">
        <v>3.9795976497435728E-3</v>
      </c>
      <c r="AH143" s="2">
        <v>4.3431634399589188E-3</v>
      </c>
      <c r="AI143" s="2">
        <v>4.6275738374886169E-3</v>
      </c>
      <c r="AJ143" s="2">
        <v>4.8487788545985479E-3</v>
      </c>
      <c r="AK143" s="2">
        <v>4.988574691738158E-3</v>
      </c>
      <c r="AL143" s="2">
        <v>5.1099452520212496E-3</v>
      </c>
      <c r="AM143" s="2">
        <v>5.1710711272629408E-3</v>
      </c>
      <c r="AN143" s="2">
        <v>5.2121998957603607E-3</v>
      </c>
      <c r="AO143" s="2">
        <v>5.2538590262337266E-3</v>
      </c>
      <c r="AP143" s="2">
        <v>5.2960541828904976E-3</v>
      </c>
      <c r="AQ143" s="2">
        <v>5.3387910946210435E-3</v>
      </c>
      <c r="AR143" s="2">
        <v>7.0638058710139909E-2</v>
      </c>
    </row>
    <row r="144" spans="1:44" x14ac:dyDescent="0.25">
      <c r="A144" t="s">
        <v>250</v>
      </c>
      <c r="B144" t="s">
        <v>281</v>
      </c>
      <c r="C144" t="s">
        <v>43</v>
      </c>
      <c r="D144" t="s">
        <v>282</v>
      </c>
      <c r="E144" t="s">
        <v>148</v>
      </c>
      <c r="F144" t="s">
        <v>282</v>
      </c>
      <c r="G144" t="s">
        <v>31</v>
      </c>
      <c r="H144" t="s">
        <v>253</v>
      </c>
      <c r="I144" t="s">
        <v>256</v>
      </c>
      <c r="J144" t="s">
        <v>39</v>
      </c>
      <c r="K144" t="s">
        <v>31</v>
      </c>
      <c r="L144">
        <v>2077.3599999999997</v>
      </c>
      <c r="M144">
        <v>1</v>
      </c>
      <c r="N144">
        <v>2.2322051837740986</v>
      </c>
      <c r="O144">
        <v>3.088927468322328</v>
      </c>
      <c r="P144">
        <v>-0.43136821392107066</v>
      </c>
      <c r="Q144">
        <v>0.4672931329656026</v>
      </c>
      <c r="R144">
        <v>-0.63925569078536293</v>
      </c>
      <c r="S144" s="2">
        <v>1.6418852236481565E-5</v>
      </c>
      <c r="T144" s="2">
        <v>3.4383019798096301E-5</v>
      </c>
      <c r="U144" s="2">
        <v>7.5611502954170775E-5</v>
      </c>
      <c r="V144" s="2">
        <v>1.4329895691335523E-4</v>
      </c>
      <c r="W144" s="2">
        <v>2.4698847455082557E-4</v>
      </c>
      <c r="X144" s="2">
        <v>3.9687810747398141E-4</v>
      </c>
      <c r="Y144" s="2">
        <v>6.0270653449504214E-4</v>
      </c>
      <c r="Z144" s="2">
        <v>8.721466893464229E-4</v>
      </c>
      <c r="AA144" s="2">
        <v>1.2088004275347289E-3</v>
      </c>
      <c r="AB144" s="2">
        <v>1.6100892286753923E-3</v>
      </c>
      <c r="AC144" s="2">
        <v>2.0655740706766661E-3</v>
      </c>
      <c r="AD144" s="2">
        <v>2.5564177146024177E-3</v>
      </c>
      <c r="AE144" s="2">
        <v>3.0566782476943444E-3</v>
      </c>
      <c r="AF144" s="2">
        <v>3.5367527433103774E-3</v>
      </c>
      <c r="AG144" s="2">
        <v>3.9685530242436632E-3</v>
      </c>
      <c r="AH144" s="2">
        <v>4.331109805923241E-3</v>
      </c>
      <c r="AI144" s="2">
        <v>4.6147308758360062E-3</v>
      </c>
      <c r="AJ144" s="2">
        <v>4.8353219799860021E-3</v>
      </c>
      <c r="AK144" s="2">
        <v>4.9747298400476302E-3</v>
      </c>
      <c r="AL144" s="2">
        <v>5.0957635591465274E-3</v>
      </c>
      <c r="AM144" s="2">
        <v>5.1567197910071735E-3</v>
      </c>
      <c r="AN144" s="2">
        <v>5.1977344143358797E-3</v>
      </c>
      <c r="AO144" s="2">
        <v>5.2392779277203681E-3</v>
      </c>
      <c r="AP144" s="2">
        <v>5.2813559796485139E-3</v>
      </c>
      <c r="AQ144" s="2">
        <v>5.3239742831109396E-3</v>
      </c>
      <c r="AR144" s="2">
        <v>7.0442016051268264E-2</v>
      </c>
    </row>
    <row r="145" spans="1:44" x14ac:dyDescent="0.25">
      <c r="A145" t="s">
        <v>250</v>
      </c>
      <c r="B145" t="s">
        <v>281</v>
      </c>
      <c r="C145" t="s">
        <v>43</v>
      </c>
      <c r="D145" t="s">
        <v>282</v>
      </c>
      <c r="E145" t="s">
        <v>148</v>
      </c>
      <c r="F145" t="s">
        <v>282</v>
      </c>
      <c r="G145" t="s">
        <v>31</v>
      </c>
      <c r="H145" t="s">
        <v>273</v>
      </c>
      <c r="I145" t="s">
        <v>135</v>
      </c>
      <c r="J145" t="s">
        <v>39</v>
      </c>
      <c r="K145" t="s">
        <v>31</v>
      </c>
      <c r="L145">
        <v>2077.3599999999997</v>
      </c>
      <c r="M145">
        <v>1</v>
      </c>
      <c r="N145">
        <v>3.2065728737266936</v>
      </c>
      <c r="O145">
        <v>4.4372583223218758</v>
      </c>
      <c r="P145">
        <v>-1.16169772439717</v>
      </c>
      <c r="Q145">
        <v>0.74954200350345179</v>
      </c>
      <c r="R145">
        <v>-1.3695852012614622</v>
      </c>
      <c r="S145" s="2">
        <v>2.77320180827003E-5</v>
      </c>
      <c r="T145" s="2">
        <v>5.995458417782916E-5</v>
      </c>
      <c r="U145" s="2">
        <v>1.3178071304738119E-4</v>
      </c>
      <c r="V145" s="2">
        <v>2.496290000856791E-4</v>
      </c>
      <c r="W145" s="2">
        <v>4.3005018158024619E-4</v>
      </c>
      <c r="X145" s="2">
        <v>6.907047399569528E-4</v>
      </c>
      <c r="Y145" s="2">
        <v>1.0484227521623684E-3</v>
      </c>
      <c r="Z145" s="2">
        <v>1.5164137259323122E-3</v>
      </c>
      <c r="AA145" s="2">
        <v>2.1007907124366404E-3</v>
      </c>
      <c r="AB145" s="2">
        <v>2.7969230161997908E-3</v>
      </c>
      <c r="AC145" s="2">
        <v>3.5865433684194791E-3</v>
      </c>
      <c r="AD145" s="2">
        <v>4.4368446996816135E-3</v>
      </c>
      <c r="AE145" s="2">
        <v>5.3027551127272964E-3</v>
      </c>
      <c r="AF145" s="2">
        <v>6.1329342453329237E-3</v>
      </c>
      <c r="AG145" s="2">
        <v>6.8787555811344967E-3</v>
      </c>
      <c r="AH145" s="2">
        <v>7.5040077194130778E-3</v>
      </c>
      <c r="AI145" s="2">
        <v>7.9920673709636698E-3</v>
      </c>
      <c r="AJ145" s="2">
        <v>8.3706487134204109E-3</v>
      </c>
      <c r="AK145" s="2">
        <v>8.6084794362966278E-3</v>
      </c>
      <c r="AL145" s="2">
        <v>8.8143785158782562E-3</v>
      </c>
      <c r="AM145" s="2">
        <v>8.9162796988070756E-3</v>
      </c>
      <c r="AN145" s="2">
        <v>8.9836781599664257E-3</v>
      </c>
      <c r="AO145" s="2">
        <v>9.0519823694227997E-3</v>
      </c>
      <c r="AP145" s="2">
        <v>9.121201794885193E-3</v>
      </c>
      <c r="AQ145" s="2">
        <v>9.1913460134088604E-3</v>
      </c>
      <c r="AR145" s="2">
        <v>0.12194430424342009</v>
      </c>
    </row>
    <row r="146" spans="1:44" x14ac:dyDescent="0.25">
      <c r="A146" t="s">
        <v>250</v>
      </c>
      <c r="B146" t="s">
        <v>281</v>
      </c>
      <c r="C146" t="s">
        <v>43</v>
      </c>
      <c r="D146" t="s">
        <v>282</v>
      </c>
      <c r="E146" t="s">
        <v>148</v>
      </c>
      <c r="F146" t="s">
        <v>282</v>
      </c>
      <c r="G146" t="s">
        <v>31</v>
      </c>
      <c r="H146" t="s">
        <v>252</v>
      </c>
      <c r="I146" t="s">
        <v>135</v>
      </c>
      <c r="J146" t="s">
        <v>39</v>
      </c>
      <c r="K146" t="s">
        <v>31</v>
      </c>
      <c r="L146">
        <v>2077.3599999999997</v>
      </c>
      <c r="M146">
        <v>1</v>
      </c>
      <c r="N146">
        <v>3.2065728737266936</v>
      </c>
      <c r="O146">
        <v>4.4372583223218758</v>
      </c>
      <c r="P146">
        <v>-1.16169772439717</v>
      </c>
      <c r="Q146">
        <v>0.74954200350345179</v>
      </c>
      <c r="R146">
        <v>-1.3695852012614622</v>
      </c>
      <c r="S146" s="2">
        <v>1.2147795123913357E-4</v>
      </c>
      <c r="T146" s="2">
        <v>2.4779945343176272E-4</v>
      </c>
      <c r="U146" s="2">
        <v>5.4514944887340685E-4</v>
      </c>
      <c r="V146" s="2">
        <v>1.0335706859591739E-3</v>
      </c>
      <c r="W146" s="2">
        <v>1.7821381411667195E-3</v>
      </c>
      <c r="X146" s="2">
        <v>2.8647546046725778E-3</v>
      </c>
      <c r="Y146" s="2">
        <v>4.3521101644466587E-3</v>
      </c>
      <c r="Z146" s="2">
        <v>6.3000690993653763E-3</v>
      </c>
      <c r="AA146" s="2">
        <v>8.7351483592011184E-3</v>
      </c>
      <c r="AB146" s="2">
        <v>1.1639213817780729E-2</v>
      </c>
      <c r="AC146" s="2">
        <v>1.4937249062755471E-2</v>
      </c>
      <c r="AD146" s="2">
        <v>1.8493365395318116E-2</v>
      </c>
      <c r="AE146" s="2">
        <v>2.212005931468632E-2</v>
      </c>
      <c r="AF146" s="2">
        <v>2.5603058221049621E-2</v>
      </c>
      <c r="AG146" s="2">
        <v>2.8738763714942921E-2</v>
      </c>
      <c r="AH146" s="2">
        <v>3.1374875756707478E-2</v>
      </c>
      <c r="AI146" s="2">
        <v>3.3440619304299007E-2</v>
      </c>
      <c r="AJ146" s="2">
        <v>3.5050695707189494E-2</v>
      </c>
      <c r="AK146" s="2">
        <v>3.6073000223384624E-2</v>
      </c>
      <c r="AL146" s="2">
        <v>3.6962537057448029E-2</v>
      </c>
      <c r="AM146" s="2">
        <v>3.7416573180991924E-2</v>
      </c>
      <c r="AN146" s="2">
        <v>3.7726001540441013E-2</v>
      </c>
      <c r="AO146" s="2">
        <v>3.8039307565748935E-2</v>
      </c>
      <c r="AP146" s="2">
        <v>3.8356533234010781E-2</v>
      </c>
      <c r="AQ146" s="2">
        <v>3.8677720998642563E-2</v>
      </c>
      <c r="AR146" s="2">
        <v>0.51063179200375286</v>
      </c>
    </row>
    <row r="147" spans="1:44" x14ac:dyDescent="0.25">
      <c r="A147" t="s">
        <v>250</v>
      </c>
      <c r="B147" t="s">
        <v>281</v>
      </c>
      <c r="C147" t="s">
        <v>43</v>
      </c>
      <c r="D147" t="s">
        <v>282</v>
      </c>
      <c r="E147" t="s">
        <v>148</v>
      </c>
      <c r="F147" t="s">
        <v>282</v>
      </c>
      <c r="G147" t="s">
        <v>31</v>
      </c>
      <c r="H147" t="s">
        <v>274</v>
      </c>
      <c r="I147" t="s">
        <v>135</v>
      </c>
      <c r="J147" t="s">
        <v>39</v>
      </c>
      <c r="K147" t="s">
        <v>31</v>
      </c>
      <c r="L147">
        <v>2077.3599999999997</v>
      </c>
      <c r="M147">
        <v>1</v>
      </c>
      <c r="N147">
        <v>3.2065728737266936</v>
      </c>
      <c r="O147">
        <v>4.4372583223218758</v>
      </c>
      <c r="P147">
        <v>-1.16169772439717</v>
      </c>
      <c r="Q147">
        <v>0.74954200350345179</v>
      </c>
      <c r="R147">
        <v>-1.3695852012614622</v>
      </c>
      <c r="S147" s="2">
        <v>4.3655162446615792E-5</v>
      </c>
      <c r="T147" s="2">
        <v>9.4379251589165176E-5</v>
      </c>
      <c r="U147" s="2">
        <v>2.0744644036573175E-4</v>
      </c>
      <c r="V147" s="2">
        <v>3.9296074730762521E-4</v>
      </c>
      <c r="W147" s="2">
        <v>6.7697599507891176E-4</v>
      </c>
      <c r="X147" s="2">
        <v>1.0872929454880846E-3</v>
      </c>
      <c r="Y147" s="2">
        <v>1.6504051534182074E-3</v>
      </c>
      <c r="Z147" s="2">
        <v>2.3871067494777806E-3</v>
      </c>
      <c r="AA147" s="2">
        <v>3.3070207708746995E-3</v>
      </c>
      <c r="AB147" s="2">
        <v>4.4028576737099806E-3</v>
      </c>
      <c r="AC147" s="2">
        <v>5.645861505760956E-3</v>
      </c>
      <c r="AD147" s="2">
        <v>6.9843880649938647E-3</v>
      </c>
      <c r="AE147" s="2">
        <v>8.3474861140792108E-3</v>
      </c>
      <c r="AF147" s="2">
        <v>9.6543367293357978E-3</v>
      </c>
      <c r="AG147" s="2">
        <v>1.0828393066436235E-2</v>
      </c>
      <c r="AH147" s="2">
        <v>1.1812651896256665E-2</v>
      </c>
      <c r="AI147" s="2">
        <v>1.2580945184849928E-2</v>
      </c>
      <c r="AJ147" s="2">
        <v>1.3176900010600984E-2</v>
      </c>
      <c r="AK147" s="2">
        <v>1.3551288156858573E-2</v>
      </c>
      <c r="AL147" s="2">
        <v>1.3875410178556936E-2</v>
      </c>
      <c r="AM147" s="2">
        <v>1.4035820887975741E-2</v>
      </c>
      <c r="AN147" s="2">
        <v>1.4141918134912038E-2</v>
      </c>
      <c r="AO147" s="2">
        <v>1.424944119186067E-2</v>
      </c>
      <c r="AP147" s="2">
        <v>1.4358404962690922E-2</v>
      </c>
      <c r="AQ147" s="2">
        <v>1.4468824523402575E-2</v>
      </c>
      <c r="AR147" s="2">
        <v>0.19196217149832789</v>
      </c>
    </row>
    <row r="148" spans="1:44" x14ac:dyDescent="0.25">
      <c r="A148" t="s">
        <v>250</v>
      </c>
      <c r="B148" t="s">
        <v>281</v>
      </c>
      <c r="C148" t="s">
        <v>43</v>
      </c>
      <c r="D148" t="s">
        <v>282</v>
      </c>
      <c r="E148" t="s">
        <v>148</v>
      </c>
      <c r="F148" t="s">
        <v>282</v>
      </c>
      <c r="G148" t="s">
        <v>31</v>
      </c>
      <c r="H148" t="s">
        <v>274</v>
      </c>
      <c r="I148" t="s">
        <v>135</v>
      </c>
      <c r="J148" t="s">
        <v>39</v>
      </c>
      <c r="K148" t="s">
        <v>33</v>
      </c>
      <c r="L148">
        <v>2077.3599999999997</v>
      </c>
      <c r="M148">
        <v>1</v>
      </c>
      <c r="N148">
        <v>3.2065728737266936</v>
      </c>
      <c r="O148">
        <v>4.4372583223218758</v>
      </c>
      <c r="P148">
        <v>-1.16169772439717</v>
      </c>
      <c r="Q148">
        <v>0.74954200350345179</v>
      </c>
      <c r="R148">
        <v>-1.3695852012614622</v>
      </c>
      <c r="S148" s="2">
        <v>1.4045972660565403E-7</v>
      </c>
      <c r="T148" s="2">
        <v>3.0366360202349786E-7</v>
      </c>
      <c r="U148" s="2">
        <v>6.6745531721977887E-7</v>
      </c>
      <c r="V148" s="2">
        <v>1.2643443762482534E-6</v>
      </c>
      <c r="W148" s="2">
        <v>2.1781585008108223E-6</v>
      </c>
      <c r="X148" s="2">
        <v>3.4983461589513264E-6</v>
      </c>
      <c r="Y148" s="2">
        <v>5.3101499031451802E-6</v>
      </c>
      <c r="Z148" s="2">
        <v>7.6804744872998055E-6</v>
      </c>
      <c r="AA148" s="2">
        <v>1.0640281866418474E-5</v>
      </c>
      <c r="AB148" s="2">
        <v>1.4166118059671739E-5</v>
      </c>
      <c r="AC148" s="2">
        <v>1.8165461290456133E-5</v>
      </c>
      <c r="AD148" s="2">
        <v>2.2472147236114195E-5</v>
      </c>
      <c r="AE148" s="2">
        <v>2.6857891523410282E-5</v>
      </c>
      <c r="AF148" s="2">
        <v>3.1062660669736172E-5</v>
      </c>
      <c r="AG148" s="2">
        <v>3.4840166533570867E-5</v>
      </c>
      <c r="AH148" s="2">
        <v>3.8007002215715835E-5</v>
      </c>
      <c r="AI148" s="2">
        <v>4.0478972521650255E-5</v>
      </c>
      <c r="AJ148" s="2">
        <v>4.2396446817998967E-5</v>
      </c>
      <c r="AK148" s="2">
        <v>4.3601034173092373E-5</v>
      </c>
      <c r="AL148" s="2">
        <v>4.4643891145856698E-5</v>
      </c>
      <c r="AM148" s="2">
        <v>4.516000981606303E-5</v>
      </c>
      <c r="AN148" s="2">
        <v>4.5501375864500619E-5</v>
      </c>
      <c r="AO148" s="2">
        <v>4.5847329431876882E-5</v>
      </c>
      <c r="AP148" s="2">
        <v>4.61979184711328E-5</v>
      </c>
      <c r="AQ148" s="2">
        <v>4.6553191489036948E-5</v>
      </c>
      <c r="AR148" s="2">
        <v>6.1763495119860658E-4</v>
      </c>
    </row>
    <row r="149" spans="1:44" x14ac:dyDescent="0.25">
      <c r="A149" t="s">
        <v>250</v>
      </c>
      <c r="B149" t="s">
        <v>281</v>
      </c>
      <c r="C149" t="s">
        <v>43</v>
      </c>
      <c r="D149" t="s">
        <v>282</v>
      </c>
      <c r="E149" t="s">
        <v>148</v>
      </c>
      <c r="F149" t="s">
        <v>282</v>
      </c>
      <c r="G149" t="s">
        <v>31</v>
      </c>
      <c r="H149" t="s">
        <v>278</v>
      </c>
      <c r="I149" t="s">
        <v>135</v>
      </c>
      <c r="J149" t="s">
        <v>39</v>
      </c>
      <c r="K149" t="s">
        <v>31</v>
      </c>
      <c r="L149">
        <v>2077.3599999999997</v>
      </c>
      <c r="M149">
        <v>1</v>
      </c>
      <c r="N149">
        <v>3.2065728737266936</v>
      </c>
      <c r="O149">
        <v>4.4372583223218758</v>
      </c>
      <c r="P149">
        <v>-1.16169772439717</v>
      </c>
      <c r="Q149">
        <v>0.74954200350345179</v>
      </c>
      <c r="R149">
        <v>-1.3695852012614622</v>
      </c>
      <c r="S149" s="2">
        <v>6.7153174758084267E-3</v>
      </c>
      <c r="T149" s="2">
        <v>1.8525129834551131E-2</v>
      </c>
      <c r="U149" s="2">
        <v>4.0541215782384427E-2</v>
      </c>
      <c r="V149" s="2">
        <v>7.6465859854935855E-2</v>
      </c>
      <c r="W149" s="2">
        <v>0.13117192976762618</v>
      </c>
      <c r="X149" s="2">
        <v>0.20979014298541954</v>
      </c>
      <c r="Y149" s="2">
        <v>0.31711852140750313</v>
      </c>
      <c r="Z149" s="2">
        <v>0.45679051497502493</v>
      </c>
      <c r="AA149" s="2">
        <v>0.63025752209245056</v>
      </c>
      <c r="AB149" s="2">
        <v>0.8357440978305456</v>
      </c>
      <c r="AC149" s="2">
        <v>1.0674514205265448</v>
      </c>
      <c r="AD149" s="2">
        <v>1.3153676138747945</v>
      </c>
      <c r="AE149" s="2">
        <v>1.5660189347742908</v>
      </c>
      <c r="AF149" s="2">
        <v>1.8042963671452279</v>
      </c>
      <c r="AG149" s="2">
        <v>2.0161142893244368</v>
      </c>
      <c r="AH149" s="2">
        <v>2.1912189679356446</v>
      </c>
      <c r="AI149" s="2">
        <v>2.3252002794365714</v>
      </c>
      <c r="AJ149" s="2">
        <v>2.426557036407496</v>
      </c>
      <c r="AK149" s="2">
        <v>2.4866196702435346</v>
      </c>
      <c r="AL149" s="2">
        <v>2.5371576536756471</v>
      </c>
      <c r="AM149" s="2">
        <v>2.5576052655982426</v>
      </c>
      <c r="AN149" s="2">
        <v>2.5681433049960267</v>
      </c>
      <c r="AO149" s="2">
        <v>2.5789628149862334</v>
      </c>
      <c r="AP149" s="2">
        <v>2.5900654824246345</v>
      </c>
      <c r="AQ149" s="2">
        <v>2.6014530263109088</v>
      </c>
      <c r="AR149" s="2">
        <v>35.355352379666492</v>
      </c>
    </row>
    <row r="150" spans="1:44" x14ac:dyDescent="0.25">
      <c r="A150" t="s">
        <v>250</v>
      </c>
      <c r="B150" t="s">
        <v>281</v>
      </c>
      <c r="C150" t="s">
        <v>43</v>
      </c>
      <c r="D150" t="s">
        <v>282</v>
      </c>
      <c r="E150" t="s">
        <v>148</v>
      </c>
      <c r="F150" t="s">
        <v>282</v>
      </c>
      <c r="G150" t="s">
        <v>31</v>
      </c>
      <c r="H150" t="s">
        <v>276</v>
      </c>
      <c r="I150" t="s">
        <v>135</v>
      </c>
      <c r="J150" t="s">
        <v>39</v>
      </c>
      <c r="K150" t="s">
        <v>31</v>
      </c>
      <c r="L150">
        <v>2077.3599999999997</v>
      </c>
      <c r="M150">
        <v>1</v>
      </c>
      <c r="N150">
        <v>3.2065728737266936</v>
      </c>
      <c r="O150">
        <v>4.4372583223218758</v>
      </c>
      <c r="P150">
        <v>-1.16169772439717</v>
      </c>
      <c r="Q150">
        <v>0.74954200350345179</v>
      </c>
      <c r="R150">
        <v>-1.3695852012614622</v>
      </c>
      <c r="S150" s="2">
        <v>8.6399847012488839E-4</v>
      </c>
      <c r="T150" s="2">
        <v>1.5749705871938961E-3</v>
      </c>
      <c r="U150" s="2">
        <v>3.4703388995659256E-3</v>
      </c>
      <c r="V150" s="2">
        <v>6.589811891903846E-3</v>
      </c>
      <c r="W150" s="2">
        <v>1.1380021494911756E-2</v>
      </c>
      <c r="X150" s="2">
        <v>1.8321052987774158E-2</v>
      </c>
      <c r="Y150" s="2">
        <v>2.7875112029750661E-2</v>
      </c>
      <c r="Z150" s="2">
        <v>4.0411808520932159E-2</v>
      </c>
      <c r="AA150" s="2">
        <v>5.6114104124910247E-2</v>
      </c>
      <c r="AB150" s="2">
        <v>7.4878434957443299E-2</v>
      </c>
      <c r="AC150" s="2">
        <v>9.6233822329306593E-2</v>
      </c>
      <c r="AD150" s="2">
        <v>0.11931354554148298</v>
      </c>
      <c r="AE150" s="2">
        <v>0.14291226766565598</v>
      </c>
      <c r="AF150" s="2">
        <v>0.16564459685975377</v>
      </c>
      <c r="AG150" s="2">
        <v>0.18618665704161735</v>
      </c>
      <c r="AH150" s="2">
        <v>0.20354030224624833</v>
      </c>
      <c r="AI150" s="2">
        <v>0.21723188801012294</v>
      </c>
      <c r="AJ150" s="2">
        <v>0.22799207993257414</v>
      </c>
      <c r="AK150" s="2">
        <v>0.23494828330840681</v>
      </c>
      <c r="AL150" s="2">
        <v>0.24105257278973158</v>
      </c>
      <c r="AM150" s="2">
        <v>0.24432456848609646</v>
      </c>
      <c r="AN150" s="2">
        <v>0.24665517974609144</v>
      </c>
      <c r="AO150" s="2">
        <v>0.2490127867842569</v>
      </c>
      <c r="AP150" s="2">
        <v>0.25139769053459265</v>
      </c>
      <c r="AQ150" s="2">
        <v>0.25381019530967047</v>
      </c>
      <c r="AR150" s="2">
        <v>3.3217360905501194</v>
      </c>
    </row>
    <row r="151" spans="1:44" x14ac:dyDescent="0.25">
      <c r="A151" t="s">
        <v>250</v>
      </c>
      <c r="B151" t="s">
        <v>281</v>
      </c>
      <c r="C151" t="s">
        <v>43</v>
      </c>
      <c r="D151" t="s">
        <v>282</v>
      </c>
      <c r="E151" t="s">
        <v>148</v>
      </c>
      <c r="F151" t="s">
        <v>282</v>
      </c>
      <c r="G151" t="s">
        <v>31</v>
      </c>
      <c r="H151" t="s">
        <v>275</v>
      </c>
      <c r="I151" t="s">
        <v>135</v>
      </c>
      <c r="J151" t="s">
        <v>39</v>
      </c>
      <c r="K151" t="s">
        <v>31</v>
      </c>
      <c r="L151">
        <v>2077.3599999999997</v>
      </c>
      <c r="M151">
        <v>1</v>
      </c>
      <c r="N151">
        <v>3.2065728737266936</v>
      </c>
      <c r="O151">
        <v>4.4372583223218758</v>
      </c>
      <c r="P151">
        <v>-1.16169772439717</v>
      </c>
      <c r="Q151">
        <v>0.74954200350345179</v>
      </c>
      <c r="R151">
        <v>-1.3695852012614622</v>
      </c>
      <c r="S151" s="2">
        <v>6.6691441570083967E-5</v>
      </c>
      <c r="T151" s="2">
        <v>1.4418199337785153E-4</v>
      </c>
      <c r="U151" s="2">
        <v>3.1691331290981448E-4</v>
      </c>
      <c r="V151" s="2">
        <v>6.0032118195530327E-4</v>
      </c>
      <c r="W151" s="2">
        <v>1.0342076970934358E-3</v>
      </c>
      <c r="X151" s="2">
        <v>1.6610437318211177E-3</v>
      </c>
      <c r="Y151" s="2">
        <v>2.5213031560873088E-3</v>
      </c>
      <c r="Z151" s="2">
        <v>3.6467529011953497E-3</v>
      </c>
      <c r="AA151" s="2">
        <v>5.052093959827697E-3</v>
      </c>
      <c r="AB151" s="2">
        <v>6.7261901876254611E-3</v>
      </c>
      <c r="AC151" s="2">
        <v>8.6251114787326052E-3</v>
      </c>
      <c r="AD151" s="2">
        <v>1.0669961636471777E-2</v>
      </c>
      <c r="AE151" s="2">
        <v>1.2752349349632453E-2</v>
      </c>
      <c r="AF151" s="2">
        <v>1.4748808566908135E-2</v>
      </c>
      <c r="AG151" s="2">
        <v>1.6542399638787997E-2</v>
      </c>
      <c r="AH151" s="2">
        <v>1.8046039450438752E-2</v>
      </c>
      <c r="AI151" s="2">
        <v>1.9219751426142975E-2</v>
      </c>
      <c r="AJ151" s="2">
        <v>2.0130184103803978E-2</v>
      </c>
      <c r="AK151" s="2">
        <v>2.0702132157168544E-2</v>
      </c>
      <c r="AL151" s="2">
        <v>2.1197289285448683E-2</v>
      </c>
      <c r="AM151" s="2">
        <v>2.144234670488944E-2</v>
      </c>
      <c r="AN151" s="2">
        <v>2.1604430132099922E-2</v>
      </c>
      <c r="AO151" s="2">
        <v>2.1768691751300622E-2</v>
      </c>
      <c r="AP151" s="2">
        <v>2.193515433094273E-2</v>
      </c>
      <c r="AQ151" s="2">
        <v>2.2103840902443356E-2</v>
      </c>
      <c r="AR151" s="2">
        <v>0.29325819047867546</v>
      </c>
    </row>
    <row r="152" spans="1:44" x14ac:dyDescent="0.25">
      <c r="A152" t="s">
        <v>250</v>
      </c>
      <c r="B152" t="s">
        <v>281</v>
      </c>
      <c r="C152" t="s">
        <v>43</v>
      </c>
      <c r="D152" t="s">
        <v>282</v>
      </c>
      <c r="E152" t="s">
        <v>148</v>
      </c>
      <c r="F152" t="s">
        <v>282</v>
      </c>
      <c r="G152" t="s">
        <v>31</v>
      </c>
      <c r="H152" t="s">
        <v>277</v>
      </c>
      <c r="I152" t="s">
        <v>135</v>
      </c>
      <c r="J152" t="s">
        <v>39</v>
      </c>
      <c r="K152" t="s">
        <v>31</v>
      </c>
      <c r="L152">
        <v>2077.3599999999997</v>
      </c>
      <c r="M152">
        <v>1</v>
      </c>
      <c r="N152">
        <v>3.2065728737266936</v>
      </c>
      <c r="O152">
        <v>4.4372583223218758</v>
      </c>
      <c r="P152">
        <v>-1.16169772439717</v>
      </c>
      <c r="Q152">
        <v>0.74954200350345179</v>
      </c>
      <c r="R152">
        <v>-1.3695852012614622</v>
      </c>
      <c r="S152" s="2">
        <v>4.9971342322799469E-4</v>
      </c>
      <c r="T152" s="2">
        <v>1.0884759923138461E-3</v>
      </c>
      <c r="U152" s="2">
        <v>2.3921963868192334E-3</v>
      </c>
      <c r="V152" s="2">
        <v>4.5309483731478736E-3</v>
      </c>
      <c r="W152" s="2">
        <v>7.8048200138490058E-3</v>
      </c>
      <c r="X152" s="2">
        <v>1.2533906559514262E-2</v>
      </c>
      <c r="Y152" s="2">
        <v>1.9023099977471803E-2</v>
      </c>
      <c r="Z152" s="2">
        <v>2.7511481169200352E-2</v>
      </c>
      <c r="AA152" s="2">
        <v>3.8109306086806231E-2</v>
      </c>
      <c r="AB152" s="2">
        <v>5.0731922845270679E-2</v>
      </c>
      <c r="AC152" s="2">
        <v>6.5047412425073253E-2</v>
      </c>
      <c r="AD152" s="2">
        <v>8.0460339624766855E-2</v>
      </c>
      <c r="AE152" s="2">
        <v>9.6153138768227953E-2</v>
      </c>
      <c r="AF152" s="2">
        <v>0.11119494027369216</v>
      </c>
      <c r="AG152" s="2">
        <v>0.12470445797547887</v>
      </c>
      <c r="AH152" s="2">
        <v>0.1360258078594285</v>
      </c>
      <c r="AI152" s="2">
        <v>0.14485839652975002</v>
      </c>
      <c r="AJ152" s="2">
        <v>0.15170528176975956</v>
      </c>
      <c r="AK152" s="2">
        <v>0.15600036981228571</v>
      </c>
      <c r="AL152" s="2">
        <v>0.15971621903026856</v>
      </c>
      <c r="AM152" s="2">
        <v>0.16154729600641954</v>
      </c>
      <c r="AN152" s="2">
        <v>0.16275315630017206</v>
      </c>
      <c r="AO152" s="2">
        <v>0.16397539877812761</v>
      </c>
      <c r="AP152" s="2">
        <v>0.16521419365938173</v>
      </c>
      <c r="AQ152" s="2">
        <v>0.16646971313562076</v>
      </c>
      <c r="AR152" s="2">
        <v>2.2100519927760747</v>
      </c>
    </row>
    <row r="153" spans="1:44" x14ac:dyDescent="0.25">
      <c r="A153" t="s">
        <v>250</v>
      </c>
      <c r="B153" t="s">
        <v>281</v>
      </c>
      <c r="C153" t="s">
        <v>43</v>
      </c>
      <c r="D153" t="s">
        <v>282</v>
      </c>
      <c r="E153" t="s">
        <v>148</v>
      </c>
      <c r="F153" t="s">
        <v>282</v>
      </c>
      <c r="G153" t="s">
        <v>31</v>
      </c>
      <c r="H153" t="s">
        <v>277</v>
      </c>
      <c r="I153" t="s">
        <v>135</v>
      </c>
      <c r="J153" t="s">
        <v>40</v>
      </c>
      <c r="K153" t="s">
        <v>31</v>
      </c>
      <c r="L153">
        <v>2077.3599999999997</v>
      </c>
      <c r="M153">
        <v>1</v>
      </c>
      <c r="N153">
        <v>3.2065728737266936</v>
      </c>
      <c r="O153">
        <v>3.2645157400827758</v>
      </c>
      <c r="P153">
        <v>-1.16169772439717</v>
      </c>
      <c r="Q153">
        <v>0.4672931329656026</v>
      </c>
      <c r="R153">
        <v>-1.226585201261462</v>
      </c>
      <c r="S153" s="2">
        <v>7.8827488845927004E-5</v>
      </c>
      <c r="T153" s="2">
        <v>1.7170206993625707E-4</v>
      </c>
      <c r="U153" s="2">
        <v>3.7735795204609424E-4</v>
      </c>
      <c r="V153" s="2">
        <v>7.1473621828811696E-4</v>
      </c>
      <c r="W153" s="2">
        <v>1.2311743771298517E-3</v>
      </c>
      <c r="X153" s="2">
        <v>1.9771659787198009E-3</v>
      </c>
      <c r="Y153" s="2">
        <v>3.0008063253584931E-3</v>
      </c>
      <c r="Z153" s="2">
        <v>4.3398093270962737E-3</v>
      </c>
      <c r="AA153" s="2">
        <v>6.0115673521004449E-3</v>
      </c>
      <c r="AB153" s="2">
        <v>8.0027269557523938E-3</v>
      </c>
      <c r="AC153" s="2">
        <v>1.0260929442862856E-2</v>
      </c>
      <c r="AD153" s="2">
        <v>1.2692247655346772E-2</v>
      </c>
      <c r="AE153" s="2">
        <v>1.5167714376756231E-2</v>
      </c>
      <c r="AF153" s="2">
        <v>1.7540489221857341E-2</v>
      </c>
      <c r="AG153" s="2">
        <v>1.9671553360723432E-2</v>
      </c>
      <c r="AH153" s="2">
        <v>2.1457444113733903E-2</v>
      </c>
      <c r="AI153" s="2">
        <v>2.2850744258430384E-2</v>
      </c>
      <c r="AJ153" s="2">
        <v>2.3930808841046331E-2</v>
      </c>
      <c r="AK153" s="2">
        <v>2.4608339179489527E-2</v>
      </c>
      <c r="AL153" s="2">
        <v>2.519449726364055E-2</v>
      </c>
      <c r="AM153" s="2">
        <v>2.5483341215402043E-2</v>
      </c>
      <c r="AN153" s="2">
        <v>2.5673560117751178E-2</v>
      </c>
      <c r="AO153" s="2">
        <v>2.5866363234137112E-2</v>
      </c>
      <c r="AP153" s="2">
        <v>2.6061777415836422E-2</v>
      </c>
      <c r="AQ153" s="2">
        <v>2.6259829825295459E-2</v>
      </c>
      <c r="AR153" s="2">
        <v>0.3486255135675832</v>
      </c>
    </row>
    <row r="154" spans="1:44" x14ac:dyDescent="0.25">
      <c r="A154" t="s">
        <v>250</v>
      </c>
      <c r="B154" t="s">
        <v>283</v>
      </c>
      <c r="C154" t="s">
        <v>43</v>
      </c>
      <c r="D154" t="s">
        <v>284</v>
      </c>
      <c r="E154" t="s">
        <v>145</v>
      </c>
      <c r="F154" t="s">
        <v>284</v>
      </c>
      <c r="G154" t="s">
        <v>31</v>
      </c>
      <c r="H154" t="s">
        <v>278</v>
      </c>
      <c r="I154" t="s">
        <v>135</v>
      </c>
      <c r="J154" t="s">
        <v>39</v>
      </c>
      <c r="K154" t="s">
        <v>31</v>
      </c>
      <c r="L154">
        <v>317.69</v>
      </c>
      <c r="M154">
        <v>1</v>
      </c>
      <c r="N154">
        <v>1.6375784010064771</v>
      </c>
      <c r="O154">
        <v>3.9932926555063242</v>
      </c>
      <c r="P154">
        <v>-0.35075582285265838</v>
      </c>
      <c r="Q154">
        <v>1.320843656536087</v>
      </c>
      <c r="R154">
        <v>-1.1299449527495853</v>
      </c>
      <c r="S154" s="2">
        <v>0.40730850560546544</v>
      </c>
      <c r="T154" s="2">
        <v>0.79216955783812804</v>
      </c>
      <c r="U154" s="2">
        <v>1.3839757232105718</v>
      </c>
      <c r="V154" s="2">
        <v>2.2024833199403071</v>
      </c>
      <c r="W154" s="2">
        <v>3.2307324163956408</v>
      </c>
      <c r="X154" s="2">
        <v>4.4134010951854927</v>
      </c>
      <c r="Y154" s="2">
        <v>5.6668923225162153</v>
      </c>
      <c r="Z154" s="2">
        <v>6.8974632222662722</v>
      </c>
      <c r="AA154" s="2">
        <v>8.0207555759242517</v>
      </c>
      <c r="AB154" s="2">
        <v>8.9764323230760752</v>
      </c>
      <c r="AC154" s="2">
        <v>9.7345020119170833</v>
      </c>
      <c r="AD154" s="2">
        <v>10.29346427500057</v>
      </c>
      <c r="AE154" s="2">
        <v>12.240786137497135</v>
      </c>
      <c r="AF154" s="2">
        <v>13.71235221528012</v>
      </c>
      <c r="AG154" s="2">
        <v>13.74842115164669</v>
      </c>
      <c r="AH154" s="2">
        <v>13.620387258341584</v>
      </c>
      <c r="AI154" s="2">
        <v>13.364114325725513</v>
      </c>
      <c r="AJ154" s="2">
        <v>9.7336554840308125</v>
      </c>
      <c r="AK154" s="2">
        <v>1.704873180066089</v>
      </c>
      <c r="AL154" s="2">
        <v>1.3712570775169113</v>
      </c>
      <c r="AM154" s="2">
        <v>1.0585022686349796</v>
      </c>
      <c r="AN154" s="2">
        <v>0.78371809915347856</v>
      </c>
      <c r="AO154" s="2">
        <v>0.55653918828908922</v>
      </c>
      <c r="AP154" s="2">
        <v>0.37917126081757796</v>
      </c>
      <c r="AQ154" s="2">
        <v>0.2479876505862843</v>
      </c>
      <c r="AR154" s="2">
        <v>144.54134564646236</v>
      </c>
    </row>
    <row r="155" spans="1:44" x14ac:dyDescent="0.25">
      <c r="A155" t="s">
        <v>250</v>
      </c>
      <c r="B155" t="s">
        <v>283</v>
      </c>
      <c r="C155" t="s">
        <v>43</v>
      </c>
      <c r="D155" t="s">
        <v>284</v>
      </c>
      <c r="E155" t="s">
        <v>148</v>
      </c>
      <c r="F155" t="s">
        <v>284</v>
      </c>
      <c r="G155" t="s">
        <v>31</v>
      </c>
      <c r="H155" t="s">
        <v>278</v>
      </c>
      <c r="I155" t="s">
        <v>135</v>
      </c>
      <c r="J155" t="s">
        <v>39</v>
      </c>
      <c r="K155" t="s">
        <v>31</v>
      </c>
      <c r="L155">
        <v>317.69</v>
      </c>
      <c r="M155">
        <v>1</v>
      </c>
      <c r="N155">
        <v>1.6375784010064771</v>
      </c>
      <c r="O155">
        <v>3.9932926555063242</v>
      </c>
      <c r="P155">
        <v>-0.35075582285265838</v>
      </c>
      <c r="Q155">
        <v>1.320843656536087</v>
      </c>
      <c r="R155">
        <v>-1.1299449527495853</v>
      </c>
      <c r="S155" s="2">
        <v>5.5433873783500967E-2</v>
      </c>
      <c r="T155" s="2">
        <v>0.19512311428958906</v>
      </c>
      <c r="U155" s="2">
        <v>0.3447707177007322</v>
      </c>
      <c r="V155" s="2">
        <v>0.55496991008748853</v>
      </c>
      <c r="W155" s="2">
        <v>0.82348590224368245</v>
      </c>
      <c r="X155" s="2">
        <v>1.1380734412274949</v>
      </c>
      <c r="Y155" s="2">
        <v>1.4785185259911777</v>
      </c>
      <c r="Z155" s="2">
        <v>1.8209549165352805</v>
      </c>
      <c r="AA155" s="2">
        <v>2.1428708402504917</v>
      </c>
      <c r="AB155" s="2">
        <v>2.42715859632216</v>
      </c>
      <c r="AC155" s="2">
        <v>2.6641852484938569</v>
      </c>
      <c r="AD155" s="2">
        <v>2.85174679324167</v>
      </c>
      <c r="AE155" s="2">
        <v>2.9934716565169732</v>
      </c>
      <c r="AF155" s="2">
        <v>3.0965350794045756</v>
      </c>
      <c r="AG155" s="2">
        <v>3.169456726403562</v>
      </c>
      <c r="AH155" s="2">
        <v>3.2204515009938239</v>
      </c>
      <c r="AI155" s="2">
        <v>3.2564761926183521</v>
      </c>
      <c r="AJ155" s="2">
        <v>3.2862466553312273</v>
      </c>
      <c r="AK155" s="2">
        <v>3.3121106482971516</v>
      </c>
      <c r="AL155" s="2">
        <v>3.3251379195205972</v>
      </c>
      <c r="AM155" s="2">
        <v>3.3385283246107269</v>
      </c>
      <c r="AN155" s="2">
        <v>3.3522839824867039</v>
      </c>
      <c r="AO155" s="2">
        <v>3.3664070534103416</v>
      </c>
      <c r="AP155" s="2">
        <v>3.3808997392913138</v>
      </c>
      <c r="AQ155" s="2">
        <v>3.3957642839978179</v>
      </c>
      <c r="AR155" s="2">
        <v>58.991061643050287</v>
      </c>
    </row>
    <row r="156" spans="1:44" x14ac:dyDescent="0.25">
      <c r="A156" t="s">
        <v>250</v>
      </c>
      <c r="B156" t="s">
        <v>285</v>
      </c>
      <c r="C156" t="s">
        <v>43</v>
      </c>
      <c r="D156" t="s">
        <v>284</v>
      </c>
      <c r="E156" t="s">
        <v>145</v>
      </c>
      <c r="F156" t="s">
        <v>284</v>
      </c>
      <c r="G156" t="s">
        <v>31</v>
      </c>
      <c r="H156" t="s">
        <v>272</v>
      </c>
      <c r="I156" t="s">
        <v>135</v>
      </c>
      <c r="J156" t="s">
        <v>39</v>
      </c>
      <c r="K156" t="s">
        <v>31</v>
      </c>
      <c r="L156">
        <v>259.74</v>
      </c>
      <c r="M156">
        <v>1</v>
      </c>
      <c r="N156">
        <v>1.3953794259707024</v>
      </c>
      <c r="O156">
        <v>3.994835640102659</v>
      </c>
      <c r="P156">
        <v>-0.1208952283669998</v>
      </c>
      <c r="Q156">
        <v>1.550704251021745</v>
      </c>
      <c r="R156">
        <v>-1.1299449527495853</v>
      </c>
      <c r="S156" s="2">
        <v>1.2463437104613765E-2</v>
      </c>
      <c r="T156" s="2">
        <v>2.4347617924881E-2</v>
      </c>
      <c r="U156" s="2">
        <v>4.2725857040187123E-2</v>
      </c>
      <c r="V156" s="2">
        <v>6.8296574384931086E-2</v>
      </c>
      <c r="W156" s="2">
        <v>0.10062624438957064</v>
      </c>
      <c r="X156" s="2">
        <v>0.13807264837619931</v>
      </c>
      <c r="Y156" s="2">
        <v>0.178075100964139</v>
      </c>
      <c r="Z156" s="2">
        <v>0.21770660937103001</v>
      </c>
      <c r="AA156" s="2">
        <v>0.25428543444054003</v>
      </c>
      <c r="AB156" s="2">
        <v>0.28584720187187584</v>
      </c>
      <c r="AC156" s="2">
        <v>0.31136364701838265</v>
      </c>
      <c r="AD156" s="2">
        <v>0.33070419943149409</v>
      </c>
      <c r="AE156" s="2">
        <v>0.39239362235366726</v>
      </c>
      <c r="AF156" s="2">
        <v>0.42078654782450187</v>
      </c>
      <c r="AG156" s="2">
        <v>0.42452062300062188</v>
      </c>
      <c r="AH156" s="2">
        <v>0.42361768968763153</v>
      </c>
      <c r="AI156" s="2">
        <v>0.41911510683851422</v>
      </c>
      <c r="AJ156" s="2">
        <v>0.41248490313053254</v>
      </c>
      <c r="AK156" s="2">
        <v>0.16764416001824206</v>
      </c>
      <c r="AL156" s="2">
        <v>3.3730201316861136E-2</v>
      </c>
      <c r="AM156" s="2">
        <v>2.6143032690823562E-2</v>
      </c>
      <c r="AN156" s="2">
        <v>1.9434192168932402E-2</v>
      </c>
      <c r="AO156" s="2">
        <v>1.3855529877834579E-2</v>
      </c>
      <c r="AP156" s="2">
        <v>9.4768044079787239E-3</v>
      </c>
      <c r="AQ156" s="2">
        <v>6.2220577606116713E-3</v>
      </c>
      <c r="AR156" s="2">
        <v>4.7339390433945976</v>
      </c>
    </row>
    <row r="157" spans="1:44" x14ac:dyDescent="0.25">
      <c r="A157" t="s">
        <v>250</v>
      </c>
      <c r="B157" t="s">
        <v>285</v>
      </c>
      <c r="C157" t="s">
        <v>43</v>
      </c>
      <c r="D157" t="s">
        <v>284</v>
      </c>
      <c r="E157" t="s">
        <v>145</v>
      </c>
      <c r="F157" t="s">
        <v>284</v>
      </c>
      <c r="G157" t="s">
        <v>31</v>
      </c>
      <c r="H157" t="s">
        <v>272</v>
      </c>
      <c r="I157" t="s">
        <v>135</v>
      </c>
      <c r="J157" t="s">
        <v>40</v>
      </c>
      <c r="K157" t="s">
        <v>31</v>
      </c>
      <c r="L157">
        <v>259.74</v>
      </c>
      <c r="M157">
        <v>1</v>
      </c>
      <c r="N157">
        <v>1.3953794259707024</v>
      </c>
      <c r="O157">
        <v>2.8220930578635595</v>
      </c>
      <c r="P157">
        <v>-0.1208952283669998</v>
      </c>
      <c r="Q157">
        <v>0.4672931329656026</v>
      </c>
      <c r="R157">
        <v>-0.98694495274958527</v>
      </c>
      <c r="S157" s="2">
        <v>1.2328313722079006E-3</v>
      </c>
      <c r="T157" s="2">
        <v>2.408365121465016E-3</v>
      </c>
      <c r="U157" s="2">
        <v>4.2262641133009368E-3</v>
      </c>
      <c r="V157" s="2">
        <v>6.7556131434164937E-3</v>
      </c>
      <c r="W157" s="2">
        <v>9.9535296651835064E-3</v>
      </c>
      <c r="X157" s="2">
        <v>1.3657572235751562E-2</v>
      </c>
      <c r="Y157" s="2">
        <v>1.7614448505253098E-2</v>
      </c>
      <c r="Z157" s="2">
        <v>2.1534632518846721E-2</v>
      </c>
      <c r="AA157" s="2">
        <v>2.5152857790549914E-2</v>
      </c>
      <c r="AB157" s="2">
        <v>2.8274816582902342E-2</v>
      </c>
      <c r="AC157" s="2">
        <v>3.0798797232846054E-2</v>
      </c>
      <c r="AD157" s="2">
        <v>3.2711884254554402E-2</v>
      </c>
      <c r="AE157" s="2">
        <v>3.8813945449511826E-2</v>
      </c>
      <c r="AF157" s="2">
        <v>4.1622455571992234E-2</v>
      </c>
      <c r="AG157" s="2">
        <v>4.1991814761167957E-2</v>
      </c>
      <c r="AH157" s="2">
        <v>4.1902500352476321E-2</v>
      </c>
      <c r="AI157" s="2">
        <v>4.1457123579940303E-2</v>
      </c>
      <c r="AJ157" s="2">
        <v>4.0801291399240901E-2</v>
      </c>
      <c r="AK157" s="2">
        <v>1.658266320142299E-2</v>
      </c>
      <c r="AL157" s="2">
        <v>3.3364512554021333E-3</v>
      </c>
      <c r="AM157" s="2">
        <v>2.5859600843152336E-3</v>
      </c>
      <c r="AN157" s="2">
        <v>1.9223494769759432E-3</v>
      </c>
      <c r="AO157" s="2">
        <v>1.3705314006547157E-3</v>
      </c>
      <c r="AP157" s="2">
        <v>9.3740608504450725E-4</v>
      </c>
      <c r="AQ157" s="2">
        <v>6.154600807615181E-4</v>
      </c>
      <c r="AR157" s="2">
        <v>0.46826156523518442</v>
      </c>
    </row>
    <row r="158" spans="1:44" x14ac:dyDescent="0.25">
      <c r="A158" t="s">
        <v>250</v>
      </c>
      <c r="B158" t="s">
        <v>285</v>
      </c>
      <c r="C158" t="s">
        <v>43</v>
      </c>
      <c r="D158" t="s">
        <v>284</v>
      </c>
      <c r="E158" t="s">
        <v>145</v>
      </c>
      <c r="F158" t="s">
        <v>284</v>
      </c>
      <c r="G158" t="s">
        <v>31</v>
      </c>
      <c r="H158" t="s">
        <v>253</v>
      </c>
      <c r="I158" t="s">
        <v>135</v>
      </c>
      <c r="J158" t="s">
        <v>39</v>
      </c>
      <c r="K158" t="s">
        <v>31</v>
      </c>
      <c r="L158">
        <v>259.74</v>
      </c>
      <c r="M158">
        <v>1</v>
      </c>
      <c r="N158">
        <v>1.3953794259707024</v>
      </c>
      <c r="O158">
        <v>3.994835640102659</v>
      </c>
      <c r="P158">
        <v>-0.1208952283669998</v>
      </c>
      <c r="Q158">
        <v>1.550704251021745</v>
      </c>
      <c r="R158">
        <v>-1.1299449527495853</v>
      </c>
      <c r="S158" s="2">
        <v>2.0378407955445573E-3</v>
      </c>
      <c r="T158" s="2">
        <v>3.9829696732129258E-3</v>
      </c>
      <c r="U158" s="2">
        <v>6.9929335382183542E-3</v>
      </c>
      <c r="V158" s="2">
        <v>1.1183703239850079E-2</v>
      </c>
      <c r="W158" s="2">
        <v>1.6486029539301724E-2</v>
      </c>
      <c r="X158" s="2">
        <v>2.2632397422855711E-2</v>
      </c>
      <c r="Y158" s="2">
        <v>2.9204125141622302E-2</v>
      </c>
      <c r="Z158" s="2">
        <v>3.5721584242494324E-2</v>
      </c>
      <c r="AA158" s="2">
        <v>4.174444369004255E-2</v>
      </c>
      <c r="AB158" s="2">
        <v>4.6949312242867705E-2</v>
      </c>
      <c r="AC158" s="2">
        <v>5.1165979310616075E-2</v>
      </c>
      <c r="AD158" s="2">
        <v>5.4371484558241777E-2</v>
      </c>
      <c r="AE158" s="2">
        <v>6.4498911360796121E-2</v>
      </c>
      <c r="AF158" s="2">
        <v>6.8834123117173962E-2</v>
      </c>
      <c r="AG158" s="2">
        <v>6.9493910211261709E-2</v>
      </c>
      <c r="AH158" s="2">
        <v>6.9402984088675873E-2</v>
      </c>
      <c r="AI158" s="2">
        <v>6.8729965479002564E-2</v>
      </c>
      <c r="AJ158" s="2">
        <v>6.7713849616681171E-2</v>
      </c>
      <c r="AK158" s="2">
        <v>3.1776591465041824E-2</v>
      </c>
      <c r="AL158" s="2">
        <v>5.3574961674595252E-3</v>
      </c>
      <c r="AM158" s="2">
        <v>4.1543098773892872E-3</v>
      </c>
      <c r="AN158" s="2">
        <v>3.0896339643462444E-3</v>
      </c>
      <c r="AO158" s="2">
        <v>2.2037327801371215E-3</v>
      </c>
      <c r="AP158" s="2">
        <v>1.5079627513851111E-3</v>
      </c>
      <c r="AQ158" s="2">
        <v>9.9049730791251483E-4</v>
      </c>
      <c r="AR158" s="2">
        <v>0.78022677158213116</v>
      </c>
    </row>
    <row r="159" spans="1:44" x14ac:dyDescent="0.25">
      <c r="A159" t="s">
        <v>250</v>
      </c>
      <c r="B159" t="s">
        <v>285</v>
      </c>
      <c r="C159" t="s">
        <v>43</v>
      </c>
      <c r="D159" t="s">
        <v>284</v>
      </c>
      <c r="E159" t="s">
        <v>145</v>
      </c>
      <c r="F159" t="s">
        <v>284</v>
      </c>
      <c r="G159" t="s">
        <v>31</v>
      </c>
      <c r="H159" t="s">
        <v>253</v>
      </c>
      <c r="I159" t="s">
        <v>135</v>
      </c>
      <c r="J159" t="s">
        <v>40</v>
      </c>
      <c r="K159" t="s">
        <v>31</v>
      </c>
      <c r="L159">
        <v>259.74</v>
      </c>
      <c r="M159">
        <v>1</v>
      </c>
      <c r="N159">
        <v>1.3953794259707024</v>
      </c>
      <c r="O159">
        <v>2.8220930578635595</v>
      </c>
      <c r="P159">
        <v>-0.1208952283669998</v>
      </c>
      <c r="Q159">
        <v>0.4672931329656026</v>
      </c>
      <c r="R159">
        <v>-0.98694495274958527</v>
      </c>
      <c r="S159" s="2">
        <v>1.0719466128239017E-3</v>
      </c>
      <c r="T159" s="2">
        <v>2.0951248299256871E-3</v>
      </c>
      <c r="U159" s="2">
        <v>3.6784283818367233E-3</v>
      </c>
      <c r="V159" s="2">
        <v>5.8828603456146985E-3</v>
      </c>
      <c r="W159" s="2">
        <v>8.6719941823752075E-3</v>
      </c>
      <c r="X159" s="2">
        <v>1.1905111434885941E-2</v>
      </c>
      <c r="Y159" s="2">
        <v>1.5361976801373186E-2</v>
      </c>
      <c r="Z159" s="2">
        <v>1.8790295746932015E-2</v>
      </c>
      <c r="AA159" s="2">
        <v>2.1958444995111386E-2</v>
      </c>
      <c r="AB159" s="2">
        <v>2.4696314031590089E-2</v>
      </c>
      <c r="AC159" s="2">
        <v>2.6914368548194813E-2</v>
      </c>
      <c r="AD159" s="2">
        <v>2.860053093148511E-2</v>
      </c>
      <c r="AE159" s="2">
        <v>3.3927767917492711E-2</v>
      </c>
      <c r="AF159" s="2">
        <v>3.6208179404142622E-2</v>
      </c>
      <c r="AG159" s="2">
        <v>3.6555241128610236E-2</v>
      </c>
      <c r="AH159" s="2">
        <v>3.6507412098326822E-2</v>
      </c>
      <c r="AI159" s="2">
        <v>3.6153390321658062E-2</v>
      </c>
      <c r="AJ159" s="2">
        <v>3.5618892259182557E-2</v>
      </c>
      <c r="AK159" s="2">
        <v>1.6715147553486194E-2</v>
      </c>
      <c r="AL159" s="2">
        <v>2.8181543339800275E-3</v>
      </c>
      <c r="AM159" s="2">
        <v>2.1852533384475307E-3</v>
      </c>
      <c r="AN159" s="2">
        <v>1.6252116800231542E-3</v>
      </c>
      <c r="AO159" s="2">
        <v>1.1592092446091749E-3</v>
      </c>
      <c r="AP159" s="2">
        <v>7.9321974864082507E-4</v>
      </c>
      <c r="AQ159" s="2">
        <v>5.2102217040182438E-4</v>
      </c>
      <c r="AR159" s="2">
        <v>0.41041549804115041</v>
      </c>
    </row>
    <row r="160" spans="1:44" x14ac:dyDescent="0.25">
      <c r="A160" t="s">
        <v>250</v>
      </c>
      <c r="B160" t="s">
        <v>285</v>
      </c>
      <c r="C160" t="s">
        <v>43</v>
      </c>
      <c r="D160" t="s">
        <v>284</v>
      </c>
      <c r="E160" t="s">
        <v>145</v>
      </c>
      <c r="F160" t="s">
        <v>284</v>
      </c>
      <c r="G160" t="s">
        <v>31</v>
      </c>
      <c r="H160" t="s">
        <v>253</v>
      </c>
      <c r="I160" t="s">
        <v>256</v>
      </c>
      <c r="J160" t="s">
        <v>39</v>
      </c>
      <c r="K160" t="s">
        <v>31</v>
      </c>
      <c r="L160">
        <v>259.74</v>
      </c>
      <c r="M160">
        <v>0</v>
      </c>
      <c r="N160">
        <v>0.92441308277863887</v>
      </c>
      <c r="O160">
        <v>2.6465047861031117</v>
      </c>
      <c r="P160">
        <v>0.60943428210909911</v>
      </c>
      <c r="Q160">
        <v>0.4672931329656026</v>
      </c>
      <c r="R160">
        <v>-0.39961544227348617</v>
      </c>
      <c r="S160" s="2">
        <v>1.0689716264216148E-3</v>
      </c>
      <c r="T160" s="2">
        <v>2.0893102046397297E-3</v>
      </c>
      <c r="U160" s="2">
        <v>3.6682195950493656E-3</v>
      </c>
      <c r="V160" s="2">
        <v>5.8665335721304751E-3</v>
      </c>
      <c r="W160" s="2">
        <v>8.6479266920126904E-3</v>
      </c>
      <c r="X160" s="2">
        <v>1.187207103510037E-2</v>
      </c>
      <c r="Y160" s="2">
        <v>1.5319342521317078E-2</v>
      </c>
      <c r="Z160" s="2">
        <v>1.8738146811832713E-2</v>
      </c>
      <c r="AA160" s="2">
        <v>2.1897503457077392E-2</v>
      </c>
      <c r="AB160" s="2">
        <v>2.4627774052498184E-2</v>
      </c>
      <c r="AC160" s="2">
        <v>2.6839672775570388E-2</v>
      </c>
      <c r="AD160" s="2">
        <v>2.8521155532000242E-2</v>
      </c>
      <c r="AE160" s="2">
        <v>3.3833607772755112E-2</v>
      </c>
      <c r="AF160" s="2">
        <v>3.6107690405819189E-2</v>
      </c>
      <c r="AG160" s="2">
        <v>3.6453788925684363E-2</v>
      </c>
      <c r="AH160" s="2">
        <v>3.6406092635887205E-2</v>
      </c>
      <c r="AI160" s="2">
        <v>3.6053053380138006E-2</v>
      </c>
      <c r="AJ160" s="2">
        <v>3.5520038716601358E-2</v>
      </c>
      <c r="AK160" s="2">
        <v>1.6668757802271755E-2</v>
      </c>
      <c r="AL160" s="2">
        <v>2.8103330761647233E-3</v>
      </c>
      <c r="AM160" s="2">
        <v>2.1791885784215805E-3</v>
      </c>
      <c r="AN160" s="2">
        <v>1.6207012103868111E-3</v>
      </c>
      <c r="AO160" s="2">
        <v>1.1559920771692612E-3</v>
      </c>
      <c r="AP160" s="2">
        <v>7.9101831627655984E-4</v>
      </c>
      <c r="AQ160" s="2">
        <v>5.1957617126932652E-4</v>
      </c>
      <c r="AR160" s="2">
        <v>0.40927646694449554</v>
      </c>
    </row>
    <row r="161" spans="1:44" x14ac:dyDescent="0.25">
      <c r="A161" t="s">
        <v>250</v>
      </c>
      <c r="B161" t="s">
        <v>285</v>
      </c>
      <c r="C161" t="s">
        <v>43</v>
      </c>
      <c r="D161" t="s">
        <v>284</v>
      </c>
      <c r="E161" t="s">
        <v>145</v>
      </c>
      <c r="F161" t="s">
        <v>284</v>
      </c>
      <c r="G161" t="s">
        <v>31</v>
      </c>
      <c r="H161" t="s">
        <v>273</v>
      </c>
      <c r="I161" t="s">
        <v>135</v>
      </c>
      <c r="J161" t="s">
        <v>39</v>
      </c>
      <c r="K161" t="s">
        <v>31</v>
      </c>
      <c r="L161">
        <v>259.74</v>
      </c>
      <c r="M161">
        <v>1</v>
      </c>
      <c r="N161">
        <v>1.3953794259707024</v>
      </c>
      <c r="O161">
        <v>3.994835640102659</v>
      </c>
      <c r="P161">
        <v>-0.1208952283669998</v>
      </c>
      <c r="Q161">
        <v>1.550704251021745</v>
      </c>
      <c r="R161">
        <v>-1.1299449527495853</v>
      </c>
      <c r="S161" s="2">
        <v>3.7484603133003135E-3</v>
      </c>
      <c r="T161" s="2">
        <v>7.3227055064152844E-3</v>
      </c>
      <c r="U161" s="2">
        <v>1.2850081251470915E-2</v>
      </c>
      <c r="V161" s="2">
        <v>2.0540641916627262E-2</v>
      </c>
      <c r="W161" s="2">
        <v>3.0264001848345101E-2</v>
      </c>
      <c r="X161" s="2">
        <v>4.1526253026852429E-2</v>
      </c>
      <c r="Y161" s="2">
        <v>5.3557252557877563E-2</v>
      </c>
      <c r="Z161" s="2">
        <v>6.5476688197703206E-2</v>
      </c>
      <c r="AA161" s="2">
        <v>7.6478009336432701E-2</v>
      </c>
      <c r="AB161" s="2">
        <v>8.5970417541403804E-2</v>
      </c>
      <c r="AC161" s="2">
        <v>9.364465548759425E-2</v>
      </c>
      <c r="AD161" s="2">
        <v>9.9461453257690527E-2</v>
      </c>
      <c r="AE161" s="2">
        <v>0.11801495111171054</v>
      </c>
      <c r="AF161" s="2">
        <v>0.126554309349136</v>
      </c>
      <c r="AG161" s="2">
        <v>0.12767735690713117</v>
      </c>
      <c r="AH161" s="2">
        <v>0.12740579380131317</v>
      </c>
      <c r="AI161" s="2">
        <v>0.12605161252887603</v>
      </c>
      <c r="AJ161" s="2">
        <v>0.12405753535258371</v>
      </c>
      <c r="AK161" s="2">
        <v>5.0420078772035692E-2</v>
      </c>
      <c r="AL161" s="2">
        <v>1.0144578893817117E-2</v>
      </c>
      <c r="AM161" s="2">
        <v>7.8626882527123281E-3</v>
      </c>
      <c r="AN161" s="2">
        <v>5.84496053976373E-3</v>
      </c>
      <c r="AO161" s="2">
        <v>4.1671413295441334E-3</v>
      </c>
      <c r="AP161" s="2">
        <v>2.850210974873678E-3</v>
      </c>
      <c r="AQ161" s="2">
        <v>1.8713246102939718E-3</v>
      </c>
      <c r="AR161" s="2">
        <v>1.4237631626655047</v>
      </c>
    </row>
    <row r="162" spans="1:44" x14ac:dyDescent="0.25">
      <c r="A162" t="s">
        <v>250</v>
      </c>
      <c r="B162" t="s">
        <v>285</v>
      </c>
      <c r="C162" t="s">
        <v>43</v>
      </c>
      <c r="D162" t="s">
        <v>284</v>
      </c>
      <c r="E162" t="s">
        <v>145</v>
      </c>
      <c r="F162" t="s">
        <v>284</v>
      </c>
      <c r="G162" t="s">
        <v>31</v>
      </c>
      <c r="H162" t="s">
        <v>252</v>
      </c>
      <c r="I162" t="s">
        <v>135</v>
      </c>
      <c r="J162" t="s">
        <v>39</v>
      </c>
      <c r="K162" t="s">
        <v>31</v>
      </c>
      <c r="L162">
        <v>259.74</v>
      </c>
      <c r="M162">
        <v>1</v>
      </c>
      <c r="N162">
        <v>1.3953794259707024</v>
      </c>
      <c r="O162">
        <v>3.994835640102659</v>
      </c>
      <c r="P162">
        <v>-0.1208952283669998</v>
      </c>
      <c r="Q162">
        <v>1.550704251021745</v>
      </c>
      <c r="R162">
        <v>-1.1299449527495853</v>
      </c>
      <c r="S162" s="2">
        <v>6.2973217568315113E-3</v>
      </c>
      <c r="T162" s="2">
        <v>1.2313089302810229E-2</v>
      </c>
      <c r="U162" s="2">
        <v>2.1626877895404972E-2</v>
      </c>
      <c r="V162" s="2">
        <v>3.4601462861833937E-2</v>
      </c>
      <c r="W162" s="2">
        <v>5.1026913203455079E-2</v>
      </c>
      <c r="X162" s="2">
        <v>7.0079046167508208E-2</v>
      </c>
      <c r="Y162" s="2">
        <v>9.0464090257839191E-2</v>
      </c>
      <c r="Z162" s="2">
        <v>0.1106973256397597</v>
      </c>
      <c r="AA162" s="2">
        <v>0.12941347322035399</v>
      </c>
      <c r="AB162" s="2">
        <v>0.1456077355508357</v>
      </c>
      <c r="AC162" s="2">
        <v>0.15874896483309542</v>
      </c>
      <c r="AD162" s="2">
        <v>0.16876220854086582</v>
      </c>
      <c r="AE162" s="2">
        <v>0.2001597791739137</v>
      </c>
      <c r="AF162" s="2">
        <v>0.21279789856919271</v>
      </c>
      <c r="AG162" s="2">
        <v>0.21495870742581979</v>
      </c>
      <c r="AH162" s="2">
        <v>0.21481826361696976</v>
      </c>
      <c r="AI162" s="2">
        <v>0.21289523949211342</v>
      </c>
      <c r="AJ162" s="2">
        <v>0.20992404440704301</v>
      </c>
      <c r="AK162" s="2">
        <v>0.10915300794738483</v>
      </c>
      <c r="AL162" s="2">
        <v>1.6163991469792548E-2</v>
      </c>
      <c r="AM162" s="2">
        <v>1.2538498607318403E-2</v>
      </c>
      <c r="AN162" s="2">
        <v>9.3284975057179309E-3</v>
      </c>
      <c r="AO162" s="2">
        <v>6.6560986232554152E-3</v>
      </c>
      <c r="AP162" s="2">
        <v>4.5562307796444676E-3</v>
      </c>
      <c r="AQ162" s="2">
        <v>2.99378651302314E-3</v>
      </c>
      <c r="AR162" s="2">
        <v>2.4265825533617833</v>
      </c>
    </row>
    <row r="163" spans="1:44" x14ac:dyDescent="0.25">
      <c r="A163" t="s">
        <v>250</v>
      </c>
      <c r="B163" t="s">
        <v>285</v>
      </c>
      <c r="C163" t="s">
        <v>43</v>
      </c>
      <c r="D163" t="s">
        <v>284</v>
      </c>
      <c r="E163" t="s">
        <v>145</v>
      </c>
      <c r="F163" t="s">
        <v>284</v>
      </c>
      <c r="G163" t="s">
        <v>31</v>
      </c>
      <c r="H163" t="s">
        <v>274</v>
      </c>
      <c r="I163" t="s">
        <v>135</v>
      </c>
      <c r="J163" t="s">
        <v>39</v>
      </c>
      <c r="K163" t="s">
        <v>31</v>
      </c>
      <c r="L163">
        <v>259.74</v>
      </c>
      <c r="M163">
        <v>1</v>
      </c>
      <c r="N163">
        <v>1.3953794259707024</v>
      </c>
      <c r="O163">
        <v>3.994835640102659</v>
      </c>
      <c r="P163">
        <v>-0.1208952283669998</v>
      </c>
      <c r="Q163">
        <v>1.550704251021745</v>
      </c>
      <c r="R163">
        <v>-1.1299449527495853</v>
      </c>
      <c r="S163" s="2">
        <v>5.9007477715406044E-3</v>
      </c>
      <c r="T163" s="2">
        <v>1.1527249747132724E-2</v>
      </c>
      <c r="U163" s="2">
        <v>2.0228328959410232E-2</v>
      </c>
      <c r="V163" s="2">
        <v>3.2334648598383413E-2</v>
      </c>
      <c r="W163" s="2">
        <v>4.7640958297166289E-2</v>
      </c>
      <c r="X163" s="2">
        <v>6.5369758388315449E-2</v>
      </c>
      <c r="Y163" s="2">
        <v>8.4308706046426887E-2</v>
      </c>
      <c r="Z163" s="2">
        <v>0.10307203216199622</v>
      </c>
      <c r="AA163" s="2">
        <v>0.12039008164568027</v>
      </c>
      <c r="AB163" s="2">
        <v>0.13533283196993837</v>
      </c>
      <c r="AC163" s="2">
        <v>0.14741345672634293</v>
      </c>
      <c r="AD163" s="2">
        <v>0.15657013803296133</v>
      </c>
      <c r="AE163" s="2">
        <v>0.18577666603805609</v>
      </c>
      <c r="AF163" s="2">
        <v>0.19921914505032862</v>
      </c>
      <c r="AG163" s="2">
        <v>0.20098702301122362</v>
      </c>
      <c r="AH163" s="2">
        <v>0.20055953405374335</v>
      </c>
      <c r="AI163" s="2">
        <v>0.19842781023710288</v>
      </c>
      <c r="AJ163" s="2">
        <v>0.19528877568135794</v>
      </c>
      <c r="AK163" s="2">
        <v>7.9370232732448434E-2</v>
      </c>
      <c r="AL163" s="2">
        <v>1.5969383772988618E-2</v>
      </c>
      <c r="AM163" s="2">
        <v>1.237727928474759E-2</v>
      </c>
      <c r="AN163" s="2">
        <v>9.2010145491943363E-3</v>
      </c>
      <c r="AO163" s="2">
        <v>6.5598266644986093E-3</v>
      </c>
      <c r="AP163" s="2">
        <v>4.4867424629603924E-3</v>
      </c>
      <c r="AQ163" s="2">
        <v>2.9458000355082497E-3</v>
      </c>
      <c r="AR163" s="2">
        <v>2.2412581719194535</v>
      </c>
    </row>
    <row r="164" spans="1:44" x14ac:dyDescent="0.25">
      <c r="A164" t="s">
        <v>250</v>
      </c>
      <c r="B164" t="s">
        <v>285</v>
      </c>
      <c r="C164" t="s">
        <v>43</v>
      </c>
      <c r="D164" t="s">
        <v>284</v>
      </c>
      <c r="E164" t="s">
        <v>145</v>
      </c>
      <c r="F164" t="s">
        <v>284</v>
      </c>
      <c r="G164" t="s">
        <v>31</v>
      </c>
      <c r="H164" t="s">
        <v>274</v>
      </c>
      <c r="I164" t="s">
        <v>135</v>
      </c>
      <c r="J164" t="s">
        <v>39</v>
      </c>
      <c r="K164" t="s">
        <v>33</v>
      </c>
      <c r="L164">
        <v>259.74</v>
      </c>
      <c r="M164">
        <v>1</v>
      </c>
      <c r="N164">
        <v>1.3953794259707024</v>
      </c>
      <c r="O164">
        <v>3.994835640102659</v>
      </c>
      <c r="P164">
        <v>-0.1208952283669998</v>
      </c>
      <c r="Q164">
        <v>1.550704251021745</v>
      </c>
      <c r="R164">
        <v>-1.1299449527495853</v>
      </c>
      <c r="S164" s="2">
        <v>1.8985553421615245E-5</v>
      </c>
      <c r="T164" s="2">
        <v>3.708872576015058E-5</v>
      </c>
      <c r="U164" s="2">
        <v>6.5084296932864922E-5</v>
      </c>
      <c r="V164" s="2">
        <v>1.0403617000790498E-4</v>
      </c>
      <c r="W164" s="2">
        <v>1.532839554963124E-4</v>
      </c>
      <c r="X164" s="2">
        <v>2.103260617281757E-4</v>
      </c>
      <c r="Y164" s="2">
        <v>2.7126179672882144E-4</v>
      </c>
      <c r="Z164" s="2">
        <v>3.3163247246799506E-4</v>
      </c>
      <c r="AA164" s="2">
        <v>3.8735299575767574E-4</v>
      </c>
      <c r="AB164" s="2">
        <v>4.3543103527587609E-4</v>
      </c>
      <c r="AC164" s="2">
        <v>4.7430023551273424E-4</v>
      </c>
      <c r="AD164" s="2">
        <v>5.0376169850729988E-4</v>
      </c>
      <c r="AE164" s="2">
        <v>5.9773319486154176E-4</v>
      </c>
      <c r="AF164" s="2">
        <v>6.4098413750263074E-4</v>
      </c>
      <c r="AG164" s="2">
        <v>6.4667225412258814E-4</v>
      </c>
      <c r="AH164" s="2">
        <v>6.4529681583008248E-4</v>
      </c>
      <c r="AI164" s="2">
        <v>6.3843803149156865E-4</v>
      </c>
      <c r="AJ164" s="2">
        <v>6.2833824235334864E-4</v>
      </c>
      <c r="AK164" s="2">
        <v>2.5537234465361909E-4</v>
      </c>
      <c r="AL164" s="2">
        <v>5.1381214800373236E-5</v>
      </c>
      <c r="AM164" s="2">
        <v>3.9823681027036015E-5</v>
      </c>
      <c r="AN164" s="2">
        <v>2.9604104432204729E-5</v>
      </c>
      <c r="AO164" s="2">
        <v>2.1106128307338025E-5</v>
      </c>
      <c r="AP164" s="2">
        <v>1.4436015911475583E-5</v>
      </c>
      <c r="AQ164" s="2">
        <v>9.478060427066191E-6</v>
      </c>
      <c r="AR164" s="2">
        <v>7.2112092233183002E-3</v>
      </c>
    </row>
    <row r="165" spans="1:44" x14ac:dyDescent="0.25">
      <c r="A165" t="s">
        <v>250</v>
      </c>
      <c r="B165" t="s">
        <v>285</v>
      </c>
      <c r="C165" t="s">
        <v>43</v>
      </c>
      <c r="D165" t="s">
        <v>284</v>
      </c>
      <c r="E165" t="s">
        <v>145</v>
      </c>
      <c r="F165" t="s">
        <v>284</v>
      </c>
      <c r="G165" t="s">
        <v>31</v>
      </c>
      <c r="H165" t="s">
        <v>276</v>
      </c>
      <c r="I165" t="s">
        <v>135</v>
      </c>
      <c r="J165" t="s">
        <v>39</v>
      </c>
      <c r="K165" t="s">
        <v>31</v>
      </c>
      <c r="L165">
        <v>259.74</v>
      </c>
      <c r="M165">
        <v>1</v>
      </c>
      <c r="N165">
        <v>1.3953794259707024</v>
      </c>
      <c r="O165">
        <v>3.994835640102659</v>
      </c>
      <c r="P165">
        <v>-0.1208952283669998</v>
      </c>
      <c r="Q165">
        <v>1.550704251021745</v>
      </c>
      <c r="R165">
        <v>-1.1299449527495853</v>
      </c>
      <c r="S165" s="2">
        <v>8.9035858880018946E-3</v>
      </c>
      <c r="T165" s="2">
        <v>1.7437049090883491E-2</v>
      </c>
      <c r="U165" s="2">
        <v>3.0675855370002874E-2</v>
      </c>
      <c r="V165" s="2">
        <v>4.9158000042018493E-2</v>
      </c>
      <c r="W165" s="2">
        <v>7.2609916112423831E-2</v>
      </c>
      <c r="X165" s="2">
        <v>9.9880731025214192E-2</v>
      </c>
      <c r="Y165" s="2">
        <v>0.1291417426760699</v>
      </c>
      <c r="Z165" s="2">
        <v>0.15827941760396824</v>
      </c>
      <c r="AA165" s="2">
        <v>0.18533767051841196</v>
      </c>
      <c r="AB165" s="2">
        <v>0.20886494083987578</v>
      </c>
      <c r="AC165" s="2">
        <v>0.22808088725931838</v>
      </c>
      <c r="AD165" s="2">
        <v>0.24285669711755761</v>
      </c>
      <c r="AE165" s="2">
        <v>0.28783550931005519</v>
      </c>
      <c r="AF165" s="2">
        <v>0.30142573767828373</v>
      </c>
      <c r="AG165" s="2">
        <v>0.30517311866380886</v>
      </c>
      <c r="AH165" s="2">
        <v>0.30577383792447299</v>
      </c>
      <c r="AI165" s="2">
        <v>0.30394839137758539</v>
      </c>
      <c r="AJ165" s="2">
        <v>0.30071234406452357</v>
      </c>
      <c r="AK165" s="2">
        <v>0.21840357653362422</v>
      </c>
      <c r="AL165" s="2">
        <v>2.0611288406442576E-2</v>
      </c>
      <c r="AM165" s="2">
        <v>1.6011825122859452E-2</v>
      </c>
      <c r="AN165" s="2">
        <v>1.1929942922780358E-2</v>
      </c>
      <c r="AO165" s="2">
        <v>8.5245294551755616E-3</v>
      </c>
      <c r="AP165" s="2">
        <v>5.843500269725849E-3</v>
      </c>
      <c r="AQ165" s="2">
        <v>3.8450111612768896E-3</v>
      </c>
      <c r="AR165" s="2">
        <v>3.521265106434361</v>
      </c>
    </row>
    <row r="166" spans="1:44" x14ac:dyDescent="0.25">
      <c r="A166" t="s">
        <v>250</v>
      </c>
      <c r="B166" t="s">
        <v>285</v>
      </c>
      <c r="C166" t="s">
        <v>43</v>
      </c>
      <c r="D166" t="s">
        <v>284</v>
      </c>
      <c r="E166" t="s">
        <v>145</v>
      </c>
      <c r="F166" t="s">
        <v>284</v>
      </c>
      <c r="G166" t="s">
        <v>31</v>
      </c>
      <c r="H166" t="s">
        <v>275</v>
      </c>
      <c r="I166" t="s">
        <v>135</v>
      </c>
      <c r="J166" t="s">
        <v>39</v>
      </c>
      <c r="K166" t="s">
        <v>31</v>
      </c>
      <c r="L166">
        <v>259.74</v>
      </c>
      <c r="M166">
        <v>1</v>
      </c>
      <c r="N166">
        <v>1.3953794259707024</v>
      </c>
      <c r="O166">
        <v>3.994835640102659</v>
      </c>
      <c r="P166">
        <v>-0.1208952283669998</v>
      </c>
      <c r="Q166">
        <v>1.550704251021745</v>
      </c>
      <c r="R166">
        <v>-1.1299449527495853</v>
      </c>
      <c r="S166" s="2">
        <v>9.0144980151370489E-3</v>
      </c>
      <c r="T166" s="2">
        <v>1.7610034183580581E-2</v>
      </c>
      <c r="U166" s="2">
        <v>3.0902563253696606E-2</v>
      </c>
      <c r="V166" s="2">
        <v>4.9397235214170089E-2</v>
      </c>
      <c r="W166" s="2">
        <v>7.2780491665873456E-2</v>
      </c>
      <c r="X166" s="2">
        <v>9.986455616414297E-2</v>
      </c>
      <c r="Y166" s="2">
        <v>0.12879734785136596</v>
      </c>
      <c r="Z166" s="2">
        <v>0.15746184472105818</v>
      </c>
      <c r="AA166" s="2">
        <v>0.18391841069218012</v>
      </c>
      <c r="AB166" s="2">
        <v>0.2067462620686413</v>
      </c>
      <c r="AC166" s="2">
        <v>0.22520168028079646</v>
      </c>
      <c r="AD166" s="2">
        <v>0.23919022692938563</v>
      </c>
      <c r="AE166" s="2">
        <v>0.2838086717307014</v>
      </c>
      <c r="AF166" s="2">
        <v>0.30434457752879157</v>
      </c>
      <c r="AG166" s="2">
        <v>0.30704534241258463</v>
      </c>
      <c r="AH166" s="2">
        <v>0.30639227291903931</v>
      </c>
      <c r="AI166" s="2">
        <v>0.30313566530625347</v>
      </c>
      <c r="AJ166" s="2">
        <v>0.29834020177048226</v>
      </c>
      <c r="AK166" s="2">
        <v>0.12125290439940628</v>
      </c>
      <c r="AL166" s="2">
        <v>2.4396226359457259E-2</v>
      </c>
      <c r="AM166" s="2">
        <v>1.8908613596954945E-2</v>
      </c>
      <c r="AN166" s="2">
        <v>1.4056273984628151E-2</v>
      </c>
      <c r="AO166" s="2">
        <v>1.002136453484212E-2</v>
      </c>
      <c r="AP166" s="2">
        <v>6.8543399231294471E-3</v>
      </c>
      <c r="AQ166" s="2">
        <v>4.500261594158359E-3</v>
      </c>
      <c r="AR166" s="2">
        <v>3.4239418671004578</v>
      </c>
    </row>
    <row r="167" spans="1:44" x14ac:dyDescent="0.25">
      <c r="A167" t="s">
        <v>250</v>
      </c>
      <c r="B167" t="s">
        <v>285</v>
      </c>
      <c r="C167" t="s">
        <v>43</v>
      </c>
      <c r="D167" t="s">
        <v>284</v>
      </c>
      <c r="E167" t="s">
        <v>145</v>
      </c>
      <c r="F167" t="s">
        <v>284</v>
      </c>
      <c r="G167" t="s">
        <v>31</v>
      </c>
      <c r="H167" t="s">
        <v>277</v>
      </c>
      <c r="I167" t="s">
        <v>135</v>
      </c>
      <c r="J167" t="s">
        <v>39</v>
      </c>
      <c r="K167" t="s">
        <v>31</v>
      </c>
      <c r="L167">
        <v>259.74</v>
      </c>
      <c r="M167">
        <v>1</v>
      </c>
      <c r="N167">
        <v>1.3953794259707024</v>
      </c>
      <c r="O167">
        <v>3.994835640102659</v>
      </c>
      <c r="P167">
        <v>-0.1208952283669998</v>
      </c>
      <c r="Q167">
        <v>1.550704251021745</v>
      </c>
      <c r="R167">
        <v>-1.1299449527495853</v>
      </c>
      <c r="S167" s="2">
        <v>0.14563859023264225</v>
      </c>
      <c r="T167" s="2">
        <v>0.28447411734029293</v>
      </c>
      <c r="U167" s="2">
        <v>0.49914267746107444</v>
      </c>
      <c r="V167" s="2">
        <v>0.79777511063521234</v>
      </c>
      <c r="W167" s="2">
        <v>1.1752776212018556</v>
      </c>
      <c r="X167" s="2">
        <v>1.6124434722633822</v>
      </c>
      <c r="Y167" s="2">
        <v>2.0793504140252876</v>
      </c>
      <c r="Z167" s="2">
        <v>2.5418138315963095</v>
      </c>
      <c r="AA167" s="2">
        <v>2.9685286832655948</v>
      </c>
      <c r="AB167" s="2">
        <v>3.3365785327761968</v>
      </c>
      <c r="AC167" s="2">
        <v>3.6339835090139117</v>
      </c>
      <c r="AD167" s="2">
        <v>3.8592454171351163</v>
      </c>
      <c r="AE167" s="2">
        <v>4.579405858937748</v>
      </c>
      <c r="AF167" s="2">
        <v>4.9164579542228637</v>
      </c>
      <c r="AG167" s="2">
        <v>4.9592478786676617</v>
      </c>
      <c r="AH167" s="2">
        <v>4.947725806323632</v>
      </c>
      <c r="AI167" s="2">
        <v>4.8940308601478044</v>
      </c>
      <c r="AJ167" s="2">
        <v>4.8153932804957851</v>
      </c>
      <c r="AK167" s="2">
        <v>1.8848611507188533</v>
      </c>
      <c r="AL167" s="2">
        <v>0.39683895579402051</v>
      </c>
      <c r="AM167" s="2">
        <v>0.3075412090026387</v>
      </c>
      <c r="AN167" s="2">
        <v>0.22859482915816928</v>
      </c>
      <c r="AO167" s="2">
        <v>0.16295818415911636</v>
      </c>
      <c r="AP167" s="2">
        <v>0.11144706872706961</v>
      </c>
      <c r="AQ167" s="2">
        <v>7.3163594125993381E-2</v>
      </c>
      <c r="AR167" s="2">
        <v>55.211918607428224</v>
      </c>
    </row>
    <row r="168" spans="1:44" x14ac:dyDescent="0.25">
      <c r="A168" t="s">
        <v>250</v>
      </c>
      <c r="B168" t="s">
        <v>285</v>
      </c>
      <c r="C168" t="s">
        <v>43</v>
      </c>
      <c r="D168" t="s">
        <v>284</v>
      </c>
      <c r="E168" t="s">
        <v>145</v>
      </c>
      <c r="F168" t="s">
        <v>284</v>
      </c>
      <c r="G168" t="s">
        <v>31</v>
      </c>
      <c r="H168" t="s">
        <v>277</v>
      </c>
      <c r="I168" t="s">
        <v>135</v>
      </c>
      <c r="J168" t="s">
        <v>40</v>
      </c>
      <c r="K168" t="s">
        <v>31</v>
      </c>
      <c r="L168">
        <v>259.74</v>
      </c>
      <c r="M168">
        <v>1</v>
      </c>
      <c r="N168">
        <v>1.3953794259707024</v>
      </c>
      <c r="O168">
        <v>2.8220930578635595</v>
      </c>
      <c r="P168">
        <v>-0.1208952283669998</v>
      </c>
      <c r="Q168">
        <v>0.4672931329656026</v>
      </c>
      <c r="R168">
        <v>-0.98694495274958527</v>
      </c>
      <c r="S168" s="2">
        <v>2.29738162183853E-2</v>
      </c>
      <c r="T168" s="2">
        <v>4.4874480590779996E-2</v>
      </c>
      <c r="U168" s="2">
        <v>7.873745633232121E-2</v>
      </c>
      <c r="V168" s="2">
        <v>0.12584534597635433</v>
      </c>
      <c r="W168" s="2">
        <v>0.18539462673967014</v>
      </c>
      <c r="X168" s="2">
        <v>0.2543555244193188</v>
      </c>
      <c r="Y168" s="2">
        <v>0.32800794205115441</v>
      </c>
      <c r="Z168" s="2">
        <v>0.40095941422643039</v>
      </c>
      <c r="AA168" s="2">
        <v>0.46827171493083852</v>
      </c>
      <c r="AB168" s="2">
        <v>0.526329881989131</v>
      </c>
      <c r="AC168" s="2">
        <v>0.57324414595999396</v>
      </c>
      <c r="AD168" s="2">
        <v>0.60877817351349195</v>
      </c>
      <c r="AE168" s="2">
        <v>0.72238016328348487</v>
      </c>
      <c r="AF168" s="2">
        <v>0.7755485775116977</v>
      </c>
      <c r="AG168" s="2">
        <v>0.7822984908322187</v>
      </c>
      <c r="AH168" s="2">
        <v>0.78048093703645838</v>
      </c>
      <c r="AI168" s="2">
        <v>0.77201080680978507</v>
      </c>
      <c r="AJ168" s="2">
        <v>0.75960609113725386</v>
      </c>
      <c r="AK168" s="2">
        <v>0.29732815735594409</v>
      </c>
      <c r="AL168" s="2">
        <v>6.2599515857331575E-2</v>
      </c>
      <c r="AM168" s="2">
        <v>4.8513207961711872E-2</v>
      </c>
      <c r="AN168" s="2">
        <v>3.6059780482383848E-2</v>
      </c>
      <c r="AO168" s="2">
        <v>2.5705902317325911E-2</v>
      </c>
      <c r="AP168" s="2">
        <v>1.7580261323070674E-2</v>
      </c>
      <c r="AQ168" s="2">
        <v>1.1541219690757261E-2</v>
      </c>
      <c r="AR168" s="2">
        <v>8.7094256345472925</v>
      </c>
    </row>
    <row r="169" spans="1:44" x14ac:dyDescent="0.25">
      <c r="A169" t="s">
        <v>250</v>
      </c>
      <c r="B169" t="s">
        <v>285</v>
      </c>
      <c r="C169" t="s">
        <v>43</v>
      </c>
      <c r="D169" t="s">
        <v>284</v>
      </c>
      <c r="E169" t="s">
        <v>148</v>
      </c>
      <c r="F169" t="s">
        <v>284</v>
      </c>
      <c r="G169" t="s">
        <v>31</v>
      </c>
      <c r="H169" t="s">
        <v>272</v>
      </c>
      <c r="I169" t="s">
        <v>135</v>
      </c>
      <c r="J169" t="s">
        <v>39</v>
      </c>
      <c r="K169" t="s">
        <v>31</v>
      </c>
      <c r="L169">
        <v>259.74</v>
      </c>
      <c r="M169">
        <v>1</v>
      </c>
      <c r="N169">
        <v>1.3953794259707024</v>
      </c>
      <c r="O169">
        <v>3.994835640102659</v>
      </c>
      <c r="P169">
        <v>-0.1208952283669998</v>
      </c>
      <c r="Q169">
        <v>1.550704251021745</v>
      </c>
      <c r="R169">
        <v>-1.1299449527495853</v>
      </c>
      <c r="S169" s="2">
        <v>1.6962488871641464E-3</v>
      </c>
      <c r="T169" s="2">
        <v>4.6791748652547996E-3</v>
      </c>
      <c r="U169" s="2">
        <v>8.3039529396239289E-3</v>
      </c>
      <c r="V169" s="2">
        <v>1.3424444356074698E-2</v>
      </c>
      <c r="W169" s="2">
        <v>2.0004781762623703E-2</v>
      </c>
      <c r="X169" s="2">
        <v>2.7763682396706877E-2</v>
      </c>
      <c r="Y169" s="2">
        <v>3.6219380819509941E-2</v>
      </c>
      <c r="Z169" s="2">
        <v>4.4791875229468481E-2</v>
      </c>
      <c r="AA169" s="2">
        <v>5.2924914843238587E-2</v>
      </c>
      <c r="AB169" s="2">
        <v>6.0187287541720577E-2</v>
      </c>
      <c r="AC169" s="2">
        <v>6.632722203098175E-2</v>
      </c>
      <c r="AD169" s="2">
        <v>7.1275039469919074E-2</v>
      </c>
      <c r="AE169" s="2">
        <v>7.5106778533401086E-2</v>
      </c>
      <c r="AF169" s="2">
        <v>7.798945038673985E-2</v>
      </c>
      <c r="AG169" s="2">
        <v>8.012701770727064E-2</v>
      </c>
      <c r="AH169" s="2">
        <v>8.1719119465818321E-2</v>
      </c>
      <c r="AI169" s="2">
        <v>8.2936575470251045E-2</v>
      </c>
      <c r="AJ169" s="2">
        <v>8.3997854138092368E-2</v>
      </c>
      <c r="AK169" s="2">
        <v>8.4961337418479013E-2</v>
      </c>
      <c r="AL169" s="2">
        <v>8.5595971923562553E-2</v>
      </c>
      <c r="AM169" s="2">
        <v>8.6239186901873488E-2</v>
      </c>
      <c r="AN169" s="2">
        <v>8.6891071845499504E-2</v>
      </c>
      <c r="AO169" s="2">
        <v>8.7551717281094052E-2</v>
      </c>
      <c r="AP169" s="2">
        <v>8.8221214781322582E-2</v>
      </c>
      <c r="AQ169" s="2">
        <v>8.8899656976463765E-2</v>
      </c>
      <c r="AR169" s="2">
        <v>1.4978349579721548</v>
      </c>
    </row>
    <row r="170" spans="1:44" x14ac:dyDescent="0.25">
      <c r="A170" t="s">
        <v>250</v>
      </c>
      <c r="B170" t="s">
        <v>285</v>
      </c>
      <c r="C170" t="s">
        <v>43</v>
      </c>
      <c r="D170" t="s">
        <v>284</v>
      </c>
      <c r="E170" t="s">
        <v>148</v>
      </c>
      <c r="F170" t="s">
        <v>284</v>
      </c>
      <c r="G170" t="s">
        <v>31</v>
      </c>
      <c r="H170" t="s">
        <v>272</v>
      </c>
      <c r="I170" t="s">
        <v>135</v>
      </c>
      <c r="J170" t="s">
        <v>40</v>
      </c>
      <c r="K170" t="s">
        <v>31</v>
      </c>
      <c r="L170">
        <v>259.74</v>
      </c>
      <c r="M170">
        <v>1</v>
      </c>
      <c r="N170">
        <v>1.3953794259707024</v>
      </c>
      <c r="O170">
        <v>2.8220930578635595</v>
      </c>
      <c r="P170">
        <v>-0.1208952283669998</v>
      </c>
      <c r="Q170">
        <v>0.4672931329656026</v>
      </c>
      <c r="R170">
        <v>-0.98694495274958527</v>
      </c>
      <c r="S170" s="2">
        <v>1.6778588647866439E-4</v>
      </c>
      <c r="T170" s="2">
        <v>4.6284452045714869E-4</v>
      </c>
      <c r="U170" s="2">
        <v>8.213924948132146E-4</v>
      </c>
      <c r="V170" s="2">
        <v>1.3278902134068512E-3</v>
      </c>
      <c r="W170" s="2">
        <v>1.9787898269254468E-3</v>
      </c>
      <c r="X170" s="2">
        <v>2.7462680141424225E-3</v>
      </c>
      <c r="Y170" s="2">
        <v>3.5826705411548991E-3</v>
      </c>
      <c r="Z170" s="2">
        <v>4.4306260415490151E-3</v>
      </c>
      <c r="AA170" s="2">
        <v>5.2351125008705474E-3</v>
      </c>
      <c r="AB170" s="2">
        <v>5.9534762093886992E-3</v>
      </c>
      <c r="AC170" s="2">
        <v>6.5608129976379255E-3</v>
      </c>
      <c r="AD170" s="2">
        <v>7.0502305243988926E-3</v>
      </c>
      <c r="AE170" s="2">
        <v>7.4292502192008312E-3</v>
      </c>
      <c r="AF170" s="2">
        <v>7.7143921320413115E-3</v>
      </c>
      <c r="AG170" s="2">
        <v>7.9258314028329245E-3</v>
      </c>
      <c r="AH170" s="2">
        <v>8.0833154884195433E-3</v>
      </c>
      <c r="AI170" s="2">
        <v>8.2037411738824124E-3</v>
      </c>
      <c r="AJ170" s="2">
        <v>8.30871844663531E-3</v>
      </c>
      <c r="AK170" s="2">
        <v>8.4040222063196043E-3</v>
      </c>
      <c r="AL170" s="2">
        <v>8.4667976125888302E-3</v>
      </c>
      <c r="AM170" s="2">
        <v>8.5304217635898232E-3</v>
      </c>
      <c r="AN170" s="2">
        <v>8.5949035115078665E-3</v>
      </c>
      <c r="AO170" s="2">
        <v>8.6602518108630996E-3</v>
      </c>
      <c r="AP170" s="2">
        <v>8.7264757196427057E-3</v>
      </c>
      <c r="AQ170" s="2">
        <v>8.7935844004486795E-3</v>
      </c>
      <c r="AR170" s="2">
        <v>0.14815960565919667</v>
      </c>
    </row>
    <row r="171" spans="1:44" x14ac:dyDescent="0.25">
      <c r="A171" t="s">
        <v>250</v>
      </c>
      <c r="B171" t="s">
        <v>285</v>
      </c>
      <c r="C171" t="s">
        <v>43</v>
      </c>
      <c r="D171" t="s">
        <v>284</v>
      </c>
      <c r="E171" t="s">
        <v>148</v>
      </c>
      <c r="F171" t="s">
        <v>284</v>
      </c>
      <c r="G171" t="s">
        <v>31</v>
      </c>
      <c r="H171" t="s">
        <v>253</v>
      </c>
      <c r="I171" t="s">
        <v>135</v>
      </c>
      <c r="J171" t="s">
        <v>39</v>
      </c>
      <c r="K171" t="s">
        <v>31</v>
      </c>
      <c r="L171">
        <v>259.74</v>
      </c>
      <c r="M171">
        <v>1</v>
      </c>
      <c r="N171">
        <v>1.3953794259707024</v>
      </c>
      <c r="O171">
        <v>3.994835640102659</v>
      </c>
      <c r="P171">
        <v>-0.1208952283669998</v>
      </c>
      <c r="Q171">
        <v>1.550704251021745</v>
      </c>
      <c r="R171">
        <v>-1.1299449527495853</v>
      </c>
      <c r="S171" s="2">
        <v>2.773460605325753E-4</v>
      </c>
      <c r="T171" s="2">
        <v>7.4107472859607853E-4</v>
      </c>
      <c r="U171" s="2">
        <v>1.3158064257357683E-3</v>
      </c>
      <c r="V171" s="2">
        <v>2.1282145947846293E-3</v>
      </c>
      <c r="W171" s="2">
        <v>3.1729445057269716E-3</v>
      </c>
      <c r="X171" s="2">
        <v>4.4056792977733815E-3</v>
      </c>
      <c r="Y171" s="2">
        <v>5.7501819973149937E-3</v>
      </c>
      <c r="Z171" s="2">
        <v>7.1144639079057225E-3</v>
      </c>
      <c r="AA171" s="2">
        <v>8.4101373812850745E-3</v>
      </c>
      <c r="AB171" s="2">
        <v>9.5685319047140414E-3</v>
      </c>
      <c r="AC171" s="2">
        <v>1.0549396139583183E-2</v>
      </c>
      <c r="AD171" s="2">
        <v>1.1341386821664461E-2</v>
      </c>
      <c r="AE171" s="2">
        <v>1.1956343834391193E-2</v>
      </c>
      <c r="AF171" s="2">
        <v>1.2420622328434312E-2</v>
      </c>
      <c r="AG171" s="2">
        <v>1.2766516003366269E-2</v>
      </c>
      <c r="AH171" s="2">
        <v>1.3025689059703529E-2</v>
      </c>
      <c r="AI171" s="2">
        <v>1.3225266966056018E-2</v>
      </c>
      <c r="AJ171" s="2">
        <v>1.3400024106732016E-2</v>
      </c>
      <c r="AK171" s="2">
        <v>1.3559244769741612E-2</v>
      </c>
      <c r="AL171" s="2">
        <v>1.3666018551054657E-2</v>
      </c>
      <c r="AM171" s="2">
        <v>1.3774175390693512E-2</v>
      </c>
      <c r="AN171" s="2">
        <v>1.3883730037486152E-2</v>
      </c>
      <c r="AO171" s="2">
        <v>1.3994697408779604E-2</v>
      </c>
      <c r="AP171" s="2">
        <v>1.410709259231588E-2</v>
      </c>
      <c r="AQ171" s="2">
        <v>1.4220930848132881E-2</v>
      </c>
      <c r="AR171" s="2">
        <v>0.23877551566250454</v>
      </c>
    </row>
    <row r="172" spans="1:44" x14ac:dyDescent="0.25">
      <c r="A172" t="s">
        <v>250</v>
      </c>
      <c r="B172" t="s">
        <v>285</v>
      </c>
      <c r="C172" t="s">
        <v>43</v>
      </c>
      <c r="D172" t="s">
        <v>284</v>
      </c>
      <c r="E172" t="s">
        <v>148</v>
      </c>
      <c r="F172" t="s">
        <v>284</v>
      </c>
      <c r="G172" t="s">
        <v>31</v>
      </c>
      <c r="H172" t="s">
        <v>253</v>
      </c>
      <c r="I172" t="s">
        <v>135</v>
      </c>
      <c r="J172" t="s">
        <v>40</v>
      </c>
      <c r="K172" t="s">
        <v>31</v>
      </c>
      <c r="L172">
        <v>259.74</v>
      </c>
      <c r="M172">
        <v>1</v>
      </c>
      <c r="N172">
        <v>1.3953794259707024</v>
      </c>
      <c r="O172">
        <v>2.8220930578635595</v>
      </c>
      <c r="P172">
        <v>-0.1208952283669998</v>
      </c>
      <c r="Q172">
        <v>0.4672931329656026</v>
      </c>
      <c r="R172">
        <v>-0.98694495274958527</v>
      </c>
      <c r="S172" s="2">
        <v>1.4588979218491964E-4</v>
      </c>
      <c r="T172" s="2">
        <v>3.8982070969664702E-4</v>
      </c>
      <c r="U172" s="2">
        <v>6.9214152758309685E-4</v>
      </c>
      <c r="V172" s="2">
        <v>1.119485109548104E-3</v>
      </c>
      <c r="W172" s="2">
        <v>1.6690347563109709E-3</v>
      </c>
      <c r="X172" s="2">
        <v>2.317478878017342E-3</v>
      </c>
      <c r="Y172" s="2">
        <v>3.0247152420440617E-3</v>
      </c>
      <c r="Z172" s="2">
        <v>3.7423558821725405E-3</v>
      </c>
      <c r="AA172" s="2">
        <v>4.423907058374069E-3</v>
      </c>
      <c r="AB172" s="2">
        <v>5.0332466537038375E-3</v>
      </c>
      <c r="AC172" s="2">
        <v>5.5492016274714812E-3</v>
      </c>
      <c r="AD172" s="2">
        <v>5.9658051869356495E-3</v>
      </c>
      <c r="AE172" s="2">
        <v>6.2892853568615563E-3</v>
      </c>
      <c r="AF172" s="2">
        <v>6.5335054942661916E-3</v>
      </c>
      <c r="AG172" s="2">
        <v>6.715452756314833E-3</v>
      </c>
      <c r="AH172" s="2">
        <v>6.8517831705864028E-3</v>
      </c>
      <c r="AI172" s="2">
        <v>6.9567652973436846E-3</v>
      </c>
      <c r="AJ172" s="2">
        <v>7.0486911854816606E-3</v>
      </c>
      <c r="AK172" s="2">
        <v>7.132444563458038E-3</v>
      </c>
      <c r="AL172" s="2">
        <v>7.1886097916088526E-3</v>
      </c>
      <c r="AM172" s="2">
        <v>7.2455025371845313E-3</v>
      </c>
      <c r="AN172" s="2">
        <v>7.3031305583750004E-3</v>
      </c>
      <c r="AO172" s="2">
        <v>7.3615017020149135E-3</v>
      </c>
      <c r="AP172" s="2">
        <v>7.4206239045701439E-3</v>
      </c>
      <c r="AQ172" s="2">
        <v>7.4805051931377178E-3</v>
      </c>
      <c r="AR172" s="2">
        <v>0.12560088393524621</v>
      </c>
    </row>
    <row r="173" spans="1:44" x14ac:dyDescent="0.25">
      <c r="A173" t="s">
        <v>250</v>
      </c>
      <c r="B173" t="s">
        <v>285</v>
      </c>
      <c r="C173" t="s">
        <v>43</v>
      </c>
      <c r="D173" t="s">
        <v>284</v>
      </c>
      <c r="E173" t="s">
        <v>148</v>
      </c>
      <c r="F173" t="s">
        <v>284</v>
      </c>
      <c r="G173" t="s">
        <v>31</v>
      </c>
      <c r="H173" t="s">
        <v>253</v>
      </c>
      <c r="I173" t="s">
        <v>256</v>
      </c>
      <c r="J173" t="s">
        <v>39</v>
      </c>
      <c r="K173" t="s">
        <v>31</v>
      </c>
      <c r="L173">
        <v>259.74</v>
      </c>
      <c r="M173">
        <v>0</v>
      </c>
      <c r="N173">
        <v>0.92441308277863887</v>
      </c>
      <c r="O173">
        <v>2.6465047861031117</v>
      </c>
      <c r="P173">
        <v>0.60943428210909911</v>
      </c>
      <c r="Q173">
        <v>0.4672931329656026</v>
      </c>
      <c r="R173">
        <v>-0.39961544227348617</v>
      </c>
      <c r="S173" s="2">
        <v>1.4548490247978852E-4</v>
      </c>
      <c r="T173" s="2">
        <v>3.8873883556522808E-4</v>
      </c>
      <c r="U173" s="2">
        <v>6.9022061882851931E-4</v>
      </c>
      <c r="V173" s="2">
        <v>1.1163781889807533E-3</v>
      </c>
      <c r="W173" s="2">
        <v>1.6644026639608741E-3</v>
      </c>
      <c r="X173" s="2">
        <v>2.3110471508518407E-3</v>
      </c>
      <c r="Y173" s="2">
        <v>3.0163207132417671E-3</v>
      </c>
      <c r="Z173" s="2">
        <v>3.7319696766201448E-3</v>
      </c>
      <c r="AA173" s="2">
        <v>4.4116293355974476E-3</v>
      </c>
      <c r="AB173" s="2">
        <v>5.0192778233768042E-3</v>
      </c>
      <c r="AC173" s="2">
        <v>5.5338008610641733E-3</v>
      </c>
      <c r="AD173" s="2">
        <v>5.9492482156298723E-3</v>
      </c>
      <c r="AE173" s="2">
        <v>6.2718306271270438E-3</v>
      </c>
      <c r="AF173" s="2">
        <v>6.5153729774298161E-3</v>
      </c>
      <c r="AG173" s="2">
        <v>6.6968152790410664E-3</v>
      </c>
      <c r="AH173" s="2">
        <v>6.8327673338646703E-3</v>
      </c>
      <c r="AI173" s="2">
        <v>6.9374581024554717E-3</v>
      </c>
      <c r="AJ173" s="2">
        <v>7.0291288675641047E-3</v>
      </c>
      <c r="AK173" s="2">
        <v>7.1126498037773784E-3</v>
      </c>
      <c r="AL173" s="2">
        <v>7.1686591558910847E-3</v>
      </c>
      <c r="AM173" s="2">
        <v>7.2253940063416776E-3</v>
      </c>
      <c r="AN173" s="2">
        <v>7.2828620917878553E-3</v>
      </c>
      <c r="AO173" s="2">
        <v>7.3410712372865353E-3</v>
      </c>
      <c r="AP173" s="2">
        <v>7.4000293572779249E-3</v>
      </c>
      <c r="AQ173" s="2">
        <v>7.4597444565809492E-3</v>
      </c>
      <c r="AR173" s="2">
        <v>0.1252523022826228</v>
      </c>
    </row>
    <row r="174" spans="1:44" x14ac:dyDescent="0.25">
      <c r="A174" t="s">
        <v>250</v>
      </c>
      <c r="B174" t="s">
        <v>285</v>
      </c>
      <c r="C174" t="s">
        <v>43</v>
      </c>
      <c r="D174" t="s">
        <v>284</v>
      </c>
      <c r="E174" t="s">
        <v>148</v>
      </c>
      <c r="F174" t="s">
        <v>284</v>
      </c>
      <c r="G174" t="s">
        <v>31</v>
      </c>
      <c r="H174" t="s">
        <v>273</v>
      </c>
      <c r="I174" t="s">
        <v>135</v>
      </c>
      <c r="J174" t="s">
        <v>39</v>
      </c>
      <c r="K174" t="s">
        <v>31</v>
      </c>
      <c r="L174">
        <v>259.74</v>
      </c>
      <c r="M174">
        <v>1</v>
      </c>
      <c r="N174">
        <v>1.3953794259707024</v>
      </c>
      <c r="O174">
        <v>3.994835640102659</v>
      </c>
      <c r="P174">
        <v>-0.1208952283669998</v>
      </c>
      <c r="Q174">
        <v>1.550704251021745</v>
      </c>
      <c r="R174">
        <v>-1.1299449527495853</v>
      </c>
      <c r="S174" s="2">
        <v>5.1015795896790575E-4</v>
      </c>
      <c r="T174" s="2">
        <v>1.4072924775226812E-3</v>
      </c>
      <c r="U174" s="2">
        <v>2.4974682165460399E-3</v>
      </c>
      <c r="V174" s="2">
        <v>4.0374895363516558E-3</v>
      </c>
      <c r="W174" s="2">
        <v>6.0165690959895499E-3</v>
      </c>
      <c r="X174" s="2">
        <v>8.350109262925981E-3</v>
      </c>
      <c r="Y174" s="2">
        <v>1.0893215927088466E-2</v>
      </c>
      <c r="Z174" s="2">
        <v>1.3471449749106945E-2</v>
      </c>
      <c r="AA174" s="2">
        <v>1.5917514663851464E-2</v>
      </c>
      <c r="AB174" s="2">
        <v>1.8101720803149559E-2</v>
      </c>
      <c r="AC174" s="2">
        <v>1.994834630188469E-2</v>
      </c>
      <c r="AD174" s="2">
        <v>2.1436434792373952E-2</v>
      </c>
      <c r="AE174" s="2">
        <v>2.2588855403945254E-2</v>
      </c>
      <c r="AF174" s="2">
        <v>2.3455837838069784E-2</v>
      </c>
      <c r="AG174" s="2">
        <v>2.4098725205395237E-2</v>
      </c>
      <c r="AH174" s="2">
        <v>2.457756023353088E-2</v>
      </c>
      <c r="AI174" s="2">
        <v>2.4943718098131156E-2</v>
      </c>
      <c r="AJ174" s="2">
        <v>2.5262904606183776E-2</v>
      </c>
      <c r="AK174" s="2">
        <v>2.555267851114584E-2</v>
      </c>
      <c r="AL174" s="2">
        <v>2.5743548993806032E-2</v>
      </c>
      <c r="AM174" s="2">
        <v>2.5937000109969049E-2</v>
      </c>
      <c r="AN174" s="2">
        <v>2.6133058774967605E-2</v>
      </c>
      <c r="AO174" s="2">
        <v>2.6331752215284242E-2</v>
      </c>
      <c r="AP174" s="2">
        <v>2.6533107971998586E-2</v>
      </c>
      <c r="AQ174" s="2">
        <v>2.6737153904272951E-2</v>
      </c>
      <c r="AR174" s="2">
        <v>0.4504836706524592</v>
      </c>
    </row>
    <row r="175" spans="1:44" x14ac:dyDescent="0.25">
      <c r="A175" t="s">
        <v>250</v>
      </c>
      <c r="B175" t="s">
        <v>285</v>
      </c>
      <c r="C175" t="s">
        <v>43</v>
      </c>
      <c r="D175" t="s">
        <v>284</v>
      </c>
      <c r="E175" t="s">
        <v>148</v>
      </c>
      <c r="F175" t="s">
        <v>284</v>
      </c>
      <c r="G175" t="s">
        <v>31</v>
      </c>
      <c r="H175" t="s">
        <v>252</v>
      </c>
      <c r="I175" t="s">
        <v>135</v>
      </c>
      <c r="J175" t="s">
        <v>39</v>
      </c>
      <c r="K175" t="s">
        <v>31</v>
      </c>
      <c r="L175">
        <v>259.74</v>
      </c>
      <c r="M175">
        <v>1</v>
      </c>
      <c r="N175">
        <v>1.3953794259707024</v>
      </c>
      <c r="O175">
        <v>3.994835640102659</v>
      </c>
      <c r="P175">
        <v>-0.1208952283669998</v>
      </c>
      <c r="Q175">
        <v>1.550704251021745</v>
      </c>
      <c r="R175">
        <v>-1.1299449527495853</v>
      </c>
      <c r="S175" s="2">
        <v>8.5705290863832254E-4</v>
      </c>
      <c r="T175" s="2">
        <v>2.2307417613051874E-3</v>
      </c>
      <c r="U175" s="2">
        <v>3.9623303118365384E-3</v>
      </c>
      <c r="V175" s="2">
        <v>6.4112622027869288E-3</v>
      </c>
      <c r="W175" s="2">
        <v>9.5622065580120725E-3</v>
      </c>
      <c r="X175" s="2">
        <v>1.3282325860411191E-2</v>
      </c>
      <c r="Y175" s="2">
        <v>1.7342293738324625E-2</v>
      </c>
      <c r="Z175" s="2">
        <v>2.1464902694287153E-2</v>
      </c>
      <c r="AA175" s="2">
        <v>2.5383396750573668E-2</v>
      </c>
      <c r="AB175" s="2">
        <v>2.889016208280662E-2</v>
      </c>
      <c r="AC175" s="2">
        <v>3.1863128666846117E-2</v>
      </c>
      <c r="AD175" s="2">
        <v>3.4267408577073659E-2</v>
      </c>
      <c r="AE175" s="2">
        <v>3.6138150634559114E-2</v>
      </c>
      <c r="AF175" s="2">
        <v>3.7554455406292819E-2</v>
      </c>
      <c r="AG175" s="2">
        <v>3.8613507730007685E-2</v>
      </c>
      <c r="AH175" s="2">
        <v>3.9410731357650955E-2</v>
      </c>
      <c r="AI175" s="2">
        <v>4.0027949926235831E-2</v>
      </c>
      <c r="AJ175" s="2">
        <v>4.0570259983430002E-2</v>
      </c>
      <c r="AK175" s="2">
        <v>4.1065700141732692E-2</v>
      </c>
      <c r="AL175" s="2">
        <v>4.1402396234276009E-2</v>
      </c>
      <c r="AM175" s="2">
        <v>4.174332630403231E-2</v>
      </c>
      <c r="AN175" s="2">
        <v>4.2088536136951134E-2</v>
      </c>
      <c r="AO175" s="2">
        <v>4.2438072038707413E-2</v>
      </c>
      <c r="AP175" s="2">
        <v>4.2791980840516025E-2</v>
      </c>
      <c r="AQ175" s="2">
        <v>4.315030990499321E-2</v>
      </c>
      <c r="AR175" s="2">
        <v>0.7225125887522873</v>
      </c>
    </row>
    <row r="176" spans="1:44" x14ac:dyDescent="0.25">
      <c r="A176" t="s">
        <v>250</v>
      </c>
      <c r="B176" t="s">
        <v>285</v>
      </c>
      <c r="C176" t="s">
        <v>43</v>
      </c>
      <c r="D176" t="s">
        <v>284</v>
      </c>
      <c r="E176" t="s">
        <v>148</v>
      </c>
      <c r="F176" t="s">
        <v>284</v>
      </c>
      <c r="G176" t="s">
        <v>31</v>
      </c>
      <c r="H176" t="s">
        <v>274</v>
      </c>
      <c r="I176" t="s">
        <v>135</v>
      </c>
      <c r="J176" t="s">
        <v>39</v>
      </c>
      <c r="K176" t="s">
        <v>31</v>
      </c>
      <c r="L176">
        <v>259.74</v>
      </c>
      <c r="M176">
        <v>1</v>
      </c>
      <c r="N176">
        <v>1.3953794259707024</v>
      </c>
      <c r="O176">
        <v>3.994835640102659</v>
      </c>
      <c r="P176">
        <v>-0.1208952283669998</v>
      </c>
      <c r="Q176">
        <v>1.550704251021745</v>
      </c>
      <c r="R176">
        <v>-1.1299449527495853</v>
      </c>
      <c r="S176" s="2">
        <v>8.0307998162134958E-4</v>
      </c>
      <c r="T176" s="2">
        <v>2.2153303640919659E-3</v>
      </c>
      <c r="U176" s="2">
        <v>3.9314621955547574E-3</v>
      </c>
      <c r="V176" s="2">
        <v>6.3557315252110551E-3</v>
      </c>
      <c r="W176" s="2">
        <v>9.4711571467120271E-3</v>
      </c>
      <c r="X176" s="2">
        <v>1.314456723751449E-2</v>
      </c>
      <c r="Y176" s="2">
        <v>1.7147872522113892E-2</v>
      </c>
      <c r="Z176" s="2">
        <v>2.1206474243414594E-2</v>
      </c>
      <c r="AA176" s="2">
        <v>2.5057018437121926E-2</v>
      </c>
      <c r="AB176" s="2">
        <v>2.8495350027113352E-2</v>
      </c>
      <c r="AC176" s="2">
        <v>3.1402269238147158E-2</v>
      </c>
      <c r="AD176" s="2">
        <v>3.3744786994825346E-2</v>
      </c>
      <c r="AE176" s="2">
        <v>3.5558903401895263E-2</v>
      </c>
      <c r="AF176" s="2">
        <v>3.6923689004125092E-2</v>
      </c>
      <c r="AG176" s="2">
        <v>3.7935708842414768E-2</v>
      </c>
      <c r="AH176" s="2">
        <v>3.8689480921894448E-2</v>
      </c>
      <c r="AI176" s="2">
        <v>3.9265878968822797E-2</v>
      </c>
      <c r="AJ176" s="2">
        <v>3.9768335689362673E-2</v>
      </c>
      <c r="AK176" s="2">
        <v>4.02244917057119E-2</v>
      </c>
      <c r="AL176" s="2">
        <v>4.0524956024678295E-2</v>
      </c>
      <c r="AM176" s="2">
        <v>4.0829482722893856E-2</v>
      </c>
      <c r="AN176" s="2">
        <v>4.11381141699112E-2</v>
      </c>
      <c r="AO176" s="2">
        <v>4.1450893225089755E-2</v>
      </c>
      <c r="AP176" s="2">
        <v>4.1767863243020578E-2</v>
      </c>
      <c r="AQ176" s="2">
        <v>4.2089068079013338E-2</v>
      </c>
      <c r="AR176" s="2">
        <v>0.70914196591227585</v>
      </c>
    </row>
    <row r="177" spans="1:44" x14ac:dyDescent="0.25">
      <c r="A177" t="s">
        <v>250</v>
      </c>
      <c r="B177" t="s">
        <v>285</v>
      </c>
      <c r="C177" t="s">
        <v>43</v>
      </c>
      <c r="D177" t="s">
        <v>284</v>
      </c>
      <c r="E177" t="s">
        <v>148</v>
      </c>
      <c r="F177" t="s">
        <v>284</v>
      </c>
      <c r="G177" t="s">
        <v>31</v>
      </c>
      <c r="H177" t="s">
        <v>274</v>
      </c>
      <c r="I177" t="s">
        <v>135</v>
      </c>
      <c r="J177" t="s">
        <v>39</v>
      </c>
      <c r="K177" t="s">
        <v>33</v>
      </c>
      <c r="L177">
        <v>259.74</v>
      </c>
      <c r="M177">
        <v>1</v>
      </c>
      <c r="N177">
        <v>1.3953794259707024</v>
      </c>
      <c r="O177">
        <v>3.994835640102659</v>
      </c>
      <c r="P177">
        <v>-0.1208952283669998</v>
      </c>
      <c r="Q177">
        <v>1.550704251021745</v>
      </c>
      <c r="R177">
        <v>-1.1299449527495853</v>
      </c>
      <c r="S177" s="2">
        <v>2.5838958862871633E-6</v>
      </c>
      <c r="T177" s="2">
        <v>7.1277869521633451E-6</v>
      </c>
      <c r="U177" s="2">
        <v>1.2649411299828897E-5</v>
      </c>
      <c r="V177" s="2">
        <v>2.0449455743103941E-5</v>
      </c>
      <c r="W177" s="2">
        <v>3.0473283545631881E-5</v>
      </c>
      <c r="X177" s="2">
        <v>4.2292416682418544E-5</v>
      </c>
      <c r="Y177" s="2">
        <v>5.517298187287909E-5</v>
      </c>
      <c r="Z177" s="2">
        <v>6.8231462387577789E-5</v>
      </c>
      <c r="AA177" s="2">
        <v>8.0620521422519823E-5</v>
      </c>
      <c r="AB177" s="2">
        <v>9.1683293567746551E-5</v>
      </c>
      <c r="AC177" s="2">
        <v>1.0103625561767285E-4</v>
      </c>
      <c r="AD177" s="2">
        <v>1.0857326579543268E-4</v>
      </c>
      <c r="AE177" s="2">
        <v>1.1441015381250207E-4</v>
      </c>
      <c r="AF177" s="2">
        <v>1.1880132777271738E-4</v>
      </c>
      <c r="AG177" s="2">
        <v>1.2205748401722655E-4</v>
      </c>
      <c r="AH177" s="2">
        <v>1.2448273258516308E-4</v>
      </c>
      <c r="AI177" s="2">
        <v>1.2633728328547542E-4</v>
      </c>
      <c r="AJ177" s="2">
        <v>1.2795392905296066E-4</v>
      </c>
      <c r="AK177" s="2">
        <v>1.2942160310924891E-4</v>
      </c>
      <c r="AL177" s="2">
        <v>1.3038834183455659E-4</v>
      </c>
      <c r="AM177" s="2">
        <v>1.3136815119451026E-4</v>
      </c>
      <c r="AN177" s="2">
        <v>1.3236116751240908E-4</v>
      </c>
      <c r="AO177" s="2">
        <v>1.3336752868749457E-4</v>
      </c>
      <c r="AP177" s="2">
        <v>1.3438737421241133E-4</v>
      </c>
      <c r="AQ177" s="2">
        <v>1.3542084519086009E-4</v>
      </c>
      <c r="AR177" s="2">
        <v>2.2816519530407986E-3</v>
      </c>
    </row>
    <row r="178" spans="1:44" x14ac:dyDescent="0.25">
      <c r="A178" t="s">
        <v>250</v>
      </c>
      <c r="B178" t="s">
        <v>285</v>
      </c>
      <c r="C178" t="s">
        <v>43</v>
      </c>
      <c r="D178" t="s">
        <v>284</v>
      </c>
      <c r="E178" t="s">
        <v>148</v>
      </c>
      <c r="F178" t="s">
        <v>284</v>
      </c>
      <c r="G178" t="s">
        <v>31</v>
      </c>
      <c r="H178" t="s">
        <v>276</v>
      </c>
      <c r="I178" t="s">
        <v>135</v>
      </c>
      <c r="J178" t="s">
        <v>39</v>
      </c>
      <c r="K178" t="s">
        <v>31</v>
      </c>
      <c r="L178">
        <v>259.74</v>
      </c>
      <c r="M178">
        <v>1</v>
      </c>
      <c r="N178">
        <v>1.3953794259707024</v>
      </c>
      <c r="O178">
        <v>3.994835640102659</v>
      </c>
      <c r="P178">
        <v>-0.1208952283669998</v>
      </c>
      <c r="Q178">
        <v>1.550704251021745</v>
      </c>
      <c r="R178">
        <v>-1.1299449527495853</v>
      </c>
      <c r="S178" s="2">
        <v>1.2117602494020555E-3</v>
      </c>
      <c r="T178" s="2">
        <v>2.81847998594967E-3</v>
      </c>
      <c r="U178" s="2">
        <v>5.0141871752605134E-3</v>
      </c>
      <c r="V178" s="2">
        <v>8.1258710642778675E-3</v>
      </c>
      <c r="W178" s="2">
        <v>1.21381749333877E-2</v>
      </c>
      <c r="X178" s="2">
        <v>1.6886151809155498E-2</v>
      </c>
      <c r="Y178" s="2">
        <v>2.2080903170483352E-2</v>
      </c>
      <c r="Z178" s="2">
        <v>2.7370671462860954E-2</v>
      </c>
      <c r="AA178" s="2">
        <v>3.2414926421662563E-2</v>
      </c>
      <c r="AB178" s="2">
        <v>3.6946784245426134E-2</v>
      </c>
      <c r="AC178" s="2">
        <v>4.0807415008182898E-2</v>
      </c>
      <c r="AD178" s="2">
        <v>4.3948961531435224E-2</v>
      </c>
      <c r="AE178" s="2">
        <v>4.6413327046981485E-2</v>
      </c>
      <c r="AF178" s="2">
        <v>4.8299257328682517E-2</v>
      </c>
      <c r="AG178" s="2">
        <v>4.9729407191910262E-2</v>
      </c>
      <c r="AH178" s="2">
        <v>5.0824890148263475E-2</v>
      </c>
      <c r="AI178" s="2">
        <v>5.1689956512900759E-2</v>
      </c>
      <c r="AJ178" s="2">
        <v>5.2459538154196586E-2</v>
      </c>
      <c r="AK178" s="2">
        <v>5.3169527054508635E-2</v>
      </c>
      <c r="AL178" s="2">
        <v>5.3674626315011638E-2</v>
      </c>
      <c r="AM178" s="2">
        <v>5.4185581353694737E-2</v>
      </c>
      <c r="AN178" s="2">
        <v>5.4702457437073491E-2</v>
      </c>
      <c r="AO178" s="2">
        <v>5.5225320564421344E-2</v>
      </c>
      <c r="AP178" s="2">
        <v>5.5754237475992216E-2</v>
      </c>
      <c r="AQ178" s="2">
        <v>5.628927566132965E-2</v>
      </c>
      <c r="AR178" s="2">
        <v>0.93218168930245082</v>
      </c>
    </row>
    <row r="179" spans="1:44" x14ac:dyDescent="0.25">
      <c r="A179" t="s">
        <v>250</v>
      </c>
      <c r="B179" t="s">
        <v>285</v>
      </c>
      <c r="C179" t="s">
        <v>43</v>
      </c>
      <c r="D179" t="s">
        <v>284</v>
      </c>
      <c r="E179" t="s">
        <v>148</v>
      </c>
      <c r="F179" t="s">
        <v>284</v>
      </c>
      <c r="G179" t="s">
        <v>31</v>
      </c>
      <c r="H179" t="s">
        <v>275</v>
      </c>
      <c r="I179" t="s">
        <v>135</v>
      </c>
      <c r="J179" t="s">
        <v>39</v>
      </c>
      <c r="K179" t="s">
        <v>31</v>
      </c>
      <c r="L179">
        <v>259.74</v>
      </c>
      <c r="M179">
        <v>1</v>
      </c>
      <c r="N179">
        <v>1.3953794259707024</v>
      </c>
      <c r="O179">
        <v>3.994835640102659</v>
      </c>
      <c r="P179">
        <v>-0.1208952283669998</v>
      </c>
      <c r="Q179">
        <v>1.550704251021745</v>
      </c>
      <c r="R179">
        <v>-1.1299449527495853</v>
      </c>
      <c r="S179" s="2">
        <v>1.2268551682953655E-3</v>
      </c>
      <c r="T179" s="2">
        <v>3.3843322817992119E-3</v>
      </c>
      <c r="U179" s="2">
        <v>6.006045255712026E-3</v>
      </c>
      <c r="V179" s="2">
        <v>9.7095709623596961E-3</v>
      </c>
      <c r="W179" s="2">
        <v>1.4468967426783438E-2</v>
      </c>
      <c r="X179" s="2">
        <v>2.0080789733785628E-2</v>
      </c>
      <c r="Y179" s="2">
        <v>2.6196588771334864E-2</v>
      </c>
      <c r="Z179" s="2">
        <v>3.2396863478440958E-2</v>
      </c>
      <c r="AA179" s="2">
        <v>3.8279291322380185E-2</v>
      </c>
      <c r="AB179" s="2">
        <v>4.3531987165921673E-2</v>
      </c>
      <c r="AC179" s="2">
        <v>4.7972851014468791E-2</v>
      </c>
      <c r="AD179" s="2">
        <v>5.1551485873231523E-2</v>
      </c>
      <c r="AE179" s="2">
        <v>5.4322888648593103E-2</v>
      </c>
      <c r="AF179" s="2">
        <v>5.6407854415427887E-2</v>
      </c>
      <c r="AG179" s="2">
        <v>5.7953904369899535E-2</v>
      </c>
      <c r="AH179" s="2">
        <v>5.9105432477423323E-2</v>
      </c>
      <c r="AI179" s="2">
        <v>5.9985988510512046E-2</v>
      </c>
      <c r="AJ179" s="2">
        <v>6.0753585311014054E-2</v>
      </c>
      <c r="AK179" s="2">
        <v>6.1450449109158325E-2</v>
      </c>
      <c r="AL179" s="2">
        <v>6.1909464663085834E-2</v>
      </c>
      <c r="AM179" s="2">
        <v>6.2374686262603479E-2</v>
      </c>
      <c r="AN179" s="2">
        <v>6.284617863513918E-2</v>
      </c>
      <c r="AO179" s="2">
        <v>6.3324007256401735E-2</v>
      </c>
      <c r="AP179" s="2">
        <v>6.3808238358647296E-2</v>
      </c>
      <c r="AQ179" s="2">
        <v>6.4298938939086392E-2</v>
      </c>
      <c r="AR179" s="2">
        <v>1.0833472454115054</v>
      </c>
    </row>
    <row r="180" spans="1:44" x14ac:dyDescent="0.25">
      <c r="A180" t="s">
        <v>250</v>
      </c>
      <c r="B180" t="s">
        <v>285</v>
      </c>
      <c r="C180" t="s">
        <v>43</v>
      </c>
      <c r="D180" t="s">
        <v>284</v>
      </c>
      <c r="E180" t="s">
        <v>148</v>
      </c>
      <c r="F180" t="s">
        <v>284</v>
      </c>
      <c r="G180" t="s">
        <v>31</v>
      </c>
      <c r="H180" t="s">
        <v>277</v>
      </c>
      <c r="I180" t="s">
        <v>135</v>
      </c>
      <c r="J180" t="s">
        <v>39</v>
      </c>
      <c r="K180" t="s">
        <v>31</v>
      </c>
      <c r="L180">
        <v>259.74</v>
      </c>
      <c r="M180">
        <v>1</v>
      </c>
      <c r="N180">
        <v>1.3953794259707024</v>
      </c>
      <c r="O180">
        <v>3.994835640102659</v>
      </c>
      <c r="P180">
        <v>-0.1208952283669998</v>
      </c>
      <c r="Q180">
        <v>1.550704251021745</v>
      </c>
      <c r="R180">
        <v>-1.1299449527495853</v>
      </c>
      <c r="S180" s="2">
        <v>1.982112113510202E-2</v>
      </c>
      <c r="T180" s="2">
        <v>5.5088993025096532E-2</v>
      </c>
      <c r="U180" s="2">
        <v>9.775274356888343E-2</v>
      </c>
      <c r="V180" s="2">
        <v>0.15801179069184917</v>
      </c>
      <c r="W180" s="2">
        <v>0.23543806183808028</v>
      </c>
      <c r="X180" s="2">
        <v>0.32671583429260442</v>
      </c>
      <c r="Y180" s="2">
        <v>0.42617206018987341</v>
      </c>
      <c r="Z180" s="2">
        <v>0.52698057824021438</v>
      </c>
      <c r="AA180" s="2">
        <v>0.62259771043948253</v>
      </c>
      <c r="AB180" s="2">
        <v>0.70795341496559017</v>
      </c>
      <c r="AC180" s="2">
        <v>0.78009024250875836</v>
      </c>
      <c r="AD180" s="2">
        <v>0.83819332766232435</v>
      </c>
      <c r="AE180" s="2">
        <v>0.88316149932179766</v>
      </c>
      <c r="AF180" s="2">
        <v>0.91696271366155979</v>
      </c>
      <c r="AG180" s="2">
        <v>0.9419984295454964</v>
      </c>
      <c r="AH180" s="2">
        <v>0.96061821915283696</v>
      </c>
      <c r="AI180" s="2">
        <v>0.97483190677218201</v>
      </c>
      <c r="AJ180" s="2">
        <v>0.98720847600012929</v>
      </c>
      <c r="AK180" s="2">
        <v>0.99843459563865089</v>
      </c>
      <c r="AL180" s="2">
        <v>1.0057956449217895</v>
      </c>
      <c r="AM180" s="2">
        <v>1.0132573478613933</v>
      </c>
      <c r="AN180" s="2">
        <v>1.0208207477655955</v>
      </c>
      <c r="AO180" s="2">
        <v>1.0284869000459012</v>
      </c>
      <c r="AP180" s="2">
        <v>1.0362568723509398</v>
      </c>
      <c r="AQ180" s="2">
        <v>1.0441317447018315</v>
      </c>
      <c r="AR180" s="2">
        <v>17.606780976297966</v>
      </c>
    </row>
    <row r="181" spans="1:44" x14ac:dyDescent="0.25">
      <c r="A181" t="s">
        <v>250</v>
      </c>
      <c r="B181" t="s">
        <v>285</v>
      </c>
      <c r="C181" t="s">
        <v>43</v>
      </c>
      <c r="D181" t="s">
        <v>284</v>
      </c>
      <c r="E181" t="s">
        <v>148</v>
      </c>
      <c r="F181" t="s">
        <v>284</v>
      </c>
      <c r="G181" t="s">
        <v>31</v>
      </c>
      <c r="H181" t="s">
        <v>277</v>
      </c>
      <c r="I181" t="s">
        <v>135</v>
      </c>
      <c r="J181" t="s">
        <v>40</v>
      </c>
      <c r="K181" t="s">
        <v>31</v>
      </c>
      <c r="L181">
        <v>259.74</v>
      </c>
      <c r="M181">
        <v>1</v>
      </c>
      <c r="N181">
        <v>1.3953794259707024</v>
      </c>
      <c r="O181">
        <v>2.8220930578635595</v>
      </c>
      <c r="P181">
        <v>-0.1208952283669998</v>
      </c>
      <c r="Q181">
        <v>0.4672931329656026</v>
      </c>
      <c r="R181">
        <v>-0.98694495274958527</v>
      </c>
      <c r="S181" s="2">
        <v>3.1266904841140389E-3</v>
      </c>
      <c r="T181" s="2">
        <v>8.690034690618853E-3</v>
      </c>
      <c r="U181" s="2">
        <v>1.5420044659915406E-2</v>
      </c>
      <c r="V181" s="2">
        <v>2.4925631550633414E-2</v>
      </c>
      <c r="W181" s="2">
        <v>3.7139268890482552E-2</v>
      </c>
      <c r="X181" s="2">
        <v>5.1537916706587229E-2</v>
      </c>
      <c r="Y181" s="2">
        <v>6.7226677850788175E-2</v>
      </c>
      <c r="Z181" s="2">
        <v>8.3128756848097576E-2</v>
      </c>
      <c r="AA181" s="2">
        <v>9.821191865958076E-2</v>
      </c>
      <c r="AB181" s="2">
        <v>0.11167638756058393</v>
      </c>
      <c r="AC181" s="2">
        <v>0.12305563955627449</v>
      </c>
      <c r="AD181" s="2">
        <v>0.13222113338525779</v>
      </c>
      <c r="AE181" s="2">
        <v>0.13931465516222061</v>
      </c>
      <c r="AF181" s="2">
        <v>0.1446466409014385</v>
      </c>
      <c r="AG181" s="2">
        <v>0.14859590966800595</v>
      </c>
      <c r="AH181" s="2">
        <v>0.1515330956417317</v>
      </c>
      <c r="AI181" s="2">
        <v>0.15377523933888335</v>
      </c>
      <c r="AJ181" s="2">
        <v>0.15572758607887199</v>
      </c>
      <c r="AK181" s="2">
        <v>0.15749845469967225</v>
      </c>
      <c r="AL181" s="2">
        <v>0.15865962628980851</v>
      </c>
      <c r="AM181" s="2">
        <v>0.15983667553023689</v>
      </c>
      <c r="AN181" s="2">
        <v>0.16102976699801191</v>
      </c>
      <c r="AO181" s="2">
        <v>0.16223906717943293</v>
      </c>
      <c r="AP181" s="2">
        <v>0.16346474449114273</v>
      </c>
      <c r="AQ181" s="2">
        <v>0.16470696930150441</v>
      </c>
      <c r="AR181" s="2">
        <v>2.7773885321238962</v>
      </c>
    </row>
    <row r="182" spans="1:44" x14ac:dyDescent="0.25">
      <c r="A182" t="s">
        <v>250</v>
      </c>
      <c r="B182" t="s">
        <v>296</v>
      </c>
      <c r="C182" t="s">
        <v>44</v>
      </c>
      <c r="D182" t="s">
        <v>144</v>
      </c>
      <c r="E182" t="s">
        <v>145</v>
      </c>
      <c r="F182" t="s">
        <v>144</v>
      </c>
      <c r="G182" t="s">
        <v>31</v>
      </c>
      <c r="H182" t="s">
        <v>253</v>
      </c>
      <c r="I182" t="s">
        <v>135</v>
      </c>
      <c r="J182" t="s">
        <v>39</v>
      </c>
      <c r="K182" t="s">
        <v>31</v>
      </c>
      <c r="L182">
        <v>2.6708224418090953</v>
      </c>
      <c r="M182">
        <v>1</v>
      </c>
      <c r="N182">
        <v>6.5014350159184158</v>
      </c>
      <c r="O182">
        <v>5.375660204303025</v>
      </c>
      <c r="P182">
        <v>-1.9563441520871856</v>
      </c>
      <c r="Q182">
        <v>0.44786276817432807</v>
      </c>
      <c r="R182">
        <v>-1.8625523936223527</v>
      </c>
      <c r="S182" s="2">
        <v>0.67702014753208861</v>
      </c>
      <c r="T182" s="2">
        <v>0.98949765029403913</v>
      </c>
      <c r="U182" s="2">
        <v>1.3435526995353935</v>
      </c>
      <c r="V182" s="2">
        <v>1.7550035239667263</v>
      </c>
      <c r="W182" s="2">
        <v>2.203343551271649</v>
      </c>
      <c r="X182" s="2">
        <v>2.6577635931451722</v>
      </c>
      <c r="Y182" s="2">
        <v>3.0818256295795687</v>
      </c>
      <c r="Z182" s="2">
        <v>3.4415412087676098</v>
      </c>
      <c r="AA182" s="2">
        <v>3.7143904861082193</v>
      </c>
      <c r="AB182" s="2">
        <v>3.8952881555382763</v>
      </c>
      <c r="AC182" s="2">
        <v>3.9961999783354458</v>
      </c>
      <c r="AD182" s="2">
        <v>4.0341838042882445</v>
      </c>
      <c r="AE182" s="2">
        <v>4.0176436506906636</v>
      </c>
      <c r="AF182" s="2">
        <v>4.0011713117228309</v>
      </c>
      <c r="AG182" s="2">
        <v>3.9847665093447691</v>
      </c>
      <c r="AH182" s="2">
        <v>3.9684289666564552</v>
      </c>
      <c r="AI182" s="2">
        <v>3.952158407893164</v>
      </c>
      <c r="AJ182" s="2">
        <v>3.9359545584208018</v>
      </c>
      <c r="AK182" s="2">
        <v>3.919817144731276</v>
      </c>
      <c r="AL182" s="2">
        <v>3.9037458944378782</v>
      </c>
      <c r="AM182" s="2">
        <v>3.8877405362706821</v>
      </c>
      <c r="AN182" s="2">
        <v>3.8718008000719721</v>
      </c>
      <c r="AO182" s="2">
        <v>3.8559264167916765</v>
      </c>
      <c r="AP182" s="2">
        <v>3.8401171184828309</v>
      </c>
      <c r="AQ182" s="2">
        <v>3.8243726382970511</v>
      </c>
      <c r="AR182" s="2">
        <v>82.753254382174489</v>
      </c>
    </row>
    <row r="183" spans="1:44" x14ac:dyDescent="0.25">
      <c r="A183" t="s">
        <v>250</v>
      </c>
      <c r="B183" t="s">
        <v>296</v>
      </c>
      <c r="C183" t="s">
        <v>44</v>
      </c>
      <c r="D183" t="s">
        <v>144</v>
      </c>
      <c r="E183" t="s">
        <v>145</v>
      </c>
      <c r="F183" t="s">
        <v>144</v>
      </c>
      <c r="G183" t="s">
        <v>31</v>
      </c>
      <c r="H183" t="s">
        <v>253</v>
      </c>
      <c r="I183" t="s">
        <v>135</v>
      </c>
      <c r="J183" t="s">
        <v>40</v>
      </c>
      <c r="K183" t="s">
        <v>31</v>
      </c>
      <c r="L183">
        <v>2.6708224418090953</v>
      </c>
      <c r="M183">
        <v>1</v>
      </c>
      <c r="N183">
        <v>6.5014350159184158</v>
      </c>
      <c r="O183">
        <v>4.1746294160814506</v>
      </c>
      <c r="P183">
        <v>-1.9563441520871856</v>
      </c>
      <c r="Q183">
        <v>0.4672931329656026</v>
      </c>
      <c r="R183">
        <v>-1.7195523936223529</v>
      </c>
      <c r="S183" s="2">
        <v>0.35612666875020976</v>
      </c>
      <c r="T183" s="2">
        <v>0.52049632971768289</v>
      </c>
      <c r="U183" s="2">
        <v>0.70673664427868887</v>
      </c>
      <c r="V183" s="2">
        <v>0.9231683295001587</v>
      </c>
      <c r="W183" s="2">
        <v>1.1590045021362358</v>
      </c>
      <c r="X183" s="2">
        <v>1.3980388888020749</v>
      </c>
      <c r="Y183" s="2">
        <v>1.6211043336478705</v>
      </c>
      <c r="Z183" s="2">
        <v>1.8103222046089671</v>
      </c>
      <c r="AA183" s="2">
        <v>1.9538465953740261</v>
      </c>
      <c r="AB183" s="2">
        <v>2.0490025292611325</v>
      </c>
      <c r="AC183" s="2">
        <v>2.1020842453980437</v>
      </c>
      <c r="AD183" s="2">
        <v>2.1220645273028995</v>
      </c>
      <c r="AE183" s="2">
        <v>2.1133640627409571</v>
      </c>
      <c r="AF183" s="2">
        <v>2.1046992700837195</v>
      </c>
      <c r="AG183" s="2">
        <v>2.0960700030763766</v>
      </c>
      <c r="AH183" s="2">
        <v>2.0874761160637632</v>
      </c>
      <c r="AI183" s="2">
        <v>2.0789174639879024</v>
      </c>
      <c r="AJ183" s="2">
        <v>2.0703939023855522</v>
      </c>
      <c r="AK183" s="2">
        <v>2.0619052873857711</v>
      </c>
      <c r="AL183" s="2">
        <v>2.0534514757074893</v>
      </c>
      <c r="AM183" s="2">
        <v>2.0450323246570892</v>
      </c>
      <c r="AN183" s="2">
        <v>2.0366476921259951</v>
      </c>
      <c r="AO183" s="2">
        <v>2.0282974365882782</v>
      </c>
      <c r="AP183" s="2">
        <v>2.0199814170982666</v>
      </c>
      <c r="AQ183" s="2">
        <v>2.0116994932881633</v>
      </c>
      <c r="AR183" s="2">
        <v>43.52993174396731</v>
      </c>
    </row>
    <row r="184" spans="1:44" x14ac:dyDescent="0.25">
      <c r="A184" t="s">
        <v>250</v>
      </c>
      <c r="B184" t="s">
        <v>296</v>
      </c>
      <c r="C184" t="s">
        <v>44</v>
      </c>
      <c r="D184" t="s">
        <v>144</v>
      </c>
      <c r="E184" t="s">
        <v>145</v>
      </c>
      <c r="F184" t="s">
        <v>144</v>
      </c>
      <c r="G184" t="s">
        <v>31</v>
      </c>
      <c r="H184" t="s">
        <v>253</v>
      </c>
      <c r="I184" t="s">
        <v>256</v>
      </c>
      <c r="J184" t="s">
        <v>39</v>
      </c>
      <c r="K184" t="s">
        <v>31</v>
      </c>
      <c r="L184">
        <v>2.6708224418090953</v>
      </c>
      <c r="M184">
        <v>1</v>
      </c>
      <c r="N184">
        <v>3.2349501564772121</v>
      </c>
      <c r="O184">
        <v>2.6747929920855822</v>
      </c>
      <c r="P184">
        <v>-0.4934072007383169</v>
      </c>
      <c r="Q184">
        <v>0.4672931329656026</v>
      </c>
      <c r="R184">
        <v>-0.39961544227348439</v>
      </c>
      <c r="S184" s="2">
        <v>0.35513830609823727</v>
      </c>
      <c r="T184" s="2">
        <v>0.51905178995718948</v>
      </c>
      <c r="U184" s="2">
        <v>0.70477522952017968</v>
      </c>
      <c r="V184" s="2">
        <v>0.92060624926740364</v>
      </c>
      <c r="W184" s="2">
        <v>1.1557879029205704</v>
      </c>
      <c r="X184" s="2">
        <v>1.3941588945614125</v>
      </c>
      <c r="Y184" s="2">
        <v>1.6166052631796264</v>
      </c>
      <c r="Z184" s="2">
        <v>1.8052979954944095</v>
      </c>
      <c r="AA184" s="2">
        <v>1.9484240612815127</v>
      </c>
      <c r="AB184" s="2">
        <v>2.043315907754168</v>
      </c>
      <c r="AC184" s="2">
        <v>2.0962503055621351</v>
      </c>
      <c r="AD184" s="2">
        <v>2.1161751359489118</v>
      </c>
      <c r="AE184" s="2">
        <v>2.1074988178915213</v>
      </c>
      <c r="AF184" s="2">
        <v>2.0988580727381656</v>
      </c>
      <c r="AG184" s="2">
        <v>2.090252754639939</v>
      </c>
      <c r="AH184" s="2">
        <v>2.0816827183459155</v>
      </c>
      <c r="AI184" s="2">
        <v>2.0731478192006967</v>
      </c>
      <c r="AJ184" s="2">
        <v>2.0646479131419744</v>
      </c>
      <c r="AK184" s="2">
        <v>2.0561828566980918</v>
      </c>
      <c r="AL184" s="2">
        <v>2.0477525069856299</v>
      </c>
      <c r="AM184" s="2">
        <v>2.0393567217069895</v>
      </c>
      <c r="AN184" s="2">
        <v>2.0309953591479899</v>
      </c>
      <c r="AO184" s="2">
        <v>2.0226682781754839</v>
      </c>
      <c r="AP184" s="2">
        <v>2.0143753382349643</v>
      </c>
      <c r="AQ184" s="2">
        <v>2.0061163993482007</v>
      </c>
      <c r="AR184" s="2">
        <v>43.409122597801314</v>
      </c>
    </row>
    <row r="185" spans="1:44" x14ac:dyDescent="0.25">
      <c r="A185" t="s">
        <v>250</v>
      </c>
      <c r="B185" t="s">
        <v>296</v>
      </c>
      <c r="C185" t="s">
        <v>44</v>
      </c>
      <c r="D185" t="s">
        <v>144</v>
      </c>
      <c r="E185" t="s">
        <v>148</v>
      </c>
      <c r="F185" t="s">
        <v>144</v>
      </c>
      <c r="G185" t="s">
        <v>31</v>
      </c>
      <c r="H185" t="s">
        <v>253</v>
      </c>
      <c r="I185" t="s">
        <v>135</v>
      </c>
      <c r="J185" t="s">
        <v>39</v>
      </c>
      <c r="K185" t="s">
        <v>31</v>
      </c>
      <c r="L185">
        <v>2.6708224418090953</v>
      </c>
      <c r="M185">
        <v>1</v>
      </c>
      <c r="N185">
        <v>6.5014350159184158</v>
      </c>
      <c r="O185">
        <v>5.375660204303025</v>
      </c>
      <c r="P185">
        <v>-1.9563441520871856</v>
      </c>
      <c r="Q185">
        <v>0.44786276817432807</v>
      </c>
      <c r="R185">
        <v>-1.8625523936223527</v>
      </c>
      <c r="S185" s="2">
        <v>0.19196060280826918</v>
      </c>
      <c r="T185" s="2">
        <v>0.38355578186725126</v>
      </c>
      <c r="U185" s="2">
        <v>0.52667908304072264</v>
      </c>
      <c r="V185" s="2">
        <v>0.69577134423143328</v>
      </c>
      <c r="W185" s="2">
        <v>0.88346100337182354</v>
      </c>
      <c r="X185" s="2">
        <v>1.0778477770461006</v>
      </c>
      <c r="Y185" s="2">
        <v>1.2641663184093563</v>
      </c>
      <c r="Z185" s="2">
        <v>1.427983554187551</v>
      </c>
      <c r="AA185" s="2">
        <v>1.5590165777439653</v>
      </c>
      <c r="AB185" s="2">
        <v>1.6539197280779878</v>
      </c>
      <c r="AC185" s="2">
        <v>1.7165335082209672</v>
      </c>
      <c r="AD185" s="2">
        <v>1.753111005929221</v>
      </c>
      <c r="AE185" s="2">
        <v>1.7664123440298842</v>
      </c>
      <c r="AF185" s="2">
        <v>1.7798889177493942</v>
      </c>
      <c r="AG185" s="2">
        <v>1.7935425853468847</v>
      </c>
      <c r="AH185" s="2">
        <v>1.807375226358642</v>
      </c>
      <c r="AI185" s="2">
        <v>1.8213887418353698</v>
      </c>
      <c r="AJ185" s="2">
        <v>1.8355850545811356</v>
      </c>
      <c r="AK185" s="2">
        <v>1.8499661093958895</v>
      </c>
      <c r="AL185" s="2">
        <v>1.8645338733204684</v>
      </c>
      <c r="AM185" s="2">
        <v>1.8792903358837634</v>
      </c>
      <c r="AN185" s="2">
        <v>1.8942375093535948</v>
      </c>
      <c r="AO185" s="2">
        <v>1.9093774289898073</v>
      </c>
      <c r="AP185" s="2">
        <v>1.9247121533002243</v>
      </c>
      <c r="AQ185" s="2">
        <v>1.9402437642999872</v>
      </c>
      <c r="AR185" s="2">
        <v>37.200560329379691</v>
      </c>
    </row>
    <row r="186" spans="1:44" x14ac:dyDescent="0.25">
      <c r="A186" t="s">
        <v>250</v>
      </c>
      <c r="B186" t="s">
        <v>296</v>
      </c>
      <c r="C186" t="s">
        <v>44</v>
      </c>
      <c r="D186" t="s">
        <v>144</v>
      </c>
      <c r="E186" t="s">
        <v>148</v>
      </c>
      <c r="F186" t="s">
        <v>144</v>
      </c>
      <c r="G186" t="s">
        <v>31</v>
      </c>
      <c r="H186" t="s">
        <v>253</v>
      </c>
      <c r="I186" t="s">
        <v>135</v>
      </c>
      <c r="J186" t="s">
        <v>40</v>
      </c>
      <c r="K186" t="s">
        <v>31</v>
      </c>
      <c r="L186">
        <v>2.6708224418090953</v>
      </c>
      <c r="M186">
        <v>1</v>
      </c>
      <c r="N186">
        <v>6.5014350159184158</v>
      </c>
      <c r="O186">
        <v>4.1746294160814506</v>
      </c>
      <c r="P186">
        <v>-1.9563441520871856</v>
      </c>
      <c r="Q186">
        <v>0.4672931329656026</v>
      </c>
      <c r="R186">
        <v>-1.7195523936223529</v>
      </c>
      <c r="S186" s="2">
        <v>0.10097526677542618</v>
      </c>
      <c r="T186" s="2">
        <v>0.20175831306378114</v>
      </c>
      <c r="U186" s="2">
        <v>0.27704414414759393</v>
      </c>
      <c r="V186" s="2">
        <v>0.36599018793787613</v>
      </c>
      <c r="W186" s="2">
        <v>0.46471884957694837</v>
      </c>
      <c r="X186" s="2">
        <v>0.56697033265328878</v>
      </c>
      <c r="Y186" s="2">
        <v>0.66497775784435609</v>
      </c>
      <c r="Z186" s="2">
        <v>0.75114902863180677</v>
      </c>
      <c r="AA186" s="2">
        <v>0.82007512240541447</v>
      </c>
      <c r="AB186" s="2">
        <v>0.86999615194281743</v>
      </c>
      <c r="AC186" s="2">
        <v>0.90293230165925686</v>
      </c>
      <c r="AD186" s="2">
        <v>0.92217282567843872</v>
      </c>
      <c r="AE186" s="2">
        <v>0.92916960597364207</v>
      </c>
      <c r="AF186" s="2">
        <v>0.936258563846459</v>
      </c>
      <c r="AG186" s="2">
        <v>0.94344067677978027</v>
      </c>
      <c r="AH186" s="2">
        <v>0.95071693344880115</v>
      </c>
      <c r="AI186" s="2">
        <v>0.95808833384566883</v>
      </c>
      <c r="AJ186" s="2">
        <v>0.96555588940528736</v>
      </c>
      <c r="AK186" s="2">
        <v>0.97312062313288938</v>
      </c>
      <c r="AL186" s="2">
        <v>0.98078356973278891</v>
      </c>
      <c r="AM186" s="2">
        <v>0.98854577573856572</v>
      </c>
      <c r="AN186" s="2">
        <v>0.99640829964489908</v>
      </c>
      <c r="AO186" s="2">
        <v>1.0043722120407792</v>
      </c>
      <c r="AP186" s="2">
        <v>1.0124385957441022</v>
      </c>
      <c r="AQ186" s="2">
        <v>1.0206085459380969</v>
      </c>
      <c r="AR186" s="2">
        <v>19.568267907588769</v>
      </c>
    </row>
    <row r="187" spans="1:44" x14ac:dyDescent="0.25">
      <c r="A187" t="s">
        <v>250</v>
      </c>
      <c r="B187" t="s">
        <v>296</v>
      </c>
      <c r="C187" t="s">
        <v>44</v>
      </c>
      <c r="D187" t="s">
        <v>144</v>
      </c>
      <c r="E187" t="s">
        <v>148</v>
      </c>
      <c r="F187" t="s">
        <v>144</v>
      </c>
      <c r="G187" t="s">
        <v>31</v>
      </c>
      <c r="H187" t="s">
        <v>253</v>
      </c>
      <c r="I187" t="s">
        <v>256</v>
      </c>
      <c r="J187" t="s">
        <v>39</v>
      </c>
      <c r="K187" t="s">
        <v>31</v>
      </c>
      <c r="L187">
        <v>2.6708224418090953</v>
      </c>
      <c r="M187">
        <v>1</v>
      </c>
      <c r="N187">
        <v>3.2349501564772121</v>
      </c>
      <c r="O187">
        <v>2.6747929920855822</v>
      </c>
      <c r="P187">
        <v>-0.4934072007383169</v>
      </c>
      <c r="Q187">
        <v>0.4672931329656026</v>
      </c>
      <c r="R187">
        <v>-0.39961544227348439</v>
      </c>
      <c r="S187" s="2">
        <v>0.10069502889601092</v>
      </c>
      <c r="T187" s="2">
        <v>0.20119837077679414</v>
      </c>
      <c r="U187" s="2">
        <v>0.27627526018284193</v>
      </c>
      <c r="V187" s="2">
        <v>0.36497445094177472</v>
      </c>
      <c r="W187" s="2">
        <v>0.46342910973184825</v>
      </c>
      <c r="X187" s="2">
        <v>0.56539681303024092</v>
      </c>
      <c r="Y187" s="2">
        <v>0.66313223702853985</v>
      </c>
      <c r="Z187" s="2">
        <v>0.74906435564572971</v>
      </c>
      <c r="AA187" s="2">
        <v>0.81779915799747394</v>
      </c>
      <c r="AB187" s="2">
        <v>0.86758164109767177</v>
      </c>
      <c r="AC187" s="2">
        <v>0.90042638271938136</v>
      </c>
      <c r="AD187" s="2">
        <v>0.91961350827947941</v>
      </c>
      <c r="AE187" s="2">
        <v>0.92659087032570331</v>
      </c>
      <c r="AF187" s="2">
        <v>0.93366015412796333</v>
      </c>
      <c r="AG187" s="2">
        <v>0.94082233445638341</v>
      </c>
      <c r="AH187" s="2">
        <v>0.94807839724224718</v>
      </c>
      <c r="AI187" s="2">
        <v>0.95542933970240707</v>
      </c>
      <c r="AJ187" s="2">
        <v>0.96287617046475271</v>
      </c>
      <c r="AK187" s="2">
        <v>0.97041990969532566</v>
      </c>
      <c r="AL187" s="2">
        <v>0.97806158922682906</v>
      </c>
      <c r="AM187" s="2">
        <v>0.98580225268837096</v>
      </c>
      <c r="AN187" s="2">
        <v>0.99364295563700011</v>
      </c>
      <c r="AO187" s="2">
        <v>1.0015847656904449</v>
      </c>
      <c r="AP187" s="2">
        <v>1.0096287626615121</v>
      </c>
      <c r="AQ187" s="2">
        <v>1.0177760386939005</v>
      </c>
      <c r="AR187" s="2">
        <v>19.513959856940627</v>
      </c>
    </row>
    <row r="188" spans="1:44" x14ac:dyDescent="0.25">
      <c r="A188" t="s">
        <v>250</v>
      </c>
      <c r="B188" t="s">
        <v>297</v>
      </c>
      <c r="C188" t="s">
        <v>44</v>
      </c>
      <c r="D188" t="s">
        <v>144</v>
      </c>
      <c r="E188" t="s">
        <v>145</v>
      </c>
      <c r="F188" t="s">
        <v>144</v>
      </c>
      <c r="G188" t="s">
        <v>31</v>
      </c>
      <c r="H188" t="s">
        <v>252</v>
      </c>
      <c r="I188" t="s">
        <v>135</v>
      </c>
      <c r="J188" t="s">
        <v>39</v>
      </c>
      <c r="K188" t="s">
        <v>31</v>
      </c>
      <c r="L188">
        <v>1.7838218382297353</v>
      </c>
      <c r="M188">
        <v>1</v>
      </c>
      <c r="N188">
        <v>5.6033078212052585</v>
      </c>
      <c r="O188">
        <v>5.4421202420407448</v>
      </c>
      <c r="P188">
        <v>-1.8781339009530855</v>
      </c>
      <c r="Q188">
        <v>0.52607301930842676</v>
      </c>
      <c r="R188">
        <v>-1.862552393622352</v>
      </c>
      <c r="S188" s="2">
        <v>0.15056740027457213</v>
      </c>
      <c r="T188" s="2">
        <v>0.22014991592862776</v>
      </c>
      <c r="U188" s="2">
        <v>0.29904246265484552</v>
      </c>
      <c r="V188" s="2">
        <v>0.39077839554486837</v>
      </c>
      <c r="W188" s="2">
        <v>0.49080521579858666</v>
      </c>
      <c r="X188" s="2">
        <v>0.59226721993098774</v>
      </c>
      <c r="Y188" s="2">
        <v>0.6870428258288086</v>
      </c>
      <c r="Z188" s="2">
        <v>0.76754371265360188</v>
      </c>
      <c r="AA188" s="2">
        <v>0.82872816816218131</v>
      </c>
      <c r="AB188" s="2">
        <v>0.86943782556651672</v>
      </c>
      <c r="AC188" s="2">
        <v>0.8923198442382313</v>
      </c>
      <c r="AD188" s="2">
        <v>0.90116313604104525</v>
      </c>
      <c r="AE188" s="2">
        <v>0.8978288324376934</v>
      </c>
      <c r="AF188" s="2">
        <v>0.89450686575767391</v>
      </c>
      <c r="AG188" s="2">
        <v>0.89119719035437028</v>
      </c>
      <c r="AH188" s="2">
        <v>0.88789976075005916</v>
      </c>
      <c r="AI188" s="2">
        <v>0.88461453163528403</v>
      </c>
      <c r="AJ188" s="2">
        <v>0.88134145786823348</v>
      </c>
      <c r="AK188" s="2">
        <v>0.87808049447412084</v>
      </c>
      <c r="AL188" s="2">
        <v>0.87483159664456667</v>
      </c>
      <c r="AM188" s="2">
        <v>0.87159471973698188</v>
      </c>
      <c r="AN188" s="2">
        <v>0.86836981927395496</v>
      </c>
      <c r="AO188" s="2">
        <v>0.86515685094264128</v>
      </c>
      <c r="AP188" s="2">
        <v>0.86195577059415351</v>
      </c>
      <c r="AQ188" s="2">
        <v>0.85876653424295502</v>
      </c>
      <c r="AR188" s="2">
        <v>18.505990547335561</v>
      </c>
    </row>
    <row r="189" spans="1:44" x14ac:dyDescent="0.25">
      <c r="A189" t="s">
        <v>250</v>
      </c>
      <c r="B189" t="s">
        <v>297</v>
      </c>
      <c r="C189" t="s">
        <v>44</v>
      </c>
      <c r="D189" t="s">
        <v>144</v>
      </c>
      <c r="E189" t="s">
        <v>148</v>
      </c>
      <c r="F189" t="s">
        <v>144</v>
      </c>
      <c r="G189" t="s">
        <v>31</v>
      </c>
      <c r="H189" t="s">
        <v>252</v>
      </c>
      <c r="I189" t="s">
        <v>135</v>
      </c>
      <c r="J189" t="s">
        <v>39</v>
      </c>
      <c r="K189" t="s">
        <v>31</v>
      </c>
      <c r="L189">
        <v>1.7838218382297353</v>
      </c>
      <c r="M189">
        <v>1</v>
      </c>
      <c r="N189">
        <v>5.6033078212052585</v>
      </c>
      <c r="O189">
        <v>5.4421202420407448</v>
      </c>
      <c r="P189">
        <v>-1.8781339009530855</v>
      </c>
      <c r="Q189">
        <v>0.52607301930842676</v>
      </c>
      <c r="R189">
        <v>-1.862552393622352</v>
      </c>
      <c r="S189" s="2">
        <v>4.2691504861915378E-2</v>
      </c>
      <c r="T189" s="2">
        <v>8.3092065540390073E-2</v>
      </c>
      <c r="U189" s="2">
        <v>0.11414278681699433</v>
      </c>
      <c r="V189" s="2">
        <v>0.15084759367849948</v>
      </c>
      <c r="W189" s="2">
        <v>0.19161378764734208</v>
      </c>
      <c r="X189" s="2">
        <v>0.23386347993734508</v>
      </c>
      <c r="Y189" s="2">
        <v>0.27439291247988024</v>
      </c>
      <c r="Z189" s="2">
        <v>0.31006566423550752</v>
      </c>
      <c r="AA189" s="2">
        <v>0.33864222440442598</v>
      </c>
      <c r="AB189" s="2">
        <v>0.35938738085292965</v>
      </c>
      <c r="AC189" s="2">
        <v>0.37312713134375963</v>
      </c>
      <c r="AD189" s="2">
        <v>0.38121347442445158</v>
      </c>
      <c r="AE189" s="2">
        <v>0.38424068346409979</v>
      </c>
      <c r="AF189" s="2">
        <v>0.38730645757482129</v>
      </c>
      <c r="AG189" s="2">
        <v>0.3904112121545148</v>
      </c>
      <c r="AH189" s="2">
        <v>0.39355536732264029</v>
      </c>
      <c r="AI189" s="2">
        <v>0.3967393479730279</v>
      </c>
      <c r="AJ189" s="2">
        <v>0.39996358382710273</v>
      </c>
      <c r="AK189" s="2">
        <v>0.40322850948783268</v>
      </c>
      <c r="AL189" s="2">
        <v>0.40653456449427461</v>
      </c>
      <c r="AM189" s="2">
        <v>0.40988219337660114</v>
      </c>
      <c r="AN189" s="2">
        <v>0.41327184571195563</v>
      </c>
      <c r="AO189" s="2">
        <v>0.41670397618072219</v>
      </c>
      <c r="AP189" s="2">
        <v>0.42017904462361683</v>
      </c>
      <c r="AQ189" s="2">
        <v>0.42369751609924317</v>
      </c>
      <c r="AR189" s="2">
        <v>8.0987943085138951</v>
      </c>
    </row>
    <row r="190" spans="1:44" x14ac:dyDescent="0.25">
      <c r="A190" t="s">
        <v>250</v>
      </c>
      <c r="B190" t="s">
        <v>293</v>
      </c>
      <c r="C190" t="s">
        <v>44</v>
      </c>
      <c r="D190" t="s">
        <v>144</v>
      </c>
      <c r="E190" t="s">
        <v>145</v>
      </c>
      <c r="F190" t="s">
        <v>144</v>
      </c>
      <c r="G190" t="s">
        <v>31</v>
      </c>
      <c r="H190" t="s">
        <v>288</v>
      </c>
      <c r="I190" t="s">
        <v>135</v>
      </c>
      <c r="J190" t="s">
        <v>39</v>
      </c>
      <c r="K190" t="s">
        <v>31</v>
      </c>
      <c r="L190">
        <v>0.80006055422654132</v>
      </c>
      <c r="M190">
        <v>1</v>
      </c>
      <c r="N190">
        <v>3.6363315675395942</v>
      </c>
      <c r="O190">
        <v>5.4757113018011117</v>
      </c>
      <c r="P190">
        <v>-1.5885651785496615</v>
      </c>
      <c r="Q190">
        <v>0.81564174171185133</v>
      </c>
      <c r="R190">
        <v>-1.8625523936223525</v>
      </c>
      <c r="S190" s="2">
        <v>0.15134846252662307</v>
      </c>
      <c r="T190" s="2">
        <v>0.22144741427344619</v>
      </c>
      <c r="U190" s="2">
        <v>0.30101627571301359</v>
      </c>
      <c r="V190" s="2">
        <v>0.39363407947456019</v>
      </c>
      <c r="W190" s="2">
        <v>0.49473922337588216</v>
      </c>
      <c r="X190" s="2">
        <v>0.59743394974770969</v>
      </c>
      <c r="Y190" s="2">
        <v>0.69352327159257543</v>
      </c>
      <c r="Z190" s="2">
        <v>0.77532783556454787</v>
      </c>
      <c r="AA190" s="2">
        <v>0.83772096865985313</v>
      </c>
      <c r="AB190" s="2">
        <v>0.87948987527503975</v>
      </c>
      <c r="AC190" s="2">
        <v>0.90327063759359549</v>
      </c>
      <c r="AD190" s="2">
        <v>0.91286338384395294</v>
      </c>
      <c r="AE190" s="2">
        <v>0.91012479369242139</v>
      </c>
      <c r="AF190" s="2">
        <v>0.90739441931134401</v>
      </c>
      <c r="AG190" s="2">
        <v>0.90467223605340974</v>
      </c>
      <c r="AH190" s="2">
        <v>0.90195821934524956</v>
      </c>
      <c r="AI190" s="2">
        <v>0.89925234468721371</v>
      </c>
      <c r="AJ190" s="2">
        <v>0.89655458765315199</v>
      </c>
      <c r="AK190" s="2">
        <v>0.89386492389019279</v>
      </c>
      <c r="AL190" s="2">
        <v>0.89118332911852216</v>
      </c>
      <c r="AM190" s="2">
        <v>0.88850977913116658</v>
      </c>
      <c r="AN190" s="2">
        <v>0.8858442497937733</v>
      </c>
      <c r="AO190" s="2">
        <v>0.88318671704439167</v>
      </c>
      <c r="AP190" s="2">
        <v>0.88053715689325873</v>
      </c>
      <c r="AQ190" s="2">
        <v>0.87789554542257886</v>
      </c>
      <c r="AR190" s="2">
        <v>18.782793679677479</v>
      </c>
    </row>
    <row r="191" spans="1:44" x14ac:dyDescent="0.25">
      <c r="A191" t="s">
        <v>250</v>
      </c>
      <c r="B191" t="s">
        <v>293</v>
      </c>
      <c r="C191" t="s">
        <v>44</v>
      </c>
      <c r="D191" t="s">
        <v>144</v>
      </c>
      <c r="E191" t="s">
        <v>145</v>
      </c>
      <c r="F191" t="s">
        <v>144</v>
      </c>
      <c r="G191" t="s">
        <v>31</v>
      </c>
      <c r="H191" t="s">
        <v>288</v>
      </c>
      <c r="I191" t="s">
        <v>135</v>
      </c>
      <c r="J191" t="s">
        <v>39</v>
      </c>
      <c r="K191" t="s">
        <v>33</v>
      </c>
      <c r="L191">
        <v>0.80006055422654132</v>
      </c>
      <c r="M191">
        <v>1</v>
      </c>
      <c r="N191">
        <v>3.6363315675395942</v>
      </c>
      <c r="O191">
        <v>5.4757113018011117</v>
      </c>
      <c r="P191">
        <v>-1.5885651785496615</v>
      </c>
      <c r="Q191">
        <v>0.81564174171185133</v>
      </c>
      <c r="R191">
        <v>-1.8625523936223525</v>
      </c>
      <c r="S191" s="2">
        <v>1.4237521461775318E-3</v>
      </c>
      <c r="T191" s="2">
        <v>2.083180932755252E-3</v>
      </c>
      <c r="U191" s="2">
        <v>2.8316942334672365E-3</v>
      </c>
      <c r="V191" s="2">
        <v>3.7029604140308855E-3</v>
      </c>
      <c r="W191" s="2">
        <v>4.6540679655448216E-3</v>
      </c>
      <c r="X191" s="2">
        <v>5.6201288995783253E-3</v>
      </c>
      <c r="Y191" s="2">
        <v>6.5240520443364406E-3</v>
      </c>
      <c r="Z191" s="2">
        <v>7.2935968522443882E-3</v>
      </c>
      <c r="AA191" s="2">
        <v>7.8805361291171515E-3</v>
      </c>
      <c r="AB191" s="2">
        <v>8.2734609692119085E-3</v>
      </c>
      <c r="AC191" s="2">
        <v>8.4971692964955492E-3</v>
      </c>
      <c r="AD191" s="2">
        <v>8.5874093480539267E-3</v>
      </c>
      <c r="AE191" s="2">
        <v>8.5616471200097612E-3</v>
      </c>
      <c r="AF191" s="2">
        <v>8.535962178649735E-3</v>
      </c>
      <c r="AG191" s="2">
        <v>8.510354292113784E-3</v>
      </c>
      <c r="AH191" s="2">
        <v>8.484823229237444E-3</v>
      </c>
      <c r="AI191" s="2">
        <v>8.4593687595497322E-3</v>
      </c>
      <c r="AJ191" s="2">
        <v>8.4339906532710819E-3</v>
      </c>
      <c r="AK191" s="2">
        <v>8.4086886813112688E-3</v>
      </c>
      <c r="AL191" s="2">
        <v>8.3834626152673366E-3</v>
      </c>
      <c r="AM191" s="2">
        <v>8.3583122274215344E-3</v>
      </c>
      <c r="AN191" s="2">
        <v>8.333237290739268E-3</v>
      </c>
      <c r="AO191" s="2">
        <v>8.3082375788670511E-3</v>
      </c>
      <c r="AP191" s="2">
        <v>8.2833128661304479E-3</v>
      </c>
      <c r="AQ191" s="2">
        <v>8.2584629275320592E-3</v>
      </c>
      <c r="AR191" s="2">
        <v>0.17669186965111394</v>
      </c>
    </row>
    <row r="192" spans="1:44" x14ac:dyDescent="0.25">
      <c r="A192" t="s">
        <v>250</v>
      </c>
      <c r="B192" t="s">
        <v>293</v>
      </c>
      <c r="C192" t="s">
        <v>44</v>
      </c>
      <c r="D192" t="s">
        <v>144</v>
      </c>
      <c r="E192" t="s">
        <v>145</v>
      </c>
      <c r="F192" t="s">
        <v>144</v>
      </c>
      <c r="G192" t="s">
        <v>31</v>
      </c>
      <c r="H192" t="s">
        <v>289</v>
      </c>
      <c r="I192" t="s">
        <v>135</v>
      </c>
      <c r="J192" t="s">
        <v>39</v>
      </c>
      <c r="K192" t="s">
        <v>31</v>
      </c>
      <c r="L192">
        <v>0.80006055422654132</v>
      </c>
      <c r="M192">
        <v>1</v>
      </c>
      <c r="N192">
        <v>3.6363315675395942</v>
      </c>
      <c r="O192">
        <v>5.4757113018011117</v>
      </c>
      <c r="P192">
        <v>-1.5885651785496615</v>
      </c>
      <c r="Q192">
        <v>0.81564174171185133</v>
      </c>
      <c r="R192">
        <v>-1.8625523936223525</v>
      </c>
      <c r="S192" s="2">
        <v>0.14385015295019421</v>
      </c>
      <c r="T192" s="2">
        <v>0.21047616792312468</v>
      </c>
      <c r="U192" s="2">
        <v>0.28610292155559813</v>
      </c>
      <c r="V192" s="2">
        <v>0.37413212921712935</v>
      </c>
      <c r="W192" s="2">
        <v>0.47022818577071451</v>
      </c>
      <c r="X192" s="2">
        <v>0.56783507155699842</v>
      </c>
      <c r="Y192" s="2">
        <v>0.65916380667271124</v>
      </c>
      <c r="Z192" s="2">
        <v>0.73691549864858596</v>
      </c>
      <c r="AA192" s="2">
        <v>0.79621746702651131</v>
      </c>
      <c r="AB192" s="2">
        <v>0.83591700215789799</v>
      </c>
      <c r="AC192" s="2">
        <v>0.85851958588876787</v>
      </c>
      <c r="AD192" s="2">
        <v>0.86763707537158052</v>
      </c>
      <c r="AE192" s="2">
        <v>0.86503416414546586</v>
      </c>
      <c r="AF192" s="2">
        <v>0.8624390616530293</v>
      </c>
      <c r="AG192" s="2">
        <v>0.85985174446807033</v>
      </c>
      <c r="AH192" s="2">
        <v>0.85727218923466608</v>
      </c>
      <c r="AI192" s="2">
        <v>0.85470037266696208</v>
      </c>
      <c r="AJ192" s="2">
        <v>0.85213627154896132</v>
      </c>
      <c r="AK192" s="2">
        <v>0.8495798627343143</v>
      </c>
      <c r="AL192" s="2">
        <v>0.84703112314611129</v>
      </c>
      <c r="AM192" s="2">
        <v>0.84449002977667298</v>
      </c>
      <c r="AN192" s="2">
        <v>0.84195655968734318</v>
      </c>
      <c r="AO192" s="2">
        <v>0.83943069000828108</v>
      </c>
      <c r="AP192" s="2">
        <v>0.83691239793825611</v>
      </c>
      <c r="AQ192" s="2">
        <v>0.83440166074444144</v>
      </c>
      <c r="AR192" s="2">
        <v>17.85223119249239</v>
      </c>
    </row>
    <row r="193" spans="1:44" x14ac:dyDescent="0.25">
      <c r="A193" t="s">
        <v>250</v>
      </c>
      <c r="B193" t="s">
        <v>293</v>
      </c>
      <c r="C193" t="s">
        <v>44</v>
      </c>
      <c r="D193" t="s">
        <v>144</v>
      </c>
      <c r="E193" t="s">
        <v>145</v>
      </c>
      <c r="F193" t="s">
        <v>144</v>
      </c>
      <c r="G193" t="s">
        <v>31</v>
      </c>
      <c r="H193" t="s">
        <v>290</v>
      </c>
      <c r="I193" t="s">
        <v>135</v>
      </c>
      <c r="J193" t="s">
        <v>39</v>
      </c>
      <c r="K193" t="s">
        <v>31</v>
      </c>
      <c r="L193">
        <v>0.80006055422654132</v>
      </c>
      <c r="M193">
        <v>1</v>
      </c>
      <c r="N193">
        <v>3.6363315675395942</v>
      </c>
      <c r="O193">
        <v>5.4757113018011117</v>
      </c>
      <c r="P193">
        <v>-1.5885651785496615</v>
      </c>
      <c r="Q193">
        <v>0.81564174171185133</v>
      </c>
      <c r="R193">
        <v>-1.8625523936223525</v>
      </c>
      <c r="S193" s="2">
        <v>0.20830481906178036</v>
      </c>
      <c r="T193" s="2">
        <v>0.30478382662007569</v>
      </c>
      <c r="U193" s="2">
        <v>0.41429651679494539</v>
      </c>
      <c r="V193" s="2">
        <v>0.54176880513123915</v>
      </c>
      <c r="W193" s="2">
        <v>0.68092244009383696</v>
      </c>
      <c r="X193" s="2">
        <v>0.82226385868749896</v>
      </c>
      <c r="Y193" s="2">
        <v>0.95451408750725331</v>
      </c>
      <c r="Z193" s="2">
        <v>1.067103833132268</v>
      </c>
      <c r="AA193" s="2">
        <v>1.1529771223824237</v>
      </c>
      <c r="AB193" s="2">
        <v>1.2104647531758608</v>
      </c>
      <c r="AC193" s="2">
        <v>1.2431948338732224</v>
      </c>
      <c r="AD193" s="2">
        <v>1.2563975796337536</v>
      </c>
      <c r="AE193" s="2">
        <v>1.2526283868948525</v>
      </c>
      <c r="AF193" s="2">
        <v>1.2488705017341677</v>
      </c>
      <c r="AG193" s="2">
        <v>1.2451238902289654</v>
      </c>
      <c r="AH193" s="2">
        <v>1.2413885185582783</v>
      </c>
      <c r="AI193" s="2">
        <v>1.2376643530026037</v>
      </c>
      <c r="AJ193" s="2">
        <v>1.2339513599435958</v>
      </c>
      <c r="AK193" s="2">
        <v>1.230249505863765</v>
      </c>
      <c r="AL193" s="2">
        <v>1.2265587573461738</v>
      </c>
      <c r="AM193" s="2">
        <v>1.2228790810741352</v>
      </c>
      <c r="AN193" s="2">
        <v>1.2192104438309128</v>
      </c>
      <c r="AO193" s="2">
        <v>1.2155528124994202</v>
      </c>
      <c r="AP193" s="2">
        <v>1.2119061540619218</v>
      </c>
      <c r="AQ193" s="2">
        <v>1.2082704355997358</v>
      </c>
      <c r="AR193" s="2">
        <v>25.851246676732682</v>
      </c>
    </row>
    <row r="194" spans="1:44" x14ac:dyDescent="0.25">
      <c r="A194" t="s">
        <v>250</v>
      </c>
      <c r="B194" t="s">
        <v>293</v>
      </c>
      <c r="C194" t="s">
        <v>44</v>
      </c>
      <c r="D194" t="s">
        <v>144</v>
      </c>
      <c r="E194" t="s">
        <v>148</v>
      </c>
      <c r="F194" t="s">
        <v>144</v>
      </c>
      <c r="G194" t="s">
        <v>31</v>
      </c>
      <c r="H194" t="s">
        <v>288</v>
      </c>
      <c r="I194" t="s">
        <v>135</v>
      </c>
      <c r="J194" t="s">
        <v>39</v>
      </c>
      <c r="K194" t="s">
        <v>31</v>
      </c>
      <c r="L194">
        <v>0.80006055422654132</v>
      </c>
      <c r="M194">
        <v>1</v>
      </c>
      <c r="N194">
        <v>3.6363315675395942</v>
      </c>
      <c r="O194">
        <v>5.4757113018011117</v>
      </c>
      <c r="P194">
        <v>-1.5885651785496615</v>
      </c>
      <c r="Q194">
        <v>0.81564174171185133</v>
      </c>
      <c r="R194">
        <v>-1.8625523936223525</v>
      </c>
      <c r="S194" s="2">
        <v>4.2912965303352792E-2</v>
      </c>
      <c r="T194" s="2">
        <v>7.9636111521736913E-2</v>
      </c>
      <c r="U194" s="2">
        <v>0.10947087041620572</v>
      </c>
      <c r="V194" s="2">
        <v>0.1447720499043488</v>
      </c>
      <c r="W194" s="2">
        <v>0.18402040243923434</v>
      </c>
      <c r="X194" s="2">
        <v>0.22474558755917234</v>
      </c>
      <c r="Y194" s="2">
        <v>0.26386870219817704</v>
      </c>
      <c r="Z194" s="2">
        <v>0.29836755183332009</v>
      </c>
      <c r="AA194" s="2">
        <v>0.32607586936230493</v>
      </c>
      <c r="AB194" s="2">
        <v>0.34627150014421448</v>
      </c>
      <c r="AC194" s="2">
        <v>0.35973598131156642</v>
      </c>
      <c r="AD194" s="2">
        <v>0.3677605913265084</v>
      </c>
      <c r="AE194" s="2">
        <v>0.37090866595201893</v>
      </c>
      <c r="AF194" s="2">
        <v>0.37409497239510708</v>
      </c>
      <c r="AG194" s="2">
        <v>0.37731993061438562</v>
      </c>
      <c r="AH194" s="2">
        <v>0.38058396530433075</v>
      </c>
      <c r="AI194" s="2">
        <v>0.38388750594841603</v>
      </c>
      <c r="AJ194" s="2">
        <v>0.38723098687259477</v>
      </c>
      <c r="AK194" s="2">
        <v>0.39061484729966905</v>
      </c>
      <c r="AL194" s="2">
        <v>0.39403953140405001</v>
      </c>
      <c r="AM194" s="2">
        <v>0.39750548836719657</v>
      </c>
      <c r="AN194" s="2">
        <v>0.4010131724337247</v>
      </c>
      <c r="AO194" s="2">
        <v>0.40456304296811385</v>
      </c>
      <c r="AP194" s="2">
        <v>0.40815556451201312</v>
      </c>
      <c r="AQ194" s="2">
        <v>0.41179120684225073</v>
      </c>
      <c r="AR194" s="2">
        <v>7.8293470642340139</v>
      </c>
    </row>
    <row r="195" spans="1:44" x14ac:dyDescent="0.25">
      <c r="A195" t="s">
        <v>250</v>
      </c>
      <c r="B195" t="s">
        <v>293</v>
      </c>
      <c r="C195" t="s">
        <v>44</v>
      </c>
      <c r="D195" t="s">
        <v>144</v>
      </c>
      <c r="E195" t="s">
        <v>148</v>
      </c>
      <c r="F195" t="s">
        <v>144</v>
      </c>
      <c r="G195" t="s">
        <v>31</v>
      </c>
      <c r="H195" t="s">
        <v>288</v>
      </c>
      <c r="I195" t="s">
        <v>135</v>
      </c>
      <c r="J195" t="s">
        <v>39</v>
      </c>
      <c r="K195" t="s">
        <v>33</v>
      </c>
      <c r="L195">
        <v>0.80006055422654132</v>
      </c>
      <c r="M195">
        <v>1</v>
      </c>
      <c r="N195">
        <v>3.6363315675395942</v>
      </c>
      <c r="O195">
        <v>5.4757113018011117</v>
      </c>
      <c r="P195">
        <v>-1.5885651785496615</v>
      </c>
      <c r="Q195">
        <v>0.81564174171185133</v>
      </c>
      <c r="R195">
        <v>-1.8625523936223525</v>
      </c>
      <c r="S195" s="2">
        <v>4.036871298824266E-4</v>
      </c>
      <c r="T195" s="2">
        <v>7.4914592985944758E-4</v>
      </c>
      <c r="U195" s="2">
        <v>1.029804889306886E-3</v>
      </c>
      <c r="V195" s="2">
        <v>1.3618870870365023E-3</v>
      </c>
      <c r="W195" s="2">
        <v>1.7311007891291112E-3</v>
      </c>
      <c r="X195" s="2">
        <v>2.114207222785752E-3</v>
      </c>
      <c r="Y195" s="2">
        <v>2.4822427977928296E-3</v>
      </c>
      <c r="Z195" s="2">
        <v>2.8067773876308839E-3</v>
      </c>
      <c r="AA195" s="2">
        <v>3.0674326720671031E-3</v>
      </c>
      <c r="AB195" s="2">
        <v>3.2574152605198891E-3</v>
      </c>
      <c r="AC195" s="2">
        <v>3.3840771614017835E-3</v>
      </c>
      <c r="AD195" s="2">
        <v>3.4595655776055527E-3</v>
      </c>
      <c r="AE195" s="2">
        <v>3.4891798725219482E-3</v>
      </c>
      <c r="AF195" s="2">
        <v>3.5191538184807477E-3</v>
      </c>
      <c r="AG195" s="2">
        <v>3.549491366080371E-3</v>
      </c>
      <c r="AH195" s="2">
        <v>3.5801965104698893E-3</v>
      </c>
      <c r="AI195" s="2">
        <v>3.6112732918489134E-3</v>
      </c>
      <c r="AJ195" s="2">
        <v>3.6427257959711899E-3</v>
      </c>
      <c r="AK195" s="2">
        <v>3.6745581546550488E-3</v>
      </c>
      <c r="AL195" s="2">
        <v>3.7067745462999084E-3</v>
      </c>
      <c r="AM195" s="2">
        <v>3.7393791964063466E-3</v>
      </c>
      <c r="AN195" s="2">
        <v>3.7723763781052173E-3</v>
      </c>
      <c r="AO195" s="2">
        <v>3.8057704126901637E-3</v>
      </c>
      <c r="AP195" s="2">
        <v>3.8395656701571243E-3</v>
      </c>
      <c r="AQ195" s="2">
        <v>3.8737665697499667E-3</v>
      </c>
      <c r="AR195" s="2">
        <v>7.3651555488455006E-2</v>
      </c>
    </row>
    <row r="196" spans="1:44" x14ac:dyDescent="0.25">
      <c r="A196" t="s">
        <v>250</v>
      </c>
      <c r="B196" t="s">
        <v>293</v>
      </c>
      <c r="C196" t="s">
        <v>44</v>
      </c>
      <c r="D196" t="s">
        <v>144</v>
      </c>
      <c r="E196" t="s">
        <v>148</v>
      </c>
      <c r="F196" t="s">
        <v>144</v>
      </c>
      <c r="G196" t="s">
        <v>31</v>
      </c>
      <c r="H196" t="s">
        <v>289</v>
      </c>
      <c r="I196" t="s">
        <v>135</v>
      </c>
      <c r="J196" t="s">
        <v>39</v>
      </c>
      <c r="K196" t="s">
        <v>31</v>
      </c>
      <c r="L196">
        <v>0.80006055422654132</v>
      </c>
      <c r="M196">
        <v>1</v>
      </c>
      <c r="N196">
        <v>3.6363315675395942</v>
      </c>
      <c r="O196">
        <v>5.4757113018011117</v>
      </c>
      <c r="P196">
        <v>-1.5885651785496615</v>
      </c>
      <c r="Q196">
        <v>0.81564174171185133</v>
      </c>
      <c r="R196">
        <v>-1.8625523936223525</v>
      </c>
      <c r="S196" s="2">
        <v>4.0786913321618982E-2</v>
      </c>
      <c r="T196" s="2">
        <v>7.5690671920405767E-2</v>
      </c>
      <c r="U196" s="2">
        <v>0.10404731696691143</v>
      </c>
      <c r="V196" s="2">
        <v>0.13759955782828204</v>
      </c>
      <c r="W196" s="2">
        <v>0.17490341556778957</v>
      </c>
      <c r="X196" s="2">
        <v>0.21361093866137945</v>
      </c>
      <c r="Y196" s="2">
        <v>0.25079576320968433</v>
      </c>
      <c r="Z196" s="2">
        <v>0.2835854243253268</v>
      </c>
      <c r="AA196" s="2">
        <v>0.30992097903131394</v>
      </c>
      <c r="AB196" s="2">
        <v>0.32911605064555211</v>
      </c>
      <c r="AC196" s="2">
        <v>0.34191345633428161</v>
      </c>
      <c r="AD196" s="2">
        <v>0.3495405003011926</v>
      </c>
      <c r="AE196" s="2">
        <v>0.35253260876941572</v>
      </c>
      <c r="AF196" s="2">
        <v>0.35556105492296253</v>
      </c>
      <c r="AG196" s="2">
        <v>0.35862623791429771</v>
      </c>
      <c r="AH196" s="2">
        <v>0.36172856139710968</v>
      </c>
      <c r="AI196" s="2">
        <v>0.36486843357680687</v>
      </c>
      <c r="AJ196" s="2">
        <v>0.36804626726141976</v>
      </c>
      <c r="AK196" s="2">
        <v>0.3712624799131351</v>
      </c>
      <c r="AL196" s="2">
        <v>0.37451749370050202</v>
      </c>
      <c r="AM196" s="2">
        <v>0.37781173555102654</v>
      </c>
      <c r="AN196" s="2">
        <v>0.38114563720451422</v>
      </c>
      <c r="AO196" s="2">
        <v>0.38451963526700655</v>
      </c>
      <c r="AP196" s="2">
        <v>0.38793417126518853</v>
      </c>
      <c r="AQ196" s="2">
        <v>0.39138969170157495</v>
      </c>
      <c r="AR196" s="2">
        <v>7.4414549965586989</v>
      </c>
    </row>
    <row r="197" spans="1:44" x14ac:dyDescent="0.25">
      <c r="A197" t="s">
        <v>250</v>
      </c>
      <c r="B197" t="s">
        <v>293</v>
      </c>
      <c r="C197" t="s">
        <v>44</v>
      </c>
      <c r="D197" t="s">
        <v>144</v>
      </c>
      <c r="E197" t="s">
        <v>148</v>
      </c>
      <c r="F197" t="s">
        <v>144</v>
      </c>
      <c r="G197" t="s">
        <v>31</v>
      </c>
      <c r="H197" t="s">
        <v>290</v>
      </c>
      <c r="I197" t="s">
        <v>135</v>
      </c>
      <c r="J197" t="s">
        <v>39</v>
      </c>
      <c r="K197" t="s">
        <v>31</v>
      </c>
      <c r="L197">
        <v>0.80006055422654132</v>
      </c>
      <c r="M197">
        <v>1</v>
      </c>
      <c r="N197">
        <v>3.6363315675395942</v>
      </c>
      <c r="O197">
        <v>5.4757113018011117</v>
      </c>
      <c r="P197">
        <v>-1.5885651785496615</v>
      </c>
      <c r="Q197">
        <v>0.81564174171185133</v>
      </c>
      <c r="R197">
        <v>-1.8625523936223525</v>
      </c>
      <c r="S197" s="2">
        <v>5.9062228473889776E-2</v>
      </c>
      <c r="T197" s="2">
        <v>0.1096052482092514</v>
      </c>
      <c r="U197" s="2">
        <v>0.15066760159900608</v>
      </c>
      <c r="V197" s="2">
        <v>0.19925353159913106</v>
      </c>
      <c r="W197" s="2">
        <v>0.25327205836027528</v>
      </c>
      <c r="X197" s="2">
        <v>0.30932318815734627</v>
      </c>
      <c r="Y197" s="2">
        <v>0.36316934675030715</v>
      </c>
      <c r="Z197" s="2">
        <v>0.41065100933954718</v>
      </c>
      <c r="AA197" s="2">
        <v>0.44878668626038437</v>
      </c>
      <c r="AB197" s="2">
        <v>0.4765824573282601</v>
      </c>
      <c r="AC197" s="2">
        <v>0.49511397239292648</v>
      </c>
      <c r="AD197" s="2">
        <v>0.50615845153264216</v>
      </c>
      <c r="AE197" s="2">
        <v>0.51049122838622218</v>
      </c>
      <c r="AF197" s="2">
        <v>0.51487662468310258</v>
      </c>
      <c r="AG197" s="2">
        <v>0.51931521842322315</v>
      </c>
      <c r="AH197" s="2">
        <v>0.52380759412464128</v>
      </c>
      <c r="AI197" s="2">
        <v>0.52835434289658589</v>
      </c>
      <c r="AJ197" s="2">
        <v>0.53295606251317018</v>
      </c>
      <c r="AK197" s="2">
        <v>0.53761335748811778</v>
      </c>
      <c r="AL197" s="2">
        <v>0.54232683915022173</v>
      </c>
      <c r="AM197" s="2">
        <v>0.54709712571958125</v>
      </c>
      <c r="AN197" s="2">
        <v>0.55192484238485873</v>
      </c>
      <c r="AO197" s="2">
        <v>0.55681062138132198</v>
      </c>
      <c r="AP197" s="2">
        <v>0.56175510206969315</v>
      </c>
      <c r="AQ197" s="2">
        <v>0.56675893101602381</v>
      </c>
      <c r="AR197" s="2">
        <v>10.775733670239733</v>
      </c>
    </row>
    <row r="198" spans="1:44" x14ac:dyDescent="0.25">
      <c r="A198" t="s">
        <v>250</v>
      </c>
      <c r="B198" t="s">
        <v>294</v>
      </c>
      <c r="C198" t="s">
        <v>44</v>
      </c>
      <c r="D198" t="s">
        <v>144</v>
      </c>
      <c r="E198" t="s">
        <v>145</v>
      </c>
      <c r="F198" t="s">
        <v>144</v>
      </c>
      <c r="G198" t="s">
        <v>31</v>
      </c>
      <c r="H198" t="s">
        <v>272</v>
      </c>
      <c r="I198" t="s">
        <v>135</v>
      </c>
      <c r="J198" t="s">
        <v>39</v>
      </c>
      <c r="K198" t="s">
        <v>31</v>
      </c>
      <c r="L198">
        <v>1.192972744211509</v>
      </c>
      <c r="M198">
        <v>1</v>
      </c>
      <c r="N198">
        <v>4.607753102766619</v>
      </c>
      <c r="O198">
        <v>5.4674005771508289</v>
      </c>
      <c r="P198">
        <v>-1.7614983797832529</v>
      </c>
      <c r="Q198">
        <v>0.64270854047825887</v>
      </c>
      <c r="R198">
        <v>-1.862552393622352</v>
      </c>
      <c r="S198" s="2">
        <v>0</v>
      </c>
      <c r="T198" s="2">
        <v>0</v>
      </c>
      <c r="U198" s="2">
        <v>0</v>
      </c>
      <c r="V198" s="2">
        <v>0</v>
      </c>
      <c r="W198" s="2">
        <v>0</v>
      </c>
      <c r="X198" s="2">
        <v>0</v>
      </c>
      <c r="Y198" s="2">
        <v>0</v>
      </c>
      <c r="Z198" s="2">
        <v>0</v>
      </c>
      <c r="AA198" s="2">
        <v>0</v>
      </c>
      <c r="AB198" s="2">
        <v>0</v>
      </c>
      <c r="AC198" s="2">
        <v>0</v>
      </c>
      <c r="AD198" s="2">
        <v>0</v>
      </c>
      <c r="AE198" s="2">
        <v>0</v>
      </c>
      <c r="AF198" s="2">
        <v>0</v>
      </c>
      <c r="AG198" s="2">
        <v>0</v>
      </c>
      <c r="AH198" s="2">
        <v>0</v>
      </c>
      <c r="AI198" s="2">
        <v>0</v>
      </c>
      <c r="AJ198" s="2">
        <v>0</v>
      </c>
      <c r="AK198" s="2">
        <v>0</v>
      </c>
      <c r="AL198" s="2">
        <v>0</v>
      </c>
      <c r="AM198" s="2">
        <v>0</v>
      </c>
      <c r="AN198" s="2">
        <v>0</v>
      </c>
      <c r="AO198" s="2">
        <v>0</v>
      </c>
      <c r="AP198" s="2">
        <v>0</v>
      </c>
      <c r="AQ198" s="2">
        <v>0</v>
      </c>
      <c r="AR198" s="2">
        <v>0</v>
      </c>
    </row>
    <row r="199" spans="1:44" x14ac:dyDescent="0.25">
      <c r="A199" t="s">
        <v>250</v>
      </c>
      <c r="B199" t="s">
        <v>294</v>
      </c>
      <c r="C199" t="s">
        <v>44</v>
      </c>
      <c r="D199" t="s">
        <v>144</v>
      </c>
      <c r="E199" t="s">
        <v>145</v>
      </c>
      <c r="F199" t="s">
        <v>144</v>
      </c>
      <c r="G199" t="s">
        <v>31</v>
      </c>
      <c r="H199" t="s">
        <v>272</v>
      </c>
      <c r="I199" t="s">
        <v>135</v>
      </c>
      <c r="J199" t="s">
        <v>40</v>
      </c>
      <c r="K199" t="s">
        <v>31</v>
      </c>
      <c r="L199">
        <v>1.192972744211509</v>
      </c>
      <c r="M199">
        <v>1</v>
      </c>
      <c r="N199">
        <v>4.607753102766619</v>
      </c>
      <c r="O199">
        <v>4.1746294160814514</v>
      </c>
      <c r="P199">
        <v>-1.7614983797832529</v>
      </c>
      <c r="Q199">
        <v>0.4672931329656026</v>
      </c>
      <c r="R199">
        <v>-1.7195523936223516</v>
      </c>
      <c r="S199" s="2">
        <v>0</v>
      </c>
      <c r="T199" s="2">
        <v>0</v>
      </c>
      <c r="U199" s="2">
        <v>0</v>
      </c>
      <c r="V199" s="2">
        <v>0</v>
      </c>
      <c r="W199" s="2">
        <v>0</v>
      </c>
      <c r="X199" s="2">
        <v>0</v>
      </c>
      <c r="Y199" s="2">
        <v>0</v>
      </c>
      <c r="Z199" s="2">
        <v>0</v>
      </c>
      <c r="AA199" s="2">
        <v>0</v>
      </c>
      <c r="AB199" s="2">
        <v>0</v>
      </c>
      <c r="AC199" s="2">
        <v>0</v>
      </c>
      <c r="AD199" s="2">
        <v>0</v>
      </c>
      <c r="AE199" s="2">
        <v>0</v>
      </c>
      <c r="AF199" s="2">
        <v>0</v>
      </c>
      <c r="AG199" s="2">
        <v>0</v>
      </c>
      <c r="AH199" s="2">
        <v>0</v>
      </c>
      <c r="AI199" s="2">
        <v>0</v>
      </c>
      <c r="AJ199" s="2">
        <v>0</v>
      </c>
      <c r="AK199" s="2">
        <v>0</v>
      </c>
      <c r="AL199" s="2">
        <v>0</v>
      </c>
      <c r="AM199" s="2">
        <v>0</v>
      </c>
      <c r="AN199" s="2">
        <v>0</v>
      </c>
      <c r="AO199" s="2">
        <v>0</v>
      </c>
      <c r="AP199" s="2">
        <v>0</v>
      </c>
      <c r="AQ199" s="2">
        <v>0</v>
      </c>
      <c r="AR199" s="2">
        <v>0</v>
      </c>
    </row>
    <row r="200" spans="1:44" x14ac:dyDescent="0.25">
      <c r="A200" t="s">
        <v>250</v>
      </c>
      <c r="B200" t="s">
        <v>294</v>
      </c>
      <c r="C200" t="s">
        <v>44</v>
      </c>
      <c r="D200" t="s">
        <v>144</v>
      </c>
      <c r="E200" t="s">
        <v>145</v>
      </c>
      <c r="F200" t="s">
        <v>144</v>
      </c>
      <c r="G200" t="s">
        <v>31</v>
      </c>
      <c r="H200" t="s">
        <v>273</v>
      </c>
      <c r="I200" t="s">
        <v>135</v>
      </c>
      <c r="J200" t="s">
        <v>39</v>
      </c>
      <c r="K200" t="s">
        <v>31</v>
      </c>
      <c r="L200">
        <v>1.192972744211509</v>
      </c>
      <c r="M200">
        <v>1</v>
      </c>
      <c r="N200">
        <v>4.607753102766619</v>
      </c>
      <c r="O200">
        <v>5.4674005771508289</v>
      </c>
      <c r="P200">
        <v>-1.7614983797832529</v>
      </c>
      <c r="Q200">
        <v>0.64270854047825887</v>
      </c>
      <c r="R200">
        <v>-1.862552393622352</v>
      </c>
      <c r="S200" s="2">
        <v>0</v>
      </c>
      <c r="T200" s="2">
        <v>0</v>
      </c>
      <c r="U200" s="2">
        <v>0</v>
      </c>
      <c r="V200" s="2">
        <v>0</v>
      </c>
      <c r="W200" s="2">
        <v>0</v>
      </c>
      <c r="X200" s="2">
        <v>0</v>
      </c>
      <c r="Y200" s="2">
        <v>0</v>
      </c>
      <c r="Z200" s="2">
        <v>0</v>
      </c>
      <c r="AA200" s="2">
        <v>0</v>
      </c>
      <c r="AB200" s="2">
        <v>0</v>
      </c>
      <c r="AC200" s="2">
        <v>0</v>
      </c>
      <c r="AD200" s="2">
        <v>0</v>
      </c>
      <c r="AE200" s="2">
        <v>0</v>
      </c>
      <c r="AF200" s="2">
        <v>0</v>
      </c>
      <c r="AG200" s="2">
        <v>0</v>
      </c>
      <c r="AH200" s="2">
        <v>0</v>
      </c>
      <c r="AI200" s="2">
        <v>0</v>
      </c>
      <c r="AJ200" s="2">
        <v>0</v>
      </c>
      <c r="AK200" s="2">
        <v>0</v>
      </c>
      <c r="AL200" s="2">
        <v>0</v>
      </c>
      <c r="AM200" s="2">
        <v>0</v>
      </c>
      <c r="AN200" s="2">
        <v>0</v>
      </c>
      <c r="AO200" s="2">
        <v>0</v>
      </c>
      <c r="AP200" s="2">
        <v>0</v>
      </c>
      <c r="AQ200" s="2">
        <v>0</v>
      </c>
      <c r="AR200" s="2">
        <v>0</v>
      </c>
    </row>
    <row r="201" spans="1:44" x14ac:dyDescent="0.25">
      <c r="A201" t="s">
        <v>250</v>
      </c>
      <c r="B201" t="s">
        <v>294</v>
      </c>
      <c r="C201" t="s">
        <v>44</v>
      </c>
      <c r="D201" t="s">
        <v>144</v>
      </c>
      <c r="E201" t="s">
        <v>145</v>
      </c>
      <c r="F201" t="s">
        <v>144</v>
      </c>
      <c r="G201" t="s">
        <v>31</v>
      </c>
      <c r="H201" t="s">
        <v>274</v>
      </c>
      <c r="I201" t="s">
        <v>135</v>
      </c>
      <c r="J201" t="s">
        <v>39</v>
      </c>
      <c r="K201" t="s">
        <v>31</v>
      </c>
      <c r="L201">
        <v>1.192972744211509</v>
      </c>
      <c r="M201">
        <v>1</v>
      </c>
      <c r="N201">
        <v>4.607753102766619</v>
      </c>
      <c r="O201">
        <v>5.4674005771508289</v>
      </c>
      <c r="P201">
        <v>-1.7614983797832529</v>
      </c>
      <c r="Q201">
        <v>0.64270854047825887</v>
      </c>
      <c r="R201">
        <v>-1.862552393622352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>
        <v>0</v>
      </c>
      <c r="Y201" s="2">
        <v>0</v>
      </c>
      <c r="Z201" s="2">
        <v>0</v>
      </c>
      <c r="AA201" s="2">
        <v>0</v>
      </c>
      <c r="AB201" s="2">
        <v>0</v>
      </c>
      <c r="AC201" s="2">
        <v>0</v>
      </c>
      <c r="AD201" s="2">
        <v>0</v>
      </c>
      <c r="AE201" s="2">
        <v>0</v>
      </c>
      <c r="AF201" s="2">
        <v>0</v>
      </c>
      <c r="AG201" s="2">
        <v>0</v>
      </c>
      <c r="AH201" s="2">
        <v>0</v>
      </c>
      <c r="AI201" s="2">
        <v>0</v>
      </c>
      <c r="AJ201" s="2">
        <v>0</v>
      </c>
      <c r="AK201" s="2">
        <v>0</v>
      </c>
      <c r="AL201" s="2">
        <v>0</v>
      </c>
      <c r="AM201" s="2">
        <v>0</v>
      </c>
      <c r="AN201" s="2">
        <v>0</v>
      </c>
      <c r="AO201" s="2">
        <v>0</v>
      </c>
      <c r="AP201" s="2">
        <v>0</v>
      </c>
      <c r="AQ201" s="2">
        <v>0</v>
      </c>
      <c r="AR201" s="2">
        <v>0</v>
      </c>
    </row>
    <row r="202" spans="1:44" x14ac:dyDescent="0.25">
      <c r="A202" t="s">
        <v>250</v>
      </c>
      <c r="B202" t="s">
        <v>294</v>
      </c>
      <c r="C202" t="s">
        <v>44</v>
      </c>
      <c r="D202" t="s">
        <v>144</v>
      </c>
      <c r="E202" t="s">
        <v>145</v>
      </c>
      <c r="F202" t="s">
        <v>144</v>
      </c>
      <c r="G202" t="s">
        <v>31</v>
      </c>
      <c r="H202" t="s">
        <v>274</v>
      </c>
      <c r="I202" t="s">
        <v>135</v>
      </c>
      <c r="J202" t="s">
        <v>39</v>
      </c>
      <c r="K202" t="s">
        <v>33</v>
      </c>
      <c r="L202">
        <v>1.192972744211509</v>
      </c>
      <c r="M202">
        <v>1</v>
      </c>
      <c r="N202">
        <v>4.607753102766619</v>
      </c>
      <c r="O202">
        <v>5.4674005771508289</v>
      </c>
      <c r="P202">
        <v>-1.7614983797832529</v>
      </c>
      <c r="Q202">
        <v>0.64270854047825887</v>
      </c>
      <c r="R202">
        <v>-1.862552393622352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0</v>
      </c>
      <c r="Y202" s="2">
        <v>0</v>
      </c>
      <c r="Z202" s="2">
        <v>0</v>
      </c>
      <c r="AA202" s="2">
        <v>0</v>
      </c>
      <c r="AB202" s="2">
        <v>0</v>
      </c>
      <c r="AC202" s="2">
        <v>0</v>
      </c>
      <c r="AD202" s="2">
        <v>0</v>
      </c>
      <c r="AE202" s="2">
        <v>0</v>
      </c>
      <c r="AF202" s="2">
        <v>0</v>
      </c>
      <c r="AG202" s="2">
        <v>0</v>
      </c>
      <c r="AH202" s="2">
        <v>0</v>
      </c>
      <c r="AI202" s="2">
        <v>0</v>
      </c>
      <c r="AJ202" s="2">
        <v>0</v>
      </c>
      <c r="AK202" s="2">
        <v>0</v>
      </c>
      <c r="AL202" s="2">
        <v>0</v>
      </c>
      <c r="AM202" s="2">
        <v>0</v>
      </c>
      <c r="AN202" s="2">
        <v>0</v>
      </c>
      <c r="AO202" s="2">
        <v>0</v>
      </c>
      <c r="AP202" s="2">
        <v>0</v>
      </c>
      <c r="AQ202" s="2">
        <v>0</v>
      </c>
      <c r="AR202" s="2">
        <v>0</v>
      </c>
    </row>
    <row r="203" spans="1:44" x14ac:dyDescent="0.25">
      <c r="A203" t="s">
        <v>250</v>
      </c>
      <c r="B203" t="s">
        <v>294</v>
      </c>
      <c r="C203" t="s">
        <v>44</v>
      </c>
      <c r="D203" t="s">
        <v>144</v>
      </c>
      <c r="E203" t="s">
        <v>145</v>
      </c>
      <c r="F203" t="s">
        <v>144</v>
      </c>
      <c r="G203" t="s">
        <v>31</v>
      </c>
      <c r="H203" t="s">
        <v>275</v>
      </c>
      <c r="I203" t="s">
        <v>135</v>
      </c>
      <c r="J203" t="s">
        <v>39</v>
      </c>
      <c r="K203" t="s">
        <v>31</v>
      </c>
      <c r="L203">
        <v>1.192972744211509</v>
      </c>
      <c r="M203">
        <v>1</v>
      </c>
      <c r="N203">
        <v>4.607753102766619</v>
      </c>
      <c r="O203">
        <v>5.4674005771508289</v>
      </c>
      <c r="P203">
        <v>-1.7614983797832529</v>
      </c>
      <c r="Q203">
        <v>0.64270854047825887</v>
      </c>
      <c r="R203">
        <v>-1.862552393622352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  <c r="X203" s="2">
        <v>0</v>
      </c>
      <c r="Y203" s="2">
        <v>0</v>
      </c>
      <c r="Z203" s="2">
        <v>0</v>
      </c>
      <c r="AA203" s="2">
        <v>0</v>
      </c>
      <c r="AB203" s="2">
        <v>0</v>
      </c>
      <c r="AC203" s="2">
        <v>0</v>
      </c>
      <c r="AD203" s="2">
        <v>0</v>
      </c>
      <c r="AE203" s="2">
        <v>0</v>
      </c>
      <c r="AF203" s="2">
        <v>0</v>
      </c>
      <c r="AG203" s="2">
        <v>0</v>
      </c>
      <c r="AH203" s="2">
        <v>0</v>
      </c>
      <c r="AI203" s="2">
        <v>0</v>
      </c>
      <c r="AJ203" s="2">
        <v>0</v>
      </c>
      <c r="AK203" s="2">
        <v>0</v>
      </c>
      <c r="AL203" s="2">
        <v>0</v>
      </c>
      <c r="AM203" s="2">
        <v>0</v>
      </c>
      <c r="AN203" s="2">
        <v>0</v>
      </c>
      <c r="AO203" s="2">
        <v>0</v>
      </c>
      <c r="AP203" s="2">
        <v>0</v>
      </c>
      <c r="AQ203" s="2">
        <v>0</v>
      </c>
      <c r="AR203" s="2">
        <v>0</v>
      </c>
    </row>
    <row r="204" spans="1:44" x14ac:dyDescent="0.25">
      <c r="A204" t="s">
        <v>250</v>
      </c>
      <c r="B204" t="s">
        <v>294</v>
      </c>
      <c r="C204" t="s">
        <v>44</v>
      </c>
      <c r="D204" t="s">
        <v>144</v>
      </c>
      <c r="E204" t="s">
        <v>148</v>
      </c>
      <c r="F204" t="s">
        <v>144</v>
      </c>
      <c r="G204" t="s">
        <v>31</v>
      </c>
      <c r="H204" t="s">
        <v>272</v>
      </c>
      <c r="I204" t="s">
        <v>135</v>
      </c>
      <c r="J204" t="s">
        <v>39</v>
      </c>
      <c r="K204" t="s">
        <v>31</v>
      </c>
      <c r="L204">
        <v>1.192972744211509</v>
      </c>
      <c r="M204">
        <v>1</v>
      </c>
      <c r="N204">
        <v>4.607753102766619</v>
      </c>
      <c r="O204">
        <v>5.4674005771508289</v>
      </c>
      <c r="P204">
        <v>-1.7614983797832529</v>
      </c>
      <c r="Q204">
        <v>0.64270854047825887</v>
      </c>
      <c r="R204">
        <v>-1.862552393622352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2">
        <v>0</v>
      </c>
      <c r="Z204" s="2">
        <v>0</v>
      </c>
      <c r="AA204" s="2">
        <v>0</v>
      </c>
      <c r="AB204" s="2">
        <v>0</v>
      </c>
      <c r="AC204" s="2">
        <v>0</v>
      </c>
      <c r="AD204" s="2">
        <v>0</v>
      </c>
      <c r="AE204" s="2">
        <v>0</v>
      </c>
      <c r="AF204" s="2">
        <v>0</v>
      </c>
      <c r="AG204" s="2">
        <v>0</v>
      </c>
      <c r="AH204" s="2">
        <v>0</v>
      </c>
      <c r="AI204" s="2">
        <v>0</v>
      </c>
      <c r="AJ204" s="2">
        <v>0</v>
      </c>
      <c r="AK204" s="2">
        <v>0</v>
      </c>
      <c r="AL204" s="2">
        <v>0</v>
      </c>
      <c r="AM204" s="2">
        <v>0</v>
      </c>
      <c r="AN204" s="2">
        <v>0</v>
      </c>
      <c r="AO204" s="2">
        <v>0</v>
      </c>
      <c r="AP204" s="2">
        <v>0</v>
      </c>
      <c r="AQ204" s="2">
        <v>0</v>
      </c>
      <c r="AR204" s="2">
        <v>0</v>
      </c>
    </row>
    <row r="205" spans="1:44" x14ac:dyDescent="0.25">
      <c r="A205" t="s">
        <v>250</v>
      </c>
      <c r="B205" t="s">
        <v>294</v>
      </c>
      <c r="C205" t="s">
        <v>44</v>
      </c>
      <c r="D205" t="s">
        <v>144</v>
      </c>
      <c r="E205" t="s">
        <v>148</v>
      </c>
      <c r="F205" t="s">
        <v>144</v>
      </c>
      <c r="G205" t="s">
        <v>31</v>
      </c>
      <c r="H205" t="s">
        <v>272</v>
      </c>
      <c r="I205" t="s">
        <v>135</v>
      </c>
      <c r="J205" t="s">
        <v>40</v>
      </c>
      <c r="K205" t="s">
        <v>31</v>
      </c>
      <c r="L205">
        <v>1.192972744211509</v>
      </c>
      <c r="M205">
        <v>1</v>
      </c>
      <c r="N205">
        <v>4.607753102766619</v>
      </c>
      <c r="O205">
        <v>4.1746294160814514</v>
      </c>
      <c r="P205">
        <v>-1.7614983797832529</v>
      </c>
      <c r="Q205">
        <v>0.4672931329656026</v>
      </c>
      <c r="R205">
        <v>-1.7195523936223516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  <c r="Y205" s="2">
        <v>0</v>
      </c>
      <c r="Z205" s="2">
        <v>0</v>
      </c>
      <c r="AA205" s="2">
        <v>0</v>
      </c>
      <c r="AB205" s="2">
        <v>0</v>
      </c>
      <c r="AC205" s="2">
        <v>0</v>
      </c>
      <c r="AD205" s="2">
        <v>0</v>
      </c>
      <c r="AE205" s="2">
        <v>0</v>
      </c>
      <c r="AF205" s="2">
        <v>0</v>
      </c>
      <c r="AG205" s="2">
        <v>0</v>
      </c>
      <c r="AH205" s="2">
        <v>0</v>
      </c>
      <c r="AI205" s="2">
        <v>0</v>
      </c>
      <c r="AJ205" s="2">
        <v>0</v>
      </c>
      <c r="AK205" s="2">
        <v>0</v>
      </c>
      <c r="AL205" s="2">
        <v>0</v>
      </c>
      <c r="AM205" s="2">
        <v>0</v>
      </c>
      <c r="AN205" s="2">
        <v>0</v>
      </c>
      <c r="AO205" s="2">
        <v>0</v>
      </c>
      <c r="AP205" s="2">
        <v>0</v>
      </c>
      <c r="AQ205" s="2">
        <v>0</v>
      </c>
      <c r="AR205" s="2">
        <v>0</v>
      </c>
    </row>
    <row r="206" spans="1:44" x14ac:dyDescent="0.25">
      <c r="A206" t="s">
        <v>250</v>
      </c>
      <c r="B206" t="s">
        <v>294</v>
      </c>
      <c r="C206" t="s">
        <v>44</v>
      </c>
      <c r="D206" t="s">
        <v>144</v>
      </c>
      <c r="E206" t="s">
        <v>148</v>
      </c>
      <c r="F206" t="s">
        <v>144</v>
      </c>
      <c r="G206" t="s">
        <v>31</v>
      </c>
      <c r="H206" t="s">
        <v>273</v>
      </c>
      <c r="I206" t="s">
        <v>135</v>
      </c>
      <c r="J206" t="s">
        <v>39</v>
      </c>
      <c r="K206" t="s">
        <v>31</v>
      </c>
      <c r="L206">
        <v>1.192972744211509</v>
      </c>
      <c r="M206">
        <v>1</v>
      </c>
      <c r="N206">
        <v>4.607753102766619</v>
      </c>
      <c r="O206">
        <v>5.4674005771508289</v>
      </c>
      <c r="P206">
        <v>-1.7614983797832529</v>
      </c>
      <c r="Q206">
        <v>0.64270854047825887</v>
      </c>
      <c r="R206">
        <v>-1.862552393622352</v>
      </c>
      <c r="S206" s="2">
        <v>0</v>
      </c>
      <c r="T206" s="2">
        <v>0</v>
      </c>
      <c r="U206" s="2">
        <v>0</v>
      </c>
      <c r="V206" s="2">
        <v>0</v>
      </c>
      <c r="W206" s="2">
        <v>0</v>
      </c>
      <c r="X206" s="2">
        <v>0</v>
      </c>
      <c r="Y206" s="2">
        <v>0</v>
      </c>
      <c r="Z206" s="2">
        <v>0</v>
      </c>
      <c r="AA206" s="2">
        <v>0</v>
      </c>
      <c r="AB206" s="2">
        <v>0</v>
      </c>
      <c r="AC206" s="2">
        <v>0</v>
      </c>
      <c r="AD206" s="2">
        <v>0</v>
      </c>
      <c r="AE206" s="2">
        <v>0</v>
      </c>
      <c r="AF206" s="2">
        <v>0</v>
      </c>
      <c r="AG206" s="2">
        <v>0</v>
      </c>
      <c r="AH206" s="2">
        <v>0</v>
      </c>
      <c r="AI206" s="2">
        <v>0</v>
      </c>
      <c r="AJ206" s="2">
        <v>0</v>
      </c>
      <c r="AK206" s="2">
        <v>0</v>
      </c>
      <c r="AL206" s="2">
        <v>0</v>
      </c>
      <c r="AM206" s="2">
        <v>0</v>
      </c>
      <c r="AN206" s="2">
        <v>0</v>
      </c>
      <c r="AO206" s="2">
        <v>0</v>
      </c>
      <c r="AP206" s="2">
        <v>0</v>
      </c>
      <c r="AQ206" s="2">
        <v>0</v>
      </c>
      <c r="AR206" s="2">
        <v>0</v>
      </c>
    </row>
    <row r="207" spans="1:44" x14ac:dyDescent="0.25">
      <c r="A207" t="s">
        <v>250</v>
      </c>
      <c r="B207" t="s">
        <v>294</v>
      </c>
      <c r="C207" t="s">
        <v>44</v>
      </c>
      <c r="D207" t="s">
        <v>144</v>
      </c>
      <c r="E207" t="s">
        <v>148</v>
      </c>
      <c r="F207" t="s">
        <v>144</v>
      </c>
      <c r="G207" t="s">
        <v>31</v>
      </c>
      <c r="H207" t="s">
        <v>274</v>
      </c>
      <c r="I207" t="s">
        <v>135</v>
      </c>
      <c r="J207" t="s">
        <v>39</v>
      </c>
      <c r="K207" t="s">
        <v>31</v>
      </c>
      <c r="L207">
        <v>1.192972744211509</v>
      </c>
      <c r="M207">
        <v>1</v>
      </c>
      <c r="N207">
        <v>4.607753102766619</v>
      </c>
      <c r="O207">
        <v>5.4674005771508289</v>
      </c>
      <c r="P207">
        <v>-1.7614983797832529</v>
      </c>
      <c r="Q207">
        <v>0.64270854047825887</v>
      </c>
      <c r="R207">
        <v>-1.862552393622352</v>
      </c>
      <c r="S207" s="2">
        <v>0</v>
      </c>
      <c r="T207" s="2">
        <v>0</v>
      </c>
      <c r="U207" s="2">
        <v>0</v>
      </c>
      <c r="V207" s="2">
        <v>0</v>
      </c>
      <c r="W207" s="2">
        <v>0</v>
      </c>
      <c r="X207" s="2">
        <v>0</v>
      </c>
      <c r="Y207" s="2">
        <v>0</v>
      </c>
      <c r="Z207" s="2">
        <v>0</v>
      </c>
      <c r="AA207" s="2">
        <v>0</v>
      </c>
      <c r="AB207" s="2">
        <v>0</v>
      </c>
      <c r="AC207" s="2">
        <v>0</v>
      </c>
      <c r="AD207" s="2">
        <v>0</v>
      </c>
      <c r="AE207" s="2">
        <v>0</v>
      </c>
      <c r="AF207" s="2">
        <v>0</v>
      </c>
      <c r="AG207" s="2">
        <v>0</v>
      </c>
      <c r="AH207" s="2">
        <v>0</v>
      </c>
      <c r="AI207" s="2">
        <v>0</v>
      </c>
      <c r="AJ207" s="2">
        <v>0</v>
      </c>
      <c r="AK207" s="2">
        <v>0</v>
      </c>
      <c r="AL207" s="2">
        <v>0</v>
      </c>
      <c r="AM207" s="2">
        <v>0</v>
      </c>
      <c r="AN207" s="2">
        <v>0</v>
      </c>
      <c r="AO207" s="2">
        <v>0</v>
      </c>
      <c r="AP207" s="2">
        <v>0</v>
      </c>
      <c r="AQ207" s="2">
        <v>0</v>
      </c>
      <c r="AR207" s="2">
        <v>0</v>
      </c>
    </row>
    <row r="208" spans="1:44" x14ac:dyDescent="0.25">
      <c r="A208" t="s">
        <v>250</v>
      </c>
      <c r="B208" t="s">
        <v>294</v>
      </c>
      <c r="C208" t="s">
        <v>44</v>
      </c>
      <c r="D208" t="s">
        <v>144</v>
      </c>
      <c r="E208" t="s">
        <v>148</v>
      </c>
      <c r="F208" t="s">
        <v>144</v>
      </c>
      <c r="G208" t="s">
        <v>31</v>
      </c>
      <c r="H208" t="s">
        <v>274</v>
      </c>
      <c r="I208" t="s">
        <v>135</v>
      </c>
      <c r="J208" t="s">
        <v>39</v>
      </c>
      <c r="K208" t="s">
        <v>33</v>
      </c>
      <c r="L208">
        <v>1.192972744211509</v>
      </c>
      <c r="M208">
        <v>1</v>
      </c>
      <c r="N208">
        <v>4.607753102766619</v>
      </c>
      <c r="O208">
        <v>5.4674005771508289</v>
      </c>
      <c r="P208">
        <v>-1.7614983797832529</v>
      </c>
      <c r="Q208">
        <v>0.64270854047825887</v>
      </c>
      <c r="R208">
        <v>-1.862552393622352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  <c r="Y208" s="2">
        <v>0</v>
      </c>
      <c r="Z208" s="2">
        <v>0</v>
      </c>
      <c r="AA208" s="2">
        <v>0</v>
      </c>
      <c r="AB208" s="2">
        <v>0</v>
      </c>
      <c r="AC208" s="2">
        <v>0</v>
      </c>
      <c r="AD208" s="2">
        <v>0</v>
      </c>
      <c r="AE208" s="2">
        <v>0</v>
      </c>
      <c r="AF208" s="2">
        <v>0</v>
      </c>
      <c r="AG208" s="2">
        <v>0</v>
      </c>
      <c r="AH208" s="2">
        <v>0</v>
      </c>
      <c r="AI208" s="2">
        <v>0</v>
      </c>
      <c r="AJ208" s="2">
        <v>0</v>
      </c>
      <c r="AK208" s="2">
        <v>0</v>
      </c>
      <c r="AL208" s="2">
        <v>0</v>
      </c>
      <c r="AM208" s="2">
        <v>0</v>
      </c>
      <c r="AN208" s="2">
        <v>0</v>
      </c>
      <c r="AO208" s="2">
        <v>0</v>
      </c>
      <c r="AP208" s="2">
        <v>0</v>
      </c>
      <c r="AQ208" s="2">
        <v>0</v>
      </c>
      <c r="AR208" s="2">
        <v>0</v>
      </c>
    </row>
    <row r="209" spans="1:44" x14ac:dyDescent="0.25">
      <c r="A209" t="s">
        <v>250</v>
      </c>
      <c r="B209" t="s">
        <v>294</v>
      </c>
      <c r="C209" t="s">
        <v>44</v>
      </c>
      <c r="D209" t="s">
        <v>144</v>
      </c>
      <c r="E209" t="s">
        <v>148</v>
      </c>
      <c r="F209" t="s">
        <v>144</v>
      </c>
      <c r="G209" t="s">
        <v>31</v>
      </c>
      <c r="H209" t="s">
        <v>275</v>
      </c>
      <c r="I209" t="s">
        <v>135</v>
      </c>
      <c r="J209" t="s">
        <v>39</v>
      </c>
      <c r="K209" t="s">
        <v>31</v>
      </c>
      <c r="L209">
        <v>1.192972744211509</v>
      </c>
      <c r="M209">
        <v>1</v>
      </c>
      <c r="N209">
        <v>4.607753102766619</v>
      </c>
      <c r="O209">
        <v>5.4674005771508289</v>
      </c>
      <c r="P209">
        <v>-1.7614983797832529</v>
      </c>
      <c r="Q209">
        <v>0.64270854047825887</v>
      </c>
      <c r="R209">
        <v>-1.862552393622352</v>
      </c>
      <c r="S209" s="2">
        <v>0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0</v>
      </c>
      <c r="AA209" s="2">
        <v>0</v>
      </c>
      <c r="AB209" s="2">
        <v>0</v>
      </c>
      <c r="AC209" s="2">
        <v>0</v>
      </c>
      <c r="AD209" s="2">
        <v>0</v>
      </c>
      <c r="AE209" s="2">
        <v>0</v>
      </c>
      <c r="AF209" s="2">
        <v>0</v>
      </c>
      <c r="AG209" s="2">
        <v>0</v>
      </c>
      <c r="AH209" s="2">
        <v>0</v>
      </c>
      <c r="AI209" s="2">
        <v>0</v>
      </c>
      <c r="AJ209" s="2">
        <v>0</v>
      </c>
      <c r="AK209" s="2">
        <v>0</v>
      </c>
      <c r="AL209" s="2">
        <v>0</v>
      </c>
      <c r="AM209" s="2">
        <v>0</v>
      </c>
      <c r="AN209" s="2">
        <v>0</v>
      </c>
      <c r="AO209" s="2">
        <v>0</v>
      </c>
      <c r="AP209" s="2">
        <v>0</v>
      </c>
      <c r="AQ209" s="2">
        <v>0</v>
      </c>
      <c r="AR209" s="2">
        <v>0</v>
      </c>
    </row>
    <row r="210" spans="1:44" x14ac:dyDescent="0.25">
      <c r="A210" t="s">
        <v>250</v>
      </c>
      <c r="B210" t="s">
        <v>295</v>
      </c>
      <c r="C210" t="s">
        <v>44</v>
      </c>
      <c r="D210" t="s">
        <v>144</v>
      </c>
      <c r="E210" t="s">
        <v>145</v>
      </c>
      <c r="F210" t="s">
        <v>144</v>
      </c>
      <c r="G210" t="s">
        <v>31</v>
      </c>
      <c r="H210" t="s">
        <v>276</v>
      </c>
      <c r="I210" t="s">
        <v>135</v>
      </c>
      <c r="J210" t="s">
        <v>39</v>
      </c>
      <c r="K210" t="s">
        <v>31</v>
      </c>
      <c r="L210">
        <v>0.93349170799660908</v>
      </c>
      <c r="M210">
        <v>1</v>
      </c>
      <c r="N210">
        <v>3.9962486596992206</v>
      </c>
      <c r="O210">
        <v>5.463966537645744</v>
      </c>
      <c r="P210">
        <v>-1.663616816755924</v>
      </c>
      <c r="Q210">
        <v>0.74059010350558885</v>
      </c>
      <c r="R210">
        <v>-1.8625523936223525</v>
      </c>
      <c r="S210" s="2">
        <v>2.5149837153272796</v>
      </c>
      <c r="T210" s="2">
        <v>3.6831519965477946</v>
      </c>
      <c r="U210" s="2">
        <v>5.0110746283521168</v>
      </c>
      <c r="V210" s="2">
        <v>6.5588160057549452</v>
      </c>
      <c r="W210" s="2">
        <v>8.2508931698024419</v>
      </c>
      <c r="X210" s="2">
        <v>9.9725536988377819</v>
      </c>
      <c r="Y210" s="2">
        <v>11.586956814990282</v>
      </c>
      <c r="Z210" s="2">
        <v>12.965390155663458</v>
      </c>
      <c r="AA210" s="2">
        <v>14.02140276259464</v>
      </c>
      <c r="AB210" s="2">
        <v>14.733800558817384</v>
      </c>
      <c r="AC210" s="2">
        <v>15.145851691159198</v>
      </c>
      <c r="AD210" s="2">
        <v>15.320518321863746</v>
      </c>
      <c r="AE210" s="2">
        <v>15.288345233387838</v>
      </c>
      <c r="AF210" s="2">
        <v>15.256239708397723</v>
      </c>
      <c r="AG210" s="2">
        <v>15.224201605010089</v>
      </c>
      <c r="AH210" s="2">
        <v>15.192230781639568</v>
      </c>
      <c r="AI210" s="2">
        <v>15.16032709699812</v>
      </c>
      <c r="AJ210" s="2">
        <v>15.128490410094425</v>
      </c>
      <c r="AK210" s="2">
        <v>15.09672058023323</v>
      </c>
      <c r="AL210" s="2">
        <v>15.065017467014737</v>
      </c>
      <c r="AM210" s="2">
        <v>15.03338093033401</v>
      </c>
      <c r="AN210" s="2">
        <v>15.001810830380307</v>
      </c>
      <c r="AO210" s="2">
        <v>14.970307027636514</v>
      </c>
      <c r="AP210" s="2">
        <v>14.938869382878472</v>
      </c>
      <c r="AQ210" s="2">
        <v>14.907497757174427</v>
      </c>
      <c r="AR210" s="2">
        <v>316.02883233089057</v>
      </c>
    </row>
    <row r="211" spans="1:44" x14ac:dyDescent="0.25">
      <c r="A211" t="s">
        <v>250</v>
      </c>
      <c r="B211" t="s">
        <v>295</v>
      </c>
      <c r="C211" t="s">
        <v>44</v>
      </c>
      <c r="D211" t="s">
        <v>144</v>
      </c>
      <c r="E211" t="s">
        <v>148</v>
      </c>
      <c r="F211" t="s">
        <v>144</v>
      </c>
      <c r="G211" t="s">
        <v>31</v>
      </c>
      <c r="H211" t="s">
        <v>276</v>
      </c>
      <c r="I211" t="s">
        <v>135</v>
      </c>
      <c r="J211" t="s">
        <v>39</v>
      </c>
      <c r="K211" t="s">
        <v>31</v>
      </c>
      <c r="L211">
        <v>0.93349170799660908</v>
      </c>
      <c r="M211">
        <v>1</v>
      </c>
      <c r="N211">
        <v>3.9962486596992206</v>
      </c>
      <c r="O211">
        <v>5.463966537645744</v>
      </c>
      <c r="P211">
        <v>-1.663616816755924</v>
      </c>
      <c r="Q211">
        <v>0.74059010350558885</v>
      </c>
      <c r="R211">
        <v>-1.8625523936223525</v>
      </c>
      <c r="S211" s="2">
        <v>0.71309220531627204</v>
      </c>
      <c r="T211" s="2">
        <v>1.2402817956484464</v>
      </c>
      <c r="U211" s="2">
        <v>1.7064497083488448</v>
      </c>
      <c r="V211" s="2">
        <v>2.2587071768384193</v>
      </c>
      <c r="W211" s="2">
        <v>2.8735395824096117</v>
      </c>
      <c r="X211" s="2">
        <v>3.5124821281640042</v>
      </c>
      <c r="Y211" s="2">
        <v>4.1274169336899647</v>
      </c>
      <c r="Z211" s="2">
        <v>4.6709515324033068</v>
      </c>
      <c r="AA211" s="2">
        <v>5.1089489975097662</v>
      </c>
      <c r="AB211" s="2">
        <v>5.4298101699594827</v>
      </c>
      <c r="AC211" s="2">
        <v>5.6455031429157936</v>
      </c>
      <c r="AD211" s="2">
        <v>5.7760474795151646</v>
      </c>
      <c r="AE211" s="2">
        <v>5.8300902833782446</v>
      </c>
      <c r="AF211" s="2">
        <v>5.8847616765220385</v>
      </c>
      <c r="AG211" s="2">
        <v>5.9400686608171958</v>
      </c>
      <c r="AH211" s="2">
        <v>5.9960183167547907</v>
      </c>
      <c r="AI211" s="2">
        <v>6.0526178043284178</v>
      </c>
      <c r="AJ211" s="2">
        <v>6.1098743639240034</v>
      </c>
      <c r="AK211" s="2">
        <v>6.1677953172230326</v>
      </c>
      <c r="AL211" s="2">
        <v>6.2263880681133958</v>
      </c>
      <c r="AM211" s="2">
        <v>6.2856601036097883</v>
      </c>
      <c r="AN211" s="2">
        <v>6.3456189947878068</v>
      </c>
      <c r="AO211" s="2">
        <v>6.4062723977247664</v>
      </c>
      <c r="AP211" s="2">
        <v>6.467628054453523</v>
      </c>
      <c r="AQ211" s="2">
        <v>6.5296937939263753</v>
      </c>
      <c r="AR211" s="2">
        <v>123.30571868828245</v>
      </c>
    </row>
    <row r="212" spans="1:44" x14ac:dyDescent="0.25">
      <c r="A212" t="s">
        <v>250</v>
      </c>
      <c r="B212" t="s">
        <v>350</v>
      </c>
      <c r="C212" t="s">
        <v>45</v>
      </c>
      <c r="D212" t="s">
        <v>345</v>
      </c>
      <c r="E212" t="s">
        <v>145</v>
      </c>
      <c r="F212" t="s">
        <v>345</v>
      </c>
      <c r="G212" t="s">
        <v>31</v>
      </c>
      <c r="H212" t="s">
        <v>253</v>
      </c>
      <c r="I212" t="s">
        <v>135</v>
      </c>
      <c r="J212" t="s">
        <v>39</v>
      </c>
      <c r="K212" t="s">
        <v>31</v>
      </c>
      <c r="L212">
        <v>0.36000000000000054</v>
      </c>
      <c r="M212">
        <v>1</v>
      </c>
      <c r="N212">
        <v>1.3933456709467129</v>
      </c>
      <c r="O212">
        <v>3.1590792310146649</v>
      </c>
      <c r="P212">
        <v>1.2700298285369591E-2</v>
      </c>
      <c r="Q212">
        <v>1.2280725459377344</v>
      </c>
      <c r="R212">
        <v>-0.67371772101320471</v>
      </c>
      <c r="S212" s="2">
        <v>1.9955102317238785E-4</v>
      </c>
      <c r="T212" s="2">
        <v>3.056693737590085E-4</v>
      </c>
      <c r="U212" s="2">
        <v>6.6468852659907444E-4</v>
      </c>
      <c r="V212" s="2">
        <v>1.2455930041845866E-3</v>
      </c>
      <c r="W212" s="2">
        <v>2.1227223810924862E-3</v>
      </c>
      <c r="X212" s="2">
        <v>3.3723895681808088E-3</v>
      </c>
      <c r="Y212" s="2">
        <v>5.0632739313240848E-3</v>
      </c>
      <c r="Z212" s="2">
        <v>7.2433751926819848E-3</v>
      </c>
      <c r="AA212" s="2">
        <v>9.9246021571446439E-3</v>
      </c>
      <c r="AB212" s="2">
        <v>1.3067628635121741E-2</v>
      </c>
      <c r="AC212" s="2">
        <v>1.6571330430059986E-2</v>
      </c>
      <c r="AD212" s="2">
        <v>2.027214762226541E-2</v>
      </c>
      <c r="AE212" s="2">
        <v>2.395800911328724E-2</v>
      </c>
      <c r="AF212" s="2">
        <v>2.7398111126142728E-2</v>
      </c>
      <c r="AG212" s="2">
        <v>3.0384007147743745E-2</v>
      </c>
      <c r="AH212" s="2">
        <v>3.277111038380081E-2</v>
      </c>
      <c r="AI212" s="2">
        <v>3.4506407814401639E-2</v>
      </c>
      <c r="AJ212" s="2">
        <v>3.5729146175153846E-2</v>
      </c>
      <c r="AK212" s="2">
        <v>3.6323962023248967E-2</v>
      </c>
      <c r="AL212" s="2">
        <v>3.6765646575344722E-2</v>
      </c>
      <c r="AM212" s="2">
        <v>4.5769522931999783E-2</v>
      </c>
      <c r="AN212" s="2">
        <v>4.8841911348190194E-2</v>
      </c>
      <c r="AO212" s="2">
        <v>4.8666248421268633E-2</v>
      </c>
      <c r="AP212" s="2">
        <v>4.8419451267495965E-2</v>
      </c>
      <c r="AQ212" s="2">
        <v>4.807522111909629E-2</v>
      </c>
      <c r="AR212" s="2">
        <v>0.57766172729276066</v>
      </c>
    </row>
    <row r="213" spans="1:44" x14ac:dyDescent="0.25">
      <c r="A213" t="s">
        <v>250</v>
      </c>
      <c r="B213" t="s">
        <v>350</v>
      </c>
      <c r="C213" t="s">
        <v>45</v>
      </c>
      <c r="D213" t="s">
        <v>345</v>
      </c>
      <c r="E213" t="s">
        <v>145</v>
      </c>
      <c r="F213" t="s">
        <v>345</v>
      </c>
      <c r="G213" t="s">
        <v>31</v>
      </c>
      <c r="H213" t="s">
        <v>253</v>
      </c>
      <c r="I213" t="s">
        <v>135</v>
      </c>
      <c r="J213" t="s">
        <v>40</v>
      </c>
      <c r="K213" t="s">
        <v>31</v>
      </c>
      <c r="L213">
        <v>0.36000000000000054</v>
      </c>
      <c r="M213">
        <v>1</v>
      </c>
      <c r="N213">
        <v>1.3933456709467129</v>
      </c>
      <c r="O213">
        <v>1.9798085216903551</v>
      </c>
      <c r="P213">
        <v>1.2700298285369591E-2</v>
      </c>
      <c r="Q213">
        <v>0.4672931329656026</v>
      </c>
      <c r="R213">
        <v>-0.53071772101320469</v>
      </c>
      <c r="S213" s="2">
        <v>1.049679856458188E-4</v>
      </c>
      <c r="T213" s="2">
        <v>1.6078844361215849E-4</v>
      </c>
      <c r="U213" s="2">
        <v>3.4963997983973458E-4</v>
      </c>
      <c r="V213" s="2">
        <v>6.5520780853541504E-4</v>
      </c>
      <c r="W213" s="2">
        <v>1.1165960909961697E-3</v>
      </c>
      <c r="X213" s="2">
        <v>1.7739470044165358E-3</v>
      </c>
      <c r="Y213" s="2">
        <v>2.6633873226745591E-3</v>
      </c>
      <c r="Z213" s="2">
        <v>3.8101658972497284E-3</v>
      </c>
      <c r="AA213" s="2">
        <v>5.2205470070261764E-3</v>
      </c>
      <c r="AB213" s="2">
        <v>6.8738442589261085E-3</v>
      </c>
      <c r="AC213" s="2">
        <v>8.7168642238029271E-3</v>
      </c>
      <c r="AD213" s="2">
        <v>1.0663570984477514E-2</v>
      </c>
      <c r="AE213" s="2">
        <v>1.2602410735491079E-2</v>
      </c>
      <c r="AF213" s="2">
        <v>1.4411975893138109E-2</v>
      </c>
      <c r="AG213" s="2">
        <v>1.5982619259193729E-2</v>
      </c>
      <c r="AH213" s="2">
        <v>1.7238285174777955E-2</v>
      </c>
      <c r="AI213" s="2">
        <v>1.815108768959733E-2</v>
      </c>
      <c r="AJ213" s="2">
        <v>1.879427348067771E-2</v>
      </c>
      <c r="AK213" s="2">
        <v>1.9107158979394571E-2</v>
      </c>
      <c r="AL213" s="2">
        <v>1.9339494233743613E-2</v>
      </c>
      <c r="AM213" s="2">
        <v>2.4075720333399477E-2</v>
      </c>
      <c r="AN213" s="2">
        <v>2.5691860496662149E-2</v>
      </c>
      <c r="AO213" s="2">
        <v>2.5599458146133017E-2</v>
      </c>
      <c r="AP213" s="2">
        <v>2.5469637713830689E-2</v>
      </c>
      <c r="AQ213" s="2">
        <v>2.5288565501312595E-2</v>
      </c>
      <c r="AR213" s="2">
        <v>0.30386207464455478</v>
      </c>
    </row>
    <row r="214" spans="1:44" x14ac:dyDescent="0.25">
      <c r="A214" t="s">
        <v>250</v>
      </c>
      <c r="B214" t="s">
        <v>350</v>
      </c>
      <c r="C214" t="s">
        <v>45</v>
      </c>
      <c r="D214" t="s">
        <v>345</v>
      </c>
      <c r="E214" t="s">
        <v>145</v>
      </c>
      <c r="F214" t="s">
        <v>345</v>
      </c>
      <c r="G214" t="s">
        <v>31</v>
      </c>
      <c r="H214" t="s">
        <v>253</v>
      </c>
      <c r="I214" t="s">
        <v>256</v>
      </c>
      <c r="J214" t="s">
        <v>39</v>
      </c>
      <c r="K214" t="s">
        <v>31</v>
      </c>
      <c r="L214">
        <v>0.36000000000000054</v>
      </c>
      <c r="M214">
        <v>1</v>
      </c>
      <c r="N214">
        <v>1.1701485319451077</v>
      </c>
      <c r="O214">
        <v>2.6530329131883184</v>
      </c>
      <c r="P214">
        <v>0.28680257702508921</v>
      </c>
      <c r="Q214">
        <v>0.4672931329656026</v>
      </c>
      <c r="R214">
        <v>-0.39961544227348506</v>
      </c>
      <c r="S214" s="2">
        <v>1.0467666672542121E-4</v>
      </c>
      <c r="T214" s="2">
        <v>1.6034220549948714E-4</v>
      </c>
      <c r="U214" s="2">
        <v>3.4866961977396719E-4</v>
      </c>
      <c r="V214" s="2">
        <v>6.5338940237810663E-4</v>
      </c>
      <c r="W214" s="2">
        <v>1.113497188356971E-3</v>
      </c>
      <c r="X214" s="2">
        <v>1.7690237478351159E-3</v>
      </c>
      <c r="Y214" s="2">
        <v>2.6559955916180037E-3</v>
      </c>
      <c r="Z214" s="2">
        <v>3.7995914977421693E-3</v>
      </c>
      <c r="AA214" s="2">
        <v>5.206058359762779E-3</v>
      </c>
      <c r="AB214" s="2">
        <v>6.8547671957989885E-3</v>
      </c>
      <c r="AC214" s="2">
        <v>8.6926722050716214E-3</v>
      </c>
      <c r="AD214" s="2">
        <v>1.0633976246923308E-2</v>
      </c>
      <c r="AE214" s="2">
        <v>1.256743511252106E-2</v>
      </c>
      <c r="AF214" s="2">
        <v>1.4371978162095119E-2</v>
      </c>
      <c r="AG214" s="2">
        <v>1.5938262502616297E-2</v>
      </c>
      <c r="AH214" s="2">
        <v>1.7190443553394778E-2</v>
      </c>
      <c r="AI214" s="2">
        <v>1.8100712756352267E-2</v>
      </c>
      <c r="AJ214" s="2">
        <v>1.8742113506125813E-2</v>
      </c>
      <c r="AK214" s="2">
        <v>1.9054130649933006E-2</v>
      </c>
      <c r="AL214" s="2">
        <v>1.9285821101440007E-2</v>
      </c>
      <c r="AM214" s="2">
        <v>2.4008902695505697E-2</v>
      </c>
      <c r="AN214" s="2">
        <v>2.5620557565422267E-2</v>
      </c>
      <c r="AO214" s="2">
        <v>2.5528411660254404E-2</v>
      </c>
      <c r="AP214" s="2">
        <v>2.53989515201682E-2</v>
      </c>
      <c r="AQ214" s="2">
        <v>2.5218381839552061E-2</v>
      </c>
      <c r="AR214" s="2">
        <v>0.30301876255286692</v>
      </c>
    </row>
    <row r="215" spans="1:44" x14ac:dyDescent="0.25">
      <c r="A215" t="s">
        <v>250</v>
      </c>
      <c r="B215" t="s">
        <v>350</v>
      </c>
      <c r="C215" t="s">
        <v>45</v>
      </c>
      <c r="D215" t="s">
        <v>345</v>
      </c>
      <c r="E215" t="s">
        <v>148</v>
      </c>
      <c r="F215" t="s">
        <v>345</v>
      </c>
      <c r="G215" t="s">
        <v>31</v>
      </c>
      <c r="H215" t="s">
        <v>253</v>
      </c>
      <c r="I215" t="s">
        <v>135</v>
      </c>
      <c r="J215" t="s">
        <v>39</v>
      </c>
      <c r="K215" t="s">
        <v>31</v>
      </c>
      <c r="L215">
        <v>0.36000000000000054</v>
      </c>
      <c r="M215">
        <v>1</v>
      </c>
      <c r="N215">
        <v>1.3933456709467129</v>
      </c>
      <c r="O215">
        <v>3.1590792310146649</v>
      </c>
      <c r="P215">
        <v>1.2700298285369591E-2</v>
      </c>
      <c r="Q215">
        <v>1.2280725459377344</v>
      </c>
      <c r="R215">
        <v>-0.67371772101320471</v>
      </c>
      <c r="S215" s="2">
        <v>4.5264159229309058E-5</v>
      </c>
      <c r="T215" s="2">
        <v>9.4788506560006589E-5</v>
      </c>
      <c r="U215" s="2">
        <v>2.0844886475562769E-4</v>
      </c>
      <c r="V215" s="2">
        <v>3.9505238914982853E-4</v>
      </c>
      <c r="W215" s="2">
        <v>6.8090786608287189E-4</v>
      </c>
      <c r="X215" s="2">
        <v>1.0941296987504027E-3</v>
      </c>
      <c r="Y215" s="2">
        <v>1.6615658727540028E-3</v>
      </c>
      <c r="Z215" s="2">
        <v>2.4043694436920856E-3</v>
      </c>
      <c r="AA215" s="2">
        <v>3.3324701532312104E-3</v>
      </c>
      <c r="AB215" s="2">
        <v>4.4387594315652024E-3</v>
      </c>
      <c r="AC215" s="2">
        <v>5.6944585582722812E-3</v>
      </c>
      <c r="AD215" s="2">
        <v>7.0476362673684602E-3</v>
      </c>
      <c r="AE215" s="2">
        <v>8.4267748392898804E-3</v>
      </c>
      <c r="AF215" s="2">
        <v>9.750263722587818E-3</v>
      </c>
      <c r="AG215" s="2">
        <v>1.0940668288626701E-2</v>
      </c>
      <c r="AH215" s="2">
        <v>1.1940179561354064E-2</v>
      </c>
      <c r="AI215" s="2">
        <v>1.2722077655350935E-2</v>
      </c>
      <c r="AJ215" s="2">
        <v>1.3330212177728187E-2</v>
      </c>
      <c r="AK215" s="2">
        <v>1.3714537432913997E-2</v>
      </c>
      <c r="AL215" s="2">
        <v>1.4048208109432784E-2</v>
      </c>
      <c r="AM215" s="2">
        <v>1.4216254727139032E-2</v>
      </c>
      <c r="AN215" s="2">
        <v>1.4329325507869637E-2</v>
      </c>
      <c r="AO215" s="2">
        <v>1.4443854354204389E-2</v>
      </c>
      <c r="AP215" s="2">
        <v>1.4559856838123308E-2</v>
      </c>
      <c r="AQ215" s="2">
        <v>1.4677348709432075E-2</v>
      </c>
      <c r="AR215" s="2">
        <v>0.19419741313546413</v>
      </c>
    </row>
    <row r="216" spans="1:44" x14ac:dyDescent="0.25">
      <c r="A216" t="s">
        <v>250</v>
      </c>
      <c r="B216" t="s">
        <v>350</v>
      </c>
      <c r="C216" t="s">
        <v>45</v>
      </c>
      <c r="D216" t="s">
        <v>345</v>
      </c>
      <c r="E216" t="s">
        <v>148</v>
      </c>
      <c r="F216" t="s">
        <v>345</v>
      </c>
      <c r="G216" t="s">
        <v>31</v>
      </c>
      <c r="H216" t="s">
        <v>253</v>
      </c>
      <c r="I216" t="s">
        <v>135</v>
      </c>
      <c r="J216" t="s">
        <v>40</v>
      </c>
      <c r="K216" t="s">
        <v>31</v>
      </c>
      <c r="L216">
        <v>0.36000000000000054</v>
      </c>
      <c r="M216">
        <v>1</v>
      </c>
      <c r="N216">
        <v>1.3933456709467129</v>
      </c>
      <c r="O216">
        <v>1.9798085216903551</v>
      </c>
      <c r="P216">
        <v>1.2700298285369591E-2</v>
      </c>
      <c r="Q216">
        <v>0.4672931329656026</v>
      </c>
      <c r="R216">
        <v>-0.53071772101320469</v>
      </c>
      <c r="S216" s="2">
        <v>2.3809888522333622E-5</v>
      </c>
      <c r="T216" s="2">
        <v>4.9860724529505416E-5</v>
      </c>
      <c r="U216" s="2">
        <v>1.0964843525083612E-4</v>
      </c>
      <c r="V216" s="2">
        <v>2.0780576743925164E-4</v>
      </c>
      <c r="W216" s="2">
        <v>3.5817168951004656E-4</v>
      </c>
      <c r="X216" s="2">
        <v>5.7553496187228879E-4</v>
      </c>
      <c r="Y216" s="2">
        <v>8.7401818295942978E-4</v>
      </c>
      <c r="Z216" s="2">
        <v>1.2647482996601114E-3</v>
      </c>
      <c r="AA216" s="2">
        <v>1.7529485624701881E-3</v>
      </c>
      <c r="AB216" s="2">
        <v>2.3348797159274954E-3</v>
      </c>
      <c r="AC216" s="2">
        <v>2.9954035549547568E-3</v>
      </c>
      <c r="AD216" s="2">
        <v>3.7072031543080785E-3</v>
      </c>
      <c r="AE216" s="2">
        <v>4.4326587070765587E-3</v>
      </c>
      <c r="AF216" s="2">
        <v>5.1288413670091846E-3</v>
      </c>
      <c r="AG216" s="2">
        <v>5.7550189100465266E-3</v>
      </c>
      <c r="AH216" s="2">
        <v>6.2807826132867629E-3</v>
      </c>
      <c r="AI216" s="2">
        <v>6.6920772616547268E-3</v>
      </c>
      <c r="AJ216" s="2">
        <v>7.0119686598584747E-3</v>
      </c>
      <c r="AK216" s="2">
        <v>7.2141317318806112E-3</v>
      </c>
      <c r="AL216" s="2">
        <v>7.3896494427218452E-3</v>
      </c>
      <c r="AM216" s="2">
        <v>7.4780454563067207E-3</v>
      </c>
      <c r="AN216" s="2">
        <v>7.5375230370276838E-3</v>
      </c>
      <c r="AO216" s="2">
        <v>7.5977675905608182E-3</v>
      </c>
      <c r="AP216" s="2">
        <v>7.6587873080912437E-3</v>
      </c>
      <c r="AQ216" s="2">
        <v>7.7205904743440244E-3</v>
      </c>
      <c r="AR216" s="2">
        <v>0.10215187549726951</v>
      </c>
    </row>
    <row r="217" spans="1:44" x14ac:dyDescent="0.25">
      <c r="A217" t="s">
        <v>250</v>
      </c>
      <c r="B217" t="s">
        <v>350</v>
      </c>
      <c r="C217" t="s">
        <v>45</v>
      </c>
      <c r="D217" t="s">
        <v>345</v>
      </c>
      <c r="E217" t="s">
        <v>148</v>
      </c>
      <c r="F217" t="s">
        <v>345</v>
      </c>
      <c r="G217" t="s">
        <v>31</v>
      </c>
      <c r="H217" t="s">
        <v>253</v>
      </c>
      <c r="I217" t="s">
        <v>256</v>
      </c>
      <c r="J217" t="s">
        <v>39</v>
      </c>
      <c r="K217" t="s">
        <v>31</v>
      </c>
      <c r="L217">
        <v>0.36000000000000054</v>
      </c>
      <c r="M217">
        <v>1</v>
      </c>
      <c r="N217">
        <v>1.1701485319451077</v>
      </c>
      <c r="O217">
        <v>2.6530329131883184</v>
      </c>
      <c r="P217">
        <v>0.28680257702508921</v>
      </c>
      <c r="Q217">
        <v>0.4672931329656026</v>
      </c>
      <c r="R217">
        <v>-0.39961544227348506</v>
      </c>
      <c r="S217" s="2">
        <v>2.3743808650680969E-5</v>
      </c>
      <c r="T217" s="2">
        <v>4.9722345457536007E-5</v>
      </c>
      <c r="U217" s="2">
        <v>1.0934412662202931E-4</v>
      </c>
      <c r="V217" s="2">
        <v>2.0722904157897495E-4</v>
      </c>
      <c r="W217" s="2">
        <v>3.5717765128721901E-4</v>
      </c>
      <c r="X217" s="2">
        <v>5.7393767273016016E-4</v>
      </c>
      <c r="Y217" s="2">
        <v>8.7159250972295571E-4</v>
      </c>
      <c r="Z217" s="2">
        <v>1.2612382284039575E-3</v>
      </c>
      <c r="AA217" s="2">
        <v>1.748083583118747E-3</v>
      </c>
      <c r="AB217" s="2">
        <v>2.3283996960059951E-3</v>
      </c>
      <c r="AC217" s="2">
        <v>2.9870903752322714E-3</v>
      </c>
      <c r="AD217" s="2">
        <v>3.6969145085465681E-3</v>
      </c>
      <c r="AE217" s="2">
        <v>4.4203566957434328E-3</v>
      </c>
      <c r="AF217" s="2">
        <v>5.1146072315179075E-3</v>
      </c>
      <c r="AG217" s="2">
        <v>5.7390469364450086E-3</v>
      </c>
      <c r="AH217" s="2">
        <v>6.2633514813192947E-3</v>
      </c>
      <c r="AI217" s="2">
        <v>6.6735046586739871E-3</v>
      </c>
      <c r="AJ217" s="2">
        <v>6.9925082584105253E-3</v>
      </c>
      <c r="AK217" s="2">
        <v>7.1941102648132313E-3</v>
      </c>
      <c r="AL217" s="2">
        <v>7.3691408592282959E-3</v>
      </c>
      <c r="AM217" s="2">
        <v>7.4572915462872737E-3</v>
      </c>
      <c r="AN217" s="2">
        <v>7.5166040581590076E-3</v>
      </c>
      <c r="AO217" s="2">
        <v>7.576681414253765E-3</v>
      </c>
      <c r="AP217" s="2">
        <v>7.637531783024086E-3</v>
      </c>
      <c r="AQ217" s="2">
        <v>7.6991634262019264E-3</v>
      </c>
      <c r="AR217" s="2">
        <v>0.10186837216143484</v>
      </c>
    </row>
    <row r="218" spans="1:44" x14ac:dyDescent="0.25">
      <c r="A218" t="s">
        <v>250</v>
      </c>
      <c r="B218" t="s">
        <v>351</v>
      </c>
      <c r="C218" t="s">
        <v>45</v>
      </c>
      <c r="D218" t="s">
        <v>345</v>
      </c>
      <c r="E218" t="s">
        <v>145</v>
      </c>
      <c r="F218" t="s">
        <v>345</v>
      </c>
      <c r="G218" t="s">
        <v>31</v>
      </c>
      <c r="H218" t="s">
        <v>252</v>
      </c>
      <c r="I218" t="s">
        <v>135</v>
      </c>
      <c r="J218" t="s">
        <v>39</v>
      </c>
      <c r="K218" t="s">
        <v>31</v>
      </c>
      <c r="L218">
        <v>1.0857142857142874</v>
      </c>
      <c r="M218">
        <v>1</v>
      </c>
      <c r="N218">
        <v>2.8421418453635772</v>
      </c>
      <c r="O218">
        <v>3.1557944646272498</v>
      </c>
      <c r="P218">
        <v>-0.61394190043143382</v>
      </c>
      <c r="Q218">
        <v>0.60143034722093058</v>
      </c>
      <c r="R218">
        <v>-0.67371772101320504</v>
      </c>
      <c r="S218" s="2">
        <v>1.2025014177891656E-3</v>
      </c>
      <c r="T218" s="2">
        <v>1.8427141184707656E-3</v>
      </c>
      <c r="U218" s="2">
        <v>4.0086544054002441E-3</v>
      </c>
      <c r="V218" s="2">
        <v>7.5150347371768676E-3</v>
      </c>
      <c r="W218" s="2">
        <v>1.2812162223279988E-2</v>
      </c>
      <c r="X218" s="2">
        <v>2.0362981426928804E-2</v>
      </c>
      <c r="Y218" s="2">
        <v>3.0585067965761263E-2</v>
      </c>
      <c r="Z218" s="2">
        <v>4.3771699111029676E-2</v>
      </c>
      <c r="AA218" s="2">
        <v>5.9998435800271512E-2</v>
      </c>
      <c r="AB218" s="2">
        <v>7.9031095789294528E-2</v>
      </c>
      <c r="AC218" s="2">
        <v>0.10026122229115132</v>
      </c>
      <c r="AD218" s="2">
        <v>0.12270147281270583</v>
      </c>
      <c r="AE218" s="2">
        <v>0.14506917435624939</v>
      </c>
      <c r="AF218" s="2">
        <v>0.16596611742431766</v>
      </c>
      <c r="AG218" s="2">
        <v>0.18412733145205593</v>
      </c>
      <c r="AH218" s="2">
        <v>0.19867296086959421</v>
      </c>
      <c r="AI218" s="2">
        <v>0.20927712288396591</v>
      </c>
      <c r="AJ218" s="2">
        <v>0.21677991477065325</v>
      </c>
      <c r="AK218" s="2">
        <v>0.22047736719196018</v>
      </c>
      <c r="AL218" s="2">
        <v>0.22324791278532299</v>
      </c>
      <c r="AM218" s="2">
        <v>0.27759507282658646</v>
      </c>
      <c r="AN218" s="2">
        <v>0.29428218874963352</v>
      </c>
      <c r="AO218" s="2">
        <v>0.29333723984154803</v>
      </c>
      <c r="AP218" s="2">
        <v>0.29197341469066462</v>
      </c>
      <c r="AQ218" s="2">
        <v>0.2900356789250006</v>
      </c>
      <c r="AR218" s="2">
        <v>3.4949345388668127</v>
      </c>
    </row>
    <row r="219" spans="1:44" x14ac:dyDescent="0.25">
      <c r="A219" t="s">
        <v>250</v>
      </c>
      <c r="B219" t="s">
        <v>351</v>
      </c>
      <c r="C219" t="s">
        <v>45</v>
      </c>
      <c r="D219" t="s">
        <v>345</v>
      </c>
      <c r="E219" t="s">
        <v>148</v>
      </c>
      <c r="F219" t="s">
        <v>345</v>
      </c>
      <c r="G219" t="s">
        <v>31</v>
      </c>
      <c r="H219" t="s">
        <v>252</v>
      </c>
      <c r="I219" t="s">
        <v>135</v>
      </c>
      <c r="J219" t="s">
        <v>39</v>
      </c>
      <c r="K219" t="s">
        <v>31</v>
      </c>
      <c r="L219">
        <v>1.0857142857142874</v>
      </c>
      <c r="M219">
        <v>1</v>
      </c>
      <c r="N219">
        <v>2.8421418453635772</v>
      </c>
      <c r="O219">
        <v>3.1557944646272498</v>
      </c>
      <c r="P219">
        <v>-0.61394190043143382</v>
      </c>
      <c r="Q219">
        <v>0.60143034722093058</v>
      </c>
      <c r="R219">
        <v>-0.67371772101320504</v>
      </c>
      <c r="S219" s="2">
        <v>2.7276340047255782E-4</v>
      </c>
      <c r="T219" s="2">
        <v>5.5640238301545226E-4</v>
      </c>
      <c r="U219" s="2">
        <v>1.2240642513614377E-3</v>
      </c>
      <c r="V219" s="2">
        <v>2.3207524662315765E-3</v>
      </c>
      <c r="W219" s="2">
        <v>4.0015661652011963E-3</v>
      </c>
      <c r="X219" s="2">
        <v>6.4324447318978633E-3</v>
      </c>
      <c r="Y219" s="2">
        <v>9.7721138328124499E-3</v>
      </c>
      <c r="Z219" s="2">
        <v>1.4146009652173001E-2</v>
      </c>
      <c r="AA219" s="2">
        <v>1.9613672652395109E-2</v>
      </c>
      <c r="AB219" s="2">
        <v>2.6134384942955155E-2</v>
      </c>
      <c r="AC219" s="2">
        <v>3.3539706642255092E-2</v>
      </c>
      <c r="AD219" s="2">
        <v>4.1524516835804964E-2</v>
      </c>
      <c r="AE219" s="2">
        <v>4.9667800088686695E-2</v>
      </c>
      <c r="AF219" s="2">
        <v>5.7488434334251784E-2</v>
      </c>
      <c r="AG219" s="2">
        <v>6.4529265074894746E-2</v>
      </c>
      <c r="AH219" s="2">
        <v>7.0448321802505431E-2</v>
      </c>
      <c r="AI219" s="2">
        <v>7.5086688096946158E-2</v>
      </c>
      <c r="AJ219" s="2">
        <v>7.8701911355103613E-2</v>
      </c>
      <c r="AK219" s="2">
        <v>8.0997367059710598E-2</v>
      </c>
      <c r="AL219" s="2">
        <v>8.2994709698681307E-2</v>
      </c>
      <c r="AM219" s="2">
        <v>8.4014190482905413E-2</v>
      </c>
      <c r="AN219" s="2">
        <v>8.4708972792493717E-2</v>
      </c>
      <c r="AO219" s="2">
        <v>8.5412461911134663E-2</v>
      </c>
      <c r="AP219" s="2">
        <v>8.6124752093094947E-2</v>
      </c>
      <c r="AQ219" s="2">
        <v>8.6845938662159533E-2</v>
      </c>
      <c r="AR219" s="2">
        <v>1.1465592114091443</v>
      </c>
    </row>
    <row r="220" spans="1:44" x14ac:dyDescent="0.25">
      <c r="A220" t="s">
        <v>250</v>
      </c>
      <c r="B220" t="s">
        <v>344</v>
      </c>
      <c r="C220" t="s">
        <v>45</v>
      </c>
      <c r="D220" t="s">
        <v>345</v>
      </c>
      <c r="E220" t="s">
        <v>145</v>
      </c>
      <c r="F220" t="s">
        <v>345</v>
      </c>
      <c r="G220" t="s">
        <v>31</v>
      </c>
      <c r="H220" t="s">
        <v>288</v>
      </c>
      <c r="I220" t="s">
        <v>135</v>
      </c>
      <c r="J220" t="s">
        <v>39</v>
      </c>
      <c r="K220" t="s">
        <v>31</v>
      </c>
      <c r="L220">
        <v>0.53714285714285792</v>
      </c>
      <c r="M220">
        <v>1</v>
      </c>
      <c r="N220">
        <v>1.8618160303353684</v>
      </c>
      <c r="O220">
        <v>3.1585068309872639</v>
      </c>
      <c r="P220">
        <v>-0.29647398136297803</v>
      </c>
      <c r="Q220">
        <v>0.91889826628938653</v>
      </c>
      <c r="R220">
        <v>-0.67371772101320526</v>
      </c>
      <c r="S220" s="2">
        <v>2.1800815314053045E-5</v>
      </c>
      <c r="T220" s="2">
        <v>3.3431058692663555E-5</v>
      </c>
      <c r="U220" s="2">
        <v>7.2777278492591616E-5</v>
      </c>
      <c r="V220" s="2">
        <v>1.3653161111820859E-4</v>
      </c>
      <c r="W220" s="2">
        <v>2.3293228102059881E-4</v>
      </c>
      <c r="X220" s="2">
        <v>3.7047051051447945E-4</v>
      </c>
      <c r="Y220" s="2">
        <v>5.5683529673853705E-4</v>
      </c>
      <c r="Z220" s="2">
        <v>7.9747254417164841E-4</v>
      </c>
      <c r="AA220" s="2">
        <v>1.0938739773478832E-3</v>
      </c>
      <c r="AB220" s="2">
        <v>1.441884237644507E-3</v>
      </c>
      <c r="AC220" s="2">
        <v>1.8305028671446895E-3</v>
      </c>
      <c r="AD220" s="2">
        <v>2.2417760358102948E-3</v>
      </c>
      <c r="AE220" s="2">
        <v>2.6522998085860539E-3</v>
      </c>
      <c r="AF220" s="2">
        <v>3.0364905714333453E-3</v>
      </c>
      <c r="AG220" s="2">
        <v>3.3711322447229114E-3</v>
      </c>
      <c r="AH220" s="2">
        <v>3.6399994902204451E-3</v>
      </c>
      <c r="AI220" s="2">
        <v>3.836978296483419E-3</v>
      </c>
      <c r="AJ220" s="2">
        <v>3.9773302729318996E-3</v>
      </c>
      <c r="AK220" s="2">
        <v>4.048010746323793E-3</v>
      </c>
      <c r="AL220" s="2">
        <v>4.1017584155392675E-3</v>
      </c>
      <c r="AM220" s="2">
        <v>5.0899473694615604E-3</v>
      </c>
      <c r="AN220" s="2">
        <v>5.3345667179719759E-3</v>
      </c>
      <c r="AO220" s="2">
        <v>5.3210366439555871E-3</v>
      </c>
      <c r="AP220" s="2">
        <v>5.3002281912893946E-3</v>
      </c>
      <c r="AQ220" s="2">
        <v>5.2694413478508693E-3</v>
      </c>
      <c r="AR220" s="2">
        <v>6.3809508630780692E-2</v>
      </c>
    </row>
    <row r="221" spans="1:44" x14ac:dyDescent="0.25">
      <c r="A221" t="s">
        <v>250</v>
      </c>
      <c r="B221" t="s">
        <v>344</v>
      </c>
      <c r="C221" t="s">
        <v>45</v>
      </c>
      <c r="D221" t="s">
        <v>345</v>
      </c>
      <c r="E221" t="s">
        <v>145</v>
      </c>
      <c r="F221" t="s">
        <v>345</v>
      </c>
      <c r="G221" t="s">
        <v>31</v>
      </c>
      <c r="H221" t="s">
        <v>288</v>
      </c>
      <c r="I221" t="s">
        <v>135</v>
      </c>
      <c r="J221" t="s">
        <v>39</v>
      </c>
      <c r="K221" t="s">
        <v>33</v>
      </c>
      <c r="L221">
        <v>0.53714285714285792</v>
      </c>
      <c r="M221">
        <v>1</v>
      </c>
      <c r="N221">
        <v>1.8618160303353684</v>
      </c>
      <c r="O221">
        <v>3.1585068309872639</v>
      </c>
      <c r="P221">
        <v>-0.29647398136297803</v>
      </c>
      <c r="Q221">
        <v>0.91889826628938653</v>
      </c>
      <c r="R221">
        <v>-0.67371772101320526</v>
      </c>
      <c r="S221" s="2">
        <v>2.0508274133503726E-7</v>
      </c>
      <c r="T221" s="2">
        <v>3.1448975938089937E-7</v>
      </c>
      <c r="U221" s="2">
        <v>6.8462410993147957E-7</v>
      </c>
      <c r="V221" s="2">
        <v>1.2843683451124044E-6</v>
      </c>
      <c r="W221" s="2">
        <v>2.1912203763468592E-6</v>
      </c>
      <c r="X221" s="2">
        <v>3.4850580946449535E-6</v>
      </c>
      <c r="Y221" s="2">
        <v>5.2382127678332885E-6</v>
      </c>
      <c r="Z221" s="2">
        <v>7.5019146367761544E-6</v>
      </c>
      <c r="AA221" s="2">
        <v>1.0290196523290383E-5</v>
      </c>
      <c r="AB221" s="2">
        <v>1.3563968497696543E-5</v>
      </c>
      <c r="AC221" s="2">
        <v>1.7219748005189905E-5</v>
      </c>
      <c r="AD221" s="2">
        <v>2.1088641331079418E-5</v>
      </c>
      <c r="AE221" s="2">
        <v>2.495048500487008E-5</v>
      </c>
      <c r="AF221" s="2">
        <v>2.8564611068748631E-5</v>
      </c>
      <c r="AG221" s="2">
        <v>3.1712623229510761E-5</v>
      </c>
      <c r="AH221" s="2">
        <v>3.4241887890832431E-5</v>
      </c>
      <c r="AI221" s="2">
        <v>3.6094889853895427E-5</v>
      </c>
      <c r="AJ221" s="2">
        <v>3.7415196808805066E-5</v>
      </c>
      <c r="AK221" s="2">
        <v>3.8080096035428207E-5</v>
      </c>
      <c r="AL221" s="2">
        <v>3.8585706453400652E-5</v>
      </c>
      <c r="AM221" s="2">
        <v>4.7881711979246702E-5</v>
      </c>
      <c r="AN221" s="2">
        <v>5.0182873924495855E-5</v>
      </c>
      <c r="AO221" s="2">
        <v>5.0055594984246633E-5</v>
      </c>
      <c r="AP221" s="2">
        <v>4.985984751084934E-5</v>
      </c>
      <c r="AQ221" s="2">
        <v>4.9570232184153192E-5</v>
      </c>
      <c r="AR221" s="2">
        <v>6.0026328211710027E-4</v>
      </c>
    </row>
    <row r="222" spans="1:44" x14ac:dyDescent="0.25">
      <c r="A222" t="s">
        <v>250</v>
      </c>
      <c r="B222" t="s">
        <v>344</v>
      </c>
      <c r="C222" t="s">
        <v>45</v>
      </c>
      <c r="D222" t="s">
        <v>345</v>
      </c>
      <c r="E222" t="s">
        <v>145</v>
      </c>
      <c r="F222" t="s">
        <v>345</v>
      </c>
      <c r="G222" t="s">
        <v>31</v>
      </c>
      <c r="H222" t="s">
        <v>289</v>
      </c>
      <c r="I222" t="s">
        <v>135</v>
      </c>
      <c r="J222" t="s">
        <v>39</v>
      </c>
      <c r="K222" t="s">
        <v>31</v>
      </c>
      <c r="L222">
        <v>0.53714285714285792</v>
      </c>
      <c r="M222">
        <v>1</v>
      </c>
      <c r="N222">
        <v>1.8618160303353684</v>
      </c>
      <c r="O222">
        <v>3.1585068309872639</v>
      </c>
      <c r="P222">
        <v>-0.29647398136297803</v>
      </c>
      <c r="Q222">
        <v>0.91889826628938653</v>
      </c>
      <c r="R222">
        <v>-0.67371772101320526</v>
      </c>
      <c r="S222" s="2">
        <v>2.0720729930202085E-5</v>
      </c>
      <c r="T222" s="2">
        <v>3.1774772111613826E-5</v>
      </c>
      <c r="U222" s="2">
        <v>6.9171648444176425E-5</v>
      </c>
      <c r="V222" s="2">
        <v>1.297673779701326E-4</v>
      </c>
      <c r="W222" s="2">
        <v>2.2139203591814901E-4</v>
      </c>
      <c r="X222" s="2">
        <v>3.5211616101927693E-4</v>
      </c>
      <c r="Y222" s="2">
        <v>5.2924781174975687E-4</v>
      </c>
      <c r="Z222" s="2">
        <v>7.5796308424667914E-4</v>
      </c>
      <c r="AA222" s="2">
        <v>1.0396797980161232E-3</v>
      </c>
      <c r="AB222" s="2">
        <v>1.3704484648144411E-3</v>
      </c>
      <c r="AC222" s="2">
        <v>1.7398136262415844E-3</v>
      </c>
      <c r="AD222" s="2">
        <v>2.1307109451122767E-3</v>
      </c>
      <c r="AE222" s="2">
        <v>2.5208959956746226E-3</v>
      </c>
      <c r="AF222" s="2">
        <v>2.8860526617881803E-3</v>
      </c>
      <c r="AG222" s="2">
        <v>3.204115066140292E-3</v>
      </c>
      <c r="AH222" s="2">
        <v>3.4596617280782294E-3</v>
      </c>
      <c r="AI222" s="2">
        <v>3.6468815447571815E-3</v>
      </c>
      <c r="AJ222" s="2">
        <v>3.7802800143678281E-3</v>
      </c>
      <c r="AK222" s="2">
        <v>3.8474587404564906E-3</v>
      </c>
      <c r="AL222" s="2">
        <v>3.8985435701818175E-3</v>
      </c>
      <c r="AM222" s="2">
        <v>4.8377743346860085E-3</v>
      </c>
      <c r="AN222" s="2">
        <v>5.0702744216400359E-3</v>
      </c>
      <c r="AO222" s="2">
        <v>5.0574146727916562E-3</v>
      </c>
      <c r="AP222" s="2">
        <v>5.0376371405411059E-3</v>
      </c>
      <c r="AQ222" s="2">
        <v>5.0083755804066106E-3</v>
      </c>
      <c r="AR222" s="2">
        <v>6.0648171927084472E-2</v>
      </c>
    </row>
    <row r="223" spans="1:44" x14ac:dyDescent="0.25">
      <c r="A223" t="s">
        <v>250</v>
      </c>
      <c r="B223" t="s">
        <v>344</v>
      </c>
      <c r="C223" t="s">
        <v>45</v>
      </c>
      <c r="D223" t="s">
        <v>345</v>
      </c>
      <c r="E223" t="s">
        <v>145</v>
      </c>
      <c r="F223" t="s">
        <v>345</v>
      </c>
      <c r="G223" t="s">
        <v>31</v>
      </c>
      <c r="H223" t="s">
        <v>290</v>
      </c>
      <c r="I223" t="s">
        <v>135</v>
      </c>
      <c r="J223" t="s">
        <v>39</v>
      </c>
      <c r="K223" t="s">
        <v>31</v>
      </c>
      <c r="L223">
        <v>0.53714285714285792</v>
      </c>
      <c r="M223">
        <v>1</v>
      </c>
      <c r="N223">
        <v>1.8618160303353684</v>
      </c>
      <c r="O223">
        <v>3.1585068309872639</v>
      </c>
      <c r="P223">
        <v>-0.29647398136297803</v>
      </c>
      <c r="Q223">
        <v>0.91889826628938653</v>
      </c>
      <c r="R223">
        <v>-0.67371772101320526</v>
      </c>
      <c r="S223" s="2">
        <v>3.0005028221507584E-5</v>
      </c>
      <c r="T223" s="2">
        <v>4.6012034187622201E-5</v>
      </c>
      <c r="U223" s="2">
        <v>1.0016525820697639E-4</v>
      </c>
      <c r="V223" s="2">
        <v>1.8791200171715646E-4</v>
      </c>
      <c r="W223" s="2">
        <v>3.2059074695329982E-4</v>
      </c>
      <c r="X223" s="2">
        <v>5.0988818367989194E-4</v>
      </c>
      <c r="Y223" s="2">
        <v>7.6638687832015552E-4</v>
      </c>
      <c r="Z223" s="2">
        <v>1.0975821706229213E-3</v>
      </c>
      <c r="AA223" s="2">
        <v>1.5055271598002457E-3</v>
      </c>
      <c r="AB223" s="2">
        <v>1.9845027178768898E-3</v>
      </c>
      <c r="AC223" s="2">
        <v>2.5193686289715122E-3</v>
      </c>
      <c r="AD223" s="2">
        <v>3.0854145705930466E-3</v>
      </c>
      <c r="AE223" s="2">
        <v>3.6504290991917192E-3</v>
      </c>
      <c r="AF223" s="2">
        <v>4.179200822432943E-3</v>
      </c>
      <c r="AG223" s="2">
        <v>4.6397768470678325E-3</v>
      </c>
      <c r="AH223" s="2">
        <v>5.0098258187589112E-3</v>
      </c>
      <c r="AI223" s="2">
        <v>5.2809328647944603E-3</v>
      </c>
      <c r="AJ223" s="2">
        <v>5.4741029345196221E-3</v>
      </c>
      <c r="AK223" s="2">
        <v>5.571382305418481E-3</v>
      </c>
      <c r="AL223" s="2">
        <v>5.6453566182328744E-3</v>
      </c>
      <c r="AM223" s="2">
        <v>7.0054267359549076E-3</v>
      </c>
      <c r="AN223" s="2">
        <v>7.3421026973741277E-3</v>
      </c>
      <c r="AO223" s="2">
        <v>7.3234809051680849E-3</v>
      </c>
      <c r="AP223" s="2">
        <v>7.2948416914276433E-3</v>
      </c>
      <c r="AQ223" s="2">
        <v>7.2524689593569981E-3</v>
      </c>
      <c r="AR223" s="2">
        <v>8.7822683678849822E-2</v>
      </c>
    </row>
    <row r="224" spans="1:44" x14ac:dyDescent="0.25">
      <c r="A224" t="s">
        <v>250</v>
      </c>
      <c r="B224" t="s">
        <v>344</v>
      </c>
      <c r="C224" t="s">
        <v>45</v>
      </c>
      <c r="D224" t="s">
        <v>345</v>
      </c>
      <c r="E224" t="s">
        <v>148</v>
      </c>
      <c r="F224" t="s">
        <v>345</v>
      </c>
      <c r="G224" t="s">
        <v>31</v>
      </c>
      <c r="H224" t="s">
        <v>288</v>
      </c>
      <c r="I224" t="s">
        <v>135</v>
      </c>
      <c r="J224" t="s">
        <v>39</v>
      </c>
      <c r="K224" t="s">
        <v>31</v>
      </c>
      <c r="L224">
        <v>0.53714285714285792</v>
      </c>
      <c r="M224">
        <v>1</v>
      </c>
      <c r="N224">
        <v>1.8618160303353684</v>
      </c>
      <c r="O224">
        <v>3.1585068309872639</v>
      </c>
      <c r="P224">
        <v>-0.29647398136297803</v>
      </c>
      <c r="Q224">
        <v>0.91889826628938653</v>
      </c>
      <c r="R224">
        <v>-0.67371772101320526</v>
      </c>
      <c r="S224" s="2">
        <v>4.9450790079466797E-6</v>
      </c>
      <c r="T224" s="2">
        <v>9.6178843255355218E-6</v>
      </c>
      <c r="U224" s="2">
        <v>2.1173584728560729E-5</v>
      </c>
      <c r="V224" s="2">
        <v>4.0171239735565382E-5</v>
      </c>
      <c r="W224" s="2">
        <v>6.9312138709378906E-5</v>
      </c>
      <c r="X224" s="2">
        <v>1.114923081878206E-4</v>
      </c>
      <c r="Y224" s="2">
        <v>1.6948980731519269E-4</v>
      </c>
      <c r="Z224" s="2">
        <v>2.4551155755735788E-4</v>
      </c>
      <c r="AA224" s="2">
        <v>3.4062502573583452E-4</v>
      </c>
      <c r="AB224" s="2">
        <v>4.5415728552629131E-4</v>
      </c>
      <c r="AC224" s="2">
        <v>5.8321191262032874E-4</v>
      </c>
      <c r="AD224" s="2">
        <v>7.225062546201296E-4</v>
      </c>
      <c r="AE224" s="2">
        <v>8.6472623580885575E-4</v>
      </c>
      <c r="AF224" s="2">
        <v>1.0014924776464596E-3</v>
      </c>
      <c r="AG224" s="2">
        <v>1.1248231869874E-3</v>
      </c>
      <c r="AH224" s="2">
        <v>1.2287269276836136E-3</v>
      </c>
      <c r="AI224" s="2">
        <v>1.3103934950562189E-3</v>
      </c>
      <c r="AJ224" s="2">
        <v>1.3742793114134384E-3</v>
      </c>
      <c r="AK224" s="2">
        <v>1.4151696143628368E-3</v>
      </c>
      <c r="AL224" s="2">
        <v>1.4508843791684167E-3</v>
      </c>
      <c r="AM224" s="2">
        <v>1.4695244014439864E-3</v>
      </c>
      <c r="AN224" s="2">
        <v>1.4824918383201228E-3</v>
      </c>
      <c r="AO224" s="2">
        <v>1.4956152329018671E-3</v>
      </c>
      <c r="AP224" s="2">
        <v>1.5088963025373049E-3</v>
      </c>
      <c r="AQ224" s="2">
        <v>1.5223367839282723E-3</v>
      </c>
      <c r="AR224" s="2">
        <v>2.0021574265328735E-2</v>
      </c>
    </row>
    <row r="225" spans="1:44" x14ac:dyDescent="0.25">
      <c r="A225" t="s">
        <v>250</v>
      </c>
      <c r="B225" t="s">
        <v>344</v>
      </c>
      <c r="C225" t="s">
        <v>45</v>
      </c>
      <c r="D225" t="s">
        <v>345</v>
      </c>
      <c r="E225" t="s">
        <v>148</v>
      </c>
      <c r="F225" t="s">
        <v>345</v>
      </c>
      <c r="G225" t="s">
        <v>31</v>
      </c>
      <c r="H225" t="s">
        <v>288</v>
      </c>
      <c r="I225" t="s">
        <v>135</v>
      </c>
      <c r="J225" t="s">
        <v>39</v>
      </c>
      <c r="K225" t="s">
        <v>33</v>
      </c>
      <c r="L225">
        <v>0.53714285714285792</v>
      </c>
      <c r="M225">
        <v>1</v>
      </c>
      <c r="N225">
        <v>1.8618160303353684</v>
      </c>
      <c r="O225">
        <v>3.1585068309872639</v>
      </c>
      <c r="P225">
        <v>-0.29647398136297803</v>
      </c>
      <c r="Q225">
        <v>0.91889826628938653</v>
      </c>
      <c r="R225">
        <v>-0.67371772101320526</v>
      </c>
      <c r="S225" s="2">
        <v>4.6518918877970529E-8</v>
      </c>
      <c r="T225" s="2">
        <v>9.0476528281610468E-8</v>
      </c>
      <c r="U225" s="2">
        <v>1.9918231210480588E-7</v>
      </c>
      <c r="V225" s="2">
        <v>3.7789540662206743E-7</v>
      </c>
      <c r="W225" s="2">
        <v>6.5202714712925984E-7</v>
      </c>
      <c r="X225" s="2">
        <v>1.0488207836057477E-6</v>
      </c>
      <c r="Y225" s="2">
        <v>1.5944098333854548E-6</v>
      </c>
      <c r="Z225" s="2">
        <v>2.309555056908422E-6</v>
      </c>
      <c r="AA225" s="2">
        <v>3.204298235589042E-6</v>
      </c>
      <c r="AB225" s="2">
        <v>4.2723090752011108E-6</v>
      </c>
      <c r="AC225" s="2">
        <v>5.4863405838921297E-6</v>
      </c>
      <c r="AD225" s="2">
        <v>6.7966982516333132E-6</v>
      </c>
      <c r="AE225" s="2">
        <v>8.134577738920322E-6</v>
      </c>
      <c r="AF225" s="2">
        <v>9.421153281811333E-6</v>
      </c>
      <c r="AG225" s="2">
        <v>1.0581339247247716E-5</v>
      </c>
      <c r="AH225" s="2">
        <v>1.1558773516103265E-5</v>
      </c>
      <c r="AI225" s="2">
        <v>1.2327020174355324E-5</v>
      </c>
      <c r="AJ225" s="2">
        <v>1.2928001291906813E-5</v>
      </c>
      <c r="AK225" s="2">
        <v>1.3312661007705144E-5</v>
      </c>
      <c r="AL225" s="2">
        <v>1.36486338494066E-5</v>
      </c>
      <c r="AM225" s="2">
        <v>1.3823982652272242E-5</v>
      </c>
      <c r="AN225" s="2">
        <v>1.3945968801154237E-5</v>
      </c>
      <c r="AO225" s="2">
        <v>1.4069422061854659E-5</v>
      </c>
      <c r="AP225" s="2">
        <v>1.4194358589661554E-5</v>
      </c>
      <c r="AQ225" s="2">
        <v>1.4320794721925946E-5</v>
      </c>
      <c r="AR225" s="2">
        <v>1.8834521906755611E-4</v>
      </c>
    </row>
    <row r="226" spans="1:44" x14ac:dyDescent="0.25">
      <c r="A226" t="s">
        <v>250</v>
      </c>
      <c r="B226" t="s">
        <v>344</v>
      </c>
      <c r="C226" t="s">
        <v>45</v>
      </c>
      <c r="D226" t="s">
        <v>345</v>
      </c>
      <c r="E226" t="s">
        <v>148</v>
      </c>
      <c r="F226" t="s">
        <v>345</v>
      </c>
      <c r="G226" t="s">
        <v>31</v>
      </c>
      <c r="H226" t="s">
        <v>289</v>
      </c>
      <c r="I226" t="s">
        <v>135</v>
      </c>
      <c r="J226" t="s">
        <v>39</v>
      </c>
      <c r="K226" t="s">
        <v>31</v>
      </c>
      <c r="L226">
        <v>0.53714285714285792</v>
      </c>
      <c r="M226">
        <v>1</v>
      </c>
      <c r="N226">
        <v>1.8618160303353684</v>
      </c>
      <c r="O226">
        <v>3.1585068309872639</v>
      </c>
      <c r="P226">
        <v>-0.29647398136297803</v>
      </c>
      <c r="Q226">
        <v>0.91889826628938653</v>
      </c>
      <c r="R226">
        <v>-0.67371772101320526</v>
      </c>
      <c r="S226" s="2">
        <v>4.7000832368468456E-6</v>
      </c>
      <c r="T226" s="2">
        <v>9.1413821335791466E-6</v>
      </c>
      <c r="U226" s="2">
        <v>2.0124574448000191E-5</v>
      </c>
      <c r="V226" s="2">
        <v>3.8181022018267817E-5</v>
      </c>
      <c r="W226" s="2">
        <v>6.5878183287757484E-5</v>
      </c>
      <c r="X226" s="2">
        <v>1.0596860594317004E-4</v>
      </c>
      <c r="Y226" s="2">
        <v>1.6109271477733359E-4</v>
      </c>
      <c r="Z226" s="2">
        <v>2.3334809297751542E-4</v>
      </c>
      <c r="AA226" s="2">
        <v>3.2374932148481172E-4</v>
      </c>
      <c r="AB226" s="2">
        <v>4.3165681299808437E-4</v>
      </c>
      <c r="AC226" s="2">
        <v>5.543176417669404E-4</v>
      </c>
      <c r="AD226" s="2">
        <v>6.8671087568065168E-4</v>
      </c>
      <c r="AE226" s="2">
        <v>8.2188480282228797E-4</v>
      </c>
      <c r="AF226" s="2">
        <v>9.5187518712038183E-4</v>
      </c>
      <c r="AG226" s="2">
        <v>1.0690956801863733E-3</v>
      </c>
      <c r="AH226" s="2">
        <v>1.1678516816794181E-3</v>
      </c>
      <c r="AI226" s="2">
        <v>1.2454722138694613E-3</v>
      </c>
      <c r="AJ226" s="2">
        <v>1.3061929129827773E-3</v>
      </c>
      <c r="AK226" s="2">
        <v>1.3450573734156853E-3</v>
      </c>
      <c r="AL226" s="2">
        <v>1.3790027091930995E-3</v>
      </c>
      <c r="AM226" s="2">
        <v>1.3967192423548769E-3</v>
      </c>
      <c r="AN226" s="2">
        <v>1.4090442289907566E-3</v>
      </c>
      <c r="AO226" s="2">
        <v>1.4215174466653687E-3</v>
      </c>
      <c r="AP226" s="2">
        <v>1.4341405276435671E-3</v>
      </c>
      <c r="AQ226" s="2">
        <v>1.4469151225851781E-3</v>
      </c>
      <c r="AR226" s="2">
        <v>1.9029638440262193E-2</v>
      </c>
    </row>
    <row r="227" spans="1:44" x14ac:dyDescent="0.25">
      <c r="A227" t="s">
        <v>250</v>
      </c>
      <c r="B227" t="s">
        <v>344</v>
      </c>
      <c r="C227" t="s">
        <v>45</v>
      </c>
      <c r="D227" t="s">
        <v>345</v>
      </c>
      <c r="E227" t="s">
        <v>148</v>
      </c>
      <c r="F227" t="s">
        <v>345</v>
      </c>
      <c r="G227" t="s">
        <v>31</v>
      </c>
      <c r="H227" t="s">
        <v>290</v>
      </c>
      <c r="I227" t="s">
        <v>135</v>
      </c>
      <c r="J227" t="s">
        <v>39</v>
      </c>
      <c r="K227" t="s">
        <v>31</v>
      </c>
      <c r="L227">
        <v>0.53714285714285792</v>
      </c>
      <c r="M227">
        <v>1</v>
      </c>
      <c r="N227">
        <v>1.8618160303353684</v>
      </c>
      <c r="O227">
        <v>3.1585068309872639</v>
      </c>
      <c r="P227">
        <v>-0.29647398136297803</v>
      </c>
      <c r="Q227">
        <v>0.91889826628938653</v>
      </c>
      <c r="R227">
        <v>-0.67371772101320526</v>
      </c>
      <c r="S227" s="2">
        <v>6.8060406481852637E-6</v>
      </c>
      <c r="T227" s="2">
        <v>1.3237343946162545E-5</v>
      </c>
      <c r="U227" s="2">
        <v>2.9141754479311452E-5</v>
      </c>
      <c r="V227" s="2">
        <v>5.5288720380178202E-5</v>
      </c>
      <c r="W227" s="2">
        <v>9.5396096343578643E-5</v>
      </c>
      <c r="X227" s="2">
        <v>1.5344975889503541E-4</v>
      </c>
      <c r="Y227" s="2">
        <v>2.3327322297308524E-4</v>
      </c>
      <c r="Z227" s="2">
        <v>3.3790393189865082E-4</v>
      </c>
      <c r="AA227" s="2">
        <v>4.6881106797722213E-4</v>
      </c>
      <c r="AB227" s="2">
        <v>6.2506846523467338E-4</v>
      </c>
      <c r="AC227" s="2">
        <v>8.0268969968349169E-4</v>
      </c>
      <c r="AD227" s="2">
        <v>9.9440411965319138E-4</v>
      </c>
      <c r="AE227" s="2">
        <v>1.1901451728090963E-3</v>
      </c>
      <c r="AF227" s="2">
        <v>1.3783801028780438E-3</v>
      </c>
      <c r="AG227" s="2">
        <v>1.5481233606894896E-3</v>
      </c>
      <c r="AH227" s="2">
        <v>1.6911287770924697E-3</v>
      </c>
      <c r="AI227" s="2">
        <v>1.8035285944143812E-3</v>
      </c>
      <c r="AJ227" s="2">
        <v>1.8914563023986462E-3</v>
      </c>
      <c r="AK227" s="2">
        <v>1.9477346881520195E-3</v>
      </c>
      <c r="AL227" s="2">
        <v>1.9968898463641597E-3</v>
      </c>
      <c r="AM227" s="2">
        <v>2.0225445930500503E-3</v>
      </c>
      <c r="AN227" s="2">
        <v>2.0403920131498937E-3</v>
      </c>
      <c r="AO227" s="2">
        <v>2.0584540818897666E-3</v>
      </c>
      <c r="AP227" s="2">
        <v>2.0767331629003875E-3</v>
      </c>
      <c r="AQ227" s="2">
        <v>2.095231646449606E-3</v>
      </c>
      <c r="AR227" s="2">
        <v>2.7556212564350778E-2</v>
      </c>
    </row>
    <row r="228" spans="1:44" x14ac:dyDescent="0.25">
      <c r="A228" t="s">
        <v>250</v>
      </c>
      <c r="B228" t="s">
        <v>352</v>
      </c>
      <c r="C228" t="s">
        <v>45</v>
      </c>
      <c r="D228" t="s">
        <v>345</v>
      </c>
      <c r="E228" t="s">
        <v>145</v>
      </c>
      <c r="F228" t="s">
        <v>345</v>
      </c>
      <c r="G228" t="s">
        <v>31</v>
      </c>
      <c r="H228" t="s">
        <v>254</v>
      </c>
      <c r="I228" t="s">
        <v>135</v>
      </c>
      <c r="J228" t="s">
        <v>39</v>
      </c>
      <c r="K228" t="s">
        <v>31</v>
      </c>
      <c r="L228">
        <v>0.49714285714285794</v>
      </c>
      <c r="M228">
        <v>1</v>
      </c>
      <c r="N228">
        <v>1.7649382741650612</v>
      </c>
      <c r="O228">
        <v>3.1588853240212433</v>
      </c>
      <c r="P228">
        <v>-0.24591934386764219</v>
      </c>
      <c r="Q228">
        <v>0.96945290378472293</v>
      </c>
      <c r="R228">
        <v>-0.67371772101320515</v>
      </c>
      <c r="S228" s="2">
        <v>0</v>
      </c>
      <c r="T228" s="2">
        <v>0</v>
      </c>
      <c r="U228" s="2">
        <v>0</v>
      </c>
      <c r="V228" s="2">
        <v>0</v>
      </c>
      <c r="W228" s="2">
        <v>0</v>
      </c>
      <c r="X228" s="2">
        <v>0</v>
      </c>
      <c r="Y228" s="2">
        <v>0</v>
      </c>
      <c r="Z228" s="2">
        <v>0</v>
      </c>
      <c r="AA228" s="2">
        <v>0</v>
      </c>
      <c r="AB228" s="2">
        <v>0</v>
      </c>
      <c r="AC228" s="2">
        <v>0</v>
      </c>
      <c r="AD228" s="2">
        <v>0</v>
      </c>
      <c r="AE228" s="2">
        <v>0</v>
      </c>
      <c r="AF228" s="2">
        <v>0</v>
      </c>
      <c r="AG228" s="2">
        <v>0</v>
      </c>
      <c r="AH228" s="2">
        <v>0</v>
      </c>
      <c r="AI228" s="2">
        <v>0</v>
      </c>
      <c r="AJ228" s="2">
        <v>0</v>
      </c>
      <c r="AK228" s="2">
        <v>0</v>
      </c>
      <c r="AL228" s="2">
        <v>0</v>
      </c>
      <c r="AM228" s="2">
        <v>0</v>
      </c>
      <c r="AN228" s="2">
        <v>0</v>
      </c>
      <c r="AO228" s="2">
        <v>0</v>
      </c>
      <c r="AP228" s="2">
        <v>0</v>
      </c>
      <c r="AQ228" s="2">
        <v>0</v>
      </c>
      <c r="AR228" s="2">
        <v>0</v>
      </c>
    </row>
    <row r="229" spans="1:44" x14ac:dyDescent="0.25">
      <c r="A229" t="s">
        <v>250</v>
      </c>
      <c r="B229" t="s">
        <v>352</v>
      </c>
      <c r="C229" t="s">
        <v>45</v>
      </c>
      <c r="D229" t="s">
        <v>345</v>
      </c>
      <c r="E229" t="s">
        <v>145</v>
      </c>
      <c r="F229" t="s">
        <v>345</v>
      </c>
      <c r="G229" t="s">
        <v>31</v>
      </c>
      <c r="H229" t="s">
        <v>255</v>
      </c>
      <c r="I229" t="s">
        <v>135</v>
      </c>
      <c r="J229" t="s">
        <v>39</v>
      </c>
      <c r="K229" t="s">
        <v>31</v>
      </c>
      <c r="L229">
        <v>0.49714285714285794</v>
      </c>
      <c r="M229">
        <v>1</v>
      </c>
      <c r="N229">
        <v>1.7649382741650612</v>
      </c>
      <c r="O229">
        <v>3.1588853240212433</v>
      </c>
      <c r="P229">
        <v>-0.24591934386764219</v>
      </c>
      <c r="Q229">
        <v>0.96945290378472293</v>
      </c>
      <c r="R229">
        <v>-0.67371772101320515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0</v>
      </c>
      <c r="Z229" s="2">
        <v>0</v>
      </c>
      <c r="AA229" s="2">
        <v>0</v>
      </c>
      <c r="AB229" s="2">
        <v>0</v>
      </c>
      <c r="AC229" s="2">
        <v>0</v>
      </c>
      <c r="AD229" s="2">
        <v>0</v>
      </c>
      <c r="AE229" s="2">
        <v>0</v>
      </c>
      <c r="AF229" s="2">
        <v>0</v>
      </c>
      <c r="AG229" s="2">
        <v>0</v>
      </c>
      <c r="AH229" s="2">
        <v>0</v>
      </c>
      <c r="AI229" s="2">
        <v>0</v>
      </c>
      <c r="AJ229" s="2">
        <v>0</v>
      </c>
      <c r="AK229" s="2">
        <v>0</v>
      </c>
      <c r="AL229" s="2">
        <v>0</v>
      </c>
      <c r="AM229" s="2">
        <v>0</v>
      </c>
      <c r="AN229" s="2">
        <v>0</v>
      </c>
      <c r="AO229" s="2">
        <v>0</v>
      </c>
      <c r="AP229" s="2">
        <v>0</v>
      </c>
      <c r="AQ229" s="2">
        <v>0</v>
      </c>
      <c r="AR229" s="2">
        <v>0</v>
      </c>
    </row>
    <row r="230" spans="1:44" x14ac:dyDescent="0.25">
      <c r="A230" t="s">
        <v>250</v>
      </c>
      <c r="B230" t="s">
        <v>352</v>
      </c>
      <c r="C230" t="s">
        <v>45</v>
      </c>
      <c r="D230" t="s">
        <v>345</v>
      </c>
      <c r="E230" t="s">
        <v>148</v>
      </c>
      <c r="F230" t="s">
        <v>345</v>
      </c>
      <c r="G230" t="s">
        <v>31</v>
      </c>
      <c r="H230" t="s">
        <v>254</v>
      </c>
      <c r="I230" t="s">
        <v>135</v>
      </c>
      <c r="J230" t="s">
        <v>39</v>
      </c>
      <c r="K230" t="s">
        <v>31</v>
      </c>
      <c r="L230">
        <v>0.49714285714285794</v>
      </c>
      <c r="M230">
        <v>1</v>
      </c>
      <c r="N230">
        <v>1.7649382741650612</v>
      </c>
      <c r="O230">
        <v>3.1588853240212433</v>
      </c>
      <c r="P230">
        <v>-0.24591934386764219</v>
      </c>
      <c r="Q230">
        <v>0.96945290378472293</v>
      </c>
      <c r="R230">
        <v>-0.67371772101320515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0</v>
      </c>
      <c r="AB230" s="2">
        <v>0</v>
      </c>
      <c r="AC230" s="2">
        <v>0</v>
      </c>
      <c r="AD230" s="2">
        <v>0</v>
      </c>
      <c r="AE230" s="2">
        <v>0</v>
      </c>
      <c r="AF230" s="2">
        <v>0</v>
      </c>
      <c r="AG230" s="2">
        <v>0</v>
      </c>
      <c r="AH230" s="2">
        <v>0</v>
      </c>
      <c r="AI230" s="2">
        <v>0</v>
      </c>
      <c r="AJ230" s="2">
        <v>0</v>
      </c>
      <c r="AK230" s="2">
        <v>0</v>
      </c>
      <c r="AL230" s="2">
        <v>0</v>
      </c>
      <c r="AM230" s="2">
        <v>0</v>
      </c>
      <c r="AN230" s="2">
        <v>0</v>
      </c>
      <c r="AO230" s="2">
        <v>0</v>
      </c>
      <c r="AP230" s="2">
        <v>0</v>
      </c>
      <c r="AQ230" s="2">
        <v>0</v>
      </c>
      <c r="AR230" s="2">
        <v>0</v>
      </c>
    </row>
    <row r="231" spans="1:44" x14ac:dyDescent="0.25">
      <c r="A231" t="s">
        <v>250</v>
      </c>
      <c r="B231" t="s">
        <v>352</v>
      </c>
      <c r="C231" t="s">
        <v>45</v>
      </c>
      <c r="D231" t="s">
        <v>345</v>
      </c>
      <c r="E231" t="s">
        <v>148</v>
      </c>
      <c r="F231" t="s">
        <v>345</v>
      </c>
      <c r="G231" t="s">
        <v>31</v>
      </c>
      <c r="H231" t="s">
        <v>255</v>
      </c>
      <c r="I231" t="s">
        <v>135</v>
      </c>
      <c r="J231" t="s">
        <v>39</v>
      </c>
      <c r="K231" t="s">
        <v>31</v>
      </c>
      <c r="L231">
        <v>0.49714285714285794</v>
      </c>
      <c r="M231">
        <v>1</v>
      </c>
      <c r="N231">
        <v>1.7649382741650612</v>
      </c>
      <c r="O231">
        <v>3.1588853240212433</v>
      </c>
      <c r="P231">
        <v>-0.24591934386764219</v>
      </c>
      <c r="Q231">
        <v>0.96945290378472293</v>
      </c>
      <c r="R231">
        <v>-0.67371772101320515</v>
      </c>
      <c r="S231" s="2">
        <v>0</v>
      </c>
      <c r="T231" s="2">
        <v>0</v>
      </c>
      <c r="U231" s="2">
        <v>0</v>
      </c>
      <c r="V231" s="2">
        <v>0</v>
      </c>
      <c r="W231" s="2">
        <v>0</v>
      </c>
      <c r="X231" s="2">
        <v>0</v>
      </c>
      <c r="Y231" s="2">
        <v>0</v>
      </c>
      <c r="Z231" s="2">
        <v>0</v>
      </c>
      <c r="AA231" s="2">
        <v>0</v>
      </c>
      <c r="AB231" s="2">
        <v>0</v>
      </c>
      <c r="AC231" s="2">
        <v>0</v>
      </c>
      <c r="AD231" s="2">
        <v>0</v>
      </c>
      <c r="AE231" s="2">
        <v>0</v>
      </c>
      <c r="AF231" s="2">
        <v>0</v>
      </c>
      <c r="AG231" s="2">
        <v>0</v>
      </c>
      <c r="AH231" s="2">
        <v>0</v>
      </c>
      <c r="AI231" s="2">
        <v>0</v>
      </c>
      <c r="AJ231" s="2">
        <v>0</v>
      </c>
      <c r="AK231" s="2">
        <v>0</v>
      </c>
      <c r="AL231" s="2">
        <v>0</v>
      </c>
      <c r="AM231" s="2">
        <v>0</v>
      </c>
      <c r="AN231" s="2">
        <v>0</v>
      </c>
      <c r="AO231" s="2">
        <v>0</v>
      </c>
      <c r="AP231" s="2">
        <v>0</v>
      </c>
      <c r="AQ231" s="2">
        <v>0</v>
      </c>
      <c r="AR231" s="2">
        <v>0</v>
      </c>
    </row>
    <row r="232" spans="1:44" x14ac:dyDescent="0.25">
      <c r="A232" t="s">
        <v>250</v>
      </c>
      <c r="B232" t="s">
        <v>346</v>
      </c>
      <c r="C232" t="s">
        <v>45</v>
      </c>
      <c r="D232" t="s">
        <v>345</v>
      </c>
      <c r="E232" t="s">
        <v>145</v>
      </c>
      <c r="F232" t="s">
        <v>345</v>
      </c>
      <c r="G232" t="s">
        <v>31</v>
      </c>
      <c r="H232" t="s">
        <v>278</v>
      </c>
      <c r="I232" t="s">
        <v>135</v>
      </c>
      <c r="J232" t="s">
        <v>39</v>
      </c>
      <c r="K232" t="s">
        <v>31</v>
      </c>
      <c r="L232">
        <v>1.0514285714285732</v>
      </c>
      <c r="M232">
        <v>1</v>
      </c>
      <c r="N232">
        <v>2.7977716919256275</v>
      </c>
      <c r="O232">
        <v>3.1588853240212433</v>
      </c>
      <c r="P232">
        <v>-0.60380535681987313</v>
      </c>
      <c r="Q232">
        <v>0.61156689083249149</v>
      </c>
      <c r="R232">
        <v>-0.67371772101320493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0</v>
      </c>
      <c r="Y232" s="2">
        <v>0</v>
      </c>
      <c r="Z232" s="2">
        <v>0</v>
      </c>
      <c r="AA232" s="2">
        <v>0</v>
      </c>
      <c r="AB232" s="2">
        <v>0</v>
      </c>
      <c r="AC232" s="2">
        <v>0</v>
      </c>
      <c r="AD232" s="2">
        <v>0</v>
      </c>
      <c r="AE232" s="2">
        <v>0</v>
      </c>
      <c r="AF232" s="2">
        <v>0</v>
      </c>
      <c r="AG232" s="2">
        <v>0</v>
      </c>
      <c r="AH232" s="2">
        <v>0</v>
      </c>
      <c r="AI232" s="2">
        <v>0</v>
      </c>
      <c r="AJ232" s="2">
        <v>0</v>
      </c>
      <c r="AK232" s="2">
        <v>0</v>
      </c>
      <c r="AL232" s="2">
        <v>0</v>
      </c>
      <c r="AM232" s="2">
        <v>0</v>
      </c>
      <c r="AN232" s="2">
        <v>0</v>
      </c>
      <c r="AO232" s="2">
        <v>0</v>
      </c>
      <c r="AP232" s="2">
        <v>0</v>
      </c>
      <c r="AQ232" s="2">
        <v>0</v>
      </c>
      <c r="AR232" s="2">
        <v>0</v>
      </c>
    </row>
    <row r="233" spans="1:44" x14ac:dyDescent="0.25">
      <c r="A233" t="s">
        <v>250</v>
      </c>
      <c r="B233" t="s">
        <v>346</v>
      </c>
      <c r="C233" t="s">
        <v>45</v>
      </c>
      <c r="D233" t="s">
        <v>345</v>
      </c>
      <c r="E233" t="s">
        <v>148</v>
      </c>
      <c r="F233" t="s">
        <v>345</v>
      </c>
      <c r="G233" t="s">
        <v>31</v>
      </c>
      <c r="H233" t="s">
        <v>278</v>
      </c>
      <c r="I233" t="s">
        <v>135</v>
      </c>
      <c r="J233" t="s">
        <v>39</v>
      </c>
      <c r="K233" t="s">
        <v>31</v>
      </c>
      <c r="L233">
        <v>1.0514285714285732</v>
      </c>
      <c r="M233">
        <v>1</v>
      </c>
      <c r="N233">
        <v>2.7977716919256275</v>
      </c>
      <c r="O233">
        <v>3.1588853240212433</v>
      </c>
      <c r="P233">
        <v>-0.60380535681987313</v>
      </c>
      <c r="Q233">
        <v>0.61156689083249149</v>
      </c>
      <c r="R233">
        <v>-0.67371772101320493</v>
      </c>
      <c r="S233" s="2">
        <v>0</v>
      </c>
      <c r="T233" s="2">
        <v>0</v>
      </c>
      <c r="U233" s="2">
        <v>0</v>
      </c>
      <c r="V233" s="2">
        <v>0</v>
      </c>
      <c r="W233" s="2">
        <v>0</v>
      </c>
      <c r="X233" s="2">
        <v>0</v>
      </c>
      <c r="Y233" s="2">
        <v>0</v>
      </c>
      <c r="Z233" s="2">
        <v>0</v>
      </c>
      <c r="AA233" s="2">
        <v>0</v>
      </c>
      <c r="AB233" s="2">
        <v>0</v>
      </c>
      <c r="AC233" s="2">
        <v>0</v>
      </c>
      <c r="AD233" s="2">
        <v>0</v>
      </c>
      <c r="AE233" s="2">
        <v>0</v>
      </c>
      <c r="AF233" s="2">
        <v>0</v>
      </c>
      <c r="AG233" s="2">
        <v>0</v>
      </c>
      <c r="AH233" s="2">
        <v>0</v>
      </c>
      <c r="AI233" s="2">
        <v>0</v>
      </c>
      <c r="AJ233" s="2">
        <v>0</v>
      </c>
      <c r="AK233" s="2">
        <v>0</v>
      </c>
      <c r="AL233" s="2">
        <v>0</v>
      </c>
      <c r="AM233" s="2">
        <v>0</v>
      </c>
      <c r="AN233" s="2">
        <v>0</v>
      </c>
      <c r="AO233" s="2">
        <v>0</v>
      </c>
      <c r="AP233" s="2">
        <v>0</v>
      </c>
      <c r="AQ233" s="2">
        <v>0</v>
      </c>
      <c r="AR233" s="2">
        <v>0</v>
      </c>
    </row>
    <row r="234" spans="1:44" x14ac:dyDescent="0.25">
      <c r="A234" t="s">
        <v>250</v>
      </c>
      <c r="B234" t="s">
        <v>347</v>
      </c>
      <c r="C234" t="s">
        <v>45</v>
      </c>
      <c r="D234" t="s">
        <v>345</v>
      </c>
      <c r="E234" t="s">
        <v>145</v>
      </c>
      <c r="F234" t="s">
        <v>345</v>
      </c>
      <c r="G234" t="s">
        <v>31</v>
      </c>
      <c r="H234" t="s">
        <v>272</v>
      </c>
      <c r="I234" t="s">
        <v>135</v>
      </c>
      <c r="J234" t="s">
        <v>39</v>
      </c>
      <c r="K234" t="s">
        <v>31</v>
      </c>
      <c r="L234">
        <v>0.63428571428571534</v>
      </c>
      <c r="M234">
        <v>1</v>
      </c>
      <c r="N234">
        <v>2.0798461922427691</v>
      </c>
      <c r="O234">
        <v>3.1588853240212438</v>
      </c>
      <c r="P234">
        <v>-0.39270346508962162</v>
      </c>
      <c r="Q234">
        <v>0.82266878256274323</v>
      </c>
      <c r="R234">
        <v>-0.67371772101320504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  <c r="AA234" s="2">
        <v>0</v>
      </c>
      <c r="AB234" s="2">
        <v>0</v>
      </c>
      <c r="AC234" s="2">
        <v>0</v>
      </c>
      <c r="AD234" s="2">
        <v>0</v>
      </c>
      <c r="AE234" s="2">
        <v>0</v>
      </c>
      <c r="AF234" s="2">
        <v>0</v>
      </c>
      <c r="AG234" s="2">
        <v>0</v>
      </c>
      <c r="AH234" s="2">
        <v>0</v>
      </c>
      <c r="AI234" s="2">
        <v>0</v>
      </c>
      <c r="AJ234" s="2">
        <v>0</v>
      </c>
      <c r="AK234" s="2">
        <v>0</v>
      </c>
      <c r="AL234" s="2">
        <v>0</v>
      </c>
      <c r="AM234" s="2">
        <v>0</v>
      </c>
      <c r="AN234" s="2">
        <v>0</v>
      </c>
      <c r="AO234" s="2">
        <v>0</v>
      </c>
      <c r="AP234" s="2">
        <v>0</v>
      </c>
      <c r="AQ234" s="2">
        <v>0</v>
      </c>
      <c r="AR234" s="2">
        <v>0</v>
      </c>
    </row>
    <row r="235" spans="1:44" x14ac:dyDescent="0.25">
      <c r="A235" t="s">
        <v>250</v>
      </c>
      <c r="B235" t="s">
        <v>347</v>
      </c>
      <c r="C235" t="s">
        <v>45</v>
      </c>
      <c r="D235" t="s">
        <v>345</v>
      </c>
      <c r="E235" t="s">
        <v>145</v>
      </c>
      <c r="F235" t="s">
        <v>345</v>
      </c>
      <c r="G235" t="s">
        <v>31</v>
      </c>
      <c r="H235" t="s">
        <v>272</v>
      </c>
      <c r="I235" t="s">
        <v>135</v>
      </c>
      <c r="J235" t="s">
        <v>40</v>
      </c>
      <c r="K235" t="s">
        <v>31</v>
      </c>
      <c r="L235">
        <v>0.63428571428571534</v>
      </c>
      <c r="M235">
        <v>1</v>
      </c>
      <c r="N235">
        <v>2.0798461922427691</v>
      </c>
      <c r="O235">
        <v>1.9798085216903567</v>
      </c>
      <c r="P235">
        <v>-0.39270346508962162</v>
      </c>
      <c r="Q235">
        <v>0.4672931329656026</v>
      </c>
      <c r="R235">
        <v>-0.53071772101320513</v>
      </c>
      <c r="S235" s="2">
        <v>0</v>
      </c>
      <c r="T235" s="2">
        <v>0</v>
      </c>
      <c r="U235" s="2">
        <v>0</v>
      </c>
      <c r="V235" s="2">
        <v>0</v>
      </c>
      <c r="W235" s="2">
        <v>0</v>
      </c>
      <c r="X235" s="2">
        <v>0</v>
      </c>
      <c r="Y235" s="2">
        <v>0</v>
      </c>
      <c r="Z235" s="2">
        <v>0</v>
      </c>
      <c r="AA235" s="2">
        <v>0</v>
      </c>
      <c r="AB235" s="2">
        <v>0</v>
      </c>
      <c r="AC235" s="2">
        <v>0</v>
      </c>
      <c r="AD235" s="2">
        <v>0</v>
      </c>
      <c r="AE235" s="2">
        <v>0</v>
      </c>
      <c r="AF235" s="2">
        <v>0</v>
      </c>
      <c r="AG235" s="2">
        <v>0</v>
      </c>
      <c r="AH235" s="2">
        <v>0</v>
      </c>
      <c r="AI235" s="2">
        <v>0</v>
      </c>
      <c r="AJ235" s="2">
        <v>0</v>
      </c>
      <c r="AK235" s="2">
        <v>0</v>
      </c>
      <c r="AL235" s="2">
        <v>0</v>
      </c>
      <c r="AM235" s="2">
        <v>0</v>
      </c>
      <c r="AN235" s="2">
        <v>0</v>
      </c>
      <c r="AO235" s="2">
        <v>0</v>
      </c>
      <c r="AP235" s="2">
        <v>0</v>
      </c>
      <c r="AQ235" s="2">
        <v>0</v>
      </c>
      <c r="AR235" s="2">
        <v>0</v>
      </c>
    </row>
    <row r="236" spans="1:44" x14ac:dyDescent="0.25">
      <c r="A236" t="s">
        <v>250</v>
      </c>
      <c r="B236" t="s">
        <v>347</v>
      </c>
      <c r="C236" t="s">
        <v>45</v>
      </c>
      <c r="D236" t="s">
        <v>345</v>
      </c>
      <c r="E236" t="s">
        <v>145</v>
      </c>
      <c r="F236" t="s">
        <v>345</v>
      </c>
      <c r="G236" t="s">
        <v>31</v>
      </c>
      <c r="H236" t="s">
        <v>273</v>
      </c>
      <c r="I236" t="s">
        <v>135</v>
      </c>
      <c r="J236" t="s">
        <v>39</v>
      </c>
      <c r="K236" t="s">
        <v>31</v>
      </c>
      <c r="L236">
        <v>0.63428571428571534</v>
      </c>
      <c r="M236">
        <v>1</v>
      </c>
      <c r="N236">
        <v>2.0798461922427691</v>
      </c>
      <c r="O236">
        <v>3.1588853240212438</v>
      </c>
      <c r="P236">
        <v>-0.39270346508962162</v>
      </c>
      <c r="Q236">
        <v>0.82266878256274323</v>
      </c>
      <c r="R236">
        <v>-0.67371772101320504</v>
      </c>
      <c r="S236" s="2">
        <v>0</v>
      </c>
      <c r="T236" s="2">
        <v>0</v>
      </c>
      <c r="U236" s="2">
        <v>0</v>
      </c>
      <c r="V236" s="2">
        <v>0</v>
      </c>
      <c r="W236" s="2">
        <v>0</v>
      </c>
      <c r="X236" s="2">
        <v>0</v>
      </c>
      <c r="Y236" s="2">
        <v>0</v>
      </c>
      <c r="Z236" s="2">
        <v>0</v>
      </c>
      <c r="AA236" s="2">
        <v>0</v>
      </c>
      <c r="AB236" s="2">
        <v>0</v>
      </c>
      <c r="AC236" s="2">
        <v>0</v>
      </c>
      <c r="AD236" s="2">
        <v>0</v>
      </c>
      <c r="AE236" s="2">
        <v>0</v>
      </c>
      <c r="AF236" s="2">
        <v>0</v>
      </c>
      <c r="AG236" s="2">
        <v>0</v>
      </c>
      <c r="AH236" s="2">
        <v>0</v>
      </c>
      <c r="AI236" s="2">
        <v>0</v>
      </c>
      <c r="AJ236" s="2">
        <v>0</v>
      </c>
      <c r="AK236" s="2">
        <v>0</v>
      </c>
      <c r="AL236" s="2">
        <v>0</v>
      </c>
      <c r="AM236" s="2">
        <v>0</v>
      </c>
      <c r="AN236" s="2">
        <v>0</v>
      </c>
      <c r="AO236" s="2">
        <v>0</v>
      </c>
      <c r="AP236" s="2">
        <v>0</v>
      </c>
      <c r="AQ236" s="2">
        <v>0</v>
      </c>
      <c r="AR236" s="2">
        <v>0</v>
      </c>
    </row>
    <row r="237" spans="1:44" x14ac:dyDescent="0.25">
      <c r="A237" t="s">
        <v>250</v>
      </c>
      <c r="B237" t="s">
        <v>347</v>
      </c>
      <c r="C237" t="s">
        <v>45</v>
      </c>
      <c r="D237" t="s">
        <v>345</v>
      </c>
      <c r="E237" t="s">
        <v>145</v>
      </c>
      <c r="F237" t="s">
        <v>345</v>
      </c>
      <c r="G237" t="s">
        <v>31</v>
      </c>
      <c r="H237" t="s">
        <v>274</v>
      </c>
      <c r="I237" t="s">
        <v>135</v>
      </c>
      <c r="J237" t="s">
        <v>39</v>
      </c>
      <c r="K237" t="s">
        <v>31</v>
      </c>
      <c r="L237">
        <v>0.63428571428571534</v>
      </c>
      <c r="M237">
        <v>1</v>
      </c>
      <c r="N237">
        <v>2.0798461922427691</v>
      </c>
      <c r="O237">
        <v>3.1588853240212438</v>
      </c>
      <c r="P237">
        <v>-0.39270346508962162</v>
      </c>
      <c r="Q237">
        <v>0.82266878256274323</v>
      </c>
      <c r="R237">
        <v>-0.67371772101320504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0</v>
      </c>
      <c r="Y237" s="2">
        <v>0</v>
      </c>
      <c r="Z237" s="2">
        <v>0</v>
      </c>
      <c r="AA237" s="2">
        <v>0</v>
      </c>
      <c r="AB237" s="2">
        <v>0</v>
      </c>
      <c r="AC237" s="2">
        <v>0</v>
      </c>
      <c r="AD237" s="2">
        <v>0</v>
      </c>
      <c r="AE237" s="2">
        <v>0</v>
      </c>
      <c r="AF237" s="2">
        <v>0</v>
      </c>
      <c r="AG237" s="2">
        <v>0</v>
      </c>
      <c r="AH237" s="2">
        <v>0</v>
      </c>
      <c r="AI237" s="2">
        <v>0</v>
      </c>
      <c r="AJ237" s="2">
        <v>0</v>
      </c>
      <c r="AK237" s="2">
        <v>0</v>
      </c>
      <c r="AL237" s="2">
        <v>0</v>
      </c>
      <c r="AM237" s="2">
        <v>0</v>
      </c>
      <c r="AN237" s="2">
        <v>0</v>
      </c>
      <c r="AO237" s="2">
        <v>0</v>
      </c>
      <c r="AP237" s="2">
        <v>0</v>
      </c>
      <c r="AQ237" s="2">
        <v>0</v>
      </c>
      <c r="AR237" s="2">
        <v>0</v>
      </c>
    </row>
    <row r="238" spans="1:44" x14ac:dyDescent="0.25">
      <c r="A238" t="s">
        <v>250</v>
      </c>
      <c r="B238" t="s">
        <v>347</v>
      </c>
      <c r="C238" t="s">
        <v>45</v>
      </c>
      <c r="D238" t="s">
        <v>345</v>
      </c>
      <c r="E238" t="s">
        <v>145</v>
      </c>
      <c r="F238" t="s">
        <v>345</v>
      </c>
      <c r="G238" t="s">
        <v>31</v>
      </c>
      <c r="H238" t="s">
        <v>274</v>
      </c>
      <c r="I238" t="s">
        <v>135</v>
      </c>
      <c r="J238" t="s">
        <v>39</v>
      </c>
      <c r="K238" t="s">
        <v>33</v>
      </c>
      <c r="L238">
        <v>0.63428571428571534</v>
      </c>
      <c r="M238">
        <v>1</v>
      </c>
      <c r="N238">
        <v>2.0798461922427691</v>
      </c>
      <c r="O238">
        <v>3.1588853240212438</v>
      </c>
      <c r="P238">
        <v>-0.39270346508962162</v>
      </c>
      <c r="Q238">
        <v>0.82266878256274323</v>
      </c>
      <c r="R238">
        <v>-0.67371772101320504</v>
      </c>
      <c r="S238" s="2">
        <v>0</v>
      </c>
      <c r="T238" s="2">
        <v>0</v>
      </c>
      <c r="U238" s="2">
        <v>0</v>
      </c>
      <c r="V238" s="2">
        <v>0</v>
      </c>
      <c r="W238" s="2">
        <v>0</v>
      </c>
      <c r="X238" s="2">
        <v>0</v>
      </c>
      <c r="Y238" s="2">
        <v>0</v>
      </c>
      <c r="Z238" s="2">
        <v>0</v>
      </c>
      <c r="AA238" s="2">
        <v>0</v>
      </c>
      <c r="AB238" s="2">
        <v>0</v>
      </c>
      <c r="AC238" s="2">
        <v>0</v>
      </c>
      <c r="AD238" s="2">
        <v>0</v>
      </c>
      <c r="AE238" s="2">
        <v>0</v>
      </c>
      <c r="AF238" s="2">
        <v>0</v>
      </c>
      <c r="AG238" s="2">
        <v>0</v>
      </c>
      <c r="AH238" s="2">
        <v>0</v>
      </c>
      <c r="AI238" s="2">
        <v>0</v>
      </c>
      <c r="AJ238" s="2">
        <v>0</v>
      </c>
      <c r="AK238" s="2">
        <v>0</v>
      </c>
      <c r="AL238" s="2">
        <v>0</v>
      </c>
      <c r="AM238" s="2">
        <v>0</v>
      </c>
      <c r="AN238" s="2">
        <v>0</v>
      </c>
      <c r="AO238" s="2">
        <v>0</v>
      </c>
      <c r="AP238" s="2">
        <v>0</v>
      </c>
      <c r="AQ238" s="2">
        <v>0</v>
      </c>
      <c r="AR238" s="2">
        <v>0</v>
      </c>
    </row>
    <row r="239" spans="1:44" x14ac:dyDescent="0.25">
      <c r="A239" t="s">
        <v>250</v>
      </c>
      <c r="B239" t="s">
        <v>347</v>
      </c>
      <c r="C239" t="s">
        <v>45</v>
      </c>
      <c r="D239" t="s">
        <v>345</v>
      </c>
      <c r="E239" t="s">
        <v>145</v>
      </c>
      <c r="F239" t="s">
        <v>345</v>
      </c>
      <c r="G239" t="s">
        <v>31</v>
      </c>
      <c r="H239" t="s">
        <v>275</v>
      </c>
      <c r="I239" t="s">
        <v>135</v>
      </c>
      <c r="J239" t="s">
        <v>39</v>
      </c>
      <c r="K239" t="s">
        <v>31</v>
      </c>
      <c r="L239">
        <v>0.63428571428571534</v>
      </c>
      <c r="M239">
        <v>1</v>
      </c>
      <c r="N239">
        <v>2.0798461922427691</v>
      </c>
      <c r="O239">
        <v>3.1588853240212438</v>
      </c>
      <c r="P239">
        <v>-0.39270346508962162</v>
      </c>
      <c r="Q239">
        <v>0.82266878256274323</v>
      </c>
      <c r="R239">
        <v>-0.67371772101320504</v>
      </c>
      <c r="S239" s="2">
        <v>0</v>
      </c>
      <c r="T239" s="2">
        <v>0</v>
      </c>
      <c r="U239" s="2">
        <v>0</v>
      </c>
      <c r="V239" s="2">
        <v>0</v>
      </c>
      <c r="W239" s="2">
        <v>0</v>
      </c>
      <c r="X239" s="2">
        <v>0</v>
      </c>
      <c r="Y239" s="2">
        <v>0</v>
      </c>
      <c r="Z239" s="2">
        <v>0</v>
      </c>
      <c r="AA239" s="2">
        <v>0</v>
      </c>
      <c r="AB239" s="2">
        <v>0</v>
      </c>
      <c r="AC239" s="2">
        <v>0</v>
      </c>
      <c r="AD239" s="2">
        <v>0</v>
      </c>
      <c r="AE239" s="2">
        <v>0</v>
      </c>
      <c r="AF239" s="2">
        <v>0</v>
      </c>
      <c r="AG239" s="2">
        <v>0</v>
      </c>
      <c r="AH239" s="2">
        <v>0</v>
      </c>
      <c r="AI239" s="2">
        <v>0</v>
      </c>
      <c r="AJ239" s="2">
        <v>0</v>
      </c>
      <c r="AK239" s="2">
        <v>0</v>
      </c>
      <c r="AL239" s="2">
        <v>0</v>
      </c>
      <c r="AM239" s="2">
        <v>0</v>
      </c>
      <c r="AN239" s="2">
        <v>0</v>
      </c>
      <c r="AO239" s="2">
        <v>0</v>
      </c>
      <c r="AP239" s="2">
        <v>0</v>
      </c>
      <c r="AQ239" s="2">
        <v>0</v>
      </c>
      <c r="AR239" s="2">
        <v>0</v>
      </c>
    </row>
    <row r="240" spans="1:44" x14ac:dyDescent="0.25">
      <c r="A240" t="s">
        <v>250</v>
      </c>
      <c r="B240" t="s">
        <v>347</v>
      </c>
      <c r="C240" t="s">
        <v>45</v>
      </c>
      <c r="D240" t="s">
        <v>345</v>
      </c>
      <c r="E240" t="s">
        <v>148</v>
      </c>
      <c r="F240" t="s">
        <v>345</v>
      </c>
      <c r="G240" t="s">
        <v>31</v>
      </c>
      <c r="H240" t="s">
        <v>272</v>
      </c>
      <c r="I240" t="s">
        <v>135</v>
      </c>
      <c r="J240" t="s">
        <v>39</v>
      </c>
      <c r="K240" t="s">
        <v>31</v>
      </c>
      <c r="L240">
        <v>0.63428571428571534</v>
      </c>
      <c r="M240">
        <v>1</v>
      </c>
      <c r="N240">
        <v>2.0798461922427691</v>
      </c>
      <c r="O240">
        <v>3.1588853240212438</v>
      </c>
      <c r="P240">
        <v>-0.39270346508962162</v>
      </c>
      <c r="Q240">
        <v>0.82266878256274323</v>
      </c>
      <c r="R240">
        <v>-0.67371772101320504</v>
      </c>
      <c r="S240" s="2">
        <v>0</v>
      </c>
      <c r="T240" s="2">
        <v>0</v>
      </c>
      <c r="U240" s="2">
        <v>0</v>
      </c>
      <c r="V240" s="2">
        <v>0</v>
      </c>
      <c r="W240" s="2">
        <v>0</v>
      </c>
      <c r="X240" s="2">
        <v>0</v>
      </c>
      <c r="Y240" s="2">
        <v>0</v>
      </c>
      <c r="Z240" s="2">
        <v>0</v>
      </c>
      <c r="AA240" s="2">
        <v>0</v>
      </c>
      <c r="AB240" s="2">
        <v>0</v>
      </c>
      <c r="AC240" s="2">
        <v>0</v>
      </c>
      <c r="AD240" s="2">
        <v>0</v>
      </c>
      <c r="AE240" s="2">
        <v>0</v>
      </c>
      <c r="AF240" s="2">
        <v>0</v>
      </c>
      <c r="AG240" s="2">
        <v>0</v>
      </c>
      <c r="AH240" s="2">
        <v>0</v>
      </c>
      <c r="AI240" s="2">
        <v>0</v>
      </c>
      <c r="AJ240" s="2">
        <v>0</v>
      </c>
      <c r="AK240" s="2">
        <v>0</v>
      </c>
      <c r="AL240" s="2">
        <v>0</v>
      </c>
      <c r="AM240" s="2">
        <v>0</v>
      </c>
      <c r="AN240" s="2">
        <v>0</v>
      </c>
      <c r="AO240" s="2">
        <v>0</v>
      </c>
      <c r="AP240" s="2">
        <v>0</v>
      </c>
      <c r="AQ240" s="2">
        <v>0</v>
      </c>
      <c r="AR240" s="2">
        <v>0</v>
      </c>
    </row>
    <row r="241" spans="1:44" x14ac:dyDescent="0.25">
      <c r="A241" t="s">
        <v>250</v>
      </c>
      <c r="B241" t="s">
        <v>347</v>
      </c>
      <c r="C241" t="s">
        <v>45</v>
      </c>
      <c r="D241" t="s">
        <v>345</v>
      </c>
      <c r="E241" t="s">
        <v>148</v>
      </c>
      <c r="F241" t="s">
        <v>345</v>
      </c>
      <c r="G241" t="s">
        <v>31</v>
      </c>
      <c r="H241" t="s">
        <v>272</v>
      </c>
      <c r="I241" t="s">
        <v>135</v>
      </c>
      <c r="J241" t="s">
        <v>40</v>
      </c>
      <c r="K241" t="s">
        <v>31</v>
      </c>
      <c r="L241">
        <v>0.63428571428571534</v>
      </c>
      <c r="M241">
        <v>1</v>
      </c>
      <c r="N241">
        <v>2.0798461922427691</v>
      </c>
      <c r="O241">
        <v>1.9798085216903567</v>
      </c>
      <c r="P241">
        <v>-0.39270346508962162</v>
      </c>
      <c r="Q241">
        <v>0.4672931329656026</v>
      </c>
      <c r="R241">
        <v>-0.53071772101320513</v>
      </c>
      <c r="S241" s="2">
        <v>0</v>
      </c>
      <c r="T241" s="2">
        <v>0</v>
      </c>
      <c r="U241" s="2">
        <v>0</v>
      </c>
      <c r="V241" s="2">
        <v>0</v>
      </c>
      <c r="W241" s="2">
        <v>0</v>
      </c>
      <c r="X241" s="2">
        <v>0</v>
      </c>
      <c r="Y241" s="2">
        <v>0</v>
      </c>
      <c r="Z241" s="2">
        <v>0</v>
      </c>
      <c r="AA241" s="2">
        <v>0</v>
      </c>
      <c r="AB241" s="2">
        <v>0</v>
      </c>
      <c r="AC241" s="2">
        <v>0</v>
      </c>
      <c r="AD241" s="2">
        <v>0</v>
      </c>
      <c r="AE241" s="2">
        <v>0</v>
      </c>
      <c r="AF241" s="2">
        <v>0</v>
      </c>
      <c r="AG241" s="2">
        <v>0</v>
      </c>
      <c r="AH241" s="2">
        <v>0</v>
      </c>
      <c r="AI241" s="2">
        <v>0</v>
      </c>
      <c r="AJ241" s="2">
        <v>0</v>
      </c>
      <c r="AK241" s="2">
        <v>0</v>
      </c>
      <c r="AL241" s="2">
        <v>0</v>
      </c>
      <c r="AM241" s="2">
        <v>0</v>
      </c>
      <c r="AN241" s="2">
        <v>0</v>
      </c>
      <c r="AO241" s="2">
        <v>0</v>
      </c>
      <c r="AP241" s="2">
        <v>0</v>
      </c>
      <c r="AQ241" s="2">
        <v>0</v>
      </c>
      <c r="AR241" s="2">
        <v>0</v>
      </c>
    </row>
    <row r="242" spans="1:44" x14ac:dyDescent="0.25">
      <c r="A242" t="s">
        <v>250</v>
      </c>
      <c r="B242" t="s">
        <v>347</v>
      </c>
      <c r="C242" t="s">
        <v>45</v>
      </c>
      <c r="D242" t="s">
        <v>345</v>
      </c>
      <c r="E242" t="s">
        <v>148</v>
      </c>
      <c r="F242" t="s">
        <v>345</v>
      </c>
      <c r="G242" t="s">
        <v>31</v>
      </c>
      <c r="H242" t="s">
        <v>273</v>
      </c>
      <c r="I242" t="s">
        <v>135</v>
      </c>
      <c r="J242" t="s">
        <v>39</v>
      </c>
      <c r="K242" t="s">
        <v>31</v>
      </c>
      <c r="L242">
        <v>0.63428571428571534</v>
      </c>
      <c r="M242">
        <v>1</v>
      </c>
      <c r="N242">
        <v>2.0798461922427691</v>
      </c>
      <c r="O242">
        <v>3.1588853240212438</v>
      </c>
      <c r="P242">
        <v>-0.39270346508962162</v>
      </c>
      <c r="Q242">
        <v>0.82266878256274323</v>
      </c>
      <c r="R242">
        <v>-0.67371772101320504</v>
      </c>
      <c r="S242" s="2">
        <v>0</v>
      </c>
      <c r="T242" s="2">
        <v>0</v>
      </c>
      <c r="U242" s="2">
        <v>0</v>
      </c>
      <c r="V242" s="2">
        <v>0</v>
      </c>
      <c r="W242" s="2">
        <v>0</v>
      </c>
      <c r="X242" s="2">
        <v>0</v>
      </c>
      <c r="Y242" s="2">
        <v>0</v>
      </c>
      <c r="Z242" s="2">
        <v>0</v>
      </c>
      <c r="AA242" s="2">
        <v>0</v>
      </c>
      <c r="AB242" s="2">
        <v>0</v>
      </c>
      <c r="AC242" s="2">
        <v>0</v>
      </c>
      <c r="AD242" s="2">
        <v>0</v>
      </c>
      <c r="AE242" s="2">
        <v>0</v>
      </c>
      <c r="AF242" s="2">
        <v>0</v>
      </c>
      <c r="AG242" s="2">
        <v>0</v>
      </c>
      <c r="AH242" s="2">
        <v>0</v>
      </c>
      <c r="AI242" s="2">
        <v>0</v>
      </c>
      <c r="AJ242" s="2">
        <v>0</v>
      </c>
      <c r="AK242" s="2">
        <v>0</v>
      </c>
      <c r="AL242" s="2">
        <v>0</v>
      </c>
      <c r="AM242" s="2">
        <v>0</v>
      </c>
      <c r="AN242" s="2">
        <v>0</v>
      </c>
      <c r="AO242" s="2">
        <v>0</v>
      </c>
      <c r="AP242" s="2">
        <v>0</v>
      </c>
      <c r="AQ242" s="2">
        <v>0</v>
      </c>
      <c r="AR242" s="2">
        <v>0</v>
      </c>
    </row>
    <row r="243" spans="1:44" x14ac:dyDescent="0.25">
      <c r="A243" t="s">
        <v>250</v>
      </c>
      <c r="B243" t="s">
        <v>347</v>
      </c>
      <c r="C243" t="s">
        <v>45</v>
      </c>
      <c r="D243" t="s">
        <v>345</v>
      </c>
      <c r="E243" t="s">
        <v>148</v>
      </c>
      <c r="F243" t="s">
        <v>345</v>
      </c>
      <c r="G243" t="s">
        <v>31</v>
      </c>
      <c r="H243" t="s">
        <v>274</v>
      </c>
      <c r="I243" t="s">
        <v>135</v>
      </c>
      <c r="J243" t="s">
        <v>39</v>
      </c>
      <c r="K243" t="s">
        <v>31</v>
      </c>
      <c r="L243">
        <v>0.63428571428571534</v>
      </c>
      <c r="M243">
        <v>1</v>
      </c>
      <c r="N243">
        <v>2.0798461922427691</v>
      </c>
      <c r="O243">
        <v>3.1588853240212438</v>
      </c>
      <c r="P243">
        <v>-0.39270346508962162</v>
      </c>
      <c r="Q243">
        <v>0.82266878256274323</v>
      </c>
      <c r="R243">
        <v>-0.67371772101320504</v>
      </c>
      <c r="S243" s="2">
        <v>0</v>
      </c>
      <c r="T243" s="2">
        <v>0</v>
      </c>
      <c r="U243" s="2">
        <v>0</v>
      </c>
      <c r="V243" s="2">
        <v>0</v>
      </c>
      <c r="W243" s="2">
        <v>0</v>
      </c>
      <c r="X243" s="2">
        <v>0</v>
      </c>
      <c r="Y243" s="2">
        <v>0</v>
      </c>
      <c r="Z243" s="2">
        <v>0</v>
      </c>
      <c r="AA243" s="2">
        <v>0</v>
      </c>
      <c r="AB243" s="2">
        <v>0</v>
      </c>
      <c r="AC243" s="2">
        <v>0</v>
      </c>
      <c r="AD243" s="2">
        <v>0</v>
      </c>
      <c r="AE243" s="2">
        <v>0</v>
      </c>
      <c r="AF243" s="2">
        <v>0</v>
      </c>
      <c r="AG243" s="2">
        <v>0</v>
      </c>
      <c r="AH243" s="2">
        <v>0</v>
      </c>
      <c r="AI243" s="2">
        <v>0</v>
      </c>
      <c r="AJ243" s="2">
        <v>0</v>
      </c>
      <c r="AK243" s="2">
        <v>0</v>
      </c>
      <c r="AL243" s="2">
        <v>0</v>
      </c>
      <c r="AM243" s="2">
        <v>0</v>
      </c>
      <c r="AN243" s="2">
        <v>0</v>
      </c>
      <c r="AO243" s="2">
        <v>0</v>
      </c>
      <c r="AP243" s="2">
        <v>0</v>
      </c>
      <c r="AQ243" s="2">
        <v>0</v>
      </c>
      <c r="AR243" s="2">
        <v>0</v>
      </c>
    </row>
    <row r="244" spans="1:44" x14ac:dyDescent="0.25">
      <c r="A244" t="s">
        <v>250</v>
      </c>
      <c r="B244" t="s">
        <v>347</v>
      </c>
      <c r="C244" t="s">
        <v>45</v>
      </c>
      <c r="D244" t="s">
        <v>345</v>
      </c>
      <c r="E244" t="s">
        <v>148</v>
      </c>
      <c r="F244" t="s">
        <v>345</v>
      </c>
      <c r="G244" t="s">
        <v>31</v>
      </c>
      <c r="H244" t="s">
        <v>274</v>
      </c>
      <c r="I244" t="s">
        <v>135</v>
      </c>
      <c r="J244" t="s">
        <v>39</v>
      </c>
      <c r="K244" t="s">
        <v>33</v>
      </c>
      <c r="L244">
        <v>0.63428571428571534</v>
      </c>
      <c r="M244">
        <v>1</v>
      </c>
      <c r="N244">
        <v>2.0798461922427691</v>
      </c>
      <c r="O244">
        <v>3.1588853240212438</v>
      </c>
      <c r="P244">
        <v>-0.39270346508962162</v>
      </c>
      <c r="Q244">
        <v>0.82266878256274323</v>
      </c>
      <c r="R244">
        <v>-0.67371772101320504</v>
      </c>
      <c r="S244" s="2">
        <v>0</v>
      </c>
      <c r="T244" s="2">
        <v>0</v>
      </c>
      <c r="U244" s="2">
        <v>0</v>
      </c>
      <c r="V244" s="2">
        <v>0</v>
      </c>
      <c r="W244" s="2">
        <v>0</v>
      </c>
      <c r="X244" s="2">
        <v>0</v>
      </c>
      <c r="Y244" s="2">
        <v>0</v>
      </c>
      <c r="Z244" s="2">
        <v>0</v>
      </c>
      <c r="AA244" s="2">
        <v>0</v>
      </c>
      <c r="AB244" s="2">
        <v>0</v>
      </c>
      <c r="AC244" s="2">
        <v>0</v>
      </c>
      <c r="AD244" s="2">
        <v>0</v>
      </c>
      <c r="AE244" s="2">
        <v>0</v>
      </c>
      <c r="AF244" s="2">
        <v>0</v>
      </c>
      <c r="AG244" s="2">
        <v>0</v>
      </c>
      <c r="AH244" s="2">
        <v>0</v>
      </c>
      <c r="AI244" s="2">
        <v>0</v>
      </c>
      <c r="AJ244" s="2">
        <v>0</v>
      </c>
      <c r="AK244" s="2">
        <v>0</v>
      </c>
      <c r="AL244" s="2">
        <v>0</v>
      </c>
      <c r="AM244" s="2">
        <v>0</v>
      </c>
      <c r="AN244" s="2">
        <v>0</v>
      </c>
      <c r="AO244" s="2">
        <v>0</v>
      </c>
      <c r="AP244" s="2">
        <v>0</v>
      </c>
      <c r="AQ244" s="2">
        <v>0</v>
      </c>
      <c r="AR244" s="2">
        <v>0</v>
      </c>
    </row>
    <row r="245" spans="1:44" x14ac:dyDescent="0.25">
      <c r="A245" t="s">
        <v>250</v>
      </c>
      <c r="B245" t="s">
        <v>347</v>
      </c>
      <c r="C245" t="s">
        <v>45</v>
      </c>
      <c r="D245" t="s">
        <v>345</v>
      </c>
      <c r="E245" t="s">
        <v>148</v>
      </c>
      <c r="F245" t="s">
        <v>345</v>
      </c>
      <c r="G245" t="s">
        <v>31</v>
      </c>
      <c r="H245" t="s">
        <v>275</v>
      </c>
      <c r="I245" t="s">
        <v>135</v>
      </c>
      <c r="J245" t="s">
        <v>39</v>
      </c>
      <c r="K245" t="s">
        <v>31</v>
      </c>
      <c r="L245">
        <v>0.63428571428571534</v>
      </c>
      <c r="M245">
        <v>1</v>
      </c>
      <c r="N245">
        <v>2.0798461922427691</v>
      </c>
      <c r="O245">
        <v>3.1588853240212438</v>
      </c>
      <c r="P245">
        <v>-0.39270346508962162</v>
      </c>
      <c r="Q245">
        <v>0.82266878256274323</v>
      </c>
      <c r="R245">
        <v>-0.67371772101320504</v>
      </c>
      <c r="S245" s="2">
        <v>0</v>
      </c>
      <c r="T245" s="2">
        <v>0</v>
      </c>
      <c r="U245" s="2">
        <v>0</v>
      </c>
      <c r="V245" s="2">
        <v>0</v>
      </c>
      <c r="W245" s="2">
        <v>0</v>
      </c>
      <c r="X245" s="2">
        <v>0</v>
      </c>
      <c r="Y245" s="2">
        <v>0</v>
      </c>
      <c r="Z245" s="2">
        <v>0</v>
      </c>
      <c r="AA245" s="2">
        <v>0</v>
      </c>
      <c r="AB245" s="2">
        <v>0</v>
      </c>
      <c r="AC245" s="2">
        <v>0</v>
      </c>
      <c r="AD245" s="2">
        <v>0</v>
      </c>
      <c r="AE245" s="2">
        <v>0</v>
      </c>
      <c r="AF245" s="2">
        <v>0</v>
      </c>
      <c r="AG245" s="2">
        <v>0</v>
      </c>
      <c r="AH245" s="2">
        <v>0</v>
      </c>
      <c r="AI245" s="2">
        <v>0</v>
      </c>
      <c r="AJ245" s="2">
        <v>0</v>
      </c>
      <c r="AK245" s="2">
        <v>0</v>
      </c>
      <c r="AL245" s="2">
        <v>0</v>
      </c>
      <c r="AM245" s="2">
        <v>0</v>
      </c>
      <c r="AN245" s="2">
        <v>0</v>
      </c>
      <c r="AO245" s="2">
        <v>0</v>
      </c>
      <c r="AP245" s="2">
        <v>0</v>
      </c>
      <c r="AQ245" s="2">
        <v>0</v>
      </c>
      <c r="AR245" s="2">
        <v>0</v>
      </c>
    </row>
    <row r="246" spans="1:44" x14ac:dyDescent="0.25">
      <c r="A246" t="s">
        <v>250</v>
      </c>
      <c r="B246" t="s">
        <v>349</v>
      </c>
      <c r="C246" t="s">
        <v>45</v>
      </c>
      <c r="D246" t="s">
        <v>345</v>
      </c>
      <c r="E246" t="s">
        <v>145</v>
      </c>
      <c r="F246" t="s">
        <v>345</v>
      </c>
      <c r="G246" t="s">
        <v>31</v>
      </c>
      <c r="H246" t="s">
        <v>276</v>
      </c>
      <c r="I246" t="s">
        <v>135</v>
      </c>
      <c r="J246" t="s">
        <v>39</v>
      </c>
      <c r="K246" t="s">
        <v>31</v>
      </c>
      <c r="L246">
        <v>0.53142857142857225</v>
      </c>
      <c r="M246">
        <v>1</v>
      </c>
      <c r="N246">
        <v>1.8489663471049216</v>
      </c>
      <c r="O246">
        <v>3.1597702595673303</v>
      </c>
      <c r="P246">
        <v>-0.28971783165162007</v>
      </c>
      <c r="Q246">
        <v>0.92565441600074494</v>
      </c>
      <c r="R246">
        <v>-0.67371772101320537</v>
      </c>
      <c r="S246" s="2">
        <v>1.0380537054528149E-5</v>
      </c>
      <c r="T246" s="2">
        <v>1.5932689096417537E-5</v>
      </c>
      <c r="U246" s="2">
        <v>3.4715755977819172E-5</v>
      </c>
      <c r="V246" s="2">
        <v>6.5186234596135075E-5</v>
      </c>
      <c r="W246" s="2">
        <v>1.1131257363578115E-4</v>
      </c>
      <c r="X246" s="2">
        <v>1.7719850465451367E-4</v>
      </c>
      <c r="Y246" s="2">
        <v>2.6657844463562569E-4</v>
      </c>
      <c r="Z246" s="2">
        <v>3.8212537445098414E-4</v>
      </c>
      <c r="AA246" s="2">
        <v>5.2462537493572312E-4</v>
      </c>
      <c r="AB246" s="2">
        <v>6.9215643408473894E-4</v>
      </c>
      <c r="AC246" s="2">
        <v>8.7950060766185732E-4</v>
      </c>
      <c r="AD246" s="2">
        <v>1.078077089995418E-3</v>
      </c>
      <c r="AE246" s="2">
        <v>1.2766506567019598E-3</v>
      </c>
      <c r="AF246" s="2">
        <v>1.4628953527762024E-3</v>
      </c>
      <c r="AG246" s="2">
        <v>1.6255823576680299E-3</v>
      </c>
      <c r="AH246" s="2">
        <v>1.756816391242381E-3</v>
      </c>
      <c r="AI246" s="2">
        <v>1.85355833622024E-3</v>
      </c>
      <c r="AJ246" s="2">
        <v>1.9230936612915648E-3</v>
      </c>
      <c r="AK246" s="2">
        <v>1.9590354805320781E-3</v>
      </c>
      <c r="AL246" s="2">
        <v>1.9868385918355804E-3</v>
      </c>
      <c r="AM246" s="2">
        <v>2.4591975792289333E-3</v>
      </c>
      <c r="AN246" s="2">
        <v>2.5402761888964334E-3</v>
      </c>
      <c r="AO246" s="2">
        <v>2.5360372531285018E-3</v>
      </c>
      <c r="AP246" s="2">
        <v>2.528530686890415E-3</v>
      </c>
      <c r="AQ246" s="2">
        <v>2.5165399486590614E-3</v>
      </c>
      <c r="AR246" s="2">
        <v>3.0662842105850921E-2</v>
      </c>
    </row>
    <row r="247" spans="1:44" x14ac:dyDescent="0.25">
      <c r="A247" t="s">
        <v>250</v>
      </c>
      <c r="B247" t="s">
        <v>349</v>
      </c>
      <c r="C247" t="s">
        <v>45</v>
      </c>
      <c r="D247" t="s">
        <v>345</v>
      </c>
      <c r="E247" t="s">
        <v>148</v>
      </c>
      <c r="F247" t="s">
        <v>345</v>
      </c>
      <c r="G247" t="s">
        <v>31</v>
      </c>
      <c r="H247" t="s">
        <v>276</v>
      </c>
      <c r="I247" t="s">
        <v>135</v>
      </c>
      <c r="J247" t="s">
        <v>39</v>
      </c>
      <c r="K247" t="s">
        <v>31</v>
      </c>
      <c r="L247">
        <v>0.53142857142857225</v>
      </c>
      <c r="M247">
        <v>1</v>
      </c>
      <c r="N247">
        <v>1.8489663471049216</v>
      </c>
      <c r="O247">
        <v>3.1597702595673303</v>
      </c>
      <c r="P247">
        <v>-0.28971783165162007</v>
      </c>
      <c r="Q247">
        <v>0.92565441600074494</v>
      </c>
      <c r="R247">
        <v>-0.67371772101320537</v>
      </c>
      <c r="S247" s="2">
        <v>2.3546172535331857E-6</v>
      </c>
      <c r="T247" s="2">
        <v>4.292198477941741E-6</v>
      </c>
      <c r="U247" s="2">
        <v>9.4575628673788719E-6</v>
      </c>
      <c r="V247" s="2">
        <v>1.7958926218899544E-5</v>
      </c>
      <c r="W247" s="2">
        <v>3.101347500490887E-5</v>
      </c>
      <c r="X247" s="2">
        <v>4.9929564645725747E-5</v>
      </c>
      <c r="Y247" s="2">
        <v>7.5966824015248516E-5</v>
      </c>
      <c r="Z247" s="2">
        <v>1.1013253481353037E-4</v>
      </c>
      <c r="AA247" s="2">
        <v>1.5292531446262027E-4</v>
      </c>
      <c r="AB247" s="2">
        <v>2.0406292483697721E-4</v>
      </c>
      <c r="AC247" s="2">
        <v>2.6226182830772716E-4</v>
      </c>
      <c r="AD247" s="2">
        <v>3.2515998884996241E-4</v>
      </c>
      <c r="AE247" s="2">
        <v>3.8947255443457629E-4</v>
      </c>
      <c r="AF247" s="2">
        <v>4.5142397724864898E-4</v>
      </c>
      <c r="AG247" s="2">
        <v>5.0740635569006167E-4</v>
      </c>
      <c r="AH247" s="2">
        <v>5.546994862029095E-4</v>
      </c>
      <c r="AI247" s="2">
        <v>5.9201256624017947E-4</v>
      </c>
      <c r="AJ247" s="2">
        <v>6.2133684681242368E-4</v>
      </c>
      <c r="AK247" s="2">
        <v>6.4029428372253041E-4</v>
      </c>
      <c r="AL247" s="2">
        <v>6.5693003694465232E-4</v>
      </c>
      <c r="AM247" s="2">
        <v>6.6584706375262049E-4</v>
      </c>
      <c r="AN247" s="2">
        <v>6.7219857671683861E-4</v>
      </c>
      <c r="AO247" s="2">
        <v>6.7862366009495303E-4</v>
      </c>
      <c r="AP247" s="2">
        <v>6.8512313400923529E-4</v>
      </c>
      <c r="AQ247" s="2">
        <v>6.9169782778943174E-4</v>
      </c>
      <c r="AR247" s="2">
        <v>9.0525821294135146E-3</v>
      </c>
    </row>
    <row r="248" spans="1:44" x14ac:dyDescent="0.25">
      <c r="A248" t="s">
        <v>250</v>
      </c>
      <c r="B248" t="s">
        <v>348</v>
      </c>
      <c r="C248" t="s">
        <v>45</v>
      </c>
      <c r="D248" t="s">
        <v>345</v>
      </c>
      <c r="E248" t="s">
        <v>145</v>
      </c>
      <c r="F248" t="s">
        <v>345</v>
      </c>
      <c r="G248" t="s">
        <v>31</v>
      </c>
      <c r="H248" t="s">
        <v>277</v>
      </c>
      <c r="I248" t="s">
        <v>135</v>
      </c>
      <c r="J248" t="s">
        <v>39</v>
      </c>
      <c r="K248" t="s">
        <v>31</v>
      </c>
      <c r="L248">
        <v>0.63428571428571534</v>
      </c>
      <c r="M248">
        <v>1</v>
      </c>
      <c r="N248">
        <v>2.0798461922427691</v>
      </c>
      <c r="O248">
        <v>3.1588853240212438</v>
      </c>
      <c r="P248">
        <v>-0.39270346508962162</v>
      </c>
      <c r="Q248">
        <v>0.82266878256274323</v>
      </c>
      <c r="R248">
        <v>-0.67371772101320504</v>
      </c>
      <c r="S248" s="2">
        <v>8.1839988039715853E-5</v>
      </c>
      <c r="T248" s="2">
        <v>1.2528326708825395E-4</v>
      </c>
      <c r="U248" s="2">
        <v>2.7226315326579152E-4</v>
      </c>
      <c r="V248" s="2">
        <v>5.0988988044532583E-4</v>
      </c>
      <c r="W248" s="2">
        <v>8.6840632126027246E-4</v>
      </c>
      <c r="X248" s="2">
        <v>1.3787866161536809E-3</v>
      </c>
      <c r="Y248" s="2">
        <v>2.0688084938254299E-3</v>
      </c>
      <c r="Z248" s="2">
        <v>2.9577358997016539E-3</v>
      </c>
      <c r="AA248" s="2">
        <v>4.0500563184723655E-3</v>
      </c>
      <c r="AB248" s="2">
        <v>5.3293505093281292E-3</v>
      </c>
      <c r="AC248" s="2">
        <v>6.7540523508181358E-3</v>
      </c>
      <c r="AD248" s="2">
        <v>8.2572674251928831E-3</v>
      </c>
      <c r="AE248" s="2">
        <v>9.7525202456352992E-3</v>
      </c>
      <c r="AF248" s="2">
        <v>1.1145929771298973E-2</v>
      </c>
      <c r="AG248" s="2">
        <v>1.2352938343169379E-2</v>
      </c>
      <c r="AH248" s="2">
        <v>1.3315145782439785E-2</v>
      </c>
      <c r="AI248" s="2">
        <v>1.4011481713070813E-2</v>
      </c>
      <c r="AJ248" s="2">
        <v>1.4498948131737643E-2</v>
      </c>
      <c r="AK248" s="2">
        <v>1.4731148786067419E-2</v>
      </c>
      <c r="AL248" s="2">
        <v>1.4900991115042853E-2</v>
      </c>
      <c r="AM248" s="2">
        <v>1.8584408499646793E-2</v>
      </c>
      <c r="AN248" s="2">
        <v>2.0037393803100177E-2</v>
      </c>
      <c r="AO248" s="2">
        <v>1.9953354939824197E-2</v>
      </c>
      <c r="AP248" s="2">
        <v>1.9839127143575743E-2</v>
      </c>
      <c r="AQ248" s="2">
        <v>1.9683566011810663E-2</v>
      </c>
      <c r="AR248" s="2">
        <v>0.23546069451001139</v>
      </c>
    </row>
    <row r="249" spans="1:44" x14ac:dyDescent="0.25">
      <c r="A249" t="s">
        <v>250</v>
      </c>
      <c r="B249" t="s">
        <v>348</v>
      </c>
      <c r="C249" t="s">
        <v>45</v>
      </c>
      <c r="D249" t="s">
        <v>345</v>
      </c>
      <c r="E249" t="s">
        <v>145</v>
      </c>
      <c r="F249" t="s">
        <v>345</v>
      </c>
      <c r="G249" t="s">
        <v>31</v>
      </c>
      <c r="H249" t="s">
        <v>277</v>
      </c>
      <c r="I249" t="s">
        <v>135</v>
      </c>
      <c r="J249" t="s">
        <v>40</v>
      </c>
      <c r="K249" t="s">
        <v>31</v>
      </c>
      <c r="L249">
        <v>0.63428571428571534</v>
      </c>
      <c r="M249">
        <v>1</v>
      </c>
      <c r="N249">
        <v>2.0798461922427691</v>
      </c>
      <c r="O249">
        <v>1.9798085216903567</v>
      </c>
      <c r="P249">
        <v>-0.39270346508962162</v>
      </c>
      <c r="Q249">
        <v>0.4672931329656026</v>
      </c>
      <c r="R249">
        <v>-0.53071772101320513</v>
      </c>
      <c r="S249" s="2">
        <v>1.2909880832654992E-5</v>
      </c>
      <c r="T249" s="2">
        <v>1.9762857829966286E-5</v>
      </c>
      <c r="U249" s="2">
        <v>4.2948257300312949E-5</v>
      </c>
      <c r="V249" s="2">
        <v>8.0432778058708897E-5</v>
      </c>
      <c r="W249" s="2">
        <v>1.3698709384407366E-4</v>
      </c>
      <c r="X249" s="2">
        <v>2.1749723252116748E-4</v>
      </c>
      <c r="Y249" s="2">
        <v>3.2634500273765545E-4</v>
      </c>
      <c r="Z249" s="2">
        <v>4.6656920307813039E-4</v>
      </c>
      <c r="AA249" s="2">
        <v>6.3887771356523244E-4</v>
      </c>
      <c r="AB249" s="2">
        <v>8.4068047465362511E-4</v>
      </c>
      <c r="AC249" s="2">
        <v>1.0654206223033823E-3</v>
      </c>
      <c r="AD249" s="2">
        <v>1.3025458704963679E-3</v>
      </c>
      <c r="AE249" s="2">
        <v>1.5384151098373499E-3</v>
      </c>
      <c r="AF249" s="2">
        <v>1.7582190389224164E-3</v>
      </c>
      <c r="AG249" s="2">
        <v>1.94861907685104E-3</v>
      </c>
      <c r="AH249" s="2">
        <v>2.1004028646400465E-3</v>
      </c>
      <c r="AI249" s="2">
        <v>2.2102466476032106E-3</v>
      </c>
      <c r="AJ249" s="2">
        <v>2.2871422279380454E-3</v>
      </c>
      <c r="AK249" s="2">
        <v>2.323770810718473E-3</v>
      </c>
      <c r="AL249" s="2">
        <v>2.3505626551448113E-3</v>
      </c>
      <c r="AM249" s="2">
        <v>2.9316047670900135E-3</v>
      </c>
      <c r="AN249" s="2">
        <v>3.1608065004783384E-3</v>
      </c>
      <c r="AO249" s="2">
        <v>3.1475497572139221E-3</v>
      </c>
      <c r="AP249" s="2">
        <v>3.1295308489434543E-3</v>
      </c>
      <c r="AQ249" s="2">
        <v>3.1049917975410333E-3</v>
      </c>
      <c r="AR249" s="2">
        <v>3.7142839090143438E-2</v>
      </c>
    </row>
    <row r="250" spans="1:44" x14ac:dyDescent="0.25">
      <c r="A250" t="s">
        <v>250</v>
      </c>
      <c r="B250" t="s">
        <v>348</v>
      </c>
      <c r="C250" t="s">
        <v>45</v>
      </c>
      <c r="D250" t="s">
        <v>345</v>
      </c>
      <c r="E250" t="s">
        <v>148</v>
      </c>
      <c r="F250" t="s">
        <v>345</v>
      </c>
      <c r="G250" t="s">
        <v>31</v>
      </c>
      <c r="H250" t="s">
        <v>277</v>
      </c>
      <c r="I250" t="s">
        <v>135</v>
      </c>
      <c r="J250" t="s">
        <v>39</v>
      </c>
      <c r="K250" t="s">
        <v>31</v>
      </c>
      <c r="L250">
        <v>0.63428571428571534</v>
      </c>
      <c r="M250">
        <v>1</v>
      </c>
      <c r="N250">
        <v>2.0798461922427691</v>
      </c>
      <c r="O250">
        <v>3.1588853240212438</v>
      </c>
      <c r="P250">
        <v>-0.39270346508962162</v>
      </c>
      <c r="Q250">
        <v>0.82266878256274323</v>
      </c>
      <c r="R250">
        <v>-0.67371772101320504</v>
      </c>
      <c r="S250" s="2">
        <v>1.8563764750804002E-5</v>
      </c>
      <c r="T250" s="2">
        <v>4.0435600324054297E-5</v>
      </c>
      <c r="U250" s="2">
        <v>8.8867276519755025E-5</v>
      </c>
      <c r="V250" s="2">
        <v>1.6831939225050462E-4</v>
      </c>
      <c r="W250" s="2">
        <v>2.8993986538031235E-4</v>
      </c>
      <c r="X250" s="2">
        <v>4.6561985723009709E-4</v>
      </c>
      <c r="Y250" s="2">
        <v>7.0668574506490894E-4</v>
      </c>
      <c r="Z250" s="2">
        <v>1.0220191026131284E-3</v>
      </c>
      <c r="AA250" s="2">
        <v>1.4157158085566937E-3</v>
      </c>
      <c r="AB250" s="2">
        <v>1.8846311451310731E-3</v>
      </c>
      <c r="AC250" s="2">
        <v>2.4164347119341855E-3</v>
      </c>
      <c r="AD250" s="2">
        <v>2.9890067929643918E-3</v>
      </c>
      <c r="AE250" s="2">
        <v>3.5719757868709567E-3</v>
      </c>
      <c r="AF250" s="2">
        <v>4.1307609857394838E-3</v>
      </c>
      <c r="AG250" s="2">
        <v>4.6326236471280488E-3</v>
      </c>
      <c r="AH250" s="2">
        <v>5.0531984528828519E-3</v>
      </c>
      <c r="AI250" s="2">
        <v>5.3813187126055054E-3</v>
      </c>
      <c r="AJ250" s="2">
        <v>5.6356724300826886E-3</v>
      </c>
      <c r="AK250" s="2">
        <v>5.7952298890166431E-3</v>
      </c>
      <c r="AL250" s="2">
        <v>5.9332693082631838E-3</v>
      </c>
      <c r="AM250" s="2">
        <v>6.0012916599668942E-3</v>
      </c>
      <c r="AN250" s="2">
        <v>6.0460879487496825E-3</v>
      </c>
      <c r="AO250" s="2">
        <v>6.0914928163688887E-3</v>
      </c>
      <c r="AP250" s="2">
        <v>6.1375125862633004E-3</v>
      </c>
      <c r="AQ250" s="2">
        <v>6.184153655151136E-3</v>
      </c>
      <c r="AR250" s="2">
        <v>8.2100826941809188E-2</v>
      </c>
    </row>
    <row r="251" spans="1:44" x14ac:dyDescent="0.25">
      <c r="A251" t="s">
        <v>250</v>
      </c>
      <c r="B251" t="s">
        <v>348</v>
      </c>
      <c r="C251" t="s">
        <v>45</v>
      </c>
      <c r="D251" t="s">
        <v>345</v>
      </c>
      <c r="E251" t="s">
        <v>148</v>
      </c>
      <c r="F251" t="s">
        <v>345</v>
      </c>
      <c r="G251" t="s">
        <v>31</v>
      </c>
      <c r="H251" t="s">
        <v>277</v>
      </c>
      <c r="I251" t="s">
        <v>135</v>
      </c>
      <c r="J251" t="s">
        <v>40</v>
      </c>
      <c r="K251" t="s">
        <v>31</v>
      </c>
      <c r="L251">
        <v>0.63428571428571534</v>
      </c>
      <c r="M251">
        <v>1</v>
      </c>
      <c r="N251">
        <v>2.0798461922427691</v>
      </c>
      <c r="O251">
        <v>1.9798085216903567</v>
      </c>
      <c r="P251">
        <v>-0.39270346508962162</v>
      </c>
      <c r="Q251">
        <v>0.4672931329656026</v>
      </c>
      <c r="R251">
        <v>-0.53071772101320513</v>
      </c>
      <c r="S251" s="2">
        <v>2.9283483108773077E-6</v>
      </c>
      <c r="T251" s="2">
        <v>6.3785295438591846E-6</v>
      </c>
      <c r="U251" s="2">
        <v>1.4018403194730168E-5</v>
      </c>
      <c r="V251" s="2">
        <v>2.6551608178686608E-5</v>
      </c>
      <c r="W251" s="2">
        <v>4.5736677147110571E-5</v>
      </c>
      <c r="X251" s="2">
        <v>7.3449385980375124E-5</v>
      </c>
      <c r="Y251" s="2">
        <v>1.1147641847768347E-4</v>
      </c>
      <c r="Z251" s="2">
        <v>1.612188019508198E-4</v>
      </c>
      <c r="AA251" s="2">
        <v>2.2332264237995077E-4</v>
      </c>
      <c r="AB251" s="2">
        <v>2.9729187503479244E-4</v>
      </c>
      <c r="AC251" s="2">
        <v>3.8118143609481778E-4</v>
      </c>
      <c r="AD251" s="2">
        <v>4.7150204233217325E-4</v>
      </c>
      <c r="AE251" s="2">
        <v>5.6346271364622516E-4</v>
      </c>
      <c r="AF251" s="2">
        <v>6.5160850277982138E-4</v>
      </c>
      <c r="AG251" s="2">
        <v>7.3077502403761708E-4</v>
      </c>
      <c r="AH251" s="2">
        <v>7.9711876080451323E-4</v>
      </c>
      <c r="AI251" s="2">
        <v>8.4887821914831209E-4</v>
      </c>
      <c r="AJ251" s="2">
        <v>8.8900134551510139E-4</v>
      </c>
      <c r="AK251" s="2">
        <v>9.141707991054119E-4</v>
      </c>
      <c r="AL251" s="2">
        <v>9.3594588113277036E-4</v>
      </c>
      <c r="AM251" s="2">
        <v>9.4667609353242077E-4</v>
      </c>
      <c r="AN251" s="2">
        <v>9.5374250157796681E-4</v>
      </c>
      <c r="AO251" s="2">
        <v>9.6090491012943238E-4</v>
      </c>
      <c r="AP251" s="2">
        <v>9.6816431668009782E-4</v>
      </c>
      <c r="AQ251" s="2">
        <v>9.7552173028283358E-4</v>
      </c>
      <c r="AR251" s="2">
        <v>1.2951026966998399E-2</v>
      </c>
    </row>
    <row r="252" spans="1:44" x14ac:dyDescent="0.25">
      <c r="A252" t="s">
        <v>250</v>
      </c>
      <c r="B252" t="s">
        <v>298</v>
      </c>
      <c r="C252" t="s">
        <v>44</v>
      </c>
      <c r="D252" t="s">
        <v>152</v>
      </c>
      <c r="E252" t="s">
        <v>145</v>
      </c>
      <c r="F252" t="s">
        <v>299</v>
      </c>
      <c r="G252" t="s">
        <v>31</v>
      </c>
      <c r="H252" t="s">
        <v>254</v>
      </c>
      <c r="I252" t="s">
        <v>135</v>
      </c>
      <c r="J252" t="s">
        <v>39</v>
      </c>
      <c r="K252" t="s">
        <v>31</v>
      </c>
      <c r="L252">
        <v>0.82</v>
      </c>
      <c r="M252">
        <v>1</v>
      </c>
      <c r="N252">
        <v>2.8160822667537615</v>
      </c>
      <c r="O252">
        <v>5.411417628870181</v>
      </c>
      <c r="P252">
        <v>-1.3633570527640948</v>
      </c>
      <c r="Q252">
        <v>1.0408498674974225</v>
      </c>
      <c r="R252">
        <v>-1.8625523936223551</v>
      </c>
      <c r="S252" s="2">
        <v>1.0854096051315446E-3</v>
      </c>
      <c r="T252" s="2">
        <v>2.0332135120760177E-3</v>
      </c>
      <c r="U252" s="2">
        <v>3.46362905827587E-3</v>
      </c>
      <c r="V252" s="2">
        <v>5.5005644988163332E-3</v>
      </c>
      <c r="W252" s="2">
        <v>8.2552892943787495E-3</v>
      </c>
      <c r="X252" s="2">
        <v>1.1805196030467407E-2</v>
      </c>
      <c r="Y252" s="2">
        <v>1.6168758593541242E-2</v>
      </c>
      <c r="Z252" s="2">
        <v>2.1280983896242223E-2</v>
      </c>
      <c r="AA252" s="2">
        <v>2.6976378412502271E-2</v>
      </c>
      <c r="AB252" s="2">
        <v>3.298810564417911E-2</v>
      </c>
      <c r="AC252" s="2">
        <v>3.8970833197870633E-2</v>
      </c>
      <c r="AD252" s="2">
        <v>4.4549305386354071E-2</v>
      </c>
      <c r="AE252" s="2">
        <v>4.9385188109864073E-2</v>
      </c>
      <c r="AF252" s="2">
        <v>5.3244428311059647E-2</v>
      </c>
      <c r="AG252" s="2">
        <v>5.6042062608117275E-2</v>
      </c>
      <c r="AH252" s="2">
        <v>5.8005389433555002E-2</v>
      </c>
      <c r="AI252" s="2">
        <v>5.8948162306844298E-2</v>
      </c>
      <c r="AJ252" s="2">
        <v>5.964178247525824E-2</v>
      </c>
      <c r="AK252" s="2">
        <v>5.9612640238841288E-2</v>
      </c>
      <c r="AL252" s="2">
        <v>5.934517819296968E-2</v>
      </c>
      <c r="AM252" s="2">
        <v>7.34946512934362E-2</v>
      </c>
      <c r="AN252" s="2">
        <v>7.8629468779225428E-2</v>
      </c>
      <c r="AO252" s="2">
        <v>7.8036685638560407E-2</v>
      </c>
      <c r="AP252" s="2">
        <v>7.7239228060130047E-2</v>
      </c>
      <c r="AQ252" s="2">
        <v>7.6193514126935313E-2</v>
      </c>
      <c r="AR252" s="2">
        <v>1.0508960467046324</v>
      </c>
    </row>
    <row r="253" spans="1:44" x14ac:dyDescent="0.25">
      <c r="A253" t="s">
        <v>250</v>
      </c>
      <c r="B253" t="s">
        <v>298</v>
      </c>
      <c r="C253" t="s">
        <v>44</v>
      </c>
      <c r="D253" t="s">
        <v>152</v>
      </c>
      <c r="E253" t="s">
        <v>145</v>
      </c>
      <c r="F253" t="s">
        <v>299</v>
      </c>
      <c r="G253" t="s">
        <v>31</v>
      </c>
      <c r="H253" t="s">
        <v>272</v>
      </c>
      <c r="I253" t="s">
        <v>135</v>
      </c>
      <c r="J253" t="s">
        <v>39</v>
      </c>
      <c r="K253" t="s">
        <v>31</v>
      </c>
      <c r="L253">
        <v>0.82</v>
      </c>
      <c r="M253">
        <v>1</v>
      </c>
      <c r="N253">
        <v>2.8160822667537615</v>
      </c>
      <c r="O253">
        <v>5.411417628870181</v>
      </c>
      <c r="P253">
        <v>-1.3633570527640948</v>
      </c>
      <c r="Q253">
        <v>1.0408498674974225</v>
      </c>
      <c r="R253">
        <v>-1.8625523936223551</v>
      </c>
      <c r="S253" s="2">
        <v>6.2955217194527618E-4</v>
      </c>
      <c r="T253" s="2">
        <v>1.1791569325049172E-3</v>
      </c>
      <c r="U253" s="2">
        <v>2.0084940581047146E-3</v>
      </c>
      <c r="V253" s="2">
        <v>3.1893119018849268E-3</v>
      </c>
      <c r="W253" s="2">
        <v>4.7859987895921075E-3</v>
      </c>
      <c r="X253" s="2">
        <v>6.843275837485863E-3</v>
      </c>
      <c r="Y253" s="2">
        <v>9.3716934626761235E-3</v>
      </c>
      <c r="Z253" s="2">
        <v>1.2333423841169561E-2</v>
      </c>
      <c r="AA253" s="2">
        <v>1.56324177999379E-2</v>
      </c>
      <c r="AB253" s="2">
        <v>1.9113949782391011E-2</v>
      </c>
      <c r="AC253" s="2">
        <v>2.2577887794061488E-2</v>
      </c>
      <c r="AD253" s="2">
        <v>2.5806856770907195E-2</v>
      </c>
      <c r="AE253" s="2">
        <v>2.8604966417742749E-2</v>
      </c>
      <c r="AF253" s="2">
        <v>3.0836810614661356E-2</v>
      </c>
      <c r="AG253" s="2">
        <v>3.24533812314916E-2</v>
      </c>
      <c r="AH253" s="2">
        <v>3.3586499513505973E-2</v>
      </c>
      <c r="AI253" s="2">
        <v>3.4128501649405174E-2</v>
      </c>
      <c r="AJ253" s="2">
        <v>3.4526147448623104E-2</v>
      </c>
      <c r="AK253" s="2">
        <v>3.4505348564617906E-2</v>
      </c>
      <c r="AL253" s="2">
        <v>3.4346623961220658E-2</v>
      </c>
      <c r="AM253" s="2">
        <v>4.2549949789295195E-2</v>
      </c>
      <c r="AN253" s="2">
        <v>4.560698284127241E-2</v>
      </c>
      <c r="AO253" s="2">
        <v>4.5257029161557813E-2</v>
      </c>
      <c r="AP253" s="2">
        <v>4.4787624095972423E-2</v>
      </c>
      <c r="AQ253" s="2">
        <v>4.4173355472708294E-2</v>
      </c>
      <c r="AR253" s="2">
        <v>0.60883523990473576</v>
      </c>
    </row>
    <row r="254" spans="1:44" x14ac:dyDescent="0.25">
      <c r="A254" t="s">
        <v>250</v>
      </c>
      <c r="B254" t="s">
        <v>298</v>
      </c>
      <c r="C254" t="s">
        <v>44</v>
      </c>
      <c r="D254" t="s">
        <v>152</v>
      </c>
      <c r="E254" t="s">
        <v>145</v>
      </c>
      <c r="F254" t="s">
        <v>299</v>
      </c>
      <c r="G254" t="s">
        <v>31</v>
      </c>
      <c r="H254" t="s">
        <v>272</v>
      </c>
      <c r="I254" t="s">
        <v>135</v>
      </c>
      <c r="J254" t="s">
        <v>40</v>
      </c>
      <c r="K254" t="s">
        <v>31</v>
      </c>
      <c r="L254">
        <v>0.82</v>
      </c>
      <c r="M254">
        <v>1</v>
      </c>
      <c r="N254">
        <v>2.8160822667537615</v>
      </c>
      <c r="O254">
        <v>4.1746294160814488</v>
      </c>
      <c r="P254">
        <v>-1.3633570527640948</v>
      </c>
      <c r="Q254">
        <v>0.4672931329656026</v>
      </c>
      <c r="R254">
        <v>-1.7195523936223556</v>
      </c>
      <c r="S254" s="2">
        <v>6.2272683008802432E-5</v>
      </c>
      <c r="T254" s="2">
        <v>1.1663730052525871E-4</v>
      </c>
      <c r="U254" s="2">
        <v>1.986718803922896E-4</v>
      </c>
      <c r="V254" s="2">
        <v>3.1547347135440384E-4</v>
      </c>
      <c r="W254" s="2">
        <v>4.7341109885121354E-4</v>
      </c>
      <c r="X254" s="2">
        <v>6.7690838974120311E-4</v>
      </c>
      <c r="Y254" s="2">
        <v>9.270089474135364E-4</v>
      </c>
      <c r="Z254" s="2">
        <v>1.2199710008166244E-3</v>
      </c>
      <c r="AA254" s="2">
        <v>1.5462937651517033E-3</v>
      </c>
      <c r="AB254" s="2">
        <v>1.8906724317495772E-3</v>
      </c>
      <c r="AC254" s="2">
        <v>2.2333107759178942E-3</v>
      </c>
      <c r="AD254" s="2">
        <v>2.5527069602230895E-3</v>
      </c>
      <c r="AE254" s="2">
        <v>2.8294843312277112E-3</v>
      </c>
      <c r="AF254" s="2">
        <v>3.0502490786040856E-3</v>
      </c>
      <c r="AG254" s="2">
        <v>3.2101535219040836E-3</v>
      </c>
      <c r="AH254" s="2">
        <v>3.3222368705633806E-3</v>
      </c>
      <c r="AI254" s="2">
        <v>3.3758494680620975E-3</v>
      </c>
      <c r="AJ254" s="2">
        <v>3.4151829370071174E-3</v>
      </c>
      <c r="AK254" s="2">
        <v>3.4131255978884379E-3</v>
      </c>
      <c r="AL254" s="2">
        <v>3.3974252201381507E-3</v>
      </c>
      <c r="AM254" s="2">
        <v>4.2088640995103475E-3</v>
      </c>
      <c r="AN254" s="2">
        <v>4.5112530970813965E-3</v>
      </c>
      <c r="AO254" s="2">
        <v>4.4766371342815203E-3</v>
      </c>
      <c r="AP254" s="2">
        <v>4.4302055371009666E-3</v>
      </c>
      <c r="AQ254" s="2">
        <v>4.3694446391747506E-3</v>
      </c>
      <c r="AR254" s="2">
        <v>6.022345023768965E-2</v>
      </c>
    </row>
    <row r="255" spans="1:44" x14ac:dyDescent="0.25">
      <c r="A255" t="s">
        <v>250</v>
      </c>
      <c r="B255" t="s">
        <v>298</v>
      </c>
      <c r="C255" t="s">
        <v>44</v>
      </c>
      <c r="D255" t="s">
        <v>152</v>
      </c>
      <c r="E255" t="s">
        <v>145</v>
      </c>
      <c r="F255" t="s">
        <v>299</v>
      </c>
      <c r="G255" t="s">
        <v>31</v>
      </c>
      <c r="H255" t="s">
        <v>253</v>
      </c>
      <c r="I255" t="s">
        <v>135</v>
      </c>
      <c r="J255" t="s">
        <v>39</v>
      </c>
      <c r="K255" t="s">
        <v>31</v>
      </c>
      <c r="L255">
        <v>0.82</v>
      </c>
      <c r="M255">
        <v>1</v>
      </c>
      <c r="N255">
        <v>2.8160822667537615</v>
      </c>
      <c r="O255">
        <v>5.411417628870181</v>
      </c>
      <c r="P255">
        <v>-1.3633570527640948</v>
      </c>
      <c r="Q255">
        <v>1.0408498674974225</v>
      </c>
      <c r="R255">
        <v>-1.8625523936223551</v>
      </c>
      <c r="S255" s="2">
        <v>8.0394119251153333E-7</v>
      </c>
      <c r="T255" s="2">
        <v>1.5065455248518118E-6</v>
      </c>
      <c r="U255" s="2">
        <v>2.5674340599168553E-6</v>
      </c>
      <c r="V255" s="2">
        <v>4.0789073115625967E-6</v>
      </c>
      <c r="W255" s="2">
        <v>6.1240330161686786E-6</v>
      </c>
      <c r="X255" s="2">
        <v>8.7608668679874274E-6</v>
      </c>
      <c r="Y255" s="2">
        <v>1.2003812574050994E-5</v>
      </c>
      <c r="Z255" s="2">
        <v>1.5805305083224914E-5</v>
      </c>
      <c r="AA255" s="2">
        <v>2.0043034615942522E-5</v>
      </c>
      <c r="AB255" s="2">
        <v>2.4519175346085471E-5</v>
      </c>
      <c r="AC255" s="2">
        <v>2.8977227146205925E-5</v>
      </c>
      <c r="AD255" s="2">
        <v>3.3138032702346568E-5</v>
      </c>
      <c r="AE255" s="2">
        <v>3.674947582534377E-5</v>
      </c>
      <c r="AF255" s="2">
        <v>3.9636678696232811E-5</v>
      </c>
      <c r="AG255" s="2">
        <v>4.1735522033964917E-5</v>
      </c>
      <c r="AH255" s="2">
        <v>4.321442485315809E-5</v>
      </c>
      <c r="AI255" s="2">
        <v>4.3933854996911392E-5</v>
      </c>
      <c r="AJ255" s="2">
        <v>4.4468072741488128E-5</v>
      </c>
      <c r="AK255" s="2">
        <v>4.4463608075550224E-5</v>
      </c>
      <c r="AL255" s="2">
        <v>4.4281307282440471E-5</v>
      </c>
      <c r="AM255" s="2">
        <v>5.4777200703224183E-5</v>
      </c>
      <c r="AN255" s="2">
        <v>5.8237432878671424E-5</v>
      </c>
      <c r="AO255" s="2">
        <v>5.7825079169648271E-5</v>
      </c>
      <c r="AP255" s="2">
        <v>5.7264361241371112E-5</v>
      </c>
      <c r="AQ255" s="2">
        <v>5.6523588976127385E-5</v>
      </c>
      <c r="AR255" s="2">
        <v>7.8143892291498735E-4</v>
      </c>
    </row>
    <row r="256" spans="1:44" x14ac:dyDescent="0.25">
      <c r="A256" t="s">
        <v>250</v>
      </c>
      <c r="B256" t="s">
        <v>298</v>
      </c>
      <c r="C256" t="s">
        <v>44</v>
      </c>
      <c r="D256" t="s">
        <v>152</v>
      </c>
      <c r="E256" t="s">
        <v>145</v>
      </c>
      <c r="F256" t="s">
        <v>299</v>
      </c>
      <c r="G256" t="s">
        <v>31</v>
      </c>
      <c r="H256" t="s">
        <v>253</v>
      </c>
      <c r="I256" t="s">
        <v>135</v>
      </c>
      <c r="J256" t="s">
        <v>40</v>
      </c>
      <c r="K256" t="s">
        <v>31</v>
      </c>
      <c r="L256">
        <v>0.82</v>
      </c>
      <c r="M256">
        <v>1</v>
      </c>
      <c r="N256">
        <v>2.8160822667537615</v>
      </c>
      <c r="O256">
        <v>4.1746294160814488</v>
      </c>
      <c r="P256">
        <v>-1.3633570527640948</v>
      </c>
      <c r="Q256">
        <v>0.4672931329656026</v>
      </c>
      <c r="R256">
        <v>-1.7195523936223556</v>
      </c>
      <c r="S256" s="2">
        <v>4.2288977632919499E-7</v>
      </c>
      <c r="T256" s="2">
        <v>7.9247425802875787E-7</v>
      </c>
      <c r="U256" s="2">
        <v>1.3505236769200871E-6</v>
      </c>
      <c r="V256" s="2">
        <v>2.1455900216600457E-6</v>
      </c>
      <c r="W256" s="2">
        <v>3.2213686480594452E-6</v>
      </c>
      <c r="X256" s="2">
        <v>4.6083980579212651E-6</v>
      </c>
      <c r="Y256" s="2">
        <v>6.314254900510246E-6</v>
      </c>
      <c r="Z256" s="2">
        <v>8.3139189703403354E-6</v>
      </c>
      <c r="AA256" s="2">
        <v>1.0543052781279951E-5</v>
      </c>
      <c r="AB256" s="2">
        <v>1.2897595837190089E-5</v>
      </c>
      <c r="AC256" s="2">
        <v>1.5242623739949109E-5</v>
      </c>
      <c r="AD256" s="2">
        <v>1.743129394042568E-5</v>
      </c>
      <c r="AE256" s="2">
        <v>1.9330988083151153E-5</v>
      </c>
      <c r="AF256" s="2">
        <v>2.0849716800699437E-5</v>
      </c>
      <c r="AG256" s="2">
        <v>2.1953752018587367E-5</v>
      </c>
      <c r="AH256" s="2">
        <v>2.2731685638915255E-5</v>
      </c>
      <c r="AI256" s="2">
        <v>2.3110120847124778E-5</v>
      </c>
      <c r="AJ256" s="2">
        <v>2.3391130483923437E-5</v>
      </c>
      <c r="AK256" s="2">
        <v>2.338878197684673E-5</v>
      </c>
      <c r="AL256" s="2">
        <v>2.3292887970741658E-5</v>
      </c>
      <c r="AM256" s="2">
        <v>2.8813946056127203E-5</v>
      </c>
      <c r="AN256" s="2">
        <v>3.0634100097681647E-5</v>
      </c>
      <c r="AO256" s="2">
        <v>3.0417193476399276E-5</v>
      </c>
      <c r="AP256" s="2">
        <v>3.0122244192196043E-5</v>
      </c>
      <c r="AQ256" s="2">
        <v>2.9732582584509117E-5</v>
      </c>
      <c r="AR256" s="2">
        <v>4.1105311483551738E-4</v>
      </c>
    </row>
    <row r="257" spans="1:44" x14ac:dyDescent="0.25">
      <c r="A257" t="s">
        <v>250</v>
      </c>
      <c r="B257" t="s">
        <v>298</v>
      </c>
      <c r="C257" t="s">
        <v>44</v>
      </c>
      <c r="D257" t="s">
        <v>152</v>
      </c>
      <c r="E257" t="s">
        <v>145</v>
      </c>
      <c r="F257" t="s">
        <v>299</v>
      </c>
      <c r="G257" t="s">
        <v>31</v>
      </c>
      <c r="H257" t="s">
        <v>253</v>
      </c>
      <c r="I257" t="s">
        <v>256</v>
      </c>
      <c r="J257" t="s">
        <v>39</v>
      </c>
      <c r="K257" t="s">
        <v>31</v>
      </c>
      <c r="L257">
        <v>0.82</v>
      </c>
      <c r="M257">
        <v>1</v>
      </c>
      <c r="N257">
        <v>1.4105606857535178</v>
      </c>
      <c r="O257">
        <v>2.7105504166527385</v>
      </c>
      <c r="P257">
        <v>9.9579898584776755E-2</v>
      </c>
      <c r="Q257">
        <v>0.4672931329656026</v>
      </c>
      <c r="R257">
        <v>-0.39961544227348367</v>
      </c>
      <c r="S257" s="2">
        <v>4.2171612521710155E-7</v>
      </c>
      <c r="T257" s="2">
        <v>7.9027489463360983E-7</v>
      </c>
      <c r="U257" s="2">
        <v>1.3467755522217691E-6</v>
      </c>
      <c r="V257" s="2">
        <v>2.1396353397169738E-6</v>
      </c>
      <c r="W257" s="2">
        <v>3.2124283446804527E-6</v>
      </c>
      <c r="X257" s="2">
        <v>4.5956083150416989E-6</v>
      </c>
      <c r="Y257" s="2">
        <v>6.29673087249909E-6</v>
      </c>
      <c r="Z257" s="2">
        <v>8.2908452504455384E-6</v>
      </c>
      <c r="AA257" s="2">
        <v>1.0513792519353036E-5</v>
      </c>
      <c r="AB257" s="2">
        <v>1.2861800983436366E-5</v>
      </c>
      <c r="AC257" s="2">
        <v>1.5200320701888225E-5</v>
      </c>
      <c r="AD257" s="2">
        <v>1.7382916659480293E-5</v>
      </c>
      <c r="AE257" s="2">
        <v>1.9277338558070191E-5</v>
      </c>
      <c r="AF257" s="2">
        <v>2.0791852329436062E-5</v>
      </c>
      <c r="AG257" s="2">
        <v>2.1892823505027875E-5</v>
      </c>
      <c r="AH257" s="2">
        <v>2.2668598116768336E-5</v>
      </c>
      <c r="AI257" s="2">
        <v>2.304598304916645E-5</v>
      </c>
      <c r="AJ257" s="2">
        <v>2.3326212796520625E-5</v>
      </c>
      <c r="AK257" s="2">
        <v>2.3323870807284025E-5</v>
      </c>
      <c r="AL257" s="2">
        <v>2.3228242936974162E-5</v>
      </c>
      <c r="AM257" s="2">
        <v>2.8733978363065148E-5</v>
      </c>
      <c r="AN257" s="2">
        <v>3.0549080909089041E-5</v>
      </c>
      <c r="AO257" s="2">
        <v>3.0332776271376728E-5</v>
      </c>
      <c r="AP257" s="2">
        <v>3.0038645563489912E-5</v>
      </c>
      <c r="AQ257" s="2">
        <v>2.9650065388376756E-5</v>
      </c>
      <c r="AR257" s="2">
        <v>4.0991231415325941E-4</v>
      </c>
    </row>
    <row r="258" spans="1:44" x14ac:dyDescent="0.25">
      <c r="A258" t="s">
        <v>250</v>
      </c>
      <c r="B258" t="s">
        <v>298</v>
      </c>
      <c r="C258" t="s">
        <v>44</v>
      </c>
      <c r="D258" t="s">
        <v>152</v>
      </c>
      <c r="E258" t="s">
        <v>145</v>
      </c>
      <c r="F258" t="s">
        <v>299</v>
      </c>
      <c r="G258" t="s">
        <v>31</v>
      </c>
      <c r="H258" t="s">
        <v>288</v>
      </c>
      <c r="I258" t="s">
        <v>135</v>
      </c>
      <c r="J258" t="s">
        <v>39</v>
      </c>
      <c r="K258" t="s">
        <v>31</v>
      </c>
      <c r="L258">
        <v>0.82</v>
      </c>
      <c r="M258">
        <v>1</v>
      </c>
      <c r="N258">
        <v>2.8160822667537615</v>
      </c>
      <c r="O258">
        <v>5.411417628870181</v>
      </c>
      <c r="P258">
        <v>-1.3633570527640948</v>
      </c>
      <c r="Q258">
        <v>1.0408498674974225</v>
      </c>
      <c r="R258">
        <v>-1.8625523936223551</v>
      </c>
      <c r="S258" s="2">
        <v>6.923972584073265E-3</v>
      </c>
      <c r="T258" s="2">
        <v>1.2989509250995974E-2</v>
      </c>
      <c r="U258" s="2">
        <v>2.2160992567157527E-2</v>
      </c>
      <c r="V258" s="2">
        <v>3.5246270692452453E-2</v>
      </c>
      <c r="W258" s="2">
        <v>5.2976868719464477E-2</v>
      </c>
      <c r="X258" s="2">
        <v>7.5870905683258424E-2</v>
      </c>
      <c r="Y258" s="2">
        <v>0.10407030307349178</v>
      </c>
      <c r="Z258" s="2">
        <v>0.13717972336481679</v>
      </c>
      <c r="AA258" s="2">
        <v>0.17415259171126501</v>
      </c>
      <c r="AB258" s="2">
        <v>0.21328079495529634</v>
      </c>
      <c r="AC258" s="2">
        <v>0.2523377012684257</v>
      </c>
      <c r="AD258" s="2">
        <v>0.28888930589155853</v>
      </c>
      <c r="AE258" s="2">
        <v>0.32072684941252483</v>
      </c>
      <c r="AF258" s="2">
        <v>0.34630666601379706</v>
      </c>
      <c r="AG258" s="2">
        <v>0.36504707349340831</v>
      </c>
      <c r="AH258" s="2">
        <v>0.37840004927346166</v>
      </c>
      <c r="AI258" s="2">
        <v>0.38512453348242548</v>
      </c>
      <c r="AJ258" s="2">
        <v>0.39023804412494933</v>
      </c>
      <c r="AK258" s="2">
        <v>0.39062984939013501</v>
      </c>
      <c r="AL258" s="2">
        <v>0.38945795984196463</v>
      </c>
      <c r="AM258" s="2">
        <v>0.48024948236494092</v>
      </c>
      <c r="AN258" s="2">
        <v>0.50165842173936492</v>
      </c>
      <c r="AO258" s="2">
        <v>0.49876125159796936</v>
      </c>
      <c r="AP258" s="2">
        <v>0.49466706051463621</v>
      </c>
      <c r="AQ258" s="2">
        <v>0.48911781618231936</v>
      </c>
      <c r="AR258" s="2">
        <v>6.8064639971941538</v>
      </c>
    </row>
    <row r="259" spans="1:44" x14ac:dyDescent="0.25">
      <c r="A259" t="s">
        <v>250</v>
      </c>
      <c r="B259" t="s">
        <v>298</v>
      </c>
      <c r="C259" t="s">
        <v>44</v>
      </c>
      <c r="D259" t="s">
        <v>152</v>
      </c>
      <c r="E259" t="s">
        <v>145</v>
      </c>
      <c r="F259" t="s">
        <v>299</v>
      </c>
      <c r="G259" t="s">
        <v>31</v>
      </c>
      <c r="H259" t="s">
        <v>288</v>
      </c>
      <c r="I259" t="s">
        <v>135</v>
      </c>
      <c r="J259" t="s">
        <v>39</v>
      </c>
      <c r="K259" t="s">
        <v>33</v>
      </c>
      <c r="L259">
        <v>0.82</v>
      </c>
      <c r="M259">
        <v>1</v>
      </c>
      <c r="N259">
        <v>2.8160822667537615</v>
      </c>
      <c r="O259">
        <v>5.411417628870181</v>
      </c>
      <c r="P259">
        <v>-1.3633570527640948</v>
      </c>
      <c r="Q259">
        <v>1.0408498674974225</v>
      </c>
      <c r="R259">
        <v>-1.8625523936223551</v>
      </c>
      <c r="S259" s="2">
        <v>6.5134595106406309E-5</v>
      </c>
      <c r="T259" s="2">
        <v>1.221937862146782E-4</v>
      </c>
      <c r="U259" s="2">
        <v>2.0847096959022437E-4</v>
      </c>
      <c r="V259" s="2">
        <v>3.3156566446326558E-4</v>
      </c>
      <c r="W259" s="2">
        <v>4.9835941031667265E-4</v>
      </c>
      <c r="X259" s="2">
        <v>7.1372621165524349E-4</v>
      </c>
      <c r="Y259" s="2">
        <v>9.7900114002258919E-4</v>
      </c>
      <c r="Z259" s="2">
        <v>1.2904652104962209E-3</v>
      </c>
      <c r="AA259" s="2">
        <v>1.6382731748442914E-3</v>
      </c>
      <c r="AB259" s="2">
        <v>2.0063566189358409E-3</v>
      </c>
      <c r="AC259" s="2">
        <v>2.3737693647150797E-3</v>
      </c>
      <c r="AD259" s="2">
        <v>2.7176144534569869E-3</v>
      </c>
      <c r="AE259" s="2">
        <v>3.0171138349523404E-3</v>
      </c>
      <c r="AF259" s="2">
        <v>3.2577460698419592E-3</v>
      </c>
      <c r="AG259" s="2">
        <v>3.4340392077034988E-3</v>
      </c>
      <c r="AH259" s="2">
        <v>3.5596521647651763E-3</v>
      </c>
      <c r="AI259" s="2">
        <v>3.6229101501098569E-3</v>
      </c>
      <c r="AJ259" s="2">
        <v>3.6710135244702948E-3</v>
      </c>
      <c r="AK259" s="2">
        <v>3.6746992810209687E-3</v>
      </c>
      <c r="AL259" s="2">
        <v>3.6636751831779051E-3</v>
      </c>
      <c r="AM259" s="2">
        <v>4.5177613290749924E-3</v>
      </c>
      <c r="AN259" s="2">
        <v>4.7191576490168427E-3</v>
      </c>
      <c r="AO259" s="2">
        <v>4.6919036410289867E-3</v>
      </c>
      <c r="AP259" s="2">
        <v>4.6533891213275825E-3</v>
      </c>
      <c r="AQ259" s="2">
        <v>4.6011867507458042E-3</v>
      </c>
      <c r="AR259" s="2">
        <v>6.4029178507053711E-2</v>
      </c>
    </row>
    <row r="260" spans="1:44" x14ac:dyDescent="0.25">
      <c r="A260" t="s">
        <v>250</v>
      </c>
      <c r="B260" t="s">
        <v>298</v>
      </c>
      <c r="C260" t="s">
        <v>44</v>
      </c>
      <c r="D260" t="s">
        <v>152</v>
      </c>
      <c r="E260" t="s">
        <v>145</v>
      </c>
      <c r="F260" t="s">
        <v>299</v>
      </c>
      <c r="G260" t="s">
        <v>31</v>
      </c>
      <c r="H260" t="s">
        <v>273</v>
      </c>
      <c r="I260" t="s">
        <v>135</v>
      </c>
      <c r="J260" t="s">
        <v>39</v>
      </c>
      <c r="K260" t="s">
        <v>31</v>
      </c>
      <c r="L260">
        <v>0.82</v>
      </c>
      <c r="M260">
        <v>1</v>
      </c>
      <c r="N260">
        <v>2.8160822667537615</v>
      </c>
      <c r="O260">
        <v>5.411417628870181</v>
      </c>
      <c r="P260">
        <v>-1.3633570527640948</v>
      </c>
      <c r="Q260">
        <v>1.0408498674974225</v>
      </c>
      <c r="R260">
        <v>-1.8625523936223551</v>
      </c>
      <c r="S260" s="2">
        <v>1.8934193769191523E-4</v>
      </c>
      <c r="T260" s="2">
        <v>3.5463916795563526E-4</v>
      </c>
      <c r="U260" s="2">
        <v>6.0406773854685628E-4</v>
      </c>
      <c r="V260" s="2">
        <v>9.59206436443318E-4</v>
      </c>
      <c r="W260" s="2">
        <v>1.4394204721944804E-3</v>
      </c>
      <c r="X260" s="2">
        <v>2.058160014325973E-3</v>
      </c>
      <c r="Y260" s="2">
        <v>2.818598169862237E-3</v>
      </c>
      <c r="Z260" s="2">
        <v>3.7093579730604087E-3</v>
      </c>
      <c r="AA260" s="2">
        <v>4.7015520062523358E-3</v>
      </c>
      <c r="AB260" s="2">
        <v>5.7486455452312587E-3</v>
      </c>
      <c r="AC260" s="2">
        <v>6.790447582301155E-3</v>
      </c>
      <c r="AD260" s="2">
        <v>7.7615811436927765E-3</v>
      </c>
      <c r="AE260" s="2">
        <v>8.6031309405416052E-3</v>
      </c>
      <c r="AF260" s="2">
        <v>9.2743726957169887E-3</v>
      </c>
      <c r="AG260" s="2">
        <v>9.7605668931902041E-3</v>
      </c>
      <c r="AH260" s="2">
        <v>1.0101359635573728E-2</v>
      </c>
      <c r="AI260" s="2">
        <v>1.0264370326692803E-2</v>
      </c>
      <c r="AJ260" s="2">
        <v>1.0383964904384951E-2</v>
      </c>
      <c r="AK260" s="2">
        <v>1.0377709503840142E-2</v>
      </c>
      <c r="AL260" s="2">
        <v>1.0329972040122478E-2</v>
      </c>
      <c r="AM260" s="2">
        <v>1.2797175994016198E-2</v>
      </c>
      <c r="AN260" s="2">
        <v>1.3716598700256847E-2</v>
      </c>
      <c r="AO260" s="2">
        <v>1.3611347839768412E-2</v>
      </c>
      <c r="AP260" s="2">
        <v>1.3470171192874057E-2</v>
      </c>
      <c r="AQ260" s="2">
        <v>1.3285425882516654E-2</v>
      </c>
      <c r="AR260" s="2">
        <v>0.18311118473705343</v>
      </c>
    </row>
    <row r="261" spans="1:44" x14ac:dyDescent="0.25">
      <c r="A261" t="s">
        <v>250</v>
      </c>
      <c r="B261" t="s">
        <v>298</v>
      </c>
      <c r="C261" t="s">
        <v>44</v>
      </c>
      <c r="D261" t="s">
        <v>152</v>
      </c>
      <c r="E261" t="s">
        <v>145</v>
      </c>
      <c r="F261" t="s">
        <v>299</v>
      </c>
      <c r="G261" t="s">
        <v>31</v>
      </c>
      <c r="H261" t="s">
        <v>252</v>
      </c>
      <c r="I261" t="s">
        <v>135</v>
      </c>
      <c r="J261" t="s">
        <v>39</v>
      </c>
      <c r="K261" t="s">
        <v>31</v>
      </c>
      <c r="L261">
        <v>0.82</v>
      </c>
      <c r="M261">
        <v>1</v>
      </c>
      <c r="N261">
        <v>2.8160822667537615</v>
      </c>
      <c r="O261">
        <v>5.411417628870181</v>
      </c>
      <c r="P261">
        <v>-1.3633570527640948</v>
      </c>
      <c r="Q261">
        <v>1.0408498674974225</v>
      </c>
      <c r="R261">
        <v>-1.8625523936223551</v>
      </c>
      <c r="S261" s="2">
        <v>6.4237813244302983E-4</v>
      </c>
      <c r="T261" s="2">
        <v>1.2042679391889781E-3</v>
      </c>
      <c r="U261" s="2">
        <v>2.0531210748575331E-3</v>
      </c>
      <c r="V261" s="2">
        <v>3.2631233968138931E-3</v>
      </c>
      <c r="W261" s="2">
        <v>4.9011904877659749E-3</v>
      </c>
      <c r="X261" s="2">
        <v>7.0143193912955981E-3</v>
      </c>
      <c r="Y261" s="2">
        <v>9.6146185829739123E-3</v>
      </c>
      <c r="Z261" s="2">
        <v>1.2664560868520242E-2</v>
      </c>
      <c r="AA261" s="2">
        <v>1.6066642373830341E-2</v>
      </c>
      <c r="AB261" s="2">
        <v>1.9662643616085253E-2</v>
      </c>
      <c r="AC261" s="2">
        <v>2.3247019042719211E-2</v>
      </c>
      <c r="AD261" s="2">
        <v>2.6595708628868175E-2</v>
      </c>
      <c r="AE261" s="2">
        <v>2.9506003598252502E-2</v>
      </c>
      <c r="AF261" s="2">
        <v>3.1836909013261389E-2</v>
      </c>
      <c r="AG261" s="2">
        <v>3.3536202866515194E-2</v>
      </c>
      <c r="AH261" s="2">
        <v>3.4738508915593956E-2</v>
      </c>
      <c r="AI261" s="2">
        <v>3.5331017608285553E-2</v>
      </c>
      <c r="AJ261" s="2">
        <v>3.5774991501798317E-2</v>
      </c>
      <c r="AK261" s="2">
        <v>3.5785767101648248E-2</v>
      </c>
      <c r="AL261" s="2">
        <v>3.5653359763372153E-2</v>
      </c>
      <c r="AM261" s="2">
        <v>4.4053109058741581E-2</v>
      </c>
      <c r="AN261" s="2">
        <v>4.653463357451415E-2</v>
      </c>
      <c r="AO261" s="2">
        <v>4.622722088271989E-2</v>
      </c>
      <c r="AP261" s="2">
        <v>4.5803960407516581E-2</v>
      </c>
      <c r="AQ261" s="2">
        <v>4.5240026238706342E-2</v>
      </c>
      <c r="AR261" s="2">
        <v>0.62695130406628807</v>
      </c>
    </row>
    <row r="262" spans="1:44" x14ac:dyDescent="0.25">
      <c r="A262" t="s">
        <v>250</v>
      </c>
      <c r="B262" t="s">
        <v>298</v>
      </c>
      <c r="C262" t="s">
        <v>44</v>
      </c>
      <c r="D262" t="s">
        <v>152</v>
      </c>
      <c r="E262" t="s">
        <v>145</v>
      </c>
      <c r="F262" t="s">
        <v>299</v>
      </c>
      <c r="G262" t="s">
        <v>31</v>
      </c>
      <c r="H262" t="s">
        <v>289</v>
      </c>
      <c r="I262" t="s">
        <v>135</v>
      </c>
      <c r="J262" t="s">
        <v>39</v>
      </c>
      <c r="K262" t="s">
        <v>31</v>
      </c>
      <c r="L262">
        <v>0.82</v>
      </c>
      <c r="M262">
        <v>1</v>
      </c>
      <c r="N262">
        <v>2.8160822667537615</v>
      </c>
      <c r="O262">
        <v>5.411417628870181</v>
      </c>
      <c r="P262">
        <v>-1.3633570527640948</v>
      </c>
      <c r="Q262">
        <v>1.0408498674974225</v>
      </c>
      <c r="R262">
        <v>-1.8625523936223551</v>
      </c>
      <c r="S262" s="2">
        <v>6.5809357995076151E-3</v>
      </c>
      <c r="T262" s="2">
        <v>1.2345965471403752E-2</v>
      </c>
      <c r="U262" s="2">
        <v>2.106306279624719E-2</v>
      </c>
      <c r="V262" s="2">
        <v>3.3500052431265102E-2</v>
      </c>
      <c r="W262" s="2">
        <v>5.0352217266672224E-2</v>
      </c>
      <c r="X262" s="2">
        <v>7.211200698577723E-2</v>
      </c>
      <c r="Y262" s="2">
        <v>9.8914311812460298E-2</v>
      </c>
      <c r="Z262" s="2">
        <v>0.13038338056604323</v>
      </c>
      <c r="AA262" s="2">
        <v>0.16552448922255436</v>
      </c>
      <c r="AB262" s="2">
        <v>0.20271415026935957</v>
      </c>
      <c r="AC262" s="2">
        <v>0.23983604667393485</v>
      </c>
      <c r="AD262" s="2">
        <v>0.27457676242245316</v>
      </c>
      <c r="AE262" s="2">
        <v>0.30483696743936134</v>
      </c>
      <c r="AF262" s="2">
        <v>0.32914947428021324</v>
      </c>
      <c r="AG262" s="2">
        <v>0.34696141922690754</v>
      </c>
      <c r="AH262" s="2">
        <v>0.35965284387856555</v>
      </c>
      <c r="AI262" s="2">
        <v>0.36604417462499084</v>
      </c>
      <c r="AJ262" s="2">
        <v>0.37090434482929746</v>
      </c>
      <c r="AK262" s="2">
        <v>0.37127673874980877</v>
      </c>
      <c r="AL262" s="2">
        <v>0.37016290853355938</v>
      </c>
      <c r="AM262" s="2">
        <v>0.45645631504380879</v>
      </c>
      <c r="AN262" s="2">
        <v>0.47680458388050362</v>
      </c>
      <c r="AO262" s="2">
        <v>0.47405094924818092</v>
      </c>
      <c r="AP262" s="2">
        <v>0.47015959809922914</v>
      </c>
      <c r="AQ262" s="2">
        <v>0.46488528191103923</v>
      </c>
      <c r="AR262" s="2">
        <v>6.4692489814631449</v>
      </c>
    </row>
    <row r="263" spans="1:44" x14ac:dyDescent="0.25">
      <c r="A263" t="s">
        <v>250</v>
      </c>
      <c r="B263" t="s">
        <v>298</v>
      </c>
      <c r="C263" t="s">
        <v>44</v>
      </c>
      <c r="D263" t="s">
        <v>152</v>
      </c>
      <c r="E263" t="s">
        <v>145</v>
      </c>
      <c r="F263" t="s">
        <v>299</v>
      </c>
      <c r="G263" t="s">
        <v>31</v>
      </c>
      <c r="H263" t="s">
        <v>274</v>
      </c>
      <c r="I263" t="s">
        <v>135</v>
      </c>
      <c r="J263" t="s">
        <v>39</v>
      </c>
      <c r="K263" t="s">
        <v>31</v>
      </c>
      <c r="L263">
        <v>0.82</v>
      </c>
      <c r="M263">
        <v>1</v>
      </c>
      <c r="N263">
        <v>2.8160822667537615</v>
      </c>
      <c r="O263">
        <v>5.411417628870181</v>
      </c>
      <c r="P263">
        <v>-1.3633570527640948</v>
      </c>
      <c r="Q263">
        <v>1.0408498674974225</v>
      </c>
      <c r="R263">
        <v>-1.8625523936223551</v>
      </c>
      <c r="S263" s="2">
        <v>2.9805811546956552E-4</v>
      </c>
      <c r="T263" s="2">
        <v>5.5826555575101645E-4</v>
      </c>
      <c r="U263" s="2">
        <v>9.5091079114337229E-4</v>
      </c>
      <c r="V263" s="2">
        <v>1.5099626964722918E-3</v>
      </c>
      <c r="W263" s="2">
        <v>2.2659055808792344E-3</v>
      </c>
      <c r="X263" s="2">
        <v>3.2399124181510231E-3</v>
      </c>
      <c r="Y263" s="2">
        <v>4.4369782469537745E-3</v>
      </c>
      <c r="Z263" s="2">
        <v>5.8391936859300535E-3</v>
      </c>
      <c r="AA263" s="2">
        <v>7.4010847667878412E-3</v>
      </c>
      <c r="AB263" s="2">
        <v>9.0493975006325552E-3</v>
      </c>
      <c r="AC263" s="2">
        <v>1.0689380462920931E-2</v>
      </c>
      <c r="AD263" s="2">
        <v>1.2218118589857264E-2</v>
      </c>
      <c r="AE263" s="2">
        <v>1.3542868666782606E-2</v>
      </c>
      <c r="AF263" s="2">
        <v>1.4599523388979425E-2</v>
      </c>
      <c r="AG263" s="2">
        <v>1.5364880118807021E-2</v>
      </c>
      <c r="AH263" s="2">
        <v>1.5901348921222132E-2</v>
      </c>
      <c r="AI263" s="2">
        <v>1.6157956939438355E-2</v>
      </c>
      <c r="AJ263" s="2">
        <v>1.6346220220578439E-2</v>
      </c>
      <c r="AK263" s="2">
        <v>1.6336373099963632E-2</v>
      </c>
      <c r="AL263" s="2">
        <v>1.6261225783703794E-2</v>
      </c>
      <c r="AM263" s="2">
        <v>2.014504661040924E-2</v>
      </c>
      <c r="AN263" s="2">
        <v>2.1592382591452824E-2</v>
      </c>
      <c r="AO263" s="2">
        <v>2.1426698889726974E-2</v>
      </c>
      <c r="AP263" s="2">
        <v>2.1204461566952142E-2</v>
      </c>
      <c r="AQ263" s="2">
        <v>2.091363936602722E-2</v>
      </c>
      <c r="AR263" s="2">
        <v>0.28824979457499278</v>
      </c>
    </row>
    <row r="264" spans="1:44" x14ac:dyDescent="0.25">
      <c r="A264" t="s">
        <v>250</v>
      </c>
      <c r="B264" t="s">
        <v>298</v>
      </c>
      <c r="C264" t="s">
        <v>44</v>
      </c>
      <c r="D264" t="s">
        <v>152</v>
      </c>
      <c r="E264" t="s">
        <v>145</v>
      </c>
      <c r="F264" t="s">
        <v>299</v>
      </c>
      <c r="G264" t="s">
        <v>31</v>
      </c>
      <c r="H264" t="s">
        <v>274</v>
      </c>
      <c r="I264" t="s">
        <v>135</v>
      </c>
      <c r="J264" t="s">
        <v>39</v>
      </c>
      <c r="K264" t="s">
        <v>33</v>
      </c>
      <c r="L264">
        <v>0.82</v>
      </c>
      <c r="M264">
        <v>1</v>
      </c>
      <c r="N264">
        <v>2.8160822667537615</v>
      </c>
      <c r="O264">
        <v>5.411417628870181</v>
      </c>
      <c r="P264">
        <v>-1.3633570527640948</v>
      </c>
      <c r="Q264">
        <v>1.0408498674974225</v>
      </c>
      <c r="R264">
        <v>-1.8625523936223551</v>
      </c>
      <c r="S264" s="2">
        <v>9.589968073683596E-7</v>
      </c>
      <c r="T264" s="2">
        <v>1.7962097250246301E-6</v>
      </c>
      <c r="U264" s="2">
        <v>3.0595389471679408E-6</v>
      </c>
      <c r="V264" s="2">
        <v>4.8582787382956063E-6</v>
      </c>
      <c r="W264" s="2">
        <v>7.2905118333649831E-6</v>
      </c>
      <c r="X264" s="2">
        <v>1.0424361907626677E-5</v>
      </c>
      <c r="Y264" s="2">
        <v>1.4275900411193499E-5</v>
      </c>
      <c r="Z264" s="2">
        <v>1.8787504220747147E-5</v>
      </c>
      <c r="AA264" s="2">
        <v>2.3812861633478554E-5</v>
      </c>
      <c r="AB264" s="2">
        <v>2.9116279213004585E-5</v>
      </c>
      <c r="AC264" s="2">
        <v>3.4392895897288923E-5</v>
      </c>
      <c r="AD264" s="2">
        <v>3.9311584256854577E-5</v>
      </c>
      <c r="AE264" s="2">
        <v>4.3573944610072716E-5</v>
      </c>
      <c r="AF264" s="2">
        <v>4.6973712817964105E-5</v>
      </c>
      <c r="AG264" s="2">
        <v>4.9436234797096397E-5</v>
      </c>
      <c r="AH264" s="2">
        <v>5.1162313847010252E-5</v>
      </c>
      <c r="AI264" s="2">
        <v>5.1987945686716377E-5</v>
      </c>
      <c r="AJ264" s="2">
        <v>5.2593679522460459E-5</v>
      </c>
      <c r="AK264" s="2">
        <v>5.25619965829891E-5</v>
      </c>
      <c r="AL264" s="2">
        <v>5.2320211398707351E-5</v>
      </c>
      <c r="AM264" s="2">
        <v>6.481633742209547E-5</v>
      </c>
      <c r="AN264" s="2">
        <v>6.9473115791721308E-5</v>
      </c>
      <c r="AO264" s="2">
        <v>6.8940031360392596E-5</v>
      </c>
      <c r="AP264" s="2">
        <v>6.8224986636032683E-5</v>
      </c>
      <c r="AQ264" s="2">
        <v>6.7289271257977911E-5</v>
      </c>
      <c r="AR264" s="2">
        <v>9.2743870532265211E-4</v>
      </c>
    </row>
    <row r="265" spans="1:44" x14ac:dyDescent="0.25">
      <c r="A265" t="s">
        <v>250</v>
      </c>
      <c r="B265" t="s">
        <v>298</v>
      </c>
      <c r="C265" t="s">
        <v>44</v>
      </c>
      <c r="D265" t="s">
        <v>152</v>
      </c>
      <c r="E265" t="s">
        <v>145</v>
      </c>
      <c r="F265" t="s">
        <v>299</v>
      </c>
      <c r="G265" t="s">
        <v>31</v>
      </c>
      <c r="H265" t="s">
        <v>255</v>
      </c>
      <c r="I265" t="s">
        <v>135</v>
      </c>
      <c r="J265" t="s">
        <v>39</v>
      </c>
      <c r="K265" t="s">
        <v>31</v>
      </c>
      <c r="L265">
        <v>0.82</v>
      </c>
      <c r="M265">
        <v>1</v>
      </c>
      <c r="N265">
        <v>2.8160822667537615</v>
      </c>
      <c r="O265">
        <v>5.411417628870181</v>
      </c>
      <c r="P265">
        <v>-1.3633570527640948</v>
      </c>
      <c r="Q265">
        <v>1.0408498674974225</v>
      </c>
      <c r="R265">
        <v>-1.8625523936223551</v>
      </c>
      <c r="S265" s="2">
        <v>2.2754388937208992E-4</v>
      </c>
      <c r="T265" s="2">
        <v>4.2430786043821001E-4</v>
      </c>
      <c r="U265" s="2">
        <v>7.1954181608503557E-4</v>
      </c>
      <c r="V265" s="2">
        <v>1.1375185781741675E-3</v>
      </c>
      <c r="W265" s="2">
        <v>1.6994567137954871E-3</v>
      </c>
      <c r="X265" s="2">
        <v>2.4192323806854696E-3</v>
      </c>
      <c r="Y265" s="2">
        <v>3.2984327500262581E-3</v>
      </c>
      <c r="Z265" s="2">
        <v>4.3216464374311835E-3</v>
      </c>
      <c r="AA265" s="2">
        <v>5.4534049609714103E-3</v>
      </c>
      <c r="AB265" s="2">
        <v>6.6384708705317704E-3</v>
      </c>
      <c r="AC265" s="2">
        <v>7.8068698951246681E-3</v>
      </c>
      <c r="AD265" s="2">
        <v>8.8839224920916823E-3</v>
      </c>
      <c r="AE265" s="2">
        <v>9.8036344605934769E-3</v>
      </c>
      <c r="AF265" s="2">
        <v>1.0521826570559141E-2</v>
      </c>
      <c r="AG265" s="2">
        <v>1.1024468353431457E-2</v>
      </c>
      <c r="AH265" s="2">
        <v>1.1358957233777328E-2</v>
      </c>
      <c r="AI265" s="2">
        <v>1.1491241756562362E-2</v>
      </c>
      <c r="AJ265" s="2">
        <v>1.1573744182071719E-2</v>
      </c>
      <c r="AK265" s="2">
        <v>1.1515643056659711E-2</v>
      </c>
      <c r="AL265" s="2">
        <v>1.1412002269149778E-2</v>
      </c>
      <c r="AM265" s="2">
        <v>1.4331390630479706E-2</v>
      </c>
      <c r="AN265" s="2">
        <v>1.6546161734724316E-2</v>
      </c>
      <c r="AO265" s="2">
        <v>1.6333251229760162E-2</v>
      </c>
      <c r="AP265" s="2">
        <v>1.6067432404326298E-2</v>
      </c>
      <c r="AQ265" s="2">
        <v>1.5737808635619889E-2</v>
      </c>
      <c r="AR265" s="2">
        <v>0.21074791116244279</v>
      </c>
    </row>
    <row r="266" spans="1:44" x14ac:dyDescent="0.25">
      <c r="A266" t="s">
        <v>250</v>
      </c>
      <c r="B266" t="s">
        <v>298</v>
      </c>
      <c r="C266" t="s">
        <v>44</v>
      </c>
      <c r="D266" t="s">
        <v>152</v>
      </c>
      <c r="E266" t="s">
        <v>145</v>
      </c>
      <c r="F266" t="s">
        <v>299</v>
      </c>
      <c r="G266" t="s">
        <v>31</v>
      </c>
      <c r="H266" t="s">
        <v>278</v>
      </c>
      <c r="I266" t="s">
        <v>135</v>
      </c>
      <c r="J266" t="s">
        <v>39</v>
      </c>
      <c r="K266" t="s">
        <v>31</v>
      </c>
      <c r="L266">
        <v>0.82</v>
      </c>
      <c r="M266">
        <v>1</v>
      </c>
      <c r="N266">
        <v>2.8160822667537615</v>
      </c>
      <c r="O266">
        <v>5.411417628870181</v>
      </c>
      <c r="P266">
        <v>-1.3633570527640948</v>
      </c>
      <c r="Q266">
        <v>1.0408498674974225</v>
      </c>
      <c r="R266">
        <v>-1.8625523936223551</v>
      </c>
      <c r="S266" s="2">
        <v>2.008907080321642E-3</v>
      </c>
      <c r="T266" s="2">
        <v>3.7460688020348135E-3</v>
      </c>
      <c r="U266" s="2">
        <v>6.3525882980622964E-3</v>
      </c>
      <c r="V266" s="2">
        <v>1.0042762000761448E-2</v>
      </c>
      <c r="W266" s="2">
        <v>1.5003921372993211E-2</v>
      </c>
      <c r="X266" s="2">
        <v>2.1358574259733729E-2</v>
      </c>
      <c r="Y266" s="2">
        <v>2.9120733251847518E-2</v>
      </c>
      <c r="Z266" s="2">
        <v>3.8154336513978884E-2</v>
      </c>
      <c r="AA266" s="2">
        <v>4.8146244964820388E-2</v>
      </c>
      <c r="AB266" s="2">
        <v>5.8608786072529978E-2</v>
      </c>
      <c r="AC266" s="2">
        <v>6.8924180960183129E-2</v>
      </c>
      <c r="AD266" s="2">
        <v>7.8433109518522337E-2</v>
      </c>
      <c r="AE266" s="2">
        <v>8.6552931547047615E-2</v>
      </c>
      <c r="AF266" s="2">
        <v>9.2893603751968298E-2</v>
      </c>
      <c r="AG266" s="2">
        <v>9.733125593091338E-2</v>
      </c>
      <c r="AH266" s="2">
        <v>0.10028434371485674</v>
      </c>
      <c r="AI266" s="2">
        <v>0.10145223846770268</v>
      </c>
      <c r="AJ266" s="2">
        <v>0.10218062413082385</v>
      </c>
      <c r="AK266" s="2">
        <v>0.10166766919040805</v>
      </c>
      <c r="AL266" s="2">
        <v>0.10075266016769441</v>
      </c>
      <c r="AM266" s="2">
        <v>0.12652694030972866</v>
      </c>
      <c r="AN266" s="2">
        <v>0.1460803959744211</v>
      </c>
      <c r="AO266" s="2">
        <v>0.14420068203405692</v>
      </c>
      <c r="AP266" s="2">
        <v>0.14185385864991557</v>
      </c>
      <c r="AQ266" s="2">
        <v>0.13894372327065363</v>
      </c>
      <c r="AR266" s="2">
        <v>1.86062114023598</v>
      </c>
    </row>
    <row r="267" spans="1:44" x14ac:dyDescent="0.25">
      <c r="A267" t="s">
        <v>250</v>
      </c>
      <c r="B267" t="s">
        <v>298</v>
      </c>
      <c r="C267" t="s">
        <v>44</v>
      </c>
      <c r="D267" t="s">
        <v>152</v>
      </c>
      <c r="E267" t="s">
        <v>145</v>
      </c>
      <c r="F267" t="s">
        <v>299</v>
      </c>
      <c r="G267" t="s">
        <v>31</v>
      </c>
      <c r="H267" t="s">
        <v>276</v>
      </c>
      <c r="I267" t="s">
        <v>135</v>
      </c>
      <c r="J267" t="s">
        <v>39</v>
      </c>
      <c r="K267" t="s">
        <v>31</v>
      </c>
      <c r="L267">
        <v>0.82</v>
      </c>
      <c r="M267">
        <v>1</v>
      </c>
      <c r="N267">
        <v>2.8160822667537615</v>
      </c>
      <c r="O267">
        <v>5.411417628870181</v>
      </c>
      <c r="P267">
        <v>-1.3633570527640948</v>
      </c>
      <c r="Q267">
        <v>1.0408498674974225</v>
      </c>
      <c r="R267">
        <v>-1.8625523936223551</v>
      </c>
      <c r="S267" s="2">
        <v>2.8194558252485694E-2</v>
      </c>
      <c r="T267" s="2">
        <v>5.294129529413704E-2</v>
      </c>
      <c r="U267" s="2">
        <v>9.0403010195524741E-2</v>
      </c>
      <c r="V267" s="2">
        <v>0.14391256710431841</v>
      </c>
      <c r="W267" s="2">
        <v>0.21650288966596021</v>
      </c>
      <c r="X267" s="2">
        <v>0.31034485138664086</v>
      </c>
      <c r="Y267" s="2">
        <v>0.42607687137241462</v>
      </c>
      <c r="Z267" s="2">
        <v>0.56213797887920502</v>
      </c>
      <c r="AA267" s="2">
        <v>0.7142903968924762</v>
      </c>
      <c r="AB267" s="2">
        <v>0.87556518527111515</v>
      </c>
      <c r="AC267" s="2">
        <v>1.0368376057100828</v>
      </c>
      <c r="AD267" s="2">
        <v>1.1880970780959581</v>
      </c>
      <c r="AE267" s="2">
        <v>1.3202240650259198</v>
      </c>
      <c r="AF267" s="2">
        <v>1.4268063790243473</v>
      </c>
      <c r="AG267" s="2">
        <v>1.5053757872457829</v>
      </c>
      <c r="AH267" s="2">
        <v>1.5618492160422519</v>
      </c>
      <c r="AI267" s="2">
        <v>1.5910395271195754</v>
      </c>
      <c r="AJ267" s="2">
        <v>1.6136199497307897</v>
      </c>
      <c r="AK267" s="2">
        <v>1.6166981403979466</v>
      </c>
      <c r="AL267" s="2">
        <v>1.6133030743031112</v>
      </c>
      <c r="AM267" s="2">
        <v>1.9843777204946236</v>
      </c>
      <c r="AN267" s="2">
        <v>2.0436500331040399</v>
      </c>
      <c r="AO267" s="2">
        <v>2.0340330781697316</v>
      </c>
      <c r="AP267" s="2">
        <v>2.0198178038349894</v>
      </c>
      <c r="AQ267" s="2">
        <v>2.0000051410537787</v>
      </c>
      <c r="AR267" s="2">
        <v>27.976104203667212</v>
      </c>
    </row>
    <row r="268" spans="1:44" x14ac:dyDescent="0.25">
      <c r="A268" t="s">
        <v>250</v>
      </c>
      <c r="B268" t="s">
        <v>298</v>
      </c>
      <c r="C268" t="s">
        <v>44</v>
      </c>
      <c r="D268" t="s">
        <v>152</v>
      </c>
      <c r="E268" t="s">
        <v>145</v>
      </c>
      <c r="F268" t="s">
        <v>299</v>
      </c>
      <c r="G268" t="s">
        <v>31</v>
      </c>
      <c r="H268" t="s">
        <v>290</v>
      </c>
      <c r="I268" t="s">
        <v>135</v>
      </c>
      <c r="J268" t="s">
        <v>39</v>
      </c>
      <c r="K268" t="s">
        <v>31</v>
      </c>
      <c r="L268">
        <v>0.82</v>
      </c>
      <c r="M268">
        <v>1</v>
      </c>
      <c r="N268">
        <v>2.8160822667537615</v>
      </c>
      <c r="O268">
        <v>5.411417628870181</v>
      </c>
      <c r="P268">
        <v>-1.3633570527640948</v>
      </c>
      <c r="Q268">
        <v>1.0408498674974225</v>
      </c>
      <c r="R268">
        <v>-1.8625523936223551</v>
      </c>
      <c r="S268" s="2">
        <v>9.5296432632105566E-3</v>
      </c>
      <c r="T268" s="2">
        <v>1.787779888252301E-2</v>
      </c>
      <c r="U268" s="2">
        <v>3.0500749527727661E-2</v>
      </c>
      <c r="V268" s="2">
        <v>4.8510357598791881E-2</v>
      </c>
      <c r="W268" s="2">
        <v>7.2913440076251557E-2</v>
      </c>
      <c r="X268" s="2">
        <v>0.10442309764213482</v>
      </c>
      <c r="Y268" s="2">
        <v>0.14323466052795214</v>
      </c>
      <c r="Z268" s="2">
        <v>0.18880401543178343</v>
      </c>
      <c r="AA268" s="2">
        <v>0.23969073421656895</v>
      </c>
      <c r="AB268" s="2">
        <v>0.29354389638877659</v>
      </c>
      <c r="AC268" s="2">
        <v>0.34729893074360652</v>
      </c>
      <c r="AD268" s="2">
        <v>0.39760585332697979</v>
      </c>
      <c r="AE268" s="2">
        <v>0.44142469120476691</v>
      </c>
      <c r="AF268" s="2">
        <v>0.47663085702772162</v>
      </c>
      <c r="AG268" s="2">
        <v>0.50242376647665488</v>
      </c>
      <c r="AH268" s="2">
        <v>0.52080181378130497</v>
      </c>
      <c r="AI268" s="2">
        <v>0.53005689601371031</v>
      </c>
      <c r="AJ268" s="2">
        <v>0.53709475349425162</v>
      </c>
      <c r="AK268" s="2">
        <v>0.53763400525478788</v>
      </c>
      <c r="AL268" s="2">
        <v>0.53602110323902363</v>
      </c>
      <c r="AM268" s="2">
        <v>0.66097983328337651</v>
      </c>
      <c r="AN268" s="2">
        <v>0.69044551247327524</v>
      </c>
      <c r="AO268" s="2">
        <v>0.68645806197645698</v>
      </c>
      <c r="AP268" s="2">
        <v>0.68082312047404103</v>
      </c>
      <c r="AQ268" s="2">
        <v>0.67318555140148129</v>
      </c>
      <c r="AR268" s="2">
        <v>9.3679131437271597</v>
      </c>
    </row>
    <row r="269" spans="1:44" x14ac:dyDescent="0.25">
      <c r="A269" t="s">
        <v>250</v>
      </c>
      <c r="B269" t="s">
        <v>298</v>
      </c>
      <c r="C269" t="s">
        <v>44</v>
      </c>
      <c r="D269" t="s">
        <v>152</v>
      </c>
      <c r="E269" t="s">
        <v>145</v>
      </c>
      <c r="F269" t="s">
        <v>299</v>
      </c>
      <c r="G269" t="s">
        <v>31</v>
      </c>
      <c r="H269" t="s">
        <v>275</v>
      </c>
      <c r="I269" t="s">
        <v>135</v>
      </c>
      <c r="J269" t="s">
        <v>39</v>
      </c>
      <c r="K269" t="s">
        <v>31</v>
      </c>
      <c r="L269">
        <v>0.82</v>
      </c>
      <c r="M269">
        <v>1</v>
      </c>
      <c r="N269">
        <v>2.8160822667537615</v>
      </c>
      <c r="O269">
        <v>5.411417628870181</v>
      </c>
      <c r="P269">
        <v>-1.3633570527640948</v>
      </c>
      <c r="Q269">
        <v>1.0408498674974225</v>
      </c>
      <c r="R269">
        <v>-1.8625523936223551</v>
      </c>
      <c r="S269" s="2">
        <v>4.5533962716633614E-4</v>
      </c>
      <c r="T269" s="2">
        <v>8.5285525480493596E-4</v>
      </c>
      <c r="U269" s="2">
        <v>1.4526944331830513E-3</v>
      </c>
      <c r="V269" s="2">
        <v>2.3067509843293426E-3</v>
      </c>
      <c r="W269" s="2">
        <v>3.4615954031858021E-3</v>
      </c>
      <c r="X269" s="2">
        <v>4.9495733750054768E-3</v>
      </c>
      <c r="Y269" s="2">
        <v>6.7783157574160049E-3</v>
      </c>
      <c r="Z269" s="2">
        <v>8.9204626141941249E-3</v>
      </c>
      <c r="AA269" s="2">
        <v>1.1306543936998535E-2</v>
      </c>
      <c r="AB269" s="2">
        <v>1.3824650530070018E-2</v>
      </c>
      <c r="AC269" s="2">
        <v>1.6330031836098519E-2</v>
      </c>
      <c r="AD269" s="2">
        <v>1.8665465808958184E-2</v>
      </c>
      <c r="AE269" s="2">
        <v>2.0689269808273729E-2</v>
      </c>
      <c r="AF269" s="2">
        <v>2.2303507912445654E-2</v>
      </c>
      <c r="AG269" s="2">
        <v>2.3472733744327186E-2</v>
      </c>
      <c r="AH269" s="2">
        <v>2.4292290373722204E-2</v>
      </c>
      <c r="AI269" s="2">
        <v>2.4684307209628144E-2</v>
      </c>
      <c r="AJ269" s="2">
        <v>2.4971914651916328E-2</v>
      </c>
      <c r="AK269" s="2">
        <v>2.4956871329836854E-2</v>
      </c>
      <c r="AL269" s="2">
        <v>2.4842069721719606E-2</v>
      </c>
      <c r="AM269" s="2">
        <v>3.0775333858570408E-2</v>
      </c>
      <c r="AN269" s="2">
        <v>3.298641079889976E-2</v>
      </c>
      <c r="AO269" s="2">
        <v>3.2733297895557067E-2</v>
      </c>
      <c r="AP269" s="2">
        <v>3.2393788737971115E-2</v>
      </c>
      <c r="AQ269" s="2">
        <v>3.1949503326274623E-2</v>
      </c>
      <c r="AR269" s="2">
        <v>0.44035557893055294</v>
      </c>
    </row>
    <row r="270" spans="1:44" x14ac:dyDescent="0.25">
      <c r="A270" t="s">
        <v>250</v>
      </c>
      <c r="B270" t="s">
        <v>298</v>
      </c>
      <c r="C270" t="s">
        <v>44</v>
      </c>
      <c r="D270" t="s">
        <v>152</v>
      </c>
      <c r="E270" t="s">
        <v>145</v>
      </c>
      <c r="F270" t="s">
        <v>299</v>
      </c>
      <c r="G270" t="s">
        <v>31</v>
      </c>
      <c r="H270" t="s">
        <v>277</v>
      </c>
      <c r="I270" t="s">
        <v>135</v>
      </c>
      <c r="J270" t="s">
        <v>39</v>
      </c>
      <c r="K270" t="s">
        <v>31</v>
      </c>
      <c r="L270">
        <v>0.82</v>
      </c>
      <c r="M270">
        <v>1</v>
      </c>
      <c r="N270">
        <v>2.8160822667537615</v>
      </c>
      <c r="O270">
        <v>5.411417628870181</v>
      </c>
      <c r="P270">
        <v>-1.3633570527640948</v>
      </c>
      <c r="Q270">
        <v>1.0408498674974225</v>
      </c>
      <c r="R270">
        <v>-1.8625523936223551</v>
      </c>
      <c r="S270" s="2">
        <v>0</v>
      </c>
      <c r="T270" s="2">
        <v>0</v>
      </c>
      <c r="U270" s="2">
        <v>0</v>
      </c>
      <c r="V270" s="2">
        <v>0</v>
      </c>
      <c r="W270" s="2">
        <v>0</v>
      </c>
      <c r="X270" s="2">
        <v>0</v>
      </c>
      <c r="Y270" s="2">
        <v>0</v>
      </c>
      <c r="Z270" s="2">
        <v>0</v>
      </c>
      <c r="AA270" s="2">
        <v>0</v>
      </c>
      <c r="AB270" s="2">
        <v>0</v>
      </c>
      <c r="AC270" s="2">
        <v>0</v>
      </c>
      <c r="AD270" s="2">
        <v>0</v>
      </c>
      <c r="AE270" s="2">
        <v>0</v>
      </c>
      <c r="AF270" s="2">
        <v>0</v>
      </c>
      <c r="AG270" s="2">
        <v>0</v>
      </c>
      <c r="AH270" s="2">
        <v>0</v>
      </c>
      <c r="AI270" s="2">
        <v>0</v>
      </c>
      <c r="AJ270" s="2">
        <v>0</v>
      </c>
      <c r="AK270" s="2">
        <v>0</v>
      </c>
      <c r="AL270" s="2">
        <v>0</v>
      </c>
      <c r="AM270" s="2">
        <v>0</v>
      </c>
      <c r="AN270" s="2">
        <v>0</v>
      </c>
      <c r="AO270" s="2">
        <v>0</v>
      </c>
      <c r="AP270" s="2">
        <v>0</v>
      </c>
      <c r="AQ270" s="2">
        <v>0</v>
      </c>
      <c r="AR270" s="2">
        <v>0</v>
      </c>
    </row>
    <row r="271" spans="1:44" x14ac:dyDescent="0.25">
      <c r="A271" t="s">
        <v>250</v>
      </c>
      <c r="B271" t="s">
        <v>298</v>
      </c>
      <c r="C271" t="s">
        <v>44</v>
      </c>
      <c r="D271" t="s">
        <v>152</v>
      </c>
      <c r="E271" t="s">
        <v>145</v>
      </c>
      <c r="F271" t="s">
        <v>299</v>
      </c>
      <c r="G271" t="s">
        <v>31</v>
      </c>
      <c r="H271" t="s">
        <v>277</v>
      </c>
      <c r="I271" t="s">
        <v>135</v>
      </c>
      <c r="J271" t="s">
        <v>40</v>
      </c>
      <c r="K271" t="s">
        <v>31</v>
      </c>
      <c r="L271">
        <v>0.82</v>
      </c>
      <c r="M271">
        <v>1</v>
      </c>
      <c r="N271">
        <v>2.8160822667537615</v>
      </c>
      <c r="O271">
        <v>4.1746294160814488</v>
      </c>
      <c r="P271">
        <v>-1.3633570527640948</v>
      </c>
      <c r="Q271">
        <v>0.4672931329656026</v>
      </c>
      <c r="R271">
        <v>-1.7195523936223556</v>
      </c>
      <c r="S271" s="2">
        <v>0</v>
      </c>
      <c r="T271" s="2">
        <v>0</v>
      </c>
      <c r="U271" s="2">
        <v>0</v>
      </c>
      <c r="V271" s="2">
        <v>0</v>
      </c>
      <c r="W271" s="2">
        <v>0</v>
      </c>
      <c r="X271" s="2">
        <v>0</v>
      </c>
      <c r="Y271" s="2">
        <v>0</v>
      </c>
      <c r="Z271" s="2">
        <v>0</v>
      </c>
      <c r="AA271" s="2">
        <v>0</v>
      </c>
      <c r="AB271" s="2">
        <v>0</v>
      </c>
      <c r="AC271" s="2">
        <v>0</v>
      </c>
      <c r="AD271" s="2">
        <v>0</v>
      </c>
      <c r="AE271" s="2">
        <v>0</v>
      </c>
      <c r="AF271" s="2">
        <v>0</v>
      </c>
      <c r="AG271" s="2">
        <v>0</v>
      </c>
      <c r="AH271" s="2">
        <v>0</v>
      </c>
      <c r="AI271" s="2">
        <v>0</v>
      </c>
      <c r="AJ271" s="2">
        <v>0</v>
      </c>
      <c r="AK271" s="2">
        <v>0</v>
      </c>
      <c r="AL271" s="2">
        <v>0</v>
      </c>
      <c r="AM271" s="2">
        <v>0</v>
      </c>
      <c r="AN271" s="2">
        <v>0</v>
      </c>
      <c r="AO271" s="2">
        <v>0</v>
      </c>
      <c r="AP271" s="2">
        <v>0</v>
      </c>
      <c r="AQ271" s="2">
        <v>0</v>
      </c>
      <c r="AR271" s="2">
        <v>0</v>
      </c>
    </row>
    <row r="272" spans="1:44" x14ac:dyDescent="0.25">
      <c r="A272" t="s">
        <v>250</v>
      </c>
      <c r="B272" t="s">
        <v>298</v>
      </c>
      <c r="C272" t="s">
        <v>44</v>
      </c>
      <c r="D272" t="s">
        <v>152</v>
      </c>
      <c r="E272" t="s">
        <v>148</v>
      </c>
      <c r="F272" t="s">
        <v>299</v>
      </c>
      <c r="G272" t="s">
        <v>31</v>
      </c>
      <c r="H272" t="s">
        <v>254</v>
      </c>
      <c r="I272" t="s">
        <v>135</v>
      </c>
      <c r="J272" t="s">
        <v>39</v>
      </c>
      <c r="K272" t="s">
        <v>31</v>
      </c>
      <c r="L272">
        <v>0.82</v>
      </c>
      <c r="M272">
        <v>1</v>
      </c>
      <c r="N272">
        <v>2.8160822667537615</v>
      </c>
      <c r="O272">
        <v>5.411417628870181</v>
      </c>
      <c r="P272">
        <v>-1.3633570527640948</v>
      </c>
      <c r="Q272">
        <v>1.0408498674974225</v>
      </c>
      <c r="R272">
        <v>-1.8625523936223551</v>
      </c>
      <c r="S272" s="2">
        <v>2.4620346423006423E-4</v>
      </c>
      <c r="T272" s="2">
        <v>6.4654167027446651E-4</v>
      </c>
      <c r="U272" s="2">
        <v>1.1138465775950017E-3</v>
      </c>
      <c r="V272" s="2">
        <v>1.7889705128070509E-3</v>
      </c>
      <c r="W272" s="2">
        <v>2.7155102351765436E-3</v>
      </c>
      <c r="X272" s="2">
        <v>3.9276857496676545E-3</v>
      </c>
      <c r="Y272" s="2">
        <v>5.4413366518181339E-3</v>
      </c>
      <c r="Z272" s="2">
        <v>7.2444741545824691E-3</v>
      </c>
      <c r="AA272" s="2">
        <v>9.2897870293044988E-3</v>
      </c>
      <c r="AB272" s="2">
        <v>1.1492300901449527E-2</v>
      </c>
      <c r="AC272" s="2">
        <v>1.3735269941520356E-2</v>
      </c>
      <c r="AD272" s="2">
        <v>1.588570830359827E-2</v>
      </c>
      <c r="AE272" s="2">
        <v>1.7817656641808666E-2</v>
      </c>
      <c r="AF272" s="2">
        <v>1.9437311727858328E-2</v>
      </c>
      <c r="AG272" s="2">
        <v>2.0701607783133878E-2</v>
      </c>
      <c r="AH272" s="2">
        <v>2.1682325722443236E-2</v>
      </c>
      <c r="AI272" s="2">
        <v>2.2298456464729461E-2</v>
      </c>
      <c r="AJ272" s="2">
        <v>2.283186890011675E-2</v>
      </c>
      <c r="AK272" s="2">
        <v>2.3095888084783047E-2</v>
      </c>
      <c r="AL272" s="2">
        <v>2.3270525754472766E-2</v>
      </c>
      <c r="AM272" s="2">
        <v>2.3447500391585E-2</v>
      </c>
      <c r="AN272" s="2">
        <v>2.3626836505285482E-2</v>
      </c>
      <c r="AO272" s="2">
        <v>2.3808558887212047E-2</v>
      </c>
      <c r="AP272" s="2">
        <v>2.3992692614608312E-2</v>
      </c>
      <c r="AQ272" s="2">
        <v>2.4179263053495294E-2</v>
      </c>
      <c r="AR272" s="2">
        <v>0.36371812772355633</v>
      </c>
    </row>
    <row r="273" spans="1:44" x14ac:dyDescent="0.25">
      <c r="A273" t="s">
        <v>250</v>
      </c>
      <c r="B273" t="s">
        <v>298</v>
      </c>
      <c r="C273" t="s">
        <v>44</v>
      </c>
      <c r="D273" t="s">
        <v>152</v>
      </c>
      <c r="E273" t="s">
        <v>148</v>
      </c>
      <c r="F273" t="s">
        <v>299</v>
      </c>
      <c r="G273" t="s">
        <v>31</v>
      </c>
      <c r="H273" t="s">
        <v>272</v>
      </c>
      <c r="I273" t="s">
        <v>135</v>
      </c>
      <c r="J273" t="s">
        <v>39</v>
      </c>
      <c r="K273" t="s">
        <v>31</v>
      </c>
      <c r="L273">
        <v>0.82</v>
      </c>
      <c r="M273">
        <v>1</v>
      </c>
      <c r="N273">
        <v>2.8160822667537615</v>
      </c>
      <c r="O273">
        <v>5.411417628870181</v>
      </c>
      <c r="P273">
        <v>-1.3633570527640948</v>
      </c>
      <c r="Q273">
        <v>1.0408498674974225</v>
      </c>
      <c r="R273">
        <v>-1.8625523936223551</v>
      </c>
      <c r="S273" s="2">
        <v>1.428013211912781E-4</v>
      </c>
      <c r="T273" s="2">
        <v>3.7768797326778069E-4</v>
      </c>
      <c r="U273" s="2">
        <v>6.5059900855542066E-4</v>
      </c>
      <c r="V273" s="2">
        <v>1.0448240034146227E-3</v>
      </c>
      <c r="W273" s="2">
        <v>1.5857834749899921E-3</v>
      </c>
      <c r="X273" s="2">
        <v>2.2934126724764429E-3</v>
      </c>
      <c r="Y273" s="2">
        <v>3.1769080630455891E-3</v>
      </c>
      <c r="Z273" s="2">
        <v>4.2292176570557453E-3</v>
      </c>
      <c r="AA273" s="2">
        <v>5.4226751306453592E-3</v>
      </c>
      <c r="AB273" s="2">
        <v>6.707644177712478E-3</v>
      </c>
      <c r="AC273" s="2">
        <v>8.0159677761980127E-3</v>
      </c>
      <c r="AD273" s="2">
        <v>9.2700402056329137E-3</v>
      </c>
      <c r="AE273" s="2">
        <v>1.0396386641688321E-2</v>
      </c>
      <c r="AF273" s="2">
        <v>1.134032157163912E-2</v>
      </c>
      <c r="AG273" s="2">
        <v>1.2076778660274347E-2</v>
      </c>
      <c r="AH273" s="2">
        <v>1.2647691988928468E-2</v>
      </c>
      <c r="AI273" s="2">
        <v>1.3005861528752089E-2</v>
      </c>
      <c r="AJ273" s="2">
        <v>1.33157371605043E-2</v>
      </c>
      <c r="AK273" s="2">
        <v>1.3468473087532592E-2</v>
      </c>
      <c r="AL273" s="2">
        <v>1.3569078351195479E-2</v>
      </c>
      <c r="AM273" s="2">
        <v>1.3671043832061301E-2</v>
      </c>
      <c r="AN273" s="2">
        <v>1.3774383716839114E-2</v>
      </c>
      <c r="AO273" s="2">
        <v>1.3879112356242231E-2</v>
      </c>
      <c r="AP273" s="2">
        <v>1.3985244266802732E-2</v>
      </c>
      <c r="AQ273" s="2">
        <v>1.4092794132710539E-2</v>
      </c>
      <c r="AR273" s="2">
        <v>0.2121404687593563</v>
      </c>
    </row>
    <row r="274" spans="1:44" x14ac:dyDescent="0.25">
      <c r="A274" t="s">
        <v>250</v>
      </c>
      <c r="B274" t="s">
        <v>298</v>
      </c>
      <c r="C274" t="s">
        <v>44</v>
      </c>
      <c r="D274" t="s">
        <v>152</v>
      </c>
      <c r="E274" t="s">
        <v>148</v>
      </c>
      <c r="F274" t="s">
        <v>299</v>
      </c>
      <c r="G274" t="s">
        <v>31</v>
      </c>
      <c r="H274" t="s">
        <v>272</v>
      </c>
      <c r="I274" t="s">
        <v>135</v>
      </c>
      <c r="J274" t="s">
        <v>40</v>
      </c>
      <c r="K274" t="s">
        <v>31</v>
      </c>
      <c r="L274">
        <v>0.82</v>
      </c>
      <c r="M274">
        <v>1</v>
      </c>
      <c r="N274">
        <v>2.8160822667537615</v>
      </c>
      <c r="O274">
        <v>4.1746294160814488</v>
      </c>
      <c r="P274">
        <v>-1.3633570527640948</v>
      </c>
      <c r="Q274">
        <v>0.4672931329656026</v>
      </c>
      <c r="R274">
        <v>-1.7195523936223556</v>
      </c>
      <c r="S274" s="2">
        <v>1.412531288758008E-5</v>
      </c>
      <c r="T274" s="2">
        <v>3.7359323791811145E-5</v>
      </c>
      <c r="U274" s="2">
        <v>6.4354548568111577E-5</v>
      </c>
      <c r="V274" s="2">
        <v>1.0334964577055484E-4</v>
      </c>
      <c r="W274" s="2">
        <v>1.568591072500222E-4</v>
      </c>
      <c r="X274" s="2">
        <v>2.2685484496098434E-4</v>
      </c>
      <c r="Y274" s="2">
        <v>3.1424653519476986E-4</v>
      </c>
      <c r="Z274" s="2">
        <v>4.1833662446001701E-4</v>
      </c>
      <c r="AA274" s="2">
        <v>5.3638847504405753E-4</v>
      </c>
      <c r="AB274" s="2">
        <v>6.6349226994777898E-4</v>
      </c>
      <c r="AC274" s="2">
        <v>7.9290619996358488E-4</v>
      </c>
      <c r="AD274" s="2">
        <v>9.1695382992724962E-4</v>
      </c>
      <c r="AE274" s="2">
        <v>1.0283673357433507E-3</v>
      </c>
      <c r="AF274" s="2">
        <v>1.1217374538896045E-3</v>
      </c>
      <c r="AG274" s="2">
        <v>1.1945847267192072E-3</v>
      </c>
      <c r="AH274" s="2">
        <v>1.2510570991850747E-3</v>
      </c>
      <c r="AI274" s="2">
        <v>1.2864857407032485E-3</v>
      </c>
      <c r="AJ274" s="2">
        <v>1.3171373496535131E-3</v>
      </c>
      <c r="AK274" s="2">
        <v>1.3322453524398415E-3</v>
      </c>
      <c r="AL274" s="2">
        <v>1.3421968067787902E-3</v>
      </c>
      <c r="AM274" s="2">
        <v>1.3522828081473093E-3</v>
      </c>
      <c r="AN274" s="2">
        <v>1.3625047598356823E-3</v>
      </c>
      <c r="AO274" s="2">
        <v>1.3728640813567971E-3</v>
      </c>
      <c r="AP274" s="2">
        <v>1.3833622086256289E-3</v>
      </c>
      <c r="AQ274" s="2">
        <v>1.3940005941411862E-3</v>
      </c>
      <c r="AR274" s="2">
        <v>2.0984053034985756E-2</v>
      </c>
    </row>
    <row r="275" spans="1:44" x14ac:dyDescent="0.25">
      <c r="A275" t="s">
        <v>250</v>
      </c>
      <c r="B275" t="s">
        <v>298</v>
      </c>
      <c r="C275" t="s">
        <v>44</v>
      </c>
      <c r="D275" t="s">
        <v>152</v>
      </c>
      <c r="E275" t="s">
        <v>148</v>
      </c>
      <c r="F275" t="s">
        <v>299</v>
      </c>
      <c r="G275" t="s">
        <v>31</v>
      </c>
      <c r="H275" t="s">
        <v>253</v>
      </c>
      <c r="I275" t="s">
        <v>135</v>
      </c>
      <c r="J275" t="s">
        <v>39</v>
      </c>
      <c r="K275" t="s">
        <v>31</v>
      </c>
      <c r="L275">
        <v>0.82</v>
      </c>
      <c r="M275">
        <v>1</v>
      </c>
      <c r="N275">
        <v>2.8160822667537615</v>
      </c>
      <c r="O275">
        <v>5.411417628870181</v>
      </c>
      <c r="P275">
        <v>-1.3633570527640948</v>
      </c>
      <c r="Q275">
        <v>1.0408498674974225</v>
      </c>
      <c r="R275">
        <v>-1.8625523936223551</v>
      </c>
      <c r="S275" s="2">
        <v>1.8235798328834599E-7</v>
      </c>
      <c r="T275" s="2">
        <v>4.671819051062388E-7</v>
      </c>
      <c r="U275" s="2">
        <v>8.0515714309509777E-7</v>
      </c>
      <c r="V275" s="2">
        <v>1.293666609510528E-6</v>
      </c>
      <c r="W275" s="2">
        <v>1.9644124403655532E-6</v>
      </c>
      <c r="X275" s="2">
        <v>2.8423538957375707E-6</v>
      </c>
      <c r="Y275" s="2">
        <v>3.9391756374442713E-6</v>
      </c>
      <c r="Z275" s="2">
        <v>5.2464205676837733E-6</v>
      </c>
      <c r="AA275" s="2">
        <v>6.7300243959627974E-6</v>
      </c>
      <c r="AB275" s="2">
        <v>8.3285746680253671E-6</v>
      </c>
      <c r="AC275" s="2">
        <v>9.9575359874780368E-6</v>
      </c>
      <c r="AD275" s="2">
        <v>1.1520476540225647E-5</v>
      </c>
      <c r="AE275" s="2">
        <v>1.2925930396710159E-5</v>
      </c>
      <c r="AF275" s="2">
        <v>1.4105646502287095E-5</v>
      </c>
      <c r="AG275" s="2">
        <v>1.5028119898931381E-5</v>
      </c>
      <c r="AH275" s="2">
        <v>1.5745209312236454E-5</v>
      </c>
      <c r="AI275" s="2">
        <v>1.6197858611534719E-5</v>
      </c>
      <c r="AJ275" s="2">
        <v>1.6590624412707092E-5</v>
      </c>
      <c r="AK275" s="2">
        <v>1.678775616394084E-5</v>
      </c>
      <c r="AL275" s="2">
        <v>1.6919953217377422E-5</v>
      </c>
      <c r="AM275" s="2">
        <v>1.7053862640959144E-5</v>
      </c>
      <c r="AN275" s="2">
        <v>1.718950269526997E-5</v>
      </c>
      <c r="AO275" s="2">
        <v>1.732689184953799E-5</v>
      </c>
      <c r="AP275" s="2">
        <v>1.7466048783958046E-5</v>
      </c>
      <c r="AQ275" s="2">
        <v>1.7606992392045199E-5</v>
      </c>
      <c r="AR275" s="2">
        <v>2.6422173465141872E-4</v>
      </c>
    </row>
    <row r="276" spans="1:44" x14ac:dyDescent="0.25">
      <c r="A276" t="s">
        <v>250</v>
      </c>
      <c r="B276" t="s">
        <v>298</v>
      </c>
      <c r="C276" t="s">
        <v>44</v>
      </c>
      <c r="D276" t="s">
        <v>152</v>
      </c>
      <c r="E276" t="s">
        <v>148</v>
      </c>
      <c r="F276" t="s">
        <v>299</v>
      </c>
      <c r="G276" t="s">
        <v>31</v>
      </c>
      <c r="H276" t="s">
        <v>253</v>
      </c>
      <c r="I276" t="s">
        <v>135</v>
      </c>
      <c r="J276" t="s">
        <v>40</v>
      </c>
      <c r="K276" t="s">
        <v>31</v>
      </c>
      <c r="L276">
        <v>0.82</v>
      </c>
      <c r="M276">
        <v>1</v>
      </c>
      <c r="N276">
        <v>2.8160822667537615</v>
      </c>
      <c r="O276">
        <v>4.1746294160814488</v>
      </c>
      <c r="P276">
        <v>-1.3633570527640948</v>
      </c>
      <c r="Q276">
        <v>0.4672931329656026</v>
      </c>
      <c r="R276">
        <v>-1.7195523936223556</v>
      </c>
      <c r="S276" s="2">
        <v>9.5924089327647363E-8</v>
      </c>
      <c r="T276" s="2">
        <v>2.4574739196808899E-7</v>
      </c>
      <c r="U276" s="2">
        <v>4.2352939160839216E-7</v>
      </c>
      <c r="V276" s="2">
        <v>6.8049552409595068E-7</v>
      </c>
      <c r="W276" s="2">
        <v>1.0333217718689866E-6</v>
      </c>
      <c r="X276" s="2">
        <v>1.4951372244800536E-6</v>
      </c>
      <c r="Y276" s="2">
        <v>2.0720882568986314E-6</v>
      </c>
      <c r="Z276" s="2">
        <v>2.7597262599090193E-6</v>
      </c>
      <c r="AA276" s="2">
        <v>3.5401327087215982E-6</v>
      </c>
      <c r="AB276" s="2">
        <v>4.3810033760047337E-6</v>
      </c>
      <c r="AC276" s="2">
        <v>5.2378708862763588E-6</v>
      </c>
      <c r="AD276" s="2">
        <v>6.0600101010893811E-6</v>
      </c>
      <c r="AE276" s="2">
        <v>6.7993080404734268E-6</v>
      </c>
      <c r="AF276" s="2">
        <v>7.4198632311595759E-6</v>
      </c>
      <c r="AG276" s="2">
        <v>7.9051034104291113E-6</v>
      </c>
      <c r="AH276" s="2">
        <v>8.282307345773348E-6</v>
      </c>
      <c r="AI276" s="2">
        <v>8.5204102850415755E-6</v>
      </c>
      <c r="AJ276" s="2">
        <v>8.7270132596802509E-6</v>
      </c>
      <c r="AK276" s="2">
        <v>8.830708658004462E-6</v>
      </c>
      <c r="AL276" s="2">
        <v>8.9002470556880949E-6</v>
      </c>
      <c r="AM276" s="2">
        <v>8.9706861956579671E-6</v>
      </c>
      <c r="AN276" s="2">
        <v>9.0420356833606251E-6</v>
      </c>
      <c r="AO276" s="2">
        <v>9.1143052339940041E-6</v>
      </c>
      <c r="AP276" s="2">
        <v>9.1875046737288211E-6</v>
      </c>
      <c r="AQ276" s="2">
        <v>9.2616439409465925E-6</v>
      </c>
      <c r="AR276" s="2">
        <v>1.389861239961867E-4</v>
      </c>
    </row>
    <row r="277" spans="1:44" x14ac:dyDescent="0.25">
      <c r="A277" t="s">
        <v>250</v>
      </c>
      <c r="B277" t="s">
        <v>298</v>
      </c>
      <c r="C277" t="s">
        <v>44</v>
      </c>
      <c r="D277" t="s">
        <v>152</v>
      </c>
      <c r="E277" t="s">
        <v>148</v>
      </c>
      <c r="F277" t="s">
        <v>299</v>
      </c>
      <c r="G277" t="s">
        <v>31</v>
      </c>
      <c r="H277" t="s">
        <v>253</v>
      </c>
      <c r="I277" t="s">
        <v>256</v>
      </c>
      <c r="J277" t="s">
        <v>39</v>
      </c>
      <c r="K277" t="s">
        <v>31</v>
      </c>
      <c r="L277">
        <v>0.82</v>
      </c>
      <c r="M277">
        <v>1</v>
      </c>
      <c r="N277">
        <v>1.4105606857535178</v>
      </c>
      <c r="O277">
        <v>2.7105504166527385</v>
      </c>
      <c r="P277">
        <v>9.9579898584776755E-2</v>
      </c>
      <c r="Q277">
        <v>0.4672931329656026</v>
      </c>
      <c r="R277">
        <v>-0.39961544227348367</v>
      </c>
      <c r="S277" s="2">
        <v>9.5657870042108801E-8</v>
      </c>
      <c r="T277" s="2">
        <v>2.4506536625826758E-7</v>
      </c>
      <c r="U277" s="2">
        <v>4.2235396536427923E-7</v>
      </c>
      <c r="V277" s="2">
        <v>6.7860693663572323E-7</v>
      </c>
      <c r="W277" s="2">
        <v>1.0304539814550576E-6</v>
      </c>
      <c r="X277" s="2">
        <v>1.4909877520537644E-6</v>
      </c>
      <c r="Y277" s="2">
        <v>2.0663375652924765E-6</v>
      </c>
      <c r="Z277" s="2">
        <v>2.7520671582345103E-6</v>
      </c>
      <c r="AA277" s="2">
        <v>3.5303077355888883E-6</v>
      </c>
      <c r="AB277" s="2">
        <v>4.3688447243367223E-6</v>
      </c>
      <c r="AC277" s="2">
        <v>5.2233341598413641E-6</v>
      </c>
      <c r="AD277" s="2">
        <v>6.0431916817457225E-6</v>
      </c>
      <c r="AE277" s="2">
        <v>6.7804378386151633E-6</v>
      </c>
      <c r="AF277" s="2">
        <v>7.3992707949734155E-6</v>
      </c>
      <c r="AG277" s="2">
        <v>7.8831642813033645E-6</v>
      </c>
      <c r="AH277" s="2">
        <v>8.2593213580026695E-6</v>
      </c>
      <c r="AI277" s="2">
        <v>8.4967634873030251E-6</v>
      </c>
      <c r="AJ277" s="2">
        <v>8.7027930742069234E-6</v>
      </c>
      <c r="AK277" s="2">
        <v>8.806200685437708E-6</v>
      </c>
      <c r="AL277" s="2">
        <v>8.8755460923650541E-6</v>
      </c>
      <c r="AM277" s="2">
        <v>8.9457897417375954E-6</v>
      </c>
      <c r="AN277" s="2">
        <v>9.0169412123439742E-6</v>
      </c>
      <c r="AO277" s="2">
        <v>9.0890101924190224E-6</v>
      </c>
      <c r="AP277" s="2">
        <v>9.1620064808633852E-6</v>
      </c>
      <c r="AQ277" s="2">
        <v>9.2359399884759747E-6</v>
      </c>
      <c r="AR277" s="2">
        <v>1.3860039412489614E-4</v>
      </c>
    </row>
    <row r="278" spans="1:44" x14ac:dyDescent="0.25">
      <c r="A278" t="s">
        <v>250</v>
      </c>
      <c r="B278" t="s">
        <v>298</v>
      </c>
      <c r="C278" t="s">
        <v>44</v>
      </c>
      <c r="D278" t="s">
        <v>152</v>
      </c>
      <c r="E278" t="s">
        <v>148</v>
      </c>
      <c r="F278" t="s">
        <v>299</v>
      </c>
      <c r="G278" t="s">
        <v>31</v>
      </c>
      <c r="H278" t="s">
        <v>288</v>
      </c>
      <c r="I278" t="s">
        <v>135</v>
      </c>
      <c r="J278" t="s">
        <v>39</v>
      </c>
      <c r="K278" t="s">
        <v>31</v>
      </c>
      <c r="L278">
        <v>0.82</v>
      </c>
      <c r="M278">
        <v>1</v>
      </c>
      <c r="N278">
        <v>2.8160822667537615</v>
      </c>
      <c r="O278">
        <v>5.411417628870181</v>
      </c>
      <c r="P278">
        <v>-1.3633570527640948</v>
      </c>
      <c r="Q278">
        <v>1.0408498674974225</v>
      </c>
      <c r="R278">
        <v>-1.8625523936223551</v>
      </c>
      <c r="S278" s="2">
        <v>1.5705647235600311E-3</v>
      </c>
      <c r="T278" s="2">
        <v>3.7369919561945873E-3</v>
      </c>
      <c r="U278" s="2">
        <v>6.4474471086120597E-3</v>
      </c>
      <c r="V278" s="2">
        <v>1.0370392454720762E-2</v>
      </c>
      <c r="W278" s="2">
        <v>1.5763981089196303E-2</v>
      </c>
      <c r="X278" s="2">
        <v>2.2833186876817031E-2</v>
      </c>
      <c r="Y278" s="2">
        <v>3.1676971123190456E-2</v>
      </c>
      <c r="Z278" s="2">
        <v>4.2232435203856382E-2</v>
      </c>
      <c r="AA278" s="2">
        <v>5.4229949941250181E-2</v>
      </c>
      <c r="AB278" s="2">
        <v>6.7178088478187709E-2</v>
      </c>
      <c r="AC278" s="2">
        <v>8.0396680073237609E-2</v>
      </c>
      <c r="AD278" s="2">
        <v>9.3106682855620349E-2</v>
      </c>
      <c r="AE278" s="2">
        <v>0.1045662033822554</v>
      </c>
      <c r="AF278" s="2">
        <v>0.11421854038819822</v>
      </c>
      <c r="AG278" s="2">
        <v>0.12180281958681492</v>
      </c>
      <c r="AH278" s="2">
        <v>0.12773362502612615</v>
      </c>
      <c r="AI278" s="2">
        <v>0.13152659318517784</v>
      </c>
      <c r="AJ278" s="2">
        <v>0.13483820396238561</v>
      </c>
      <c r="AK278" s="2">
        <v>0.13656275340229351</v>
      </c>
      <c r="AL278" s="2">
        <v>0.1377600563058069</v>
      </c>
      <c r="AM278" s="2">
        <v>0.13897178860255199</v>
      </c>
      <c r="AN278" s="2">
        <v>0.14019810910086869</v>
      </c>
      <c r="AO278" s="2">
        <v>0.14143917839905115</v>
      </c>
      <c r="AP278" s="2">
        <v>0.1426951589053824</v>
      </c>
      <c r="AQ278" s="2">
        <v>0.14396621485841507</v>
      </c>
      <c r="AR278" s="2">
        <v>2.1458226169897712</v>
      </c>
    </row>
    <row r="279" spans="1:44" x14ac:dyDescent="0.25">
      <c r="A279" t="s">
        <v>250</v>
      </c>
      <c r="B279" t="s">
        <v>298</v>
      </c>
      <c r="C279" t="s">
        <v>44</v>
      </c>
      <c r="D279" t="s">
        <v>152</v>
      </c>
      <c r="E279" t="s">
        <v>148</v>
      </c>
      <c r="F279" t="s">
        <v>299</v>
      </c>
      <c r="G279" t="s">
        <v>31</v>
      </c>
      <c r="H279" t="s">
        <v>288</v>
      </c>
      <c r="I279" t="s">
        <v>135</v>
      </c>
      <c r="J279" t="s">
        <v>39</v>
      </c>
      <c r="K279" t="s">
        <v>33</v>
      </c>
      <c r="L279">
        <v>0.82</v>
      </c>
      <c r="M279">
        <v>1</v>
      </c>
      <c r="N279">
        <v>2.8160822667537615</v>
      </c>
      <c r="O279">
        <v>5.411417628870181</v>
      </c>
      <c r="P279">
        <v>-1.3633570527640948</v>
      </c>
      <c r="Q279">
        <v>1.0408498674974225</v>
      </c>
      <c r="R279">
        <v>-1.8625523936223551</v>
      </c>
      <c r="S279" s="2">
        <v>1.477448041790298E-5</v>
      </c>
      <c r="T279" s="2">
        <v>3.5154307014808524E-5</v>
      </c>
      <c r="U279" s="2">
        <v>6.0651865932485845E-5</v>
      </c>
      <c r="V279" s="2">
        <v>9.755545756875228E-5</v>
      </c>
      <c r="W279" s="2">
        <v>1.4829355735343134E-4</v>
      </c>
      <c r="X279" s="2">
        <v>2.1479437767147941E-4</v>
      </c>
      <c r="Y279" s="2">
        <v>2.9798885874451458E-4</v>
      </c>
      <c r="Z279" s="2">
        <v>3.9728530608110527E-4</v>
      </c>
      <c r="AA279" s="2">
        <v>5.101472874385728E-4</v>
      </c>
      <c r="AB279" s="2">
        <v>6.319518946556889E-4</v>
      </c>
      <c r="AC279" s="2">
        <v>7.5630068445316657E-4</v>
      </c>
      <c r="AD279" s="2">
        <v>8.7586512162844492E-4</v>
      </c>
      <c r="AE279" s="2">
        <v>9.8366613045002102E-4</v>
      </c>
      <c r="AF279" s="2">
        <v>1.0744667590022992E-3</v>
      </c>
      <c r="AG279" s="2">
        <v>1.1458129332942303E-3</v>
      </c>
      <c r="AH279" s="2">
        <v>1.2016046924691666E-3</v>
      </c>
      <c r="AI279" s="2">
        <v>1.2372855739705526E-3</v>
      </c>
      <c r="AJ279" s="2">
        <v>1.2684382720069157E-3</v>
      </c>
      <c r="AK279" s="2">
        <v>1.2846613041095464E-3</v>
      </c>
      <c r="AL279" s="2">
        <v>1.2959244682675985E-3</v>
      </c>
      <c r="AM279" s="2">
        <v>1.3073233713636646E-3</v>
      </c>
      <c r="AN279" s="2">
        <v>1.3188595073258917E-3</v>
      </c>
      <c r="AO279" s="2">
        <v>1.3305343869206071E-3</v>
      </c>
      <c r="AP279" s="2">
        <v>1.342349537940934E-3</v>
      </c>
      <c r="AQ279" s="2">
        <v>1.3543065053975521E-3</v>
      </c>
      <c r="AR279" s="2">
        <v>2.0185996641479336E-2</v>
      </c>
    </row>
    <row r="280" spans="1:44" x14ac:dyDescent="0.25">
      <c r="A280" t="s">
        <v>250</v>
      </c>
      <c r="B280" t="s">
        <v>298</v>
      </c>
      <c r="C280" t="s">
        <v>44</v>
      </c>
      <c r="D280" t="s">
        <v>152</v>
      </c>
      <c r="E280" t="s">
        <v>148</v>
      </c>
      <c r="F280" t="s">
        <v>299</v>
      </c>
      <c r="G280" t="s">
        <v>31</v>
      </c>
      <c r="H280" t="s">
        <v>273</v>
      </c>
      <c r="I280" t="s">
        <v>135</v>
      </c>
      <c r="J280" t="s">
        <v>39</v>
      </c>
      <c r="K280" t="s">
        <v>31</v>
      </c>
      <c r="L280">
        <v>0.82</v>
      </c>
      <c r="M280">
        <v>1</v>
      </c>
      <c r="N280">
        <v>2.8160822667537615</v>
      </c>
      <c r="O280">
        <v>5.411417628870181</v>
      </c>
      <c r="P280">
        <v>-1.3633570527640948</v>
      </c>
      <c r="Q280">
        <v>1.0408498674974225</v>
      </c>
      <c r="R280">
        <v>-1.8625523936223551</v>
      </c>
      <c r="S280" s="2">
        <v>4.2948432336871425E-5</v>
      </c>
      <c r="T280" s="2">
        <v>1.1359213086420786E-4</v>
      </c>
      <c r="U280" s="2">
        <v>1.9567191160612665E-4</v>
      </c>
      <c r="V280" s="2">
        <v>3.1423765998975499E-4</v>
      </c>
      <c r="W280" s="2">
        <v>4.7693476298660547E-4</v>
      </c>
      <c r="X280" s="2">
        <v>6.8975887731768731E-4</v>
      </c>
      <c r="Y280" s="2">
        <v>9.5547590069852044E-4</v>
      </c>
      <c r="Z280" s="2">
        <v>1.2719649010715988E-3</v>
      </c>
      <c r="AA280" s="2">
        <v>1.630905050390977E-3</v>
      </c>
      <c r="AB280" s="2">
        <v>2.0173679046037295E-3</v>
      </c>
      <c r="AC280" s="2">
        <v>2.410854793069035E-3</v>
      </c>
      <c r="AD280" s="2">
        <v>2.7880252872339861E-3</v>
      </c>
      <c r="AE280" s="2">
        <v>3.1267813526067775E-3</v>
      </c>
      <c r="AF280" s="2">
        <v>3.4106759631833228E-3</v>
      </c>
      <c r="AG280" s="2">
        <v>3.632170254527326E-3</v>
      </c>
      <c r="AH280" s="2">
        <v>3.8038761761628884E-3</v>
      </c>
      <c r="AI280" s="2">
        <v>3.9115980103722426E-3</v>
      </c>
      <c r="AJ280" s="2">
        <v>4.0047951355257827E-3</v>
      </c>
      <c r="AK280" s="2">
        <v>4.0507314656146954E-3</v>
      </c>
      <c r="AL280" s="2">
        <v>4.0809891573721944E-3</v>
      </c>
      <c r="AM280" s="2">
        <v>4.1116559433593478E-3</v>
      </c>
      <c r="AN280" s="2">
        <v>4.142736090322007E-3</v>
      </c>
      <c r="AO280" s="2">
        <v>4.1742339143309767E-3</v>
      </c>
      <c r="AP280" s="2">
        <v>4.2061537813284696E-3</v>
      </c>
      <c r="AQ280" s="2">
        <v>4.2385001076806726E-3</v>
      </c>
      <c r="AR280" s="2">
        <v>6.3802634964555821E-2</v>
      </c>
    </row>
    <row r="281" spans="1:44" x14ac:dyDescent="0.25">
      <c r="A281" t="s">
        <v>250</v>
      </c>
      <c r="B281" t="s">
        <v>298</v>
      </c>
      <c r="C281" t="s">
        <v>44</v>
      </c>
      <c r="D281" t="s">
        <v>152</v>
      </c>
      <c r="E281" t="s">
        <v>148</v>
      </c>
      <c r="F281" t="s">
        <v>299</v>
      </c>
      <c r="G281" t="s">
        <v>31</v>
      </c>
      <c r="H281" t="s">
        <v>252</v>
      </c>
      <c r="I281" t="s">
        <v>135</v>
      </c>
      <c r="J281" t="s">
        <v>39</v>
      </c>
      <c r="K281" t="s">
        <v>31</v>
      </c>
      <c r="L281">
        <v>0.82</v>
      </c>
      <c r="M281">
        <v>1</v>
      </c>
      <c r="N281">
        <v>2.8160822667537615</v>
      </c>
      <c r="O281">
        <v>5.411417628870181</v>
      </c>
      <c r="P281">
        <v>-1.3633570527640948</v>
      </c>
      <c r="Q281">
        <v>1.0408498674974225</v>
      </c>
      <c r="R281">
        <v>-1.8625523936223551</v>
      </c>
      <c r="S281" s="2">
        <v>1.4571063385231925E-4</v>
      </c>
      <c r="T281" s="2">
        <v>3.6362534179198866E-4</v>
      </c>
      <c r="U281" s="2">
        <v>6.269315978110491E-4</v>
      </c>
      <c r="V281" s="2">
        <v>1.0077001551716941E-3</v>
      </c>
      <c r="W281" s="2">
        <v>1.5307672259576945E-3</v>
      </c>
      <c r="X281" s="2">
        <v>2.2157473343623921E-3</v>
      </c>
      <c r="Y281" s="2">
        <v>3.0719286730725571E-3</v>
      </c>
      <c r="Z281" s="2">
        <v>4.0928957277209408E-3</v>
      </c>
      <c r="AA281" s="2">
        <v>5.2522346614573339E-3</v>
      </c>
      <c r="AB281" s="2">
        <v>6.5021380777630609E-3</v>
      </c>
      <c r="AC281" s="2">
        <v>7.7766676007153908E-3</v>
      </c>
      <c r="AD281" s="2">
        <v>9.0004946591418656E-3</v>
      </c>
      <c r="AE281" s="2">
        <v>1.0102065408707856E-2</v>
      </c>
      <c r="AF281" s="2">
        <v>1.1027877747691739E-2</v>
      </c>
      <c r="AG281" s="2">
        <v>1.1753097746611809E-2</v>
      </c>
      <c r="AH281" s="2">
        <v>1.2318081153636785E-2</v>
      </c>
      <c r="AI281" s="2">
        <v>1.267644099241535E-2</v>
      </c>
      <c r="AJ281" s="2">
        <v>1.2988104607767264E-2</v>
      </c>
      <c r="AK281" s="2">
        <v>1.314671410658616E-2</v>
      </c>
      <c r="AL281" s="2">
        <v>1.3254503508792733E-2</v>
      </c>
      <c r="AM281" s="2">
        <v>1.3363648370367119E-2</v>
      </c>
      <c r="AN281" s="2">
        <v>1.3474163349157261E-2</v>
      </c>
      <c r="AO281" s="2">
        <v>1.3586063269395264E-2</v>
      </c>
      <c r="AP281" s="2">
        <v>1.3699363123558812E-2</v>
      </c>
      <c r="AQ281" s="2">
        <v>1.3814078074247664E-2</v>
      </c>
      <c r="AR281" s="2">
        <v>0.20679104314775412</v>
      </c>
    </row>
    <row r="282" spans="1:44" x14ac:dyDescent="0.25">
      <c r="A282" t="s">
        <v>250</v>
      </c>
      <c r="B282" t="s">
        <v>298</v>
      </c>
      <c r="C282" t="s">
        <v>44</v>
      </c>
      <c r="D282" t="s">
        <v>152</v>
      </c>
      <c r="E282" t="s">
        <v>148</v>
      </c>
      <c r="F282" t="s">
        <v>299</v>
      </c>
      <c r="G282" t="s">
        <v>31</v>
      </c>
      <c r="H282" t="s">
        <v>289</v>
      </c>
      <c r="I282" t="s">
        <v>135</v>
      </c>
      <c r="J282" t="s">
        <v>39</v>
      </c>
      <c r="K282" t="s">
        <v>31</v>
      </c>
      <c r="L282">
        <v>0.82</v>
      </c>
      <c r="M282">
        <v>1</v>
      </c>
      <c r="N282">
        <v>2.8160822667537615</v>
      </c>
      <c r="O282">
        <v>5.411417628870181</v>
      </c>
      <c r="P282">
        <v>-1.3633570527640948</v>
      </c>
      <c r="Q282">
        <v>1.0408498674974225</v>
      </c>
      <c r="R282">
        <v>-1.8625523936223551</v>
      </c>
      <c r="S282" s="2">
        <v>1.4927536886114607E-3</v>
      </c>
      <c r="T282" s="2">
        <v>3.5518488625391202E-3</v>
      </c>
      <c r="U282" s="2">
        <v>6.1280189915969355E-3</v>
      </c>
      <c r="V282" s="2">
        <v>9.8566084905071516E-3</v>
      </c>
      <c r="W282" s="2">
        <v>1.4982980685290742E-2</v>
      </c>
      <c r="X282" s="2">
        <v>2.1701954349174581E-2</v>
      </c>
      <c r="Y282" s="2">
        <v>3.0107587913344312E-2</v>
      </c>
      <c r="Z282" s="2">
        <v>4.0140098961793387E-2</v>
      </c>
      <c r="AA282" s="2">
        <v>5.1543216649181239E-2</v>
      </c>
      <c r="AB282" s="2">
        <v>6.3849861050217893E-2</v>
      </c>
      <c r="AC282" s="2">
        <v>7.6413559359340924E-2</v>
      </c>
      <c r="AD282" s="2">
        <v>8.8493866048426073E-2</v>
      </c>
      <c r="AE282" s="2">
        <v>9.9385643559561435E-2</v>
      </c>
      <c r="AF282" s="2">
        <v>0.10855977147240578</v>
      </c>
      <c r="AG282" s="2">
        <v>0.11576830008594294</v>
      </c>
      <c r="AH282" s="2">
        <v>0.12140527356634981</v>
      </c>
      <c r="AI282" s="2">
        <v>0.12501032538323423</v>
      </c>
      <c r="AJ282" s="2">
        <v>0.1281578678746543</v>
      </c>
      <c r="AK282" s="2">
        <v>0.12979697736119408</v>
      </c>
      <c r="AL282" s="2">
        <v>0.13093496187007334</v>
      </c>
      <c r="AM282" s="2">
        <v>0.13208666089173279</v>
      </c>
      <c r="AN282" s="2">
        <v>0.13325222536661169</v>
      </c>
      <c r="AO282" s="2">
        <v>0.13443180793643261</v>
      </c>
      <c r="AP282" s="2">
        <v>0.13562556296322312</v>
      </c>
      <c r="AQ282" s="2">
        <v>0.13683364654860922</v>
      </c>
      <c r="AR282" s="2">
        <v>2.0395113799300488</v>
      </c>
    </row>
    <row r="283" spans="1:44" x14ac:dyDescent="0.25">
      <c r="A283" t="s">
        <v>250</v>
      </c>
      <c r="B283" t="s">
        <v>298</v>
      </c>
      <c r="C283" t="s">
        <v>44</v>
      </c>
      <c r="D283" t="s">
        <v>152</v>
      </c>
      <c r="E283" t="s">
        <v>148</v>
      </c>
      <c r="F283" t="s">
        <v>299</v>
      </c>
      <c r="G283" t="s">
        <v>31</v>
      </c>
      <c r="H283" t="s">
        <v>274</v>
      </c>
      <c r="I283" t="s">
        <v>135</v>
      </c>
      <c r="J283" t="s">
        <v>39</v>
      </c>
      <c r="K283" t="s">
        <v>31</v>
      </c>
      <c r="L283">
        <v>0.82</v>
      </c>
      <c r="M283">
        <v>1</v>
      </c>
      <c r="N283">
        <v>2.8160822667537615</v>
      </c>
      <c r="O283">
        <v>5.411417628870181</v>
      </c>
      <c r="P283">
        <v>-1.3633570527640948</v>
      </c>
      <c r="Q283">
        <v>1.0408498674974225</v>
      </c>
      <c r="R283">
        <v>-1.8625523936223551</v>
      </c>
      <c r="S283" s="2">
        <v>6.7608523292548135E-5</v>
      </c>
      <c r="T283" s="2">
        <v>1.7881435497215761E-4</v>
      </c>
      <c r="U283" s="2">
        <v>3.0802262792169448E-4</v>
      </c>
      <c r="V283" s="2">
        <v>4.9466634749724988E-4</v>
      </c>
      <c r="W283" s="2">
        <v>7.507807218547466E-4</v>
      </c>
      <c r="X283" s="2">
        <v>1.0858039883178501E-3</v>
      </c>
      <c r="Y283" s="2">
        <v>1.5040901651813114E-3</v>
      </c>
      <c r="Z283" s="2">
        <v>2.002300525590456E-3</v>
      </c>
      <c r="AA283" s="2">
        <v>2.5673365961865523E-3</v>
      </c>
      <c r="AB283" s="2">
        <v>3.1756983327875347E-3</v>
      </c>
      <c r="AC283" s="2">
        <v>3.7951171570988203E-3</v>
      </c>
      <c r="AD283" s="2">
        <v>4.3888510549975968E-3</v>
      </c>
      <c r="AE283" s="2">
        <v>4.9221137630892425E-3</v>
      </c>
      <c r="AF283" s="2">
        <v>5.3690147172670418E-3</v>
      </c>
      <c r="AG283" s="2">
        <v>5.7176863949210018E-3</v>
      </c>
      <c r="AH283" s="2">
        <v>5.9879822630287214E-3</v>
      </c>
      <c r="AI283" s="2">
        <v>6.1575557198696859E-3</v>
      </c>
      <c r="AJ283" s="2">
        <v>6.3042646837106718E-3</v>
      </c>
      <c r="AK283" s="2">
        <v>6.3765766931091874E-3</v>
      </c>
      <c r="AL283" s="2">
        <v>6.4242077181933385E-3</v>
      </c>
      <c r="AM283" s="2">
        <v>6.4724827308517349E-3</v>
      </c>
      <c r="AN283" s="2">
        <v>6.5214084477062759E-3</v>
      </c>
      <c r="AO283" s="2">
        <v>6.5709916630253429E-3</v>
      </c>
      <c r="AP283" s="2">
        <v>6.6212392495837834E-3</v>
      </c>
      <c r="AQ283" s="2">
        <v>6.6721581595327309E-3</v>
      </c>
      <c r="AR283" s="2">
        <v>0.10043677259958729</v>
      </c>
    </row>
    <row r="284" spans="1:44" x14ac:dyDescent="0.25">
      <c r="A284" t="s">
        <v>250</v>
      </c>
      <c r="B284" t="s">
        <v>298</v>
      </c>
      <c r="C284" t="s">
        <v>44</v>
      </c>
      <c r="D284" t="s">
        <v>152</v>
      </c>
      <c r="E284" t="s">
        <v>148</v>
      </c>
      <c r="F284" t="s">
        <v>299</v>
      </c>
      <c r="G284" t="s">
        <v>31</v>
      </c>
      <c r="H284" t="s">
        <v>274</v>
      </c>
      <c r="I284" t="s">
        <v>135</v>
      </c>
      <c r="J284" t="s">
        <v>39</v>
      </c>
      <c r="K284" t="s">
        <v>33</v>
      </c>
      <c r="L284">
        <v>0.82</v>
      </c>
      <c r="M284">
        <v>1</v>
      </c>
      <c r="N284">
        <v>2.8160822667537615</v>
      </c>
      <c r="O284">
        <v>5.411417628870181</v>
      </c>
      <c r="P284">
        <v>-1.3633570527640948</v>
      </c>
      <c r="Q284">
        <v>1.0408498674974225</v>
      </c>
      <c r="R284">
        <v>-1.8625523936223551</v>
      </c>
      <c r="S284" s="2">
        <v>2.1752924890603566E-7</v>
      </c>
      <c r="T284" s="2">
        <v>5.7533207998639562E-7</v>
      </c>
      <c r="U284" s="2">
        <v>9.9105745303647203E-7</v>
      </c>
      <c r="V284" s="2">
        <v>1.591580377588711E-6</v>
      </c>
      <c r="W284" s="2">
        <v>2.4156239267570784E-6</v>
      </c>
      <c r="X284" s="2">
        <v>3.4935554651287016E-6</v>
      </c>
      <c r="Y284" s="2">
        <v>4.8393839709098954E-6</v>
      </c>
      <c r="Z284" s="2">
        <v>6.4423671484607124E-6</v>
      </c>
      <c r="AA284" s="2">
        <v>8.2603608873526899E-6</v>
      </c>
      <c r="AB284" s="2">
        <v>1.0217754203774484E-5</v>
      </c>
      <c r="AC284" s="2">
        <v>1.2210723507772743E-5</v>
      </c>
      <c r="AD284" s="2">
        <v>1.4121052007348302E-5</v>
      </c>
      <c r="AE284" s="2">
        <v>1.5836815504486533E-5</v>
      </c>
      <c r="AF284" s="2">
        <v>1.7274711559056988E-5</v>
      </c>
      <c r="AG284" s="2">
        <v>1.8396556623275702E-5</v>
      </c>
      <c r="AH284" s="2">
        <v>1.9266228882163173E-5</v>
      </c>
      <c r="AI284" s="2">
        <v>1.9811828532985432E-5</v>
      </c>
      <c r="AJ284" s="2">
        <v>2.0283862074881013E-5</v>
      </c>
      <c r="AK284" s="2">
        <v>2.0516524708603733E-5</v>
      </c>
      <c r="AL284" s="2">
        <v>2.0669776704159659E-5</v>
      </c>
      <c r="AM284" s="2">
        <v>2.0825100718545742E-5</v>
      </c>
      <c r="AN284" s="2">
        <v>2.0982518362376192E-5</v>
      </c>
      <c r="AO284" s="2">
        <v>2.1142051496091064E-5</v>
      </c>
      <c r="AP284" s="2">
        <v>2.1303722232724197E-5</v>
      </c>
      <c r="AQ284" s="2">
        <v>2.1467552940701679E-5</v>
      </c>
      <c r="AR284" s="2">
        <v>3.231535706170733E-4</v>
      </c>
    </row>
    <row r="285" spans="1:44" x14ac:dyDescent="0.25">
      <c r="A285" t="s">
        <v>250</v>
      </c>
      <c r="B285" t="s">
        <v>298</v>
      </c>
      <c r="C285" t="s">
        <v>44</v>
      </c>
      <c r="D285" t="s">
        <v>152</v>
      </c>
      <c r="E285" t="s">
        <v>148</v>
      </c>
      <c r="F285" t="s">
        <v>299</v>
      </c>
      <c r="G285" t="s">
        <v>31</v>
      </c>
      <c r="H285" t="s">
        <v>255</v>
      </c>
      <c r="I285" t="s">
        <v>135</v>
      </c>
      <c r="J285" t="s">
        <v>39</v>
      </c>
      <c r="K285" t="s">
        <v>31</v>
      </c>
      <c r="L285">
        <v>0.82</v>
      </c>
      <c r="M285">
        <v>1</v>
      </c>
      <c r="N285">
        <v>2.8160822667537615</v>
      </c>
      <c r="O285">
        <v>5.411417628870181</v>
      </c>
      <c r="P285">
        <v>-1.3633570527640948</v>
      </c>
      <c r="Q285">
        <v>1.0408498674974225</v>
      </c>
      <c r="R285">
        <v>-1.8625523936223551</v>
      </c>
      <c r="S285" s="2">
        <v>5.161378115960334E-5</v>
      </c>
      <c r="T285" s="2">
        <v>1.7418886804192036E-4</v>
      </c>
      <c r="U285" s="2">
        <v>2.987491569720023E-4</v>
      </c>
      <c r="V285" s="2">
        <v>4.7770969654780055E-4</v>
      </c>
      <c r="W285" s="2">
        <v>7.219614960897329E-4</v>
      </c>
      <c r="X285" s="2">
        <v>1.0397363474091046E-3</v>
      </c>
      <c r="Y285" s="2">
        <v>1.434294039278207E-3</v>
      </c>
      <c r="Z285" s="2">
        <v>1.9015501482639861E-3</v>
      </c>
      <c r="AA285" s="2">
        <v>2.4282713268769305E-3</v>
      </c>
      <c r="AB285" s="2">
        <v>2.9916528564145513E-3</v>
      </c>
      <c r="AC285" s="2">
        <v>3.5610360595127542E-3</v>
      </c>
      <c r="AD285" s="2">
        <v>4.1020685231889708E-3</v>
      </c>
      <c r="AE285" s="2">
        <v>4.582750736817868E-3</v>
      </c>
      <c r="AF285" s="2">
        <v>4.9798161808229354E-3</v>
      </c>
      <c r="AG285" s="2">
        <v>5.2832936789718185E-3</v>
      </c>
      <c r="AH285" s="2">
        <v>5.5125451947248714E-3</v>
      </c>
      <c r="AI285" s="2">
        <v>5.6479225423116709E-3</v>
      </c>
      <c r="AJ285" s="2">
        <v>5.761624852403468E-3</v>
      </c>
      <c r="AK285" s="2">
        <v>5.8069709996298622E-3</v>
      </c>
      <c r="AL285" s="2">
        <v>5.8298111140559347E-3</v>
      </c>
      <c r="AM285" s="2">
        <v>5.8532878943596996E-3</v>
      </c>
      <c r="AN285" s="2">
        <v>5.8774050555444376E-3</v>
      </c>
      <c r="AO285" s="2">
        <v>5.9021663850976E-3</v>
      </c>
      <c r="AP285" s="2">
        <v>5.9275757435261417E-3</v>
      </c>
      <c r="AQ285" s="2">
        <v>5.9536370649006867E-3</v>
      </c>
      <c r="AR285" s="2">
        <v>9.210163974292257E-2</v>
      </c>
    </row>
    <row r="286" spans="1:44" x14ac:dyDescent="0.25">
      <c r="A286" t="s">
        <v>250</v>
      </c>
      <c r="B286" t="s">
        <v>298</v>
      </c>
      <c r="C286" t="s">
        <v>44</v>
      </c>
      <c r="D286" t="s">
        <v>152</v>
      </c>
      <c r="E286" t="s">
        <v>148</v>
      </c>
      <c r="F286" t="s">
        <v>299</v>
      </c>
      <c r="G286" t="s">
        <v>31</v>
      </c>
      <c r="H286" t="s">
        <v>278</v>
      </c>
      <c r="I286" t="s">
        <v>135</v>
      </c>
      <c r="J286" t="s">
        <v>39</v>
      </c>
      <c r="K286" t="s">
        <v>31</v>
      </c>
      <c r="L286">
        <v>0.82</v>
      </c>
      <c r="M286">
        <v>1</v>
      </c>
      <c r="N286">
        <v>2.8160822667537615</v>
      </c>
      <c r="O286">
        <v>5.411417628870181</v>
      </c>
      <c r="P286">
        <v>-1.3633570527640948</v>
      </c>
      <c r="Q286">
        <v>1.0408498674974225</v>
      </c>
      <c r="R286">
        <v>-1.8625523936223551</v>
      </c>
      <c r="S286" s="2">
        <v>4.5568039950369681E-4</v>
      </c>
      <c r="T286" s="2">
        <v>1.5378538676132439E-3</v>
      </c>
      <c r="U286" s="2">
        <v>2.6375540048002386E-3</v>
      </c>
      <c r="V286" s="2">
        <v>4.2175353263997186E-3</v>
      </c>
      <c r="W286" s="2">
        <v>6.3739508242411629E-3</v>
      </c>
      <c r="X286" s="2">
        <v>9.179476169374581E-3</v>
      </c>
      <c r="Y286" s="2">
        <v>1.2662890920605536E-2</v>
      </c>
      <c r="Z286" s="2">
        <v>1.6788135102092296E-2</v>
      </c>
      <c r="AA286" s="2">
        <v>2.1438376020408361E-2</v>
      </c>
      <c r="AB286" s="2">
        <v>2.6412278623258918E-2</v>
      </c>
      <c r="AC286" s="2">
        <v>3.1439167946794307E-2</v>
      </c>
      <c r="AD286" s="2">
        <v>3.6215758300251852E-2</v>
      </c>
      <c r="AE286" s="2">
        <v>4.045953696206725E-2</v>
      </c>
      <c r="AF286" s="2">
        <v>4.3965091798165289E-2</v>
      </c>
      <c r="AG286" s="2">
        <v>4.6644390708067376E-2</v>
      </c>
      <c r="AH286" s="2">
        <v>4.8668373836956033E-2</v>
      </c>
      <c r="AI286" s="2">
        <v>4.9863574080885792E-2</v>
      </c>
      <c r="AJ286" s="2">
        <v>5.0867412841059799E-2</v>
      </c>
      <c r="AK286" s="2">
        <v>5.126775844682302E-2</v>
      </c>
      <c r="AL286" s="2">
        <v>5.1469405995840815E-2</v>
      </c>
      <c r="AM286" s="2">
        <v>5.1676674449875948E-2</v>
      </c>
      <c r="AN286" s="2">
        <v>5.1889596607420804E-2</v>
      </c>
      <c r="AO286" s="2">
        <v>5.2108205906905604E-2</v>
      </c>
      <c r="AP286" s="2">
        <v>5.2332536431422758E-2</v>
      </c>
      <c r="AQ286" s="2">
        <v>5.2562622913535584E-2</v>
      </c>
      <c r="AR286" s="2">
        <v>0.81313383848437004</v>
      </c>
    </row>
    <row r="287" spans="1:44" x14ac:dyDescent="0.25">
      <c r="A287" t="s">
        <v>250</v>
      </c>
      <c r="B287" t="s">
        <v>298</v>
      </c>
      <c r="C287" t="s">
        <v>44</v>
      </c>
      <c r="D287" t="s">
        <v>152</v>
      </c>
      <c r="E287" t="s">
        <v>148</v>
      </c>
      <c r="F287" t="s">
        <v>299</v>
      </c>
      <c r="G287" t="s">
        <v>31</v>
      </c>
      <c r="H287" t="s">
        <v>276</v>
      </c>
      <c r="I287" t="s">
        <v>135</v>
      </c>
      <c r="J287" t="s">
        <v>39</v>
      </c>
      <c r="K287" t="s">
        <v>31</v>
      </c>
      <c r="L287">
        <v>0.82</v>
      </c>
      <c r="M287">
        <v>1</v>
      </c>
      <c r="N287">
        <v>2.8160822667537615</v>
      </c>
      <c r="O287">
        <v>5.411417628870181</v>
      </c>
      <c r="P287">
        <v>-1.3633570527640948</v>
      </c>
      <c r="Q287">
        <v>1.0408498674974225</v>
      </c>
      <c r="R287">
        <v>-1.8625523936223551</v>
      </c>
      <c r="S287" s="2">
        <v>6.3953717392772162E-3</v>
      </c>
      <c r="T287" s="2">
        <v>1.4262159118692212E-2</v>
      </c>
      <c r="U287" s="2">
        <v>2.4628360473289004E-2</v>
      </c>
      <c r="V287" s="2">
        <v>3.9648174044894464E-2</v>
      </c>
      <c r="W287" s="2">
        <v>6.0321190480384666E-2</v>
      </c>
      <c r="X287" s="2">
        <v>8.7446467733963057E-2</v>
      </c>
      <c r="Y287" s="2">
        <v>0.12141906953038863</v>
      </c>
      <c r="Z287" s="2">
        <v>0.16201405263356281</v>
      </c>
      <c r="AA287" s="2">
        <v>0.20821159017669502</v>
      </c>
      <c r="AB287" s="2">
        <v>0.25813585454582288</v>
      </c>
      <c r="AC287" s="2">
        <v>0.30917878141623656</v>
      </c>
      <c r="AD287" s="2">
        <v>0.35834323561035575</v>
      </c>
      <c r="AE287" s="2">
        <v>0.40276565584510204</v>
      </c>
      <c r="AF287" s="2">
        <v>0.44028754972841139</v>
      </c>
      <c r="AG287" s="2">
        <v>0.46988529282896402</v>
      </c>
      <c r="AH287" s="2">
        <v>0.49314029740602905</v>
      </c>
      <c r="AI287" s="2">
        <v>0.508166036662416</v>
      </c>
      <c r="AJ287" s="2">
        <v>0.52134825864175294</v>
      </c>
      <c r="AK287" s="2">
        <v>0.52840420099001884</v>
      </c>
      <c r="AL287" s="2">
        <v>0.5334239291304087</v>
      </c>
      <c r="AM287" s="2">
        <v>0.53850185259360561</v>
      </c>
      <c r="AN287" s="2">
        <v>0.54363862000492003</v>
      </c>
      <c r="AO287" s="2">
        <v>0.54883488727188556</v>
      </c>
      <c r="AP287" s="2">
        <v>0.55409131766597564</v>
      </c>
      <c r="AQ287" s="2">
        <v>0.55940858190518072</v>
      </c>
      <c r="AR287" s="2">
        <v>8.2919007881782321</v>
      </c>
    </row>
    <row r="288" spans="1:44" x14ac:dyDescent="0.25">
      <c r="A288" t="s">
        <v>250</v>
      </c>
      <c r="B288" t="s">
        <v>298</v>
      </c>
      <c r="C288" t="s">
        <v>44</v>
      </c>
      <c r="D288" t="s">
        <v>152</v>
      </c>
      <c r="E288" t="s">
        <v>148</v>
      </c>
      <c r="F288" t="s">
        <v>299</v>
      </c>
      <c r="G288" t="s">
        <v>31</v>
      </c>
      <c r="H288" t="s">
        <v>290</v>
      </c>
      <c r="I288" t="s">
        <v>135</v>
      </c>
      <c r="J288" t="s">
        <v>39</v>
      </c>
      <c r="K288" t="s">
        <v>31</v>
      </c>
      <c r="L288">
        <v>0.82</v>
      </c>
      <c r="M288">
        <v>1</v>
      </c>
      <c r="N288">
        <v>2.8160822667537615</v>
      </c>
      <c r="O288">
        <v>5.411417628870181</v>
      </c>
      <c r="P288">
        <v>-1.3633570527640948</v>
      </c>
      <c r="Q288">
        <v>1.0408498674974225</v>
      </c>
      <c r="R288">
        <v>-1.8625523936223551</v>
      </c>
      <c r="S288" s="2">
        <v>2.1616090121063412E-3</v>
      </c>
      <c r="T288" s="2">
        <v>5.1433190682958416E-3</v>
      </c>
      <c r="U288" s="2">
        <v>8.8737888773305941E-3</v>
      </c>
      <c r="V288" s="2">
        <v>1.4273040424842552E-2</v>
      </c>
      <c r="W288" s="2">
        <v>2.169637651853086E-2</v>
      </c>
      <c r="X288" s="2">
        <v>3.1425908011074873E-2</v>
      </c>
      <c r="Y288" s="2">
        <v>4.3597837917121872E-2</v>
      </c>
      <c r="Z288" s="2">
        <v>5.8125597226534285E-2</v>
      </c>
      <c r="AA288" s="2">
        <v>7.463808830072749E-2</v>
      </c>
      <c r="AB288" s="2">
        <v>9.2458947595213725E-2</v>
      </c>
      <c r="AC288" s="2">
        <v>0.11065203845647135</v>
      </c>
      <c r="AD288" s="2">
        <v>0.12814514532825819</v>
      </c>
      <c r="AE288" s="2">
        <v>0.14391718100001577</v>
      </c>
      <c r="AF288" s="2">
        <v>0.15720194306486038</v>
      </c>
      <c r="AG288" s="2">
        <v>0.16764038346793766</v>
      </c>
      <c r="AH288" s="2">
        <v>0.17580310500010665</v>
      </c>
      <c r="AI288" s="2">
        <v>0.18102346556993476</v>
      </c>
      <c r="AJ288" s="2">
        <v>0.18558132147566175</v>
      </c>
      <c r="AK288" s="2">
        <v>0.18795486365141834</v>
      </c>
      <c r="AL288" s="2">
        <v>0.18960274272805347</v>
      </c>
      <c r="AM288" s="2">
        <v>0.19127048135328281</v>
      </c>
      <c r="AN288" s="2">
        <v>0.19295829809914916</v>
      </c>
      <c r="AO288" s="2">
        <v>0.19466641400125728</v>
      </c>
      <c r="AP288" s="2">
        <v>0.1963950525863401</v>
      </c>
      <c r="AQ288" s="2">
        <v>0.19814443990018382</v>
      </c>
      <c r="AR288" s="2">
        <v>2.9533513886347103</v>
      </c>
    </row>
    <row r="289" spans="1:44" x14ac:dyDescent="0.25">
      <c r="A289" t="s">
        <v>250</v>
      </c>
      <c r="B289" t="s">
        <v>298</v>
      </c>
      <c r="C289" t="s">
        <v>44</v>
      </c>
      <c r="D289" t="s">
        <v>152</v>
      </c>
      <c r="E289" t="s">
        <v>148</v>
      </c>
      <c r="F289" t="s">
        <v>299</v>
      </c>
      <c r="G289" t="s">
        <v>31</v>
      </c>
      <c r="H289" t="s">
        <v>275</v>
      </c>
      <c r="I289" t="s">
        <v>135</v>
      </c>
      <c r="J289" t="s">
        <v>39</v>
      </c>
      <c r="K289" t="s">
        <v>31</v>
      </c>
      <c r="L289">
        <v>0.82</v>
      </c>
      <c r="M289">
        <v>1</v>
      </c>
      <c r="N289">
        <v>2.8160822667537615</v>
      </c>
      <c r="O289">
        <v>5.411417628870181</v>
      </c>
      <c r="P289">
        <v>-1.3633570527640948</v>
      </c>
      <c r="Q289">
        <v>1.0408498674974225</v>
      </c>
      <c r="R289">
        <v>-1.8625523936223551</v>
      </c>
      <c r="S289" s="2">
        <v>1.0328468909761606E-4</v>
      </c>
      <c r="T289" s="2">
        <v>2.731724368475517E-4</v>
      </c>
      <c r="U289" s="2">
        <v>4.7056228727642536E-4</v>
      </c>
      <c r="V289" s="2">
        <v>7.5569554577060831E-4</v>
      </c>
      <c r="W289" s="2">
        <v>1.1469582481739786E-3</v>
      </c>
      <c r="X289" s="2">
        <v>1.65876907071453E-3</v>
      </c>
      <c r="Y289" s="2">
        <v>2.2977795922760141E-3</v>
      </c>
      <c r="Z289" s="2">
        <v>3.058889281913924E-3</v>
      </c>
      <c r="AA289" s="2">
        <v>3.9220877669322992E-3</v>
      </c>
      <c r="AB289" s="2">
        <v>4.8514743259586591E-3</v>
      </c>
      <c r="AC289" s="2">
        <v>5.7977526585495393E-3</v>
      </c>
      <c r="AD289" s="2">
        <v>6.7047924527163542E-3</v>
      </c>
      <c r="AE289" s="2">
        <v>7.5194511722134084E-3</v>
      </c>
      <c r="AF289" s="2">
        <v>8.2021761285026046E-3</v>
      </c>
      <c r="AG289" s="2">
        <v>8.7348374568354276E-3</v>
      </c>
      <c r="AH289" s="2">
        <v>9.1477650485397768E-3</v>
      </c>
      <c r="AI289" s="2">
        <v>9.4068202817570723E-3</v>
      </c>
      <c r="AJ289" s="2">
        <v>9.6309457171343676E-3</v>
      </c>
      <c r="AK289" s="2">
        <v>9.7414158626871906E-3</v>
      </c>
      <c r="AL289" s="2">
        <v>9.8141811795086614E-3</v>
      </c>
      <c r="AM289" s="2">
        <v>9.8879303080326112E-3</v>
      </c>
      <c r="AN289" s="2">
        <v>9.9626735091570898E-3</v>
      </c>
      <c r="AO289" s="2">
        <v>1.0038421162401162E-2</v>
      </c>
      <c r="AP289" s="2">
        <v>1.0115183767215362E-2</v>
      </c>
      <c r="AQ289" s="2">
        <v>1.0192971944314408E-2</v>
      </c>
      <c r="AR289" s="2">
        <v>0.15343599189452661</v>
      </c>
    </row>
    <row r="290" spans="1:44" x14ac:dyDescent="0.25">
      <c r="A290" t="s">
        <v>250</v>
      </c>
      <c r="B290" t="s">
        <v>298</v>
      </c>
      <c r="C290" t="s">
        <v>44</v>
      </c>
      <c r="D290" t="s">
        <v>152</v>
      </c>
      <c r="E290" t="s">
        <v>148</v>
      </c>
      <c r="F290" t="s">
        <v>299</v>
      </c>
      <c r="G290" t="s">
        <v>31</v>
      </c>
      <c r="H290" t="s">
        <v>277</v>
      </c>
      <c r="I290" t="s">
        <v>135</v>
      </c>
      <c r="J290" t="s">
        <v>39</v>
      </c>
      <c r="K290" t="s">
        <v>31</v>
      </c>
      <c r="L290">
        <v>0.82</v>
      </c>
      <c r="M290">
        <v>1</v>
      </c>
      <c r="N290">
        <v>2.8160822667537615</v>
      </c>
      <c r="O290">
        <v>5.411417628870181</v>
      </c>
      <c r="P290">
        <v>-1.3633570527640948</v>
      </c>
      <c r="Q290">
        <v>1.0408498674974225</v>
      </c>
      <c r="R290">
        <v>-1.8625523936223551</v>
      </c>
      <c r="S290" s="2">
        <v>0</v>
      </c>
      <c r="T290" s="2">
        <v>0</v>
      </c>
      <c r="U290" s="2">
        <v>0</v>
      </c>
      <c r="V290" s="2">
        <v>0</v>
      </c>
      <c r="W290" s="2">
        <v>0</v>
      </c>
      <c r="X290" s="2">
        <v>0</v>
      </c>
      <c r="Y290" s="2">
        <v>0</v>
      </c>
      <c r="Z290" s="2">
        <v>0</v>
      </c>
      <c r="AA290" s="2">
        <v>0</v>
      </c>
      <c r="AB290" s="2">
        <v>0</v>
      </c>
      <c r="AC290" s="2">
        <v>0</v>
      </c>
      <c r="AD290" s="2">
        <v>0</v>
      </c>
      <c r="AE290" s="2">
        <v>0</v>
      </c>
      <c r="AF290" s="2">
        <v>0</v>
      </c>
      <c r="AG290" s="2">
        <v>0</v>
      </c>
      <c r="AH290" s="2">
        <v>0</v>
      </c>
      <c r="AI290" s="2">
        <v>0</v>
      </c>
      <c r="AJ290" s="2">
        <v>0</v>
      </c>
      <c r="AK290" s="2">
        <v>0</v>
      </c>
      <c r="AL290" s="2">
        <v>0</v>
      </c>
      <c r="AM290" s="2">
        <v>0</v>
      </c>
      <c r="AN290" s="2">
        <v>0</v>
      </c>
      <c r="AO290" s="2">
        <v>0</v>
      </c>
      <c r="AP290" s="2">
        <v>0</v>
      </c>
      <c r="AQ290" s="2">
        <v>0</v>
      </c>
      <c r="AR290" s="2">
        <v>0</v>
      </c>
    </row>
    <row r="291" spans="1:44" x14ac:dyDescent="0.25">
      <c r="A291" t="s">
        <v>250</v>
      </c>
      <c r="B291" t="s">
        <v>298</v>
      </c>
      <c r="C291" t="s">
        <v>44</v>
      </c>
      <c r="D291" t="s">
        <v>152</v>
      </c>
      <c r="E291" t="s">
        <v>148</v>
      </c>
      <c r="F291" t="s">
        <v>299</v>
      </c>
      <c r="G291" t="s">
        <v>31</v>
      </c>
      <c r="H291" t="s">
        <v>277</v>
      </c>
      <c r="I291" t="s">
        <v>135</v>
      </c>
      <c r="J291" t="s">
        <v>40</v>
      </c>
      <c r="K291" t="s">
        <v>31</v>
      </c>
      <c r="L291">
        <v>0.82</v>
      </c>
      <c r="M291">
        <v>1</v>
      </c>
      <c r="N291">
        <v>2.8160822667537615</v>
      </c>
      <c r="O291">
        <v>4.1746294160814488</v>
      </c>
      <c r="P291">
        <v>-1.3633570527640948</v>
      </c>
      <c r="Q291">
        <v>0.4672931329656026</v>
      </c>
      <c r="R291">
        <v>-1.7195523936223556</v>
      </c>
      <c r="S291" s="2">
        <v>0</v>
      </c>
      <c r="T291" s="2">
        <v>0</v>
      </c>
      <c r="U291" s="2">
        <v>0</v>
      </c>
      <c r="V291" s="2">
        <v>0</v>
      </c>
      <c r="W291" s="2">
        <v>0</v>
      </c>
      <c r="X291" s="2">
        <v>0</v>
      </c>
      <c r="Y291" s="2">
        <v>0</v>
      </c>
      <c r="Z291" s="2">
        <v>0</v>
      </c>
      <c r="AA291" s="2">
        <v>0</v>
      </c>
      <c r="AB291" s="2">
        <v>0</v>
      </c>
      <c r="AC291" s="2">
        <v>0</v>
      </c>
      <c r="AD291" s="2">
        <v>0</v>
      </c>
      <c r="AE291" s="2">
        <v>0</v>
      </c>
      <c r="AF291" s="2">
        <v>0</v>
      </c>
      <c r="AG291" s="2">
        <v>0</v>
      </c>
      <c r="AH291" s="2">
        <v>0</v>
      </c>
      <c r="AI291" s="2">
        <v>0</v>
      </c>
      <c r="AJ291" s="2">
        <v>0</v>
      </c>
      <c r="AK291" s="2">
        <v>0</v>
      </c>
      <c r="AL291" s="2">
        <v>0</v>
      </c>
      <c r="AM291" s="2">
        <v>0</v>
      </c>
      <c r="AN291" s="2">
        <v>0</v>
      </c>
      <c r="AO291" s="2">
        <v>0</v>
      </c>
      <c r="AP291" s="2">
        <v>0</v>
      </c>
      <c r="AQ291" s="2">
        <v>0</v>
      </c>
      <c r="AR291" s="2">
        <v>0</v>
      </c>
    </row>
    <row r="292" spans="1:44" x14ac:dyDescent="0.25">
      <c r="A292" t="s">
        <v>250</v>
      </c>
      <c r="B292" t="s">
        <v>300</v>
      </c>
      <c r="C292" t="s">
        <v>44</v>
      </c>
      <c r="D292" t="s">
        <v>152</v>
      </c>
      <c r="E292" t="s">
        <v>145</v>
      </c>
      <c r="F292" t="s">
        <v>301</v>
      </c>
      <c r="G292" t="s">
        <v>31</v>
      </c>
      <c r="H292" t="s">
        <v>254</v>
      </c>
      <c r="I292" t="s">
        <v>135</v>
      </c>
      <c r="J292" t="s">
        <v>39</v>
      </c>
      <c r="K292" t="s">
        <v>31</v>
      </c>
      <c r="L292">
        <v>2.46</v>
      </c>
      <c r="M292">
        <v>1</v>
      </c>
      <c r="N292">
        <v>1.9257476908385505</v>
      </c>
      <c r="O292">
        <v>5.411417628870181</v>
      </c>
      <c r="P292">
        <v>-0.88213896288743165</v>
      </c>
      <c r="Q292">
        <v>1.5220679573740847</v>
      </c>
      <c r="R292">
        <v>-1.8625523936223547</v>
      </c>
      <c r="S292" s="2">
        <v>0</v>
      </c>
      <c r="T292" s="2">
        <v>0</v>
      </c>
      <c r="U292" s="2">
        <v>1.2908300549157733E-3</v>
      </c>
      <c r="V292" s="2">
        <v>2.4180116861325378E-3</v>
      </c>
      <c r="W292" s="2">
        <v>4.1191421803939707E-3</v>
      </c>
      <c r="X292" s="2">
        <v>6.541580192865837E-3</v>
      </c>
      <c r="Y292" s="2">
        <v>9.8176536146619576E-3</v>
      </c>
      <c r="Z292" s="2">
        <v>1.4039402054538574E-2</v>
      </c>
      <c r="AA292" s="2">
        <v>1.9228795695696171E-2</v>
      </c>
      <c r="AB292" s="2">
        <v>2.5308541108882886E-2</v>
      </c>
      <c r="AC292" s="2">
        <v>3.2081824099408802E-2</v>
      </c>
      <c r="AD292" s="2">
        <v>3.9231307719155839E-2</v>
      </c>
      <c r="AE292" s="2">
        <v>4.6346303293330636E-2</v>
      </c>
      <c r="AF292" s="2">
        <v>5.2980535685749418E-2</v>
      </c>
      <c r="AG292" s="2">
        <v>5.8731638985409368E-2</v>
      </c>
      <c r="AH292" s="2">
        <v>6.3321264152987222E-2</v>
      </c>
      <c r="AI292" s="2">
        <v>6.6648367963596564E-2</v>
      </c>
      <c r="AJ292" s="2">
        <v>6.8983266477407129E-2</v>
      </c>
      <c r="AK292" s="2">
        <v>7.010446492087738E-2</v>
      </c>
      <c r="AL292" s="2">
        <v>7.0929356976237395E-2</v>
      </c>
      <c r="AM292" s="2">
        <v>7.0894699392172716E-2</v>
      </c>
      <c r="AN292" s="2">
        <v>7.057661850756651E-2</v>
      </c>
      <c r="AO292" s="2">
        <v>9.4565528780489641E-2</v>
      </c>
      <c r="AP292" s="2">
        <v>9.4047418710580255E-2</v>
      </c>
      <c r="AQ292" s="2">
        <v>2.3704957926418028E-2</v>
      </c>
      <c r="AR292" s="2">
        <v>1.0059115101794744</v>
      </c>
    </row>
    <row r="293" spans="1:44" x14ac:dyDescent="0.25">
      <c r="A293" t="s">
        <v>250</v>
      </c>
      <c r="B293" t="s">
        <v>300</v>
      </c>
      <c r="C293" t="s">
        <v>44</v>
      </c>
      <c r="D293" t="s">
        <v>152</v>
      </c>
      <c r="E293" t="s">
        <v>145</v>
      </c>
      <c r="F293" t="s">
        <v>301</v>
      </c>
      <c r="G293" t="s">
        <v>31</v>
      </c>
      <c r="H293" t="s">
        <v>272</v>
      </c>
      <c r="I293" t="s">
        <v>135</v>
      </c>
      <c r="J293" t="s">
        <v>39</v>
      </c>
      <c r="K293" t="s">
        <v>31</v>
      </c>
      <c r="L293">
        <v>2.46</v>
      </c>
      <c r="M293">
        <v>1</v>
      </c>
      <c r="N293">
        <v>1.9257476908385505</v>
      </c>
      <c r="O293">
        <v>5.411417628870181</v>
      </c>
      <c r="P293">
        <v>-0.88213896288743165</v>
      </c>
      <c r="Q293">
        <v>1.5220679573740847</v>
      </c>
      <c r="R293">
        <v>-1.8625523936223547</v>
      </c>
      <c r="S293" s="2">
        <v>0</v>
      </c>
      <c r="T293" s="2">
        <v>0</v>
      </c>
      <c r="U293" s="2">
        <v>7.4852833594480598E-4</v>
      </c>
      <c r="V293" s="2">
        <v>1.4020003676238763E-3</v>
      </c>
      <c r="W293" s="2">
        <v>2.3880700950053044E-3</v>
      </c>
      <c r="X293" s="2">
        <v>3.7920452618729165E-3</v>
      </c>
      <c r="Y293" s="2">
        <v>5.6904826469546966E-3</v>
      </c>
      <c r="Z293" s="2">
        <v>8.1365550041972573E-3</v>
      </c>
      <c r="AA293" s="2">
        <v>1.1142806625423813E-2</v>
      </c>
      <c r="AB293" s="2">
        <v>1.4664260780495137E-2</v>
      </c>
      <c r="AC293" s="2">
        <v>1.8586716405766947E-2</v>
      </c>
      <c r="AD293" s="2">
        <v>2.27262070746845E-2</v>
      </c>
      <c r="AE293" s="2">
        <v>2.6844778769354219E-2</v>
      </c>
      <c r="AF293" s="2">
        <v>3.0683975714044947E-2</v>
      </c>
      <c r="AG293" s="2">
        <v>3.4010887209346731E-2</v>
      </c>
      <c r="AH293" s="2">
        <v>3.6664517356702897E-2</v>
      </c>
      <c r="AI293" s="2">
        <v>3.8586596205250491E-2</v>
      </c>
      <c r="AJ293" s="2">
        <v>3.9933857289973722E-2</v>
      </c>
      <c r="AK293" s="2">
        <v>4.0578289911990674E-2</v>
      </c>
      <c r="AL293" s="2">
        <v>4.1051084958450938E-2</v>
      </c>
      <c r="AM293" s="2">
        <v>4.1026355389198868E-2</v>
      </c>
      <c r="AN293" s="2">
        <v>4.0837634154408553E-2</v>
      </c>
      <c r="AO293" s="2">
        <v>5.4846687668238595E-2</v>
      </c>
      <c r="AP293" s="2">
        <v>5.4539640014319463E-2</v>
      </c>
      <c r="AQ293" s="2">
        <v>1.384304506316944E-2</v>
      </c>
      <c r="AR293" s="2">
        <v>0.58272502230241874</v>
      </c>
    </row>
    <row r="294" spans="1:44" x14ac:dyDescent="0.25">
      <c r="A294" t="s">
        <v>250</v>
      </c>
      <c r="B294" t="s">
        <v>300</v>
      </c>
      <c r="C294" t="s">
        <v>44</v>
      </c>
      <c r="D294" t="s">
        <v>152</v>
      </c>
      <c r="E294" t="s">
        <v>145</v>
      </c>
      <c r="F294" t="s">
        <v>301</v>
      </c>
      <c r="G294" t="s">
        <v>31</v>
      </c>
      <c r="H294" t="s">
        <v>272</v>
      </c>
      <c r="I294" t="s">
        <v>135</v>
      </c>
      <c r="J294" t="s">
        <v>40</v>
      </c>
      <c r="K294" t="s">
        <v>31</v>
      </c>
      <c r="L294">
        <v>2.46</v>
      </c>
      <c r="M294">
        <v>1</v>
      </c>
      <c r="N294">
        <v>1.9257476908385505</v>
      </c>
      <c r="O294">
        <v>4.174629416081447</v>
      </c>
      <c r="P294">
        <v>-0.88213896288743165</v>
      </c>
      <c r="Q294">
        <v>0.4672931329656026</v>
      </c>
      <c r="R294">
        <v>-1.7195523936223542</v>
      </c>
      <c r="S294" s="2">
        <v>0</v>
      </c>
      <c r="T294" s="2">
        <v>0</v>
      </c>
      <c r="U294" s="2">
        <v>7.4041310418112715E-5</v>
      </c>
      <c r="V294" s="2">
        <v>1.3868004648684648E-4</v>
      </c>
      <c r="W294" s="2">
        <v>2.3621796358760361E-4</v>
      </c>
      <c r="X294" s="2">
        <v>3.7509334900391676E-4</v>
      </c>
      <c r="Y294" s="2">
        <v>5.6287888094476099E-4</v>
      </c>
      <c r="Z294" s="2">
        <v>8.0483418712453325E-4</v>
      </c>
      <c r="AA294" s="2">
        <v>1.1022000967279913E-3</v>
      </c>
      <c r="AB294" s="2">
        <v>1.4505276986345871E-3</v>
      </c>
      <c r="AC294" s="2">
        <v>1.8385206985060546E-3</v>
      </c>
      <c r="AD294" s="2">
        <v>2.247981902407365E-3</v>
      </c>
      <c r="AE294" s="2">
        <v>2.6553738883625627E-3</v>
      </c>
      <c r="AF294" s="2">
        <v>3.0351312857619791E-3</v>
      </c>
      <c r="AG294" s="2">
        <v>3.3642155367226397E-3</v>
      </c>
      <c r="AH294" s="2">
        <v>3.6267015964217184E-3</v>
      </c>
      <c r="AI294" s="2">
        <v>3.8168256436213088E-3</v>
      </c>
      <c r="AJ294" s="2">
        <v>3.9500911078636548E-3</v>
      </c>
      <c r="AK294" s="2">
        <v>4.0138357031168047E-3</v>
      </c>
      <c r="AL294" s="2">
        <v>4.0606026231091198E-3</v>
      </c>
      <c r="AM294" s="2">
        <v>4.0581564769506199E-3</v>
      </c>
      <c r="AN294" s="2">
        <v>4.0394889571566473E-3</v>
      </c>
      <c r="AO294" s="2">
        <v>5.425206277493223E-3</v>
      </c>
      <c r="AP294" s="2">
        <v>5.3948344003507806E-3</v>
      </c>
      <c r="AQ294" s="2">
        <v>1.3692964547031173E-3</v>
      </c>
      <c r="AR294" s="2">
        <v>5.7640736085475944E-2</v>
      </c>
    </row>
    <row r="295" spans="1:44" x14ac:dyDescent="0.25">
      <c r="A295" t="s">
        <v>250</v>
      </c>
      <c r="B295" t="s">
        <v>300</v>
      </c>
      <c r="C295" t="s">
        <v>44</v>
      </c>
      <c r="D295" t="s">
        <v>152</v>
      </c>
      <c r="E295" t="s">
        <v>145</v>
      </c>
      <c r="F295" t="s">
        <v>301</v>
      </c>
      <c r="G295" t="s">
        <v>31</v>
      </c>
      <c r="H295" t="s">
        <v>253</v>
      </c>
      <c r="I295" t="s">
        <v>135</v>
      </c>
      <c r="J295" t="s">
        <v>39</v>
      </c>
      <c r="K295" t="s">
        <v>31</v>
      </c>
      <c r="L295">
        <v>2.46</v>
      </c>
      <c r="M295">
        <v>1</v>
      </c>
      <c r="N295">
        <v>1.9257476908385505</v>
      </c>
      <c r="O295">
        <v>5.411417628870181</v>
      </c>
      <c r="P295">
        <v>-0.88213896288743165</v>
      </c>
      <c r="Q295">
        <v>1.5220679573740847</v>
      </c>
      <c r="R295">
        <v>-1.8625523936223547</v>
      </c>
      <c r="S295" s="2">
        <v>0</v>
      </c>
      <c r="T295" s="2">
        <v>0</v>
      </c>
      <c r="U295" s="2">
        <v>9.5683486678126248E-7</v>
      </c>
      <c r="V295" s="2">
        <v>1.79306061189396E-6</v>
      </c>
      <c r="W295" s="2">
        <v>3.0557091110305033E-6</v>
      </c>
      <c r="X295" s="2">
        <v>4.8546346056476314E-6</v>
      </c>
      <c r="Y295" s="2">
        <v>7.2887026685173187E-6</v>
      </c>
      <c r="Z295" s="2">
        <v>1.0427010035810382E-5</v>
      </c>
      <c r="AA295" s="2">
        <v>1.4286699714039785E-5</v>
      </c>
      <c r="AB295" s="2">
        <v>1.8811160722465108E-5</v>
      </c>
      <c r="AC295" s="2">
        <v>2.3854822386604439E-5</v>
      </c>
      <c r="AD295" s="2">
        <v>2.9182236330702166E-5</v>
      </c>
      <c r="AE295" s="2">
        <v>3.4488121188954453E-5</v>
      </c>
      <c r="AF295" s="2">
        <v>3.9440229461420481E-5</v>
      </c>
      <c r="AG295" s="2">
        <v>4.3738497458717509E-5</v>
      </c>
      <c r="AH295" s="2">
        <v>4.7174789068191124E-5</v>
      </c>
      <c r="AI295" s="2">
        <v>4.9672790792894175E-5</v>
      </c>
      <c r="AJ295" s="2">
        <v>5.1432951604612781E-5</v>
      </c>
      <c r="AK295" s="2">
        <v>5.2289203096847086E-5</v>
      </c>
      <c r="AL295" s="2">
        <v>5.2925018463972876E-5</v>
      </c>
      <c r="AM295" s="2">
        <v>5.2919704707098969E-5</v>
      </c>
      <c r="AN295" s="2">
        <v>5.2702733917799863E-5</v>
      </c>
      <c r="AO295" s="2">
        <v>7.0056216500628292E-5</v>
      </c>
      <c r="AP295" s="2">
        <v>6.9700946156245637E-5</v>
      </c>
      <c r="AQ295" s="2">
        <v>1.7148274252764947E-5</v>
      </c>
      <c r="AR295" s="2">
        <v>7.4820034772364076E-4</v>
      </c>
    </row>
    <row r="296" spans="1:44" x14ac:dyDescent="0.25">
      <c r="A296" t="s">
        <v>250</v>
      </c>
      <c r="B296" t="s">
        <v>300</v>
      </c>
      <c r="C296" t="s">
        <v>44</v>
      </c>
      <c r="D296" t="s">
        <v>152</v>
      </c>
      <c r="E296" t="s">
        <v>145</v>
      </c>
      <c r="F296" t="s">
        <v>301</v>
      </c>
      <c r="G296" t="s">
        <v>31</v>
      </c>
      <c r="H296" t="s">
        <v>253</v>
      </c>
      <c r="I296" t="s">
        <v>135</v>
      </c>
      <c r="J296" t="s">
        <v>40</v>
      </c>
      <c r="K296" t="s">
        <v>31</v>
      </c>
      <c r="L296">
        <v>2.46</v>
      </c>
      <c r="M296">
        <v>1</v>
      </c>
      <c r="N296">
        <v>1.9257476908385505</v>
      </c>
      <c r="O296">
        <v>4.174629416081447</v>
      </c>
      <c r="P296">
        <v>-0.88213896288743165</v>
      </c>
      <c r="Q296">
        <v>0.4672931329656026</v>
      </c>
      <c r="R296">
        <v>-1.7195523936223542</v>
      </c>
      <c r="S296" s="2">
        <v>0</v>
      </c>
      <c r="T296" s="2">
        <v>0</v>
      </c>
      <c r="U296" s="2">
        <v>5.0331502672852287E-7</v>
      </c>
      <c r="V296" s="2">
        <v>9.431871487262398E-7</v>
      </c>
      <c r="W296" s="2">
        <v>1.6073665020868222E-6</v>
      </c>
      <c r="X296" s="2">
        <v>2.553638701020838E-6</v>
      </c>
      <c r="Y296" s="2">
        <v>3.8340090916227997E-6</v>
      </c>
      <c r="Z296" s="2">
        <v>5.4848239932212006E-6</v>
      </c>
      <c r="AA296" s="2">
        <v>7.5151009835411314E-6</v>
      </c>
      <c r="AB296" s="2">
        <v>9.8950615101137267E-6</v>
      </c>
      <c r="AC296" s="2">
        <v>1.2548132372628857E-5</v>
      </c>
      <c r="AD296" s="2">
        <v>1.5350462831893393E-5</v>
      </c>
      <c r="AE296" s="2">
        <v>1.8141468544543924E-5</v>
      </c>
      <c r="AF296" s="2">
        <v>2.0746380420198402E-5</v>
      </c>
      <c r="AG296" s="2">
        <v>2.3007358721734797E-5</v>
      </c>
      <c r="AH296" s="2">
        <v>2.481491952800776E-5</v>
      </c>
      <c r="AI296" s="2">
        <v>2.6128920353527667E-5</v>
      </c>
      <c r="AJ296" s="2">
        <v>2.7054801523574097E-5</v>
      </c>
      <c r="AK296" s="2">
        <v>2.7505207604771761E-5</v>
      </c>
      <c r="AL296" s="2">
        <v>2.7839659702630443E-5</v>
      </c>
      <c r="AM296" s="2">
        <v>2.7836864556073958E-5</v>
      </c>
      <c r="AN296" s="2">
        <v>2.7722733411394055E-5</v>
      </c>
      <c r="AO296" s="2">
        <v>3.6851025923759026E-5</v>
      </c>
      <c r="AP296" s="2">
        <v>3.6664146338695258E-5</v>
      </c>
      <c r="AQ296" s="2">
        <v>9.0203486657134852E-6</v>
      </c>
      <c r="AR296" s="2">
        <v>3.9356893345620817E-4</v>
      </c>
    </row>
    <row r="297" spans="1:44" x14ac:dyDescent="0.25">
      <c r="A297" t="s">
        <v>250</v>
      </c>
      <c r="B297" t="s">
        <v>300</v>
      </c>
      <c r="C297" t="s">
        <v>44</v>
      </c>
      <c r="D297" t="s">
        <v>152</v>
      </c>
      <c r="E297" t="s">
        <v>145</v>
      </c>
      <c r="F297" t="s">
        <v>301</v>
      </c>
      <c r="G297" t="s">
        <v>31</v>
      </c>
      <c r="H297" t="s">
        <v>253</v>
      </c>
      <c r="I297" t="s">
        <v>256</v>
      </c>
      <c r="J297" t="s">
        <v>39</v>
      </c>
      <c r="K297" t="s">
        <v>31</v>
      </c>
      <c r="L297">
        <v>2.46</v>
      </c>
      <c r="M297">
        <v>0</v>
      </c>
      <c r="N297">
        <v>0.96459681432133348</v>
      </c>
      <c r="O297">
        <v>2.7105504166527381</v>
      </c>
      <c r="P297">
        <v>0.5807979884614396</v>
      </c>
      <c r="Q297">
        <v>0.4672931329656026</v>
      </c>
      <c r="R297">
        <v>-0.39961544227348333</v>
      </c>
      <c r="S297" s="2">
        <v>0</v>
      </c>
      <c r="T297" s="2">
        <v>0</v>
      </c>
      <c r="U297" s="2">
        <v>5.0191817044606371E-7</v>
      </c>
      <c r="V297" s="2">
        <v>9.405695100223121E-7</v>
      </c>
      <c r="W297" s="2">
        <v>1.6029055583887011E-6</v>
      </c>
      <c r="X297" s="2">
        <v>2.5465515566416261E-6</v>
      </c>
      <c r="Y297" s="2">
        <v>3.8233685198094564E-6</v>
      </c>
      <c r="Z297" s="2">
        <v>5.4696018948409618E-6</v>
      </c>
      <c r="AA297" s="2">
        <v>7.494244232868682E-6</v>
      </c>
      <c r="AB297" s="2">
        <v>9.8675996262006556E-6</v>
      </c>
      <c r="AC297" s="2">
        <v>1.2513307389055912E-5</v>
      </c>
      <c r="AD297" s="2">
        <v>1.5307860506696068E-5</v>
      </c>
      <c r="AE297" s="2">
        <v>1.8091120307428502E-5</v>
      </c>
      <c r="AF297" s="2">
        <v>2.0688802739641929E-5</v>
      </c>
      <c r="AG297" s="2">
        <v>2.2943506120746222E-5</v>
      </c>
      <c r="AH297" s="2">
        <v>2.4746050381646825E-5</v>
      </c>
      <c r="AI297" s="2">
        <v>2.6056404444779729E-5</v>
      </c>
      <c r="AJ297" s="2">
        <v>2.6979716005614235E-5</v>
      </c>
      <c r="AK297" s="2">
        <v>2.7428872069366019E-5</v>
      </c>
      <c r="AL297" s="2">
        <v>2.7762395958271531E-5</v>
      </c>
      <c r="AM297" s="2">
        <v>2.7759608569119092E-5</v>
      </c>
      <c r="AN297" s="2">
        <v>2.7645794173985703E-5</v>
      </c>
      <c r="AO297" s="2">
        <v>3.6748752825712991E-5</v>
      </c>
      <c r="AP297" s="2">
        <v>3.6562391889822209E-5</v>
      </c>
      <c r="AQ297" s="2">
        <v>8.9953143829391689E-6</v>
      </c>
      <c r="AR297" s="2">
        <v>3.9247665683404462E-4</v>
      </c>
    </row>
    <row r="298" spans="1:44" x14ac:dyDescent="0.25">
      <c r="A298" t="s">
        <v>250</v>
      </c>
      <c r="B298" t="s">
        <v>300</v>
      </c>
      <c r="C298" t="s">
        <v>44</v>
      </c>
      <c r="D298" t="s">
        <v>152</v>
      </c>
      <c r="E298" t="s">
        <v>145</v>
      </c>
      <c r="F298" t="s">
        <v>301</v>
      </c>
      <c r="G298" t="s">
        <v>31</v>
      </c>
      <c r="H298" t="s">
        <v>288</v>
      </c>
      <c r="I298" t="s">
        <v>135</v>
      </c>
      <c r="J298" t="s">
        <v>39</v>
      </c>
      <c r="K298" t="s">
        <v>31</v>
      </c>
      <c r="L298">
        <v>2.46</v>
      </c>
      <c r="M298">
        <v>1</v>
      </c>
      <c r="N298">
        <v>1.9257476908385505</v>
      </c>
      <c r="O298">
        <v>5.411417628870181</v>
      </c>
      <c r="P298">
        <v>-0.88213896288743165</v>
      </c>
      <c r="Q298">
        <v>1.5220679573740847</v>
      </c>
      <c r="R298">
        <v>-1.8625523936223547</v>
      </c>
      <c r="S298" s="2">
        <v>0</v>
      </c>
      <c r="T298" s="2">
        <v>0</v>
      </c>
      <c r="U298" s="2">
        <v>8.2589892771865007E-3</v>
      </c>
      <c r="V298" s="2">
        <v>1.549402692128791E-2</v>
      </c>
      <c r="W298" s="2">
        <v>2.6433871272825225E-2</v>
      </c>
      <c r="X298" s="2">
        <v>4.2042132341680791E-2</v>
      </c>
      <c r="Y298" s="2">
        <v>6.3191381158759427E-2</v>
      </c>
      <c r="Z298" s="2">
        <v>9.0499635704772055E-2</v>
      </c>
      <c r="AA298" s="2">
        <v>0.12413618146533421</v>
      </c>
      <c r="AB298" s="2">
        <v>0.16362945557056591</v>
      </c>
      <c r="AC298" s="2">
        <v>0.20773109224118749</v>
      </c>
      <c r="AD298" s="2">
        <v>0.25440363565526308</v>
      </c>
      <c r="AE298" s="2">
        <v>0.30099113532015204</v>
      </c>
      <c r="AF298" s="2">
        <v>0.34459028407195486</v>
      </c>
      <c r="AG298" s="2">
        <v>0.38256644982923338</v>
      </c>
      <c r="AH298" s="2">
        <v>0.41307833133325023</v>
      </c>
      <c r="AI298" s="2">
        <v>0.43543209177133135</v>
      </c>
      <c r="AJ298" s="2">
        <v>0.45135966549391732</v>
      </c>
      <c r="AK298" s="2">
        <v>0.45938070288279886</v>
      </c>
      <c r="AL298" s="2">
        <v>0.46548015360311629</v>
      </c>
      <c r="AM298" s="2">
        <v>0.46594750315492672</v>
      </c>
      <c r="AN298" s="2">
        <v>0.46454966064546188</v>
      </c>
      <c r="AO298" s="2">
        <v>0.60384759496632168</v>
      </c>
      <c r="AP298" s="2">
        <v>0.60148618779358121</v>
      </c>
      <c r="AQ298" s="2">
        <v>0.13761115816525488</v>
      </c>
      <c r="AR298" s="2">
        <v>6.5221413206401637</v>
      </c>
    </row>
    <row r="299" spans="1:44" x14ac:dyDescent="0.25">
      <c r="A299" t="s">
        <v>250</v>
      </c>
      <c r="B299" t="s">
        <v>300</v>
      </c>
      <c r="C299" t="s">
        <v>44</v>
      </c>
      <c r="D299" t="s">
        <v>152</v>
      </c>
      <c r="E299" t="s">
        <v>145</v>
      </c>
      <c r="F299" t="s">
        <v>301</v>
      </c>
      <c r="G299" t="s">
        <v>31</v>
      </c>
      <c r="H299" t="s">
        <v>288</v>
      </c>
      <c r="I299" t="s">
        <v>135</v>
      </c>
      <c r="J299" t="s">
        <v>39</v>
      </c>
      <c r="K299" t="s">
        <v>33</v>
      </c>
      <c r="L299">
        <v>2.46</v>
      </c>
      <c r="M299">
        <v>1</v>
      </c>
      <c r="N299">
        <v>1.9257476908385505</v>
      </c>
      <c r="O299">
        <v>5.411417628870181</v>
      </c>
      <c r="P299">
        <v>-0.88213896288743165</v>
      </c>
      <c r="Q299">
        <v>1.5220679573740847</v>
      </c>
      <c r="R299">
        <v>-1.8625523936223547</v>
      </c>
      <c r="S299" s="2">
        <v>0</v>
      </c>
      <c r="T299" s="2">
        <v>0</v>
      </c>
      <c r="U299" s="2">
        <v>7.7693248496548618E-5</v>
      </c>
      <c r="V299" s="2">
        <v>1.4575406788975938E-4</v>
      </c>
      <c r="W299" s="2">
        <v>2.4866642401369127E-4</v>
      </c>
      <c r="X299" s="2">
        <v>3.9549510548095946E-4</v>
      </c>
      <c r="Y299" s="2">
        <v>5.9444848690735886E-4</v>
      </c>
      <c r="Z299" s="2">
        <v>8.5134033350546079E-4</v>
      </c>
      <c r="AA299" s="2">
        <v>1.1677631330312568E-3</v>
      </c>
      <c r="AB299" s="2">
        <v>1.5392808401041664E-3</v>
      </c>
      <c r="AC299" s="2">
        <v>1.95414993630456E-3</v>
      </c>
      <c r="AD299" s="2">
        <v>2.3932038437181565E-3</v>
      </c>
      <c r="AE299" s="2">
        <v>2.8314577349412865E-3</v>
      </c>
      <c r="AF299" s="2">
        <v>3.2415998703195928E-3</v>
      </c>
      <c r="AG299" s="2">
        <v>3.5988459671605698E-3</v>
      </c>
      <c r="AH299" s="2">
        <v>3.8858746957650446E-3</v>
      </c>
      <c r="AI299" s="2">
        <v>4.0961590545721786E-3</v>
      </c>
      <c r="AJ299" s="2">
        <v>4.245991546375282E-3</v>
      </c>
      <c r="AK299" s="2">
        <v>4.3214463544806606E-3</v>
      </c>
      <c r="AL299" s="2">
        <v>4.3788245789342347E-3</v>
      </c>
      <c r="AM299" s="2">
        <v>4.3832209891540479E-3</v>
      </c>
      <c r="AN299" s="2">
        <v>4.3700713261865861E-3</v>
      </c>
      <c r="AO299" s="2">
        <v>5.6804627872992872E-3</v>
      </c>
      <c r="AP299" s="2">
        <v>5.6582487622998615E-3</v>
      </c>
      <c r="AQ299" s="2">
        <v>1.2945237665780362E-3</v>
      </c>
      <c r="AR299" s="2">
        <v>6.1354522853518584E-2</v>
      </c>
    </row>
    <row r="300" spans="1:44" x14ac:dyDescent="0.25">
      <c r="A300" t="s">
        <v>250</v>
      </c>
      <c r="B300" t="s">
        <v>300</v>
      </c>
      <c r="C300" t="s">
        <v>44</v>
      </c>
      <c r="D300" t="s">
        <v>152</v>
      </c>
      <c r="E300" t="s">
        <v>145</v>
      </c>
      <c r="F300" t="s">
        <v>301</v>
      </c>
      <c r="G300" t="s">
        <v>31</v>
      </c>
      <c r="H300" t="s">
        <v>273</v>
      </c>
      <c r="I300" t="s">
        <v>135</v>
      </c>
      <c r="J300" t="s">
        <v>39</v>
      </c>
      <c r="K300" t="s">
        <v>31</v>
      </c>
      <c r="L300">
        <v>2.46</v>
      </c>
      <c r="M300">
        <v>1</v>
      </c>
      <c r="N300">
        <v>1.9257476908385505</v>
      </c>
      <c r="O300">
        <v>5.411417628870181</v>
      </c>
      <c r="P300">
        <v>-0.88213896288743165</v>
      </c>
      <c r="Q300">
        <v>1.5220679573740847</v>
      </c>
      <c r="R300">
        <v>-1.8625523936223547</v>
      </c>
      <c r="S300" s="2">
        <v>0</v>
      </c>
      <c r="T300" s="2">
        <v>0</v>
      </c>
      <c r="U300" s="2">
        <v>2.2512479800866145E-4</v>
      </c>
      <c r="V300" s="2">
        <v>4.2166079013028496E-4</v>
      </c>
      <c r="W300" s="2">
        <v>7.1822771691068782E-4</v>
      </c>
      <c r="X300" s="2">
        <v>1.1404824408434819E-3</v>
      </c>
      <c r="Y300" s="2">
        <v>1.7114499143849795E-3</v>
      </c>
      <c r="Z300" s="2">
        <v>2.4471221914320928E-3</v>
      </c>
      <c r="AA300" s="2">
        <v>3.3512720498841361E-3</v>
      </c>
      <c r="AB300" s="2">
        <v>4.4103724436675568E-3</v>
      </c>
      <c r="AC300" s="2">
        <v>5.5900766551623205E-3</v>
      </c>
      <c r="AD300" s="2">
        <v>6.8350555770658418E-3</v>
      </c>
      <c r="AE300" s="2">
        <v>8.0737429804977976E-3</v>
      </c>
      <c r="AF300" s="2">
        <v>9.2284065986733676E-3</v>
      </c>
      <c r="AG300" s="2">
        <v>1.0228997013767192E-2</v>
      </c>
      <c r="AH300" s="2">
        <v>1.102709365517116E-2</v>
      </c>
      <c r="AI300" s="2">
        <v>1.1605171453641981E-2</v>
      </c>
      <c r="AJ300" s="2">
        <v>1.2010369046035611E-2</v>
      </c>
      <c r="AK300" s="2">
        <v>1.220418637651601E-2</v>
      </c>
      <c r="AL300" s="2">
        <v>1.2346382582354392E-2</v>
      </c>
      <c r="AM300" s="2">
        <v>1.23389450024855E-2</v>
      </c>
      <c r="AN300" s="2">
        <v>1.2282185855474062E-2</v>
      </c>
      <c r="AO300" s="2">
        <v>1.6495500423736504E-2</v>
      </c>
      <c r="AP300" s="2">
        <v>1.6403153831432472E-2</v>
      </c>
      <c r="AQ300" s="2">
        <v>4.1633864397895067E-3</v>
      </c>
      <c r="AR300" s="2">
        <v>0.17525836583706558</v>
      </c>
    </row>
    <row r="301" spans="1:44" x14ac:dyDescent="0.25">
      <c r="A301" t="s">
        <v>250</v>
      </c>
      <c r="B301" t="s">
        <v>300</v>
      </c>
      <c r="C301" t="s">
        <v>44</v>
      </c>
      <c r="D301" t="s">
        <v>152</v>
      </c>
      <c r="E301" t="s">
        <v>145</v>
      </c>
      <c r="F301" t="s">
        <v>301</v>
      </c>
      <c r="G301" t="s">
        <v>31</v>
      </c>
      <c r="H301" t="s">
        <v>252</v>
      </c>
      <c r="I301" t="s">
        <v>135</v>
      </c>
      <c r="J301" t="s">
        <v>39</v>
      </c>
      <c r="K301" t="s">
        <v>31</v>
      </c>
      <c r="L301">
        <v>2.46</v>
      </c>
      <c r="M301">
        <v>1</v>
      </c>
      <c r="N301">
        <v>1.9257476908385505</v>
      </c>
      <c r="O301">
        <v>5.411417628870181</v>
      </c>
      <c r="P301">
        <v>-0.88213896288743165</v>
      </c>
      <c r="Q301">
        <v>1.5220679573740847</v>
      </c>
      <c r="R301">
        <v>-1.8625523936223547</v>
      </c>
      <c r="S301" s="2">
        <v>0</v>
      </c>
      <c r="T301" s="2">
        <v>0</v>
      </c>
      <c r="U301" s="2">
        <v>7.651599941035013E-4</v>
      </c>
      <c r="V301" s="2">
        <v>1.434447411440481E-3</v>
      </c>
      <c r="W301" s="2">
        <v>2.4455473033573229E-3</v>
      </c>
      <c r="X301" s="2">
        <v>3.8868251470041281E-3</v>
      </c>
      <c r="Y301" s="2">
        <v>5.8379865305451441E-3</v>
      </c>
      <c r="Z301" s="2">
        <v>8.3550113445989768E-3</v>
      </c>
      <c r="AA301" s="2">
        <v>1.1452322435505966E-2</v>
      </c>
      <c r="AB301" s="2">
        <v>1.5085219795117779E-2</v>
      </c>
      <c r="AC301" s="2">
        <v>1.9137563007117716E-2</v>
      </c>
      <c r="AD301" s="2">
        <v>2.3420891081900798E-2</v>
      </c>
      <c r="AE301" s="2">
        <v>2.7690371224192545E-2</v>
      </c>
      <c r="AF301" s="2">
        <v>3.167911737631883E-2</v>
      </c>
      <c r="AG301" s="2">
        <v>3.5145675730577648E-2</v>
      </c>
      <c r="AH301" s="2">
        <v>3.7922102080617186E-2</v>
      </c>
      <c r="AI301" s="2">
        <v>3.9946192891104286E-2</v>
      </c>
      <c r="AJ301" s="2">
        <v>4.1378303423766749E-2</v>
      </c>
      <c r="AK301" s="2">
        <v>4.2084062111538367E-2</v>
      </c>
      <c r="AL301" s="2">
        <v>4.2612895589182423E-2</v>
      </c>
      <c r="AM301" s="2">
        <v>4.2625730798697241E-2</v>
      </c>
      <c r="AN301" s="2">
        <v>4.2468015594742059E-2</v>
      </c>
      <c r="AO301" s="2">
        <v>5.599133724402118E-2</v>
      </c>
      <c r="AP301" s="2">
        <v>5.5731014367845493E-2</v>
      </c>
      <c r="AQ301" s="2">
        <v>1.3362782513728098E-2</v>
      </c>
      <c r="AR301" s="2">
        <v>0.60045857499702393</v>
      </c>
    </row>
    <row r="302" spans="1:44" x14ac:dyDescent="0.25">
      <c r="A302" t="s">
        <v>250</v>
      </c>
      <c r="B302" t="s">
        <v>300</v>
      </c>
      <c r="C302" t="s">
        <v>44</v>
      </c>
      <c r="D302" t="s">
        <v>152</v>
      </c>
      <c r="E302" t="s">
        <v>145</v>
      </c>
      <c r="F302" t="s">
        <v>301</v>
      </c>
      <c r="G302" t="s">
        <v>31</v>
      </c>
      <c r="H302" t="s">
        <v>289</v>
      </c>
      <c r="I302" t="s">
        <v>135</v>
      </c>
      <c r="J302" t="s">
        <v>39</v>
      </c>
      <c r="K302" t="s">
        <v>31</v>
      </c>
      <c r="L302">
        <v>2.46</v>
      </c>
      <c r="M302">
        <v>1</v>
      </c>
      <c r="N302">
        <v>1.9257476908385505</v>
      </c>
      <c r="O302">
        <v>5.411417628870181</v>
      </c>
      <c r="P302">
        <v>-0.88213896288743165</v>
      </c>
      <c r="Q302">
        <v>1.5220679573740847</v>
      </c>
      <c r="R302">
        <v>-1.8625523936223547</v>
      </c>
      <c r="S302" s="2">
        <v>0</v>
      </c>
      <c r="T302" s="2">
        <v>0</v>
      </c>
      <c r="U302" s="2">
        <v>7.8498112957593215E-3</v>
      </c>
      <c r="V302" s="2">
        <v>1.4726400950717493E-2</v>
      </c>
      <c r="W302" s="2">
        <v>2.512424878444186E-2</v>
      </c>
      <c r="X302" s="2">
        <v>3.9959224340579289E-2</v>
      </c>
      <c r="Y302" s="2">
        <v>6.0060668559633157E-2</v>
      </c>
      <c r="Z302" s="2">
        <v>8.6015980742310566E-2</v>
      </c>
      <c r="AA302" s="2">
        <v>0.11798605940447027</v>
      </c>
      <c r="AB302" s="2">
        <v>0.15552270447968658</v>
      </c>
      <c r="AC302" s="2">
        <v>0.19743939840914657</v>
      </c>
      <c r="AD302" s="2">
        <v>0.24179962775411504</v>
      </c>
      <c r="AE302" s="2">
        <v>0.28607902670197383</v>
      </c>
      <c r="AF302" s="2">
        <v>0.32751812764653643</v>
      </c>
      <c r="AG302" s="2">
        <v>0.36361282700091874</v>
      </c>
      <c r="AH302" s="2">
        <v>0.39261304773576078</v>
      </c>
      <c r="AI302" s="2">
        <v>0.41385932803718323</v>
      </c>
      <c r="AJ302" s="2">
        <v>0.4289977964290671</v>
      </c>
      <c r="AK302" s="2">
        <v>0.43662144476977521</v>
      </c>
      <c r="AL302" s="2">
        <v>0.44241870827931024</v>
      </c>
      <c r="AM302" s="2">
        <v>0.44286290376955051</v>
      </c>
      <c r="AN302" s="2">
        <v>0.44153431505824192</v>
      </c>
      <c r="AO302" s="2">
        <v>0.57393096331740245</v>
      </c>
      <c r="AP302" s="2">
        <v>0.5716865481624287</v>
      </c>
      <c r="AQ302" s="2">
        <v>0.13079344064194268</v>
      </c>
      <c r="AR302" s="2">
        <v>6.1990126022709511</v>
      </c>
    </row>
    <row r="303" spans="1:44" x14ac:dyDescent="0.25">
      <c r="A303" t="s">
        <v>250</v>
      </c>
      <c r="B303" t="s">
        <v>300</v>
      </c>
      <c r="C303" t="s">
        <v>44</v>
      </c>
      <c r="D303" t="s">
        <v>152</v>
      </c>
      <c r="E303" t="s">
        <v>145</v>
      </c>
      <c r="F303" t="s">
        <v>301</v>
      </c>
      <c r="G303" t="s">
        <v>31</v>
      </c>
      <c r="H303" t="s">
        <v>274</v>
      </c>
      <c r="I303" t="s">
        <v>135</v>
      </c>
      <c r="J303" t="s">
        <v>39</v>
      </c>
      <c r="K303" t="s">
        <v>31</v>
      </c>
      <c r="L303">
        <v>2.46</v>
      </c>
      <c r="M303">
        <v>1</v>
      </c>
      <c r="N303">
        <v>1.9257476908385505</v>
      </c>
      <c r="O303">
        <v>5.411417628870181</v>
      </c>
      <c r="P303">
        <v>-0.88213896288743165</v>
      </c>
      <c r="Q303">
        <v>1.5220679573740847</v>
      </c>
      <c r="R303">
        <v>-1.8625523936223547</v>
      </c>
      <c r="S303" s="2">
        <v>0</v>
      </c>
      <c r="T303" s="2">
        <v>0</v>
      </c>
      <c r="U303" s="2">
        <v>3.5438674526036275E-4</v>
      </c>
      <c r="V303" s="2">
        <v>6.6376959064472045E-4</v>
      </c>
      <c r="W303" s="2">
        <v>1.130619039764633E-3</v>
      </c>
      <c r="X303" s="2">
        <v>1.795323588570485E-3</v>
      </c>
      <c r="Y303" s="2">
        <v>2.6941286353166852E-3</v>
      </c>
      <c r="Z303" s="2">
        <v>3.8522085365409638E-3</v>
      </c>
      <c r="AA303" s="2">
        <v>5.2755023202498081E-3</v>
      </c>
      <c r="AB303" s="2">
        <v>6.9427159936294724E-3</v>
      </c>
      <c r="AC303" s="2">
        <v>8.7997816726644723E-3</v>
      </c>
      <c r="AD303" s="2">
        <v>1.075960143465342E-2</v>
      </c>
      <c r="AE303" s="2">
        <v>1.2709517219943187E-2</v>
      </c>
      <c r="AF303" s="2">
        <v>1.4527164521063932E-2</v>
      </c>
      <c r="AG303" s="2">
        <v>1.6102273010579034E-2</v>
      </c>
      <c r="AH303" s="2">
        <v>1.7358620039658879E-2</v>
      </c>
      <c r="AI303" s="2">
        <v>1.8268618011092776E-2</v>
      </c>
      <c r="AJ303" s="2">
        <v>1.8906471580428085E-2</v>
      </c>
      <c r="AK303" s="2">
        <v>1.9211574765557231E-2</v>
      </c>
      <c r="AL303" s="2">
        <v>1.9435417056682787E-2</v>
      </c>
      <c r="AM303" s="2">
        <v>1.942370897411852E-2</v>
      </c>
      <c r="AN303" s="2">
        <v>1.9334359912837568E-2</v>
      </c>
      <c r="AO303" s="2">
        <v>2.5966871523340592E-2</v>
      </c>
      <c r="AP303" s="2">
        <v>2.5821501450509855E-2</v>
      </c>
      <c r="AQ303" s="2">
        <v>6.5539157956351702E-3</v>
      </c>
      <c r="AR303" s="2">
        <v>0.27588805141874267</v>
      </c>
    </row>
    <row r="304" spans="1:44" x14ac:dyDescent="0.25">
      <c r="A304" t="s">
        <v>250</v>
      </c>
      <c r="B304" t="s">
        <v>300</v>
      </c>
      <c r="C304" t="s">
        <v>44</v>
      </c>
      <c r="D304" t="s">
        <v>152</v>
      </c>
      <c r="E304" t="s">
        <v>145</v>
      </c>
      <c r="F304" t="s">
        <v>301</v>
      </c>
      <c r="G304" t="s">
        <v>31</v>
      </c>
      <c r="H304" t="s">
        <v>274</v>
      </c>
      <c r="I304" t="s">
        <v>135</v>
      </c>
      <c r="J304" t="s">
        <v>39</v>
      </c>
      <c r="K304" t="s">
        <v>33</v>
      </c>
      <c r="L304">
        <v>2.46</v>
      </c>
      <c r="M304">
        <v>1</v>
      </c>
      <c r="N304">
        <v>1.9257476908385505</v>
      </c>
      <c r="O304">
        <v>5.411417628870181</v>
      </c>
      <c r="P304">
        <v>-0.88213896288743165</v>
      </c>
      <c r="Q304">
        <v>1.5220679573740847</v>
      </c>
      <c r="R304">
        <v>-1.8625523936223547</v>
      </c>
      <c r="S304" s="2">
        <v>0</v>
      </c>
      <c r="T304" s="2">
        <v>0</v>
      </c>
      <c r="U304" s="2">
        <v>1.1402331949356176E-6</v>
      </c>
      <c r="V304" s="2">
        <v>2.1356671240226225E-6</v>
      </c>
      <c r="W304" s="2">
        <v>3.6377471144377427E-6</v>
      </c>
      <c r="X304" s="2">
        <v>5.776422450097669E-6</v>
      </c>
      <c r="Y304" s="2">
        <v>8.6683120700741031E-6</v>
      </c>
      <c r="Z304" s="2">
        <v>1.2394414029089374E-5</v>
      </c>
      <c r="AA304" s="2">
        <v>1.6973837046555866E-5</v>
      </c>
      <c r="AB304" s="2">
        <v>2.2338068070606716E-5</v>
      </c>
      <c r="AC304" s="2">
        <v>2.8313144623923265E-5</v>
      </c>
      <c r="AD304" s="2">
        <v>3.4618830653655715E-5</v>
      </c>
      <c r="AE304" s="2">
        <v>4.0892650810453279E-5</v>
      </c>
      <c r="AF304" s="2">
        <v>4.6740899417777279E-5</v>
      </c>
      <c r="AG304" s="2">
        <v>5.1808783613193637E-5</v>
      </c>
      <c r="AH304" s="2">
        <v>5.5851058348562511E-5</v>
      </c>
      <c r="AI304" s="2">
        <v>5.8778961009229719E-5</v>
      </c>
      <c r="AJ304" s="2">
        <v>6.0831243785014535E-5</v>
      </c>
      <c r="AK304" s="2">
        <v>6.1812907981595195E-5</v>
      </c>
      <c r="AL304" s="2">
        <v>6.2533116663735034E-5</v>
      </c>
      <c r="AM304" s="2">
        <v>6.2495446111527958E-5</v>
      </c>
      <c r="AN304" s="2">
        <v>6.2207967059414937E-5</v>
      </c>
      <c r="AO304" s="2">
        <v>8.3547957917524848E-5</v>
      </c>
      <c r="AP304" s="2">
        <v>8.3080232234189681E-5</v>
      </c>
      <c r="AQ304" s="2">
        <v>2.1087110189478798E-5</v>
      </c>
      <c r="AR304" s="2">
        <v>8.8766501151909638E-4</v>
      </c>
    </row>
    <row r="305" spans="1:44" x14ac:dyDescent="0.25">
      <c r="A305" t="s">
        <v>250</v>
      </c>
      <c r="B305" t="s">
        <v>300</v>
      </c>
      <c r="C305" t="s">
        <v>44</v>
      </c>
      <c r="D305" t="s">
        <v>152</v>
      </c>
      <c r="E305" t="s">
        <v>145</v>
      </c>
      <c r="F305" t="s">
        <v>301</v>
      </c>
      <c r="G305" t="s">
        <v>31</v>
      </c>
      <c r="H305" t="s">
        <v>255</v>
      </c>
      <c r="I305" t="s">
        <v>135</v>
      </c>
      <c r="J305" t="s">
        <v>39</v>
      </c>
      <c r="K305" t="s">
        <v>31</v>
      </c>
      <c r="L305">
        <v>2.46</v>
      </c>
      <c r="M305">
        <v>1</v>
      </c>
      <c r="N305">
        <v>1.9257476908385505</v>
      </c>
      <c r="O305">
        <v>5.411417628870181</v>
      </c>
      <c r="P305">
        <v>-0.88213896288743165</v>
      </c>
      <c r="Q305">
        <v>1.5220679573740847</v>
      </c>
      <c r="R305">
        <v>-1.8625523936223547</v>
      </c>
      <c r="S305" s="2">
        <v>0</v>
      </c>
      <c r="T305" s="2">
        <v>0</v>
      </c>
      <c r="U305" s="2">
        <v>2.6815983650211781E-4</v>
      </c>
      <c r="V305" s="2">
        <v>5.0004562546442153E-4</v>
      </c>
      <c r="W305" s="2">
        <v>8.4797801553912954E-4</v>
      </c>
      <c r="X305" s="2">
        <v>1.3405624593262383E-3</v>
      </c>
      <c r="Y305" s="2">
        <v>2.002804978729184E-3</v>
      </c>
      <c r="Z305" s="2">
        <v>2.8510585867871602E-3</v>
      </c>
      <c r="AA305" s="2">
        <v>3.8871937602942466E-3</v>
      </c>
      <c r="AB305" s="2">
        <v>5.0930482259026275E-3</v>
      </c>
      <c r="AC305" s="2">
        <v>6.4268224769709198E-3</v>
      </c>
      <c r="AD305" s="2">
        <v>7.8234193332032582E-3</v>
      </c>
      <c r="AE305" s="2">
        <v>9.2003743121687135E-3</v>
      </c>
      <c r="AF305" s="2">
        <v>1.0469677781947071E-2</v>
      </c>
      <c r="AG305" s="2">
        <v>1.155355576163293E-2</v>
      </c>
      <c r="AH305" s="2">
        <v>1.2399943152289553E-2</v>
      </c>
      <c r="AI305" s="2">
        <v>1.2992305086007589E-2</v>
      </c>
      <c r="AJ305" s="2">
        <v>1.3386499294926333E-2</v>
      </c>
      <c r="AK305" s="2">
        <v>1.354239623463183E-2</v>
      </c>
      <c r="AL305" s="2">
        <v>1.3639625112087819E-2</v>
      </c>
      <c r="AM305" s="2">
        <v>1.3571153098472915E-2</v>
      </c>
      <c r="AN305" s="2">
        <v>1.3449012720586661E-2</v>
      </c>
      <c r="AO305" s="2">
        <v>1.9847062216185464E-2</v>
      </c>
      <c r="AP305" s="2">
        <v>1.9644172505557972E-2</v>
      </c>
      <c r="AQ305" s="2">
        <v>6.3023393053748857E-3</v>
      </c>
      <c r="AR305" s="2">
        <v>0.20103920988058901</v>
      </c>
    </row>
    <row r="306" spans="1:44" x14ac:dyDescent="0.25">
      <c r="A306" t="s">
        <v>250</v>
      </c>
      <c r="B306" t="s">
        <v>300</v>
      </c>
      <c r="C306" t="s">
        <v>44</v>
      </c>
      <c r="D306" t="s">
        <v>152</v>
      </c>
      <c r="E306" t="s">
        <v>145</v>
      </c>
      <c r="F306" t="s">
        <v>301</v>
      </c>
      <c r="G306" t="s">
        <v>31</v>
      </c>
      <c r="H306" t="s">
        <v>278</v>
      </c>
      <c r="I306" t="s">
        <v>135</v>
      </c>
      <c r="J306" t="s">
        <v>39</v>
      </c>
      <c r="K306" t="s">
        <v>31</v>
      </c>
      <c r="L306">
        <v>2.46</v>
      </c>
      <c r="M306">
        <v>1</v>
      </c>
      <c r="N306">
        <v>1.9257476908385505</v>
      </c>
      <c r="O306">
        <v>5.411417628870181</v>
      </c>
      <c r="P306">
        <v>-0.88213896288743165</v>
      </c>
      <c r="Q306">
        <v>1.5220679573740847</v>
      </c>
      <c r="R306">
        <v>-1.8625523936223547</v>
      </c>
      <c r="S306" s="2">
        <v>0</v>
      </c>
      <c r="T306" s="2">
        <v>0</v>
      </c>
      <c r="U306" s="2">
        <v>2.3674913692192305E-3</v>
      </c>
      <c r="V306" s="2">
        <v>4.4147315942053827E-3</v>
      </c>
      <c r="W306" s="2">
        <v>7.486507522019183E-3</v>
      </c>
      <c r="X306" s="2">
        <v>1.1835366898163771E-2</v>
      </c>
      <c r="Y306" s="2">
        <v>1.7682079327092658E-2</v>
      </c>
      <c r="Z306" s="2">
        <v>2.5171019961088281E-2</v>
      </c>
      <c r="AA306" s="2">
        <v>3.4318702599249212E-2</v>
      </c>
      <c r="AB306" s="2">
        <v>4.496477874958188E-2</v>
      </c>
      <c r="AC306" s="2">
        <v>5.6740214881554951E-2</v>
      </c>
      <c r="AD306" s="2">
        <v>6.9070290281875599E-2</v>
      </c>
      <c r="AE306" s="2">
        <v>8.122695427386914E-2</v>
      </c>
      <c r="AF306" s="2">
        <v>9.2433199954871953E-2</v>
      </c>
      <c r="AG306" s="2">
        <v>0.10200238747998731</v>
      </c>
      <c r="AH306" s="2">
        <v>0.10947485191960415</v>
      </c>
      <c r="AI306" s="2">
        <v>0.11470461258706487</v>
      </c>
      <c r="AJ306" s="2">
        <v>0.11818481827179629</v>
      </c>
      <c r="AK306" s="2">
        <v>0.11956117896791989</v>
      </c>
      <c r="AL306" s="2">
        <v>0.12041957943242837</v>
      </c>
      <c r="AM306" s="2">
        <v>0.11981506347142219</v>
      </c>
      <c r="AN306" s="2">
        <v>0.1187367279001794</v>
      </c>
      <c r="AO306" s="2">
        <v>0.17522291598206993</v>
      </c>
      <c r="AP306" s="2">
        <v>0.17343167220343567</v>
      </c>
      <c r="AQ306" s="2">
        <v>5.5641195586902718E-2</v>
      </c>
      <c r="AR306" s="2">
        <v>1.7749063412156021</v>
      </c>
    </row>
    <row r="307" spans="1:44" x14ac:dyDescent="0.25">
      <c r="A307" t="s">
        <v>250</v>
      </c>
      <c r="B307" t="s">
        <v>300</v>
      </c>
      <c r="C307" t="s">
        <v>44</v>
      </c>
      <c r="D307" t="s">
        <v>152</v>
      </c>
      <c r="E307" t="s">
        <v>145</v>
      </c>
      <c r="F307" t="s">
        <v>301</v>
      </c>
      <c r="G307" t="s">
        <v>31</v>
      </c>
      <c r="H307" t="s">
        <v>276</v>
      </c>
      <c r="I307" t="s">
        <v>135</v>
      </c>
      <c r="J307" t="s">
        <v>39</v>
      </c>
      <c r="K307" t="s">
        <v>31</v>
      </c>
      <c r="L307">
        <v>2.46</v>
      </c>
      <c r="M307">
        <v>1</v>
      </c>
      <c r="N307">
        <v>1.9257476908385505</v>
      </c>
      <c r="O307">
        <v>5.411417628870181</v>
      </c>
      <c r="P307">
        <v>-0.88213896288743165</v>
      </c>
      <c r="Q307">
        <v>1.5220679573740847</v>
      </c>
      <c r="R307">
        <v>-1.8625523936223547</v>
      </c>
      <c r="S307" s="2">
        <v>0</v>
      </c>
      <c r="T307" s="2">
        <v>0</v>
      </c>
      <c r="U307" s="2">
        <v>3.3691518534992589E-2</v>
      </c>
      <c r="V307" s="2">
        <v>6.3263010390016722E-2</v>
      </c>
      <c r="W307" s="2">
        <v>0.10802845947597421</v>
      </c>
      <c r="X307" s="2">
        <v>0.17197052277228148</v>
      </c>
      <c r="Y307" s="2">
        <v>0.25871343876852804</v>
      </c>
      <c r="Z307" s="2">
        <v>0.37085132595793402</v>
      </c>
      <c r="AA307" s="2">
        <v>0.50914707301398399</v>
      </c>
      <c r="AB307" s="2">
        <v>0.67173537407567918</v>
      </c>
      <c r="AC307" s="2">
        <v>0.85355223269541414</v>
      </c>
      <c r="AD307" s="2">
        <v>1.0462700072825326</v>
      </c>
      <c r="AE307" s="2">
        <v>1.2389849522639302</v>
      </c>
      <c r="AF307" s="2">
        <v>1.419734771851284</v>
      </c>
      <c r="AG307" s="2">
        <v>1.5776219353691263</v>
      </c>
      <c r="AH307" s="2">
        <v>1.7049841013382923</v>
      </c>
      <c r="AI307" s="2">
        <v>1.7988718171758873</v>
      </c>
      <c r="AJ307" s="2">
        <v>1.8663556045079017</v>
      </c>
      <c r="AK307" s="2">
        <v>1.9012370131079861</v>
      </c>
      <c r="AL307" s="2">
        <v>1.9282198344070787</v>
      </c>
      <c r="AM307" s="2">
        <v>1.93189816541649</v>
      </c>
      <c r="AN307" s="2">
        <v>1.9278411792691159</v>
      </c>
      <c r="AO307" s="2">
        <v>2.4612151950198751</v>
      </c>
      <c r="AP307" s="2">
        <v>2.453930099004503</v>
      </c>
      <c r="AQ307" s="2">
        <v>0.52657186258626032</v>
      </c>
      <c r="AR307" s="2">
        <v>26.824689494285071</v>
      </c>
    </row>
    <row r="308" spans="1:44" x14ac:dyDescent="0.25">
      <c r="A308" t="s">
        <v>250</v>
      </c>
      <c r="B308" t="s">
        <v>300</v>
      </c>
      <c r="C308" t="s">
        <v>44</v>
      </c>
      <c r="D308" t="s">
        <v>152</v>
      </c>
      <c r="E308" t="s">
        <v>145</v>
      </c>
      <c r="F308" t="s">
        <v>301</v>
      </c>
      <c r="G308" t="s">
        <v>31</v>
      </c>
      <c r="H308" t="s">
        <v>290</v>
      </c>
      <c r="I308" t="s">
        <v>135</v>
      </c>
      <c r="J308" t="s">
        <v>39</v>
      </c>
      <c r="K308" t="s">
        <v>31</v>
      </c>
      <c r="L308">
        <v>2.46</v>
      </c>
      <c r="M308">
        <v>1</v>
      </c>
      <c r="N308">
        <v>1.9257476908385505</v>
      </c>
      <c r="O308">
        <v>5.411417628870181</v>
      </c>
      <c r="P308">
        <v>-0.88213896288743165</v>
      </c>
      <c r="Q308">
        <v>1.5220679573740847</v>
      </c>
      <c r="R308">
        <v>-1.8625523936223547</v>
      </c>
      <c r="S308" s="2">
        <v>0</v>
      </c>
      <c r="T308" s="2">
        <v>0</v>
      </c>
      <c r="U308" s="2">
        <v>1.1367061404504799E-2</v>
      </c>
      <c r="V308" s="2">
        <v>2.1324831587301377E-2</v>
      </c>
      <c r="W308" s="2">
        <v>3.6381623444768467E-2</v>
      </c>
      <c r="X308" s="2">
        <v>5.7863678455701062E-2</v>
      </c>
      <c r="Y308" s="2">
        <v>8.6971938788105746E-2</v>
      </c>
      <c r="Z308" s="2">
        <v>0.124556998636993</v>
      </c>
      <c r="AA308" s="2">
        <v>0.17085185001207503</v>
      </c>
      <c r="AB308" s="2">
        <v>0.22520746869039798</v>
      </c>
      <c r="AC308" s="2">
        <v>0.28590569643345315</v>
      </c>
      <c r="AD308" s="2">
        <v>0.35014232988661365</v>
      </c>
      <c r="AE308" s="2">
        <v>0.41426191541942592</v>
      </c>
      <c r="AF308" s="2">
        <v>0.47426855599163781</v>
      </c>
      <c r="AG308" s="2">
        <v>0.52653613905571117</v>
      </c>
      <c r="AH308" s="2">
        <v>0.56853043387592239</v>
      </c>
      <c r="AI308" s="2">
        <v>0.59929649483003211</v>
      </c>
      <c r="AJ308" s="2">
        <v>0.6212180281379297</v>
      </c>
      <c r="AK308" s="2">
        <v>0.6322575901796309</v>
      </c>
      <c r="AL308" s="2">
        <v>0.6406524225912813</v>
      </c>
      <c r="AM308" s="2">
        <v>0.64129564791516824</v>
      </c>
      <c r="AN308" s="2">
        <v>0.63937176097142256</v>
      </c>
      <c r="AO308" s="2">
        <v>0.83109112514588401</v>
      </c>
      <c r="AP308" s="2">
        <v>0.82784105913505579</v>
      </c>
      <c r="AQ308" s="2">
        <v>0.1893978103507539</v>
      </c>
      <c r="AR308" s="2">
        <v>8.97659246093977</v>
      </c>
    </row>
    <row r="309" spans="1:44" x14ac:dyDescent="0.25">
      <c r="A309" t="s">
        <v>250</v>
      </c>
      <c r="B309" t="s">
        <v>300</v>
      </c>
      <c r="C309" t="s">
        <v>44</v>
      </c>
      <c r="D309" t="s">
        <v>152</v>
      </c>
      <c r="E309" t="s">
        <v>145</v>
      </c>
      <c r="F309" t="s">
        <v>301</v>
      </c>
      <c r="G309" t="s">
        <v>31</v>
      </c>
      <c r="H309" t="s">
        <v>275</v>
      </c>
      <c r="I309" t="s">
        <v>135</v>
      </c>
      <c r="J309" t="s">
        <v>39</v>
      </c>
      <c r="K309" t="s">
        <v>31</v>
      </c>
      <c r="L309">
        <v>2.46</v>
      </c>
      <c r="M309">
        <v>1</v>
      </c>
      <c r="N309">
        <v>1.9257476908385505</v>
      </c>
      <c r="O309">
        <v>5.411417628870181</v>
      </c>
      <c r="P309">
        <v>-0.88213896288743165</v>
      </c>
      <c r="Q309">
        <v>1.5220679573740847</v>
      </c>
      <c r="R309">
        <v>-1.8625523936223547</v>
      </c>
      <c r="S309" s="2">
        <v>0</v>
      </c>
      <c r="T309" s="2">
        <v>0</v>
      </c>
      <c r="U309" s="2">
        <v>5.4139216509950018E-4</v>
      </c>
      <c r="V309" s="2">
        <v>1.0140324394535068E-3</v>
      </c>
      <c r="W309" s="2">
        <v>1.7272324600943686E-3</v>
      </c>
      <c r="X309" s="2">
        <v>2.742693223349209E-3</v>
      </c>
      <c r="Y309" s="2">
        <v>4.1157863674022698E-3</v>
      </c>
      <c r="Z309" s="2">
        <v>5.8849704395136527E-3</v>
      </c>
      <c r="AA309" s="2">
        <v>8.0593184179310468E-3</v>
      </c>
      <c r="AB309" s="2">
        <v>1.060629973815895E-2</v>
      </c>
      <c r="AC309" s="2">
        <v>1.3443315575097431E-2</v>
      </c>
      <c r="AD309" s="2">
        <v>1.6437307529758319E-2</v>
      </c>
      <c r="AE309" s="2">
        <v>1.9416169304016087E-2</v>
      </c>
      <c r="AF309" s="2">
        <v>2.2192966181726753E-2</v>
      </c>
      <c r="AG309" s="2">
        <v>2.459923957318411E-2</v>
      </c>
      <c r="AH309" s="2">
        <v>2.6518545098254308E-2</v>
      </c>
      <c r="AI309" s="2">
        <v>2.790873753231049E-2</v>
      </c>
      <c r="AJ309" s="2">
        <v>2.8883178392577927E-2</v>
      </c>
      <c r="AK309" s="2">
        <v>2.9349280683888146E-2</v>
      </c>
      <c r="AL309" s="2">
        <v>2.9691241731399285E-2</v>
      </c>
      <c r="AM309" s="2">
        <v>2.9673355441199648E-2</v>
      </c>
      <c r="AN309" s="2">
        <v>2.9536858006170126E-2</v>
      </c>
      <c r="AO309" s="2">
        <v>3.9669262417118704E-2</v>
      </c>
      <c r="AP309" s="2">
        <v>3.9447182388666548E-2</v>
      </c>
      <c r="AQ309" s="2">
        <v>1.0012334574962365E-2</v>
      </c>
      <c r="AR309" s="2">
        <v>0.42147069968133272</v>
      </c>
    </row>
    <row r="310" spans="1:44" x14ac:dyDescent="0.25">
      <c r="A310" t="s">
        <v>250</v>
      </c>
      <c r="B310" t="s">
        <v>300</v>
      </c>
      <c r="C310" t="s">
        <v>44</v>
      </c>
      <c r="D310" t="s">
        <v>152</v>
      </c>
      <c r="E310" t="s">
        <v>145</v>
      </c>
      <c r="F310" t="s">
        <v>301</v>
      </c>
      <c r="G310" t="s">
        <v>31</v>
      </c>
      <c r="H310" t="s">
        <v>277</v>
      </c>
      <c r="I310" t="s">
        <v>135</v>
      </c>
      <c r="J310" t="s">
        <v>39</v>
      </c>
      <c r="K310" t="s">
        <v>31</v>
      </c>
      <c r="L310">
        <v>2.46</v>
      </c>
      <c r="M310">
        <v>1</v>
      </c>
      <c r="N310">
        <v>1.9257476908385505</v>
      </c>
      <c r="O310">
        <v>5.411417628870181</v>
      </c>
      <c r="P310">
        <v>-0.88213896288743165</v>
      </c>
      <c r="Q310">
        <v>1.5220679573740847</v>
      </c>
      <c r="R310">
        <v>-1.8625523936223547</v>
      </c>
      <c r="S310" s="2">
        <v>0</v>
      </c>
      <c r="T310" s="2">
        <v>0</v>
      </c>
      <c r="U310" s="2">
        <v>0</v>
      </c>
      <c r="V310" s="2">
        <v>0</v>
      </c>
      <c r="W310" s="2">
        <v>0</v>
      </c>
      <c r="X310" s="2">
        <v>0</v>
      </c>
      <c r="Y310" s="2">
        <v>0</v>
      </c>
      <c r="Z310" s="2">
        <v>0</v>
      </c>
      <c r="AA310" s="2">
        <v>0</v>
      </c>
      <c r="AB310" s="2">
        <v>0</v>
      </c>
      <c r="AC310" s="2">
        <v>0</v>
      </c>
      <c r="AD310" s="2">
        <v>0</v>
      </c>
      <c r="AE310" s="2">
        <v>0</v>
      </c>
      <c r="AF310" s="2">
        <v>0</v>
      </c>
      <c r="AG310" s="2">
        <v>0</v>
      </c>
      <c r="AH310" s="2">
        <v>0</v>
      </c>
      <c r="AI310" s="2">
        <v>0</v>
      </c>
      <c r="AJ310" s="2">
        <v>0</v>
      </c>
      <c r="AK310" s="2">
        <v>0</v>
      </c>
      <c r="AL310" s="2">
        <v>0</v>
      </c>
      <c r="AM310" s="2">
        <v>0</v>
      </c>
      <c r="AN310" s="2">
        <v>0</v>
      </c>
      <c r="AO310" s="2">
        <v>0</v>
      </c>
      <c r="AP310" s="2">
        <v>0</v>
      </c>
      <c r="AQ310" s="2">
        <v>0</v>
      </c>
      <c r="AR310" s="2">
        <v>0</v>
      </c>
    </row>
    <row r="311" spans="1:44" x14ac:dyDescent="0.25">
      <c r="A311" t="s">
        <v>250</v>
      </c>
      <c r="B311" t="s">
        <v>300</v>
      </c>
      <c r="C311" t="s">
        <v>44</v>
      </c>
      <c r="D311" t="s">
        <v>152</v>
      </c>
      <c r="E311" t="s">
        <v>145</v>
      </c>
      <c r="F311" t="s">
        <v>301</v>
      </c>
      <c r="G311" t="s">
        <v>31</v>
      </c>
      <c r="H311" t="s">
        <v>277</v>
      </c>
      <c r="I311" t="s">
        <v>135</v>
      </c>
      <c r="J311" t="s">
        <v>40</v>
      </c>
      <c r="K311" t="s">
        <v>31</v>
      </c>
      <c r="L311">
        <v>2.46</v>
      </c>
      <c r="M311">
        <v>1</v>
      </c>
      <c r="N311">
        <v>1.9257476908385505</v>
      </c>
      <c r="O311">
        <v>4.174629416081447</v>
      </c>
      <c r="P311">
        <v>-0.88213896288743165</v>
      </c>
      <c r="Q311">
        <v>0.4672931329656026</v>
      </c>
      <c r="R311">
        <v>-1.7195523936223542</v>
      </c>
      <c r="S311" s="2">
        <v>0</v>
      </c>
      <c r="T311" s="2">
        <v>0</v>
      </c>
      <c r="U311" s="2">
        <v>0</v>
      </c>
      <c r="V311" s="2">
        <v>0</v>
      </c>
      <c r="W311" s="2">
        <v>0</v>
      </c>
      <c r="X311" s="2">
        <v>0</v>
      </c>
      <c r="Y311" s="2">
        <v>0</v>
      </c>
      <c r="Z311" s="2">
        <v>0</v>
      </c>
      <c r="AA311" s="2">
        <v>0</v>
      </c>
      <c r="AB311" s="2">
        <v>0</v>
      </c>
      <c r="AC311" s="2">
        <v>0</v>
      </c>
      <c r="AD311" s="2">
        <v>0</v>
      </c>
      <c r="AE311" s="2">
        <v>0</v>
      </c>
      <c r="AF311" s="2">
        <v>0</v>
      </c>
      <c r="AG311" s="2">
        <v>0</v>
      </c>
      <c r="AH311" s="2">
        <v>0</v>
      </c>
      <c r="AI311" s="2">
        <v>0</v>
      </c>
      <c r="AJ311" s="2">
        <v>0</v>
      </c>
      <c r="AK311" s="2">
        <v>0</v>
      </c>
      <c r="AL311" s="2">
        <v>0</v>
      </c>
      <c r="AM311" s="2">
        <v>0</v>
      </c>
      <c r="AN311" s="2">
        <v>0</v>
      </c>
      <c r="AO311" s="2">
        <v>0</v>
      </c>
      <c r="AP311" s="2">
        <v>0</v>
      </c>
      <c r="AQ311" s="2">
        <v>0</v>
      </c>
      <c r="AR311" s="2">
        <v>0</v>
      </c>
    </row>
    <row r="312" spans="1:44" x14ac:dyDescent="0.25">
      <c r="A312" t="s">
        <v>250</v>
      </c>
      <c r="B312" t="s">
        <v>300</v>
      </c>
      <c r="C312" t="s">
        <v>44</v>
      </c>
      <c r="D312" t="s">
        <v>152</v>
      </c>
      <c r="E312" t="s">
        <v>148</v>
      </c>
      <c r="F312" t="s">
        <v>301</v>
      </c>
      <c r="G312" t="s">
        <v>31</v>
      </c>
      <c r="H312" t="s">
        <v>254</v>
      </c>
      <c r="I312" t="s">
        <v>135</v>
      </c>
      <c r="J312" t="s">
        <v>39</v>
      </c>
      <c r="K312" t="s">
        <v>31</v>
      </c>
      <c r="L312">
        <v>2.46</v>
      </c>
      <c r="M312">
        <v>1</v>
      </c>
      <c r="N312">
        <v>1.9257476908385505</v>
      </c>
      <c r="O312">
        <v>5.411417628870181</v>
      </c>
      <c r="P312">
        <v>-0.88213896288743165</v>
      </c>
      <c r="Q312">
        <v>1.5220679573740847</v>
      </c>
      <c r="R312">
        <v>-1.8625523936223547</v>
      </c>
      <c r="S312" s="2">
        <v>0</v>
      </c>
      <c r="T312" s="2">
        <v>0</v>
      </c>
      <c r="U312" s="2">
        <v>4.1510987889690647E-4</v>
      </c>
      <c r="V312" s="2">
        <v>7.8641957694429822E-4</v>
      </c>
      <c r="W312" s="2">
        <v>1.3549583003255635E-3</v>
      </c>
      <c r="X312" s="2">
        <v>2.1764374973119397E-3</v>
      </c>
      <c r="Y312" s="2">
        <v>3.3039740273971595E-3</v>
      </c>
      <c r="Z312" s="2">
        <v>4.7792943139182689E-3</v>
      </c>
      <c r="AA312" s="2">
        <v>6.6217716148375683E-3</v>
      </c>
      <c r="AB312" s="2">
        <v>8.8169164042709892E-3</v>
      </c>
      <c r="AC312" s="2">
        <v>1.1307238723493091E-2</v>
      </c>
      <c r="AD312" s="2">
        <v>1.3989378855413329E-2</v>
      </c>
      <c r="AE312" s="2">
        <v>1.6721258950368398E-2</v>
      </c>
      <c r="AF312" s="2">
        <v>1.9340975578076201E-2</v>
      </c>
      <c r="AG312" s="2">
        <v>2.1695121452586476E-2</v>
      </c>
      <c r="AH312" s="2">
        <v>2.3669391550153285E-2</v>
      </c>
      <c r="AI312" s="2">
        <v>2.5211230907345433E-2</v>
      </c>
      <c r="AJ312" s="2">
        <v>2.6407944751942265E-2</v>
      </c>
      <c r="AK312" s="2">
        <v>2.7160764387704883E-2</v>
      </c>
      <c r="AL312" s="2">
        <v>2.7812932381745873E-2</v>
      </c>
      <c r="AM312" s="2">
        <v>2.8137000469902019E-2</v>
      </c>
      <c r="AN312" s="2">
        <v>2.8352203806342579E-2</v>
      </c>
      <c r="AO312" s="2">
        <v>2.8570270664654469E-2</v>
      </c>
      <c r="AP312" s="2">
        <v>2.8791231137529984E-2</v>
      </c>
      <c r="AQ312" s="2">
        <v>0</v>
      </c>
      <c r="AR312" s="2">
        <v>0.35542182523116095</v>
      </c>
    </row>
    <row r="313" spans="1:44" x14ac:dyDescent="0.25">
      <c r="A313" t="s">
        <v>250</v>
      </c>
      <c r="B313" t="s">
        <v>300</v>
      </c>
      <c r="C313" t="s">
        <v>44</v>
      </c>
      <c r="D313" t="s">
        <v>152</v>
      </c>
      <c r="E313" t="s">
        <v>148</v>
      </c>
      <c r="F313" t="s">
        <v>301</v>
      </c>
      <c r="G313" t="s">
        <v>31</v>
      </c>
      <c r="H313" t="s">
        <v>272</v>
      </c>
      <c r="I313" t="s">
        <v>135</v>
      </c>
      <c r="J313" t="s">
        <v>39</v>
      </c>
      <c r="K313" t="s">
        <v>31</v>
      </c>
      <c r="L313">
        <v>2.46</v>
      </c>
      <c r="M313">
        <v>1</v>
      </c>
      <c r="N313">
        <v>1.9257476908385505</v>
      </c>
      <c r="O313">
        <v>5.411417628870181</v>
      </c>
      <c r="P313">
        <v>-0.88213896288743165</v>
      </c>
      <c r="Q313">
        <v>1.5220679573740847</v>
      </c>
      <c r="R313">
        <v>-1.8625523936223547</v>
      </c>
      <c r="S313" s="2">
        <v>0</v>
      </c>
      <c r="T313" s="2">
        <v>0</v>
      </c>
      <c r="U313" s="2">
        <v>2.4246613589729628E-4</v>
      </c>
      <c r="V313" s="2">
        <v>4.5929770494500987E-4</v>
      </c>
      <c r="W313" s="2">
        <v>7.9125847294665556E-4</v>
      </c>
      <c r="X313" s="2">
        <v>1.2708423370200834E-3</v>
      </c>
      <c r="Y313" s="2">
        <v>1.929015313585502E-3</v>
      </c>
      <c r="Z313" s="2">
        <v>2.7900818567906417E-3</v>
      </c>
      <c r="AA313" s="2">
        <v>3.865289499460287E-3</v>
      </c>
      <c r="AB313" s="2">
        <v>5.1461181265299539E-3</v>
      </c>
      <c r="AC313" s="2">
        <v>6.5989574017258964E-3</v>
      </c>
      <c r="AD313" s="2">
        <v>8.1634449004794E-3</v>
      </c>
      <c r="AE313" s="2">
        <v>9.7566518806916878E-3</v>
      </c>
      <c r="AF313" s="2">
        <v>1.128411611829255E-2</v>
      </c>
      <c r="AG313" s="2">
        <v>1.2656368651913131E-2</v>
      </c>
      <c r="AH313" s="2">
        <v>1.3806783355432025E-2</v>
      </c>
      <c r="AI313" s="2">
        <v>1.4704774685592024E-2</v>
      </c>
      <c r="AJ313" s="2">
        <v>1.5401334547089319E-2</v>
      </c>
      <c r="AK313" s="2">
        <v>1.5838924350938335E-2</v>
      </c>
      <c r="AL313" s="2">
        <v>1.6217762445348841E-2</v>
      </c>
      <c r="AM313" s="2">
        <v>1.6405252598473568E-2</v>
      </c>
      <c r="AN313" s="2">
        <v>1.6529260460206946E-2</v>
      </c>
      <c r="AO313" s="2">
        <v>1.6654934827490683E-2</v>
      </c>
      <c r="AP313" s="2">
        <v>1.6782293120163286E-2</v>
      </c>
      <c r="AQ313" s="2">
        <v>0</v>
      </c>
      <c r="AR313" s="2">
        <v>0.20729522879101314</v>
      </c>
    </row>
    <row r="314" spans="1:44" x14ac:dyDescent="0.25">
      <c r="A314" t="s">
        <v>250</v>
      </c>
      <c r="B314" t="s">
        <v>300</v>
      </c>
      <c r="C314" t="s">
        <v>44</v>
      </c>
      <c r="D314" t="s">
        <v>152</v>
      </c>
      <c r="E314" t="s">
        <v>148</v>
      </c>
      <c r="F314" t="s">
        <v>301</v>
      </c>
      <c r="G314" t="s">
        <v>31</v>
      </c>
      <c r="H314" t="s">
        <v>272</v>
      </c>
      <c r="I314" t="s">
        <v>135</v>
      </c>
      <c r="J314" t="s">
        <v>40</v>
      </c>
      <c r="K314" t="s">
        <v>31</v>
      </c>
      <c r="L314">
        <v>2.46</v>
      </c>
      <c r="M314">
        <v>1</v>
      </c>
      <c r="N314">
        <v>1.9257476908385505</v>
      </c>
      <c r="O314">
        <v>4.174629416081447</v>
      </c>
      <c r="P314">
        <v>-0.88213896288743165</v>
      </c>
      <c r="Q314">
        <v>0.4672931329656026</v>
      </c>
      <c r="R314">
        <v>-1.7195523936223542</v>
      </c>
      <c r="S314" s="2">
        <v>0</v>
      </c>
      <c r="T314" s="2">
        <v>0</v>
      </c>
      <c r="U314" s="2">
        <v>2.3983741926338481E-5</v>
      </c>
      <c r="V314" s="2">
        <v>4.5431819095046685E-5</v>
      </c>
      <c r="W314" s="2">
        <v>7.826799788742379E-5</v>
      </c>
      <c r="X314" s="2">
        <v>1.2570643948838089E-4</v>
      </c>
      <c r="Y314" s="2">
        <v>1.9081017347753122E-4</v>
      </c>
      <c r="Z314" s="2">
        <v>2.7598329539499242E-4</v>
      </c>
      <c r="AA314" s="2">
        <v>3.823383644176681E-4</v>
      </c>
      <c r="AB314" s="2">
        <v>5.0903260619217781E-4</v>
      </c>
      <c r="AC314" s="2">
        <v>6.5274142601478441E-4</v>
      </c>
      <c r="AD314" s="2">
        <v>8.0749402384966082E-4</v>
      </c>
      <c r="AE314" s="2">
        <v>9.6508743336741552E-4</v>
      </c>
      <c r="AF314" s="2">
        <v>1.116177844161308E-3</v>
      </c>
      <c r="AG314" s="2">
        <v>1.251915358607701E-3</v>
      </c>
      <c r="AH314" s="2">
        <v>1.36570959735927E-3</v>
      </c>
      <c r="AI314" s="2">
        <v>1.4545351656595222E-3</v>
      </c>
      <c r="AJ314" s="2">
        <v>1.523435970683582E-3</v>
      </c>
      <c r="AK314" s="2">
        <v>1.5667205344692542E-3</v>
      </c>
      <c r="AL314" s="2">
        <v>1.6041936234620104E-3</v>
      </c>
      <c r="AM314" s="2">
        <v>1.6227393697767719E-3</v>
      </c>
      <c r="AN314" s="2">
        <v>1.6350057118028189E-3</v>
      </c>
      <c r="AO314" s="2">
        <v>1.6474368976281573E-3</v>
      </c>
      <c r="AP314" s="2">
        <v>1.6600346503507554E-3</v>
      </c>
      <c r="AQ314" s="2">
        <v>0</v>
      </c>
      <c r="AR314" s="2">
        <v>2.0504782045072573E-2</v>
      </c>
    </row>
    <row r="315" spans="1:44" x14ac:dyDescent="0.25">
      <c r="A315" t="s">
        <v>250</v>
      </c>
      <c r="B315" t="s">
        <v>300</v>
      </c>
      <c r="C315" t="s">
        <v>44</v>
      </c>
      <c r="D315" t="s">
        <v>152</v>
      </c>
      <c r="E315" t="s">
        <v>148</v>
      </c>
      <c r="F315" t="s">
        <v>301</v>
      </c>
      <c r="G315" t="s">
        <v>31</v>
      </c>
      <c r="H315" t="s">
        <v>253</v>
      </c>
      <c r="I315" t="s">
        <v>135</v>
      </c>
      <c r="J315" t="s">
        <v>39</v>
      </c>
      <c r="K315" t="s">
        <v>31</v>
      </c>
      <c r="L315">
        <v>2.46</v>
      </c>
      <c r="M315">
        <v>1</v>
      </c>
      <c r="N315">
        <v>1.9257476908385505</v>
      </c>
      <c r="O315">
        <v>5.411417628870181</v>
      </c>
      <c r="P315">
        <v>-0.88213896288743165</v>
      </c>
      <c r="Q315">
        <v>1.5220679573740847</v>
      </c>
      <c r="R315">
        <v>-1.8625523936223547</v>
      </c>
      <c r="S315" s="2">
        <v>0</v>
      </c>
      <c r="T315" s="2">
        <v>0</v>
      </c>
      <c r="U315" s="2">
        <v>3.000670746637709E-7</v>
      </c>
      <c r="V315" s="2">
        <v>5.6868726481237534E-7</v>
      </c>
      <c r="W315" s="2">
        <v>9.8018298986932661E-7</v>
      </c>
      <c r="X315" s="2">
        <v>1.5750255986842572E-6</v>
      </c>
      <c r="Y315" s="2">
        <v>2.3918634020048716E-6</v>
      </c>
      <c r="Z315" s="2">
        <v>3.4611467240440515E-6</v>
      </c>
      <c r="AA315" s="2">
        <v>4.7971696629612891E-6</v>
      </c>
      <c r="AB315" s="2">
        <v>6.3896992642654024E-6</v>
      </c>
      <c r="AC315" s="2">
        <v>8.197307878735789E-6</v>
      </c>
      <c r="AD315" s="2">
        <v>1.0145239219809459E-5</v>
      </c>
      <c r="AE315" s="2">
        <v>1.2130541837396671E-5</v>
      </c>
      <c r="AF315" s="2">
        <v>1.403573541101872E-5</v>
      </c>
      <c r="AG315" s="2">
        <v>1.5749350959927774E-5</v>
      </c>
      <c r="AH315" s="2">
        <v>1.7188171094795716E-5</v>
      </c>
      <c r="AI315" s="2">
        <v>1.8313731908119766E-5</v>
      </c>
      <c r="AJ315" s="2">
        <v>1.9189155947227488E-5</v>
      </c>
      <c r="AK315" s="2">
        <v>1.9742401248794436E-5</v>
      </c>
      <c r="AL315" s="2">
        <v>2.0222728085409502E-5</v>
      </c>
      <c r="AM315" s="2">
        <v>2.0464635169150982E-5</v>
      </c>
      <c r="AN315" s="2">
        <v>2.0627403234323974E-5</v>
      </c>
      <c r="AO315" s="2">
        <v>2.0792270219445598E-5</v>
      </c>
      <c r="AP315" s="2">
        <v>2.0959258540749668E-5</v>
      </c>
      <c r="AQ315" s="2">
        <v>0</v>
      </c>
      <c r="AR315" s="2">
        <v>2.582217727362109E-4</v>
      </c>
    </row>
    <row r="316" spans="1:44" x14ac:dyDescent="0.25">
      <c r="A316" t="s">
        <v>250</v>
      </c>
      <c r="B316" t="s">
        <v>300</v>
      </c>
      <c r="C316" t="s">
        <v>44</v>
      </c>
      <c r="D316" t="s">
        <v>152</v>
      </c>
      <c r="E316" t="s">
        <v>148</v>
      </c>
      <c r="F316" t="s">
        <v>301</v>
      </c>
      <c r="G316" t="s">
        <v>31</v>
      </c>
      <c r="H316" t="s">
        <v>253</v>
      </c>
      <c r="I316" t="s">
        <v>135</v>
      </c>
      <c r="J316" t="s">
        <v>40</v>
      </c>
      <c r="K316" t="s">
        <v>31</v>
      </c>
      <c r="L316">
        <v>2.46</v>
      </c>
      <c r="M316">
        <v>1</v>
      </c>
      <c r="N316">
        <v>1.9257476908385505</v>
      </c>
      <c r="O316">
        <v>4.174629416081447</v>
      </c>
      <c r="P316">
        <v>-0.88213896288743165</v>
      </c>
      <c r="Q316">
        <v>0.4672931329656026</v>
      </c>
      <c r="R316">
        <v>-1.7195523936223542</v>
      </c>
      <c r="S316" s="2">
        <v>0</v>
      </c>
      <c r="T316" s="2">
        <v>0</v>
      </c>
      <c r="U316" s="2">
        <v>1.5784151785019501E-7</v>
      </c>
      <c r="V316" s="2">
        <v>2.991413208551555E-7</v>
      </c>
      <c r="W316" s="2">
        <v>5.155966247389144E-7</v>
      </c>
      <c r="X316" s="2">
        <v>8.2849620015059374E-7</v>
      </c>
      <c r="Y316" s="2">
        <v>1.2581698618077985E-6</v>
      </c>
      <c r="Z316" s="2">
        <v>1.8206351131242709E-6</v>
      </c>
      <c r="AA316" s="2">
        <v>2.5234109468197085E-6</v>
      </c>
      <c r="AB316" s="2">
        <v>3.3611146161506003E-6</v>
      </c>
      <c r="AC316" s="2">
        <v>4.3119543165968104E-6</v>
      </c>
      <c r="AD316" s="2">
        <v>5.3366066876960367E-6</v>
      </c>
      <c r="AE316" s="2">
        <v>6.3809171269638488E-6</v>
      </c>
      <c r="AF316" s="2">
        <v>7.3830885441242585E-6</v>
      </c>
      <c r="AG316" s="2">
        <v>8.2844859385386592E-6</v>
      </c>
      <c r="AH316" s="2">
        <v>9.0413352338353341E-6</v>
      </c>
      <c r="AI316" s="2">
        <v>9.6334036152358504E-6</v>
      </c>
      <c r="AJ316" s="2">
        <v>1.0093894854569933E-5</v>
      </c>
      <c r="AK316" s="2">
        <v>1.0384913381813249E-5</v>
      </c>
      <c r="AL316" s="2">
        <v>1.0637575280958414E-5</v>
      </c>
      <c r="AM316" s="2">
        <v>1.0764823434789564E-5</v>
      </c>
      <c r="AN316" s="2">
        <v>1.0850442820032756E-5</v>
      </c>
      <c r="AO316" s="2">
        <v>1.0937166280792809E-5</v>
      </c>
      <c r="AP316" s="2">
        <v>1.102500560847459E-5</v>
      </c>
      <c r="AQ316" s="2">
        <v>0</v>
      </c>
      <c r="AR316" s="2">
        <v>1.3583001932591934E-4</v>
      </c>
    </row>
    <row r="317" spans="1:44" x14ac:dyDescent="0.25">
      <c r="A317" t="s">
        <v>250</v>
      </c>
      <c r="B317" t="s">
        <v>300</v>
      </c>
      <c r="C317" t="s">
        <v>44</v>
      </c>
      <c r="D317" t="s">
        <v>152</v>
      </c>
      <c r="E317" t="s">
        <v>148</v>
      </c>
      <c r="F317" t="s">
        <v>301</v>
      </c>
      <c r="G317" t="s">
        <v>31</v>
      </c>
      <c r="H317" t="s">
        <v>253</v>
      </c>
      <c r="I317" t="s">
        <v>256</v>
      </c>
      <c r="J317" t="s">
        <v>39</v>
      </c>
      <c r="K317" t="s">
        <v>31</v>
      </c>
      <c r="L317">
        <v>2.46</v>
      </c>
      <c r="M317">
        <v>0</v>
      </c>
      <c r="N317">
        <v>0.96459681432133348</v>
      </c>
      <c r="O317">
        <v>2.7105504166527381</v>
      </c>
      <c r="P317">
        <v>0.5807979884614396</v>
      </c>
      <c r="Q317">
        <v>0.4672931329656026</v>
      </c>
      <c r="R317">
        <v>-0.39961544227348333</v>
      </c>
      <c r="S317" s="2">
        <v>0</v>
      </c>
      <c r="T317" s="2">
        <v>0</v>
      </c>
      <c r="U317" s="2">
        <v>1.5740345837624178E-7</v>
      </c>
      <c r="V317" s="2">
        <v>2.9831111032856395E-7</v>
      </c>
      <c r="W317" s="2">
        <v>5.1416568318892087E-7</v>
      </c>
      <c r="X317" s="2">
        <v>8.2619686462371237E-7</v>
      </c>
      <c r="Y317" s="2">
        <v>1.2546780477697979E-6</v>
      </c>
      <c r="Z317" s="2">
        <v>1.8155822824699501E-6</v>
      </c>
      <c r="AA317" s="2">
        <v>2.5164076938924356E-6</v>
      </c>
      <c r="AB317" s="2">
        <v>3.3517864740957758E-6</v>
      </c>
      <c r="AC317" s="2">
        <v>4.2999872976187757E-6</v>
      </c>
      <c r="AD317" s="2">
        <v>5.3217959385968371E-6</v>
      </c>
      <c r="AE317" s="2">
        <v>6.3632080904692679E-6</v>
      </c>
      <c r="AF317" s="2">
        <v>7.3625981691719037E-6</v>
      </c>
      <c r="AG317" s="2">
        <v>8.2614939044931277E-6</v>
      </c>
      <c r="AH317" s="2">
        <v>9.0162427067846912E-6</v>
      </c>
      <c r="AI317" s="2">
        <v>9.6066679136437322E-6</v>
      </c>
      <c r="AJ317" s="2">
        <v>1.0065881146070662E-5</v>
      </c>
      <c r="AK317" s="2">
        <v>1.035609200607475E-5</v>
      </c>
      <c r="AL317" s="2">
        <v>1.0608052689594718E-5</v>
      </c>
      <c r="AM317" s="2">
        <v>1.073494769008512E-5</v>
      </c>
      <c r="AN317" s="2">
        <v>1.0820329454812772E-5</v>
      </c>
      <c r="AO317" s="2">
        <v>1.0906812230902828E-5</v>
      </c>
      <c r="AP317" s="2">
        <v>1.0994407777036066E-5</v>
      </c>
      <c r="AQ317" s="2">
        <v>0</v>
      </c>
      <c r="AR317" s="2">
        <v>1.3545304863010063E-4</v>
      </c>
    </row>
    <row r="318" spans="1:44" x14ac:dyDescent="0.25">
      <c r="A318" t="s">
        <v>250</v>
      </c>
      <c r="B318" t="s">
        <v>300</v>
      </c>
      <c r="C318" t="s">
        <v>44</v>
      </c>
      <c r="D318" t="s">
        <v>152</v>
      </c>
      <c r="E318" t="s">
        <v>148</v>
      </c>
      <c r="F318" t="s">
        <v>301</v>
      </c>
      <c r="G318" t="s">
        <v>31</v>
      </c>
      <c r="H318" t="s">
        <v>288</v>
      </c>
      <c r="I318" t="s">
        <v>135</v>
      </c>
      <c r="J318" t="s">
        <v>39</v>
      </c>
      <c r="K318" t="s">
        <v>31</v>
      </c>
      <c r="L318">
        <v>2.46</v>
      </c>
      <c r="M318">
        <v>1</v>
      </c>
      <c r="N318">
        <v>1.9257476908385505</v>
      </c>
      <c r="O318">
        <v>5.411417628870181</v>
      </c>
      <c r="P318">
        <v>-0.88213896288743165</v>
      </c>
      <c r="Q318">
        <v>1.5220679573740847</v>
      </c>
      <c r="R318">
        <v>-1.8625523936223547</v>
      </c>
      <c r="S318" s="2">
        <v>0</v>
      </c>
      <c r="T318" s="2">
        <v>0</v>
      </c>
      <c r="U318" s="2">
        <v>2.4028434815762468E-3</v>
      </c>
      <c r="V318" s="2">
        <v>4.5587557696471952E-3</v>
      </c>
      <c r="W318" s="2">
        <v>7.8657545629148042E-3</v>
      </c>
      <c r="X318" s="2">
        <v>1.2652489855136829E-2</v>
      </c>
      <c r="Y318" s="2">
        <v>1.9234224337628638E-2</v>
      </c>
      <c r="Z318" s="2">
        <v>2.7861406242306559E-2</v>
      </c>
      <c r="AA318" s="2">
        <v>3.8655174985418102E-2</v>
      </c>
      <c r="AB318" s="2">
        <v>5.1539164819135015E-2</v>
      </c>
      <c r="AC318" s="2">
        <v>6.6184680609471414E-2</v>
      </c>
      <c r="AD318" s="2">
        <v>8.1992230723703999E-2</v>
      </c>
      <c r="AE318" s="2">
        <v>9.8131791366369736E-2</v>
      </c>
      <c r="AF318" s="2">
        <v>0.1136524449029381</v>
      </c>
      <c r="AG318" s="2">
        <v>0.12764839291160568</v>
      </c>
      <c r="AH318" s="2">
        <v>0.1394397088009042</v>
      </c>
      <c r="AI318" s="2">
        <v>0.14870748190544025</v>
      </c>
      <c r="AJ318" s="2">
        <v>0.15595744072757858</v>
      </c>
      <c r="AK318" s="2">
        <v>0.16059779800109727</v>
      </c>
      <c r="AL318" s="2">
        <v>0.16465081929670053</v>
      </c>
      <c r="AM318" s="2">
        <v>0.16676614632306241</v>
      </c>
      <c r="AN318" s="2">
        <v>0.16823773092104249</v>
      </c>
      <c r="AO318" s="2">
        <v>0.16972701407886148</v>
      </c>
      <c r="AP318" s="2">
        <v>0.17123419068645895</v>
      </c>
      <c r="AQ318" s="2">
        <v>0</v>
      </c>
      <c r="AR318" s="2">
        <v>2.0976976853089981</v>
      </c>
    </row>
    <row r="319" spans="1:44" x14ac:dyDescent="0.25">
      <c r="A319" t="s">
        <v>250</v>
      </c>
      <c r="B319" t="s">
        <v>300</v>
      </c>
      <c r="C319" t="s">
        <v>44</v>
      </c>
      <c r="D319" t="s">
        <v>152</v>
      </c>
      <c r="E319" t="s">
        <v>148</v>
      </c>
      <c r="F319" t="s">
        <v>301</v>
      </c>
      <c r="G319" t="s">
        <v>31</v>
      </c>
      <c r="H319" t="s">
        <v>288</v>
      </c>
      <c r="I319" t="s">
        <v>135</v>
      </c>
      <c r="J319" t="s">
        <v>39</v>
      </c>
      <c r="K319" t="s">
        <v>33</v>
      </c>
      <c r="L319">
        <v>2.46</v>
      </c>
      <c r="M319">
        <v>1</v>
      </c>
      <c r="N319">
        <v>1.9257476908385505</v>
      </c>
      <c r="O319">
        <v>5.411417628870181</v>
      </c>
      <c r="P319">
        <v>-0.88213896288743165</v>
      </c>
      <c r="Q319">
        <v>1.5220679573740847</v>
      </c>
      <c r="R319">
        <v>-1.8625523936223547</v>
      </c>
      <c r="S319" s="2">
        <v>0</v>
      </c>
      <c r="T319" s="2">
        <v>0</v>
      </c>
      <c r="U319" s="2">
        <v>2.2603821054482887E-5</v>
      </c>
      <c r="V319" s="2">
        <v>4.2884732375742725E-5</v>
      </c>
      <c r="W319" s="2">
        <v>7.3994044956259794E-5</v>
      </c>
      <c r="X319" s="2">
        <v>1.1902340654813012E-4</v>
      </c>
      <c r="Y319" s="2">
        <v>1.8093852903158024E-4</v>
      </c>
      <c r="Z319" s="2">
        <v>2.6209540731892339E-4</v>
      </c>
      <c r="AA319" s="2">
        <v>3.6363361363301688E-4</v>
      </c>
      <c r="AB319" s="2">
        <v>4.8483476672605169E-4</v>
      </c>
      <c r="AC319" s="2">
        <v>6.2260679420666641E-4</v>
      </c>
      <c r="AD319" s="2">
        <v>7.7131021031826529E-4</v>
      </c>
      <c r="AE319" s="2">
        <v>9.2313688711267126E-4</v>
      </c>
      <c r="AF319" s="2">
        <v>1.0691414345911662E-3</v>
      </c>
      <c r="AG319" s="2">
        <v>1.2008029043046396E-3</v>
      </c>
      <c r="AH319" s="2">
        <v>1.3117251497202108E-3</v>
      </c>
      <c r="AI319" s="2">
        <v>1.3989081420518619E-3</v>
      </c>
      <c r="AJ319" s="2">
        <v>1.4671093266586019E-3</v>
      </c>
      <c r="AK319" s="2">
        <v>1.5107616936328272E-3</v>
      </c>
      <c r="AL319" s="2">
        <v>1.5488889244734342E-3</v>
      </c>
      <c r="AM319" s="2">
        <v>1.5687880456363985E-3</v>
      </c>
      <c r="AN319" s="2">
        <v>1.5826314087910706E-3</v>
      </c>
      <c r="AO319" s="2">
        <v>1.5966412643047291E-3</v>
      </c>
      <c r="AP319" s="2">
        <v>1.6108194455291213E-3</v>
      </c>
      <c r="AQ319" s="2">
        <v>0</v>
      </c>
      <c r="AR319" s="2">
        <v>1.9733279952975854E-2</v>
      </c>
    </row>
    <row r="320" spans="1:44" x14ac:dyDescent="0.25">
      <c r="A320" t="s">
        <v>250</v>
      </c>
      <c r="B320" t="s">
        <v>300</v>
      </c>
      <c r="C320" t="s">
        <v>44</v>
      </c>
      <c r="D320" t="s">
        <v>152</v>
      </c>
      <c r="E320" t="s">
        <v>148</v>
      </c>
      <c r="F320" t="s">
        <v>301</v>
      </c>
      <c r="G320" t="s">
        <v>31</v>
      </c>
      <c r="H320" t="s">
        <v>273</v>
      </c>
      <c r="I320" t="s">
        <v>135</v>
      </c>
      <c r="J320" t="s">
        <v>39</v>
      </c>
      <c r="K320" t="s">
        <v>31</v>
      </c>
      <c r="L320">
        <v>2.46</v>
      </c>
      <c r="M320">
        <v>1</v>
      </c>
      <c r="N320">
        <v>1.9257476908385505</v>
      </c>
      <c r="O320">
        <v>5.411417628870181</v>
      </c>
      <c r="P320">
        <v>-0.88213896288743165</v>
      </c>
      <c r="Q320">
        <v>1.5220679573740847</v>
      </c>
      <c r="R320">
        <v>-1.8625523936223547</v>
      </c>
      <c r="S320" s="2">
        <v>0</v>
      </c>
      <c r="T320" s="2">
        <v>0</v>
      </c>
      <c r="U320" s="2">
        <v>7.2923277912947192E-5</v>
      </c>
      <c r="V320" s="2">
        <v>1.3813679200410761E-4</v>
      </c>
      <c r="W320" s="2">
        <v>2.3797616648662463E-4</v>
      </c>
      <c r="X320" s="2">
        <v>3.8221415367179732E-4</v>
      </c>
      <c r="Y320" s="2">
        <v>5.8016398574732607E-4</v>
      </c>
      <c r="Z320" s="2">
        <v>8.3913538643102105E-4</v>
      </c>
      <c r="AA320" s="2">
        <v>1.1625111248629702E-3</v>
      </c>
      <c r="AB320" s="2">
        <v>1.5477287206521837E-3</v>
      </c>
      <c r="AC320" s="2">
        <v>1.9846796451014415E-3</v>
      </c>
      <c r="AD320" s="2">
        <v>2.4552095037999842E-3</v>
      </c>
      <c r="AE320" s="2">
        <v>2.9343769345873856E-3</v>
      </c>
      <c r="AF320" s="2">
        <v>3.3937718050853377E-3</v>
      </c>
      <c r="AG320" s="2">
        <v>3.8064857393657571E-3</v>
      </c>
      <c r="AH320" s="2">
        <v>4.1524804937647522E-3</v>
      </c>
      <c r="AI320" s="2">
        <v>4.4225572658893927E-3</v>
      </c>
      <c r="AJ320" s="2">
        <v>4.6320522049454861E-3</v>
      </c>
      <c r="AK320" s="2">
        <v>4.7636602035628839E-3</v>
      </c>
      <c r="AL320" s="2">
        <v>4.8775982408912491E-3</v>
      </c>
      <c r="AM320" s="2">
        <v>4.9339871320312192E-3</v>
      </c>
      <c r="AN320" s="2">
        <v>4.971283308386411E-3</v>
      </c>
      <c r="AO320" s="2">
        <v>5.0090806971971749E-3</v>
      </c>
      <c r="AP320" s="2">
        <v>5.0473845375941656E-3</v>
      </c>
      <c r="AQ320" s="2">
        <v>0</v>
      </c>
      <c r="AR320" s="2">
        <v>6.2345397319971622E-2</v>
      </c>
    </row>
    <row r="321" spans="1:44" x14ac:dyDescent="0.25">
      <c r="A321" t="s">
        <v>250</v>
      </c>
      <c r="B321" t="s">
        <v>300</v>
      </c>
      <c r="C321" t="s">
        <v>44</v>
      </c>
      <c r="D321" t="s">
        <v>152</v>
      </c>
      <c r="E321" t="s">
        <v>148</v>
      </c>
      <c r="F321" t="s">
        <v>301</v>
      </c>
      <c r="G321" t="s">
        <v>31</v>
      </c>
      <c r="H321" t="s">
        <v>252</v>
      </c>
      <c r="I321" t="s">
        <v>135</v>
      </c>
      <c r="J321" t="s">
        <v>39</v>
      </c>
      <c r="K321" t="s">
        <v>31</v>
      </c>
      <c r="L321">
        <v>2.46</v>
      </c>
      <c r="M321">
        <v>1</v>
      </c>
      <c r="N321">
        <v>1.9257476908385505</v>
      </c>
      <c r="O321">
        <v>5.411417628870181</v>
      </c>
      <c r="P321">
        <v>-0.88213896288743165</v>
      </c>
      <c r="Q321">
        <v>1.5220679573740847</v>
      </c>
      <c r="R321">
        <v>-1.8625523936223547</v>
      </c>
      <c r="S321" s="2">
        <v>0</v>
      </c>
      <c r="T321" s="2">
        <v>0</v>
      </c>
      <c r="U321" s="2">
        <v>2.3364573261598217E-4</v>
      </c>
      <c r="V321" s="2">
        <v>4.4297830738046376E-4</v>
      </c>
      <c r="W321" s="2">
        <v>7.6380701196026625E-4</v>
      </c>
      <c r="X321" s="2">
        <v>1.2278058608643379E-3</v>
      </c>
      <c r="Y321" s="2">
        <v>1.8652719357948628E-3</v>
      </c>
      <c r="Z321" s="2">
        <v>2.7001481213903863E-3</v>
      </c>
      <c r="AA321" s="2">
        <v>3.7437993234929949E-3</v>
      </c>
      <c r="AB321" s="2">
        <v>4.9884534326309939E-3</v>
      </c>
      <c r="AC321" s="2">
        <v>6.4019591467024276E-3</v>
      </c>
      <c r="AD321" s="2">
        <v>7.9260758957999805E-3</v>
      </c>
      <c r="AE321" s="2">
        <v>9.480441509698791E-3</v>
      </c>
      <c r="AF321" s="2">
        <v>1.0973220843622128E-2</v>
      </c>
      <c r="AG321" s="2">
        <v>1.2317153610871044E-2</v>
      </c>
      <c r="AH321" s="2">
        <v>1.3446965501039384E-2</v>
      </c>
      <c r="AI321" s="2">
        <v>1.4332323021937921E-2</v>
      </c>
      <c r="AJ321" s="2">
        <v>1.5022386052357324E-2</v>
      </c>
      <c r="AK321" s="2">
        <v>1.5460535789345328E-2</v>
      </c>
      <c r="AL321" s="2">
        <v>1.5841782593709074E-2</v>
      </c>
      <c r="AM321" s="2">
        <v>1.6036378044440549E-2</v>
      </c>
      <c r="AN321" s="2">
        <v>1.6168996018988718E-2</v>
      </c>
      <c r="AO321" s="2">
        <v>1.6303275923274321E-2</v>
      </c>
      <c r="AP321" s="2">
        <v>1.6439235748270577E-2</v>
      </c>
      <c r="AQ321" s="2">
        <v>0</v>
      </c>
      <c r="AR321" s="2">
        <v>0.20211663942618785</v>
      </c>
    </row>
    <row r="322" spans="1:44" x14ac:dyDescent="0.25">
      <c r="A322" t="s">
        <v>250</v>
      </c>
      <c r="B322" t="s">
        <v>300</v>
      </c>
      <c r="C322" t="s">
        <v>44</v>
      </c>
      <c r="D322" t="s">
        <v>152</v>
      </c>
      <c r="E322" t="s">
        <v>148</v>
      </c>
      <c r="F322" t="s">
        <v>301</v>
      </c>
      <c r="G322" t="s">
        <v>31</v>
      </c>
      <c r="H322" t="s">
        <v>289</v>
      </c>
      <c r="I322" t="s">
        <v>135</v>
      </c>
      <c r="J322" t="s">
        <v>39</v>
      </c>
      <c r="K322" t="s">
        <v>31</v>
      </c>
      <c r="L322">
        <v>2.46</v>
      </c>
      <c r="M322">
        <v>1</v>
      </c>
      <c r="N322">
        <v>1.9257476908385505</v>
      </c>
      <c r="O322">
        <v>5.411417628870181</v>
      </c>
      <c r="P322">
        <v>-0.88213896288743165</v>
      </c>
      <c r="Q322">
        <v>1.5220679573740847</v>
      </c>
      <c r="R322">
        <v>-1.8625523936223547</v>
      </c>
      <c r="S322" s="2">
        <v>0</v>
      </c>
      <c r="T322" s="2">
        <v>0</v>
      </c>
      <c r="U322" s="2">
        <v>2.283798570331183E-3</v>
      </c>
      <c r="V322" s="2">
        <v>4.3328997452549084E-3</v>
      </c>
      <c r="W322" s="2">
        <v>7.4760587458557104E-3</v>
      </c>
      <c r="X322" s="2">
        <v>1.2025643144819357E-2</v>
      </c>
      <c r="Y322" s="2">
        <v>1.8281296464174548E-2</v>
      </c>
      <c r="Z322" s="2">
        <v>2.6481058891882039E-2</v>
      </c>
      <c r="AA322" s="2">
        <v>3.6740068191910349E-2</v>
      </c>
      <c r="AB322" s="2">
        <v>4.8985742031265746E-2</v>
      </c>
      <c r="AC322" s="2">
        <v>6.2905669933432579E-2</v>
      </c>
      <c r="AD322" s="2">
        <v>7.7930061088382033E-2</v>
      </c>
      <c r="AE322" s="2">
        <v>9.3270013858553408E-2</v>
      </c>
      <c r="AF322" s="2">
        <v>0.10802172225287866</v>
      </c>
      <c r="AG322" s="2">
        <v>0.12132426413615463</v>
      </c>
      <c r="AH322" s="2">
        <v>0.13253139875677519</v>
      </c>
      <c r="AI322" s="2">
        <v>0.141340015351477</v>
      </c>
      <c r="AJ322" s="2">
        <v>0.1482307869393592</v>
      </c>
      <c r="AK322" s="2">
        <v>0.1526412453767643</v>
      </c>
      <c r="AL322" s="2">
        <v>0.1564934664271117</v>
      </c>
      <c r="AM322" s="2">
        <v>0.15850399307007942</v>
      </c>
      <c r="AN322" s="2">
        <v>0.15990267043993411</v>
      </c>
      <c r="AO322" s="2">
        <v>0.16131816952371919</v>
      </c>
      <c r="AP322" s="2">
        <v>0.16275067555586778</v>
      </c>
      <c r="AQ322" s="2">
        <v>0</v>
      </c>
      <c r="AR322" s="2">
        <v>1.993770718495983</v>
      </c>
    </row>
    <row r="323" spans="1:44" x14ac:dyDescent="0.25">
      <c r="A323" t="s">
        <v>250</v>
      </c>
      <c r="B323" t="s">
        <v>300</v>
      </c>
      <c r="C323" t="s">
        <v>44</v>
      </c>
      <c r="D323" t="s">
        <v>152</v>
      </c>
      <c r="E323" t="s">
        <v>148</v>
      </c>
      <c r="F323" t="s">
        <v>301</v>
      </c>
      <c r="G323" t="s">
        <v>31</v>
      </c>
      <c r="H323" t="s">
        <v>274</v>
      </c>
      <c r="I323" t="s">
        <v>135</v>
      </c>
      <c r="J323" t="s">
        <v>39</v>
      </c>
      <c r="K323" t="s">
        <v>31</v>
      </c>
      <c r="L323">
        <v>2.46</v>
      </c>
      <c r="M323">
        <v>1</v>
      </c>
      <c r="N323">
        <v>1.9257476908385505</v>
      </c>
      <c r="O323">
        <v>5.411417628870181</v>
      </c>
      <c r="P323">
        <v>-0.88213896288743165</v>
      </c>
      <c r="Q323">
        <v>1.5220679573740847</v>
      </c>
      <c r="R323">
        <v>-1.8625523936223547</v>
      </c>
      <c r="S323" s="2">
        <v>0</v>
      </c>
      <c r="T323" s="2">
        <v>0</v>
      </c>
      <c r="U323" s="2">
        <v>1.147942978378239E-4</v>
      </c>
      <c r="V323" s="2">
        <v>2.1745204682941893E-4</v>
      </c>
      <c r="W323" s="2">
        <v>3.7461710054477877E-4</v>
      </c>
      <c r="X323" s="2">
        <v>6.0167352113284212E-4</v>
      </c>
      <c r="Y323" s="2">
        <v>9.1328200378156834E-4</v>
      </c>
      <c r="Z323" s="2">
        <v>1.3209493625782097E-3</v>
      </c>
      <c r="AA323" s="2">
        <v>1.8300006819031017E-3</v>
      </c>
      <c r="AB323" s="2">
        <v>2.4364021587564601E-3</v>
      </c>
      <c r="AC323" s="2">
        <v>3.1242411588301728E-3</v>
      </c>
      <c r="AD323" s="2">
        <v>3.8649394144065186E-3</v>
      </c>
      <c r="AE323" s="2">
        <v>4.6192347551845545E-3</v>
      </c>
      <c r="AF323" s="2">
        <v>5.3424045453859285E-3</v>
      </c>
      <c r="AG323" s="2">
        <v>5.9920901828057907E-3</v>
      </c>
      <c r="AH323" s="2">
        <v>6.5367478836596401E-3</v>
      </c>
      <c r="AI323" s="2">
        <v>6.9618970857480708E-3</v>
      </c>
      <c r="AJ323" s="2">
        <v>7.29167963417138E-3</v>
      </c>
      <c r="AK323" s="2">
        <v>7.4988541910964079E-3</v>
      </c>
      <c r="AL323" s="2">
        <v>7.6782130647846808E-3</v>
      </c>
      <c r="AM323" s="2">
        <v>7.7669792770220878E-3</v>
      </c>
      <c r="AN323" s="2">
        <v>7.8256901372475342E-3</v>
      </c>
      <c r="AO323" s="2">
        <v>7.885189995630414E-3</v>
      </c>
      <c r="AP323" s="2">
        <v>7.9454870995005443E-3</v>
      </c>
      <c r="AQ323" s="2">
        <v>0</v>
      </c>
      <c r="AR323" s="2">
        <v>9.814281959883793E-2</v>
      </c>
    </row>
    <row r="324" spans="1:44" x14ac:dyDescent="0.25">
      <c r="A324" t="s">
        <v>250</v>
      </c>
      <c r="B324" t="s">
        <v>300</v>
      </c>
      <c r="C324" t="s">
        <v>44</v>
      </c>
      <c r="D324" t="s">
        <v>152</v>
      </c>
      <c r="E324" t="s">
        <v>148</v>
      </c>
      <c r="F324" t="s">
        <v>301</v>
      </c>
      <c r="G324" t="s">
        <v>31</v>
      </c>
      <c r="H324" t="s">
        <v>274</v>
      </c>
      <c r="I324" t="s">
        <v>135</v>
      </c>
      <c r="J324" t="s">
        <v>39</v>
      </c>
      <c r="K324" t="s">
        <v>33</v>
      </c>
      <c r="L324">
        <v>2.46</v>
      </c>
      <c r="M324">
        <v>1</v>
      </c>
      <c r="N324">
        <v>1.9257476908385505</v>
      </c>
      <c r="O324">
        <v>5.411417628870181</v>
      </c>
      <c r="P324">
        <v>-0.88213896288743165</v>
      </c>
      <c r="Q324">
        <v>1.5220679573740847</v>
      </c>
      <c r="R324">
        <v>-1.8625523936223547</v>
      </c>
      <c r="S324" s="2">
        <v>0</v>
      </c>
      <c r="T324" s="2">
        <v>0</v>
      </c>
      <c r="U324" s="2">
        <v>3.6934865859006286E-7</v>
      </c>
      <c r="V324" s="2">
        <v>6.9964818215601152E-7</v>
      </c>
      <c r="W324" s="2">
        <v>1.2053240115339661E-6</v>
      </c>
      <c r="X324" s="2">
        <v>1.9358740993697224E-6</v>
      </c>
      <c r="Y324" s="2">
        <v>2.9384689776814108E-6</v>
      </c>
      <c r="Z324" s="2">
        <v>4.2501316208487043E-6</v>
      </c>
      <c r="AA324" s="2">
        <v>5.8879953953348708E-6</v>
      </c>
      <c r="AB324" s="2">
        <v>7.8390816100808104E-6</v>
      </c>
      <c r="AC324" s="2">
        <v>1.0052191640703381E-5</v>
      </c>
      <c r="AD324" s="2">
        <v>1.2435375407405939E-5</v>
      </c>
      <c r="AE324" s="2">
        <v>1.4862307559477561E-5</v>
      </c>
      <c r="AF324" s="2">
        <v>1.7189093793416526E-5</v>
      </c>
      <c r="AG324" s="2">
        <v>1.9279446042665337E-5</v>
      </c>
      <c r="AH324" s="2">
        <v>2.103187273101284E-5</v>
      </c>
      <c r="AI324" s="2">
        <v>2.2399782901201378E-5</v>
      </c>
      <c r="AJ324" s="2">
        <v>2.3460852520344313E-5</v>
      </c>
      <c r="AK324" s="2">
        <v>2.4127433057318E-5</v>
      </c>
      <c r="AL324" s="2">
        <v>2.4704517116811627E-5</v>
      </c>
      <c r="AM324" s="2">
        <v>2.4990120862254896E-5</v>
      </c>
      <c r="AN324" s="2">
        <v>2.5179022034851439E-5</v>
      </c>
      <c r="AO324" s="2">
        <v>2.5370461795309291E-5</v>
      </c>
      <c r="AP324" s="2">
        <v>2.5564466679269049E-5</v>
      </c>
      <c r="AQ324" s="2">
        <v>0</v>
      </c>
      <c r="AR324" s="2">
        <v>3.1577281669763717E-4</v>
      </c>
    </row>
    <row r="325" spans="1:44" x14ac:dyDescent="0.25">
      <c r="A325" t="s">
        <v>250</v>
      </c>
      <c r="B325" t="s">
        <v>300</v>
      </c>
      <c r="C325" t="s">
        <v>44</v>
      </c>
      <c r="D325" t="s">
        <v>152</v>
      </c>
      <c r="E325" t="s">
        <v>148</v>
      </c>
      <c r="F325" t="s">
        <v>301</v>
      </c>
      <c r="G325" t="s">
        <v>31</v>
      </c>
      <c r="H325" t="s">
        <v>255</v>
      </c>
      <c r="I325" t="s">
        <v>135</v>
      </c>
      <c r="J325" t="s">
        <v>39</v>
      </c>
      <c r="K325" t="s">
        <v>31</v>
      </c>
      <c r="L325">
        <v>2.46</v>
      </c>
      <c r="M325">
        <v>1</v>
      </c>
      <c r="N325">
        <v>1.9257476908385505</v>
      </c>
      <c r="O325">
        <v>5.411417628870181</v>
      </c>
      <c r="P325">
        <v>-0.88213896288743165</v>
      </c>
      <c r="Q325">
        <v>1.5220679573740847</v>
      </c>
      <c r="R325">
        <v>-1.8625523936223547</v>
      </c>
      <c r="S325" s="2">
        <v>0</v>
      </c>
      <c r="T325" s="2">
        <v>0</v>
      </c>
      <c r="U325" s="2">
        <v>1.1133824789314256E-4</v>
      </c>
      <c r="V325" s="2">
        <v>2.0999801549095146E-4</v>
      </c>
      <c r="W325" s="2">
        <v>3.6023716978501749E-4</v>
      </c>
      <c r="X325" s="2">
        <v>5.7614618837843875E-4</v>
      </c>
      <c r="Y325" s="2">
        <v>8.7090186780528292E-4</v>
      </c>
      <c r="Z325" s="2">
        <v>1.2544827433030293E-3</v>
      </c>
      <c r="AA325" s="2">
        <v>1.7308747869800674E-3</v>
      </c>
      <c r="AB325" s="2">
        <v>2.2952020985004544E-3</v>
      </c>
      <c r="AC325" s="2">
        <v>2.9315393872354329E-3</v>
      </c>
      <c r="AD325" s="2">
        <v>3.6123910602562192E-3</v>
      </c>
      <c r="AE325" s="2">
        <v>4.3007542077960108E-3</v>
      </c>
      <c r="AF325" s="2">
        <v>4.955134973658076E-3</v>
      </c>
      <c r="AG325" s="2">
        <v>5.5368500473843008E-3</v>
      </c>
      <c r="AH325" s="2">
        <v>6.017739624527522E-3</v>
      </c>
      <c r="AI325" s="2">
        <v>6.3856921929214151E-3</v>
      </c>
      <c r="AJ325" s="2">
        <v>6.6640480220570243E-3</v>
      </c>
      <c r="AK325" s="2">
        <v>6.8289978955647221E-3</v>
      </c>
      <c r="AL325" s="2">
        <v>6.9677902435196556E-3</v>
      </c>
      <c r="AM325" s="2">
        <v>7.0239454732316407E-3</v>
      </c>
      <c r="AN325" s="2">
        <v>7.0528860666533265E-3</v>
      </c>
      <c r="AO325" s="2">
        <v>7.0825996621171235E-3</v>
      </c>
      <c r="AP325" s="2">
        <v>7.113090892231372E-3</v>
      </c>
      <c r="AQ325" s="2">
        <v>0</v>
      </c>
      <c r="AR325" s="2">
        <v>8.9882640867290239E-2</v>
      </c>
    </row>
    <row r="326" spans="1:44" x14ac:dyDescent="0.25">
      <c r="A326" t="s">
        <v>250</v>
      </c>
      <c r="B326" t="s">
        <v>300</v>
      </c>
      <c r="C326" t="s">
        <v>44</v>
      </c>
      <c r="D326" t="s">
        <v>152</v>
      </c>
      <c r="E326" t="s">
        <v>148</v>
      </c>
      <c r="F326" t="s">
        <v>301</v>
      </c>
      <c r="G326" t="s">
        <v>31</v>
      </c>
      <c r="H326" t="s">
        <v>278</v>
      </c>
      <c r="I326" t="s">
        <v>135</v>
      </c>
      <c r="J326" t="s">
        <v>39</v>
      </c>
      <c r="K326" t="s">
        <v>31</v>
      </c>
      <c r="L326">
        <v>2.46</v>
      </c>
      <c r="M326">
        <v>1</v>
      </c>
      <c r="N326">
        <v>1.9257476908385505</v>
      </c>
      <c r="O326">
        <v>5.411417628870181</v>
      </c>
      <c r="P326">
        <v>-0.88213896288743165</v>
      </c>
      <c r="Q326">
        <v>1.5220679573740847</v>
      </c>
      <c r="R326">
        <v>-1.8625523936223547</v>
      </c>
      <c r="S326" s="2">
        <v>0</v>
      </c>
      <c r="T326" s="2">
        <v>0</v>
      </c>
      <c r="U326" s="2">
        <v>9.8296726455874379E-4</v>
      </c>
      <c r="V326" s="2">
        <v>1.8540005681427505E-3</v>
      </c>
      <c r="W326" s="2">
        <v>3.1804106142914426E-3</v>
      </c>
      <c r="X326" s="2">
        <v>5.0865974046927567E-3</v>
      </c>
      <c r="Y326" s="2">
        <v>7.6888943637524352E-3</v>
      </c>
      <c r="Z326" s="2">
        <v>1.1075398562084558E-2</v>
      </c>
      <c r="AA326" s="2">
        <v>1.5281300782498416E-2</v>
      </c>
      <c r="AB326" s="2">
        <v>2.0263553370606143E-2</v>
      </c>
      <c r="AC326" s="2">
        <v>2.5881557388820135E-2</v>
      </c>
      <c r="AD326" s="2">
        <v>3.1892563662618986E-2</v>
      </c>
      <c r="AE326" s="2">
        <v>3.7969886172756165E-2</v>
      </c>
      <c r="AF326" s="2">
        <v>4.3747189871810789E-2</v>
      </c>
      <c r="AG326" s="2">
        <v>4.8882953058258766E-2</v>
      </c>
      <c r="AH326" s="2">
        <v>5.3128562461533899E-2</v>
      </c>
      <c r="AI326" s="2">
        <v>5.6377089688122002E-2</v>
      </c>
      <c r="AJ326" s="2">
        <v>5.8834597984840274E-2</v>
      </c>
      <c r="AK326" s="2">
        <v>6.0290883933463886E-2</v>
      </c>
      <c r="AL326" s="2">
        <v>6.1516234046228947E-2</v>
      </c>
      <c r="AM326" s="2">
        <v>6.2012009339851168E-2</v>
      </c>
      <c r="AN326" s="2">
        <v>6.2267515928904983E-2</v>
      </c>
      <c r="AO326" s="2">
        <v>6.2529847088286752E-2</v>
      </c>
      <c r="AP326" s="2">
        <v>6.2799043717707337E-2</v>
      </c>
      <c r="AQ326" s="2">
        <v>0</v>
      </c>
      <c r="AR326" s="2">
        <v>0.79354305727383134</v>
      </c>
    </row>
    <row r="327" spans="1:44" x14ac:dyDescent="0.25">
      <c r="A327" t="s">
        <v>250</v>
      </c>
      <c r="B327" t="s">
        <v>300</v>
      </c>
      <c r="C327" t="s">
        <v>44</v>
      </c>
      <c r="D327" t="s">
        <v>152</v>
      </c>
      <c r="E327" t="s">
        <v>148</v>
      </c>
      <c r="F327" t="s">
        <v>301</v>
      </c>
      <c r="G327" t="s">
        <v>31</v>
      </c>
      <c r="H327" t="s">
        <v>276</v>
      </c>
      <c r="I327" t="s">
        <v>135</v>
      </c>
      <c r="J327" t="s">
        <v>39</v>
      </c>
      <c r="K327" t="s">
        <v>31</v>
      </c>
      <c r="L327">
        <v>2.46</v>
      </c>
      <c r="M327">
        <v>1</v>
      </c>
      <c r="N327">
        <v>1.9257476908385505</v>
      </c>
      <c r="O327">
        <v>5.411417628870181</v>
      </c>
      <c r="P327">
        <v>-0.88213896288743165</v>
      </c>
      <c r="Q327">
        <v>1.5220679573740847</v>
      </c>
      <c r="R327">
        <v>-1.8625523936223547</v>
      </c>
      <c r="S327" s="2">
        <v>0</v>
      </c>
      <c r="T327" s="2">
        <v>0</v>
      </c>
      <c r="U327" s="2">
        <v>9.1785313517510694E-3</v>
      </c>
      <c r="V327" s="2">
        <v>1.7429074451358911E-2</v>
      </c>
      <c r="W327" s="2">
        <v>3.0098467929951619E-2</v>
      </c>
      <c r="X327" s="2">
        <v>4.8456466100878913E-2</v>
      </c>
      <c r="Y327" s="2">
        <v>7.3725534336327267E-2</v>
      </c>
      <c r="Z327" s="2">
        <v>0.10688323596774139</v>
      </c>
      <c r="AA327" s="2">
        <v>0.14841347744173786</v>
      </c>
      <c r="AB327" s="2">
        <v>0.19804234765455084</v>
      </c>
      <c r="AC327" s="2">
        <v>0.25452417787175347</v>
      </c>
      <c r="AD327" s="2">
        <v>0.31556662047561407</v>
      </c>
      <c r="AE327" s="2">
        <v>0.37798173817638847</v>
      </c>
      <c r="AF327" s="2">
        <v>0.43810537515963838</v>
      </c>
      <c r="AG327" s="2">
        <v>0.49243607566625919</v>
      </c>
      <c r="AH327" s="2">
        <v>0.53833389175499702</v>
      </c>
      <c r="AI327" s="2">
        <v>0.57454610411403517</v>
      </c>
      <c r="AJ327" s="2">
        <v>0.60300521481455804</v>
      </c>
      <c r="AK327" s="2">
        <v>0.62140334036426237</v>
      </c>
      <c r="AL327" s="2">
        <v>0.63754828009666464</v>
      </c>
      <c r="AM327" s="2">
        <v>0.64620222311232689</v>
      </c>
      <c r="AN327" s="2">
        <v>0.65236634400590421</v>
      </c>
      <c r="AO327" s="2">
        <v>0.65860186472626303</v>
      </c>
      <c r="AP327" s="2">
        <v>0.66490958119917087</v>
      </c>
      <c r="AQ327" s="2">
        <v>0</v>
      </c>
      <c r="AR327" s="2">
        <v>8.107757966772132</v>
      </c>
    </row>
    <row r="328" spans="1:44" x14ac:dyDescent="0.25">
      <c r="A328" t="s">
        <v>250</v>
      </c>
      <c r="B328" t="s">
        <v>300</v>
      </c>
      <c r="C328" t="s">
        <v>44</v>
      </c>
      <c r="D328" t="s">
        <v>152</v>
      </c>
      <c r="E328" t="s">
        <v>148</v>
      </c>
      <c r="F328" t="s">
        <v>301</v>
      </c>
      <c r="G328" t="s">
        <v>31</v>
      </c>
      <c r="H328" t="s">
        <v>290</v>
      </c>
      <c r="I328" t="s">
        <v>135</v>
      </c>
      <c r="J328" t="s">
        <v>39</v>
      </c>
      <c r="K328" t="s">
        <v>31</v>
      </c>
      <c r="L328">
        <v>2.46</v>
      </c>
      <c r="M328">
        <v>1</v>
      </c>
      <c r="N328">
        <v>1.9257476908385505</v>
      </c>
      <c r="O328">
        <v>5.411417628870181</v>
      </c>
      <c r="P328">
        <v>-0.88213896288743165</v>
      </c>
      <c r="Q328">
        <v>1.5220679573740847</v>
      </c>
      <c r="R328">
        <v>-1.8625523936223547</v>
      </c>
      <c r="S328" s="2">
        <v>0</v>
      </c>
      <c r="T328" s="2">
        <v>0</v>
      </c>
      <c r="U328" s="2">
        <v>3.3070958786612947E-3</v>
      </c>
      <c r="V328" s="2">
        <v>6.2743339436049043E-3</v>
      </c>
      <c r="W328" s="2">
        <v>1.0825842256072664E-2</v>
      </c>
      <c r="X328" s="2">
        <v>1.7413950336573263E-2</v>
      </c>
      <c r="Y328" s="2">
        <v>2.6472562413632515E-2</v>
      </c>
      <c r="Z328" s="2">
        <v>3.8346376892263147E-2</v>
      </c>
      <c r="AA328" s="2">
        <v>5.3202121096687781E-2</v>
      </c>
      <c r="AB328" s="2">
        <v>7.0934690865173039E-2</v>
      </c>
      <c r="AC328" s="2">
        <v>9.109169454954065E-2</v>
      </c>
      <c r="AD328" s="2">
        <v>0.11284803624859115</v>
      </c>
      <c r="AE328" s="2">
        <v>0.13506133265928857</v>
      </c>
      <c r="AF328" s="2">
        <v>0.15642281114861742</v>
      </c>
      <c r="AG328" s="2">
        <v>0.17568579782765539</v>
      </c>
      <c r="AH328" s="2">
        <v>0.19191449207282474</v>
      </c>
      <c r="AI328" s="2">
        <v>0.20466996885413755</v>
      </c>
      <c r="AJ328" s="2">
        <v>0.21464827544172929</v>
      </c>
      <c r="AK328" s="2">
        <v>0.2210349196540681</v>
      </c>
      <c r="AL328" s="2">
        <v>0.22661319810856959</v>
      </c>
      <c r="AM328" s="2">
        <v>0.22952457762393946</v>
      </c>
      <c r="AN328" s="2">
        <v>0.23154995771897915</v>
      </c>
      <c r="AO328" s="2">
        <v>0.23359969680150891</v>
      </c>
      <c r="AP328" s="2">
        <v>0.23567406310360825</v>
      </c>
      <c r="AQ328" s="2">
        <v>0</v>
      </c>
      <c r="AR328" s="2">
        <v>2.8871157954957267</v>
      </c>
    </row>
    <row r="329" spans="1:44" x14ac:dyDescent="0.25">
      <c r="A329" t="s">
        <v>250</v>
      </c>
      <c r="B329" t="s">
        <v>300</v>
      </c>
      <c r="C329" t="s">
        <v>44</v>
      </c>
      <c r="D329" t="s">
        <v>152</v>
      </c>
      <c r="E329" t="s">
        <v>148</v>
      </c>
      <c r="F329" t="s">
        <v>301</v>
      </c>
      <c r="G329" t="s">
        <v>31</v>
      </c>
      <c r="H329" t="s">
        <v>275</v>
      </c>
      <c r="I329" t="s">
        <v>135</v>
      </c>
      <c r="J329" t="s">
        <v>39</v>
      </c>
      <c r="K329" t="s">
        <v>31</v>
      </c>
      <c r="L329">
        <v>2.46</v>
      </c>
      <c r="M329">
        <v>1</v>
      </c>
      <c r="N329">
        <v>1.9257476908385505</v>
      </c>
      <c r="O329">
        <v>5.411417628870181</v>
      </c>
      <c r="P329">
        <v>-0.88213896288743165</v>
      </c>
      <c r="Q329">
        <v>1.5220679573740847</v>
      </c>
      <c r="R329">
        <v>-1.8625523936223547</v>
      </c>
      <c r="S329" s="2">
        <v>0</v>
      </c>
      <c r="T329" s="2">
        <v>0</v>
      </c>
      <c r="U329" s="2">
        <v>1.7536980228150654E-4</v>
      </c>
      <c r="V329" s="2">
        <v>3.3219875182353536E-4</v>
      </c>
      <c r="W329" s="2">
        <v>5.7229782394436991E-4</v>
      </c>
      <c r="X329" s="2">
        <v>9.1916905653408423E-4</v>
      </c>
      <c r="Y329" s="2">
        <v>1.395209408891565E-3</v>
      </c>
      <c r="Z329" s="2">
        <v>2.0179976959003075E-3</v>
      </c>
      <c r="AA329" s="2">
        <v>2.7956689818666768E-3</v>
      </c>
      <c r="AB329" s="2">
        <v>3.7220608767778792E-3</v>
      </c>
      <c r="AC329" s="2">
        <v>4.77286384971695E-3</v>
      </c>
      <c r="AD329" s="2">
        <v>5.9044192412068498E-3</v>
      </c>
      <c r="AE329" s="2">
        <v>7.0567467284220987E-3</v>
      </c>
      <c r="AF329" s="2">
        <v>8.1615241042351568E-3</v>
      </c>
      <c r="AG329" s="2">
        <v>9.1540406658191676E-3</v>
      </c>
      <c r="AH329" s="2">
        <v>9.9861073721706165E-3</v>
      </c>
      <c r="AI329" s="2">
        <v>1.0635602450887177E-2</v>
      </c>
      <c r="AJ329" s="2">
        <v>1.1139407094516862E-2</v>
      </c>
      <c r="AK329" s="2">
        <v>1.1455905054520141E-2</v>
      </c>
      <c r="AL329" s="2">
        <v>1.1729909345748754E-2</v>
      </c>
      <c r="AM329" s="2">
        <v>1.1865516369639138E-2</v>
      </c>
      <c r="AN329" s="2">
        <v>1.1955208210988513E-2</v>
      </c>
      <c r="AO329" s="2">
        <v>1.2046105394881398E-2</v>
      </c>
      <c r="AP329" s="2">
        <v>1.213822052065844E-2</v>
      </c>
      <c r="AQ329" s="2">
        <v>0</v>
      </c>
      <c r="AR329" s="2">
        <v>0.14993154880143122</v>
      </c>
    </row>
    <row r="330" spans="1:44" x14ac:dyDescent="0.25">
      <c r="A330" t="s">
        <v>250</v>
      </c>
      <c r="B330" t="s">
        <v>300</v>
      </c>
      <c r="C330" t="s">
        <v>44</v>
      </c>
      <c r="D330" t="s">
        <v>152</v>
      </c>
      <c r="E330" t="s">
        <v>148</v>
      </c>
      <c r="F330" t="s">
        <v>301</v>
      </c>
      <c r="G330" t="s">
        <v>31</v>
      </c>
      <c r="H330" t="s">
        <v>277</v>
      </c>
      <c r="I330" t="s">
        <v>135</v>
      </c>
      <c r="J330" t="s">
        <v>39</v>
      </c>
      <c r="K330" t="s">
        <v>31</v>
      </c>
      <c r="L330">
        <v>2.46</v>
      </c>
      <c r="M330">
        <v>1</v>
      </c>
      <c r="N330">
        <v>1.9257476908385505</v>
      </c>
      <c r="O330">
        <v>5.411417628870181</v>
      </c>
      <c r="P330">
        <v>-0.88213896288743165</v>
      </c>
      <c r="Q330">
        <v>1.5220679573740847</v>
      </c>
      <c r="R330">
        <v>-1.8625523936223547</v>
      </c>
      <c r="S330" s="2">
        <v>0</v>
      </c>
      <c r="T330" s="2">
        <v>0</v>
      </c>
      <c r="U330" s="2">
        <v>0</v>
      </c>
      <c r="V330" s="2">
        <v>0</v>
      </c>
      <c r="W330" s="2">
        <v>0</v>
      </c>
      <c r="X330" s="2">
        <v>0</v>
      </c>
      <c r="Y330" s="2">
        <v>0</v>
      </c>
      <c r="Z330" s="2">
        <v>0</v>
      </c>
      <c r="AA330" s="2">
        <v>0</v>
      </c>
      <c r="AB330" s="2">
        <v>0</v>
      </c>
      <c r="AC330" s="2">
        <v>0</v>
      </c>
      <c r="AD330" s="2">
        <v>0</v>
      </c>
      <c r="AE330" s="2">
        <v>0</v>
      </c>
      <c r="AF330" s="2">
        <v>0</v>
      </c>
      <c r="AG330" s="2">
        <v>0</v>
      </c>
      <c r="AH330" s="2">
        <v>0</v>
      </c>
      <c r="AI330" s="2">
        <v>0</v>
      </c>
      <c r="AJ330" s="2">
        <v>0</v>
      </c>
      <c r="AK330" s="2">
        <v>0</v>
      </c>
      <c r="AL330" s="2">
        <v>0</v>
      </c>
      <c r="AM330" s="2">
        <v>0</v>
      </c>
      <c r="AN330" s="2">
        <v>0</v>
      </c>
      <c r="AO330" s="2">
        <v>0</v>
      </c>
      <c r="AP330" s="2">
        <v>0</v>
      </c>
      <c r="AQ330" s="2">
        <v>0</v>
      </c>
      <c r="AR330" s="2">
        <v>0</v>
      </c>
    </row>
    <row r="331" spans="1:44" x14ac:dyDescent="0.25">
      <c r="A331" t="s">
        <v>250</v>
      </c>
      <c r="B331" t="s">
        <v>300</v>
      </c>
      <c r="C331" t="s">
        <v>44</v>
      </c>
      <c r="D331" t="s">
        <v>152</v>
      </c>
      <c r="E331" t="s">
        <v>148</v>
      </c>
      <c r="F331" t="s">
        <v>301</v>
      </c>
      <c r="G331" t="s">
        <v>31</v>
      </c>
      <c r="H331" t="s">
        <v>277</v>
      </c>
      <c r="I331" t="s">
        <v>135</v>
      </c>
      <c r="J331" t="s">
        <v>40</v>
      </c>
      <c r="K331" t="s">
        <v>31</v>
      </c>
      <c r="L331">
        <v>2.46</v>
      </c>
      <c r="M331">
        <v>1</v>
      </c>
      <c r="N331">
        <v>1.9257476908385505</v>
      </c>
      <c r="O331">
        <v>4.174629416081447</v>
      </c>
      <c r="P331">
        <v>-0.88213896288743165</v>
      </c>
      <c r="Q331">
        <v>0.4672931329656026</v>
      </c>
      <c r="R331">
        <v>-1.7195523936223542</v>
      </c>
      <c r="S331" s="2">
        <v>0</v>
      </c>
      <c r="T331" s="2">
        <v>0</v>
      </c>
      <c r="U331" s="2">
        <v>0</v>
      </c>
      <c r="V331" s="2">
        <v>0</v>
      </c>
      <c r="W331" s="2">
        <v>0</v>
      </c>
      <c r="X331" s="2">
        <v>0</v>
      </c>
      <c r="Y331" s="2">
        <v>0</v>
      </c>
      <c r="Z331" s="2">
        <v>0</v>
      </c>
      <c r="AA331" s="2">
        <v>0</v>
      </c>
      <c r="AB331" s="2">
        <v>0</v>
      </c>
      <c r="AC331" s="2">
        <v>0</v>
      </c>
      <c r="AD331" s="2">
        <v>0</v>
      </c>
      <c r="AE331" s="2">
        <v>0</v>
      </c>
      <c r="AF331" s="2">
        <v>0</v>
      </c>
      <c r="AG331" s="2">
        <v>0</v>
      </c>
      <c r="AH331" s="2">
        <v>0</v>
      </c>
      <c r="AI331" s="2">
        <v>0</v>
      </c>
      <c r="AJ331" s="2">
        <v>0</v>
      </c>
      <c r="AK331" s="2">
        <v>0</v>
      </c>
      <c r="AL331" s="2">
        <v>0</v>
      </c>
      <c r="AM331" s="2">
        <v>0</v>
      </c>
      <c r="AN331" s="2">
        <v>0</v>
      </c>
      <c r="AO331" s="2">
        <v>0</v>
      </c>
      <c r="AP331" s="2">
        <v>0</v>
      </c>
      <c r="AQ331" s="2">
        <v>0</v>
      </c>
      <c r="AR331" s="2">
        <v>0</v>
      </c>
    </row>
    <row r="332" spans="1:44" x14ac:dyDescent="0.25">
      <c r="A332" t="s">
        <v>250</v>
      </c>
      <c r="B332" t="s">
        <v>270</v>
      </c>
      <c r="C332" t="s">
        <v>43</v>
      </c>
      <c r="D332" t="s">
        <v>271</v>
      </c>
      <c r="E332" t="s">
        <v>145</v>
      </c>
      <c r="F332" t="s">
        <v>271</v>
      </c>
      <c r="G332" t="s">
        <v>31</v>
      </c>
      <c r="H332" t="s">
        <v>272</v>
      </c>
      <c r="I332" t="s">
        <v>135</v>
      </c>
      <c r="J332" t="s">
        <v>39</v>
      </c>
      <c r="K332" t="s">
        <v>31</v>
      </c>
      <c r="L332">
        <v>30.12</v>
      </c>
      <c r="M332">
        <v>0</v>
      </c>
      <c r="N332">
        <v>0.47836719693862995</v>
      </c>
      <c r="O332">
        <v>3.9948356401026599</v>
      </c>
      <c r="P332">
        <v>2.851747483966371</v>
      </c>
      <c r="Q332">
        <v>4.5233469633551158</v>
      </c>
      <c r="R332">
        <v>-1.1299449527495848</v>
      </c>
      <c r="S332" s="2">
        <v>3.5966504132006385E-3</v>
      </c>
      <c r="T332" s="2">
        <v>4.7734744283998865E-3</v>
      </c>
      <c r="U332" s="2">
        <v>5.9393955575365587E-3</v>
      </c>
      <c r="V332" s="2">
        <v>7.094489205566267E-3</v>
      </c>
      <c r="W332" s="2">
        <v>8.2388303144241073E-3</v>
      </c>
      <c r="X332" s="2">
        <v>9.3724933656888585E-3</v>
      </c>
      <c r="Y332" s="2">
        <v>1.0495552383232527E-2</v>
      </c>
      <c r="Z332" s="2">
        <v>1.1608080935855176E-2</v>
      </c>
      <c r="AA332" s="2">
        <v>1.2710152139905263E-2</v>
      </c>
      <c r="AB332" s="2">
        <v>1.3801838661885489E-2</v>
      </c>
      <c r="AC332" s="2">
        <v>1.4883212721044217E-2</v>
      </c>
      <c r="AD332" s="2">
        <v>1.5954346091952603E-2</v>
      </c>
      <c r="AE332" s="2">
        <v>1.9095672080352441E-2</v>
      </c>
      <c r="AF332" s="2">
        <v>2.1001779020130125E-2</v>
      </c>
      <c r="AG332" s="2">
        <v>2.2050597833792408E-2</v>
      </c>
      <c r="AH332" s="2">
        <v>2.3066342843723057E-2</v>
      </c>
      <c r="AI332" s="2">
        <v>2.4048612350474893E-2</v>
      </c>
      <c r="AJ332" s="2">
        <v>2.499699079116053E-2</v>
      </c>
      <c r="AK332" s="2">
        <v>2.4076744044280889E-2</v>
      </c>
      <c r="AL332" s="2">
        <v>2.3882954882929967E-3</v>
      </c>
      <c r="AM332" s="2">
        <v>2.1644086300684237E-3</v>
      </c>
      <c r="AN332" s="2">
        <v>1.9373875896108461E-3</v>
      </c>
      <c r="AO332" s="2">
        <v>1.7071641394611821E-3</v>
      </c>
      <c r="AP332" s="2">
        <v>1.4736691097907944E-3</v>
      </c>
      <c r="AQ332" s="2">
        <v>1.2368323746157314E-3</v>
      </c>
      <c r="AR332" s="2">
        <v>0.28771301251444592</v>
      </c>
    </row>
    <row r="333" spans="1:44" x14ac:dyDescent="0.25">
      <c r="A333" t="s">
        <v>250</v>
      </c>
      <c r="B333" t="s">
        <v>270</v>
      </c>
      <c r="C333" t="s">
        <v>43</v>
      </c>
      <c r="D333" t="s">
        <v>271</v>
      </c>
      <c r="E333" t="s">
        <v>145</v>
      </c>
      <c r="F333" t="s">
        <v>271</v>
      </c>
      <c r="G333" t="s">
        <v>31</v>
      </c>
      <c r="H333" t="s">
        <v>272</v>
      </c>
      <c r="I333" t="s">
        <v>135</v>
      </c>
      <c r="J333" t="s">
        <v>40</v>
      </c>
      <c r="K333" t="s">
        <v>31</v>
      </c>
      <c r="L333">
        <v>30.12</v>
      </c>
      <c r="M333">
        <v>0</v>
      </c>
      <c r="N333">
        <v>0.47836719693862995</v>
      </c>
      <c r="O333">
        <v>2.8220930578635595</v>
      </c>
      <c r="P333">
        <v>2.851747483966371</v>
      </c>
      <c r="Q333">
        <v>0.4672931329656026</v>
      </c>
      <c r="R333">
        <v>-0.98694495274958494</v>
      </c>
      <c r="S333" s="2">
        <v>3.5576570307534476E-4</v>
      </c>
      <c r="T333" s="2">
        <v>4.721722411215976E-4</v>
      </c>
      <c r="U333" s="2">
        <v>5.8750031101554776E-4</v>
      </c>
      <c r="V333" s="2">
        <v>7.0175737150185143E-4</v>
      </c>
      <c r="W333" s="2">
        <v>8.149508355251E-4</v>
      </c>
      <c r="X333" s="2">
        <v>9.2708807049335384E-4</v>
      </c>
      <c r="Y333" s="2">
        <v>1.0381763985402195E-3</v>
      </c>
      <c r="Z333" s="2">
        <v>1.1482230967854825E-3</v>
      </c>
      <c r="AA333" s="2">
        <v>1.2572353975942965E-3</v>
      </c>
      <c r="AB333" s="2">
        <v>1.3652204888349412E-3</v>
      </c>
      <c r="AC333" s="2">
        <v>1.4721855141351589E-3</v>
      </c>
      <c r="AD333" s="2">
        <v>1.5781375731370709E-3</v>
      </c>
      <c r="AE333" s="2">
        <v>1.8888644774673136E-3</v>
      </c>
      <c r="AF333" s="2">
        <v>2.0774086498666923E-3</v>
      </c>
      <c r="AG333" s="2">
        <v>2.181153445655492E-3</v>
      </c>
      <c r="AH333" s="2">
        <v>2.2816267183085599E-3</v>
      </c>
      <c r="AI333" s="2">
        <v>2.3787887333869277E-3</v>
      </c>
      <c r="AJ333" s="2">
        <v>2.4725983851378143E-3</v>
      </c>
      <c r="AK333" s="2">
        <v>2.3815714035593785E-3</v>
      </c>
      <c r="AL333" s="2">
        <v>2.3624025855437569E-4</v>
      </c>
      <c r="AM333" s="2">
        <v>2.1409430151800955E-4</v>
      </c>
      <c r="AN333" s="2">
        <v>1.9163832420787913E-4</v>
      </c>
      <c r="AO333" s="2">
        <v>1.688655778474566E-4</v>
      </c>
      <c r="AP333" s="2">
        <v>1.4576922044491717E-4</v>
      </c>
      <c r="AQ333" s="2">
        <v>1.2234231542952202E-4</v>
      </c>
      <c r="AR333" s="2">
        <v>2.8459374813144301E-2</v>
      </c>
    </row>
    <row r="334" spans="1:44" x14ac:dyDescent="0.25">
      <c r="A334" t="s">
        <v>250</v>
      </c>
      <c r="B334" t="s">
        <v>270</v>
      </c>
      <c r="C334" t="s">
        <v>43</v>
      </c>
      <c r="D334" t="s">
        <v>271</v>
      </c>
      <c r="E334" t="s">
        <v>145</v>
      </c>
      <c r="F334" t="s">
        <v>271</v>
      </c>
      <c r="G334" t="s">
        <v>31</v>
      </c>
      <c r="H334" t="s">
        <v>253</v>
      </c>
      <c r="I334" t="s">
        <v>135</v>
      </c>
      <c r="J334" t="s">
        <v>39</v>
      </c>
      <c r="K334" t="s">
        <v>31</v>
      </c>
      <c r="L334">
        <v>30.12</v>
      </c>
      <c r="M334">
        <v>0</v>
      </c>
      <c r="N334">
        <v>0.47836719693862995</v>
      </c>
      <c r="O334">
        <v>3.9948356401026599</v>
      </c>
      <c r="P334">
        <v>2.851747483966371</v>
      </c>
      <c r="Q334">
        <v>4.5233469633551158</v>
      </c>
      <c r="R334">
        <v>-1.1299449527495848</v>
      </c>
      <c r="S334" s="2">
        <v>1.2375678285397483E-3</v>
      </c>
      <c r="T334" s="2">
        <v>1.6433250672569797E-3</v>
      </c>
      <c r="U334" s="2">
        <v>2.0457342931015331E-3</v>
      </c>
      <c r="V334" s="2">
        <v>2.4448161389997794E-3</v>
      </c>
      <c r="W334" s="2">
        <v>2.8405911249681942E-3</v>
      </c>
      <c r="X334" s="2">
        <v>3.2330796586923709E-3</v>
      </c>
      <c r="Y334" s="2">
        <v>3.622302036103199E-3</v>
      </c>
      <c r="Z334" s="2">
        <v>4.008278441950194E-3</v>
      </c>
      <c r="AA334" s="2">
        <v>4.3910289503720197E-3</v>
      </c>
      <c r="AB334" s="2">
        <v>4.7705735254641767E-3</v>
      </c>
      <c r="AC334" s="2">
        <v>5.1469320218439198E-3</v>
      </c>
      <c r="AD334" s="2">
        <v>5.5201241852123892E-3</v>
      </c>
      <c r="AE334" s="2">
        <v>6.6059993149810668E-3</v>
      </c>
      <c r="AF334" s="2">
        <v>7.2355150302723433E-3</v>
      </c>
      <c r="AG334" s="2">
        <v>7.6024701658917761E-3</v>
      </c>
      <c r="AH334" s="2">
        <v>7.9586222557963601E-3</v>
      </c>
      <c r="AI334" s="2">
        <v>8.3038219996446859E-3</v>
      </c>
      <c r="AJ334" s="2">
        <v>8.6379154522261258E-3</v>
      </c>
      <c r="AK334" s="2">
        <v>8.5340418517392668E-3</v>
      </c>
      <c r="AL334" s="2">
        <v>1.1578100810476621E-3</v>
      </c>
      <c r="AM334" s="2">
        <v>7.2380326377475765E-4</v>
      </c>
      <c r="AN334" s="2">
        <v>6.4817967578957288E-4</v>
      </c>
      <c r="AO334" s="2">
        <v>5.7141209652698506E-4</v>
      </c>
      <c r="AP334" s="2">
        <v>4.9347713522562169E-4</v>
      </c>
      <c r="AQ334" s="2">
        <v>4.1435106895252097E-4</v>
      </c>
      <c r="AR334" s="2">
        <v>9.9791772664373224E-2</v>
      </c>
    </row>
    <row r="335" spans="1:44" x14ac:dyDescent="0.25">
      <c r="A335" t="s">
        <v>250</v>
      </c>
      <c r="B335" t="s">
        <v>270</v>
      </c>
      <c r="C335" t="s">
        <v>43</v>
      </c>
      <c r="D335" t="s">
        <v>271</v>
      </c>
      <c r="E335" t="s">
        <v>145</v>
      </c>
      <c r="F335" t="s">
        <v>271</v>
      </c>
      <c r="G335" t="s">
        <v>31</v>
      </c>
      <c r="H335" t="s">
        <v>253</v>
      </c>
      <c r="I335" t="s">
        <v>135</v>
      </c>
      <c r="J335" t="s">
        <v>40</v>
      </c>
      <c r="K335" t="s">
        <v>31</v>
      </c>
      <c r="L335">
        <v>30.12</v>
      </c>
      <c r="M335">
        <v>0</v>
      </c>
      <c r="N335">
        <v>0.47836719693862995</v>
      </c>
      <c r="O335">
        <v>2.8220930578635595</v>
      </c>
      <c r="P335">
        <v>2.851747483966371</v>
      </c>
      <c r="Q335">
        <v>0.4672931329656026</v>
      </c>
      <c r="R335">
        <v>-0.98694495274958494</v>
      </c>
      <c r="S335" s="2">
        <v>6.5098639935143429E-4</v>
      </c>
      <c r="T335" s="2">
        <v>8.6442314015212451E-4</v>
      </c>
      <c r="U335" s="2">
        <v>1.076098756596876E-3</v>
      </c>
      <c r="V335" s="2">
        <v>1.2860241020337946E-3</v>
      </c>
      <c r="W335" s="2">
        <v>1.4942099704180318E-3</v>
      </c>
      <c r="X335" s="2">
        <v>1.7006670966163632E-3</v>
      </c>
      <c r="Y335" s="2">
        <v>1.9054061567102655E-3</v>
      </c>
      <c r="Z335" s="2">
        <v>2.1084377682975041E-3</v>
      </c>
      <c r="AA335" s="2">
        <v>2.3097724907922327E-3</v>
      </c>
      <c r="AB335" s="2">
        <v>2.5094208257236193E-3</v>
      </c>
      <c r="AC335" s="2">
        <v>2.707393217032999E-3</v>
      </c>
      <c r="AD335" s="2">
        <v>2.9037000513695605E-3</v>
      </c>
      <c r="AE335" s="2">
        <v>3.4748929383949688E-3</v>
      </c>
      <c r="AF335" s="2">
        <v>3.8060312884570873E-3</v>
      </c>
      <c r="AG335" s="2">
        <v>3.9990573165676188E-3</v>
      </c>
      <c r="AH335" s="2">
        <v>4.1864007181022702E-3</v>
      </c>
      <c r="AI335" s="2">
        <v>4.3679829579783775E-3</v>
      </c>
      <c r="AJ335" s="2">
        <v>4.5437230578155722E-3</v>
      </c>
      <c r="AK335" s="2">
        <v>4.4890833850564698E-3</v>
      </c>
      <c r="AL335" s="2">
        <v>6.0903216649011512E-4</v>
      </c>
      <c r="AM335" s="2">
        <v>3.807355602314863E-4</v>
      </c>
      <c r="AN335" s="2">
        <v>3.4095598119492348E-4</v>
      </c>
      <c r="AO335" s="2">
        <v>3.0057463896978291E-4</v>
      </c>
      <c r="AP335" s="2">
        <v>2.5957922952945367E-4</v>
      </c>
      <c r="AQ335" s="2">
        <v>2.1795727411813066E-4</v>
      </c>
      <c r="AR335" s="2">
        <v>5.2492546488001057E-2</v>
      </c>
    </row>
    <row r="336" spans="1:44" x14ac:dyDescent="0.25">
      <c r="A336" t="s">
        <v>250</v>
      </c>
      <c r="B336" t="s">
        <v>270</v>
      </c>
      <c r="C336" t="s">
        <v>43</v>
      </c>
      <c r="D336" t="s">
        <v>271</v>
      </c>
      <c r="E336" t="s">
        <v>145</v>
      </c>
      <c r="F336" t="s">
        <v>271</v>
      </c>
      <c r="G336" t="s">
        <v>31</v>
      </c>
      <c r="H336" t="s">
        <v>253</v>
      </c>
      <c r="I336" t="s">
        <v>256</v>
      </c>
      <c r="J336" t="s">
        <v>39</v>
      </c>
      <c r="K336" t="s">
        <v>31</v>
      </c>
      <c r="L336">
        <v>30.12</v>
      </c>
      <c r="M336">
        <v>0</v>
      </c>
      <c r="N336">
        <v>0.31690942763799917</v>
      </c>
      <c r="O336">
        <v>2.6465047861031121</v>
      </c>
      <c r="P336">
        <v>3.58207699444247</v>
      </c>
      <c r="Q336">
        <v>0.4672931329656026</v>
      </c>
      <c r="R336">
        <v>-0.39961544227348605</v>
      </c>
      <c r="S336" s="2">
        <v>6.4917970892210185E-4</v>
      </c>
      <c r="T336" s="2">
        <v>8.6202409615402829E-4</v>
      </c>
      <c r="U336" s="2">
        <v>1.0731122466997463E-3</v>
      </c>
      <c r="V336" s="2">
        <v>1.2824549837859324E-3</v>
      </c>
      <c r="W336" s="2">
        <v>1.4900630714111452E-3</v>
      </c>
      <c r="X336" s="2">
        <v>1.6959472146495537E-3</v>
      </c>
      <c r="Y336" s="2">
        <v>1.9001180599531769E-3</v>
      </c>
      <c r="Z336" s="2">
        <v>2.1025861954526315E-3</v>
      </c>
      <c r="AA336" s="2">
        <v>2.3033621512564034E-3</v>
      </c>
      <c r="AB336" s="2">
        <v>2.5024563997486393E-3</v>
      </c>
      <c r="AC336" s="2">
        <v>2.6998793558854757E-3</v>
      </c>
      <c r="AD336" s="2">
        <v>2.8956413774899104E-3</v>
      </c>
      <c r="AE336" s="2">
        <v>3.4652490259860337E-3</v>
      </c>
      <c r="AF336" s="2">
        <v>3.795468363779328E-3</v>
      </c>
      <c r="AG336" s="2">
        <v>3.9879586844189423E-3</v>
      </c>
      <c r="AH336" s="2">
        <v>4.174782149544946E-3</v>
      </c>
      <c r="AI336" s="2">
        <v>4.3558604420340661E-3</v>
      </c>
      <c r="AJ336" s="2">
        <v>4.5311128082461986E-3</v>
      </c>
      <c r="AK336" s="2">
        <v>4.476624777631894E-3</v>
      </c>
      <c r="AL336" s="2">
        <v>6.0734191215075018E-4</v>
      </c>
      <c r="AM336" s="2">
        <v>3.7967890022528759E-4</v>
      </c>
      <c r="AN336" s="2">
        <v>3.4000972193564506E-4</v>
      </c>
      <c r="AO336" s="2">
        <v>2.9974045053809603E-4</v>
      </c>
      <c r="AP336" s="2">
        <v>2.5885881615351797E-4</v>
      </c>
      <c r="AQ336" s="2">
        <v>2.173523746585676E-4</v>
      </c>
      <c r="AR336" s="2">
        <v>5.2346863288712013E-2</v>
      </c>
    </row>
    <row r="337" spans="1:44" x14ac:dyDescent="0.25">
      <c r="A337" t="s">
        <v>250</v>
      </c>
      <c r="B337" t="s">
        <v>270</v>
      </c>
      <c r="C337" t="s">
        <v>43</v>
      </c>
      <c r="D337" t="s">
        <v>271</v>
      </c>
      <c r="E337" t="s">
        <v>145</v>
      </c>
      <c r="F337" t="s">
        <v>271</v>
      </c>
      <c r="G337" t="s">
        <v>31</v>
      </c>
      <c r="H337" t="s">
        <v>273</v>
      </c>
      <c r="I337" t="s">
        <v>135</v>
      </c>
      <c r="J337" t="s">
        <v>39</v>
      </c>
      <c r="K337" t="s">
        <v>31</v>
      </c>
      <c r="L337">
        <v>30.12</v>
      </c>
      <c r="M337">
        <v>0</v>
      </c>
      <c r="N337">
        <v>0.47836719693862995</v>
      </c>
      <c r="O337">
        <v>3.9948356401026599</v>
      </c>
      <c r="P337">
        <v>2.851747483966371</v>
      </c>
      <c r="Q337">
        <v>4.5233469633551158</v>
      </c>
      <c r="R337">
        <v>-1.1299449527495848</v>
      </c>
      <c r="S337" s="2">
        <v>1.081716160761704E-3</v>
      </c>
      <c r="T337" s="2">
        <v>1.4356536885629335E-3</v>
      </c>
      <c r="U337" s="2">
        <v>1.7863121019944296E-3</v>
      </c>
      <c r="V337" s="2">
        <v>2.1337140795903062E-3</v>
      </c>
      <c r="W337" s="2">
        <v>2.4778821606282224E-3</v>
      </c>
      <c r="X337" s="2">
        <v>2.8188387459306651E-3</v>
      </c>
      <c r="Y337" s="2">
        <v>3.1566060986618068E-3</v>
      </c>
      <c r="Z337" s="2">
        <v>3.491206345119958E-3</v>
      </c>
      <c r="AA337" s="2">
        <v>3.8226614755256468E-3</v>
      </c>
      <c r="AB337" s="2">
        <v>4.1509933448053409E-3</v>
      </c>
      <c r="AC337" s="2">
        <v>4.4762236733708388E-3</v>
      </c>
      <c r="AD337" s="2">
        <v>4.798374047894358E-3</v>
      </c>
      <c r="AE337" s="2">
        <v>5.7431484066702964E-3</v>
      </c>
      <c r="AF337" s="2">
        <v>6.3164225490028314E-3</v>
      </c>
      <c r="AG337" s="2">
        <v>6.6318616743304909E-3</v>
      </c>
      <c r="AH337" s="2">
        <v>6.9373536366358684E-3</v>
      </c>
      <c r="AI337" s="2">
        <v>7.2327776221800429E-3</v>
      </c>
      <c r="AJ337" s="2">
        <v>7.5180086477037991E-3</v>
      </c>
      <c r="AK337" s="2">
        <v>7.2412384132838131E-3</v>
      </c>
      <c r="AL337" s="2">
        <v>7.1829550541770691E-4</v>
      </c>
      <c r="AM337" s="2">
        <v>6.5096006691227034E-4</v>
      </c>
      <c r="AN337" s="2">
        <v>5.8268200257924254E-4</v>
      </c>
      <c r="AO337" s="2">
        <v>5.1344079256362236E-4</v>
      </c>
      <c r="AP337" s="2">
        <v>4.4321563358654435E-4</v>
      </c>
      <c r="AQ337" s="2">
        <v>3.7198543479918122E-4</v>
      </c>
      <c r="AR337" s="2">
        <v>8.6531572308511939E-2</v>
      </c>
    </row>
    <row r="338" spans="1:44" x14ac:dyDescent="0.25">
      <c r="A338" t="s">
        <v>250</v>
      </c>
      <c r="B338" t="s">
        <v>270</v>
      </c>
      <c r="C338" t="s">
        <v>43</v>
      </c>
      <c r="D338" t="s">
        <v>271</v>
      </c>
      <c r="E338" t="s">
        <v>145</v>
      </c>
      <c r="F338" t="s">
        <v>271</v>
      </c>
      <c r="G338" t="s">
        <v>31</v>
      </c>
      <c r="H338" t="s">
        <v>274</v>
      </c>
      <c r="I338" t="s">
        <v>135</v>
      </c>
      <c r="J338" t="s">
        <v>39</v>
      </c>
      <c r="K338" t="s">
        <v>31</v>
      </c>
      <c r="L338">
        <v>30.12</v>
      </c>
      <c r="M338">
        <v>0</v>
      </c>
      <c r="N338">
        <v>0.47836719693862995</v>
      </c>
      <c r="O338">
        <v>3.9948356401026599</v>
      </c>
      <c r="P338">
        <v>2.851747483966371</v>
      </c>
      <c r="Q338">
        <v>4.5233469633551158</v>
      </c>
      <c r="R338">
        <v>-1.1299449527495848</v>
      </c>
      <c r="S338" s="2">
        <v>1.7028149404186325E-3</v>
      </c>
      <c r="T338" s="2">
        <v>2.2599759889236092E-3</v>
      </c>
      <c r="U338" s="2">
        <v>2.8119751242181999E-3</v>
      </c>
      <c r="V338" s="2">
        <v>3.3588480463761557E-3</v>
      </c>
      <c r="W338" s="2">
        <v>3.9006302362566293E-3</v>
      </c>
      <c r="X338" s="2">
        <v>4.4373569567655409E-3</v>
      </c>
      <c r="Y338" s="2">
        <v>4.9690632541099719E-3</v>
      </c>
      <c r="Z338" s="2">
        <v>5.4957839590456282E-3</v>
      </c>
      <c r="AA338" s="2">
        <v>6.0175536881174208E-3</v>
      </c>
      <c r="AB338" s="2">
        <v>6.5344068448931784E-3</v>
      </c>
      <c r="AC338" s="2">
        <v>7.0463776211905594E-3</v>
      </c>
      <c r="AD338" s="2">
        <v>7.5534999982971671E-3</v>
      </c>
      <c r="AE338" s="2">
        <v>9.0407440201626249E-3</v>
      </c>
      <c r="AF338" s="2">
        <v>9.9431801766421031E-3</v>
      </c>
      <c r="AG338" s="2">
        <v>1.0439737845728127E-2</v>
      </c>
      <c r="AH338" s="2">
        <v>1.0920636898974299E-2</v>
      </c>
      <c r="AI338" s="2">
        <v>1.1385687153921433E-2</v>
      </c>
      <c r="AJ338" s="2">
        <v>1.1834691864538633E-2</v>
      </c>
      <c r="AK338" s="2">
        <v>1.1399005954196267E-2</v>
      </c>
      <c r="AL338" s="2">
        <v>1.1307257510136111E-3</v>
      </c>
      <c r="AM338" s="2">
        <v>1.0247277130200035E-3</v>
      </c>
      <c r="AN338" s="2">
        <v>9.1724581317738352E-4</v>
      </c>
      <c r="AO338" s="2">
        <v>8.0824774955943297E-4</v>
      </c>
      <c r="AP338" s="2">
        <v>6.9770077407998814E-4</v>
      </c>
      <c r="AQ338" s="2">
        <v>5.8557168596625137E-4</v>
      </c>
      <c r="AR338" s="2">
        <v>0.13621619005959287</v>
      </c>
    </row>
    <row r="339" spans="1:44" x14ac:dyDescent="0.25">
      <c r="A339" t="s">
        <v>250</v>
      </c>
      <c r="B339" t="s">
        <v>270</v>
      </c>
      <c r="C339" t="s">
        <v>43</v>
      </c>
      <c r="D339" t="s">
        <v>271</v>
      </c>
      <c r="E339" t="s">
        <v>145</v>
      </c>
      <c r="F339" t="s">
        <v>271</v>
      </c>
      <c r="G339" t="s">
        <v>31</v>
      </c>
      <c r="H339" t="s">
        <v>274</v>
      </c>
      <c r="I339" t="s">
        <v>135</v>
      </c>
      <c r="J339" t="s">
        <v>39</v>
      </c>
      <c r="K339" t="s">
        <v>33</v>
      </c>
      <c r="L339">
        <v>30.12</v>
      </c>
      <c r="M339">
        <v>0</v>
      </c>
      <c r="N339">
        <v>0.47836719693862995</v>
      </c>
      <c r="O339">
        <v>3.9948356401026599</v>
      </c>
      <c r="P339">
        <v>2.851747483966371</v>
      </c>
      <c r="Q339">
        <v>4.5233469633551158</v>
      </c>
      <c r="R339">
        <v>-1.1299449527495848</v>
      </c>
      <c r="S339" s="2">
        <v>5.4787774821295065E-6</v>
      </c>
      <c r="T339" s="2">
        <v>7.271433474282281E-6</v>
      </c>
      <c r="U339" s="2">
        <v>9.0474811003757275E-6</v>
      </c>
      <c r="V339" s="2">
        <v>1.0807035224776797E-5</v>
      </c>
      <c r="W339" s="2">
        <v>1.2550210006533293E-5</v>
      </c>
      <c r="X339" s="2">
        <v>1.4277118903432274E-5</v>
      </c>
      <c r="Y339" s="2">
        <v>1.5987874676036042E-5</v>
      </c>
      <c r="Z339" s="2">
        <v>1.7682589391695864E-5</v>
      </c>
      <c r="AA339" s="2">
        <v>1.9361374428543465E-5</v>
      </c>
      <c r="AB339" s="2">
        <v>2.1024340479460547E-5</v>
      </c>
      <c r="AC339" s="2">
        <v>2.2671597556026281E-5</v>
      </c>
      <c r="AD339" s="2">
        <v>2.4303254992443069E-5</v>
      </c>
      <c r="AE339" s="2">
        <v>2.9088436789958284E-5</v>
      </c>
      <c r="AF339" s="2">
        <v>3.1992009442406161E-5</v>
      </c>
      <c r="AG339" s="2">
        <v>3.3589675114342583E-5</v>
      </c>
      <c r="AH339" s="2">
        <v>3.5136959461903431E-5</v>
      </c>
      <c r="AI339" s="2">
        <v>3.6633250576330965E-5</v>
      </c>
      <c r="AJ339" s="2">
        <v>3.8077915430689695E-5</v>
      </c>
      <c r="AK339" s="2">
        <v>3.6676103584783525E-5</v>
      </c>
      <c r="AL339" s="2">
        <v>3.6380904560270852E-6</v>
      </c>
      <c r="AM339" s="2">
        <v>3.2970436106390986E-6</v>
      </c>
      <c r="AN339" s="2">
        <v>2.9512224655359892E-6</v>
      </c>
      <c r="AO339" s="2">
        <v>2.6005230898311368E-6</v>
      </c>
      <c r="AP339" s="2">
        <v>2.2448401171262971E-6</v>
      </c>
      <c r="AQ339" s="2">
        <v>1.8840667245119318E-6</v>
      </c>
      <c r="AR339" s="2">
        <v>4.382732245798213E-4</v>
      </c>
    </row>
    <row r="340" spans="1:44" x14ac:dyDescent="0.25">
      <c r="A340" t="s">
        <v>250</v>
      </c>
      <c r="B340" t="s">
        <v>270</v>
      </c>
      <c r="C340" t="s">
        <v>43</v>
      </c>
      <c r="D340" t="s">
        <v>271</v>
      </c>
      <c r="E340" t="s">
        <v>145</v>
      </c>
      <c r="F340" t="s">
        <v>271</v>
      </c>
      <c r="G340" t="s">
        <v>31</v>
      </c>
      <c r="H340" t="s">
        <v>278</v>
      </c>
      <c r="I340" t="s">
        <v>135</v>
      </c>
      <c r="J340" t="s">
        <v>39</v>
      </c>
      <c r="K340" t="s">
        <v>31</v>
      </c>
      <c r="L340">
        <v>30.12</v>
      </c>
      <c r="M340">
        <v>0</v>
      </c>
      <c r="N340">
        <v>0.47836719693862995</v>
      </c>
      <c r="O340">
        <v>3.9948356401026599</v>
      </c>
      <c r="P340">
        <v>2.851747483966371</v>
      </c>
      <c r="Q340">
        <v>4.5233469633551158</v>
      </c>
      <c r="R340">
        <v>-1.1299449527495848</v>
      </c>
      <c r="S340" s="2">
        <v>9.4960154809521094E-2</v>
      </c>
      <c r="T340" s="2">
        <v>0.12547401788831383</v>
      </c>
      <c r="U340" s="2">
        <v>0.15543093965914875</v>
      </c>
      <c r="V340" s="2">
        <v>0.18483847344265966</v>
      </c>
      <c r="W340" s="2">
        <v>0.21370408171195504</v>
      </c>
      <c r="X340" s="2">
        <v>0.24203513711605421</v>
      </c>
      <c r="Y340" s="2">
        <v>0.26983892349226096</v>
      </c>
      <c r="Z340" s="2">
        <v>0.29712263686758944</v>
      </c>
      <c r="AA340" s="2">
        <v>0.32389338644935933</v>
      </c>
      <c r="AB340" s="2">
        <v>0.35015819560507105</v>
      </c>
      <c r="AC340" s="2">
        <v>0.37592400283167765</v>
      </c>
      <c r="AD340" s="2">
        <v>0.40119766271436103</v>
      </c>
      <c r="AE340" s="2">
        <v>0.48091246803970827</v>
      </c>
      <c r="AF340" s="2">
        <v>0.54919510353314682</v>
      </c>
      <c r="AG340" s="2">
        <v>0.57286998034331282</v>
      </c>
      <c r="AH340" s="2">
        <v>0.59531170724673277</v>
      </c>
      <c r="AI340" s="2">
        <v>0.61652090041542529</v>
      </c>
      <c r="AJ340" s="2">
        <v>0.63649760251191079</v>
      </c>
      <c r="AK340" s="2">
        <v>0.25529127996084761</v>
      </c>
      <c r="AL340" s="2">
        <v>7.8441436943275822E-2</v>
      </c>
      <c r="AM340" s="2">
        <v>7.0799895679982711E-2</v>
      </c>
      <c r="AN340" s="2">
        <v>6.3120064033358375E-2</v>
      </c>
      <c r="AO340" s="2">
        <v>5.5399446309709111E-2</v>
      </c>
      <c r="AP340" s="2">
        <v>4.7635530837912672E-2</v>
      </c>
      <c r="AQ340" s="2">
        <v>3.9825789502089287E-2</v>
      </c>
      <c r="AR340" s="2">
        <v>7.0963988179453859</v>
      </c>
    </row>
    <row r="341" spans="1:44" x14ac:dyDescent="0.25">
      <c r="A341" t="s">
        <v>250</v>
      </c>
      <c r="B341" t="s">
        <v>270</v>
      </c>
      <c r="C341" t="s">
        <v>43</v>
      </c>
      <c r="D341" t="s">
        <v>271</v>
      </c>
      <c r="E341" t="s">
        <v>145</v>
      </c>
      <c r="F341" t="s">
        <v>271</v>
      </c>
      <c r="G341" t="s">
        <v>31</v>
      </c>
      <c r="H341" t="s">
        <v>276</v>
      </c>
      <c r="I341" t="s">
        <v>135</v>
      </c>
      <c r="J341" t="s">
        <v>39</v>
      </c>
      <c r="K341" t="s">
        <v>31</v>
      </c>
      <c r="L341">
        <v>30.12</v>
      </c>
      <c r="M341">
        <v>0</v>
      </c>
      <c r="N341">
        <v>0.47836719693862995</v>
      </c>
      <c r="O341">
        <v>3.9948356401026599</v>
      </c>
      <c r="P341">
        <v>2.851747483966371</v>
      </c>
      <c r="Q341">
        <v>4.5233469633551158</v>
      </c>
      <c r="R341">
        <v>-1.1299449527495848</v>
      </c>
      <c r="S341" s="2">
        <v>6.0681254861756316E-3</v>
      </c>
      <c r="T341" s="2">
        <v>8.0738432302062176E-3</v>
      </c>
      <c r="U341" s="2">
        <v>1.0071110199278479E-2</v>
      </c>
      <c r="V341" s="2">
        <v>1.2059953041431993E-2</v>
      </c>
      <c r="W341" s="2">
        <v>1.4040398330052484E-2</v>
      </c>
      <c r="X341" s="2">
        <v>1.6012472564067858E-2</v>
      </c>
      <c r="Y341" s="2">
        <v>1.7976202168143728E-2</v>
      </c>
      <c r="Z341" s="2">
        <v>1.9931613492878475E-2</v>
      </c>
      <c r="AA341" s="2">
        <v>2.1878732814997772E-2</v>
      </c>
      <c r="AB341" s="2">
        <v>2.3817586337548664E-2</v>
      </c>
      <c r="AC341" s="2">
        <v>2.5748200190093135E-2</v>
      </c>
      <c r="AD341" s="2">
        <v>2.7670600428901165E-2</v>
      </c>
      <c r="AE341" s="2">
        <v>3.3094716992286839E-2</v>
      </c>
      <c r="AF341" s="2">
        <v>3.5666977061735994E-2</v>
      </c>
      <c r="AG341" s="2">
        <v>3.7586575504529318E-2</v>
      </c>
      <c r="AH341" s="2">
        <v>3.9464982960923205E-2</v>
      </c>
      <c r="AI341" s="2">
        <v>4.1301309746321992E-2</v>
      </c>
      <c r="AJ341" s="2">
        <v>4.3094644706333958E-2</v>
      </c>
      <c r="AK341" s="2">
        <v>4.2708623638053556E-2</v>
      </c>
      <c r="AL341" s="2">
        <v>1.6773784409761947E-2</v>
      </c>
      <c r="AM341" s="2">
        <v>3.1307856096206834E-3</v>
      </c>
      <c r="AN341" s="2">
        <v>2.8087791090315151E-3</v>
      </c>
      <c r="AO341" s="2">
        <v>2.4805715350429023E-3</v>
      </c>
      <c r="AP341" s="2">
        <v>2.1460524455695087E-3</v>
      </c>
      <c r="AQ341" s="2">
        <v>1.8051097448713491E-3</v>
      </c>
      <c r="AR341" s="2">
        <v>0.50541175174785857</v>
      </c>
    </row>
    <row r="342" spans="1:44" x14ac:dyDescent="0.25">
      <c r="A342" t="s">
        <v>250</v>
      </c>
      <c r="B342" t="s">
        <v>270</v>
      </c>
      <c r="C342" t="s">
        <v>43</v>
      </c>
      <c r="D342" t="s">
        <v>271</v>
      </c>
      <c r="E342" t="s">
        <v>145</v>
      </c>
      <c r="F342" t="s">
        <v>271</v>
      </c>
      <c r="G342" t="s">
        <v>31</v>
      </c>
      <c r="H342" t="s">
        <v>275</v>
      </c>
      <c r="I342" t="s">
        <v>135</v>
      </c>
      <c r="J342" t="s">
        <v>39</v>
      </c>
      <c r="K342" t="s">
        <v>31</v>
      </c>
      <c r="L342">
        <v>30.12</v>
      </c>
      <c r="M342">
        <v>0</v>
      </c>
      <c r="N342">
        <v>0.47836719693862995</v>
      </c>
      <c r="O342">
        <v>3.9948356401026599</v>
      </c>
      <c r="P342">
        <v>2.851747483966371</v>
      </c>
      <c r="Q342">
        <v>4.5233469633551158</v>
      </c>
      <c r="R342">
        <v>-1.1299449527495848</v>
      </c>
      <c r="S342" s="2">
        <v>2.6013689272710253E-3</v>
      </c>
      <c r="T342" s="2">
        <v>3.4525368402741046E-3</v>
      </c>
      <c r="U342" s="2">
        <v>4.2958189635110547E-3</v>
      </c>
      <c r="V342" s="2">
        <v>5.131269835534683E-3</v>
      </c>
      <c r="W342" s="2">
        <v>5.9589436600064292E-3</v>
      </c>
      <c r="X342" s="2">
        <v>6.7788943076233111E-3</v>
      </c>
      <c r="Y342" s="2">
        <v>7.5911753180342729E-3</v>
      </c>
      <c r="Z342" s="2">
        <v>8.3958399017459058E-3</v>
      </c>
      <c r="AA342" s="2">
        <v>9.1929409420176602E-3</v>
      </c>
      <c r="AB342" s="2">
        <v>9.9825309967465966E-3</v>
      </c>
      <c r="AC342" s="2">
        <v>1.0764662300341692E-2</v>
      </c>
      <c r="AD342" s="2">
        <v>1.1539386765587824E-2</v>
      </c>
      <c r="AE342" s="2">
        <v>1.3811430716998798E-2</v>
      </c>
      <c r="AF342" s="2">
        <v>1.5190071061635675E-2</v>
      </c>
      <c r="AG342" s="2">
        <v>1.5948655955564894E-2</v>
      </c>
      <c r="AH342" s="2">
        <v>1.6683319379390098E-2</v>
      </c>
      <c r="AI342" s="2">
        <v>1.7393770793764862E-2</v>
      </c>
      <c r="AJ342" s="2">
        <v>1.8079709632257086E-2</v>
      </c>
      <c r="AK342" s="2">
        <v>1.7414117757114333E-2</v>
      </c>
      <c r="AL342" s="2">
        <v>1.72739548152476E-3</v>
      </c>
      <c r="AM342" s="2">
        <v>1.565463614565414E-3</v>
      </c>
      <c r="AN342" s="2">
        <v>1.4012648705574863E-3</v>
      </c>
      <c r="AO342" s="2">
        <v>1.2347499022552213E-3</v>
      </c>
      <c r="AP342" s="2">
        <v>1.0658686808200249E-3</v>
      </c>
      <c r="AQ342" s="2">
        <v>8.9457048584963301E-4</v>
      </c>
      <c r="AR342" s="2">
        <v>0.20809575709099282</v>
      </c>
    </row>
    <row r="343" spans="1:44" x14ac:dyDescent="0.25">
      <c r="A343" t="s">
        <v>250</v>
      </c>
      <c r="B343" t="s">
        <v>270</v>
      </c>
      <c r="C343" t="s">
        <v>43</v>
      </c>
      <c r="D343" t="s">
        <v>271</v>
      </c>
      <c r="E343" t="s">
        <v>145</v>
      </c>
      <c r="F343" t="s">
        <v>271</v>
      </c>
      <c r="G343" t="s">
        <v>31</v>
      </c>
      <c r="H343" t="s">
        <v>277</v>
      </c>
      <c r="I343" t="s">
        <v>135</v>
      </c>
      <c r="J343" t="s">
        <v>39</v>
      </c>
      <c r="K343" t="s">
        <v>31</v>
      </c>
      <c r="L343">
        <v>30.12</v>
      </c>
      <c r="M343">
        <v>0</v>
      </c>
      <c r="N343">
        <v>0.47836719693862995</v>
      </c>
      <c r="O343">
        <v>3.9948356401026599</v>
      </c>
      <c r="P343">
        <v>2.851747483966371</v>
      </c>
      <c r="Q343">
        <v>4.5233469633551158</v>
      </c>
      <c r="R343">
        <v>-1.1299449527495848</v>
      </c>
      <c r="S343" s="2">
        <v>3.5891841172192386E-2</v>
      </c>
      <c r="T343" s="2">
        <v>4.7629908909146167E-2</v>
      </c>
      <c r="U343" s="2">
        <v>5.9256369673868763E-2</v>
      </c>
      <c r="V343" s="2">
        <v>7.0772015530809737E-2</v>
      </c>
      <c r="W343" s="2">
        <v>8.2177633553755028E-2</v>
      </c>
      <c r="X343" s="2">
        <v>9.3474005855292919E-2</v>
      </c>
      <c r="Y343" s="2">
        <v>0.10466190961611295</v>
      </c>
      <c r="Z343" s="2">
        <v>0.11574211711413876</v>
      </c>
      <c r="AA343" s="2">
        <v>0.12671539575349602</v>
      </c>
      <c r="AB343" s="2">
        <v>0.1375825080933159</v>
      </c>
      <c r="AC343" s="2">
        <v>0.14834421187637509</v>
      </c>
      <c r="AD343" s="2">
        <v>0.15900126005757387</v>
      </c>
      <c r="AE343" s="2">
        <v>0.19031483427659346</v>
      </c>
      <c r="AF343" s="2">
        <v>0.2095199904782111</v>
      </c>
      <c r="AG343" s="2">
        <v>0.21994428051242293</v>
      </c>
      <c r="AH343" s="2">
        <v>0.23003454063480588</v>
      </c>
      <c r="AI343" s="2">
        <v>0.23978684441975673</v>
      </c>
      <c r="AJ343" s="2">
        <v>0.24919712609769104</v>
      </c>
      <c r="AK343" s="2">
        <v>0.23607034854816944</v>
      </c>
      <c r="AL343" s="2">
        <v>2.3996190061350852E-2</v>
      </c>
      <c r="AM343" s="2">
        <v>2.1744302350083202E-2</v>
      </c>
      <c r="AN343" s="2">
        <v>1.9461454398547347E-2</v>
      </c>
      <c r="AO343" s="2">
        <v>1.7146962057828841E-2</v>
      </c>
      <c r="AP343" s="2">
        <v>1.4800131802053005E-2</v>
      </c>
      <c r="AQ343" s="2">
        <v>1.2420260590615462E-2</v>
      </c>
      <c r="AR343" s="2">
        <v>2.8656864434342064</v>
      </c>
    </row>
    <row r="344" spans="1:44" x14ac:dyDescent="0.25">
      <c r="A344" t="s">
        <v>250</v>
      </c>
      <c r="B344" t="s">
        <v>270</v>
      </c>
      <c r="C344" t="s">
        <v>43</v>
      </c>
      <c r="D344" t="s">
        <v>271</v>
      </c>
      <c r="E344" t="s">
        <v>145</v>
      </c>
      <c r="F344" t="s">
        <v>271</v>
      </c>
      <c r="G344" t="s">
        <v>31</v>
      </c>
      <c r="H344" t="s">
        <v>277</v>
      </c>
      <c r="I344" t="s">
        <v>135</v>
      </c>
      <c r="J344" t="s">
        <v>40</v>
      </c>
      <c r="K344" t="s">
        <v>31</v>
      </c>
      <c r="L344">
        <v>30.12</v>
      </c>
      <c r="M344">
        <v>0</v>
      </c>
      <c r="N344">
        <v>0.47836719693862995</v>
      </c>
      <c r="O344">
        <v>2.8220930578635595</v>
      </c>
      <c r="P344">
        <v>2.851747483966371</v>
      </c>
      <c r="Q344">
        <v>0.4672931329656026</v>
      </c>
      <c r="R344">
        <v>-0.98694495274958494</v>
      </c>
      <c r="S344" s="2">
        <v>5.6617724842863088E-3</v>
      </c>
      <c r="T344" s="2">
        <v>7.5133985575473027E-3</v>
      </c>
      <c r="U344" s="2">
        <v>9.3474191454445982E-3</v>
      </c>
      <c r="V344" s="2">
        <v>1.1163959192493718E-2</v>
      </c>
      <c r="W344" s="2">
        <v>1.2963142855956006E-2</v>
      </c>
      <c r="X344" s="2">
        <v>1.4745093510486739E-2</v>
      </c>
      <c r="Y344" s="2">
        <v>1.6509933752756899E-2</v>
      </c>
      <c r="Z344" s="2">
        <v>1.8257785406048756E-2</v>
      </c>
      <c r="AA344" s="2">
        <v>1.9988769524825433E-2</v>
      </c>
      <c r="AB344" s="2">
        <v>2.1703006399274472E-2</v>
      </c>
      <c r="AC344" s="2">
        <v>2.3400615559825717E-2</v>
      </c>
      <c r="AD344" s="2">
        <v>2.5081715781643598E-2</v>
      </c>
      <c r="AE344" s="2">
        <v>3.0021287759780507E-2</v>
      </c>
      <c r="AF344" s="2">
        <v>3.3050812615222705E-2</v>
      </c>
      <c r="AG344" s="2">
        <v>3.4695196312363466E-2</v>
      </c>
      <c r="AH344" s="2">
        <v>3.6286888330784119E-2</v>
      </c>
      <c r="AI344" s="2">
        <v>3.7825269294946381E-2</v>
      </c>
      <c r="AJ344" s="2">
        <v>3.9309697848441412E-2</v>
      </c>
      <c r="AK344" s="2">
        <v>3.7239009204170809E-2</v>
      </c>
      <c r="AL344" s="2">
        <v>3.7852883602505156E-3</v>
      </c>
      <c r="AM344" s="2">
        <v>3.4300634549527175E-3</v>
      </c>
      <c r="AN344" s="2">
        <v>3.0699547144785516E-3</v>
      </c>
      <c r="AO344" s="2">
        <v>2.704854217490883E-3</v>
      </c>
      <c r="AP344" s="2">
        <v>2.3346525634799632E-3</v>
      </c>
      <c r="AQ344" s="2">
        <v>1.9592388510315177E-3</v>
      </c>
      <c r="AR344" s="2">
        <v>0.4520488256979831</v>
      </c>
    </row>
    <row r="345" spans="1:44" x14ac:dyDescent="0.25">
      <c r="A345" t="s">
        <v>250</v>
      </c>
      <c r="B345" t="s">
        <v>270</v>
      </c>
      <c r="C345" t="s">
        <v>43</v>
      </c>
      <c r="D345" t="s">
        <v>271</v>
      </c>
      <c r="E345" t="s">
        <v>148</v>
      </c>
      <c r="F345" t="s">
        <v>271</v>
      </c>
      <c r="G345" t="s">
        <v>31</v>
      </c>
      <c r="H345" t="s">
        <v>272</v>
      </c>
      <c r="I345" t="s">
        <v>135</v>
      </c>
      <c r="J345" t="s">
        <v>39</v>
      </c>
      <c r="K345" t="s">
        <v>31</v>
      </c>
      <c r="L345">
        <v>30.12</v>
      </c>
      <c r="M345">
        <v>0</v>
      </c>
      <c r="N345">
        <v>0.47836719693862995</v>
      </c>
      <c r="O345">
        <v>3.9948356401026599</v>
      </c>
      <c r="P345">
        <v>2.851747483966371</v>
      </c>
      <c r="Q345">
        <v>4.5233469633551158</v>
      </c>
      <c r="R345">
        <v>-1.1299449527495848</v>
      </c>
      <c r="S345" s="2">
        <v>4.89496934890587E-4</v>
      </c>
      <c r="T345" s="2">
        <v>9.1737605026568291E-4</v>
      </c>
      <c r="U345" s="2">
        <v>1.1543469134675315E-3</v>
      </c>
      <c r="V345" s="2">
        <v>1.3945000379976676E-3</v>
      </c>
      <c r="W345" s="2">
        <v>1.6379027501142137E-3</v>
      </c>
      <c r="X345" s="2">
        <v>1.8846232916546503E-3</v>
      </c>
      <c r="Y345" s="2">
        <v>2.1347308333463625E-3</v>
      </c>
      <c r="Z345" s="2">
        <v>2.3882954882929967E-3</v>
      </c>
      <c r="AA345" s="2">
        <v>2.6453883256391838E-3</v>
      </c>
      <c r="AB345" s="2">
        <v>2.9060813844162692E-3</v>
      </c>
      <c r="AC345" s="2">
        <v>3.170447687570768E-3</v>
      </c>
      <c r="AD345" s="2">
        <v>3.4385612561785217E-3</v>
      </c>
      <c r="AE345" s="2">
        <v>3.7104971238471974E-3</v>
      </c>
      <c r="AF345" s="2">
        <v>3.9863313513080175E-3</v>
      </c>
      <c r="AG345" s="2">
        <v>4.2661410412022961E-3</v>
      </c>
      <c r="AH345" s="2">
        <v>4.5500043530611791E-3</v>
      </c>
      <c r="AI345" s="2">
        <v>4.8380005184856722E-3</v>
      </c>
      <c r="AJ345" s="2">
        <v>5.1302098565252415E-3</v>
      </c>
      <c r="AK345" s="2">
        <v>5.168298846915228E-3</v>
      </c>
      <c r="AL345" s="2">
        <v>5.206904415995201E-3</v>
      </c>
      <c r="AM345" s="2">
        <v>5.246031945430725E-3</v>
      </c>
      <c r="AN345" s="2">
        <v>5.2856868791315561E-3</v>
      </c>
      <c r="AO345" s="2">
        <v>5.3258747239413118E-3</v>
      </c>
      <c r="AP345" s="2">
        <v>5.3666010503337584E-3</v>
      </c>
      <c r="AQ345" s="2">
        <v>5.4078714931185268E-3</v>
      </c>
      <c r="AR345" s="2">
        <v>8.7650204553130356E-2</v>
      </c>
    </row>
    <row r="346" spans="1:44" x14ac:dyDescent="0.25">
      <c r="A346" t="s">
        <v>250</v>
      </c>
      <c r="B346" t="s">
        <v>270</v>
      </c>
      <c r="C346" t="s">
        <v>43</v>
      </c>
      <c r="D346" t="s">
        <v>271</v>
      </c>
      <c r="E346" t="s">
        <v>148</v>
      </c>
      <c r="F346" t="s">
        <v>271</v>
      </c>
      <c r="G346" t="s">
        <v>31</v>
      </c>
      <c r="H346" t="s">
        <v>272</v>
      </c>
      <c r="I346" t="s">
        <v>135</v>
      </c>
      <c r="J346" t="s">
        <v>40</v>
      </c>
      <c r="K346" t="s">
        <v>31</v>
      </c>
      <c r="L346">
        <v>30.12</v>
      </c>
      <c r="M346">
        <v>0</v>
      </c>
      <c r="N346">
        <v>0.47836719693862995</v>
      </c>
      <c r="O346">
        <v>2.8220930578635595</v>
      </c>
      <c r="P346">
        <v>2.851747483966371</v>
      </c>
      <c r="Q346">
        <v>0.4672931329656026</v>
      </c>
      <c r="R346">
        <v>-0.98694495274958494</v>
      </c>
      <c r="S346" s="2">
        <v>4.8419001345088813E-5</v>
      </c>
      <c r="T346" s="2">
        <v>9.0743024206463733E-5</v>
      </c>
      <c r="U346" s="2">
        <v>1.1418319660852639E-4</v>
      </c>
      <c r="V346" s="2">
        <v>1.379381450685259E-4</v>
      </c>
      <c r="W346" s="2">
        <v>1.6201452921994481E-4</v>
      </c>
      <c r="X346" s="2">
        <v>1.8641909926159049E-4</v>
      </c>
      <c r="Y346" s="2">
        <v>2.1115869727417774E-4</v>
      </c>
      <c r="Z346" s="2">
        <v>2.3624025855437569E-4</v>
      </c>
      <c r="AA346" s="2">
        <v>2.6167081296645607E-4</v>
      </c>
      <c r="AB346" s="2">
        <v>2.8745748631181864E-4</v>
      </c>
      <c r="AC346" s="2">
        <v>3.1360750171670516E-4</v>
      </c>
      <c r="AD346" s="2">
        <v>3.4012818103814019E-4</v>
      </c>
      <c r="AE346" s="2">
        <v>3.6702694628856634E-4</v>
      </c>
      <c r="AF346" s="2">
        <v>3.94311321079252E-4</v>
      </c>
      <c r="AG346" s="2">
        <v>4.2198893208285977E-4</v>
      </c>
      <c r="AH346" s="2">
        <v>4.5006751051520841E-4</v>
      </c>
      <c r="AI346" s="2">
        <v>4.7855489363678736E-4</v>
      </c>
      <c r="AJ346" s="2">
        <v>5.0745902627399679E-4</v>
      </c>
      <c r="AK346" s="2">
        <v>5.112266308195453E-4</v>
      </c>
      <c r="AL346" s="2">
        <v>5.1504533318104211E-4</v>
      </c>
      <c r="AM346" s="2">
        <v>5.1891566569046033E-4</v>
      </c>
      <c r="AN346" s="2">
        <v>5.2283816683672203E-4</v>
      </c>
      <c r="AO346" s="2">
        <v>5.2681338133389946E-4</v>
      </c>
      <c r="AP346" s="2">
        <v>5.3084186019008821E-4</v>
      </c>
      <c r="AQ346" s="2">
        <v>5.3492416077722659E-4</v>
      </c>
      <c r="AR346" s="2">
        <v>8.6699937622774677E-3</v>
      </c>
    </row>
    <row r="347" spans="1:44" x14ac:dyDescent="0.25">
      <c r="A347" t="s">
        <v>250</v>
      </c>
      <c r="B347" t="s">
        <v>270</v>
      </c>
      <c r="C347" t="s">
        <v>43</v>
      </c>
      <c r="D347" t="s">
        <v>271</v>
      </c>
      <c r="E347" t="s">
        <v>148</v>
      </c>
      <c r="F347" t="s">
        <v>271</v>
      </c>
      <c r="G347" t="s">
        <v>31</v>
      </c>
      <c r="H347" t="s">
        <v>253</v>
      </c>
      <c r="I347" t="s">
        <v>135</v>
      </c>
      <c r="J347" t="s">
        <v>39</v>
      </c>
      <c r="K347" t="s">
        <v>31</v>
      </c>
      <c r="L347">
        <v>30.12</v>
      </c>
      <c r="M347">
        <v>0</v>
      </c>
      <c r="N347">
        <v>0.47836719693862995</v>
      </c>
      <c r="O347">
        <v>3.9948356401026599</v>
      </c>
      <c r="P347">
        <v>2.851747483966371</v>
      </c>
      <c r="Q347">
        <v>4.5233469633551158</v>
      </c>
      <c r="R347">
        <v>-1.1299449527495848</v>
      </c>
      <c r="S347" s="2">
        <v>1.6843050872167499E-4</v>
      </c>
      <c r="T347" s="2">
        <v>3.0575846118110643E-4</v>
      </c>
      <c r="U347" s="2">
        <v>3.8493006025291438E-4</v>
      </c>
      <c r="V347" s="2">
        <v>4.6523886381789301E-4</v>
      </c>
      <c r="W347" s="2">
        <v>5.467076218381192E-4</v>
      </c>
      <c r="X347" s="2">
        <v>6.2935940255135099E-4</v>
      </c>
      <c r="Y347" s="2">
        <v>7.1321759702886259E-4</v>
      </c>
      <c r="Z347" s="2">
        <v>7.9830592379404508E-4</v>
      </c>
      <c r="AA347" s="2">
        <v>8.8464843350248134E-4</v>
      </c>
      <c r="AB347" s="2">
        <v>9.7226951368435915E-4</v>
      </c>
      <c r="AC347" s="2">
        <v>1.0611938935501154E-3</v>
      </c>
      <c r="AD347" s="2">
        <v>1.1514466488597847E-3</v>
      </c>
      <c r="AE347" s="2">
        <v>1.2430532068575639E-3</v>
      </c>
      <c r="AF347" s="2">
        <v>1.3360393512716179E-3</v>
      </c>
      <c r="AG347" s="2">
        <v>1.4304312273807592E-3</v>
      </c>
      <c r="AH347" s="2">
        <v>1.5262553471481065E-3</v>
      </c>
      <c r="AI347" s="2">
        <v>1.6235385944236027E-3</v>
      </c>
      <c r="AJ347" s="2">
        <v>1.7223082302149004E-3</v>
      </c>
      <c r="AK347" s="2">
        <v>1.7358018076466873E-3</v>
      </c>
      <c r="AL347" s="2">
        <v>1.7494705720771401E-3</v>
      </c>
      <c r="AM347" s="2">
        <v>1.7633163902582112E-3</v>
      </c>
      <c r="AN347" s="2">
        <v>1.777341150277525E-3</v>
      </c>
      <c r="AO347" s="2">
        <v>1.7915467617958603E-3</v>
      </c>
      <c r="AP347" s="2">
        <v>1.8059351562873019E-3</v>
      </c>
      <c r="AQ347" s="2">
        <v>1.8205082872825809E-3</v>
      </c>
      <c r="AR347" s="2">
        <v>2.9407053011704563E-2</v>
      </c>
    </row>
    <row r="348" spans="1:44" x14ac:dyDescent="0.25">
      <c r="A348" t="s">
        <v>250</v>
      </c>
      <c r="B348" t="s">
        <v>270</v>
      </c>
      <c r="C348" t="s">
        <v>43</v>
      </c>
      <c r="D348" t="s">
        <v>271</v>
      </c>
      <c r="E348" t="s">
        <v>148</v>
      </c>
      <c r="F348" t="s">
        <v>271</v>
      </c>
      <c r="G348" t="s">
        <v>31</v>
      </c>
      <c r="H348" t="s">
        <v>253</v>
      </c>
      <c r="I348" t="s">
        <v>135</v>
      </c>
      <c r="J348" t="s">
        <v>40</v>
      </c>
      <c r="K348" t="s">
        <v>31</v>
      </c>
      <c r="L348">
        <v>30.12</v>
      </c>
      <c r="M348">
        <v>0</v>
      </c>
      <c r="N348">
        <v>0.47836719693862995</v>
      </c>
      <c r="O348">
        <v>2.8220930578635595</v>
      </c>
      <c r="P348">
        <v>2.851747483966371</v>
      </c>
      <c r="Q348">
        <v>0.4672931329656026</v>
      </c>
      <c r="R348">
        <v>-0.98694495274958494</v>
      </c>
      <c r="S348" s="2">
        <v>8.8597948237737278E-5</v>
      </c>
      <c r="T348" s="2">
        <v>1.6083530544777015E-4</v>
      </c>
      <c r="U348" s="2">
        <v>2.0248121205756109E-4</v>
      </c>
      <c r="V348" s="2">
        <v>2.4472531186636086E-4</v>
      </c>
      <c r="W348" s="2">
        <v>2.8757957182704437E-4</v>
      </c>
      <c r="X348" s="2">
        <v>3.3105612631212285E-4</v>
      </c>
      <c r="Y348" s="2">
        <v>3.7516727951125153E-4</v>
      </c>
      <c r="Z348" s="2">
        <v>4.1992550786068561E-4</v>
      </c>
      <c r="AA348" s="2">
        <v>4.653434625051498E-4</v>
      </c>
      <c r="AB348" s="2">
        <v>5.1143397179238522E-4</v>
      </c>
      <c r="AC348" s="2">
        <v>5.5821004380102548E-4</v>
      </c>
      <c r="AD348" s="2">
        <v>6.0568486890205881E-4</v>
      </c>
      <c r="AE348" s="2">
        <v>6.5387182235439258E-4</v>
      </c>
      <c r="AF348" s="2">
        <v>7.0278446693494278E-4</v>
      </c>
      <c r="AG348" s="2">
        <v>7.5243655560373911E-4</v>
      </c>
      <c r="AH348" s="2">
        <v>8.028420342044404E-4</v>
      </c>
      <c r="AI348" s="2">
        <v>8.5401504420084152E-4</v>
      </c>
      <c r="AJ348" s="2">
        <v>9.059699254495582E-4</v>
      </c>
      <c r="AK348" s="2">
        <v>9.1306782762843913E-4</v>
      </c>
      <c r="AL348" s="2">
        <v>9.2025788180967439E-4</v>
      </c>
      <c r="AM348" s="2">
        <v>9.2754106994361995E-4</v>
      </c>
      <c r="AN348" s="2">
        <v>9.3491838520359252E-4</v>
      </c>
      <c r="AO348" s="2">
        <v>9.4239083211086208E-4</v>
      </c>
      <c r="AP348" s="2">
        <v>9.4995942666093835E-4</v>
      </c>
      <c r="AQ348" s="2">
        <v>9.5762519645158106E-4</v>
      </c>
      <c r="AR348" s="2">
        <v>1.5468721078677776E-2</v>
      </c>
    </row>
    <row r="349" spans="1:44" x14ac:dyDescent="0.25">
      <c r="A349" t="s">
        <v>250</v>
      </c>
      <c r="B349" t="s">
        <v>270</v>
      </c>
      <c r="C349" t="s">
        <v>43</v>
      </c>
      <c r="D349" t="s">
        <v>271</v>
      </c>
      <c r="E349" t="s">
        <v>148</v>
      </c>
      <c r="F349" t="s">
        <v>271</v>
      </c>
      <c r="G349" t="s">
        <v>31</v>
      </c>
      <c r="H349" t="s">
        <v>253</v>
      </c>
      <c r="I349" t="s">
        <v>256</v>
      </c>
      <c r="J349" t="s">
        <v>39</v>
      </c>
      <c r="K349" t="s">
        <v>31</v>
      </c>
      <c r="L349">
        <v>30.12</v>
      </c>
      <c r="M349">
        <v>0</v>
      </c>
      <c r="N349">
        <v>0.31690942763799917</v>
      </c>
      <c r="O349">
        <v>2.6465047861031121</v>
      </c>
      <c r="P349">
        <v>3.58207699444247</v>
      </c>
      <c r="Q349">
        <v>0.4672931329656026</v>
      </c>
      <c r="R349">
        <v>-0.39961544227348605</v>
      </c>
      <c r="S349" s="2">
        <v>8.8352061280192465E-5</v>
      </c>
      <c r="T349" s="2">
        <v>1.6038893727887983E-4</v>
      </c>
      <c r="U349" s="2">
        <v>2.0191926350025227E-4</v>
      </c>
      <c r="V349" s="2">
        <v>2.4404612274780629E-4</v>
      </c>
      <c r="W349" s="2">
        <v>2.8678144876240045E-4</v>
      </c>
      <c r="X349" s="2">
        <v>3.3013734223986897E-4</v>
      </c>
      <c r="Y349" s="2">
        <v>3.7412607322189276E-4</v>
      </c>
      <c r="Z349" s="2">
        <v>4.1876008351873257E-4</v>
      </c>
      <c r="AA349" s="2">
        <v>4.6405198916424036E-4</v>
      </c>
      <c r="AB349" s="2">
        <v>5.100145829034675E-4</v>
      </c>
      <c r="AC349" s="2">
        <v>5.5666083671360698E-4</v>
      </c>
      <c r="AD349" s="2">
        <v>6.0400390435820885E-4</v>
      </c>
      <c r="AE349" s="2">
        <v>6.5205712397570345E-4</v>
      </c>
      <c r="AF349" s="2">
        <v>7.0083402070202474E-4</v>
      </c>
      <c r="AG349" s="2">
        <v>7.5034830932848553E-4</v>
      </c>
      <c r="AH349" s="2">
        <v>8.0061389699465329E-4</v>
      </c>
      <c r="AI349" s="2">
        <v>8.5164488591734332E-4</v>
      </c>
      <c r="AJ349" s="2">
        <v>9.0345557615562218E-4</v>
      </c>
      <c r="AK349" s="2">
        <v>9.1053377944071861E-4</v>
      </c>
      <c r="AL349" s="2">
        <v>9.17703878977608E-4</v>
      </c>
      <c r="AM349" s="2">
        <v>9.2496685399141333E-4</v>
      </c>
      <c r="AN349" s="2">
        <v>9.3232369489910721E-4</v>
      </c>
      <c r="AO349" s="2">
        <v>9.3977540343405874E-4</v>
      </c>
      <c r="AP349" s="2">
        <v>9.4732299277213729E-4</v>
      </c>
      <c r="AQ349" s="2">
        <v>9.5496748765914617E-4</v>
      </c>
      <c r="AR349" s="2">
        <v>1.5425790549937573E-2</v>
      </c>
    </row>
    <row r="350" spans="1:44" x14ac:dyDescent="0.25">
      <c r="A350" t="s">
        <v>250</v>
      </c>
      <c r="B350" t="s">
        <v>270</v>
      </c>
      <c r="C350" t="s">
        <v>43</v>
      </c>
      <c r="D350" t="s">
        <v>271</v>
      </c>
      <c r="E350" t="s">
        <v>148</v>
      </c>
      <c r="F350" t="s">
        <v>271</v>
      </c>
      <c r="G350" t="s">
        <v>31</v>
      </c>
      <c r="H350" t="s">
        <v>273</v>
      </c>
      <c r="I350" t="s">
        <v>135</v>
      </c>
      <c r="J350" t="s">
        <v>39</v>
      </c>
      <c r="K350" t="s">
        <v>31</v>
      </c>
      <c r="L350">
        <v>30.12</v>
      </c>
      <c r="M350">
        <v>0</v>
      </c>
      <c r="N350">
        <v>0.47836719693862995</v>
      </c>
      <c r="O350">
        <v>3.9948356401026599</v>
      </c>
      <c r="P350">
        <v>2.851747483966371</v>
      </c>
      <c r="Q350">
        <v>4.5233469633551158</v>
      </c>
      <c r="R350">
        <v>-1.1299449527495848</v>
      </c>
      <c r="S350" s="2">
        <v>1.4721940813904996E-4</v>
      </c>
      <c r="T350" s="2">
        <v>2.7590685361746228E-4</v>
      </c>
      <c r="U350" s="2">
        <v>3.4717739228706974E-4</v>
      </c>
      <c r="V350" s="2">
        <v>4.1940501688696055E-4</v>
      </c>
      <c r="W350" s="2">
        <v>4.9260997623005347E-4</v>
      </c>
      <c r="X350" s="2">
        <v>5.6681279449580972E-4</v>
      </c>
      <c r="Y350" s="2">
        <v>6.4203427523336853E-4</v>
      </c>
      <c r="Z350" s="2">
        <v>7.1829550541770691E-4</v>
      </c>
      <c r="AA350" s="2">
        <v>7.956178595594414E-4</v>
      </c>
      <c r="AB350" s="2">
        <v>8.7402300386886359E-4</v>
      </c>
      <c r="AC350" s="2">
        <v>9.5353290047529881E-4</v>
      </c>
      <c r="AD350" s="2">
        <v>1.0341698117019374E-3</v>
      </c>
      <c r="AE350" s="2">
        <v>1.1159563043975447E-3</v>
      </c>
      <c r="AF350" s="2">
        <v>1.1989152543251185E-3</v>
      </c>
      <c r="AG350" s="2">
        <v>1.2830698506087559E-3</v>
      </c>
      <c r="AH350" s="2">
        <v>1.3684436002392867E-3</v>
      </c>
      <c r="AI350" s="2">
        <v>1.455060332639434E-3</v>
      </c>
      <c r="AJ350" s="2">
        <v>1.5429442042892206E-3</v>
      </c>
      <c r="AK350" s="2">
        <v>1.5543997175358356E-3</v>
      </c>
      <c r="AL350" s="2">
        <v>1.5660105952058038E-3</v>
      </c>
      <c r="AM350" s="2">
        <v>1.5777784558701807E-3</v>
      </c>
      <c r="AN350" s="2">
        <v>1.5897049368205542E-3</v>
      </c>
      <c r="AO350" s="2">
        <v>1.6017916942761253E-3</v>
      </c>
      <c r="AP350" s="2">
        <v>1.614040403593408E-3</v>
      </c>
      <c r="AQ350" s="2">
        <v>1.626452759478262E-3</v>
      </c>
      <c r="AR350" s="2">
        <v>2.6361372907192555E-2</v>
      </c>
    </row>
    <row r="351" spans="1:44" x14ac:dyDescent="0.25">
      <c r="A351" t="s">
        <v>250</v>
      </c>
      <c r="B351" t="s">
        <v>270</v>
      </c>
      <c r="C351" t="s">
        <v>43</v>
      </c>
      <c r="D351" t="s">
        <v>271</v>
      </c>
      <c r="E351" t="s">
        <v>148</v>
      </c>
      <c r="F351" t="s">
        <v>271</v>
      </c>
      <c r="G351" t="s">
        <v>31</v>
      </c>
      <c r="H351" t="s">
        <v>274</v>
      </c>
      <c r="I351" t="s">
        <v>135</v>
      </c>
      <c r="J351" t="s">
        <v>39</v>
      </c>
      <c r="K351" t="s">
        <v>31</v>
      </c>
      <c r="L351">
        <v>30.12</v>
      </c>
      <c r="M351">
        <v>0</v>
      </c>
      <c r="N351">
        <v>0.47836719693862995</v>
      </c>
      <c r="O351">
        <v>3.9948356401026599</v>
      </c>
      <c r="P351">
        <v>2.851747483966371</v>
      </c>
      <c r="Q351">
        <v>4.5233469633551158</v>
      </c>
      <c r="R351">
        <v>-1.1299449527495848</v>
      </c>
      <c r="S351" s="2">
        <v>2.3174971105381103E-4</v>
      </c>
      <c r="T351" s="2">
        <v>4.3432679435323024E-4</v>
      </c>
      <c r="U351" s="2">
        <v>5.4651938466530479E-4</v>
      </c>
      <c r="V351" s="2">
        <v>6.6021859961743303E-4</v>
      </c>
      <c r="W351" s="2">
        <v>7.7545631446713397E-4</v>
      </c>
      <c r="X351" s="2">
        <v>8.9226483794810905E-4</v>
      </c>
      <c r="Y351" s="2">
        <v>1.0106769185720351E-3</v>
      </c>
      <c r="Z351" s="2">
        <v>1.1307257510136111E-3</v>
      </c>
      <c r="AA351" s="2">
        <v>1.2524449825800038E-3</v>
      </c>
      <c r="AB351" s="2">
        <v>1.3758687197660752E-3</v>
      </c>
      <c r="AC351" s="2">
        <v>1.50103153489609E-3</v>
      </c>
      <c r="AD351" s="2">
        <v>1.6279684728533067E-3</v>
      </c>
      <c r="AE351" s="2">
        <v>1.7567150578987557E-3</v>
      </c>
      <c r="AF351" s="2">
        <v>1.8873073005796807E-3</v>
      </c>
      <c r="AG351" s="2">
        <v>2.0197817047300569E-3</v>
      </c>
      <c r="AH351" s="2">
        <v>2.1541752745626499E-3</v>
      </c>
      <c r="AI351" s="2">
        <v>2.2905255218561701E-3</v>
      </c>
      <c r="AJ351" s="2">
        <v>2.428870473235715E-3</v>
      </c>
      <c r="AK351" s="2">
        <v>2.4469035024296312E-3</v>
      </c>
      <c r="AL351" s="2">
        <v>2.4651811030470087E-3</v>
      </c>
      <c r="AM351" s="2">
        <v>2.4837058230086327E-3</v>
      </c>
      <c r="AN351" s="2">
        <v>2.5024802397046043E-3</v>
      </c>
      <c r="AO351" s="2">
        <v>2.5215069603205516E-3</v>
      </c>
      <c r="AP351" s="2">
        <v>2.5407886221676277E-3</v>
      </c>
      <c r="AQ351" s="2">
        <v>2.5603278930162992E-3</v>
      </c>
      <c r="AR351" s="2">
        <v>4.1497521498343522E-2</v>
      </c>
    </row>
    <row r="352" spans="1:44" x14ac:dyDescent="0.25">
      <c r="A352" t="s">
        <v>250</v>
      </c>
      <c r="B352" t="s">
        <v>270</v>
      </c>
      <c r="C352" t="s">
        <v>43</v>
      </c>
      <c r="D352" t="s">
        <v>271</v>
      </c>
      <c r="E352" t="s">
        <v>148</v>
      </c>
      <c r="F352" t="s">
        <v>271</v>
      </c>
      <c r="G352" t="s">
        <v>31</v>
      </c>
      <c r="H352" t="s">
        <v>274</v>
      </c>
      <c r="I352" t="s">
        <v>135</v>
      </c>
      <c r="J352" t="s">
        <v>39</v>
      </c>
      <c r="K352" t="s">
        <v>33</v>
      </c>
      <c r="L352">
        <v>30.12</v>
      </c>
      <c r="M352">
        <v>0</v>
      </c>
      <c r="N352">
        <v>0.47836719693862995</v>
      </c>
      <c r="O352">
        <v>3.9948356401026599</v>
      </c>
      <c r="P352">
        <v>2.851747483966371</v>
      </c>
      <c r="Q352">
        <v>4.5233469633551158</v>
      </c>
      <c r="R352">
        <v>-1.1299449527495848</v>
      </c>
      <c r="S352" s="2">
        <v>7.4565066835711819E-7</v>
      </c>
      <c r="T352" s="2">
        <v>1.3974389138275588E-6</v>
      </c>
      <c r="U352" s="2">
        <v>1.7584166236616568E-6</v>
      </c>
      <c r="V352" s="2">
        <v>2.1242418720955061E-6</v>
      </c>
      <c r="W352" s="2">
        <v>2.4950172172162936E-6</v>
      </c>
      <c r="X352" s="2">
        <v>2.8708466118134145E-6</v>
      </c>
      <c r="Y352" s="2">
        <v>3.251835423653952E-6</v>
      </c>
      <c r="Z352" s="2">
        <v>3.6380904560270852E-6</v>
      </c>
      <c r="AA352" s="2">
        <v>4.0297199685588979E-6</v>
      </c>
      <c r="AB352" s="2">
        <v>4.4268336983039838E-6</v>
      </c>
      <c r="AC352" s="2">
        <v>4.8295428811149696E-6</v>
      </c>
      <c r="AD352" s="2">
        <v>5.2379602732946953E-6</v>
      </c>
      <c r="AE352" s="2">
        <v>5.6522001735357995E-6</v>
      </c>
      <c r="AF352" s="2">
        <v>6.0723784451483148E-6</v>
      </c>
      <c r="AG352" s="2">
        <v>6.4986125385836577E-6</v>
      </c>
      <c r="AH352" s="2">
        <v>6.931021514253545E-6</v>
      </c>
      <c r="AI352" s="2">
        <v>7.3697260656541457E-6</v>
      </c>
      <c r="AJ352" s="2">
        <v>7.8148485427908588E-6</v>
      </c>
      <c r="AK352" s="2">
        <v>7.8728695008745077E-6</v>
      </c>
      <c r="AL352" s="2">
        <v>7.9316773632633264E-6</v>
      </c>
      <c r="AM352" s="2">
        <v>7.9912803278482979E-6</v>
      </c>
      <c r="AN352" s="2">
        <v>8.0516866873372699E-6</v>
      </c>
      <c r="AO352" s="2">
        <v>8.1129048303045353E-6</v>
      </c>
      <c r="AP352" s="2">
        <v>8.1749432422529878E-6</v>
      </c>
      <c r="AQ352" s="2">
        <v>8.2378105066879669E-6</v>
      </c>
      <c r="AR352" s="2">
        <v>1.3351755434646033E-4</v>
      </c>
    </row>
    <row r="353" spans="1:44" x14ac:dyDescent="0.25">
      <c r="A353" t="s">
        <v>250</v>
      </c>
      <c r="B353" t="s">
        <v>270</v>
      </c>
      <c r="C353" t="s">
        <v>43</v>
      </c>
      <c r="D353" t="s">
        <v>271</v>
      </c>
      <c r="E353" t="s">
        <v>148</v>
      </c>
      <c r="F353" t="s">
        <v>271</v>
      </c>
      <c r="G353" t="s">
        <v>31</v>
      </c>
      <c r="H353" t="s">
        <v>278</v>
      </c>
      <c r="I353" t="s">
        <v>135</v>
      </c>
      <c r="J353" t="s">
        <v>39</v>
      </c>
      <c r="K353" t="s">
        <v>31</v>
      </c>
      <c r="L353">
        <v>30.12</v>
      </c>
      <c r="M353">
        <v>0</v>
      </c>
      <c r="N353">
        <v>0.47836719693862995</v>
      </c>
      <c r="O353">
        <v>3.9948356401026599</v>
      </c>
      <c r="P353">
        <v>2.851747483966371</v>
      </c>
      <c r="Q353">
        <v>4.5233469633551158</v>
      </c>
      <c r="R353">
        <v>-1.1299449527495848</v>
      </c>
      <c r="S353" s="2">
        <v>1.292388733288969E-2</v>
      </c>
      <c r="T353" s="2">
        <v>3.0906112069757477E-2</v>
      </c>
      <c r="U353" s="2">
        <v>3.8720358833223903E-2</v>
      </c>
      <c r="V353" s="2">
        <v>4.6574605155221625E-2</v>
      </c>
      <c r="W353" s="2">
        <v>5.4471332150144811E-2</v>
      </c>
      <c r="X353" s="2">
        <v>6.2413035990797269E-2</v>
      </c>
      <c r="Y353" s="2">
        <v>7.0402228366265612E-2</v>
      </c>
      <c r="Z353" s="2">
        <v>7.8441436943275822E-2</v>
      </c>
      <c r="AA353" s="2">
        <v>8.6533205831089977E-2</v>
      </c>
      <c r="AB353" s="2">
        <v>9.4680096050037563E-2</v>
      </c>
      <c r="AC353" s="2">
        <v>0.10288468600374552</v>
      </c>
      <c r="AD353" s="2">
        <v>0.11114957195512963</v>
      </c>
      <c r="AE353" s="2">
        <v>0.11947736850626799</v>
      </c>
      <c r="AF353" s="2">
        <v>0.12787070908216416</v>
      </c>
      <c r="AG353" s="2">
        <v>0.13633224641855188</v>
      </c>
      <c r="AH353" s="2">
        <v>0.14486465305375859</v>
      </c>
      <c r="AI353" s="2">
        <v>0.15347062182474971</v>
      </c>
      <c r="AJ353" s="2">
        <v>0.16215286636740839</v>
      </c>
      <c r="AK353" s="2">
        <v>0.16277535392488457</v>
      </c>
      <c r="AL353" s="2">
        <v>0.16341558576169291</v>
      </c>
      <c r="AM353" s="2">
        <v>0.16407366399614565</v>
      </c>
      <c r="AN353" s="2">
        <v>0.16474969276359724</v>
      </c>
      <c r="AO353" s="2">
        <v>0.16544377823120787</v>
      </c>
      <c r="AP353" s="2">
        <v>0.1661560286129426</v>
      </c>
      <c r="AQ353" s="2">
        <v>0.16688655418483969</v>
      </c>
      <c r="AR353" s="2">
        <v>2.7877696794097897</v>
      </c>
    </row>
    <row r="354" spans="1:44" x14ac:dyDescent="0.25">
      <c r="A354" t="s">
        <v>250</v>
      </c>
      <c r="B354" t="s">
        <v>270</v>
      </c>
      <c r="C354" t="s">
        <v>43</v>
      </c>
      <c r="D354" t="s">
        <v>271</v>
      </c>
      <c r="E354" t="s">
        <v>148</v>
      </c>
      <c r="F354" t="s">
        <v>271</v>
      </c>
      <c r="G354" t="s">
        <v>31</v>
      </c>
      <c r="H354" t="s">
        <v>276</v>
      </c>
      <c r="I354" t="s">
        <v>135</v>
      </c>
      <c r="J354" t="s">
        <v>39</v>
      </c>
      <c r="K354" t="s">
        <v>31</v>
      </c>
      <c r="L354">
        <v>30.12</v>
      </c>
      <c r="M354">
        <v>0</v>
      </c>
      <c r="N354">
        <v>0.47836719693862995</v>
      </c>
      <c r="O354">
        <v>3.9948356401026599</v>
      </c>
      <c r="P354">
        <v>2.851747483966371</v>
      </c>
      <c r="Q354">
        <v>4.5233469633551158</v>
      </c>
      <c r="R354">
        <v>-1.1299449527495848</v>
      </c>
      <c r="S354" s="2">
        <v>8.2585975415140405E-4</v>
      </c>
      <c r="T354" s="2">
        <v>1.3050353552040419E-3</v>
      </c>
      <c r="U354" s="2">
        <v>1.6461947350044756E-3</v>
      </c>
      <c r="V354" s="2">
        <v>1.9935234015248226E-3</v>
      </c>
      <c r="W354" s="2">
        <v>2.3471286043182929E-3</v>
      </c>
      <c r="X354" s="2">
        <v>2.7071191788587286E-3</v>
      </c>
      <c r="Y354" s="2">
        <v>3.073605568754387E-3</v>
      </c>
      <c r="Z354" s="2">
        <v>3.4466998482601558E-3</v>
      </c>
      <c r="AA354" s="2">
        <v>3.826515745091946E-3</v>
      </c>
      <c r="AB354" s="2">
        <v>4.2131686635472716E-3</v>
      </c>
      <c r="AC354" s="2">
        <v>4.6067757079368199E-3</v>
      </c>
      <c r="AD354" s="2">
        <v>5.0074557063288548E-3</v>
      </c>
      <c r="AE354" s="2">
        <v>5.4153292346140521E-3</v>
      </c>
      <c r="AF354" s="2">
        <v>5.8305186408908185E-3</v>
      </c>
      <c r="AG354" s="2">
        <v>6.2531480701790874E-3</v>
      </c>
      <c r="AH354" s="2">
        <v>6.6833434894641676E-3</v>
      </c>
      <c r="AI354" s="2">
        <v>7.1212327130769559E-3</v>
      </c>
      <c r="AJ354" s="2">
        <v>7.5669454284115253E-3</v>
      </c>
      <c r="AK354" s="2">
        <v>7.638679259038746E-3</v>
      </c>
      <c r="AL354" s="2">
        <v>7.7112450962523171E-3</v>
      </c>
      <c r="AM354" s="2">
        <v>7.7846522125557729E-3</v>
      </c>
      <c r="AN354" s="2">
        <v>7.8589099845602292E-3</v>
      </c>
      <c r="AO354" s="2">
        <v>7.9340278941495614E-3</v>
      </c>
      <c r="AP354" s="2">
        <v>8.0100155296617074E-3</v>
      </c>
      <c r="AQ354" s="2">
        <v>8.0868825870824158E-3</v>
      </c>
      <c r="AR354" s="2">
        <v>0.12889401240891854</v>
      </c>
    </row>
    <row r="355" spans="1:44" x14ac:dyDescent="0.25">
      <c r="A355" t="s">
        <v>250</v>
      </c>
      <c r="B355" t="s">
        <v>270</v>
      </c>
      <c r="C355" t="s">
        <v>43</v>
      </c>
      <c r="D355" t="s">
        <v>271</v>
      </c>
      <c r="E355" t="s">
        <v>148</v>
      </c>
      <c r="F355" t="s">
        <v>271</v>
      </c>
      <c r="G355" t="s">
        <v>31</v>
      </c>
      <c r="H355" t="s">
        <v>275</v>
      </c>
      <c r="I355" t="s">
        <v>135</v>
      </c>
      <c r="J355" t="s">
        <v>39</v>
      </c>
      <c r="K355" t="s">
        <v>31</v>
      </c>
      <c r="L355">
        <v>30.12</v>
      </c>
      <c r="M355">
        <v>0</v>
      </c>
      <c r="N355">
        <v>0.47836719693862995</v>
      </c>
      <c r="O355">
        <v>3.9948356401026599</v>
      </c>
      <c r="P355">
        <v>2.851747483966371</v>
      </c>
      <c r="Q355">
        <v>4.5233469633551158</v>
      </c>
      <c r="R355">
        <v>-1.1299449527495848</v>
      </c>
      <c r="S355" s="2">
        <v>3.5404111329397276E-4</v>
      </c>
      <c r="T355" s="2">
        <v>6.635155707724427E-4</v>
      </c>
      <c r="U355" s="2">
        <v>8.3491077725104175E-4</v>
      </c>
      <c r="V355" s="2">
        <v>1.0086076352072376E-3</v>
      </c>
      <c r="W355" s="2">
        <v>1.1846548400702664E-3</v>
      </c>
      <c r="X355" s="2">
        <v>1.3631017494855381E-3</v>
      </c>
      <c r="Y355" s="2">
        <v>1.5439983929416128E-3</v>
      </c>
      <c r="Z355" s="2">
        <v>1.72739548152476E-3</v>
      </c>
      <c r="AA355" s="2">
        <v>1.913344417802172E-3</v>
      </c>
      <c r="AB355" s="2">
        <v>2.1018973058362293E-3</v>
      </c>
      <c r="AC355" s="2">
        <v>2.2931069613311263E-3</v>
      </c>
      <c r="AD355" s="2">
        <v>2.4870269219133922E-3</v>
      </c>
      <c r="AE355" s="2">
        <v>2.6837114575489016E-3</v>
      </c>
      <c r="AF355" s="2">
        <v>2.8832155810969832E-3</v>
      </c>
      <c r="AG355" s="2">
        <v>3.0855950590047651E-3</v>
      </c>
      <c r="AH355" s="2">
        <v>3.2909064221418624E-3</v>
      </c>
      <c r="AI355" s="2">
        <v>3.4992069767798726E-3</v>
      </c>
      <c r="AJ355" s="2">
        <v>3.7105548157148416E-3</v>
      </c>
      <c r="AK355" s="2">
        <v>3.7381036471797525E-3</v>
      </c>
      <c r="AL355" s="2">
        <v>3.7660261073264741E-3</v>
      </c>
      <c r="AM355" s="2">
        <v>3.7943260885815256E-3</v>
      </c>
      <c r="AN355" s="2">
        <v>3.8230075283910603E-3</v>
      </c>
      <c r="AO355" s="2">
        <v>3.8520744097200392E-3</v>
      </c>
      <c r="AP355" s="2">
        <v>3.8815307615551031E-3</v>
      </c>
      <c r="AQ355" s="2">
        <v>3.911380659415967E-3</v>
      </c>
      <c r="AR355" s="2">
        <v>6.3395240681886941E-2</v>
      </c>
    </row>
    <row r="356" spans="1:44" x14ac:dyDescent="0.25">
      <c r="A356" t="s">
        <v>250</v>
      </c>
      <c r="B356" t="s">
        <v>270</v>
      </c>
      <c r="C356" t="s">
        <v>43</v>
      </c>
      <c r="D356" t="s">
        <v>271</v>
      </c>
      <c r="E356" t="s">
        <v>148</v>
      </c>
      <c r="F356" t="s">
        <v>271</v>
      </c>
      <c r="G356" t="s">
        <v>31</v>
      </c>
      <c r="H356" t="s">
        <v>277</v>
      </c>
      <c r="I356" t="s">
        <v>135</v>
      </c>
      <c r="J356" t="s">
        <v>39</v>
      </c>
      <c r="K356" t="s">
        <v>31</v>
      </c>
      <c r="L356">
        <v>30.12</v>
      </c>
      <c r="M356">
        <v>0</v>
      </c>
      <c r="N356">
        <v>0.47836719693862995</v>
      </c>
      <c r="O356">
        <v>3.9948356401026599</v>
      </c>
      <c r="P356">
        <v>2.851747483966371</v>
      </c>
      <c r="Q356">
        <v>4.5233469633551158</v>
      </c>
      <c r="R356">
        <v>-1.1299449527495848</v>
      </c>
      <c r="S356" s="2">
        <v>4.8848078692567297E-3</v>
      </c>
      <c r="T356" s="2">
        <v>9.2236290043329339E-3</v>
      </c>
      <c r="U356" s="2">
        <v>1.1604843607075413E-2</v>
      </c>
      <c r="V356" s="2">
        <v>1.4017500365473317E-2</v>
      </c>
      <c r="W356" s="2">
        <v>1.6462274462905879E-2</v>
      </c>
      <c r="X356" s="2">
        <v>1.8939850191967159E-2</v>
      </c>
      <c r="Y356" s="2">
        <v>2.145092108749436E-2</v>
      </c>
      <c r="Z356" s="2">
        <v>2.3996190061350852E-2</v>
      </c>
      <c r="AA356" s="2">
        <v>2.6576369538990573E-2</v>
      </c>
      <c r="AB356" s="2">
        <v>2.9192181597821019E-2</v>
      </c>
      <c r="AC356" s="2">
        <v>3.1844358107396428E-2</v>
      </c>
      <c r="AD356" s="2">
        <v>3.4533640871457029E-2</v>
      </c>
      <c r="AE356" s="2">
        <v>3.726078177184642E-2</v>
      </c>
      <c r="AF356" s="2">
        <v>4.0026542914321943E-2</v>
      </c>
      <c r="AG356" s="2">
        <v>4.2831696776298979E-2</v>
      </c>
      <c r="AH356" s="2">
        <v>4.5677026356529288E-2</v>
      </c>
      <c r="AI356" s="2">
        <v>4.8563325326776818E-2</v>
      </c>
      <c r="AJ356" s="2">
        <v>5.1491398185462375E-2</v>
      </c>
      <c r="AK356" s="2">
        <v>5.1868628965113843E-2</v>
      </c>
      <c r="AL356" s="2">
        <v>5.2251035119436663E-2</v>
      </c>
      <c r="AM356" s="2">
        <v>5.263867022634585E-2</v>
      </c>
      <c r="AN356" s="2">
        <v>5.3031588485648443E-2</v>
      </c>
      <c r="AO356" s="2">
        <v>5.342984472592114E-2</v>
      </c>
      <c r="AP356" s="2">
        <v>5.3833494411458606E-2</v>
      </c>
      <c r="AQ356" s="2">
        <v>5.4242593649305788E-2</v>
      </c>
      <c r="AR356" s="2">
        <v>0.87987319367998806</v>
      </c>
    </row>
    <row r="357" spans="1:44" x14ac:dyDescent="0.25">
      <c r="A357" t="s">
        <v>250</v>
      </c>
      <c r="B357" t="s">
        <v>270</v>
      </c>
      <c r="C357" t="s">
        <v>43</v>
      </c>
      <c r="D357" t="s">
        <v>271</v>
      </c>
      <c r="E357" t="s">
        <v>148</v>
      </c>
      <c r="F357" t="s">
        <v>271</v>
      </c>
      <c r="G357" t="s">
        <v>31</v>
      </c>
      <c r="H357" t="s">
        <v>277</v>
      </c>
      <c r="I357" t="s">
        <v>135</v>
      </c>
      <c r="J357" t="s">
        <v>40</v>
      </c>
      <c r="K357" t="s">
        <v>31</v>
      </c>
      <c r="L357">
        <v>30.12</v>
      </c>
      <c r="M357">
        <v>0</v>
      </c>
      <c r="N357">
        <v>0.47836719693862995</v>
      </c>
      <c r="O357">
        <v>2.8220930578635595</v>
      </c>
      <c r="P357">
        <v>2.851747483966371</v>
      </c>
      <c r="Q357">
        <v>0.4672931329656026</v>
      </c>
      <c r="R357">
        <v>-0.98694495274958494</v>
      </c>
      <c r="S357" s="2">
        <v>7.7055592251451023E-4</v>
      </c>
      <c r="T357" s="2">
        <v>1.4549849546993238E-3</v>
      </c>
      <c r="U357" s="2">
        <v>1.8306105809330858E-3</v>
      </c>
      <c r="V357" s="2">
        <v>2.2111960622738531E-3</v>
      </c>
      <c r="W357" s="2">
        <v>2.596847905787071E-3</v>
      </c>
      <c r="X357" s="2">
        <v>2.9876740554748787E-3</v>
      </c>
      <c r="Y357" s="2">
        <v>3.3837839132606941E-3</v>
      </c>
      <c r="Z357" s="2">
        <v>3.7852883602505156E-3</v>
      </c>
      <c r="AA357" s="2">
        <v>4.1922997782755421E-3</v>
      </c>
      <c r="AB357" s="2">
        <v>4.6049320717178269E-3</v>
      </c>
      <c r="AC357" s="2">
        <v>5.0233006896259263E-3</v>
      </c>
      <c r="AD357" s="2">
        <v>5.4475226481199169E-3</v>
      </c>
      <c r="AE357" s="2">
        <v>5.8777165530945578E-3</v>
      </c>
      <c r="AF357" s="2">
        <v>6.3140026232199184E-3</v>
      </c>
      <c r="AG357" s="2">
        <v>6.7565027132467708E-3</v>
      </c>
      <c r="AH357" s="2">
        <v>7.2053403376191932E-3</v>
      </c>
      <c r="AI357" s="2">
        <v>7.6606406943986001E-3</v>
      </c>
      <c r="AJ357" s="2">
        <v>8.1225306895025256E-3</v>
      </c>
      <c r="AK357" s="2">
        <v>8.1820371059664922E-3</v>
      </c>
      <c r="AL357" s="2">
        <v>8.2423599139267705E-3</v>
      </c>
      <c r="AM357" s="2">
        <v>8.3035075650519773E-3</v>
      </c>
      <c r="AN357" s="2">
        <v>8.36548860911214E-3</v>
      </c>
      <c r="AO357" s="2">
        <v>8.4283116950624442E-3</v>
      </c>
      <c r="AP357" s="2">
        <v>8.4919855721393607E-3</v>
      </c>
      <c r="AQ357" s="2">
        <v>8.5565190909711042E-3</v>
      </c>
      <c r="AR357" s="2">
        <v>0.13879594010624502</v>
      </c>
    </row>
    <row r="358" spans="1:44" x14ac:dyDescent="0.25">
      <c r="A358" t="s">
        <v>250</v>
      </c>
      <c r="B358" t="s">
        <v>308</v>
      </c>
      <c r="C358" t="s">
        <v>44</v>
      </c>
      <c r="D358" t="s">
        <v>303</v>
      </c>
      <c r="E358" t="s">
        <v>145</v>
      </c>
      <c r="F358" t="s">
        <v>303</v>
      </c>
      <c r="G358" t="s">
        <v>31</v>
      </c>
      <c r="H358" t="s">
        <v>253</v>
      </c>
      <c r="I358" t="s">
        <v>135</v>
      </c>
      <c r="J358" t="s">
        <v>39</v>
      </c>
      <c r="K358" t="s">
        <v>31</v>
      </c>
      <c r="L358">
        <v>0.101725</v>
      </c>
      <c r="M358">
        <v>0</v>
      </c>
      <c r="N358">
        <v>6.5847159258737936E-2</v>
      </c>
      <c r="O358">
        <v>5.3756602043030259</v>
      </c>
      <c r="P358">
        <v>41.815630596090237</v>
      </c>
      <c r="Q358">
        <v>44.21983751635176</v>
      </c>
      <c r="R358">
        <v>-1.8625523936223536</v>
      </c>
      <c r="S358" s="2">
        <v>1.2702613061290247E-6</v>
      </c>
      <c r="T358" s="2">
        <v>1.8565482611646105E-6</v>
      </c>
      <c r="U358" s="2">
        <v>2.5208452262258791E-6</v>
      </c>
      <c r="V358" s="2">
        <v>3.292831205602124E-6</v>
      </c>
      <c r="W358" s="2">
        <v>4.1340306747025332E-6</v>
      </c>
      <c r="X358" s="2">
        <v>4.986637791382334E-6</v>
      </c>
      <c r="Y358" s="2">
        <v>5.7822855992717735E-6</v>
      </c>
      <c r="Z358" s="2">
        <v>6.4572031524937797E-6</v>
      </c>
      <c r="AA358" s="2">
        <v>6.9691375176296669E-6</v>
      </c>
      <c r="AB358" s="2">
        <v>7.3085473722455937E-6</v>
      </c>
      <c r="AC358" s="2">
        <v>7.4978835157820302E-6</v>
      </c>
      <c r="AD358" s="2">
        <v>7.5691507957034056E-6</v>
      </c>
      <c r="AE358" s="2">
        <v>7.5381172774410185E-6</v>
      </c>
      <c r="AF358" s="2">
        <v>7.5072109966035122E-6</v>
      </c>
      <c r="AG358" s="2">
        <v>7.4764314315174392E-6</v>
      </c>
      <c r="AH358" s="2">
        <v>8.5768897861488296E-6</v>
      </c>
      <c r="AI358" s="2">
        <v>8.8176961552564392E-6</v>
      </c>
      <c r="AJ358" s="2">
        <v>8.6392835477042708E-6</v>
      </c>
      <c r="AK358" s="2">
        <v>4.2967486734385129E-6</v>
      </c>
      <c r="AL358" s="2">
        <v>8.7954497079349674E-7</v>
      </c>
      <c r="AM358" s="2">
        <v>6.7436339384155956E-7</v>
      </c>
      <c r="AN358" s="2">
        <v>4.7844792271379544E-7</v>
      </c>
      <c r="AO358" s="2">
        <v>3.0804854997124169E-7</v>
      </c>
      <c r="AP358" s="2">
        <v>1.7474323195953852E-7</v>
      </c>
      <c r="AQ358" s="2">
        <v>8.2300329304355777E-8</v>
      </c>
      <c r="AR358" s="2">
        <v>1.1509518868502675E-4</v>
      </c>
    </row>
    <row r="359" spans="1:44" x14ac:dyDescent="0.25">
      <c r="A359" t="s">
        <v>250</v>
      </c>
      <c r="B359" t="s">
        <v>308</v>
      </c>
      <c r="C359" t="s">
        <v>44</v>
      </c>
      <c r="D359" t="s">
        <v>303</v>
      </c>
      <c r="E359" t="s">
        <v>145</v>
      </c>
      <c r="F359" t="s">
        <v>303</v>
      </c>
      <c r="G359" t="s">
        <v>31</v>
      </c>
      <c r="H359" t="s">
        <v>253</v>
      </c>
      <c r="I359" t="s">
        <v>135</v>
      </c>
      <c r="J359" t="s">
        <v>40</v>
      </c>
      <c r="K359" t="s">
        <v>31</v>
      </c>
      <c r="L359">
        <v>0.101725</v>
      </c>
      <c r="M359">
        <v>0</v>
      </c>
      <c r="N359">
        <v>6.5847159258737936E-2</v>
      </c>
      <c r="O359">
        <v>4.1746294160814506</v>
      </c>
      <c r="P359">
        <v>41.815630596090237</v>
      </c>
      <c r="Q359">
        <v>0.4672931329656026</v>
      </c>
      <c r="R359">
        <v>-1.7195523936223531</v>
      </c>
      <c r="S359" s="2">
        <v>6.6818384806277719E-7</v>
      </c>
      <c r="T359" s="2">
        <v>9.7658297176630208E-7</v>
      </c>
      <c r="U359" s="2">
        <v>1.3260169820989579E-6</v>
      </c>
      <c r="V359" s="2">
        <v>1.7320976521636538E-6</v>
      </c>
      <c r="W359" s="2">
        <v>2.1745860563525043E-6</v>
      </c>
      <c r="X359" s="2">
        <v>2.6230751202640137E-6</v>
      </c>
      <c r="Y359" s="2">
        <v>3.041602403912751E-6</v>
      </c>
      <c r="Z359" s="2">
        <v>3.3966230643556582E-6</v>
      </c>
      <c r="AA359" s="2">
        <v>3.6659111804319307E-6</v>
      </c>
      <c r="AB359" s="2">
        <v>3.8444478182350673E-6</v>
      </c>
      <c r="AC359" s="2">
        <v>3.9440425648868974E-6</v>
      </c>
      <c r="AD359" s="2">
        <v>3.9815306353406438E-6</v>
      </c>
      <c r="AE359" s="2">
        <v>3.9652063597357468E-6</v>
      </c>
      <c r="AF359" s="2">
        <v>3.9489490136608299E-6</v>
      </c>
      <c r="AG359" s="2">
        <v>3.9327583227048204E-6</v>
      </c>
      <c r="AH359" s="2">
        <v>4.5116222891049338E-6</v>
      </c>
      <c r="AI359" s="2">
        <v>4.6382914441614487E-6</v>
      </c>
      <c r="AJ359" s="2">
        <v>4.5444427044714873E-6</v>
      </c>
      <c r="AK359" s="2">
        <v>2.2601791056093046E-6</v>
      </c>
      <c r="AL359" s="2">
        <v>4.6265893505014948E-7</v>
      </c>
      <c r="AM359" s="2">
        <v>3.5472916109117386E-7</v>
      </c>
      <c r="AN359" s="2">
        <v>2.5167355138193567E-7</v>
      </c>
      <c r="AO359" s="2">
        <v>1.6203993974845454E-7</v>
      </c>
      <c r="AP359" s="2">
        <v>9.1918571864134909E-8</v>
      </c>
      <c r="AQ359" s="2">
        <v>4.3291683739466198E-8</v>
      </c>
      <c r="AR359" s="2">
        <v>6.0542461380195033E-5</v>
      </c>
    </row>
    <row r="360" spans="1:44" x14ac:dyDescent="0.25">
      <c r="A360" t="s">
        <v>250</v>
      </c>
      <c r="B360" t="s">
        <v>308</v>
      </c>
      <c r="C360" t="s">
        <v>44</v>
      </c>
      <c r="D360" t="s">
        <v>303</v>
      </c>
      <c r="E360" t="s">
        <v>145</v>
      </c>
      <c r="F360" t="s">
        <v>303</v>
      </c>
      <c r="G360" t="s">
        <v>31</v>
      </c>
      <c r="H360" t="s">
        <v>253</v>
      </c>
      <c r="I360" t="s">
        <v>256</v>
      </c>
      <c r="J360" t="s">
        <v>39</v>
      </c>
      <c r="K360" t="s">
        <v>31</v>
      </c>
      <c r="L360">
        <v>0.101725</v>
      </c>
      <c r="M360">
        <v>0</v>
      </c>
      <c r="N360">
        <v>3.2763886376789897E-2</v>
      </c>
      <c r="O360">
        <v>2.6747929920855822</v>
      </c>
      <c r="P360">
        <v>43.27856754743911</v>
      </c>
      <c r="Q360">
        <v>0.4672931329656026</v>
      </c>
      <c r="R360">
        <v>-0.3996154422734845</v>
      </c>
      <c r="S360" s="2">
        <v>6.6632942934599274E-7</v>
      </c>
      <c r="T360" s="2">
        <v>9.7387264923068995E-7</v>
      </c>
      <c r="U360" s="2">
        <v>1.322336871127243E-6</v>
      </c>
      <c r="V360" s="2">
        <v>1.7272905405958076E-6</v>
      </c>
      <c r="W360" s="2">
        <v>2.1685509013635736E-6</v>
      </c>
      <c r="X360" s="2">
        <v>2.6157952681504798E-6</v>
      </c>
      <c r="Y360" s="2">
        <v>3.0331610079658345E-6</v>
      </c>
      <c r="Z360" s="2">
        <v>3.3871963752750028E-6</v>
      </c>
      <c r="AA360" s="2">
        <v>3.6557371327850564E-6</v>
      </c>
      <c r="AB360" s="2">
        <v>3.8337782756974771E-6</v>
      </c>
      <c r="AC360" s="2">
        <v>3.9330966158440918E-6</v>
      </c>
      <c r="AD360" s="2">
        <v>3.9704806452023997E-6</v>
      </c>
      <c r="AE360" s="2">
        <v>3.95420167455707E-6</v>
      </c>
      <c r="AF360" s="2">
        <v>3.9379894476913853E-6</v>
      </c>
      <c r="AG360" s="2">
        <v>3.9218436909558506E-6</v>
      </c>
      <c r="AH360" s="2">
        <v>4.4991011291872925E-6</v>
      </c>
      <c r="AI360" s="2">
        <v>4.6254187378054185E-6</v>
      </c>
      <c r="AJ360" s="2">
        <v>4.5318304576580415E-6</v>
      </c>
      <c r="AK360" s="2">
        <v>2.2539064031952807E-6</v>
      </c>
      <c r="AL360" s="2">
        <v>4.6137491211075516E-7</v>
      </c>
      <c r="AM360" s="2">
        <v>3.5374467695911681E-7</v>
      </c>
      <c r="AN360" s="2">
        <v>2.509750787302014E-7</v>
      </c>
      <c r="AO360" s="2">
        <v>1.6159022834341626E-7</v>
      </c>
      <c r="AP360" s="2">
        <v>9.1663469139670014E-8</v>
      </c>
      <c r="AQ360" s="2">
        <v>4.3171535805868872E-8</v>
      </c>
      <c r="AR360" s="2">
        <v>6.0374437154723026E-5</v>
      </c>
    </row>
    <row r="361" spans="1:44" x14ac:dyDescent="0.25">
      <c r="A361" t="s">
        <v>250</v>
      </c>
      <c r="B361" t="s">
        <v>308</v>
      </c>
      <c r="C361" t="s">
        <v>44</v>
      </c>
      <c r="D361" t="s">
        <v>303</v>
      </c>
      <c r="E361" t="s">
        <v>148</v>
      </c>
      <c r="F361" t="s">
        <v>303</v>
      </c>
      <c r="G361" t="s">
        <v>31</v>
      </c>
      <c r="H361" t="s">
        <v>253</v>
      </c>
      <c r="I361" t="s">
        <v>135</v>
      </c>
      <c r="J361" t="s">
        <v>39</v>
      </c>
      <c r="K361" t="s">
        <v>31</v>
      </c>
      <c r="L361">
        <v>0.101725</v>
      </c>
      <c r="M361">
        <v>0</v>
      </c>
      <c r="N361">
        <v>6.5847159258737936E-2</v>
      </c>
      <c r="O361">
        <v>5.3756602043030259</v>
      </c>
      <c r="P361">
        <v>41.815630596090237</v>
      </c>
      <c r="Q361">
        <v>44.21983751635176</v>
      </c>
      <c r="R361">
        <v>-1.8625523936223536</v>
      </c>
      <c r="S361" s="2">
        <v>2.161000321222993E-7</v>
      </c>
      <c r="T361" s="2">
        <v>4.3178868772877225E-7</v>
      </c>
      <c r="U361" s="2">
        <v>5.929100299654845E-7</v>
      </c>
      <c r="V361" s="2">
        <v>7.8326598082401485E-7</v>
      </c>
      <c r="W361" s="2">
        <v>9.9455798957944141E-7</v>
      </c>
      <c r="X361" s="2">
        <v>1.2133892884013045E-6</v>
      </c>
      <c r="Y361" s="2">
        <v>1.4231377585798173E-6</v>
      </c>
      <c r="Z361" s="2">
        <v>1.6075553390414326E-6</v>
      </c>
      <c r="AA361" s="2">
        <v>1.7550660270960297E-6</v>
      </c>
      <c r="AB361" s="2">
        <v>1.861903438188002E-6</v>
      </c>
      <c r="AC361" s="2">
        <v>1.9323910262776838E-6</v>
      </c>
      <c r="AD361" s="2">
        <v>1.9735682173995618E-6</v>
      </c>
      <c r="AE361" s="2">
        <v>1.9885422253406278E-6</v>
      </c>
      <c r="AF361" s="2">
        <v>2.0037135051297076E-6</v>
      </c>
      <c r="AG361" s="2">
        <v>2.0190841487057334E-6</v>
      </c>
      <c r="AH361" s="2">
        <v>2.0346562719604342E-6</v>
      </c>
      <c r="AI361" s="2">
        <v>2.0504320150054372E-6</v>
      </c>
      <c r="AJ361" s="2">
        <v>2.066413542441264E-6</v>
      </c>
      <c r="AK361" s="2">
        <v>2.0826030436303436E-6</v>
      </c>
      <c r="AL361" s="2">
        <v>2.0990027329728274E-6</v>
      </c>
      <c r="AM361" s="2">
        <v>2.1156148501848404E-6</v>
      </c>
      <c r="AN361" s="2">
        <v>2.1324416605808999E-6</v>
      </c>
      <c r="AO361" s="2">
        <v>2.149485455358844E-6</v>
      </c>
      <c r="AP361" s="2">
        <v>2.1667485518879662E-6</v>
      </c>
      <c r="AQ361" s="2">
        <v>2.1842332940009733E-6</v>
      </c>
      <c r="AR361" s="2">
        <v>4.1878605112403735E-5</v>
      </c>
    </row>
    <row r="362" spans="1:44" x14ac:dyDescent="0.25">
      <c r="A362" t="s">
        <v>250</v>
      </c>
      <c r="B362" t="s">
        <v>308</v>
      </c>
      <c r="C362" t="s">
        <v>44</v>
      </c>
      <c r="D362" t="s">
        <v>303</v>
      </c>
      <c r="E362" t="s">
        <v>148</v>
      </c>
      <c r="F362" t="s">
        <v>303</v>
      </c>
      <c r="G362" t="s">
        <v>31</v>
      </c>
      <c r="H362" t="s">
        <v>253</v>
      </c>
      <c r="I362" t="s">
        <v>135</v>
      </c>
      <c r="J362" t="s">
        <v>40</v>
      </c>
      <c r="K362" t="s">
        <v>31</v>
      </c>
      <c r="L362">
        <v>0.101725</v>
      </c>
      <c r="M362">
        <v>0</v>
      </c>
      <c r="N362">
        <v>6.5847159258737936E-2</v>
      </c>
      <c r="O362">
        <v>4.1746294160814506</v>
      </c>
      <c r="P362">
        <v>41.815630596090237</v>
      </c>
      <c r="Q362">
        <v>0.4672931329656026</v>
      </c>
      <c r="R362">
        <v>-1.7195523936223531</v>
      </c>
      <c r="S362" s="2">
        <v>1.1367310830713518E-7</v>
      </c>
      <c r="T362" s="2">
        <v>2.2712982401691982E-7</v>
      </c>
      <c r="U362" s="2">
        <v>3.1188299877026098E-7</v>
      </c>
      <c r="V362" s="2">
        <v>4.1201418526913697E-7</v>
      </c>
      <c r="W362" s="2">
        <v>5.2315817335561336E-7</v>
      </c>
      <c r="X362" s="2">
        <v>6.3826798471320746E-7</v>
      </c>
      <c r="Y362" s="2">
        <v>7.486000394274114E-7</v>
      </c>
      <c r="Z362" s="2">
        <v>8.4560751967473434E-7</v>
      </c>
      <c r="AA362" s="2">
        <v>9.232012074452318E-7</v>
      </c>
      <c r="AB362" s="2">
        <v>9.7939990618231598E-7</v>
      </c>
      <c r="AC362" s="2">
        <v>1.0164778425274961E-6</v>
      </c>
      <c r="AD362" s="2">
        <v>1.0381379008820115E-6</v>
      </c>
      <c r="AE362" s="2">
        <v>1.0460145402779418E-6</v>
      </c>
      <c r="AF362" s="2">
        <v>1.0539949487660283E-6</v>
      </c>
      <c r="AG362" s="2">
        <v>1.062080226749589E-6</v>
      </c>
      <c r="AH362" s="2">
        <v>1.0702714872316995E-6</v>
      </c>
      <c r="AI362" s="2">
        <v>1.0785698559555179E-6</v>
      </c>
      <c r="AJ362" s="2">
        <v>1.0869764715459077E-6</v>
      </c>
      <c r="AK362" s="2">
        <v>1.0954924856530536E-6</v>
      </c>
      <c r="AL362" s="2">
        <v>1.1041190630974043E-6</v>
      </c>
      <c r="AM362" s="2">
        <v>1.1128573820162276E-6</v>
      </c>
      <c r="AN362" s="2">
        <v>1.121708634012024E-6</v>
      </c>
      <c r="AO362" s="2">
        <v>1.130674024302488E-6</v>
      </c>
      <c r="AP362" s="2">
        <v>1.1397547718720295E-6</v>
      </c>
      <c r="AQ362" s="2">
        <v>1.1489521096253563E-6</v>
      </c>
      <c r="AR362" s="2">
        <v>2.2029016691676743E-5</v>
      </c>
    </row>
    <row r="363" spans="1:44" x14ac:dyDescent="0.25">
      <c r="A363" t="s">
        <v>250</v>
      </c>
      <c r="B363" t="s">
        <v>308</v>
      </c>
      <c r="C363" t="s">
        <v>44</v>
      </c>
      <c r="D363" t="s">
        <v>303</v>
      </c>
      <c r="E363" t="s">
        <v>148</v>
      </c>
      <c r="F363" t="s">
        <v>303</v>
      </c>
      <c r="G363" t="s">
        <v>31</v>
      </c>
      <c r="H363" t="s">
        <v>253</v>
      </c>
      <c r="I363" t="s">
        <v>256</v>
      </c>
      <c r="J363" t="s">
        <v>39</v>
      </c>
      <c r="K363" t="s">
        <v>31</v>
      </c>
      <c r="L363">
        <v>0.101725</v>
      </c>
      <c r="M363">
        <v>0</v>
      </c>
      <c r="N363">
        <v>3.2763886376789897E-2</v>
      </c>
      <c r="O363">
        <v>2.6747929920855822</v>
      </c>
      <c r="P363">
        <v>43.27856754743911</v>
      </c>
      <c r="Q363">
        <v>0.4672931329656026</v>
      </c>
      <c r="R363">
        <v>-0.3996154422734845</v>
      </c>
      <c r="S363" s="2">
        <v>1.1335762995450669E-7</v>
      </c>
      <c r="T363" s="2">
        <v>2.2649946786865661E-7</v>
      </c>
      <c r="U363" s="2">
        <v>3.1101742611081697E-7</v>
      </c>
      <c r="V363" s="2">
        <v>4.1087071731647277E-7</v>
      </c>
      <c r="W363" s="2">
        <v>5.2170624614826901E-7</v>
      </c>
      <c r="X363" s="2">
        <v>6.3649659185388543E-7</v>
      </c>
      <c r="Y363" s="2">
        <v>7.4652244068190912E-7</v>
      </c>
      <c r="Z363" s="2">
        <v>8.4326069489576834E-7</v>
      </c>
      <c r="AA363" s="2">
        <v>9.2063903596592848E-7</v>
      </c>
      <c r="AB363" s="2">
        <v>9.7668176577453236E-7</v>
      </c>
      <c r="AC363" s="2">
        <v>1.0136567992744501E-6</v>
      </c>
      <c r="AD363" s="2">
        <v>1.0352567442069688E-6</v>
      </c>
      <c r="AE363" s="2">
        <v>1.0431115234703155E-6</v>
      </c>
      <c r="AF363" s="2">
        <v>1.0510697838341665E-6</v>
      </c>
      <c r="AG363" s="2">
        <v>1.0591326226479373E-6</v>
      </c>
      <c r="AH363" s="2">
        <v>1.0673011498257387E-6</v>
      </c>
      <c r="AI363" s="2">
        <v>1.0755764879864362E-6</v>
      </c>
      <c r="AJ363" s="2">
        <v>1.0839597725948908E-6</v>
      </c>
      <c r="AK363" s="2">
        <v>1.0924521521050621E-6</v>
      </c>
      <c r="AL363" s="2">
        <v>1.101054788104677E-6</v>
      </c>
      <c r="AM363" s="2">
        <v>1.1097688554612888E-6</v>
      </c>
      <c r="AN363" s="2">
        <v>1.1185955424703545E-6</v>
      </c>
      <c r="AO363" s="2">
        <v>1.1275360510046646E-6</v>
      </c>
      <c r="AP363" s="2">
        <v>1.1365915966656439E-6</v>
      </c>
      <c r="AQ363" s="2">
        <v>1.145763408936242E-6</v>
      </c>
      <c r="AR363" s="2">
        <v>2.1967879295159584E-5</v>
      </c>
    </row>
    <row r="364" spans="1:44" x14ac:dyDescent="0.25">
      <c r="A364" t="s">
        <v>250</v>
      </c>
      <c r="B364" t="s">
        <v>309</v>
      </c>
      <c r="C364" t="s">
        <v>44</v>
      </c>
      <c r="D364" t="s">
        <v>303</v>
      </c>
      <c r="E364" t="s">
        <v>145</v>
      </c>
      <c r="F364" t="s">
        <v>303</v>
      </c>
      <c r="G364" t="s">
        <v>31</v>
      </c>
      <c r="H364" t="s">
        <v>252</v>
      </c>
      <c r="I364" t="s">
        <v>135</v>
      </c>
      <c r="J364" t="s">
        <v>39</v>
      </c>
      <c r="K364" t="s">
        <v>31</v>
      </c>
      <c r="L364">
        <v>0.11927500000000001</v>
      </c>
      <c r="M364">
        <v>0</v>
      </c>
      <c r="N364">
        <v>7.8073386904782285E-2</v>
      </c>
      <c r="O364">
        <v>5.4421202420407457</v>
      </c>
      <c r="P364">
        <v>35.351924592401389</v>
      </c>
      <c r="Q364">
        <v>37.756131512662904</v>
      </c>
      <c r="R364">
        <v>-1.8625523936223527</v>
      </c>
      <c r="S364" s="2">
        <v>1.1900939915065955E-3</v>
      </c>
      <c r="T364" s="2">
        <v>1.7400784744876047E-3</v>
      </c>
      <c r="U364" s="2">
        <v>2.3636500156200791E-3</v>
      </c>
      <c r="V364" s="2">
        <v>3.0887364708459789E-3</v>
      </c>
      <c r="W364" s="2">
        <v>3.8793546096753564E-3</v>
      </c>
      <c r="X364" s="2">
        <v>4.6813165301441417E-3</v>
      </c>
      <c r="Y364" s="2">
        <v>5.4304287477603607E-3</v>
      </c>
      <c r="Z364" s="2">
        <v>6.0667127079431938E-3</v>
      </c>
      <c r="AA364" s="2">
        <v>6.5503184070625142E-3</v>
      </c>
      <c r="AB364" s="2">
        <v>6.872090042787396E-3</v>
      </c>
      <c r="AC364" s="2">
        <v>7.0529509255886514E-3</v>
      </c>
      <c r="AD364" s="2">
        <v>7.1228488478512139E-3</v>
      </c>
      <c r="AE364" s="2">
        <v>7.096494307114164E-3</v>
      </c>
      <c r="AF364" s="2">
        <v>7.0702372781778419E-3</v>
      </c>
      <c r="AG364" s="2">
        <v>7.0440774002485844E-3</v>
      </c>
      <c r="AH364" s="2">
        <v>8.077740575988427E-3</v>
      </c>
      <c r="AI364" s="2">
        <v>8.2719473590844549E-3</v>
      </c>
      <c r="AJ364" s="2">
        <v>8.1114517170550928E-3</v>
      </c>
      <c r="AK364" s="2">
        <v>4.5745244758796334E-3</v>
      </c>
      <c r="AL364" s="2">
        <v>8.0363021286750927E-4</v>
      </c>
      <c r="AM364" s="2">
        <v>6.1639314436230956E-4</v>
      </c>
      <c r="AN364" s="2">
        <v>4.3748400813805065E-4</v>
      </c>
      <c r="AO364" s="2">
        <v>2.8177890308947896E-4</v>
      </c>
      <c r="AP364" s="2">
        <v>1.5990040861337844E-4</v>
      </c>
      <c r="AQ364" s="2">
        <v>7.5337083553928818E-5</v>
      </c>
      <c r="AR364" s="2">
        <v>0.10865957664544594</v>
      </c>
    </row>
    <row r="365" spans="1:44" x14ac:dyDescent="0.25">
      <c r="A365" t="s">
        <v>250</v>
      </c>
      <c r="B365" t="s">
        <v>309</v>
      </c>
      <c r="C365" t="s">
        <v>44</v>
      </c>
      <c r="D365" t="s">
        <v>303</v>
      </c>
      <c r="E365" t="s">
        <v>148</v>
      </c>
      <c r="F365" t="s">
        <v>303</v>
      </c>
      <c r="G365" t="s">
        <v>31</v>
      </c>
      <c r="H365" t="s">
        <v>252</v>
      </c>
      <c r="I365" t="s">
        <v>135</v>
      </c>
      <c r="J365" t="s">
        <v>39</v>
      </c>
      <c r="K365" t="s">
        <v>31</v>
      </c>
      <c r="L365">
        <v>0.11927500000000001</v>
      </c>
      <c r="M365">
        <v>0</v>
      </c>
      <c r="N365">
        <v>7.8073386904782285E-2</v>
      </c>
      <c r="O365">
        <v>5.4421202420407457</v>
      </c>
      <c r="P365">
        <v>35.351924592401389</v>
      </c>
      <c r="Q365">
        <v>37.756131512662904</v>
      </c>
      <c r="R365">
        <v>-1.8625523936223527</v>
      </c>
      <c r="S365" s="2">
        <v>2.0246176794667172E-4</v>
      </c>
      <c r="T365" s="2">
        <v>3.9405887766340319E-4</v>
      </c>
      <c r="U365" s="2">
        <v>5.4131496399754465E-4</v>
      </c>
      <c r="V365" s="2">
        <v>7.1538519444170159E-4</v>
      </c>
      <c r="W365" s="2">
        <v>9.0871629696631119E-4</v>
      </c>
      <c r="X365" s="2">
        <v>1.1090827966693413E-3</v>
      </c>
      <c r="Y365" s="2">
        <v>1.3012910730694832E-3</v>
      </c>
      <c r="Z365" s="2">
        <v>1.4704668472973448E-3</v>
      </c>
      <c r="AA365" s="2">
        <v>1.605989380699417E-3</v>
      </c>
      <c r="AB365" s="2">
        <v>1.7043719761239519E-3</v>
      </c>
      <c r="AC365" s="2">
        <v>1.7695318758397653E-3</v>
      </c>
      <c r="AD365" s="2">
        <v>1.8078808476465836E-3</v>
      </c>
      <c r="AE365" s="2">
        <v>1.8222371954983094E-3</v>
      </c>
      <c r="AF365" s="2">
        <v>1.8367764357661205E-3</v>
      </c>
      <c r="AG365" s="2">
        <v>1.8515005384483389E-3</v>
      </c>
      <c r="AH365" s="2">
        <v>1.8664114959349946E-3</v>
      </c>
      <c r="AI365" s="2">
        <v>1.8815113232582645E-3</v>
      </c>
      <c r="AJ365" s="2">
        <v>1.8968020583448925E-3</v>
      </c>
      <c r="AK365" s="2">
        <v>1.9122857622720299E-3</v>
      </c>
      <c r="AL365" s="2">
        <v>1.9279645195259185E-3</v>
      </c>
      <c r="AM365" s="2">
        <v>1.9438404382628514E-3</v>
      </c>
      <c r="AN365" s="2">
        <v>1.9599156505740642E-3</v>
      </c>
      <c r="AO365" s="2">
        <v>1.9761923127525859E-3</v>
      </c>
      <c r="AP365" s="2">
        <v>1.992672605563997E-3</v>
      </c>
      <c r="AQ365" s="2">
        <v>2.0093587345193786E-3</v>
      </c>
      <c r="AR365" s="2">
        <v>3.8408020969083259E-2</v>
      </c>
    </row>
    <row r="366" spans="1:44" x14ac:dyDescent="0.25">
      <c r="A366" t="s">
        <v>250</v>
      </c>
      <c r="B366" t="s">
        <v>302</v>
      </c>
      <c r="C366" t="s">
        <v>44</v>
      </c>
      <c r="D366" t="s">
        <v>303</v>
      </c>
      <c r="E366" t="s">
        <v>145</v>
      </c>
      <c r="F366" t="s">
        <v>303</v>
      </c>
      <c r="G366" t="s">
        <v>31</v>
      </c>
      <c r="H366" t="s">
        <v>288</v>
      </c>
      <c r="I366" t="s">
        <v>135</v>
      </c>
      <c r="J366" t="s">
        <v>39</v>
      </c>
      <c r="K366" t="s">
        <v>31</v>
      </c>
      <c r="L366">
        <v>3.1011093749999996E-2</v>
      </c>
      <c r="M366">
        <v>0</v>
      </c>
      <c r="N366">
        <v>2.0541092474113277E-2</v>
      </c>
      <c r="O366">
        <v>5.4757113018011117</v>
      </c>
      <c r="P366">
        <v>141.98654624574391</v>
      </c>
      <c r="Q366">
        <v>144.39075316600542</v>
      </c>
      <c r="R366">
        <v>-1.8625523936223527</v>
      </c>
      <c r="S366" s="2">
        <v>3.3351357244405895E-3</v>
      </c>
      <c r="T366" s="2">
        <v>4.8798459534958845E-3</v>
      </c>
      <c r="U366" s="2">
        <v>6.6332364267785836E-3</v>
      </c>
      <c r="V366" s="2">
        <v>8.674175204006174E-3</v>
      </c>
      <c r="W366" s="2">
        <v>1.0902142186430524E-2</v>
      </c>
      <c r="X366" s="2">
        <v>1.3165137428777868E-2</v>
      </c>
      <c r="Y366" s="2">
        <v>1.5282575060268229E-2</v>
      </c>
      <c r="Z366" s="2">
        <v>1.7085231784826758E-2</v>
      </c>
      <c r="AA366" s="2">
        <v>1.8460135524660411E-2</v>
      </c>
      <c r="AB366" s="2">
        <v>1.9380560947539274E-2</v>
      </c>
      <c r="AC366" s="2">
        <v>1.9904597126295262E-2</v>
      </c>
      <c r="AD366" s="2">
        <v>2.0115984213953539E-2</v>
      </c>
      <c r="AE366" s="2">
        <v>2.0055636261311682E-2</v>
      </c>
      <c r="AF366" s="2">
        <v>1.9995469352527752E-2</v>
      </c>
      <c r="AG366" s="2">
        <v>1.9935482944470163E-2</v>
      </c>
      <c r="AH366" s="2">
        <v>2.2845467907197922E-2</v>
      </c>
      <c r="AI366" s="2">
        <v>2.3235935360406749E-2</v>
      </c>
      <c r="AJ366" s="2">
        <v>2.281888153643161E-2</v>
      </c>
      <c r="AK366" s="2">
        <v>1.5560600205310316E-2</v>
      </c>
      <c r="AL366" s="2">
        <v>2.1516947710779029E-3</v>
      </c>
      <c r="AM366" s="2">
        <v>1.6514740506675903E-3</v>
      </c>
      <c r="AN366" s="2">
        <v>1.1729037157749602E-3</v>
      </c>
      <c r="AO366" s="2">
        <v>7.559473983900824E-4</v>
      </c>
      <c r="AP366" s="2">
        <v>4.2925198716893369E-4</v>
      </c>
      <c r="AQ366" s="2">
        <v>2.0237083176882043E-4</v>
      </c>
      <c r="AR366" s="2">
        <v>0.30862987390397761</v>
      </c>
    </row>
    <row r="367" spans="1:44" x14ac:dyDescent="0.25">
      <c r="A367" t="s">
        <v>250</v>
      </c>
      <c r="B367" t="s">
        <v>302</v>
      </c>
      <c r="C367" t="s">
        <v>44</v>
      </c>
      <c r="D367" t="s">
        <v>303</v>
      </c>
      <c r="E367" t="s">
        <v>145</v>
      </c>
      <c r="F367" t="s">
        <v>303</v>
      </c>
      <c r="G367" t="s">
        <v>31</v>
      </c>
      <c r="H367" t="s">
        <v>288</v>
      </c>
      <c r="I367" t="s">
        <v>135</v>
      </c>
      <c r="J367" t="s">
        <v>39</v>
      </c>
      <c r="K367" t="s">
        <v>33</v>
      </c>
      <c r="L367">
        <v>3.1011093749999996E-2</v>
      </c>
      <c r="M367">
        <v>0</v>
      </c>
      <c r="N367">
        <v>2.0541092474113277E-2</v>
      </c>
      <c r="O367">
        <v>5.4757113018011117</v>
      </c>
      <c r="P367">
        <v>141.98654624574391</v>
      </c>
      <c r="Q367">
        <v>144.39075316600542</v>
      </c>
      <c r="R367">
        <v>-1.8625523936223527</v>
      </c>
      <c r="S367" s="2">
        <v>3.1373999882095753E-5</v>
      </c>
      <c r="T367" s="2">
        <v>4.5905264138929521E-5</v>
      </c>
      <c r="U367" s="2">
        <v>6.2399607112412653E-5</v>
      </c>
      <c r="V367" s="2">
        <v>8.1598949582003876E-5</v>
      </c>
      <c r="W367" s="2">
        <v>1.0255768758227503E-4</v>
      </c>
      <c r="X367" s="2">
        <v>1.2384594039498408E-4</v>
      </c>
      <c r="Y367" s="2">
        <v>1.4376491625971198E-4</v>
      </c>
      <c r="Z367" s="2">
        <v>1.6072271244452679E-4</v>
      </c>
      <c r="AA367" s="2">
        <v>1.7365658780537721E-4</v>
      </c>
      <c r="AB367" s="2">
        <v>1.8231513411198151E-4</v>
      </c>
      <c r="AC367" s="2">
        <v>1.8724480185834051E-4</v>
      </c>
      <c r="AD367" s="2">
        <v>1.8923334415803358E-4</v>
      </c>
      <c r="AE367" s="2">
        <v>1.8866564412555945E-4</v>
      </c>
      <c r="AF367" s="2">
        <v>1.8809964719318276E-4</v>
      </c>
      <c r="AG367" s="2">
        <v>1.8753534825160324E-4</v>
      </c>
      <c r="AH367" s="2">
        <v>2.1490990671663686E-4</v>
      </c>
      <c r="AI367" s="2">
        <v>2.1858307831836821E-4</v>
      </c>
      <c r="AJ367" s="2">
        <v>2.1465980571259841E-4</v>
      </c>
      <c r="AK367" s="2">
        <v>1.4638033032032832E-4</v>
      </c>
      <c r="AL367" s="2">
        <v>2.0241236660744253E-5</v>
      </c>
      <c r="AM367" s="2">
        <v>1.553560363112973E-5</v>
      </c>
      <c r="AN367" s="2">
        <v>1.1033638232700404E-5</v>
      </c>
      <c r="AO367" s="2">
        <v>7.1112828824797471E-6</v>
      </c>
      <c r="AP367" s="2">
        <v>4.0380221099057194E-6</v>
      </c>
      <c r="AQ367" s="2">
        <v>1.9037253583194521E-6</v>
      </c>
      <c r="AR367" s="2">
        <v>2.9033162148442292E-3</v>
      </c>
    </row>
    <row r="368" spans="1:44" x14ac:dyDescent="0.25">
      <c r="A368" t="s">
        <v>250</v>
      </c>
      <c r="B368" t="s">
        <v>302</v>
      </c>
      <c r="C368" t="s">
        <v>44</v>
      </c>
      <c r="D368" t="s">
        <v>303</v>
      </c>
      <c r="E368" t="s">
        <v>145</v>
      </c>
      <c r="F368" t="s">
        <v>303</v>
      </c>
      <c r="G368" t="s">
        <v>31</v>
      </c>
      <c r="H368" t="s">
        <v>289</v>
      </c>
      <c r="I368" t="s">
        <v>135</v>
      </c>
      <c r="J368" t="s">
        <v>39</v>
      </c>
      <c r="K368" t="s">
        <v>31</v>
      </c>
      <c r="L368">
        <v>3.1011093749999996E-2</v>
      </c>
      <c r="M368">
        <v>0</v>
      </c>
      <c r="N368">
        <v>2.0541092474113277E-2</v>
      </c>
      <c r="O368">
        <v>5.4757113018011117</v>
      </c>
      <c r="P368">
        <v>141.98654624574391</v>
      </c>
      <c r="Q368">
        <v>144.39075316600542</v>
      </c>
      <c r="R368">
        <v>-1.8625523936223527</v>
      </c>
      <c r="S368" s="2">
        <v>3.1699019339958149E-3</v>
      </c>
      <c r="T368" s="2">
        <v>4.6380820463259699E-3</v>
      </c>
      <c r="U368" s="2">
        <v>6.3046036848841518E-3</v>
      </c>
      <c r="V368" s="2">
        <v>8.2444275216444849E-3</v>
      </c>
      <c r="W368" s="2">
        <v>1.0362013560110843E-2</v>
      </c>
      <c r="X368" s="2">
        <v>1.2512892441222466E-2</v>
      </c>
      <c r="Y368" s="2">
        <v>1.4525425122872969E-2</v>
      </c>
      <c r="Z368" s="2">
        <v>1.6238772197666181E-2</v>
      </c>
      <c r="AA368" s="2">
        <v>1.7545558602794512E-2</v>
      </c>
      <c r="AB368" s="2">
        <v>1.8420383068468094E-2</v>
      </c>
      <c r="AC368" s="2">
        <v>1.8918456740357716E-2</v>
      </c>
      <c r="AD368" s="2">
        <v>1.9119371003930043E-2</v>
      </c>
      <c r="AE368" s="2">
        <v>1.9062012890918249E-2</v>
      </c>
      <c r="AF368" s="2">
        <v>1.9004826852245495E-2</v>
      </c>
      <c r="AG368" s="2">
        <v>1.8947812371688758E-2</v>
      </c>
      <c r="AH368" s="2">
        <v>2.1713626936190989E-2</v>
      </c>
      <c r="AI368" s="2">
        <v>2.208474932441001E-2</v>
      </c>
      <c r="AJ368" s="2">
        <v>2.168835774324859E-2</v>
      </c>
      <c r="AK368" s="2">
        <v>1.4789675971349562E-2</v>
      </c>
      <c r="AL368" s="2">
        <v>2.0450926078435776E-3</v>
      </c>
      <c r="AM368" s="2">
        <v>1.569654496754622E-3</v>
      </c>
      <c r="AN368" s="2">
        <v>1.114794138595222E-3</v>
      </c>
      <c r="AO368" s="2">
        <v>7.1849523322106105E-4</v>
      </c>
      <c r="AP368" s="2">
        <v>4.0798540650893055E-4</v>
      </c>
      <c r="AQ368" s="2">
        <v>1.9234470318773189E-4</v>
      </c>
      <c r="AR368" s="2">
        <v>0.293339316600436</v>
      </c>
    </row>
    <row r="369" spans="1:44" x14ac:dyDescent="0.25">
      <c r="A369" t="s">
        <v>250</v>
      </c>
      <c r="B369" t="s">
        <v>302</v>
      </c>
      <c r="C369" t="s">
        <v>44</v>
      </c>
      <c r="D369" t="s">
        <v>303</v>
      </c>
      <c r="E369" t="s">
        <v>145</v>
      </c>
      <c r="F369" t="s">
        <v>303</v>
      </c>
      <c r="G369" t="s">
        <v>31</v>
      </c>
      <c r="H369" t="s">
        <v>290</v>
      </c>
      <c r="I369" t="s">
        <v>135</v>
      </c>
      <c r="J369" t="s">
        <v>39</v>
      </c>
      <c r="K369" t="s">
        <v>31</v>
      </c>
      <c r="L369">
        <v>3.1011093749999996E-2</v>
      </c>
      <c r="M369">
        <v>0</v>
      </c>
      <c r="N369">
        <v>2.0541092474113277E-2</v>
      </c>
      <c r="O369">
        <v>5.4757113018011117</v>
      </c>
      <c r="P369">
        <v>141.98654624574391</v>
      </c>
      <c r="Q369">
        <v>144.39075316600542</v>
      </c>
      <c r="R369">
        <v>-1.8625523936223527</v>
      </c>
      <c r="S369" s="2">
        <v>4.5902339014766685E-3</v>
      </c>
      <c r="T369" s="2">
        <v>6.7162587014289203E-3</v>
      </c>
      <c r="U369" s="2">
        <v>9.1294955403400119E-3</v>
      </c>
      <c r="V369" s="2">
        <v>1.1938492576776904E-2</v>
      </c>
      <c r="W369" s="2">
        <v>1.5004901388613285E-2</v>
      </c>
      <c r="X369" s="2">
        <v>1.8119520504165335E-2</v>
      </c>
      <c r="Y369" s="2">
        <v>2.1033804900180374E-2</v>
      </c>
      <c r="Z369" s="2">
        <v>2.3514848160025931E-2</v>
      </c>
      <c r="AA369" s="2">
        <v>2.5407163879473921E-2</v>
      </c>
      <c r="AB369" s="2">
        <v>2.6673969289795933E-2</v>
      </c>
      <c r="AC369" s="2">
        <v>2.7395213890337486E-2</v>
      </c>
      <c r="AD369" s="2">
        <v>2.7686151428199222E-2</v>
      </c>
      <c r="AE369" s="2">
        <v>2.7603092973914611E-2</v>
      </c>
      <c r="AF369" s="2">
        <v>2.7520283694992875E-2</v>
      </c>
      <c r="AG369" s="2">
        <v>2.74377228439079E-2</v>
      </c>
      <c r="AH369" s="2">
        <v>3.1442810712090756E-2</v>
      </c>
      <c r="AI369" s="2">
        <v>3.1980221207264244E-2</v>
      </c>
      <c r="AJ369" s="2">
        <v>3.1406219199633136E-2</v>
      </c>
      <c r="AK369" s="2">
        <v>2.1416458126818746E-2</v>
      </c>
      <c r="AL369" s="2">
        <v>2.9614333867892463E-3</v>
      </c>
      <c r="AM369" s="2">
        <v>2.2729666199881636E-3</v>
      </c>
      <c r="AN369" s="2">
        <v>1.6142978409735137E-3</v>
      </c>
      <c r="AO369" s="2">
        <v>1.0404300341945727E-3</v>
      </c>
      <c r="AP369" s="2">
        <v>5.9079065638611994E-4</v>
      </c>
      <c r="AQ369" s="2">
        <v>2.7852823075471276E-4</v>
      </c>
      <c r="AR369" s="2">
        <v>0.42477530968852251</v>
      </c>
    </row>
    <row r="370" spans="1:44" x14ac:dyDescent="0.25">
      <c r="A370" t="s">
        <v>250</v>
      </c>
      <c r="B370" t="s">
        <v>302</v>
      </c>
      <c r="C370" t="s">
        <v>44</v>
      </c>
      <c r="D370" t="s">
        <v>303</v>
      </c>
      <c r="E370" t="s">
        <v>148</v>
      </c>
      <c r="F370" t="s">
        <v>303</v>
      </c>
      <c r="G370" t="s">
        <v>31</v>
      </c>
      <c r="H370" t="s">
        <v>288</v>
      </c>
      <c r="I370" t="s">
        <v>135</v>
      </c>
      <c r="J370" t="s">
        <v>39</v>
      </c>
      <c r="K370" t="s">
        <v>31</v>
      </c>
      <c r="L370">
        <v>3.1011093749999996E-2</v>
      </c>
      <c r="M370">
        <v>0</v>
      </c>
      <c r="N370">
        <v>2.0541092474113277E-2</v>
      </c>
      <c r="O370">
        <v>5.4757113018011117</v>
      </c>
      <c r="P370">
        <v>141.98654624574391</v>
      </c>
      <c r="Q370">
        <v>144.39075316600542</v>
      </c>
      <c r="R370">
        <v>-1.8625523936223527</v>
      </c>
      <c r="S370" s="2">
        <v>5.6738163534254186E-4</v>
      </c>
      <c r="T370" s="2">
        <v>1.0529234432558288E-3</v>
      </c>
      <c r="U370" s="2">
        <v>1.4473891757432456E-3</v>
      </c>
      <c r="V370" s="2">
        <v>1.9141301899312894E-3</v>
      </c>
      <c r="W370" s="2">
        <v>2.4330594759483541E-3</v>
      </c>
      <c r="X370" s="2">
        <v>2.9715149746452211E-3</v>
      </c>
      <c r="Y370" s="2">
        <v>3.4887884048697671E-3</v>
      </c>
      <c r="Z370" s="2">
        <v>3.9449212678647804E-3</v>
      </c>
      <c r="AA370" s="2">
        <v>4.3112718661292519E-3</v>
      </c>
      <c r="AB370" s="2">
        <v>4.578292099730279E-3</v>
      </c>
      <c r="AC370" s="2">
        <v>4.7563152050963883E-3</v>
      </c>
      <c r="AD370" s="2">
        <v>4.8624140570652195E-3</v>
      </c>
      <c r="AE370" s="2">
        <v>4.9040369026685489E-3</v>
      </c>
      <c r="AF370" s="2">
        <v>4.9461652372546593E-3</v>
      </c>
      <c r="AG370" s="2">
        <v>4.9888046133833158E-3</v>
      </c>
      <c r="AH370" s="2">
        <v>5.0319606462303655E-3</v>
      </c>
      <c r="AI370" s="2">
        <v>5.0756390142902693E-3</v>
      </c>
      <c r="AJ370" s="2">
        <v>5.1198454600832133E-3</v>
      </c>
      <c r="AK370" s="2">
        <v>5.1645857908739707E-3</v>
      </c>
      <c r="AL370" s="2">
        <v>5.2098658793959226E-3</v>
      </c>
      <c r="AM370" s="2">
        <v>5.25569166458405E-3</v>
      </c>
      <c r="AN370" s="2">
        <v>5.3020691523167881E-3</v>
      </c>
      <c r="AO370" s="2">
        <v>5.349004416165792E-3</v>
      </c>
      <c r="AP370" s="2">
        <v>5.3965035981536113E-3</v>
      </c>
      <c r="AQ370" s="2">
        <v>5.4445729095206731E-3</v>
      </c>
      <c r="AR370" s="2">
        <v>0.10351714708054334</v>
      </c>
    </row>
    <row r="371" spans="1:44" x14ac:dyDescent="0.25">
      <c r="A371" t="s">
        <v>250</v>
      </c>
      <c r="B371" t="s">
        <v>302</v>
      </c>
      <c r="C371" t="s">
        <v>44</v>
      </c>
      <c r="D371" t="s">
        <v>303</v>
      </c>
      <c r="E371" t="s">
        <v>148</v>
      </c>
      <c r="F371" t="s">
        <v>303</v>
      </c>
      <c r="G371" t="s">
        <v>31</v>
      </c>
      <c r="H371" t="s">
        <v>288</v>
      </c>
      <c r="I371" t="s">
        <v>135</v>
      </c>
      <c r="J371" t="s">
        <v>39</v>
      </c>
      <c r="K371" t="s">
        <v>33</v>
      </c>
      <c r="L371">
        <v>3.1011093749999996E-2</v>
      </c>
      <c r="M371">
        <v>0</v>
      </c>
      <c r="N371">
        <v>2.0541092474113277E-2</v>
      </c>
      <c r="O371">
        <v>5.4757113018011117</v>
      </c>
      <c r="P371">
        <v>141.98654624574391</v>
      </c>
      <c r="Q371">
        <v>144.39075316600542</v>
      </c>
      <c r="R371">
        <v>-1.8625523936223527</v>
      </c>
      <c r="S371" s="2">
        <v>5.3374233707763156E-6</v>
      </c>
      <c r="T371" s="2">
        <v>9.9049702063039042E-6</v>
      </c>
      <c r="U371" s="2">
        <v>1.3615754074515921E-5</v>
      </c>
      <c r="V371" s="2">
        <v>1.8006439711922906E-5</v>
      </c>
      <c r="W371" s="2">
        <v>2.2888066339291196E-5</v>
      </c>
      <c r="X371" s="2">
        <v>2.7953378263130001E-5</v>
      </c>
      <c r="Y371" s="2">
        <v>3.2819428067323645E-5</v>
      </c>
      <c r="Z371" s="2">
        <v>3.7110321623755408E-5</v>
      </c>
      <c r="AA371" s="2">
        <v>4.0556623236767989E-5</v>
      </c>
      <c r="AB371" s="2">
        <v>4.3068512847773954E-5</v>
      </c>
      <c r="AC371" s="2">
        <v>4.4743196383389444E-5</v>
      </c>
      <c r="AD371" s="2">
        <v>4.5741280312857881E-5</v>
      </c>
      <c r="AE371" s="2">
        <v>4.613283114045515E-5</v>
      </c>
      <c r="AF371" s="2">
        <v>4.6529137160222194E-5</v>
      </c>
      <c r="AG371" s="2">
        <v>4.6930250605720013E-5</v>
      </c>
      <c r="AH371" s="2">
        <v>4.7336224299544259E-5</v>
      </c>
      <c r="AI371" s="2">
        <v>4.7747111659934508E-5</v>
      </c>
      <c r="AJ371" s="2">
        <v>4.8162966707432729E-5</v>
      </c>
      <c r="AK371" s="2">
        <v>4.8583844071632195E-5</v>
      </c>
      <c r="AL371" s="2">
        <v>4.9009798998006576E-5</v>
      </c>
      <c r="AM371" s="2">
        <v>4.9440887354786181E-5</v>
      </c>
      <c r="AN371" s="2">
        <v>4.9877165639953702E-5</v>
      </c>
      <c r="AO371" s="2">
        <v>5.0318690988285025E-5</v>
      </c>
      <c r="AP371" s="2">
        <v>5.0765521178482301E-5</v>
      </c>
      <c r="AQ371" s="2">
        <v>5.1217714640388249E-5</v>
      </c>
      <c r="AR371" s="2">
        <v>9.7379753888265171E-4</v>
      </c>
    </row>
    <row r="372" spans="1:44" x14ac:dyDescent="0.25">
      <c r="A372" t="s">
        <v>250</v>
      </c>
      <c r="B372" t="s">
        <v>302</v>
      </c>
      <c r="C372" t="s">
        <v>44</v>
      </c>
      <c r="D372" t="s">
        <v>303</v>
      </c>
      <c r="E372" t="s">
        <v>148</v>
      </c>
      <c r="F372" t="s">
        <v>303</v>
      </c>
      <c r="G372" t="s">
        <v>31</v>
      </c>
      <c r="H372" t="s">
        <v>289</v>
      </c>
      <c r="I372" t="s">
        <v>135</v>
      </c>
      <c r="J372" t="s">
        <v>39</v>
      </c>
      <c r="K372" t="s">
        <v>31</v>
      </c>
      <c r="L372">
        <v>3.1011093749999996E-2</v>
      </c>
      <c r="M372">
        <v>0</v>
      </c>
      <c r="N372">
        <v>2.0541092474113277E-2</v>
      </c>
      <c r="O372">
        <v>5.4757113018011117</v>
      </c>
      <c r="P372">
        <v>141.98654624574391</v>
      </c>
      <c r="Q372">
        <v>144.39075316600542</v>
      </c>
      <c r="R372">
        <v>-1.8625523936223527</v>
      </c>
      <c r="S372" s="2">
        <v>5.3927164942821207E-4</v>
      </c>
      <c r="T372" s="2">
        <v>1.0007580904929985E-3</v>
      </c>
      <c r="U372" s="2">
        <v>1.3756806698482255E-3</v>
      </c>
      <c r="V372" s="2">
        <v>1.819297771457467E-3</v>
      </c>
      <c r="W372" s="2">
        <v>2.3125175631732741E-3</v>
      </c>
      <c r="X372" s="2">
        <v>2.8242961736153808E-3</v>
      </c>
      <c r="Y372" s="2">
        <v>3.3159421461786973E-3</v>
      </c>
      <c r="Z372" s="2">
        <v>3.7494766599231351E-3</v>
      </c>
      <c r="AA372" s="2">
        <v>4.097677022939495E-3</v>
      </c>
      <c r="AB372" s="2">
        <v>4.351468180134422E-3</v>
      </c>
      <c r="AC372" s="2">
        <v>4.5206714248061672E-3</v>
      </c>
      <c r="AD372" s="2">
        <v>4.6215137844097184E-3</v>
      </c>
      <c r="AE372" s="2">
        <v>4.6610744948808293E-3</v>
      </c>
      <c r="AF372" s="2">
        <v>4.7011156507179904E-3</v>
      </c>
      <c r="AG372" s="2">
        <v>4.7416425293886648E-3</v>
      </c>
      <c r="AH372" s="2">
        <v>4.7826604678740748E-3</v>
      </c>
      <c r="AI372" s="2">
        <v>4.8241748633368348E-3</v>
      </c>
      <c r="AJ372" s="2">
        <v>4.8661911737939772E-3</v>
      </c>
      <c r="AK372" s="2">
        <v>4.9087149187983141E-3</v>
      </c>
      <c r="AL372" s="2">
        <v>4.9517516801286824E-3</v>
      </c>
      <c r="AM372" s="2">
        <v>4.9953071024853466E-3</v>
      </c>
      <c r="AN372" s="2">
        <v>5.0393868941952724E-3</v>
      </c>
      <c r="AO372" s="2">
        <v>5.0839968279252504E-3</v>
      </c>
      <c r="AP372" s="2">
        <v>5.1291427414012674E-3</v>
      </c>
      <c r="AQ372" s="2">
        <v>5.1748305381381513E-3</v>
      </c>
      <c r="AR372" s="2">
        <v>9.838856101947184E-2</v>
      </c>
    </row>
    <row r="373" spans="1:44" x14ac:dyDescent="0.25">
      <c r="A373" t="s">
        <v>250</v>
      </c>
      <c r="B373" t="s">
        <v>302</v>
      </c>
      <c r="C373" t="s">
        <v>44</v>
      </c>
      <c r="D373" t="s">
        <v>303</v>
      </c>
      <c r="E373" t="s">
        <v>148</v>
      </c>
      <c r="F373" t="s">
        <v>303</v>
      </c>
      <c r="G373" t="s">
        <v>31</v>
      </c>
      <c r="H373" t="s">
        <v>290</v>
      </c>
      <c r="I373" t="s">
        <v>135</v>
      </c>
      <c r="J373" t="s">
        <v>39</v>
      </c>
      <c r="K373" t="s">
        <v>31</v>
      </c>
      <c r="L373">
        <v>3.1011093749999996E-2</v>
      </c>
      <c r="M373">
        <v>0</v>
      </c>
      <c r="N373">
        <v>2.0541092474113277E-2</v>
      </c>
      <c r="O373">
        <v>5.4757113018011117</v>
      </c>
      <c r="P373">
        <v>141.98654624574391</v>
      </c>
      <c r="Q373">
        <v>144.39075316600542</v>
      </c>
      <c r="R373">
        <v>-1.8625523936223527</v>
      </c>
      <c r="S373" s="2">
        <v>7.809020779990755E-4</v>
      </c>
      <c r="T373" s="2">
        <v>1.4491658763611827E-3</v>
      </c>
      <c r="U373" s="2">
        <v>1.992079307129671E-3</v>
      </c>
      <c r="V373" s="2">
        <v>2.6344670848849269E-3</v>
      </c>
      <c r="W373" s="2">
        <v>3.3486829363385262E-3</v>
      </c>
      <c r="X373" s="2">
        <v>4.089773221343242E-3</v>
      </c>
      <c r="Y373" s="2">
        <v>4.8017100754715915E-3</v>
      </c>
      <c r="Z373" s="2">
        <v>5.4294975792766728E-3</v>
      </c>
      <c r="AA373" s="2">
        <v>5.9337154207444783E-3</v>
      </c>
      <c r="AB373" s="2">
        <v>6.3012223020008518E-3</v>
      </c>
      <c r="AC373" s="2">
        <v>6.5462401246667665E-3</v>
      </c>
      <c r="AD373" s="2">
        <v>6.6922667297149348E-3</v>
      </c>
      <c r="AE373" s="2">
        <v>6.7495533329449964E-3</v>
      </c>
      <c r="AF373" s="2">
        <v>6.8075356537881278E-3</v>
      </c>
      <c r="AG373" s="2">
        <v>6.8662213343764602E-3</v>
      </c>
      <c r="AH373" s="2">
        <v>6.9256181030226144E-3</v>
      </c>
      <c r="AI373" s="2">
        <v>6.9857337751855937E-3</v>
      </c>
      <c r="AJ373" s="2">
        <v>7.0465762544453855E-3</v>
      </c>
      <c r="AK373" s="2">
        <v>7.108153533490977E-3</v>
      </c>
      <c r="AL373" s="2">
        <v>7.170473695118044E-3</v>
      </c>
      <c r="AM373" s="2">
        <v>7.2335449132369268E-3</v>
      </c>
      <c r="AN373" s="2">
        <v>7.2973754538941003E-3</v>
      </c>
      <c r="AO373" s="2">
        <v>7.3619736763040266E-3</v>
      </c>
      <c r="AP373" s="2">
        <v>7.4273480338916745E-3</v>
      </c>
      <c r="AQ373" s="2">
        <v>7.4935070753485858E-3</v>
      </c>
      <c r="AR373" s="2">
        <v>0.14247333757097946</v>
      </c>
    </row>
    <row r="374" spans="1:44" x14ac:dyDescent="0.25">
      <c r="A374" t="s">
        <v>250</v>
      </c>
      <c r="B374" t="s">
        <v>310</v>
      </c>
      <c r="C374" t="s">
        <v>44</v>
      </c>
      <c r="D374" t="s">
        <v>303</v>
      </c>
      <c r="E374" t="s">
        <v>145</v>
      </c>
      <c r="F374" t="s">
        <v>303</v>
      </c>
      <c r="G374" t="s">
        <v>31</v>
      </c>
      <c r="H374" t="s">
        <v>254</v>
      </c>
      <c r="I374" t="s">
        <v>135</v>
      </c>
      <c r="J374" t="s">
        <v>39</v>
      </c>
      <c r="K374" t="s">
        <v>31</v>
      </c>
      <c r="L374">
        <v>4.0841666666666672E-2</v>
      </c>
      <c r="M374">
        <v>0</v>
      </c>
      <c r="N374">
        <v>2.6717969674169617E-2</v>
      </c>
      <c r="O374">
        <v>5.4114176288701836</v>
      </c>
      <c r="P374">
        <v>107.30169101876636</v>
      </c>
      <c r="Q374">
        <v>109.70589793902788</v>
      </c>
      <c r="R374">
        <v>-1.8625523936223551</v>
      </c>
      <c r="S374" s="2">
        <v>6.8855431745240179E-4</v>
      </c>
      <c r="T374" s="2">
        <v>1.0059646707477716E-3</v>
      </c>
      <c r="U374" s="2">
        <v>1.365381505839824E-3</v>
      </c>
      <c r="V374" s="2">
        <v>1.7828247383913308E-3</v>
      </c>
      <c r="W374" s="2">
        <v>2.2374030531389141E-3</v>
      </c>
      <c r="X374" s="2">
        <v>2.6977997142468469E-3</v>
      </c>
      <c r="Y374" s="2">
        <v>3.1270351830025248E-3</v>
      </c>
      <c r="Z374" s="2">
        <v>3.4906718834990373E-3</v>
      </c>
      <c r="AA374" s="2">
        <v>3.7659535647691696E-3</v>
      </c>
      <c r="AB374" s="2">
        <v>3.9478290776133783E-3</v>
      </c>
      <c r="AC374" s="2">
        <v>4.0485295454702943E-3</v>
      </c>
      <c r="AD374" s="2">
        <v>4.0854239464633317E-3</v>
      </c>
      <c r="AE374" s="2">
        <v>4.0670940110235339E-3</v>
      </c>
      <c r="AF374" s="2">
        <v>4.0488463158940748E-3</v>
      </c>
      <c r="AG374" s="2">
        <v>4.0306804920900979E-3</v>
      </c>
      <c r="AH374" s="2">
        <v>4.6257234532436596E-3</v>
      </c>
      <c r="AI374" s="2">
        <v>4.7738349798803793E-3</v>
      </c>
      <c r="AJ374" s="2">
        <v>4.6734076059786502E-3</v>
      </c>
      <c r="AK374" s="2">
        <v>2.0259907096391561E-3</v>
      </c>
      <c r="AL374" s="2">
        <v>4.8814919320969125E-4</v>
      </c>
      <c r="AM374" s="2">
        <v>3.7413499186857537E-4</v>
      </c>
      <c r="AN374" s="2">
        <v>2.6534486178052616E-4</v>
      </c>
      <c r="AO374" s="2">
        <v>1.7078066182948305E-4</v>
      </c>
      <c r="AP374" s="2">
        <v>9.6842332508492954E-5</v>
      </c>
      <c r="AQ374" s="2">
        <v>4.5594623700167316E-5</v>
      </c>
      <c r="AR374" s="2">
        <v>6.1929795433281316E-2</v>
      </c>
    </row>
    <row r="375" spans="1:44" x14ac:dyDescent="0.25">
      <c r="A375" t="s">
        <v>250</v>
      </c>
      <c r="B375" t="s">
        <v>310</v>
      </c>
      <c r="C375" t="s">
        <v>44</v>
      </c>
      <c r="D375" t="s">
        <v>303</v>
      </c>
      <c r="E375" t="s">
        <v>145</v>
      </c>
      <c r="F375" t="s">
        <v>303</v>
      </c>
      <c r="G375" t="s">
        <v>31</v>
      </c>
      <c r="H375" t="s">
        <v>255</v>
      </c>
      <c r="I375" t="s">
        <v>135</v>
      </c>
      <c r="J375" t="s">
        <v>39</v>
      </c>
      <c r="K375" t="s">
        <v>31</v>
      </c>
      <c r="L375">
        <v>4.0841666666666672E-2</v>
      </c>
      <c r="M375">
        <v>0</v>
      </c>
      <c r="N375">
        <v>2.6717969674169617E-2</v>
      </c>
      <c r="O375">
        <v>5.4114176288701836</v>
      </c>
      <c r="P375">
        <v>107.30169101876636</v>
      </c>
      <c r="Q375">
        <v>109.70589793902788</v>
      </c>
      <c r="R375">
        <v>-1.8625523936223551</v>
      </c>
      <c r="S375" s="2">
        <v>1.44347651519148E-4</v>
      </c>
      <c r="T375" s="2">
        <v>2.0993305158866019E-4</v>
      </c>
      <c r="U375" s="2">
        <v>2.8364731668175584E-4</v>
      </c>
      <c r="V375" s="2">
        <v>3.6868875221534887E-4</v>
      </c>
      <c r="W375" s="2">
        <v>4.6059798809383758E-4</v>
      </c>
      <c r="X375" s="2">
        <v>5.5285862331009238E-4</v>
      </c>
      <c r="Y375" s="2">
        <v>6.3791633714044228E-4</v>
      </c>
      <c r="Z375" s="2">
        <v>7.0886993679970735E-4</v>
      </c>
      <c r="AA375" s="2">
        <v>7.6130567042246547E-4</v>
      </c>
      <c r="AB375" s="2">
        <v>7.9445448054090231E-4</v>
      </c>
      <c r="AC375" s="2">
        <v>8.1102560131513304E-4</v>
      </c>
      <c r="AD375" s="2">
        <v>8.147060739320302E-4</v>
      </c>
      <c r="AE375" s="2">
        <v>8.0737371926664192E-4</v>
      </c>
      <c r="AF375" s="2">
        <v>8.0010735579324208E-4</v>
      </c>
      <c r="AG375" s="2">
        <v>7.9290638959110288E-4</v>
      </c>
      <c r="AH375" s="2">
        <v>9.143054555898159E-4</v>
      </c>
      <c r="AI375" s="2">
        <v>9.8863879764853968E-4</v>
      </c>
      <c r="AJ375" s="2">
        <v>5.3916722223087152E-4</v>
      </c>
      <c r="AK375" s="2">
        <v>1.5972826335756599E-4</v>
      </c>
      <c r="AL375" s="2">
        <v>1.2978221082703912E-4</v>
      </c>
      <c r="AM375" s="2">
        <v>9.9040955584668022E-5</v>
      </c>
      <c r="AN375" s="2">
        <v>6.9942842716365103E-5</v>
      </c>
      <c r="AO375" s="2">
        <v>4.4826993083694963E-5</v>
      </c>
      <c r="AP375" s="2">
        <v>2.5313762147232006E-5</v>
      </c>
      <c r="AQ375" s="2">
        <v>1.1869101531491191E-5</v>
      </c>
      <c r="AR375" s="2">
        <v>1.1931354552927794E-2</v>
      </c>
    </row>
    <row r="376" spans="1:44" x14ac:dyDescent="0.25">
      <c r="A376" t="s">
        <v>250</v>
      </c>
      <c r="B376" t="s">
        <v>310</v>
      </c>
      <c r="C376" t="s">
        <v>44</v>
      </c>
      <c r="D376" t="s">
        <v>303</v>
      </c>
      <c r="E376" t="s">
        <v>148</v>
      </c>
      <c r="F376" t="s">
        <v>303</v>
      </c>
      <c r="G376" t="s">
        <v>31</v>
      </c>
      <c r="H376" t="s">
        <v>254</v>
      </c>
      <c r="I376" t="s">
        <v>135</v>
      </c>
      <c r="J376" t="s">
        <v>39</v>
      </c>
      <c r="K376" t="s">
        <v>31</v>
      </c>
      <c r="L376">
        <v>4.0841666666666672E-2</v>
      </c>
      <c r="M376">
        <v>0</v>
      </c>
      <c r="N376">
        <v>2.6717969674169617E-2</v>
      </c>
      <c r="O376">
        <v>5.4114176288701836</v>
      </c>
      <c r="P376">
        <v>107.30169101876636</v>
      </c>
      <c r="Q376">
        <v>109.70589793902788</v>
      </c>
      <c r="R376">
        <v>-1.8625523936223551</v>
      </c>
      <c r="S376" s="2">
        <v>1.1713858353510937E-4</v>
      </c>
      <c r="T376" s="2">
        <v>2.3991506841242083E-4</v>
      </c>
      <c r="U376" s="2">
        <v>3.2931330660771667E-4</v>
      </c>
      <c r="V376" s="2">
        <v>4.3487639593691265E-4</v>
      </c>
      <c r="W376" s="2">
        <v>5.5198164543589082E-4</v>
      </c>
      <c r="X376" s="2">
        <v>6.7318510419635594E-4</v>
      </c>
      <c r="Y376" s="2">
        <v>7.8926519254824041E-4</v>
      </c>
      <c r="Z376" s="2">
        <v>8.9122109081391551E-4</v>
      </c>
      <c r="AA376" s="2">
        <v>9.7265390976486238E-4</v>
      </c>
      <c r="AB376" s="2">
        <v>1.0314999629744701E-3</v>
      </c>
      <c r="AC376" s="2">
        <v>1.0701781616570673E-3</v>
      </c>
      <c r="AD376" s="2">
        <v>1.0926071553844807E-3</v>
      </c>
      <c r="AE376" s="2">
        <v>1.1005235687848818E-3</v>
      </c>
      <c r="AF376" s="2">
        <v>1.1085482154178329E-3</v>
      </c>
      <c r="AG376" s="2">
        <v>1.116682221751761E-3</v>
      </c>
      <c r="AH376" s="2">
        <v>1.1249267272791152E-3</v>
      </c>
      <c r="AI376" s="2">
        <v>1.1332828846610991E-3</v>
      </c>
      <c r="AJ376" s="2">
        <v>1.141751859873153E-3</v>
      </c>
      <c r="AK376" s="2">
        <v>1.1503348323528633E-3</v>
      </c>
      <c r="AL376" s="2">
        <v>1.1590329951490961E-3</v>
      </c>
      <c r="AM376" s="2">
        <v>1.167847555072745E-3</v>
      </c>
      <c r="AN376" s="2">
        <v>1.1767797328496358E-3</v>
      </c>
      <c r="AO376" s="2">
        <v>1.1858307632746574E-3</v>
      </c>
      <c r="AP376" s="2">
        <v>1.1950018953678391E-3</v>
      </c>
      <c r="AQ376" s="2">
        <v>1.2042943925323216E-3</v>
      </c>
      <c r="AR376" s="2">
        <v>2.3158673221634445E-2</v>
      </c>
    </row>
    <row r="377" spans="1:44" x14ac:dyDescent="0.25">
      <c r="A377" t="s">
        <v>250</v>
      </c>
      <c r="B377" t="s">
        <v>310</v>
      </c>
      <c r="C377" t="s">
        <v>44</v>
      </c>
      <c r="D377" t="s">
        <v>303</v>
      </c>
      <c r="E377" t="s">
        <v>148</v>
      </c>
      <c r="F377" t="s">
        <v>303</v>
      </c>
      <c r="G377" t="s">
        <v>31</v>
      </c>
      <c r="H377" t="s">
        <v>255</v>
      </c>
      <c r="I377" t="s">
        <v>135</v>
      </c>
      <c r="J377" t="s">
        <v>39</v>
      </c>
      <c r="K377" t="s">
        <v>31</v>
      </c>
      <c r="L377">
        <v>4.0841666666666672E-2</v>
      </c>
      <c r="M377">
        <v>0</v>
      </c>
      <c r="N377">
        <v>2.6717969674169617E-2</v>
      </c>
      <c r="O377">
        <v>5.4114176288701836</v>
      </c>
      <c r="P377">
        <v>107.30169101876636</v>
      </c>
      <c r="Q377">
        <v>109.70589793902788</v>
      </c>
      <c r="R377">
        <v>-1.8625523936223551</v>
      </c>
      <c r="S377" s="2">
        <v>2.4556783694470742E-5</v>
      </c>
      <c r="T377" s="2">
        <v>6.4637031322696903E-5</v>
      </c>
      <c r="U377" s="2">
        <v>8.8326412907909383E-5</v>
      </c>
      <c r="V377" s="2">
        <v>1.1612526291048485E-4</v>
      </c>
      <c r="W377" s="2">
        <v>1.4675308138805814E-4</v>
      </c>
      <c r="X377" s="2">
        <v>1.7820545379083915E-4</v>
      </c>
      <c r="Y377" s="2">
        <v>2.0804416883551136E-4</v>
      </c>
      <c r="Z377" s="2">
        <v>2.3393024272178739E-4</v>
      </c>
      <c r="AA377" s="2">
        <v>2.5424346032974483E-4</v>
      </c>
      <c r="AB377" s="2">
        <v>2.6851801367599537E-4</v>
      </c>
      <c r="AC377" s="2">
        <v>2.7745672564059208E-4</v>
      </c>
      <c r="AD377" s="2">
        <v>2.8213721004171488E-4</v>
      </c>
      <c r="AE377" s="2">
        <v>2.8305771612525526E-4</v>
      </c>
      <c r="AF377" s="2">
        <v>2.8400873627231615E-4</v>
      </c>
      <c r="AG377" s="2">
        <v>2.8499043095618734E-4</v>
      </c>
      <c r="AH377" s="2">
        <v>2.8600296408522402E-4</v>
      </c>
      <c r="AI377" s="2">
        <v>2.8704650302668731E-4</v>
      </c>
      <c r="AJ377" s="2">
        <v>2.8812121863091997E-4</v>
      </c>
      <c r="AK377" s="2">
        <v>2.8922728525595495E-4</v>
      </c>
      <c r="AL377" s="2">
        <v>2.9036488079256246E-4</v>
      </c>
      <c r="AM377" s="2">
        <v>2.9153418668960256E-4</v>
      </c>
      <c r="AN377" s="2">
        <v>2.9273538797991157E-4</v>
      </c>
      <c r="AO377" s="2">
        <v>2.9396867330653805E-4</v>
      </c>
      <c r="AP377" s="2">
        <v>2.9523423494940679E-4</v>
      </c>
      <c r="AQ377" s="2">
        <v>2.9653226885242146E-4</v>
      </c>
      <c r="AR377" s="2">
        <v>5.9057583341827922E-3</v>
      </c>
    </row>
    <row r="378" spans="1:44" x14ac:dyDescent="0.25">
      <c r="A378" t="s">
        <v>250</v>
      </c>
      <c r="B378" t="s">
        <v>304</v>
      </c>
      <c r="C378" t="s">
        <v>44</v>
      </c>
      <c r="D378" t="s">
        <v>303</v>
      </c>
      <c r="E378" t="s">
        <v>145</v>
      </c>
      <c r="F378" t="s">
        <v>303</v>
      </c>
      <c r="G378" t="s">
        <v>31</v>
      </c>
      <c r="H378" t="s">
        <v>278</v>
      </c>
      <c r="I378" t="s">
        <v>135</v>
      </c>
      <c r="J378" t="s">
        <v>39</v>
      </c>
      <c r="K378" t="s">
        <v>31</v>
      </c>
      <c r="L378">
        <v>5.0291718749999999E-2</v>
      </c>
      <c r="M378">
        <v>0</v>
      </c>
      <c r="N378">
        <v>3.3209192641195158E-2</v>
      </c>
      <c r="O378">
        <v>5.4656142296399581</v>
      </c>
      <c r="P378">
        <v>86.742034011699559</v>
      </c>
      <c r="Q378">
        <v>89.14624093196106</v>
      </c>
      <c r="R378">
        <v>-1.8625523936223536</v>
      </c>
      <c r="S378" s="2">
        <v>1.5692690753107204E-3</v>
      </c>
      <c r="T378" s="2">
        <v>2.2822778360200311E-3</v>
      </c>
      <c r="U378" s="2">
        <v>3.083659191396684E-3</v>
      </c>
      <c r="V378" s="2">
        <v>4.0081833765732936E-3</v>
      </c>
      <c r="W378" s="2">
        <v>5.0073705478340504E-3</v>
      </c>
      <c r="X378" s="2">
        <v>6.0103779413709394E-3</v>
      </c>
      <c r="Y378" s="2">
        <v>6.9350790953269584E-3</v>
      </c>
      <c r="Z378" s="2">
        <v>7.7064479991881454E-3</v>
      </c>
      <c r="AA378" s="2">
        <v>8.276500745799751E-3</v>
      </c>
      <c r="AB378" s="2">
        <v>8.6368765610952934E-3</v>
      </c>
      <c r="AC378" s="2">
        <v>8.8170287637848541E-3</v>
      </c>
      <c r="AD378" s="2">
        <v>8.8570408581933168E-3</v>
      </c>
      <c r="AE378" s="2">
        <v>8.7773274904695778E-3</v>
      </c>
      <c r="AF378" s="2">
        <v>8.6983315430553525E-3</v>
      </c>
      <c r="AG378" s="2">
        <v>8.6200465591678536E-3</v>
      </c>
      <c r="AH378" s="2">
        <v>9.9398311073640808E-3</v>
      </c>
      <c r="AI378" s="2">
        <v>1.0747942730446347E-2</v>
      </c>
      <c r="AJ378" s="2">
        <v>5.8615324833036792E-3</v>
      </c>
      <c r="AK378" s="2">
        <v>1.736478713038602E-3</v>
      </c>
      <c r="AL378" s="2">
        <v>1.4109215344547035E-3</v>
      </c>
      <c r="AM378" s="2">
        <v>1.0767193449463539E-3</v>
      </c>
      <c r="AN378" s="2">
        <v>7.6038050469808493E-4</v>
      </c>
      <c r="AO378" s="2">
        <v>4.8733466215124791E-4</v>
      </c>
      <c r="AP378" s="2">
        <v>2.7519743964904468E-4</v>
      </c>
      <c r="AQ378" s="2">
        <v>1.2903440955962795E-4</v>
      </c>
      <c r="AR378" s="2">
        <v>0.1297111905141986</v>
      </c>
    </row>
    <row r="379" spans="1:44" x14ac:dyDescent="0.25">
      <c r="A379" t="s">
        <v>250</v>
      </c>
      <c r="B379" t="s">
        <v>304</v>
      </c>
      <c r="C379" t="s">
        <v>44</v>
      </c>
      <c r="D379" t="s">
        <v>303</v>
      </c>
      <c r="E379" t="s">
        <v>148</v>
      </c>
      <c r="F379" t="s">
        <v>303</v>
      </c>
      <c r="G379" t="s">
        <v>31</v>
      </c>
      <c r="H379" t="s">
        <v>278</v>
      </c>
      <c r="I379" t="s">
        <v>135</v>
      </c>
      <c r="J379" t="s">
        <v>39</v>
      </c>
      <c r="K379" t="s">
        <v>31</v>
      </c>
      <c r="L379">
        <v>5.0291718749999999E-2</v>
      </c>
      <c r="M379">
        <v>0</v>
      </c>
      <c r="N379">
        <v>3.3209192641195158E-2</v>
      </c>
      <c r="O379">
        <v>5.4656142296399581</v>
      </c>
      <c r="P379">
        <v>86.742034011699559</v>
      </c>
      <c r="Q379">
        <v>89.14624093196106</v>
      </c>
      <c r="R379">
        <v>-1.8625523936223536</v>
      </c>
      <c r="S379" s="2">
        <v>2.6696798205764772E-4</v>
      </c>
      <c r="T379" s="2">
        <v>7.0269861204596141E-4</v>
      </c>
      <c r="U379" s="2">
        <v>9.6023667064040546E-4</v>
      </c>
      <c r="V379" s="2">
        <v>1.2624506324134923E-3</v>
      </c>
      <c r="W379" s="2">
        <v>1.5954195991771181E-3</v>
      </c>
      <c r="X379" s="2">
        <v>1.9373526672761987E-3</v>
      </c>
      <c r="Y379" s="2">
        <v>2.2617429311552139E-3</v>
      </c>
      <c r="Z379" s="2">
        <v>2.5431622324283902E-3</v>
      </c>
      <c r="AA379" s="2">
        <v>2.7639964744596438E-3</v>
      </c>
      <c r="AB379" s="2">
        <v>2.9191816464689993E-3</v>
      </c>
      <c r="AC379" s="2">
        <v>3.0163584561470978E-3</v>
      </c>
      <c r="AD379" s="2">
        <v>3.0672421342038698E-3</v>
      </c>
      <c r="AE379" s="2">
        <v>3.0772493751622938E-3</v>
      </c>
      <c r="AF379" s="2">
        <v>3.0875883484055445E-3</v>
      </c>
      <c r="AG379" s="2">
        <v>3.0982607985117982E-3</v>
      </c>
      <c r="AH379" s="2">
        <v>3.1092685074035208E-3</v>
      </c>
      <c r="AI379" s="2">
        <v>3.1206132946063939E-3</v>
      </c>
      <c r="AJ379" s="2">
        <v>3.1322970175123887E-3</v>
      </c>
      <c r="AK379" s="2">
        <v>3.1443215716470247E-3</v>
      </c>
      <c r="AL379" s="2">
        <v>3.1566888909419387E-3</v>
      </c>
      <c r="AM379" s="2">
        <v>3.1694009480103319E-3</v>
      </c>
      <c r="AN379" s="2">
        <v>3.1824597544284896E-3</v>
      </c>
      <c r="AO379" s="2">
        <v>3.1958673610209577E-3</v>
      </c>
      <c r="AP379" s="2">
        <v>3.209625858150295E-3</v>
      </c>
      <c r="AQ379" s="2">
        <v>3.2237373760119962E-3</v>
      </c>
      <c r="AR379" s="2">
        <v>6.4204189140287013E-2</v>
      </c>
    </row>
    <row r="380" spans="1:44" x14ac:dyDescent="0.25">
      <c r="A380" t="s">
        <v>250</v>
      </c>
      <c r="B380" t="s">
        <v>305</v>
      </c>
      <c r="C380" t="s">
        <v>44</v>
      </c>
      <c r="D380" t="s">
        <v>303</v>
      </c>
      <c r="E380" t="s">
        <v>145</v>
      </c>
      <c r="F380" t="s">
        <v>303</v>
      </c>
      <c r="G380" t="s">
        <v>31</v>
      </c>
      <c r="H380" t="s">
        <v>272</v>
      </c>
      <c r="I380" t="s">
        <v>135</v>
      </c>
      <c r="J380" t="s">
        <v>39</v>
      </c>
      <c r="K380" t="s">
        <v>31</v>
      </c>
      <c r="L380">
        <v>4.4454921874999997E-2</v>
      </c>
      <c r="M380">
        <v>0</v>
      </c>
      <c r="N380">
        <v>2.9375680356684666E-2</v>
      </c>
      <c r="O380">
        <v>5.4674005771508316</v>
      </c>
      <c r="P380">
        <v>98.408514201596844</v>
      </c>
      <c r="Q380">
        <v>100.81272112185832</v>
      </c>
      <c r="R380">
        <v>-1.8625523936223527</v>
      </c>
      <c r="S380" s="2">
        <v>4.3470302944207984E-4</v>
      </c>
      <c r="T380" s="2">
        <v>6.350204990950186E-4</v>
      </c>
      <c r="U380" s="2">
        <v>8.6180614737831258E-4</v>
      </c>
      <c r="V380" s="2">
        <v>1.1251612805371232E-3</v>
      </c>
      <c r="W380" s="2">
        <v>1.4118901507806244E-3</v>
      </c>
      <c r="X380" s="2">
        <v>1.7022249112022849E-3</v>
      </c>
      <c r="Y380" s="2">
        <v>1.9728340750484971E-3</v>
      </c>
      <c r="Z380" s="2">
        <v>2.2020003115562356E-3</v>
      </c>
      <c r="AA380" s="2">
        <v>2.3753842046583145E-3</v>
      </c>
      <c r="AB380" s="2">
        <v>2.4898191352054713E-3</v>
      </c>
      <c r="AC380" s="2">
        <v>2.553038283277497E-3</v>
      </c>
      <c r="AD380" s="2">
        <v>2.5760109194588052E-3</v>
      </c>
      <c r="AE380" s="2">
        <v>2.5641612692292948E-3</v>
      </c>
      <c r="AF380" s="2">
        <v>2.5523661273908404E-3</v>
      </c>
      <c r="AG380" s="2">
        <v>2.5406252432048425E-3</v>
      </c>
      <c r="AH380" s="2">
        <v>2.9160222611405912E-3</v>
      </c>
      <c r="AI380" s="2">
        <v>3.0127843917079631E-3</v>
      </c>
      <c r="AJ380" s="2">
        <v>2.9486946169443176E-3</v>
      </c>
      <c r="AK380" s="2">
        <v>1.2234355907622132E-3</v>
      </c>
      <c r="AL380" s="2">
        <v>3.1028545256094774E-4</v>
      </c>
      <c r="AM380" s="2">
        <v>2.3778814465342084E-4</v>
      </c>
      <c r="AN380" s="2">
        <v>1.6862661720751205E-4</v>
      </c>
      <c r="AO380" s="2">
        <v>1.0851961804121686E-4</v>
      </c>
      <c r="AP380" s="2">
        <v>6.1530361285217931E-5</v>
      </c>
      <c r="AQ380" s="2">
        <v>2.8966302281538179E-5</v>
      </c>
      <c r="AR380" s="2">
        <v>3.9013698944050185E-2</v>
      </c>
    </row>
    <row r="381" spans="1:44" x14ac:dyDescent="0.25">
      <c r="A381" t="s">
        <v>250</v>
      </c>
      <c r="B381" t="s">
        <v>305</v>
      </c>
      <c r="C381" t="s">
        <v>44</v>
      </c>
      <c r="D381" t="s">
        <v>303</v>
      </c>
      <c r="E381" t="s">
        <v>145</v>
      </c>
      <c r="F381" t="s">
        <v>303</v>
      </c>
      <c r="G381" t="s">
        <v>31</v>
      </c>
      <c r="H381" t="s">
        <v>272</v>
      </c>
      <c r="I381" t="s">
        <v>135</v>
      </c>
      <c r="J381" t="s">
        <v>40</v>
      </c>
      <c r="K381" t="s">
        <v>31</v>
      </c>
      <c r="L381">
        <v>4.4454921874999997E-2</v>
      </c>
      <c r="M381">
        <v>0</v>
      </c>
      <c r="N381">
        <v>2.9375680356684666E-2</v>
      </c>
      <c r="O381">
        <v>4.1746294160814541</v>
      </c>
      <c r="P381">
        <v>98.408514201596844</v>
      </c>
      <c r="Q381">
        <v>0.4672931329656026</v>
      </c>
      <c r="R381">
        <v>-1.7195523936223525</v>
      </c>
      <c r="S381" s="2">
        <v>4.2999016065289364E-5</v>
      </c>
      <c r="T381" s="2">
        <v>6.2813587191742668E-5</v>
      </c>
      <c r="U381" s="2">
        <v>8.5246280486809157E-5</v>
      </c>
      <c r="V381" s="2">
        <v>1.1129627516042793E-4</v>
      </c>
      <c r="W381" s="2">
        <v>1.3965830271244731E-4</v>
      </c>
      <c r="X381" s="2">
        <v>1.6837700992667045E-4</v>
      </c>
      <c r="Y381" s="2">
        <v>1.9514454315175967E-4</v>
      </c>
      <c r="Z381" s="2">
        <v>2.178127143348894E-4</v>
      </c>
      <c r="AA381" s="2">
        <v>2.3496312806567773E-4</v>
      </c>
      <c r="AB381" s="2">
        <v>2.462825555454972E-4</v>
      </c>
      <c r="AC381" s="2">
        <v>2.5253593079128706E-4</v>
      </c>
      <c r="AD381" s="2">
        <v>2.5480828843620583E-4</v>
      </c>
      <c r="AE381" s="2">
        <v>2.5363617030939935E-4</v>
      </c>
      <c r="AF381" s="2">
        <v>2.5246944392597601E-4</v>
      </c>
      <c r="AG381" s="2">
        <v>2.5130808448391655E-4</v>
      </c>
      <c r="AH381" s="2">
        <v>2.8844079650066539E-4</v>
      </c>
      <c r="AI381" s="2">
        <v>2.9801210409453709E-4</v>
      </c>
      <c r="AJ381" s="2">
        <v>2.9167261007670176E-4</v>
      </c>
      <c r="AK381" s="2">
        <v>1.2101716127800751E-4</v>
      </c>
      <c r="AL381" s="2">
        <v>3.0692146720526614E-5</v>
      </c>
      <c r="AM381" s="2">
        <v>2.3521014484786753E-5</v>
      </c>
      <c r="AN381" s="2">
        <v>1.6679843781275645E-5</v>
      </c>
      <c r="AO381" s="2">
        <v>1.0734309364124229E-5</v>
      </c>
      <c r="AP381" s="2">
        <v>6.0863274792491741E-6</v>
      </c>
      <c r="AQ381" s="2">
        <v>2.8652261723467814E-6</v>
      </c>
      <c r="AR381" s="2">
        <v>3.859072870540217E-3</v>
      </c>
    </row>
    <row r="382" spans="1:44" x14ac:dyDescent="0.25">
      <c r="A382" t="s">
        <v>250</v>
      </c>
      <c r="B382" t="s">
        <v>305</v>
      </c>
      <c r="C382" t="s">
        <v>44</v>
      </c>
      <c r="D382" t="s">
        <v>303</v>
      </c>
      <c r="E382" t="s">
        <v>145</v>
      </c>
      <c r="F382" t="s">
        <v>303</v>
      </c>
      <c r="G382" t="s">
        <v>31</v>
      </c>
      <c r="H382" t="s">
        <v>273</v>
      </c>
      <c r="I382" t="s">
        <v>135</v>
      </c>
      <c r="J382" t="s">
        <v>39</v>
      </c>
      <c r="K382" t="s">
        <v>31</v>
      </c>
      <c r="L382">
        <v>4.4454921874999997E-2</v>
      </c>
      <c r="M382">
        <v>0</v>
      </c>
      <c r="N382">
        <v>2.9375680356684666E-2</v>
      </c>
      <c r="O382">
        <v>5.4674005771508316</v>
      </c>
      <c r="P382">
        <v>98.408514201596844</v>
      </c>
      <c r="Q382">
        <v>100.81272112185832</v>
      </c>
      <c r="R382">
        <v>-1.8625523936223527</v>
      </c>
      <c r="S382" s="2">
        <v>1.3073978231348816E-4</v>
      </c>
      <c r="T382" s="2">
        <v>1.9098657288595518E-4</v>
      </c>
      <c r="U382" s="2">
        <v>2.5919384148133476E-4</v>
      </c>
      <c r="V382" s="2">
        <v>3.3839962209094568E-4</v>
      </c>
      <c r="W382" s="2">
        <v>4.2463520716782047E-4</v>
      </c>
      <c r="X382" s="2">
        <v>5.119552873252656E-4</v>
      </c>
      <c r="Y382" s="2">
        <v>5.9334276515972308E-4</v>
      </c>
      <c r="Z382" s="2">
        <v>6.6226601125045467E-4</v>
      </c>
      <c r="AA382" s="2">
        <v>7.1441235232823494E-4</v>
      </c>
      <c r="AB382" s="2">
        <v>7.4882940695055107E-4</v>
      </c>
      <c r="AC382" s="2">
        <v>7.678429796592318E-4</v>
      </c>
      <c r="AD382" s="2">
        <v>7.7475215040360404E-4</v>
      </c>
      <c r="AE382" s="2">
        <v>7.711882905117476E-4</v>
      </c>
      <c r="AF382" s="2">
        <v>7.6764082437539346E-4</v>
      </c>
      <c r="AG382" s="2">
        <v>7.6410967658326653E-4</v>
      </c>
      <c r="AH382" s="2">
        <v>8.7701278763138463E-4</v>
      </c>
      <c r="AI382" s="2">
        <v>9.0611463194750124E-4</v>
      </c>
      <c r="AJ382" s="2">
        <v>8.8683921256090426E-4</v>
      </c>
      <c r="AK382" s="2">
        <v>3.6795626434008082E-4</v>
      </c>
      <c r="AL382" s="2">
        <v>9.3320381445065334E-5</v>
      </c>
      <c r="AM382" s="2">
        <v>7.1516341417305097E-5</v>
      </c>
      <c r="AN382" s="2">
        <v>5.0715559204326953E-5</v>
      </c>
      <c r="AO382" s="2">
        <v>3.2637985655772231E-5</v>
      </c>
      <c r="AP382" s="2">
        <v>1.8505659025253196E-5</v>
      </c>
      <c r="AQ382" s="2">
        <v>8.7118050674168825E-6</v>
      </c>
      <c r="AR382" s="2">
        <v>1.1733625398782027E-2</v>
      </c>
    </row>
    <row r="383" spans="1:44" x14ac:dyDescent="0.25">
      <c r="A383" t="s">
        <v>250</v>
      </c>
      <c r="B383" t="s">
        <v>305</v>
      </c>
      <c r="C383" t="s">
        <v>44</v>
      </c>
      <c r="D383" t="s">
        <v>303</v>
      </c>
      <c r="E383" t="s">
        <v>145</v>
      </c>
      <c r="F383" t="s">
        <v>303</v>
      </c>
      <c r="G383" t="s">
        <v>31</v>
      </c>
      <c r="H383" t="s">
        <v>274</v>
      </c>
      <c r="I383" t="s">
        <v>135</v>
      </c>
      <c r="J383" t="s">
        <v>39</v>
      </c>
      <c r="K383" t="s">
        <v>31</v>
      </c>
      <c r="L383">
        <v>4.4454921874999997E-2</v>
      </c>
      <c r="M383">
        <v>0</v>
      </c>
      <c r="N383">
        <v>2.9375680356684666E-2</v>
      </c>
      <c r="O383">
        <v>5.4674005771508316</v>
      </c>
      <c r="P383">
        <v>98.408514201596844</v>
      </c>
      <c r="Q383">
        <v>100.81272112185832</v>
      </c>
      <c r="R383">
        <v>-1.8625523936223527</v>
      </c>
      <c r="S383" s="2">
        <v>2.0580782899066858E-4</v>
      </c>
      <c r="T383" s="2">
        <v>3.0064706577051834E-4</v>
      </c>
      <c r="U383" s="2">
        <v>4.0801752044466739E-4</v>
      </c>
      <c r="V383" s="2">
        <v>5.3270160253750904E-4</v>
      </c>
      <c r="W383" s="2">
        <v>6.6845185569194376E-4</v>
      </c>
      <c r="X383" s="2">
        <v>8.0590929830419834E-4</v>
      </c>
      <c r="Y383" s="2">
        <v>9.340277625064121E-4</v>
      </c>
      <c r="Z383" s="2">
        <v>1.0425252939686442E-3</v>
      </c>
      <c r="AA383" s="2">
        <v>1.1246129726928706E-3</v>
      </c>
      <c r="AB383" s="2">
        <v>1.1787915797452197E-3</v>
      </c>
      <c r="AC383" s="2">
        <v>1.2087223479573534E-3</v>
      </c>
      <c r="AD383" s="2">
        <v>1.2195986199371824E-3</v>
      </c>
      <c r="AE383" s="2">
        <v>1.213988466285471E-3</v>
      </c>
      <c r="AF383" s="2">
        <v>1.208404119340558E-3</v>
      </c>
      <c r="AG383" s="2">
        <v>1.2028454603915909E-3</v>
      </c>
      <c r="AH383" s="2">
        <v>1.3805751747901465E-3</v>
      </c>
      <c r="AI383" s="2">
        <v>1.4263866890235359E-3</v>
      </c>
      <c r="AJ383" s="2">
        <v>1.3960437272513631E-3</v>
      </c>
      <c r="AK383" s="2">
        <v>5.7922905015832965E-4</v>
      </c>
      <c r="AL383" s="2">
        <v>1.4690299131551063E-4</v>
      </c>
      <c r="AM383" s="2">
        <v>1.1257952785295698E-4</v>
      </c>
      <c r="AN383" s="2">
        <v>7.9835371844681833E-5</v>
      </c>
      <c r="AO383" s="2">
        <v>5.1378033920362011E-5</v>
      </c>
      <c r="AP383" s="2">
        <v>2.91312211220959E-5</v>
      </c>
      <c r="AQ383" s="2">
        <v>1.3713941202807136E-5</v>
      </c>
      <c r="AR383" s="2">
        <v>1.8470827523046598E-2</v>
      </c>
    </row>
    <row r="384" spans="1:44" x14ac:dyDescent="0.25">
      <c r="A384" t="s">
        <v>250</v>
      </c>
      <c r="B384" t="s">
        <v>305</v>
      </c>
      <c r="C384" t="s">
        <v>44</v>
      </c>
      <c r="D384" t="s">
        <v>303</v>
      </c>
      <c r="E384" t="s">
        <v>145</v>
      </c>
      <c r="F384" t="s">
        <v>303</v>
      </c>
      <c r="G384" t="s">
        <v>31</v>
      </c>
      <c r="H384" t="s">
        <v>274</v>
      </c>
      <c r="I384" t="s">
        <v>135</v>
      </c>
      <c r="J384" t="s">
        <v>39</v>
      </c>
      <c r="K384" t="s">
        <v>33</v>
      </c>
      <c r="L384">
        <v>4.4454921874999997E-2</v>
      </c>
      <c r="M384">
        <v>0</v>
      </c>
      <c r="N384">
        <v>2.9375680356684666E-2</v>
      </c>
      <c r="O384">
        <v>5.4674005771508316</v>
      </c>
      <c r="P384">
        <v>98.408514201596844</v>
      </c>
      <c r="Q384">
        <v>100.81272112185832</v>
      </c>
      <c r="R384">
        <v>-1.8625523936223527</v>
      </c>
      <c r="S384" s="2">
        <v>6.6218311359355562E-7</v>
      </c>
      <c r="T384" s="2">
        <v>9.673267099752308E-7</v>
      </c>
      <c r="U384" s="2">
        <v>1.3127892821852872E-6</v>
      </c>
      <c r="V384" s="2">
        <v>1.7139581497677533E-6</v>
      </c>
      <c r="W384" s="2">
        <v>2.1507322304515006E-6</v>
      </c>
      <c r="X384" s="2">
        <v>2.5929991635511013E-6</v>
      </c>
      <c r="Y384" s="2">
        <v>3.0052180958935297E-6</v>
      </c>
      <c r="Z384" s="2">
        <v>3.3543070180847898E-6</v>
      </c>
      <c r="AA384" s="2">
        <v>3.6184226979977248E-6</v>
      </c>
      <c r="AB384" s="2">
        <v>3.7927414247635223E-6</v>
      </c>
      <c r="AC384" s="2">
        <v>3.8890431513992794E-6</v>
      </c>
      <c r="AD384" s="2">
        <v>3.9240373675047306E-6</v>
      </c>
      <c r="AE384" s="2">
        <v>3.9059867956142073E-6</v>
      </c>
      <c r="AF384" s="2">
        <v>3.8880192563543828E-6</v>
      </c>
      <c r="AG384" s="2">
        <v>3.8701343677751523E-6</v>
      </c>
      <c r="AH384" s="2">
        <v>4.441976635563055E-6</v>
      </c>
      <c r="AI384" s="2">
        <v>4.5893743865731759E-6</v>
      </c>
      <c r="AJ384" s="2">
        <v>4.4917464343204125E-6</v>
      </c>
      <c r="AK384" s="2">
        <v>1.8636594040116386E-6</v>
      </c>
      <c r="AL384" s="2">
        <v>4.7265782192338993E-7</v>
      </c>
      <c r="AM384" s="2">
        <v>3.6222267464832175E-7</v>
      </c>
      <c r="AN384" s="2">
        <v>2.5686892166482001E-7</v>
      </c>
      <c r="AO384" s="2">
        <v>1.653079313773008E-7</v>
      </c>
      <c r="AP384" s="2">
        <v>9.372919776674974E-8</v>
      </c>
      <c r="AQ384" s="2">
        <v>4.4124367522119314E-8</v>
      </c>
      <c r="AR384" s="2">
        <v>5.9429566600282747E-5</v>
      </c>
    </row>
    <row r="385" spans="1:44" x14ac:dyDescent="0.25">
      <c r="A385" t="s">
        <v>250</v>
      </c>
      <c r="B385" t="s">
        <v>305</v>
      </c>
      <c r="C385" t="s">
        <v>44</v>
      </c>
      <c r="D385" t="s">
        <v>303</v>
      </c>
      <c r="E385" t="s">
        <v>145</v>
      </c>
      <c r="F385" t="s">
        <v>303</v>
      </c>
      <c r="G385" t="s">
        <v>31</v>
      </c>
      <c r="H385" t="s">
        <v>275</v>
      </c>
      <c r="I385" t="s">
        <v>135</v>
      </c>
      <c r="J385" t="s">
        <v>39</v>
      </c>
      <c r="K385" t="s">
        <v>31</v>
      </c>
      <c r="L385">
        <v>4.4454921874999997E-2</v>
      </c>
      <c r="M385">
        <v>0</v>
      </c>
      <c r="N385">
        <v>2.9375680356684666E-2</v>
      </c>
      <c r="O385">
        <v>5.4674005771508316</v>
      </c>
      <c r="P385">
        <v>98.408514201596844</v>
      </c>
      <c r="Q385">
        <v>100.81272112185832</v>
      </c>
      <c r="R385">
        <v>-1.8625523936223527</v>
      </c>
      <c r="S385" s="2">
        <v>3.14410026960306E-4</v>
      </c>
      <c r="T385" s="2">
        <v>4.5929473391768521E-4</v>
      </c>
      <c r="U385" s="2">
        <v>6.2332322454604762E-4</v>
      </c>
      <c r="V385" s="2">
        <v>8.138015256125671E-4</v>
      </c>
      <c r="W385" s="2">
        <v>1.0211854767648307E-3</v>
      </c>
      <c r="X385" s="2">
        <v>1.2311774797394751E-3</v>
      </c>
      <c r="Y385" s="2">
        <v>1.4269024430777621E-3</v>
      </c>
      <c r="Z385" s="2">
        <v>1.5926527547129611E-3</v>
      </c>
      <c r="AA385" s="2">
        <v>1.7180570671114128E-3</v>
      </c>
      <c r="AB385" s="2">
        <v>1.8008250423995312E-3</v>
      </c>
      <c r="AC385" s="2">
        <v>1.8465498998389744E-3</v>
      </c>
      <c r="AD385" s="2">
        <v>1.8631654434904288E-3</v>
      </c>
      <c r="AE385" s="2">
        <v>1.8545948824503732E-3</v>
      </c>
      <c r="AF385" s="2">
        <v>1.8460637459911011E-3</v>
      </c>
      <c r="AG385" s="2">
        <v>1.8375718527595417E-3</v>
      </c>
      <c r="AH385" s="2">
        <v>2.1090872978703837E-3</v>
      </c>
      <c r="AI385" s="2">
        <v>2.1790729708928832E-3</v>
      </c>
      <c r="AJ385" s="2">
        <v>2.1327184105458322E-3</v>
      </c>
      <c r="AK385" s="2">
        <v>8.8488092104956192E-4</v>
      </c>
      <c r="AL385" s="2">
        <v>2.2442184870505151E-4</v>
      </c>
      <c r="AM385" s="2">
        <v>1.7198632608398943E-4</v>
      </c>
      <c r="AN385" s="2">
        <v>1.219634915599383E-4</v>
      </c>
      <c r="AO385" s="2">
        <v>7.848957500446177E-5</v>
      </c>
      <c r="AP385" s="2">
        <v>4.4503399425102074E-5</v>
      </c>
      <c r="AQ385" s="2">
        <v>2.0950615165869637E-5</v>
      </c>
      <c r="AR385" s="2">
        <v>2.8217650455676074E-2</v>
      </c>
    </row>
    <row r="386" spans="1:44" x14ac:dyDescent="0.25">
      <c r="A386" t="s">
        <v>250</v>
      </c>
      <c r="B386" t="s">
        <v>305</v>
      </c>
      <c r="C386" t="s">
        <v>44</v>
      </c>
      <c r="D386" t="s">
        <v>303</v>
      </c>
      <c r="E386" t="s">
        <v>148</v>
      </c>
      <c r="F386" t="s">
        <v>303</v>
      </c>
      <c r="G386" t="s">
        <v>31</v>
      </c>
      <c r="H386" t="s">
        <v>272</v>
      </c>
      <c r="I386" t="s">
        <v>135</v>
      </c>
      <c r="J386" t="s">
        <v>39</v>
      </c>
      <c r="K386" t="s">
        <v>31</v>
      </c>
      <c r="L386">
        <v>4.4454921874999997E-2</v>
      </c>
      <c r="M386">
        <v>0</v>
      </c>
      <c r="N386">
        <v>2.9375680356684666E-2</v>
      </c>
      <c r="O386">
        <v>5.4674005771508316</v>
      </c>
      <c r="P386">
        <v>98.408514201596844</v>
      </c>
      <c r="Q386">
        <v>100.81272112185832</v>
      </c>
      <c r="R386">
        <v>-1.8625523936223527</v>
      </c>
      <c r="S386" s="2">
        <v>7.3952767176986285E-5</v>
      </c>
      <c r="T386" s="2">
        <v>1.525494181532695E-4</v>
      </c>
      <c r="U386" s="2">
        <v>2.0936963546971509E-4</v>
      </c>
      <c r="V386" s="2">
        <v>2.7645356187720168E-4</v>
      </c>
      <c r="W386" s="2">
        <v>3.5085969011494362E-4</v>
      </c>
      <c r="X386" s="2">
        <v>4.278547594163605E-4</v>
      </c>
      <c r="Y386" s="2">
        <v>5.0157790358544292E-4</v>
      </c>
      <c r="Z386" s="2">
        <v>5.6631102918413775E-4</v>
      </c>
      <c r="AA386" s="2">
        <v>6.1799158408398693E-4</v>
      </c>
      <c r="AB386" s="2">
        <v>6.5531278265170334E-4</v>
      </c>
      <c r="AC386" s="2">
        <v>6.7981578248658557E-4</v>
      </c>
      <c r="AD386" s="2">
        <v>6.939936062007998E-4</v>
      </c>
      <c r="AE386" s="2">
        <v>6.9895236662508953E-4</v>
      </c>
      <c r="AF386" s="2">
        <v>7.0397972608610897E-4</v>
      </c>
      <c r="AG386" s="2">
        <v>7.0907639412123792E-4</v>
      </c>
      <c r="AH386" s="2">
        <v>7.1424308849959159E-4</v>
      </c>
      <c r="AI386" s="2">
        <v>7.1948053531326809E-4</v>
      </c>
      <c r="AJ386" s="2">
        <v>7.2478946906926855E-4</v>
      </c>
      <c r="AK386" s="2">
        <v>7.3017063278268469E-4</v>
      </c>
      <c r="AL386" s="2">
        <v>7.3562477807091319E-4</v>
      </c>
      <c r="AM386" s="2">
        <v>7.4115266524876311E-4</v>
      </c>
      <c r="AN386" s="2">
        <v>7.4675506342482311E-4</v>
      </c>
      <c r="AO386" s="2">
        <v>7.5243275059889709E-4</v>
      </c>
      <c r="AP386" s="2">
        <v>7.5818651376037462E-4</v>
      </c>
      <c r="AQ386" s="2">
        <v>7.6401714898793351E-4</v>
      </c>
      <c r="AR386" s="2">
        <v>1.4704903652990086E-2</v>
      </c>
    </row>
    <row r="387" spans="1:44" x14ac:dyDescent="0.25">
      <c r="A387" t="s">
        <v>250</v>
      </c>
      <c r="B387" t="s">
        <v>305</v>
      </c>
      <c r="C387" t="s">
        <v>44</v>
      </c>
      <c r="D387" t="s">
        <v>303</v>
      </c>
      <c r="E387" t="s">
        <v>148</v>
      </c>
      <c r="F387" t="s">
        <v>303</v>
      </c>
      <c r="G387" t="s">
        <v>31</v>
      </c>
      <c r="H387" t="s">
        <v>272</v>
      </c>
      <c r="I387" t="s">
        <v>135</v>
      </c>
      <c r="J387" t="s">
        <v>40</v>
      </c>
      <c r="K387" t="s">
        <v>31</v>
      </c>
      <c r="L387">
        <v>4.4454921874999997E-2</v>
      </c>
      <c r="M387">
        <v>0</v>
      </c>
      <c r="N387">
        <v>2.9375680356684666E-2</v>
      </c>
      <c r="O387">
        <v>4.1746294160814541</v>
      </c>
      <c r="P387">
        <v>98.408514201596844</v>
      </c>
      <c r="Q387">
        <v>0.4672931329656026</v>
      </c>
      <c r="R387">
        <v>-1.7195523936223525</v>
      </c>
      <c r="S387" s="2">
        <v>7.315100214500642E-6</v>
      </c>
      <c r="T387" s="2">
        <v>1.5089554103963211E-5</v>
      </c>
      <c r="U387" s="2">
        <v>2.070997372781246E-5</v>
      </c>
      <c r="V387" s="2">
        <v>2.7345636775803317E-5</v>
      </c>
      <c r="W387" s="2">
        <v>3.4705581581241303E-5</v>
      </c>
      <c r="X387" s="2">
        <v>4.2321613671215417E-5</v>
      </c>
      <c r="Y387" s="2">
        <v>4.961400053260526E-5</v>
      </c>
      <c r="Z387" s="2">
        <v>5.6017132139824415E-5</v>
      </c>
      <c r="AA387" s="2">
        <v>6.1129157729465709E-5</v>
      </c>
      <c r="AB387" s="2">
        <v>6.48208155006298E-5</v>
      </c>
      <c r="AC387" s="2">
        <v>6.7244550354514046E-5</v>
      </c>
      <c r="AD387" s="2">
        <v>6.8646961721284037E-5</v>
      </c>
      <c r="AE387" s="2">
        <v>6.9137461682651188E-5</v>
      </c>
      <c r="AF387" s="2">
        <v>6.9634747175480074E-5</v>
      </c>
      <c r="AG387" s="2">
        <v>7.0138888384257067E-5</v>
      </c>
      <c r="AH387" s="2">
        <v>7.06499563077193E-5</v>
      </c>
      <c r="AI387" s="2">
        <v>7.116802276787509E-5</v>
      </c>
      <c r="AJ387" s="2">
        <v>7.1693160419105062E-5</v>
      </c>
      <c r="AK387" s="2">
        <v>7.2225442757371951E-5</v>
      </c>
      <c r="AL387" s="2">
        <v>7.2764944129543409E-5</v>
      </c>
      <c r="AM387" s="2">
        <v>7.3311739742797864E-5</v>
      </c>
      <c r="AN387" s="2">
        <v>7.3865905674159622E-5</v>
      </c>
      <c r="AO387" s="2">
        <v>7.4427518880134223E-5</v>
      </c>
      <c r="AP387" s="2">
        <v>7.4996657206438764E-5</v>
      </c>
      <c r="AQ387" s="2">
        <v>7.5573399397865871E-5</v>
      </c>
      <c r="AR387" s="2">
        <v>1.4545479225782591E-3</v>
      </c>
    </row>
    <row r="388" spans="1:44" x14ac:dyDescent="0.25">
      <c r="A388" t="s">
        <v>250</v>
      </c>
      <c r="B388" t="s">
        <v>305</v>
      </c>
      <c r="C388" t="s">
        <v>44</v>
      </c>
      <c r="D388" t="s">
        <v>303</v>
      </c>
      <c r="E388" t="s">
        <v>148</v>
      </c>
      <c r="F388" t="s">
        <v>303</v>
      </c>
      <c r="G388" t="s">
        <v>31</v>
      </c>
      <c r="H388" t="s">
        <v>273</v>
      </c>
      <c r="I388" t="s">
        <v>135</v>
      </c>
      <c r="J388" t="s">
        <v>39</v>
      </c>
      <c r="K388" t="s">
        <v>31</v>
      </c>
      <c r="L388">
        <v>4.4454921874999997E-2</v>
      </c>
      <c r="M388">
        <v>0</v>
      </c>
      <c r="N388">
        <v>2.9375680356684666E-2</v>
      </c>
      <c r="O388">
        <v>5.4674005771508316</v>
      </c>
      <c r="P388">
        <v>98.408514201596844</v>
      </c>
      <c r="Q388">
        <v>100.81272112185832</v>
      </c>
      <c r="R388">
        <v>-1.8625523936223527</v>
      </c>
      <c r="S388" s="2">
        <v>2.2241778932639122E-5</v>
      </c>
      <c r="T388" s="2">
        <v>4.5880236323646742E-5</v>
      </c>
      <c r="U388" s="2">
        <v>6.2969288710723961E-5</v>
      </c>
      <c r="V388" s="2">
        <v>8.3145218808349766E-5</v>
      </c>
      <c r="W388" s="2">
        <v>1.0552334904838161E-4</v>
      </c>
      <c r="X388" s="2">
        <v>1.2868012026435218E-4</v>
      </c>
      <c r="Y388" s="2">
        <v>1.5085283857391233E-4</v>
      </c>
      <c r="Z388" s="2">
        <v>1.703217499364711E-4</v>
      </c>
      <c r="AA388" s="2">
        <v>1.8586501519993222E-4</v>
      </c>
      <c r="AB388" s="2">
        <v>1.9708961002891967E-4</v>
      </c>
      <c r="AC388" s="2">
        <v>2.0445904766212917E-4</v>
      </c>
      <c r="AD388" s="2">
        <v>2.0872312097317713E-4</v>
      </c>
      <c r="AE388" s="2">
        <v>2.1021450063815595E-4</v>
      </c>
      <c r="AF388" s="2">
        <v>2.1172651191259171E-4</v>
      </c>
      <c r="AG388" s="2">
        <v>2.1325936819447744E-4</v>
      </c>
      <c r="AH388" s="2">
        <v>2.1481328535759013E-4</v>
      </c>
      <c r="AI388" s="2">
        <v>2.1638848177887442E-4</v>
      </c>
      <c r="AJ388" s="2">
        <v>2.1798517836612145E-4</v>
      </c>
      <c r="AK388" s="2">
        <v>2.1960359858598239E-4</v>
      </c>
      <c r="AL388" s="2">
        <v>2.2124396849232072E-4</v>
      </c>
      <c r="AM388" s="2">
        <v>2.2290651675477952E-4</v>
      </c>
      <c r="AN388" s="2">
        <v>2.2459147468781437E-4</v>
      </c>
      <c r="AO388" s="2">
        <v>2.2629907627995003E-4</v>
      </c>
      <c r="AP388" s="2">
        <v>2.2802955822340604E-4</v>
      </c>
      <c r="AQ388" s="2">
        <v>2.2978315994405291E-4</v>
      </c>
      <c r="AR388" s="2">
        <v>4.4225960536787524E-3</v>
      </c>
    </row>
    <row r="389" spans="1:44" x14ac:dyDescent="0.25">
      <c r="A389" t="s">
        <v>250</v>
      </c>
      <c r="B389" t="s">
        <v>305</v>
      </c>
      <c r="C389" t="s">
        <v>44</v>
      </c>
      <c r="D389" t="s">
        <v>303</v>
      </c>
      <c r="E389" t="s">
        <v>148</v>
      </c>
      <c r="F389" t="s">
        <v>303</v>
      </c>
      <c r="G389" t="s">
        <v>31</v>
      </c>
      <c r="H389" t="s">
        <v>274</v>
      </c>
      <c r="I389" t="s">
        <v>135</v>
      </c>
      <c r="J389" t="s">
        <v>39</v>
      </c>
      <c r="K389" t="s">
        <v>31</v>
      </c>
      <c r="L389">
        <v>4.4454921874999997E-2</v>
      </c>
      <c r="M389">
        <v>0</v>
      </c>
      <c r="N389">
        <v>2.9375680356684666E-2</v>
      </c>
      <c r="O389">
        <v>5.4674005771508316</v>
      </c>
      <c r="P389">
        <v>98.408514201596844</v>
      </c>
      <c r="Q389">
        <v>100.81272112185832</v>
      </c>
      <c r="R389">
        <v>-1.8625523936223527</v>
      </c>
      <c r="S389" s="2">
        <v>3.5012542884925656E-5</v>
      </c>
      <c r="T389" s="2">
        <v>7.2223707767138032E-5</v>
      </c>
      <c r="U389" s="2">
        <v>9.9124936368382579E-5</v>
      </c>
      <c r="V389" s="2">
        <v>1.3088546325455371E-4</v>
      </c>
      <c r="W389" s="2">
        <v>1.6611264751380546E-4</v>
      </c>
      <c r="X389" s="2">
        <v>2.0256555210075485E-4</v>
      </c>
      <c r="Y389" s="2">
        <v>2.3746938119823671E-4</v>
      </c>
      <c r="Z389" s="2">
        <v>2.6811693398927014E-4</v>
      </c>
      <c r="AA389" s="2">
        <v>2.9258481685317123E-4</v>
      </c>
      <c r="AB389" s="2">
        <v>3.1025433910704061E-4</v>
      </c>
      <c r="AC389" s="2">
        <v>3.2185515359008706E-4</v>
      </c>
      <c r="AD389" s="2">
        <v>3.2856756855112386E-4</v>
      </c>
      <c r="AE389" s="2">
        <v>3.3091526720580489E-4</v>
      </c>
      <c r="AF389" s="2">
        <v>3.3329544370827108E-4</v>
      </c>
      <c r="AG389" s="2">
        <v>3.3570843398520513E-4</v>
      </c>
      <c r="AH389" s="2">
        <v>3.3815457786055331E-4</v>
      </c>
      <c r="AI389" s="2">
        <v>3.4063421909876342E-4</v>
      </c>
      <c r="AJ389" s="2">
        <v>3.4314770544823132E-4</v>
      </c>
      <c r="AK389" s="2">
        <v>3.4569538868550585E-4</v>
      </c>
      <c r="AL389" s="2">
        <v>3.4827762465982547E-4</v>
      </c>
      <c r="AM389" s="2">
        <v>3.5089477333817142E-4</v>
      </c>
      <c r="AN389" s="2">
        <v>3.535471988509116E-4</v>
      </c>
      <c r="AO389" s="2">
        <v>3.5623526953788777E-4</v>
      </c>
      <c r="AP389" s="2">
        <v>3.5895935799503743E-4</v>
      </c>
      <c r="AQ389" s="2">
        <v>3.6171984112155049E-4</v>
      </c>
      <c r="AR389" s="2">
        <v>6.9619581446742091E-3</v>
      </c>
    </row>
    <row r="390" spans="1:44" x14ac:dyDescent="0.25">
      <c r="A390" t="s">
        <v>250</v>
      </c>
      <c r="B390" t="s">
        <v>305</v>
      </c>
      <c r="C390" t="s">
        <v>44</v>
      </c>
      <c r="D390" t="s">
        <v>303</v>
      </c>
      <c r="E390" t="s">
        <v>148</v>
      </c>
      <c r="F390" t="s">
        <v>303</v>
      </c>
      <c r="G390" t="s">
        <v>31</v>
      </c>
      <c r="H390" t="s">
        <v>274</v>
      </c>
      <c r="I390" t="s">
        <v>135</v>
      </c>
      <c r="J390" t="s">
        <v>39</v>
      </c>
      <c r="K390" t="s">
        <v>33</v>
      </c>
      <c r="L390">
        <v>4.4454921874999997E-2</v>
      </c>
      <c r="M390">
        <v>0</v>
      </c>
      <c r="N390">
        <v>2.9375680356684666E-2</v>
      </c>
      <c r="O390">
        <v>5.4674005771508316</v>
      </c>
      <c r="P390">
        <v>98.408514201596844</v>
      </c>
      <c r="Q390">
        <v>100.81272112185832</v>
      </c>
      <c r="R390">
        <v>-1.8625523936223527</v>
      </c>
      <c r="S390" s="2">
        <v>1.1265224834289066E-7</v>
      </c>
      <c r="T390" s="2">
        <v>2.3237852475807716E-7</v>
      </c>
      <c r="U390" s="2">
        <v>3.189327603380677E-7</v>
      </c>
      <c r="V390" s="2">
        <v>4.2112170371305508E-7</v>
      </c>
      <c r="W390" s="2">
        <v>5.3446455694815512E-7</v>
      </c>
      <c r="X390" s="2">
        <v>6.5175114403912632E-7</v>
      </c>
      <c r="Y390" s="2">
        <v>7.6405360765995489E-7</v>
      </c>
      <c r="Z390" s="2">
        <v>8.6266157622323931E-7</v>
      </c>
      <c r="AA390" s="2">
        <v>9.4138656417592998E-7</v>
      </c>
      <c r="AB390" s="2">
        <v>9.9823794499637378E-7</v>
      </c>
      <c r="AC390" s="2">
        <v>1.03556336401605E-6</v>
      </c>
      <c r="AD390" s="2">
        <v>1.057160442516074E-6</v>
      </c>
      <c r="AE390" s="2">
        <v>1.0647141221431328E-6</v>
      </c>
      <c r="AF390" s="2">
        <v>1.0723722986810971E-6</v>
      </c>
      <c r="AG390" s="2">
        <v>1.080136052968216E-6</v>
      </c>
      <c r="AH390" s="2">
        <v>1.088006478382155E-6</v>
      </c>
      <c r="AI390" s="2">
        <v>1.0959846809790484E-6</v>
      </c>
      <c r="AJ390" s="2">
        <v>1.1040717796333023E-6</v>
      </c>
      <c r="AK390" s="2">
        <v>1.1122689061798609E-6</v>
      </c>
      <c r="AL390" s="2">
        <v>1.1205772055574543E-6</v>
      </c>
      <c r="AM390" s="2">
        <v>1.1289978359536066E-6</v>
      </c>
      <c r="AN390" s="2">
        <v>1.1375319689514472E-6</v>
      </c>
      <c r="AO390" s="2">
        <v>1.146180789677994E-6</v>
      </c>
      <c r="AP390" s="2">
        <v>1.1549454969542131E-6</v>
      </c>
      <c r="AQ390" s="2">
        <v>1.1638273034467313E-6</v>
      </c>
      <c r="AR390" s="2">
        <v>2.2399979357235253E-5</v>
      </c>
    </row>
    <row r="391" spans="1:44" x14ac:dyDescent="0.25">
      <c r="A391" t="s">
        <v>250</v>
      </c>
      <c r="B391" t="s">
        <v>305</v>
      </c>
      <c r="C391" t="s">
        <v>44</v>
      </c>
      <c r="D391" t="s">
        <v>303</v>
      </c>
      <c r="E391" t="s">
        <v>148</v>
      </c>
      <c r="F391" t="s">
        <v>303</v>
      </c>
      <c r="G391" t="s">
        <v>31</v>
      </c>
      <c r="H391" t="s">
        <v>275</v>
      </c>
      <c r="I391" t="s">
        <v>135</v>
      </c>
      <c r="J391" t="s">
        <v>39</v>
      </c>
      <c r="K391" t="s">
        <v>31</v>
      </c>
      <c r="L391">
        <v>4.4454921874999997E-2</v>
      </c>
      <c r="M391">
        <v>0</v>
      </c>
      <c r="N391">
        <v>2.9375680356684666E-2</v>
      </c>
      <c r="O391">
        <v>5.4674005771508316</v>
      </c>
      <c r="P391">
        <v>98.408514201596844</v>
      </c>
      <c r="Q391">
        <v>100.81272112185832</v>
      </c>
      <c r="R391">
        <v>-1.8625523936223527</v>
      </c>
      <c r="S391" s="2">
        <v>5.348822057151901E-5</v>
      </c>
      <c r="T391" s="2">
        <v>1.1033524826341004E-4</v>
      </c>
      <c r="U391" s="2">
        <v>1.5143191621459117E-4</v>
      </c>
      <c r="V391" s="2">
        <v>1.9995207292353512E-4</v>
      </c>
      <c r="W391" s="2">
        <v>2.5376819841790854E-4</v>
      </c>
      <c r="X391" s="2">
        <v>3.0945684141158635E-4</v>
      </c>
      <c r="Y391" s="2">
        <v>3.6277898129993152E-4</v>
      </c>
      <c r="Z391" s="2">
        <v>4.0959886150833988E-4</v>
      </c>
      <c r="AA391" s="2">
        <v>4.4697813783922132E-4</v>
      </c>
      <c r="AB391" s="2">
        <v>4.7397164433243474E-4</v>
      </c>
      <c r="AC391" s="2">
        <v>4.9169406243608298E-4</v>
      </c>
      <c r="AD391" s="2">
        <v>5.0194853418878316E-4</v>
      </c>
      <c r="AE391" s="2">
        <v>5.0553508384013502E-4</v>
      </c>
      <c r="AF391" s="2">
        <v>5.0917124949029918E-4</v>
      </c>
      <c r="AG391" s="2">
        <v>5.1285754433022686E-4</v>
      </c>
      <c r="AH391" s="2">
        <v>5.1659448750468917E-4</v>
      </c>
      <c r="AI391" s="2">
        <v>5.203826041782928E-4</v>
      </c>
      <c r="AJ391" s="2">
        <v>5.2422242560188823E-4</v>
      </c>
      <c r="AK391" s="2">
        <v>5.2811448918005453E-4</v>
      </c>
      <c r="AL391" s="2">
        <v>5.3205933853921086E-4</v>
      </c>
      <c r="AM391" s="2">
        <v>5.3605752359638342E-4</v>
      </c>
      <c r="AN391" s="2">
        <v>5.401096006289153E-4</v>
      </c>
      <c r="AO391" s="2">
        <v>5.4421613234498819E-4</v>
      </c>
      <c r="AP391" s="2">
        <v>5.4837768795466726E-4</v>
      </c>
      <c r="AQ391" s="2">
        <v>5.5259484324215102E-4</v>
      </c>
      <c r="AR391" s="2">
        <v>1.0635695729839245E-2</v>
      </c>
    </row>
    <row r="392" spans="1:44" x14ac:dyDescent="0.25">
      <c r="A392" t="s">
        <v>250</v>
      </c>
      <c r="B392" t="s">
        <v>307</v>
      </c>
      <c r="C392" t="s">
        <v>44</v>
      </c>
      <c r="D392" t="s">
        <v>303</v>
      </c>
      <c r="E392" t="s">
        <v>145</v>
      </c>
      <c r="F392" t="s">
        <v>303</v>
      </c>
      <c r="G392" t="s">
        <v>31</v>
      </c>
      <c r="H392" t="s">
        <v>276</v>
      </c>
      <c r="I392" t="s">
        <v>135</v>
      </c>
      <c r="J392" t="s">
        <v>39</v>
      </c>
      <c r="K392" t="s">
        <v>31</v>
      </c>
      <c r="L392">
        <v>2.4563229166666669E-2</v>
      </c>
      <c r="M392">
        <v>0</v>
      </c>
      <c r="N392">
        <v>1.6242061884047983E-2</v>
      </c>
      <c r="O392">
        <v>5.4639665376457422</v>
      </c>
      <c r="P392">
        <v>179.81294196447735</v>
      </c>
      <c r="Q392">
        <v>182.21714888473889</v>
      </c>
      <c r="R392">
        <v>-1.8625523936223511</v>
      </c>
      <c r="S392" s="2">
        <v>1.0757016714921625E-2</v>
      </c>
      <c r="T392" s="2">
        <v>1.5753472815352131E-2</v>
      </c>
      <c r="U392" s="2">
        <v>2.1433225673943884E-2</v>
      </c>
      <c r="V392" s="2">
        <v>2.8053181010287469E-2</v>
      </c>
      <c r="W392" s="2">
        <v>3.5290485262266483E-2</v>
      </c>
      <c r="X392" s="2">
        <v>4.2654322640372118E-2</v>
      </c>
      <c r="Y392" s="2">
        <v>4.9559401667022634E-2</v>
      </c>
      <c r="Z392" s="2">
        <v>5.5455197490931959E-2</v>
      </c>
      <c r="AA392" s="2">
        <v>5.9971944535732812E-2</v>
      </c>
      <c r="AB392" s="2">
        <v>6.3018992099078228E-2</v>
      </c>
      <c r="AC392" s="2">
        <v>6.4781405466206726E-2</v>
      </c>
      <c r="AD392" s="2">
        <v>6.5528484604165826E-2</v>
      </c>
      <c r="AE392" s="2">
        <v>6.5390874786497064E-2</v>
      </c>
      <c r="AF392" s="2">
        <v>6.5253553949445445E-2</v>
      </c>
      <c r="AG392" s="2">
        <v>6.5116521486151616E-2</v>
      </c>
      <c r="AH392" s="2">
        <v>7.4558426205471734E-2</v>
      </c>
      <c r="AI392" s="2">
        <v>7.5181475859252084E-2</v>
      </c>
      <c r="AJ392" s="2">
        <v>7.3972480987968547E-2</v>
      </c>
      <c r="AK392" s="2">
        <v>6.1853568585128735E-2</v>
      </c>
      <c r="AL392" s="2">
        <v>6.521583203633362E-3</v>
      </c>
      <c r="AM392" s="2">
        <v>5.0097478852328342E-3</v>
      </c>
      <c r="AN392" s="2">
        <v>3.5610165330918261E-3</v>
      </c>
      <c r="AO392" s="2">
        <v>2.2970291899879424E-3</v>
      </c>
      <c r="AP392" s="2">
        <v>1.3054083549696638E-3</v>
      </c>
      <c r="AQ392" s="2">
        <v>6.1593797683091292E-4</v>
      </c>
      <c r="AR392" s="2">
        <v>1.0128947549839435</v>
      </c>
    </row>
    <row r="393" spans="1:44" x14ac:dyDescent="0.25">
      <c r="A393" t="s">
        <v>250</v>
      </c>
      <c r="B393" t="s">
        <v>307</v>
      </c>
      <c r="C393" t="s">
        <v>44</v>
      </c>
      <c r="D393" t="s">
        <v>303</v>
      </c>
      <c r="E393" t="s">
        <v>148</v>
      </c>
      <c r="F393" t="s">
        <v>303</v>
      </c>
      <c r="G393" t="s">
        <v>31</v>
      </c>
      <c r="H393" t="s">
        <v>276</v>
      </c>
      <c r="I393" t="s">
        <v>135</v>
      </c>
      <c r="J393" t="s">
        <v>39</v>
      </c>
      <c r="K393" t="s">
        <v>31</v>
      </c>
      <c r="L393">
        <v>2.4563229166666669E-2</v>
      </c>
      <c r="M393">
        <v>0</v>
      </c>
      <c r="N393">
        <v>1.6242061884047983E-2</v>
      </c>
      <c r="O393">
        <v>5.4639665376457422</v>
      </c>
      <c r="P393">
        <v>179.81294196447735</v>
      </c>
      <c r="Q393">
        <v>182.21714888473889</v>
      </c>
      <c r="R393">
        <v>-1.8625523936223511</v>
      </c>
      <c r="S393" s="2">
        <v>1.8300106020851725E-3</v>
      </c>
      <c r="T393" s="2">
        <v>3.1829387822339449E-3</v>
      </c>
      <c r="U393" s="2">
        <v>4.379266853461814E-3</v>
      </c>
      <c r="V393" s="2">
        <v>5.7965268022904508E-3</v>
      </c>
      <c r="W393" s="2">
        <v>7.3743729942871575E-3</v>
      </c>
      <c r="X393" s="2">
        <v>9.0140931092128722E-3</v>
      </c>
      <c r="Y393" s="2">
        <v>1.0592202090511552E-2</v>
      </c>
      <c r="Z393" s="2">
        <v>1.1987076513243978E-2</v>
      </c>
      <c r="AA393" s="2">
        <v>1.3111110682816412E-2</v>
      </c>
      <c r="AB393" s="2">
        <v>1.3934537643597776E-2</v>
      </c>
      <c r="AC393" s="2">
        <v>1.448807114790842E-2</v>
      </c>
      <c r="AD393" s="2">
        <v>1.4823087458895955E-2</v>
      </c>
      <c r="AE393" s="2">
        <v>1.4961777663750989E-2</v>
      </c>
      <c r="AF393" s="2">
        <v>1.5102081019106754E-2</v>
      </c>
      <c r="AG393" s="2">
        <v>1.5244015493884253E-2</v>
      </c>
      <c r="AH393" s="2">
        <v>1.5387599258768356E-2</v>
      </c>
      <c r="AI393" s="2">
        <v>1.5532850688471456E-2</v>
      </c>
      <c r="AJ393" s="2">
        <v>1.5679788364017028E-2</v>
      </c>
      <c r="AK393" s="2">
        <v>1.5828431075057596E-2</v>
      </c>
      <c r="AL393" s="2">
        <v>1.5978797822212183E-2</v>
      </c>
      <c r="AM393" s="2">
        <v>1.6130907819428403E-2</v>
      </c>
      <c r="AN393" s="2">
        <v>1.6284780496379596E-2</v>
      </c>
      <c r="AO393" s="2">
        <v>1.6440435500879261E-2</v>
      </c>
      <c r="AP393" s="2">
        <v>1.6597892701328852E-2</v>
      </c>
      <c r="AQ393" s="2">
        <v>1.6757172189191434E-2</v>
      </c>
      <c r="AR393" s="2">
        <v>0.31643982477302168</v>
      </c>
    </row>
    <row r="394" spans="1:44" x14ac:dyDescent="0.25">
      <c r="A394" t="s">
        <v>250</v>
      </c>
      <c r="B394" t="s">
        <v>306</v>
      </c>
      <c r="C394" t="s">
        <v>44</v>
      </c>
      <c r="D394" t="s">
        <v>303</v>
      </c>
      <c r="E394" t="s">
        <v>145</v>
      </c>
      <c r="F394" t="s">
        <v>303</v>
      </c>
      <c r="G394" t="s">
        <v>31</v>
      </c>
      <c r="H394" t="s">
        <v>277</v>
      </c>
      <c r="I394" t="s">
        <v>135</v>
      </c>
      <c r="J394" t="s">
        <v>39</v>
      </c>
      <c r="K394" t="s">
        <v>31</v>
      </c>
      <c r="L394">
        <v>6.0953750000000001E-2</v>
      </c>
      <c r="M394">
        <v>0</v>
      </c>
      <c r="N394">
        <v>4.0238957028394744E-2</v>
      </c>
      <c r="O394">
        <v>5.4679361121017198</v>
      </c>
      <c r="P394">
        <v>71.19939926673959</v>
      </c>
      <c r="Q394">
        <v>73.603606187001091</v>
      </c>
      <c r="R394">
        <v>-1.8625523936223525</v>
      </c>
      <c r="S394" s="2">
        <v>0</v>
      </c>
      <c r="T394" s="2">
        <v>0</v>
      </c>
      <c r="U394" s="2">
        <v>0</v>
      </c>
      <c r="V394" s="2">
        <v>0</v>
      </c>
      <c r="W394" s="2">
        <v>0</v>
      </c>
      <c r="X394" s="2">
        <v>0</v>
      </c>
      <c r="Y394" s="2">
        <v>0</v>
      </c>
      <c r="Z394" s="2">
        <v>0</v>
      </c>
      <c r="AA394" s="2">
        <v>0</v>
      </c>
      <c r="AB394" s="2">
        <v>0</v>
      </c>
      <c r="AC394" s="2">
        <v>0</v>
      </c>
      <c r="AD394" s="2">
        <v>0</v>
      </c>
      <c r="AE394" s="2">
        <v>0</v>
      </c>
      <c r="AF394" s="2">
        <v>0</v>
      </c>
      <c r="AG394" s="2">
        <v>0</v>
      </c>
      <c r="AH394" s="2">
        <v>0</v>
      </c>
      <c r="AI394" s="2">
        <v>0</v>
      </c>
      <c r="AJ394" s="2">
        <v>0</v>
      </c>
      <c r="AK394" s="2">
        <v>0</v>
      </c>
      <c r="AL394" s="2">
        <v>0</v>
      </c>
      <c r="AM394" s="2">
        <v>0</v>
      </c>
      <c r="AN394" s="2">
        <v>0</v>
      </c>
      <c r="AO394" s="2">
        <v>0</v>
      </c>
      <c r="AP394" s="2">
        <v>0</v>
      </c>
      <c r="AQ394" s="2">
        <v>0</v>
      </c>
      <c r="AR394" s="2">
        <v>0</v>
      </c>
    </row>
    <row r="395" spans="1:44" x14ac:dyDescent="0.25">
      <c r="A395" t="s">
        <v>250</v>
      </c>
      <c r="B395" t="s">
        <v>306</v>
      </c>
      <c r="C395" t="s">
        <v>44</v>
      </c>
      <c r="D395" t="s">
        <v>303</v>
      </c>
      <c r="E395" t="s">
        <v>145</v>
      </c>
      <c r="F395" t="s">
        <v>303</v>
      </c>
      <c r="G395" t="s">
        <v>31</v>
      </c>
      <c r="H395" t="s">
        <v>277</v>
      </c>
      <c r="I395" t="s">
        <v>135</v>
      </c>
      <c r="J395" t="s">
        <v>40</v>
      </c>
      <c r="K395" t="s">
        <v>31</v>
      </c>
      <c r="L395">
        <v>6.0953750000000001E-2</v>
      </c>
      <c r="M395">
        <v>0</v>
      </c>
      <c r="N395">
        <v>4.0238957028394744E-2</v>
      </c>
      <c r="O395">
        <v>4.1746294160814523</v>
      </c>
      <c r="P395">
        <v>71.19939926673959</v>
      </c>
      <c r="Q395">
        <v>0.4672931329656026</v>
      </c>
      <c r="R395">
        <v>-1.7195523936223529</v>
      </c>
      <c r="S395" s="2">
        <v>0</v>
      </c>
      <c r="T395" s="2">
        <v>0</v>
      </c>
      <c r="U395" s="2">
        <v>0</v>
      </c>
      <c r="V395" s="2">
        <v>0</v>
      </c>
      <c r="W395" s="2">
        <v>0</v>
      </c>
      <c r="X395" s="2">
        <v>0</v>
      </c>
      <c r="Y395" s="2">
        <v>0</v>
      </c>
      <c r="Z395" s="2">
        <v>0</v>
      </c>
      <c r="AA395" s="2">
        <v>0</v>
      </c>
      <c r="AB395" s="2">
        <v>0</v>
      </c>
      <c r="AC395" s="2">
        <v>0</v>
      </c>
      <c r="AD395" s="2">
        <v>0</v>
      </c>
      <c r="AE395" s="2">
        <v>0</v>
      </c>
      <c r="AF395" s="2">
        <v>0</v>
      </c>
      <c r="AG395" s="2">
        <v>0</v>
      </c>
      <c r="AH395" s="2">
        <v>0</v>
      </c>
      <c r="AI395" s="2">
        <v>0</v>
      </c>
      <c r="AJ395" s="2">
        <v>0</v>
      </c>
      <c r="AK395" s="2">
        <v>0</v>
      </c>
      <c r="AL395" s="2">
        <v>0</v>
      </c>
      <c r="AM395" s="2">
        <v>0</v>
      </c>
      <c r="AN395" s="2">
        <v>0</v>
      </c>
      <c r="AO395" s="2">
        <v>0</v>
      </c>
      <c r="AP395" s="2">
        <v>0</v>
      </c>
      <c r="AQ395" s="2">
        <v>0</v>
      </c>
      <c r="AR395" s="2">
        <v>0</v>
      </c>
    </row>
    <row r="396" spans="1:44" x14ac:dyDescent="0.25">
      <c r="A396" t="s">
        <v>250</v>
      </c>
      <c r="B396" t="s">
        <v>306</v>
      </c>
      <c r="C396" t="s">
        <v>44</v>
      </c>
      <c r="D396" t="s">
        <v>303</v>
      </c>
      <c r="E396" t="s">
        <v>148</v>
      </c>
      <c r="F396" t="s">
        <v>303</v>
      </c>
      <c r="G396" t="s">
        <v>31</v>
      </c>
      <c r="H396" t="s">
        <v>277</v>
      </c>
      <c r="I396" t="s">
        <v>135</v>
      </c>
      <c r="J396" t="s">
        <v>39</v>
      </c>
      <c r="K396" t="s">
        <v>31</v>
      </c>
      <c r="L396">
        <v>6.0953750000000001E-2</v>
      </c>
      <c r="M396">
        <v>0</v>
      </c>
      <c r="N396">
        <v>4.0238957028394744E-2</v>
      </c>
      <c r="O396">
        <v>5.4679361121017198</v>
      </c>
      <c r="P396">
        <v>71.19939926673959</v>
      </c>
      <c r="Q396">
        <v>73.603606187001091</v>
      </c>
      <c r="R396">
        <v>-1.8625523936223525</v>
      </c>
      <c r="S396" s="2">
        <v>0</v>
      </c>
      <c r="T396" s="2">
        <v>0</v>
      </c>
      <c r="U396" s="2">
        <v>0</v>
      </c>
      <c r="V396" s="2">
        <v>0</v>
      </c>
      <c r="W396" s="2">
        <v>0</v>
      </c>
      <c r="X396" s="2">
        <v>0</v>
      </c>
      <c r="Y396" s="2">
        <v>0</v>
      </c>
      <c r="Z396" s="2">
        <v>0</v>
      </c>
      <c r="AA396" s="2">
        <v>0</v>
      </c>
      <c r="AB396" s="2">
        <v>0</v>
      </c>
      <c r="AC396" s="2">
        <v>0</v>
      </c>
      <c r="AD396" s="2">
        <v>0</v>
      </c>
      <c r="AE396" s="2">
        <v>0</v>
      </c>
      <c r="AF396" s="2">
        <v>0</v>
      </c>
      <c r="AG396" s="2">
        <v>0</v>
      </c>
      <c r="AH396" s="2">
        <v>0</v>
      </c>
      <c r="AI396" s="2">
        <v>0</v>
      </c>
      <c r="AJ396" s="2">
        <v>0</v>
      </c>
      <c r="AK396" s="2">
        <v>0</v>
      </c>
      <c r="AL396" s="2">
        <v>0</v>
      </c>
      <c r="AM396" s="2">
        <v>0</v>
      </c>
      <c r="AN396" s="2">
        <v>0</v>
      </c>
      <c r="AO396" s="2">
        <v>0</v>
      </c>
      <c r="AP396" s="2">
        <v>0</v>
      </c>
      <c r="AQ396" s="2">
        <v>0</v>
      </c>
      <c r="AR396" s="2">
        <v>0</v>
      </c>
    </row>
    <row r="397" spans="1:44" x14ac:dyDescent="0.25">
      <c r="A397" t="s">
        <v>250</v>
      </c>
      <c r="B397" t="s">
        <v>306</v>
      </c>
      <c r="C397" t="s">
        <v>44</v>
      </c>
      <c r="D397" t="s">
        <v>303</v>
      </c>
      <c r="E397" t="s">
        <v>148</v>
      </c>
      <c r="F397" t="s">
        <v>303</v>
      </c>
      <c r="G397" t="s">
        <v>31</v>
      </c>
      <c r="H397" t="s">
        <v>277</v>
      </c>
      <c r="I397" t="s">
        <v>135</v>
      </c>
      <c r="J397" t="s">
        <v>40</v>
      </c>
      <c r="K397" t="s">
        <v>31</v>
      </c>
      <c r="L397">
        <v>6.0953750000000001E-2</v>
      </c>
      <c r="M397">
        <v>0</v>
      </c>
      <c r="N397">
        <v>4.0238957028394744E-2</v>
      </c>
      <c r="O397">
        <v>4.1746294160814523</v>
      </c>
      <c r="P397">
        <v>71.19939926673959</v>
      </c>
      <c r="Q397">
        <v>0.4672931329656026</v>
      </c>
      <c r="R397">
        <v>-1.7195523936223529</v>
      </c>
      <c r="S397" s="2">
        <v>0</v>
      </c>
      <c r="T397" s="2">
        <v>0</v>
      </c>
      <c r="U397" s="2">
        <v>0</v>
      </c>
      <c r="V397" s="2">
        <v>0</v>
      </c>
      <c r="W397" s="2">
        <v>0</v>
      </c>
      <c r="X397" s="2">
        <v>0</v>
      </c>
      <c r="Y397" s="2">
        <v>0</v>
      </c>
      <c r="Z397" s="2">
        <v>0</v>
      </c>
      <c r="AA397" s="2">
        <v>0</v>
      </c>
      <c r="AB397" s="2">
        <v>0</v>
      </c>
      <c r="AC397" s="2">
        <v>0</v>
      </c>
      <c r="AD397" s="2">
        <v>0</v>
      </c>
      <c r="AE397" s="2">
        <v>0</v>
      </c>
      <c r="AF397" s="2">
        <v>0</v>
      </c>
      <c r="AG397" s="2">
        <v>0</v>
      </c>
      <c r="AH397" s="2">
        <v>0</v>
      </c>
      <c r="AI397" s="2">
        <v>0</v>
      </c>
      <c r="AJ397" s="2">
        <v>0</v>
      </c>
      <c r="AK397" s="2">
        <v>0</v>
      </c>
      <c r="AL397" s="2">
        <v>0</v>
      </c>
      <c r="AM397" s="2">
        <v>0</v>
      </c>
      <c r="AN397" s="2">
        <v>0</v>
      </c>
      <c r="AO397" s="2">
        <v>0</v>
      </c>
      <c r="AP397" s="2">
        <v>0</v>
      </c>
      <c r="AQ397" s="2">
        <v>0</v>
      </c>
      <c r="AR397" s="2">
        <v>0</v>
      </c>
    </row>
    <row r="398" spans="1:44" x14ac:dyDescent="0.25">
      <c r="A398" t="s">
        <v>250</v>
      </c>
      <c r="B398" t="s">
        <v>311</v>
      </c>
      <c r="C398" t="s">
        <v>44</v>
      </c>
      <c r="D398" t="s">
        <v>312</v>
      </c>
      <c r="E398" t="s">
        <v>134</v>
      </c>
      <c r="F398" t="s">
        <v>312</v>
      </c>
      <c r="G398" t="s">
        <v>31</v>
      </c>
      <c r="H398" t="s">
        <v>272</v>
      </c>
      <c r="I398" t="s">
        <v>135</v>
      </c>
      <c r="J398" t="s">
        <v>39</v>
      </c>
      <c r="K398" t="s">
        <v>31</v>
      </c>
      <c r="L398">
        <v>142</v>
      </c>
      <c r="M398">
        <v>1</v>
      </c>
      <c r="N398">
        <v>2.0197569684597156</v>
      </c>
      <c r="O398">
        <v>6.2295157602477964</v>
      </c>
      <c r="P398">
        <v>-1.1767139597520102</v>
      </c>
      <c r="Q398">
        <v>1.6706195166052316</v>
      </c>
      <c r="R398">
        <v>-2.3056789497180801</v>
      </c>
      <c r="S398" s="2">
        <v>1.299696858856305E-2</v>
      </c>
      <c r="T398" s="2">
        <v>2.586057930927765E-2</v>
      </c>
      <c r="U398" s="2">
        <v>4.5705413146966467E-2</v>
      </c>
      <c r="V398" s="2">
        <v>7.4004126774162821E-2</v>
      </c>
      <c r="W398" s="2">
        <v>0.11181121964876412</v>
      </c>
      <c r="X398" s="2">
        <v>0.15940092533002281</v>
      </c>
      <c r="Y398" s="2">
        <v>0.21583161985553051</v>
      </c>
      <c r="Z398" s="2">
        <v>0.27850867184408018</v>
      </c>
      <c r="AA398" s="2">
        <v>0.3428826774082076</v>
      </c>
      <c r="AB398" s="2">
        <v>0.40248016434798789</v>
      </c>
      <c r="AC398" s="2">
        <v>0.44947942782211475</v>
      </c>
      <c r="AD398" s="2">
        <v>0.47596194123827928</v>
      </c>
      <c r="AE398" s="2">
        <v>0.47575045396444821</v>
      </c>
      <c r="AF398" s="2">
        <v>0.44641205137173506</v>
      </c>
      <c r="AG398" s="2">
        <v>0.39069055434292699</v>
      </c>
      <c r="AH398" s="2">
        <v>0.32161052647832222</v>
      </c>
      <c r="AI398" s="2">
        <v>0.24480614910204615</v>
      </c>
      <c r="AJ398" s="2">
        <v>6.3133429688618195E-2</v>
      </c>
      <c r="AK398" s="2">
        <v>0</v>
      </c>
      <c r="AL398" s="2">
        <v>0</v>
      </c>
      <c r="AM398" s="2">
        <v>0</v>
      </c>
      <c r="AN398" s="2">
        <v>0</v>
      </c>
      <c r="AO398" s="2">
        <v>0</v>
      </c>
      <c r="AP398" s="2">
        <v>0</v>
      </c>
      <c r="AQ398" s="2">
        <v>0</v>
      </c>
      <c r="AR398" s="2">
        <v>4.5373269002620535</v>
      </c>
    </row>
    <row r="399" spans="1:44" x14ac:dyDescent="0.25">
      <c r="A399" t="s">
        <v>250</v>
      </c>
      <c r="B399" t="s">
        <v>311</v>
      </c>
      <c r="C399" t="s">
        <v>44</v>
      </c>
      <c r="D399" t="s">
        <v>312</v>
      </c>
      <c r="E399" t="s">
        <v>134</v>
      </c>
      <c r="F399" t="s">
        <v>312</v>
      </c>
      <c r="G399" t="s">
        <v>31</v>
      </c>
      <c r="H399" t="s">
        <v>272</v>
      </c>
      <c r="I399" t="s">
        <v>135</v>
      </c>
      <c r="J399" t="s">
        <v>40</v>
      </c>
      <c r="K399" t="s">
        <v>31</v>
      </c>
      <c r="L399">
        <v>142</v>
      </c>
      <c r="M399">
        <v>1</v>
      </c>
      <c r="N399">
        <v>2.0197569684597156</v>
      </c>
      <c r="O399">
        <v>4.9927275474590633</v>
      </c>
      <c r="P399">
        <v>-1.1767139597520102</v>
      </c>
      <c r="Q399">
        <v>0.4672931329656026</v>
      </c>
      <c r="R399">
        <v>-2.1626789497180798</v>
      </c>
      <c r="S399" s="2">
        <v>1.2856060880388827E-3</v>
      </c>
      <c r="T399" s="2">
        <v>2.5580209703265485E-3</v>
      </c>
      <c r="U399" s="2">
        <v>4.5209894136220988E-3</v>
      </c>
      <c r="V399" s="2">
        <v>7.3201804922869134E-3</v>
      </c>
      <c r="W399" s="2">
        <v>1.1059900907815955E-2</v>
      </c>
      <c r="X399" s="2">
        <v>1.5767276703556727E-2</v>
      </c>
      <c r="Y399" s="2">
        <v>2.1349166352662673E-2</v>
      </c>
      <c r="Z399" s="2">
        <v>2.7548919708050117E-2</v>
      </c>
      <c r="AA399" s="2">
        <v>3.3916528654763835E-2</v>
      </c>
      <c r="AB399" s="2">
        <v>3.9811664241151401E-2</v>
      </c>
      <c r="AC399" s="2">
        <v>4.4460635948973419E-2</v>
      </c>
      <c r="AD399" s="2">
        <v>4.7080176054991062E-2</v>
      </c>
      <c r="AE399" s="2">
        <v>4.7059256613282224E-2</v>
      </c>
      <c r="AF399" s="2">
        <v>4.415722382544289E-2</v>
      </c>
      <c r="AG399" s="2">
        <v>3.8645485043684688E-2</v>
      </c>
      <c r="AH399" s="2">
        <v>3.1812375939860173E-2</v>
      </c>
      <c r="AI399" s="2">
        <v>2.4215206302175198E-2</v>
      </c>
      <c r="AJ399" s="2">
        <v>6.244896339742189E-3</v>
      </c>
      <c r="AK399" s="2">
        <v>0</v>
      </c>
      <c r="AL399" s="2">
        <v>0</v>
      </c>
      <c r="AM399" s="2">
        <v>0</v>
      </c>
      <c r="AN399" s="2">
        <v>0</v>
      </c>
      <c r="AO399" s="2">
        <v>0</v>
      </c>
      <c r="AP399" s="2">
        <v>0</v>
      </c>
      <c r="AQ399" s="2">
        <v>0</v>
      </c>
      <c r="AR399" s="2">
        <v>0.44881350960042704</v>
      </c>
    </row>
    <row r="400" spans="1:44" x14ac:dyDescent="0.25">
      <c r="A400" t="s">
        <v>250</v>
      </c>
      <c r="B400" t="s">
        <v>311</v>
      </c>
      <c r="C400" t="s">
        <v>44</v>
      </c>
      <c r="D400" t="s">
        <v>312</v>
      </c>
      <c r="E400" t="s">
        <v>134</v>
      </c>
      <c r="F400" t="s">
        <v>312</v>
      </c>
      <c r="G400" t="s">
        <v>31</v>
      </c>
      <c r="H400" t="s">
        <v>253</v>
      </c>
      <c r="I400" t="s">
        <v>135</v>
      </c>
      <c r="J400" t="s">
        <v>39</v>
      </c>
      <c r="K400" t="s">
        <v>31</v>
      </c>
      <c r="L400">
        <v>142</v>
      </c>
      <c r="M400">
        <v>1</v>
      </c>
      <c r="N400">
        <v>2.0197569684597156</v>
      </c>
      <c r="O400">
        <v>6.2295157602477964</v>
      </c>
      <c r="P400">
        <v>-1.1767139597520102</v>
      </c>
      <c r="Q400">
        <v>1.6706195166052316</v>
      </c>
      <c r="R400">
        <v>-2.3056789497180801</v>
      </c>
      <c r="S400" s="2">
        <v>1.090908719025745E-2</v>
      </c>
      <c r="T400" s="2">
        <v>2.1717142891680922E-2</v>
      </c>
      <c r="U400" s="2">
        <v>3.8401675591359999E-2</v>
      </c>
      <c r="V400" s="2">
        <v>6.2209479814365011E-2</v>
      </c>
      <c r="W400" s="2">
        <v>9.4038157682544712E-2</v>
      </c>
      <c r="X400" s="2">
        <v>0.1341305364390917</v>
      </c>
      <c r="Y400" s="2">
        <v>0.18170630182388578</v>
      </c>
      <c r="Z400" s="2">
        <v>0.23459121116935722</v>
      </c>
      <c r="AA400" s="2">
        <v>0.28895928640667967</v>
      </c>
      <c r="AB400" s="2">
        <v>0.33935455964103095</v>
      </c>
      <c r="AC400" s="2">
        <v>0.37917275361149799</v>
      </c>
      <c r="AD400" s="2">
        <v>0.40171460939107395</v>
      </c>
      <c r="AE400" s="2">
        <v>0.40173780877588711</v>
      </c>
      <c r="AF400" s="2">
        <v>0.37715294336192706</v>
      </c>
      <c r="AG400" s="2">
        <v>0.3302422225806208</v>
      </c>
      <c r="AH400" s="2">
        <v>0.27198693182184946</v>
      </c>
      <c r="AI400" s="2">
        <v>0.20713724765987865</v>
      </c>
      <c r="AJ400" s="2">
        <v>7.9450465651712807E-2</v>
      </c>
      <c r="AK400" s="2">
        <v>0</v>
      </c>
      <c r="AL400" s="2">
        <v>0</v>
      </c>
      <c r="AM400" s="2">
        <v>0</v>
      </c>
      <c r="AN400" s="2">
        <v>0</v>
      </c>
      <c r="AO400" s="2">
        <v>0</v>
      </c>
      <c r="AP400" s="2">
        <v>0</v>
      </c>
      <c r="AQ400" s="2">
        <v>0</v>
      </c>
      <c r="AR400" s="2">
        <v>3.8546124215047013</v>
      </c>
    </row>
    <row r="401" spans="1:44" x14ac:dyDescent="0.25">
      <c r="A401" t="s">
        <v>250</v>
      </c>
      <c r="B401" t="s">
        <v>311</v>
      </c>
      <c r="C401" t="s">
        <v>44</v>
      </c>
      <c r="D401" t="s">
        <v>312</v>
      </c>
      <c r="E401" t="s">
        <v>134</v>
      </c>
      <c r="F401" t="s">
        <v>312</v>
      </c>
      <c r="G401" t="s">
        <v>31</v>
      </c>
      <c r="H401" t="s">
        <v>253</v>
      </c>
      <c r="I401" t="s">
        <v>135</v>
      </c>
      <c r="J401" t="s">
        <v>40</v>
      </c>
      <c r="K401" t="s">
        <v>31</v>
      </c>
      <c r="L401">
        <v>142</v>
      </c>
      <c r="M401">
        <v>1</v>
      </c>
      <c r="N401">
        <v>2.0197569684597156</v>
      </c>
      <c r="O401">
        <v>4.9927275474590633</v>
      </c>
      <c r="P401">
        <v>-1.1767139597520102</v>
      </c>
      <c r="Q401">
        <v>0.4672931329656026</v>
      </c>
      <c r="R401">
        <v>-2.1626789497180798</v>
      </c>
      <c r="S401" s="2">
        <v>5.7384065959245837E-3</v>
      </c>
      <c r="T401" s="2">
        <v>1.1423668528889762E-2</v>
      </c>
      <c r="U401" s="2">
        <v>2.0200079499301884E-2</v>
      </c>
      <c r="V401" s="2">
        <v>3.2723479340654595E-2</v>
      </c>
      <c r="W401" s="2">
        <v>4.9466025424751918E-2</v>
      </c>
      <c r="X401" s="2">
        <v>7.0555449928420819E-2</v>
      </c>
      <c r="Y401" s="2">
        <v>9.558129133283072E-2</v>
      </c>
      <c r="Z401" s="2">
        <v>0.12339985280550377</v>
      </c>
      <c r="AA401" s="2">
        <v>0.15199859036332616</v>
      </c>
      <c r="AB401" s="2">
        <v>0.17850755149709432</v>
      </c>
      <c r="AC401" s="2">
        <v>0.19945274910464411</v>
      </c>
      <c r="AD401" s="2">
        <v>0.21131023375335256</v>
      </c>
      <c r="AE401" s="2">
        <v>0.21132243711193899</v>
      </c>
      <c r="AF401" s="2">
        <v>0.19839028693374824</v>
      </c>
      <c r="AG401" s="2">
        <v>0.17371427281302221</v>
      </c>
      <c r="AH401" s="2">
        <v>0.14307077909925084</v>
      </c>
      <c r="AI401" s="2">
        <v>0.10895849739789827</v>
      </c>
      <c r="AJ401" s="2">
        <v>4.179259622677229E-2</v>
      </c>
      <c r="AK401" s="2">
        <v>0</v>
      </c>
      <c r="AL401" s="2">
        <v>0</v>
      </c>
      <c r="AM401" s="2">
        <v>0</v>
      </c>
      <c r="AN401" s="2">
        <v>0</v>
      </c>
      <c r="AO401" s="2">
        <v>0</v>
      </c>
      <c r="AP401" s="2">
        <v>0</v>
      </c>
      <c r="AQ401" s="2">
        <v>0</v>
      </c>
      <c r="AR401" s="2">
        <v>2.0276062477573258</v>
      </c>
    </row>
    <row r="402" spans="1:44" x14ac:dyDescent="0.25">
      <c r="A402" t="s">
        <v>250</v>
      </c>
      <c r="B402" t="s">
        <v>311</v>
      </c>
      <c r="C402" t="s">
        <v>44</v>
      </c>
      <c r="D402" t="s">
        <v>312</v>
      </c>
      <c r="E402" t="s">
        <v>134</v>
      </c>
      <c r="F402" t="s">
        <v>312</v>
      </c>
      <c r="G402" t="s">
        <v>31</v>
      </c>
      <c r="H402" t="s">
        <v>253</v>
      </c>
      <c r="I402" t="s">
        <v>256</v>
      </c>
      <c r="J402" t="s">
        <v>39</v>
      </c>
      <c r="K402" t="s">
        <v>31</v>
      </c>
      <c r="L402">
        <v>142</v>
      </c>
      <c r="M402">
        <v>1</v>
      </c>
      <c r="N402">
        <v>1.1440716691992232</v>
      </c>
      <c r="O402">
        <v>3.5286485480303535</v>
      </c>
      <c r="P402">
        <v>0.2862229915968616</v>
      </c>
      <c r="Q402">
        <v>0.4672931329656026</v>
      </c>
      <c r="R402">
        <v>-0.84274199836920816</v>
      </c>
      <c r="S402" s="2">
        <v>5.7224807266793845E-3</v>
      </c>
      <c r="T402" s="2">
        <v>1.1391964283425385E-2</v>
      </c>
      <c r="U402" s="2">
        <v>2.0144017974299978E-2</v>
      </c>
      <c r="V402" s="2">
        <v>3.2632661472573002E-2</v>
      </c>
      <c r="W402" s="2">
        <v>4.9328741765982634E-2</v>
      </c>
      <c r="X402" s="2">
        <v>7.0359636534700287E-2</v>
      </c>
      <c r="Y402" s="2">
        <v>9.5316023418714105E-2</v>
      </c>
      <c r="Z402" s="2">
        <v>0.12305737970120108</v>
      </c>
      <c r="AA402" s="2">
        <v>0.15157674683671019</v>
      </c>
      <c r="AB402" s="2">
        <v>0.17801213732995561</v>
      </c>
      <c r="AC402" s="2">
        <v>0.19889920547720366</v>
      </c>
      <c r="AD402" s="2">
        <v>0.2107237819053224</v>
      </c>
      <c r="AE402" s="2">
        <v>0.21073595139578005</v>
      </c>
      <c r="AF402" s="2">
        <v>0.19783969197042361</v>
      </c>
      <c r="AG402" s="2">
        <v>0.17323216149020129</v>
      </c>
      <c r="AH402" s="2">
        <v>0.1426737130352389</v>
      </c>
      <c r="AI402" s="2">
        <v>0.10865610356196044</v>
      </c>
      <c r="AJ402" s="2">
        <v>4.1676608728882444E-2</v>
      </c>
      <c r="AK402" s="2">
        <v>0</v>
      </c>
      <c r="AL402" s="2">
        <v>0</v>
      </c>
      <c r="AM402" s="2">
        <v>0</v>
      </c>
      <c r="AN402" s="2">
        <v>0</v>
      </c>
      <c r="AO402" s="2">
        <v>0</v>
      </c>
      <c r="AP402" s="2">
        <v>0</v>
      </c>
      <c r="AQ402" s="2">
        <v>0</v>
      </c>
      <c r="AR402" s="2">
        <v>2.0219790076092545</v>
      </c>
    </row>
    <row r="403" spans="1:44" x14ac:dyDescent="0.25">
      <c r="A403" t="s">
        <v>250</v>
      </c>
      <c r="B403" t="s">
        <v>311</v>
      </c>
      <c r="C403" t="s">
        <v>44</v>
      </c>
      <c r="D403" t="s">
        <v>312</v>
      </c>
      <c r="E403" t="s">
        <v>134</v>
      </c>
      <c r="F403" t="s">
        <v>312</v>
      </c>
      <c r="G403" t="s">
        <v>31</v>
      </c>
      <c r="H403" t="s">
        <v>273</v>
      </c>
      <c r="I403" t="s">
        <v>135</v>
      </c>
      <c r="J403" t="s">
        <v>39</v>
      </c>
      <c r="K403" t="s">
        <v>31</v>
      </c>
      <c r="L403">
        <v>142</v>
      </c>
      <c r="M403">
        <v>1</v>
      </c>
      <c r="N403">
        <v>2.0197569684597156</v>
      </c>
      <c r="O403">
        <v>6.2295157602477964</v>
      </c>
      <c r="P403">
        <v>-1.1767139597520102</v>
      </c>
      <c r="Q403">
        <v>1.6706195166052316</v>
      </c>
      <c r="R403">
        <v>-2.3056789497180801</v>
      </c>
      <c r="S403" s="2">
        <v>3.9089234003840349E-3</v>
      </c>
      <c r="T403" s="2">
        <v>7.7777385488548628E-3</v>
      </c>
      <c r="U403" s="2">
        <v>1.3746202259164644E-2</v>
      </c>
      <c r="V403" s="2">
        <v>2.2257225667765827E-2</v>
      </c>
      <c r="W403" s="2">
        <v>3.3627956390933689E-2</v>
      </c>
      <c r="X403" s="2">
        <v>4.7940871967151757E-2</v>
      </c>
      <c r="Y403" s="2">
        <v>6.4912772824462978E-2</v>
      </c>
      <c r="Z403" s="2">
        <v>8.3763306586675912E-2</v>
      </c>
      <c r="AA403" s="2">
        <v>0.10312421024751106</v>
      </c>
      <c r="AB403" s="2">
        <v>0.12104854465792034</v>
      </c>
      <c r="AC403" s="2">
        <v>0.13518388087443581</v>
      </c>
      <c r="AD403" s="2">
        <v>0.14314867017803717</v>
      </c>
      <c r="AE403" s="2">
        <v>0.14308506399572404</v>
      </c>
      <c r="AF403" s="2">
        <v>0.13426134732340236</v>
      </c>
      <c r="AG403" s="2">
        <v>0.117502742256679</v>
      </c>
      <c r="AH403" s="2">
        <v>9.6726471576395023E-2</v>
      </c>
      <c r="AI403" s="2">
        <v>7.3627052205462756E-2</v>
      </c>
      <c r="AJ403" s="2">
        <v>1.8987792343631203E-2</v>
      </c>
      <c r="AK403" s="2">
        <v>0</v>
      </c>
      <c r="AL403" s="2">
        <v>0</v>
      </c>
      <c r="AM403" s="2">
        <v>0</v>
      </c>
      <c r="AN403" s="2">
        <v>0</v>
      </c>
      <c r="AO403" s="2">
        <v>0</v>
      </c>
      <c r="AP403" s="2">
        <v>0</v>
      </c>
      <c r="AQ403" s="2">
        <v>0</v>
      </c>
      <c r="AR403" s="2">
        <v>1.3646307733045924</v>
      </c>
    </row>
    <row r="404" spans="1:44" x14ac:dyDescent="0.25">
      <c r="A404" t="s">
        <v>250</v>
      </c>
      <c r="B404" t="s">
        <v>311</v>
      </c>
      <c r="C404" t="s">
        <v>44</v>
      </c>
      <c r="D404" t="s">
        <v>312</v>
      </c>
      <c r="E404" t="s">
        <v>134</v>
      </c>
      <c r="F404" t="s">
        <v>312</v>
      </c>
      <c r="G404" t="s">
        <v>31</v>
      </c>
      <c r="H404" t="s">
        <v>274</v>
      </c>
      <c r="I404" t="s">
        <v>135</v>
      </c>
      <c r="J404" t="s">
        <v>39</v>
      </c>
      <c r="K404" t="s">
        <v>31</v>
      </c>
      <c r="L404">
        <v>142</v>
      </c>
      <c r="M404">
        <v>1</v>
      </c>
      <c r="N404">
        <v>2.0197569684597156</v>
      </c>
      <c r="O404">
        <v>6.2295157602477964</v>
      </c>
      <c r="P404">
        <v>-1.1767139597520102</v>
      </c>
      <c r="Q404">
        <v>1.6706195166052316</v>
      </c>
      <c r="R404">
        <v>-2.3056789497180801</v>
      </c>
      <c r="S404" s="2">
        <v>6.1533454048046318E-3</v>
      </c>
      <c r="T404" s="2">
        <v>1.2243553238895899E-2</v>
      </c>
      <c r="U404" s="2">
        <v>2.1638983894295728E-2</v>
      </c>
      <c r="V404" s="2">
        <v>3.5036858812068611E-2</v>
      </c>
      <c r="W404" s="2">
        <v>5.2936425131992336E-2</v>
      </c>
      <c r="X404" s="2">
        <v>7.5467517268928405E-2</v>
      </c>
      <c r="Y404" s="2">
        <v>0.10218432838394685</v>
      </c>
      <c r="Z404" s="2">
        <v>0.13185844409888553</v>
      </c>
      <c r="AA404" s="2">
        <v>0.16233597342641362</v>
      </c>
      <c r="AB404" s="2">
        <v>0.19055208550669578</v>
      </c>
      <c r="AC404" s="2">
        <v>0.21280363593224741</v>
      </c>
      <c r="AD404" s="2">
        <v>0.22534164055437367</v>
      </c>
      <c r="AE404" s="2">
        <v>0.22524151303342629</v>
      </c>
      <c r="AF404" s="2">
        <v>0.21135140292443969</v>
      </c>
      <c r="AG404" s="2">
        <v>0.18497035757877578</v>
      </c>
      <c r="AH404" s="2">
        <v>0.1522647871122523</v>
      </c>
      <c r="AI404" s="2">
        <v>0.11590216459940979</v>
      </c>
      <c r="AJ404" s="2">
        <v>2.9890185301044699E-2</v>
      </c>
      <c r="AK404" s="2">
        <v>0</v>
      </c>
      <c r="AL404" s="2">
        <v>0</v>
      </c>
      <c r="AM404" s="2">
        <v>0</v>
      </c>
      <c r="AN404" s="2">
        <v>0</v>
      </c>
      <c r="AO404" s="2">
        <v>0</v>
      </c>
      <c r="AP404" s="2">
        <v>0</v>
      </c>
      <c r="AQ404" s="2">
        <v>0</v>
      </c>
      <c r="AR404" s="2">
        <v>2.1481732022028974</v>
      </c>
    </row>
    <row r="405" spans="1:44" x14ac:dyDescent="0.25">
      <c r="A405" t="s">
        <v>250</v>
      </c>
      <c r="B405" t="s">
        <v>311</v>
      </c>
      <c r="C405" t="s">
        <v>44</v>
      </c>
      <c r="D405" t="s">
        <v>312</v>
      </c>
      <c r="E405" t="s">
        <v>134</v>
      </c>
      <c r="F405" t="s">
        <v>312</v>
      </c>
      <c r="G405" t="s">
        <v>31</v>
      </c>
      <c r="H405" t="s">
        <v>274</v>
      </c>
      <c r="I405" t="s">
        <v>135</v>
      </c>
      <c r="J405" t="s">
        <v>39</v>
      </c>
      <c r="K405" t="s">
        <v>33</v>
      </c>
      <c r="L405">
        <v>142</v>
      </c>
      <c r="M405">
        <v>1</v>
      </c>
      <c r="N405">
        <v>2.0197569684597156</v>
      </c>
      <c r="O405">
        <v>6.2295157602477964</v>
      </c>
      <c r="P405">
        <v>-1.1767139597520102</v>
      </c>
      <c r="Q405">
        <v>1.6706195166052316</v>
      </c>
      <c r="R405">
        <v>-2.3056789497180801</v>
      </c>
      <c r="S405" s="2">
        <v>1.979828191742344E-5</v>
      </c>
      <c r="T405" s="2">
        <v>3.939341979817564E-5</v>
      </c>
      <c r="U405" s="2">
        <v>6.9623054673859048E-5</v>
      </c>
      <c r="V405" s="2">
        <v>1.1273048441595161E-4</v>
      </c>
      <c r="W405" s="2">
        <v>1.7032202802160745E-4</v>
      </c>
      <c r="X405" s="2">
        <v>2.4281542546459814E-4</v>
      </c>
      <c r="Y405" s="2">
        <v>3.2877630098715168E-4</v>
      </c>
      <c r="Z405" s="2">
        <v>4.2425225267285976E-4</v>
      </c>
      <c r="AA405" s="2">
        <v>5.2231317369669738E-4</v>
      </c>
      <c r="AB405" s="2">
        <v>6.1309802402264462E-4</v>
      </c>
      <c r="AC405" s="2">
        <v>6.846920008666636E-4</v>
      </c>
      <c r="AD405" s="2">
        <v>7.2503281287389961E-4</v>
      </c>
      <c r="AE405" s="2">
        <v>7.2471065431509998E-4</v>
      </c>
      <c r="AF405" s="2">
        <v>6.8001946639851662E-4</v>
      </c>
      <c r="AG405" s="2">
        <v>5.95138911404486E-4</v>
      </c>
      <c r="AH405" s="2">
        <v>4.8990930673109957E-4</v>
      </c>
      <c r="AI405" s="2">
        <v>3.7291320064481023E-4</v>
      </c>
      <c r="AJ405" s="2">
        <v>9.6171151824508719E-5</v>
      </c>
      <c r="AK405" s="2">
        <v>0</v>
      </c>
      <c r="AL405" s="2">
        <v>0</v>
      </c>
      <c r="AM405" s="2">
        <v>0</v>
      </c>
      <c r="AN405" s="2">
        <v>0</v>
      </c>
      <c r="AO405" s="2">
        <v>0</v>
      </c>
      <c r="AP405" s="2">
        <v>0</v>
      </c>
      <c r="AQ405" s="2">
        <v>0</v>
      </c>
      <c r="AR405" s="2">
        <v>6.911709950730054E-3</v>
      </c>
    </row>
    <row r="406" spans="1:44" x14ac:dyDescent="0.25">
      <c r="A406" t="s">
        <v>250</v>
      </c>
      <c r="B406" t="s">
        <v>311</v>
      </c>
      <c r="C406" t="s">
        <v>44</v>
      </c>
      <c r="D406" t="s">
        <v>312</v>
      </c>
      <c r="E406" t="s">
        <v>134</v>
      </c>
      <c r="F406" t="s">
        <v>312</v>
      </c>
      <c r="G406" t="s">
        <v>31</v>
      </c>
      <c r="H406" t="s">
        <v>278</v>
      </c>
      <c r="I406" t="s">
        <v>135</v>
      </c>
      <c r="J406" t="s">
        <v>39</v>
      </c>
      <c r="K406" t="s">
        <v>31</v>
      </c>
      <c r="L406">
        <v>142</v>
      </c>
      <c r="M406">
        <v>1</v>
      </c>
      <c r="N406">
        <v>2.0197569684597156</v>
      </c>
      <c r="O406">
        <v>6.2295157602477964</v>
      </c>
      <c r="P406">
        <v>-1.1767139597520102</v>
      </c>
      <c r="Q406">
        <v>1.6706195166052316</v>
      </c>
      <c r="R406">
        <v>-2.3056789497180801</v>
      </c>
      <c r="S406" s="2">
        <v>0.20088590862514655</v>
      </c>
      <c r="T406" s="2">
        <v>0.39794373506082664</v>
      </c>
      <c r="U406" s="2">
        <v>0.70020801812658584</v>
      </c>
      <c r="V406" s="2">
        <v>1.1287334540017004</v>
      </c>
      <c r="W406" s="2">
        <v>1.697840392826621</v>
      </c>
      <c r="X406" s="2">
        <v>2.409785200999083</v>
      </c>
      <c r="Y406" s="2">
        <v>3.2484679259024407</v>
      </c>
      <c r="Z406" s="2">
        <v>4.1732870065181054</v>
      </c>
      <c r="AA406" s="2">
        <v>5.1151820383542566</v>
      </c>
      <c r="AB406" s="2">
        <v>5.9777266094454333</v>
      </c>
      <c r="AC406" s="2">
        <v>6.6462611899419146</v>
      </c>
      <c r="AD406" s="2">
        <v>7.0067372255486031</v>
      </c>
      <c r="AE406" s="2">
        <v>6.9726655228137382</v>
      </c>
      <c r="AF406" s="2">
        <v>6.5137569527769328</v>
      </c>
      <c r="AG406" s="2">
        <v>5.6755057626692587</v>
      </c>
      <c r="AH406" s="2">
        <v>4.6513383309874943</v>
      </c>
      <c r="AI406" s="2">
        <v>0.54047193412220329</v>
      </c>
      <c r="AJ406" s="2">
        <v>0</v>
      </c>
      <c r="AK406" s="2">
        <v>0</v>
      </c>
      <c r="AL406" s="2">
        <v>0</v>
      </c>
      <c r="AM406" s="2">
        <v>0</v>
      </c>
      <c r="AN406" s="2">
        <v>0</v>
      </c>
      <c r="AO406" s="2">
        <v>0</v>
      </c>
      <c r="AP406" s="2">
        <v>0</v>
      </c>
      <c r="AQ406" s="2">
        <v>0</v>
      </c>
      <c r="AR406" s="2">
        <v>63.056797208720354</v>
      </c>
    </row>
    <row r="407" spans="1:44" x14ac:dyDescent="0.25">
      <c r="A407" t="s">
        <v>250</v>
      </c>
      <c r="B407" t="s">
        <v>311</v>
      </c>
      <c r="C407" t="s">
        <v>44</v>
      </c>
      <c r="D407" t="s">
        <v>312</v>
      </c>
      <c r="E407" t="s">
        <v>134</v>
      </c>
      <c r="F407" t="s">
        <v>312</v>
      </c>
      <c r="G407" t="s">
        <v>31</v>
      </c>
      <c r="H407" t="s">
        <v>276</v>
      </c>
      <c r="I407" t="s">
        <v>135</v>
      </c>
      <c r="J407" t="s">
        <v>39</v>
      </c>
      <c r="K407" t="s">
        <v>31</v>
      </c>
      <c r="L407">
        <v>142</v>
      </c>
      <c r="M407">
        <v>1</v>
      </c>
      <c r="N407">
        <v>2.0197569684597156</v>
      </c>
      <c r="O407">
        <v>6.2295157602477964</v>
      </c>
      <c r="P407">
        <v>-1.1767139597520102</v>
      </c>
      <c r="Q407">
        <v>1.6706195166052316</v>
      </c>
      <c r="R407">
        <v>-2.3056789497180801</v>
      </c>
      <c r="S407" s="2">
        <v>4.4379513373462423E-2</v>
      </c>
      <c r="T407" s="2">
        <v>8.8525441651006578E-2</v>
      </c>
      <c r="U407" s="2">
        <v>0.15685085051507233</v>
      </c>
      <c r="V407" s="2">
        <v>0.25460361377103613</v>
      </c>
      <c r="W407" s="2">
        <v>0.38564117391561475</v>
      </c>
      <c r="X407" s="2">
        <v>0.55116069076810181</v>
      </c>
      <c r="Y407" s="2">
        <v>0.74815546736535687</v>
      </c>
      <c r="Z407" s="2">
        <v>0.96784295301882406</v>
      </c>
      <c r="AA407" s="2">
        <v>1.1945411117132572</v>
      </c>
      <c r="AB407" s="2">
        <v>1.4056895754369236</v>
      </c>
      <c r="AC407" s="2">
        <v>1.5737804571329634</v>
      </c>
      <c r="AD407" s="2">
        <v>1.670690265171604</v>
      </c>
      <c r="AE407" s="2">
        <v>1.6741420794096362</v>
      </c>
      <c r="AF407" s="2">
        <v>1.57484710952809</v>
      </c>
      <c r="AG407" s="2">
        <v>1.3817350841031963</v>
      </c>
      <c r="AH407" s="2">
        <v>1.1402800202414458</v>
      </c>
      <c r="AI407" s="2">
        <v>0.87014768344624727</v>
      </c>
      <c r="AJ407" s="2">
        <v>0.60114487383069914</v>
      </c>
      <c r="AK407" s="2">
        <v>0.17038430696118465</v>
      </c>
      <c r="AL407" s="2">
        <v>0</v>
      </c>
      <c r="AM407" s="2">
        <v>0</v>
      </c>
      <c r="AN407" s="2">
        <v>0</v>
      </c>
      <c r="AO407" s="2">
        <v>0</v>
      </c>
      <c r="AP407" s="2">
        <v>0</v>
      </c>
      <c r="AQ407" s="2">
        <v>0</v>
      </c>
      <c r="AR407" s="2">
        <v>16.45454227135372</v>
      </c>
    </row>
    <row r="408" spans="1:44" x14ac:dyDescent="0.25">
      <c r="A408" t="s">
        <v>250</v>
      </c>
      <c r="B408" t="s">
        <v>311</v>
      </c>
      <c r="C408" t="s">
        <v>44</v>
      </c>
      <c r="D408" t="s">
        <v>312</v>
      </c>
      <c r="E408" t="s">
        <v>134</v>
      </c>
      <c r="F408" t="s">
        <v>312</v>
      </c>
      <c r="G408" t="s">
        <v>31</v>
      </c>
      <c r="H408" t="s">
        <v>275</v>
      </c>
      <c r="I408" t="s">
        <v>135</v>
      </c>
      <c r="J408" t="s">
        <v>39</v>
      </c>
      <c r="K408" t="s">
        <v>31</v>
      </c>
      <c r="L408">
        <v>142</v>
      </c>
      <c r="M408">
        <v>1</v>
      </c>
      <c r="N408">
        <v>2.0197569684597156</v>
      </c>
      <c r="O408">
        <v>6.2295157602477964</v>
      </c>
      <c r="P408">
        <v>-1.1767139597520102</v>
      </c>
      <c r="Q408">
        <v>1.6706195166052316</v>
      </c>
      <c r="R408">
        <v>-2.3056789497180801</v>
      </c>
      <c r="S408" s="2">
        <v>9.4003882364864649E-3</v>
      </c>
      <c r="T408" s="2">
        <v>1.8704322001791968E-2</v>
      </c>
      <c r="U408" s="2">
        <v>3.3057603022028981E-2</v>
      </c>
      <c r="V408" s="2">
        <v>5.3525367707009809E-2</v>
      </c>
      <c r="W408" s="2">
        <v>8.0870309621149383E-2</v>
      </c>
      <c r="X408" s="2">
        <v>0.11529077516398546</v>
      </c>
      <c r="Y408" s="2">
        <v>0.15610571084530597</v>
      </c>
      <c r="Z408" s="2">
        <v>0.20143848349886781</v>
      </c>
      <c r="AA408" s="2">
        <v>0.24799862100455075</v>
      </c>
      <c r="AB408" s="2">
        <v>0.29110401987778201</v>
      </c>
      <c r="AC408" s="2">
        <v>0.32509743307064698</v>
      </c>
      <c r="AD408" s="2">
        <v>0.34425158474021189</v>
      </c>
      <c r="AE408" s="2">
        <v>0.34409862118816964</v>
      </c>
      <c r="AF408" s="2">
        <v>0.32287887500423751</v>
      </c>
      <c r="AG408" s="2">
        <v>0.28257688445776852</v>
      </c>
      <c r="AH408" s="2">
        <v>0.23261299657963502</v>
      </c>
      <c r="AI408" s="2">
        <v>0.17706227637292893</v>
      </c>
      <c r="AJ408" s="2">
        <v>4.5662859437559537E-2</v>
      </c>
      <c r="AK408" s="2">
        <v>0</v>
      </c>
      <c r="AL408" s="2">
        <v>0</v>
      </c>
      <c r="AM408" s="2">
        <v>0</v>
      </c>
      <c r="AN408" s="2">
        <v>0</v>
      </c>
      <c r="AO408" s="2">
        <v>0</v>
      </c>
      <c r="AP408" s="2">
        <v>0</v>
      </c>
      <c r="AQ408" s="2">
        <v>0</v>
      </c>
      <c r="AR408" s="2">
        <v>3.2817371318301163</v>
      </c>
    </row>
    <row r="409" spans="1:44" x14ac:dyDescent="0.25">
      <c r="A409" t="s">
        <v>250</v>
      </c>
      <c r="B409" t="s">
        <v>311</v>
      </c>
      <c r="C409" t="s">
        <v>44</v>
      </c>
      <c r="D409" t="s">
        <v>312</v>
      </c>
      <c r="E409" t="s">
        <v>134</v>
      </c>
      <c r="F409" t="s">
        <v>312</v>
      </c>
      <c r="G409" t="s">
        <v>31</v>
      </c>
      <c r="H409" t="s">
        <v>277</v>
      </c>
      <c r="I409" t="s">
        <v>135</v>
      </c>
      <c r="J409" t="s">
        <v>39</v>
      </c>
      <c r="K409" t="s">
        <v>31</v>
      </c>
      <c r="L409">
        <v>142</v>
      </c>
      <c r="M409">
        <v>1</v>
      </c>
      <c r="N409">
        <v>2.0197569684597156</v>
      </c>
      <c r="O409">
        <v>6.2295157602477964</v>
      </c>
      <c r="P409">
        <v>-1.1767139597520102</v>
      </c>
      <c r="Q409">
        <v>1.6706195166052316</v>
      </c>
      <c r="R409">
        <v>-2.3056789497180801</v>
      </c>
      <c r="S409" s="2">
        <v>0.11733888666063529</v>
      </c>
      <c r="T409" s="2">
        <v>0.23344564903169043</v>
      </c>
      <c r="U409" s="2">
        <v>0.41253691281535826</v>
      </c>
      <c r="V409" s="2">
        <v>0.6678804857238233</v>
      </c>
      <c r="W409" s="2">
        <v>1.0089643962762824</v>
      </c>
      <c r="X409" s="2">
        <v>1.4382319603103397</v>
      </c>
      <c r="Y409" s="2">
        <v>1.9471562729367924</v>
      </c>
      <c r="Z409" s="2">
        <v>2.5123034849556909</v>
      </c>
      <c r="AA409" s="2">
        <v>3.0926200284352467</v>
      </c>
      <c r="AB409" s="2">
        <v>3.6297201429720825</v>
      </c>
      <c r="AC409" s="2">
        <v>4.0530888094197772</v>
      </c>
      <c r="AD409" s="2">
        <v>4.2913720509378601</v>
      </c>
      <c r="AE409" s="2">
        <v>4.2889481230483533</v>
      </c>
      <c r="AF409" s="2">
        <v>4.0239736936542858</v>
      </c>
      <c r="AG409" s="2">
        <v>3.5212736326405039</v>
      </c>
      <c r="AH409" s="2">
        <v>2.8983094902691486</v>
      </c>
      <c r="AI409" s="2">
        <v>2.2058931237162365</v>
      </c>
      <c r="AJ409" s="2">
        <v>0.50236038650918613</v>
      </c>
      <c r="AK409" s="2">
        <v>0</v>
      </c>
      <c r="AL409" s="2">
        <v>0</v>
      </c>
      <c r="AM409" s="2">
        <v>0</v>
      </c>
      <c r="AN409" s="2">
        <v>0</v>
      </c>
      <c r="AO409" s="2">
        <v>0</v>
      </c>
      <c r="AP409" s="2">
        <v>0</v>
      </c>
      <c r="AQ409" s="2">
        <v>0</v>
      </c>
      <c r="AR409" s="2">
        <v>40.845417530313298</v>
      </c>
    </row>
    <row r="410" spans="1:44" x14ac:dyDescent="0.25">
      <c r="A410" t="s">
        <v>250</v>
      </c>
      <c r="B410" t="s">
        <v>311</v>
      </c>
      <c r="C410" t="s">
        <v>44</v>
      </c>
      <c r="D410" t="s">
        <v>312</v>
      </c>
      <c r="E410" t="s">
        <v>134</v>
      </c>
      <c r="F410" t="s">
        <v>312</v>
      </c>
      <c r="G410" t="s">
        <v>31</v>
      </c>
      <c r="H410" t="s">
        <v>277</v>
      </c>
      <c r="I410" t="s">
        <v>135</v>
      </c>
      <c r="J410" t="s">
        <v>40</v>
      </c>
      <c r="K410" t="s">
        <v>31</v>
      </c>
      <c r="L410">
        <v>142</v>
      </c>
      <c r="M410">
        <v>1</v>
      </c>
      <c r="N410">
        <v>2.0197569684597156</v>
      </c>
      <c r="O410">
        <v>4.9927275474590633</v>
      </c>
      <c r="P410">
        <v>-1.1767139597520102</v>
      </c>
      <c r="Q410">
        <v>0.4672931329656026</v>
      </c>
      <c r="R410">
        <v>-2.1626789497180798</v>
      </c>
      <c r="S410" s="2">
        <v>1.8509668440934823E-2</v>
      </c>
      <c r="T410" s="2">
        <v>3.6824974955255239E-2</v>
      </c>
      <c r="U410" s="2">
        <v>6.5075796210198808E-2</v>
      </c>
      <c r="V410" s="2">
        <v>0.10535506770805031</v>
      </c>
      <c r="W410" s="2">
        <v>0.15915948220810264</v>
      </c>
      <c r="X410" s="2">
        <v>0.22687446152010388</v>
      </c>
      <c r="Y410" s="2">
        <v>0.30715492570663261</v>
      </c>
      <c r="Z410" s="2">
        <v>0.39630429308594539</v>
      </c>
      <c r="AA410" s="2">
        <v>0.48784655257288012</v>
      </c>
      <c r="AB410" s="2">
        <v>0.57257161962092251</v>
      </c>
      <c r="AC410" s="2">
        <v>0.63935607503246761</v>
      </c>
      <c r="AD410" s="2">
        <v>0.67694415790125206</v>
      </c>
      <c r="AE410" s="2">
        <v>0.67656179445093889</v>
      </c>
      <c r="AF410" s="2">
        <v>0.63476329974052781</v>
      </c>
      <c r="AG410" s="2">
        <v>0.55546468255222969</v>
      </c>
      <c r="AH410" s="2">
        <v>0.45719496094464063</v>
      </c>
      <c r="AI410" s="2">
        <v>0.34796947114569199</v>
      </c>
      <c r="AJ410" s="2">
        <v>7.9245035101090766E-2</v>
      </c>
      <c r="AK410" s="2">
        <v>0</v>
      </c>
      <c r="AL410" s="2">
        <v>0</v>
      </c>
      <c r="AM410" s="2">
        <v>0</v>
      </c>
      <c r="AN410" s="2">
        <v>0</v>
      </c>
      <c r="AO410" s="2">
        <v>0</v>
      </c>
      <c r="AP410" s="2">
        <v>0</v>
      </c>
      <c r="AQ410" s="2">
        <v>0</v>
      </c>
      <c r="AR410" s="2">
        <v>6.4431763188978657</v>
      </c>
    </row>
    <row r="411" spans="1:44" x14ac:dyDescent="0.25">
      <c r="A411" t="s">
        <v>250</v>
      </c>
      <c r="B411" t="s">
        <v>313</v>
      </c>
      <c r="C411" t="s">
        <v>44</v>
      </c>
      <c r="D411" t="s">
        <v>314</v>
      </c>
      <c r="E411" t="s">
        <v>134</v>
      </c>
      <c r="F411" t="s">
        <v>314</v>
      </c>
      <c r="G411" t="s">
        <v>31</v>
      </c>
      <c r="H411" t="s">
        <v>254</v>
      </c>
      <c r="I411" t="s">
        <v>135</v>
      </c>
      <c r="J411" t="s">
        <v>39</v>
      </c>
      <c r="K411" t="s">
        <v>31</v>
      </c>
      <c r="L411">
        <v>0.87</v>
      </c>
      <c r="M411">
        <v>1</v>
      </c>
      <c r="N411">
        <v>2.120451684454824</v>
      </c>
      <c r="O411">
        <v>5.4114176288701819</v>
      </c>
      <c r="P411">
        <v>-1.0218982000484012</v>
      </c>
      <c r="Q411">
        <v>1.3823087202131159</v>
      </c>
      <c r="R411">
        <v>-1.8625523936223551</v>
      </c>
      <c r="S411" s="2">
        <v>3.053866586766919E-2</v>
      </c>
      <c r="T411" s="2">
        <v>6.0770902356168055E-2</v>
      </c>
      <c r="U411" s="2">
        <v>0.10741737109015899</v>
      </c>
      <c r="V411" s="2">
        <v>0.17394512570460266</v>
      </c>
      <c r="W411" s="2">
        <v>0.26283981600801226</v>
      </c>
      <c r="X411" s="2">
        <v>0.37475380625061716</v>
      </c>
      <c r="Y411" s="2">
        <v>0.50748093253901327</v>
      </c>
      <c r="Z411" s="2">
        <v>0.6549268958620823</v>
      </c>
      <c r="AA411" s="2">
        <v>0.80639735261841761</v>
      </c>
      <c r="AB411" s="2">
        <v>0.9466675155390063</v>
      </c>
      <c r="AC411" s="2">
        <v>1.0573341445526969</v>
      </c>
      <c r="AD411" s="2">
        <v>1.11975783426487</v>
      </c>
      <c r="AE411" s="2">
        <v>1.1193877206659033</v>
      </c>
      <c r="AF411" s="2">
        <v>1.0504773244231551</v>
      </c>
      <c r="AG411" s="2">
        <v>0.91946060865374235</v>
      </c>
      <c r="AH411" s="2">
        <v>0.75697217557447261</v>
      </c>
      <c r="AI411" s="2">
        <v>0.57626391874749827</v>
      </c>
      <c r="AJ411" s="2">
        <v>0.16502703855804229</v>
      </c>
      <c r="AK411" s="2">
        <v>0</v>
      </c>
      <c r="AL411" s="2">
        <v>0</v>
      </c>
      <c r="AM411" s="2">
        <v>0</v>
      </c>
      <c r="AN411" s="2">
        <v>0</v>
      </c>
      <c r="AO411" s="2">
        <v>0</v>
      </c>
      <c r="AP411" s="2">
        <v>0</v>
      </c>
      <c r="AQ411" s="2">
        <v>0</v>
      </c>
      <c r="AR411" s="2">
        <v>10.690419149276128</v>
      </c>
    </row>
    <row r="412" spans="1:44" x14ac:dyDescent="0.25">
      <c r="A412" t="s">
        <v>250</v>
      </c>
      <c r="B412" t="s">
        <v>313</v>
      </c>
      <c r="C412" t="s">
        <v>44</v>
      </c>
      <c r="D412" t="s">
        <v>314</v>
      </c>
      <c r="E412" t="s">
        <v>134</v>
      </c>
      <c r="F412" t="s">
        <v>314</v>
      </c>
      <c r="G412" t="s">
        <v>31</v>
      </c>
      <c r="H412" t="s">
        <v>272</v>
      </c>
      <c r="I412" t="s">
        <v>135</v>
      </c>
      <c r="J412" t="s">
        <v>39</v>
      </c>
      <c r="K412" t="s">
        <v>31</v>
      </c>
      <c r="L412">
        <v>0.87</v>
      </c>
      <c r="M412">
        <v>1</v>
      </c>
      <c r="N412">
        <v>2.120451684454824</v>
      </c>
      <c r="O412">
        <v>5.4114176288701819</v>
      </c>
      <c r="P412">
        <v>-1.0218982000484012</v>
      </c>
      <c r="Q412">
        <v>1.3823087202131159</v>
      </c>
      <c r="R412">
        <v>-1.8625523936223551</v>
      </c>
      <c r="S412" s="2">
        <v>0</v>
      </c>
      <c r="T412" s="2">
        <v>0</v>
      </c>
      <c r="U412" s="2">
        <v>0</v>
      </c>
      <c r="V412" s="2">
        <v>0</v>
      </c>
      <c r="W412" s="2">
        <v>0</v>
      </c>
      <c r="X412" s="2">
        <v>0</v>
      </c>
      <c r="Y412" s="2">
        <v>0</v>
      </c>
      <c r="Z412" s="2">
        <v>0</v>
      </c>
      <c r="AA412" s="2">
        <v>0</v>
      </c>
      <c r="AB412" s="2">
        <v>0</v>
      </c>
      <c r="AC412" s="2">
        <v>0</v>
      </c>
      <c r="AD412" s="2">
        <v>0</v>
      </c>
      <c r="AE412" s="2">
        <v>0</v>
      </c>
      <c r="AF412" s="2">
        <v>0</v>
      </c>
      <c r="AG412" s="2">
        <v>0</v>
      </c>
      <c r="AH412" s="2">
        <v>0</v>
      </c>
      <c r="AI412" s="2">
        <v>0</v>
      </c>
      <c r="AJ412" s="2">
        <v>0</v>
      </c>
      <c r="AK412" s="2">
        <v>0</v>
      </c>
      <c r="AL412" s="2">
        <v>0</v>
      </c>
      <c r="AM412" s="2">
        <v>0</v>
      </c>
      <c r="AN412" s="2">
        <v>0</v>
      </c>
      <c r="AO412" s="2">
        <v>0</v>
      </c>
      <c r="AP412" s="2">
        <v>0</v>
      </c>
      <c r="AQ412" s="2">
        <v>0</v>
      </c>
      <c r="AR412" s="2">
        <v>0</v>
      </c>
    </row>
    <row r="413" spans="1:44" x14ac:dyDescent="0.25">
      <c r="A413" t="s">
        <v>250</v>
      </c>
      <c r="B413" t="s">
        <v>313</v>
      </c>
      <c r="C413" t="s">
        <v>44</v>
      </c>
      <c r="D413" t="s">
        <v>314</v>
      </c>
      <c r="E413" t="s">
        <v>134</v>
      </c>
      <c r="F413" t="s">
        <v>314</v>
      </c>
      <c r="G413" t="s">
        <v>31</v>
      </c>
      <c r="H413" t="s">
        <v>272</v>
      </c>
      <c r="I413" t="s">
        <v>135</v>
      </c>
      <c r="J413" t="s">
        <v>40</v>
      </c>
      <c r="K413" t="s">
        <v>31</v>
      </c>
      <c r="L413">
        <v>0.87</v>
      </c>
      <c r="M413">
        <v>1</v>
      </c>
      <c r="N413">
        <v>2.120451684454824</v>
      </c>
      <c r="O413">
        <v>4.1746294160814479</v>
      </c>
      <c r="P413">
        <v>-1.0218982000484012</v>
      </c>
      <c r="Q413">
        <v>0.4672931329656026</v>
      </c>
      <c r="R413">
        <v>-1.7195523936223551</v>
      </c>
      <c r="S413" s="2">
        <v>0</v>
      </c>
      <c r="T413" s="2">
        <v>0</v>
      </c>
      <c r="U413" s="2">
        <v>0</v>
      </c>
      <c r="V413" s="2">
        <v>0</v>
      </c>
      <c r="W413" s="2">
        <v>0</v>
      </c>
      <c r="X413" s="2">
        <v>0</v>
      </c>
      <c r="Y413" s="2">
        <v>0</v>
      </c>
      <c r="Z413" s="2">
        <v>0</v>
      </c>
      <c r="AA413" s="2">
        <v>0</v>
      </c>
      <c r="AB413" s="2">
        <v>0</v>
      </c>
      <c r="AC413" s="2">
        <v>0</v>
      </c>
      <c r="AD413" s="2">
        <v>0</v>
      </c>
      <c r="AE413" s="2">
        <v>0</v>
      </c>
      <c r="AF413" s="2">
        <v>0</v>
      </c>
      <c r="AG413" s="2">
        <v>0</v>
      </c>
      <c r="AH413" s="2">
        <v>0</v>
      </c>
      <c r="AI413" s="2">
        <v>0</v>
      </c>
      <c r="AJ413" s="2">
        <v>0</v>
      </c>
      <c r="AK413" s="2">
        <v>0</v>
      </c>
      <c r="AL413" s="2">
        <v>0</v>
      </c>
      <c r="AM413" s="2">
        <v>0</v>
      </c>
      <c r="AN413" s="2">
        <v>0</v>
      </c>
      <c r="AO413" s="2">
        <v>0</v>
      </c>
      <c r="AP413" s="2">
        <v>0</v>
      </c>
      <c r="AQ413" s="2">
        <v>0</v>
      </c>
      <c r="AR413" s="2">
        <v>0</v>
      </c>
    </row>
    <row r="414" spans="1:44" x14ac:dyDescent="0.25">
      <c r="A414" t="s">
        <v>250</v>
      </c>
      <c r="B414" t="s">
        <v>313</v>
      </c>
      <c r="C414" t="s">
        <v>44</v>
      </c>
      <c r="D414" t="s">
        <v>314</v>
      </c>
      <c r="E414" t="s">
        <v>134</v>
      </c>
      <c r="F414" t="s">
        <v>314</v>
      </c>
      <c r="G414" t="s">
        <v>31</v>
      </c>
      <c r="H414" t="s">
        <v>253</v>
      </c>
      <c r="I414" t="s">
        <v>135</v>
      </c>
      <c r="J414" t="s">
        <v>39</v>
      </c>
      <c r="K414" t="s">
        <v>31</v>
      </c>
      <c r="L414">
        <v>0.87</v>
      </c>
      <c r="M414">
        <v>1</v>
      </c>
      <c r="N414">
        <v>2.120451684454824</v>
      </c>
      <c r="O414">
        <v>5.4114176288701819</v>
      </c>
      <c r="P414">
        <v>-1.0218982000484012</v>
      </c>
      <c r="Q414">
        <v>1.3823087202131159</v>
      </c>
      <c r="R414">
        <v>-1.8625523936223551</v>
      </c>
      <c r="S414" s="2">
        <v>3.9186308904870001E-2</v>
      </c>
      <c r="T414" s="2">
        <v>7.8009704665723434E-2</v>
      </c>
      <c r="U414" s="2">
        <v>0.13794187322396179</v>
      </c>
      <c r="V414" s="2">
        <v>0.22346139968466525</v>
      </c>
      <c r="W414" s="2">
        <v>0.33779254226550054</v>
      </c>
      <c r="X414" s="2">
        <v>0.4818075557386875</v>
      </c>
      <c r="Y414" s="2">
        <v>0.65270348921505783</v>
      </c>
      <c r="Z414" s="2">
        <v>0.84267029009171157</v>
      </c>
      <c r="AA414" s="2">
        <v>1.037964740824088</v>
      </c>
      <c r="AB414" s="2">
        <v>1.218988570761963</v>
      </c>
      <c r="AC414" s="2">
        <v>1.3620186906746747</v>
      </c>
      <c r="AD414" s="2">
        <v>1.4429908296320357</v>
      </c>
      <c r="AE414" s="2">
        <v>1.4430741636675815</v>
      </c>
      <c r="AF414" s="2">
        <v>1.3547633716009038</v>
      </c>
      <c r="AG414" s="2">
        <v>1.1862563312384378</v>
      </c>
      <c r="AH414" s="2">
        <v>0.97699869316080501</v>
      </c>
      <c r="AI414" s="2">
        <v>0.74405346945558781</v>
      </c>
      <c r="AJ414" s="2">
        <v>0.28539239217413404</v>
      </c>
      <c r="AK414" s="2">
        <v>0</v>
      </c>
      <c r="AL414" s="2">
        <v>0</v>
      </c>
      <c r="AM414" s="2">
        <v>0</v>
      </c>
      <c r="AN414" s="2">
        <v>0</v>
      </c>
      <c r="AO414" s="2">
        <v>0</v>
      </c>
      <c r="AP414" s="2">
        <v>0</v>
      </c>
      <c r="AQ414" s="2">
        <v>0</v>
      </c>
      <c r="AR414" s="2">
        <v>13.84607441698039</v>
      </c>
    </row>
    <row r="415" spans="1:44" x14ac:dyDescent="0.25">
      <c r="A415" t="s">
        <v>250</v>
      </c>
      <c r="B415" t="s">
        <v>313</v>
      </c>
      <c r="C415" t="s">
        <v>44</v>
      </c>
      <c r="D415" t="s">
        <v>314</v>
      </c>
      <c r="E415" t="s">
        <v>134</v>
      </c>
      <c r="F415" t="s">
        <v>314</v>
      </c>
      <c r="G415" t="s">
        <v>31</v>
      </c>
      <c r="H415" t="s">
        <v>253</v>
      </c>
      <c r="I415" t="s">
        <v>135</v>
      </c>
      <c r="J415" t="s">
        <v>40</v>
      </c>
      <c r="K415" t="s">
        <v>31</v>
      </c>
      <c r="L415">
        <v>0.87</v>
      </c>
      <c r="M415">
        <v>1</v>
      </c>
      <c r="N415">
        <v>2.120451684454824</v>
      </c>
      <c r="O415">
        <v>4.1746294160814479</v>
      </c>
      <c r="P415">
        <v>-1.0218982000484012</v>
      </c>
      <c r="Q415">
        <v>0.4672931329656026</v>
      </c>
      <c r="R415">
        <v>-1.7195523936223551</v>
      </c>
      <c r="S415" s="2">
        <v>2.0612812929982405E-2</v>
      </c>
      <c r="T415" s="2">
        <v>4.1034726003445904E-2</v>
      </c>
      <c r="U415" s="2">
        <v>7.2560292291869971E-2</v>
      </c>
      <c r="V415" s="2">
        <v>0.11754534064318542</v>
      </c>
      <c r="W415" s="2">
        <v>0.17768589789268485</v>
      </c>
      <c r="X415" s="2">
        <v>0.25344078817944959</v>
      </c>
      <c r="Y415" s="2">
        <v>0.34333560107940486</v>
      </c>
      <c r="Z415" s="2">
        <v>0.44326208659973509</v>
      </c>
      <c r="AA415" s="2">
        <v>0.54599102667374766</v>
      </c>
      <c r="AB415" s="2">
        <v>0.64121332361007977</v>
      </c>
      <c r="AC415" s="2">
        <v>0.71645013941406288</v>
      </c>
      <c r="AD415" s="2">
        <v>0.75904316742597655</v>
      </c>
      <c r="AE415" s="2">
        <v>0.75908700286068354</v>
      </c>
      <c r="AF415" s="2">
        <v>0.71263369078711936</v>
      </c>
      <c r="AG415" s="2">
        <v>0.62399548531569671</v>
      </c>
      <c r="AH415" s="2">
        <v>0.51392161848798557</v>
      </c>
      <c r="AI415" s="2">
        <v>0.39138758929872958</v>
      </c>
      <c r="AJ415" s="2">
        <v>0.15012232986288548</v>
      </c>
      <c r="AK415" s="2">
        <v>0</v>
      </c>
      <c r="AL415" s="2">
        <v>0</v>
      </c>
      <c r="AM415" s="2">
        <v>0</v>
      </c>
      <c r="AN415" s="2">
        <v>0</v>
      </c>
      <c r="AO415" s="2">
        <v>0</v>
      </c>
      <c r="AP415" s="2">
        <v>0</v>
      </c>
      <c r="AQ415" s="2">
        <v>0</v>
      </c>
      <c r="AR415" s="2">
        <v>7.2833229193567242</v>
      </c>
    </row>
    <row r="416" spans="1:44" x14ac:dyDescent="0.25">
      <c r="A416" t="s">
        <v>250</v>
      </c>
      <c r="B416" t="s">
        <v>313</v>
      </c>
      <c r="C416" t="s">
        <v>44</v>
      </c>
      <c r="D416" t="s">
        <v>314</v>
      </c>
      <c r="E416" t="s">
        <v>134</v>
      </c>
      <c r="F416" t="s">
        <v>314</v>
      </c>
      <c r="G416" t="s">
        <v>31</v>
      </c>
      <c r="H416" t="s">
        <v>253</v>
      </c>
      <c r="I416" t="s">
        <v>256</v>
      </c>
      <c r="J416" t="s">
        <v>39</v>
      </c>
      <c r="K416" t="s">
        <v>31</v>
      </c>
      <c r="L416">
        <v>0.87</v>
      </c>
      <c r="M416">
        <v>1</v>
      </c>
      <c r="N416">
        <v>1.0621230130395669</v>
      </c>
      <c r="O416">
        <v>2.710550416652739</v>
      </c>
      <c r="P416">
        <v>0.44103875130047027</v>
      </c>
      <c r="Q416">
        <v>0.4672931329656026</v>
      </c>
      <c r="R416">
        <v>-0.39961544227348395</v>
      </c>
      <c r="S416" s="2">
        <v>2.0555605940897351E-2</v>
      </c>
      <c r="T416" s="2">
        <v>4.0920841831956982E-2</v>
      </c>
      <c r="U416" s="2">
        <v>7.235891483488488E-2</v>
      </c>
      <c r="V416" s="2">
        <v>0.11721911563731091</v>
      </c>
      <c r="W416" s="2">
        <v>0.17719276407073428</v>
      </c>
      <c r="X416" s="2">
        <v>0.25273741089405255</v>
      </c>
      <c r="Y416" s="2">
        <v>0.34238273763227717</v>
      </c>
      <c r="Z416" s="2">
        <v>0.44203189596849696</v>
      </c>
      <c r="AA416" s="2">
        <v>0.54447573117237391</v>
      </c>
      <c r="AB416" s="2">
        <v>0.63943375651608092</v>
      </c>
      <c r="AC416" s="2">
        <v>0.7144617666749965</v>
      </c>
      <c r="AD416" s="2">
        <v>0.75693658574100586</v>
      </c>
      <c r="AE416" s="2">
        <v>0.75698029951870072</v>
      </c>
      <c r="AF416" s="2">
        <v>0.71065590988409622</v>
      </c>
      <c r="AG416" s="2">
        <v>0.62226370309660606</v>
      </c>
      <c r="AH416" s="2">
        <v>0.51249532560310451</v>
      </c>
      <c r="AI416" s="2">
        <v>0.39030136658739484</v>
      </c>
      <c r="AJ416" s="2">
        <v>0.14970569354473054</v>
      </c>
      <c r="AK416" s="2">
        <v>0</v>
      </c>
      <c r="AL416" s="2">
        <v>0</v>
      </c>
      <c r="AM416" s="2">
        <v>0</v>
      </c>
      <c r="AN416" s="2">
        <v>0</v>
      </c>
      <c r="AO416" s="2">
        <v>0</v>
      </c>
      <c r="AP416" s="2">
        <v>0</v>
      </c>
      <c r="AQ416" s="2">
        <v>0</v>
      </c>
      <c r="AR416" s="2">
        <v>7.2631094251497021</v>
      </c>
    </row>
    <row r="417" spans="1:44" x14ac:dyDescent="0.25">
      <c r="A417" t="s">
        <v>250</v>
      </c>
      <c r="B417" t="s">
        <v>313</v>
      </c>
      <c r="C417" t="s">
        <v>44</v>
      </c>
      <c r="D417" t="s">
        <v>314</v>
      </c>
      <c r="E417" t="s">
        <v>134</v>
      </c>
      <c r="F417" t="s">
        <v>314</v>
      </c>
      <c r="G417" t="s">
        <v>31</v>
      </c>
      <c r="H417" t="s">
        <v>288</v>
      </c>
      <c r="I417" t="s">
        <v>135</v>
      </c>
      <c r="J417" t="s">
        <v>39</v>
      </c>
      <c r="K417" t="s">
        <v>31</v>
      </c>
      <c r="L417">
        <v>0.87</v>
      </c>
      <c r="M417">
        <v>1</v>
      </c>
      <c r="N417">
        <v>2.120451684454824</v>
      </c>
      <c r="O417">
        <v>5.4114176288701819</v>
      </c>
      <c r="P417">
        <v>-1.0218982000484012</v>
      </c>
      <c r="Q417">
        <v>1.3823087202131159</v>
      </c>
      <c r="R417">
        <v>-1.8625523936223551</v>
      </c>
      <c r="S417" s="2">
        <v>8.7573845101048597E-2</v>
      </c>
      <c r="T417" s="2">
        <v>0.17452920910599531</v>
      </c>
      <c r="U417" s="2">
        <v>0.30895486066805866</v>
      </c>
      <c r="V417" s="2">
        <v>0.50104975431324372</v>
      </c>
      <c r="W417" s="2">
        <v>0.7582419736533661</v>
      </c>
      <c r="X417" s="2">
        <v>1.0827066320684728</v>
      </c>
      <c r="Y417" s="2">
        <v>1.4683600193353183</v>
      </c>
      <c r="Z417" s="2">
        <v>1.8978143445108802</v>
      </c>
      <c r="AA417" s="2">
        <v>2.3402274518216939</v>
      </c>
      <c r="AB417" s="2">
        <v>2.7514050378494854</v>
      </c>
      <c r="AC417" s="2">
        <v>3.077636951973632</v>
      </c>
      <c r="AD417" s="2">
        <v>3.2642041864315856</v>
      </c>
      <c r="AE417" s="2">
        <v>3.2679983121867018</v>
      </c>
      <c r="AF417" s="2">
        <v>3.0713976272774688</v>
      </c>
      <c r="AG417" s="2">
        <v>2.6923441160377193</v>
      </c>
      <c r="AH417" s="2">
        <v>2.2198592192368678</v>
      </c>
      <c r="AI417" s="2">
        <v>1.6924467847370017</v>
      </c>
      <c r="AJ417" s="2">
        <v>1.1173267715127404</v>
      </c>
      <c r="AK417" s="2">
        <v>0</v>
      </c>
      <c r="AL417" s="2">
        <v>0</v>
      </c>
      <c r="AM417" s="2">
        <v>0</v>
      </c>
      <c r="AN417" s="2">
        <v>0</v>
      </c>
      <c r="AO417" s="2">
        <v>0</v>
      </c>
      <c r="AP417" s="2">
        <v>0</v>
      </c>
      <c r="AQ417" s="2">
        <v>0</v>
      </c>
      <c r="AR417" s="2">
        <v>31.774077097821284</v>
      </c>
    </row>
    <row r="418" spans="1:44" x14ac:dyDescent="0.25">
      <c r="A418" t="s">
        <v>250</v>
      </c>
      <c r="B418" t="s">
        <v>313</v>
      </c>
      <c r="C418" t="s">
        <v>44</v>
      </c>
      <c r="D418" t="s">
        <v>314</v>
      </c>
      <c r="E418" t="s">
        <v>134</v>
      </c>
      <c r="F418" t="s">
        <v>314</v>
      </c>
      <c r="G418" t="s">
        <v>31</v>
      </c>
      <c r="H418" t="s">
        <v>288</v>
      </c>
      <c r="I418" t="s">
        <v>135</v>
      </c>
      <c r="J418" t="s">
        <v>39</v>
      </c>
      <c r="K418" t="s">
        <v>33</v>
      </c>
      <c r="L418">
        <v>0.87</v>
      </c>
      <c r="M418">
        <v>1</v>
      </c>
      <c r="N418">
        <v>2.120451684454824</v>
      </c>
      <c r="O418">
        <v>5.4114176288701819</v>
      </c>
      <c r="P418">
        <v>-1.0218982000484012</v>
      </c>
      <c r="Q418">
        <v>1.3823087202131159</v>
      </c>
      <c r="R418">
        <v>-1.8625523936223551</v>
      </c>
      <c r="S418" s="2">
        <v>8.2381708958360964E-4</v>
      </c>
      <c r="T418" s="2">
        <v>1.6418160573756597E-3</v>
      </c>
      <c r="U418" s="2">
        <v>2.9063734021794393E-3</v>
      </c>
      <c r="V418" s="2">
        <v>4.713431845531431E-3</v>
      </c>
      <c r="W418" s="2">
        <v>7.1328682121297978E-3</v>
      </c>
      <c r="X418" s="2">
        <v>1.0185144040144947E-2</v>
      </c>
      <c r="Y418" s="2">
        <v>1.3813029177763836E-2</v>
      </c>
      <c r="Z418" s="2">
        <v>1.7852954704238051E-2</v>
      </c>
      <c r="AA418" s="2">
        <v>2.2014784963465431E-2</v>
      </c>
      <c r="AB418" s="2">
        <v>2.5882779132644303E-2</v>
      </c>
      <c r="AC418" s="2">
        <v>2.8951679735477673E-2</v>
      </c>
      <c r="AD418" s="2">
        <v>3.0706738862154928E-2</v>
      </c>
      <c r="AE418" s="2">
        <v>3.0742430633293748E-2</v>
      </c>
      <c r="AF418" s="2">
        <v>2.889298570067507E-2</v>
      </c>
      <c r="AG418" s="2">
        <v>2.5327186345106514E-2</v>
      </c>
      <c r="AH418" s="2">
        <v>2.0882467352745755E-2</v>
      </c>
      <c r="AI418" s="2">
        <v>1.5921038785819863E-2</v>
      </c>
      <c r="AJ418" s="2">
        <v>1.0510819616968561E-2</v>
      </c>
      <c r="AK418" s="2">
        <v>0</v>
      </c>
      <c r="AL418" s="2">
        <v>0</v>
      </c>
      <c r="AM418" s="2">
        <v>0</v>
      </c>
      <c r="AN418" s="2">
        <v>0</v>
      </c>
      <c r="AO418" s="2">
        <v>0</v>
      </c>
      <c r="AP418" s="2">
        <v>0</v>
      </c>
      <c r="AQ418" s="2">
        <v>0</v>
      </c>
      <c r="AR418" s="2">
        <v>0.29890234565729856</v>
      </c>
    </row>
    <row r="419" spans="1:44" x14ac:dyDescent="0.25">
      <c r="A419" t="s">
        <v>250</v>
      </c>
      <c r="B419" t="s">
        <v>313</v>
      </c>
      <c r="C419" t="s">
        <v>44</v>
      </c>
      <c r="D419" t="s">
        <v>314</v>
      </c>
      <c r="E419" t="s">
        <v>134</v>
      </c>
      <c r="F419" t="s">
        <v>314</v>
      </c>
      <c r="G419" t="s">
        <v>31</v>
      </c>
      <c r="H419" t="s">
        <v>273</v>
      </c>
      <c r="I419" t="s">
        <v>135</v>
      </c>
      <c r="J419" t="s">
        <v>39</v>
      </c>
      <c r="K419" t="s">
        <v>31</v>
      </c>
      <c r="L419">
        <v>0.87</v>
      </c>
      <c r="M419">
        <v>1</v>
      </c>
      <c r="N419">
        <v>2.120451684454824</v>
      </c>
      <c r="O419">
        <v>5.4114176288701819</v>
      </c>
      <c r="P419">
        <v>-1.0218982000484012</v>
      </c>
      <c r="Q419">
        <v>1.3823087202131159</v>
      </c>
      <c r="R419">
        <v>-1.8625523936223551</v>
      </c>
      <c r="S419" s="2">
        <v>0</v>
      </c>
      <c r="T419" s="2">
        <v>0</v>
      </c>
      <c r="U419" s="2">
        <v>0</v>
      </c>
      <c r="V419" s="2">
        <v>0</v>
      </c>
      <c r="W419" s="2">
        <v>0</v>
      </c>
      <c r="X419" s="2">
        <v>0</v>
      </c>
      <c r="Y419" s="2">
        <v>0</v>
      </c>
      <c r="Z419" s="2">
        <v>0</v>
      </c>
      <c r="AA419" s="2">
        <v>0</v>
      </c>
      <c r="AB419" s="2">
        <v>0</v>
      </c>
      <c r="AC419" s="2">
        <v>0</v>
      </c>
      <c r="AD419" s="2">
        <v>0</v>
      </c>
      <c r="AE419" s="2">
        <v>0</v>
      </c>
      <c r="AF419" s="2">
        <v>0</v>
      </c>
      <c r="AG419" s="2">
        <v>0</v>
      </c>
      <c r="AH419" s="2">
        <v>0</v>
      </c>
      <c r="AI419" s="2">
        <v>0</v>
      </c>
      <c r="AJ419" s="2">
        <v>0</v>
      </c>
      <c r="AK419" s="2">
        <v>0</v>
      </c>
      <c r="AL419" s="2">
        <v>0</v>
      </c>
      <c r="AM419" s="2">
        <v>0</v>
      </c>
      <c r="AN419" s="2">
        <v>0</v>
      </c>
      <c r="AO419" s="2">
        <v>0</v>
      </c>
      <c r="AP419" s="2">
        <v>0</v>
      </c>
      <c r="AQ419" s="2">
        <v>0</v>
      </c>
      <c r="AR419" s="2">
        <v>0</v>
      </c>
    </row>
    <row r="420" spans="1:44" x14ac:dyDescent="0.25">
      <c r="A420" t="s">
        <v>250</v>
      </c>
      <c r="B420" t="s">
        <v>313</v>
      </c>
      <c r="C420" t="s">
        <v>44</v>
      </c>
      <c r="D420" t="s">
        <v>314</v>
      </c>
      <c r="E420" t="s">
        <v>134</v>
      </c>
      <c r="F420" t="s">
        <v>314</v>
      </c>
      <c r="G420" t="s">
        <v>31</v>
      </c>
      <c r="H420" t="s">
        <v>252</v>
      </c>
      <c r="I420" t="s">
        <v>135</v>
      </c>
      <c r="J420" t="s">
        <v>39</v>
      </c>
      <c r="K420" t="s">
        <v>31</v>
      </c>
      <c r="L420">
        <v>0.87</v>
      </c>
      <c r="M420">
        <v>1</v>
      </c>
      <c r="N420">
        <v>2.120451684454824</v>
      </c>
      <c r="O420">
        <v>5.4114176288701819</v>
      </c>
      <c r="P420">
        <v>-1.0218982000484012</v>
      </c>
      <c r="Q420">
        <v>1.3823087202131159</v>
      </c>
      <c r="R420">
        <v>-1.8625523936223551</v>
      </c>
      <c r="S420" s="2">
        <v>4.5083771551817512E-3</v>
      </c>
      <c r="T420" s="2">
        <v>8.9786060043987141E-3</v>
      </c>
      <c r="U420" s="2">
        <v>1.5882936441469285E-2</v>
      </c>
      <c r="V420" s="2">
        <v>2.5740180695684022E-2</v>
      </c>
      <c r="W420" s="2">
        <v>3.8925440109644896E-2</v>
      </c>
      <c r="X420" s="2">
        <v>5.5543274407513749E-2</v>
      </c>
      <c r="Y420" s="2">
        <v>7.5274556390833691E-2</v>
      </c>
      <c r="Z420" s="2">
        <v>9.722195518788726E-2</v>
      </c>
      <c r="AA420" s="2">
        <v>0.11980188938572398</v>
      </c>
      <c r="AB420" s="2">
        <v>0.14075216961739659</v>
      </c>
      <c r="AC420" s="2">
        <v>0.15733050243473648</v>
      </c>
      <c r="AD420" s="2">
        <v>0.166750763579714</v>
      </c>
      <c r="AE420" s="2">
        <v>0.16682737235868048</v>
      </c>
      <c r="AF420" s="2">
        <v>0.15668106045756516</v>
      </c>
      <c r="AG420" s="2">
        <v>0.13724799140745095</v>
      </c>
      <c r="AH420" s="2">
        <v>0.11308261289702443</v>
      </c>
      <c r="AI420" s="2">
        <v>8.6154981998880609E-2</v>
      </c>
      <c r="AJ420" s="2">
        <v>4.1710256429584411E-2</v>
      </c>
      <c r="AK420" s="2">
        <v>0</v>
      </c>
      <c r="AL420" s="2">
        <v>0</v>
      </c>
      <c r="AM420" s="2">
        <v>0</v>
      </c>
      <c r="AN420" s="2">
        <v>0</v>
      </c>
      <c r="AO420" s="2">
        <v>0</v>
      </c>
      <c r="AP420" s="2">
        <v>0</v>
      </c>
      <c r="AQ420" s="2">
        <v>0</v>
      </c>
      <c r="AR420" s="2">
        <v>1.6084149269593706</v>
      </c>
    </row>
    <row r="421" spans="1:44" x14ac:dyDescent="0.25">
      <c r="A421" t="s">
        <v>250</v>
      </c>
      <c r="B421" t="s">
        <v>313</v>
      </c>
      <c r="C421" t="s">
        <v>44</v>
      </c>
      <c r="D421" t="s">
        <v>314</v>
      </c>
      <c r="E421" t="s">
        <v>134</v>
      </c>
      <c r="F421" t="s">
        <v>314</v>
      </c>
      <c r="G421" t="s">
        <v>31</v>
      </c>
      <c r="H421" t="s">
        <v>289</v>
      </c>
      <c r="I421" t="s">
        <v>135</v>
      </c>
      <c r="J421" t="s">
        <v>39</v>
      </c>
      <c r="K421" t="s">
        <v>31</v>
      </c>
      <c r="L421">
        <v>0.87</v>
      </c>
      <c r="M421">
        <v>1</v>
      </c>
      <c r="N421">
        <v>2.120451684454824</v>
      </c>
      <c r="O421">
        <v>5.4114176288701819</v>
      </c>
      <c r="P421">
        <v>-1.0218982000484012</v>
      </c>
      <c r="Q421">
        <v>1.3823087202131159</v>
      </c>
      <c r="R421">
        <v>-1.8625523936223551</v>
      </c>
      <c r="S421" s="2">
        <v>8.3235143601187764E-2</v>
      </c>
      <c r="T421" s="2">
        <v>0.16588244773056457</v>
      </c>
      <c r="U421" s="2">
        <v>0.29364820243210843</v>
      </c>
      <c r="V421" s="2">
        <v>0.47622607187660554</v>
      </c>
      <c r="W421" s="2">
        <v>0.72067612754313426</v>
      </c>
      <c r="X421" s="2">
        <v>1.0290657204122085</v>
      </c>
      <c r="Y421" s="2">
        <v>1.3956125476344377</v>
      </c>
      <c r="Z421" s="2">
        <v>1.8037902676476825</v>
      </c>
      <c r="AA421" s="2">
        <v>2.2242847483407808</v>
      </c>
      <c r="AB421" s="2">
        <v>2.6150912200575647</v>
      </c>
      <c r="AC421" s="2">
        <v>2.9251605128707512</v>
      </c>
      <c r="AD421" s="2">
        <v>3.1024845818717863</v>
      </c>
      <c r="AE421" s="2">
        <v>3.1060907339335544</v>
      </c>
      <c r="AF421" s="2">
        <v>2.9192303052104589</v>
      </c>
      <c r="AG421" s="2">
        <v>2.5589563740593277</v>
      </c>
      <c r="AH421" s="2">
        <v>2.1098799610134833</v>
      </c>
      <c r="AI421" s="2">
        <v>1.6085973043938679</v>
      </c>
      <c r="AJ421" s="2">
        <v>1.0619706622337266</v>
      </c>
      <c r="AK421" s="2">
        <v>0</v>
      </c>
      <c r="AL421" s="2">
        <v>0</v>
      </c>
      <c r="AM421" s="2">
        <v>0</v>
      </c>
      <c r="AN421" s="2">
        <v>0</v>
      </c>
      <c r="AO421" s="2">
        <v>0</v>
      </c>
      <c r="AP421" s="2">
        <v>0</v>
      </c>
      <c r="AQ421" s="2">
        <v>0</v>
      </c>
      <c r="AR421" s="2">
        <v>30.199882932863229</v>
      </c>
    </row>
    <row r="422" spans="1:44" x14ac:dyDescent="0.25">
      <c r="A422" t="s">
        <v>250</v>
      </c>
      <c r="B422" t="s">
        <v>313</v>
      </c>
      <c r="C422" t="s">
        <v>44</v>
      </c>
      <c r="D422" t="s">
        <v>314</v>
      </c>
      <c r="E422" t="s">
        <v>134</v>
      </c>
      <c r="F422" t="s">
        <v>314</v>
      </c>
      <c r="G422" t="s">
        <v>31</v>
      </c>
      <c r="H422" t="s">
        <v>274</v>
      </c>
      <c r="I422" t="s">
        <v>135</v>
      </c>
      <c r="J422" t="s">
        <v>39</v>
      </c>
      <c r="K422" t="s">
        <v>31</v>
      </c>
      <c r="L422">
        <v>0.87</v>
      </c>
      <c r="M422">
        <v>1</v>
      </c>
      <c r="N422">
        <v>2.120451684454824</v>
      </c>
      <c r="O422">
        <v>5.4114176288701819</v>
      </c>
      <c r="P422">
        <v>-1.0218982000484012</v>
      </c>
      <c r="Q422">
        <v>1.3823087202131159</v>
      </c>
      <c r="R422">
        <v>-1.8625523936223551</v>
      </c>
      <c r="S422" s="2">
        <v>0</v>
      </c>
      <c r="T422" s="2">
        <v>0</v>
      </c>
      <c r="U422" s="2">
        <v>0</v>
      </c>
      <c r="V422" s="2">
        <v>0</v>
      </c>
      <c r="W422" s="2">
        <v>0</v>
      </c>
      <c r="X422" s="2">
        <v>0</v>
      </c>
      <c r="Y422" s="2">
        <v>0</v>
      </c>
      <c r="Z422" s="2">
        <v>0</v>
      </c>
      <c r="AA422" s="2">
        <v>0</v>
      </c>
      <c r="AB422" s="2">
        <v>0</v>
      </c>
      <c r="AC422" s="2">
        <v>0</v>
      </c>
      <c r="AD422" s="2">
        <v>0</v>
      </c>
      <c r="AE422" s="2">
        <v>0</v>
      </c>
      <c r="AF422" s="2">
        <v>0</v>
      </c>
      <c r="AG422" s="2">
        <v>0</v>
      </c>
      <c r="AH422" s="2">
        <v>0</v>
      </c>
      <c r="AI422" s="2">
        <v>0</v>
      </c>
      <c r="AJ422" s="2">
        <v>0</v>
      </c>
      <c r="AK422" s="2">
        <v>0</v>
      </c>
      <c r="AL422" s="2">
        <v>0</v>
      </c>
      <c r="AM422" s="2">
        <v>0</v>
      </c>
      <c r="AN422" s="2">
        <v>0</v>
      </c>
      <c r="AO422" s="2">
        <v>0</v>
      </c>
      <c r="AP422" s="2">
        <v>0</v>
      </c>
      <c r="AQ422" s="2">
        <v>0</v>
      </c>
      <c r="AR422" s="2">
        <v>0</v>
      </c>
    </row>
    <row r="423" spans="1:44" x14ac:dyDescent="0.25">
      <c r="A423" t="s">
        <v>250</v>
      </c>
      <c r="B423" t="s">
        <v>313</v>
      </c>
      <c r="C423" t="s">
        <v>44</v>
      </c>
      <c r="D423" t="s">
        <v>314</v>
      </c>
      <c r="E423" t="s">
        <v>134</v>
      </c>
      <c r="F423" t="s">
        <v>314</v>
      </c>
      <c r="G423" t="s">
        <v>31</v>
      </c>
      <c r="H423" t="s">
        <v>274</v>
      </c>
      <c r="I423" t="s">
        <v>135</v>
      </c>
      <c r="J423" t="s">
        <v>39</v>
      </c>
      <c r="K423" t="s">
        <v>33</v>
      </c>
      <c r="L423">
        <v>0.87</v>
      </c>
      <c r="M423">
        <v>1</v>
      </c>
      <c r="N423">
        <v>2.120451684454824</v>
      </c>
      <c r="O423">
        <v>5.4114176288701819</v>
      </c>
      <c r="P423">
        <v>-1.0218982000484012</v>
      </c>
      <c r="Q423">
        <v>1.3823087202131159</v>
      </c>
      <c r="R423">
        <v>-1.8625523936223551</v>
      </c>
      <c r="S423" s="2">
        <v>0</v>
      </c>
      <c r="T423" s="2">
        <v>0</v>
      </c>
      <c r="U423" s="2">
        <v>0</v>
      </c>
      <c r="V423" s="2">
        <v>0</v>
      </c>
      <c r="W423" s="2">
        <v>0</v>
      </c>
      <c r="X423" s="2">
        <v>0</v>
      </c>
      <c r="Y423" s="2">
        <v>0</v>
      </c>
      <c r="Z423" s="2">
        <v>0</v>
      </c>
      <c r="AA423" s="2">
        <v>0</v>
      </c>
      <c r="AB423" s="2">
        <v>0</v>
      </c>
      <c r="AC423" s="2">
        <v>0</v>
      </c>
      <c r="AD423" s="2">
        <v>0</v>
      </c>
      <c r="AE423" s="2">
        <v>0</v>
      </c>
      <c r="AF423" s="2">
        <v>0</v>
      </c>
      <c r="AG423" s="2">
        <v>0</v>
      </c>
      <c r="AH423" s="2">
        <v>0</v>
      </c>
      <c r="AI423" s="2">
        <v>0</v>
      </c>
      <c r="AJ423" s="2">
        <v>0</v>
      </c>
      <c r="AK423" s="2">
        <v>0</v>
      </c>
      <c r="AL423" s="2">
        <v>0</v>
      </c>
      <c r="AM423" s="2">
        <v>0</v>
      </c>
      <c r="AN423" s="2">
        <v>0</v>
      </c>
      <c r="AO423" s="2">
        <v>0</v>
      </c>
      <c r="AP423" s="2">
        <v>0</v>
      </c>
      <c r="AQ423" s="2">
        <v>0</v>
      </c>
      <c r="AR423" s="2">
        <v>0</v>
      </c>
    </row>
    <row r="424" spans="1:44" x14ac:dyDescent="0.25">
      <c r="A424" t="s">
        <v>250</v>
      </c>
      <c r="B424" t="s">
        <v>313</v>
      </c>
      <c r="C424" t="s">
        <v>44</v>
      </c>
      <c r="D424" t="s">
        <v>314</v>
      </c>
      <c r="E424" t="s">
        <v>134</v>
      </c>
      <c r="F424" t="s">
        <v>314</v>
      </c>
      <c r="G424" t="s">
        <v>31</v>
      </c>
      <c r="H424" t="s">
        <v>255</v>
      </c>
      <c r="I424" t="s">
        <v>135</v>
      </c>
      <c r="J424" t="s">
        <v>39</v>
      </c>
      <c r="K424" t="s">
        <v>31</v>
      </c>
      <c r="L424">
        <v>0.87</v>
      </c>
      <c r="M424">
        <v>1</v>
      </c>
      <c r="N424">
        <v>2.120451684454824</v>
      </c>
      <c r="O424">
        <v>5.4114176288701819</v>
      </c>
      <c r="P424">
        <v>-1.0218982000484012</v>
      </c>
      <c r="Q424">
        <v>1.3823087202131159</v>
      </c>
      <c r="R424">
        <v>-1.8625523936223551</v>
      </c>
      <c r="S424" s="2">
        <v>6.4020870783817827E-3</v>
      </c>
      <c r="T424" s="2">
        <v>1.2682175975368483E-2</v>
      </c>
      <c r="U424" s="2">
        <v>2.2315117748713923E-2</v>
      </c>
      <c r="V424" s="2">
        <v>3.5971910176565543E-2</v>
      </c>
      <c r="W424" s="2">
        <v>5.4108932351013647E-2</v>
      </c>
      <c r="X424" s="2">
        <v>7.6798093019953481E-2</v>
      </c>
      <c r="Y424" s="2">
        <v>0.10352629846110747</v>
      </c>
      <c r="Z424" s="2">
        <v>0.13299960660089666</v>
      </c>
      <c r="AA424" s="2">
        <v>0.16301711282510065</v>
      </c>
      <c r="AB424" s="2">
        <v>0.19050577786340059</v>
      </c>
      <c r="AC424" s="2">
        <v>0.21181148630527255</v>
      </c>
      <c r="AD424" s="2">
        <v>0.22329959408455061</v>
      </c>
      <c r="AE424" s="2">
        <v>0.22221375382173564</v>
      </c>
      <c r="AF424" s="2">
        <v>0.20758867311548487</v>
      </c>
      <c r="AG424" s="2">
        <v>0.18087422037285619</v>
      </c>
      <c r="AH424" s="2">
        <v>0.14823475289928492</v>
      </c>
      <c r="AI424" s="2">
        <v>1.7224445504181441E-2</v>
      </c>
      <c r="AJ424" s="2">
        <v>0</v>
      </c>
      <c r="AK424" s="2">
        <v>0</v>
      </c>
      <c r="AL424" s="2">
        <v>0</v>
      </c>
      <c r="AM424" s="2">
        <v>0</v>
      </c>
      <c r="AN424" s="2">
        <v>0</v>
      </c>
      <c r="AO424" s="2">
        <v>0</v>
      </c>
      <c r="AP424" s="2">
        <v>0</v>
      </c>
      <c r="AQ424" s="2">
        <v>0</v>
      </c>
      <c r="AR424" s="2">
        <v>2.0095740382038683</v>
      </c>
    </row>
    <row r="425" spans="1:44" x14ac:dyDescent="0.25">
      <c r="A425" t="s">
        <v>250</v>
      </c>
      <c r="B425" t="s">
        <v>313</v>
      </c>
      <c r="C425" t="s">
        <v>44</v>
      </c>
      <c r="D425" t="s">
        <v>314</v>
      </c>
      <c r="E425" t="s">
        <v>134</v>
      </c>
      <c r="F425" t="s">
        <v>314</v>
      </c>
      <c r="G425" t="s">
        <v>31</v>
      </c>
      <c r="H425" t="s">
        <v>278</v>
      </c>
      <c r="I425" t="s">
        <v>135</v>
      </c>
      <c r="J425" t="s">
        <v>39</v>
      </c>
      <c r="K425" t="s">
        <v>31</v>
      </c>
      <c r="L425">
        <v>0.87</v>
      </c>
      <c r="M425">
        <v>1</v>
      </c>
      <c r="N425">
        <v>2.120451684454824</v>
      </c>
      <c r="O425">
        <v>5.4114176288701819</v>
      </c>
      <c r="P425">
        <v>-1.0218982000484012</v>
      </c>
      <c r="Q425">
        <v>1.3823087202131159</v>
      </c>
      <c r="R425">
        <v>-1.8625523936223551</v>
      </c>
      <c r="S425" s="2">
        <v>0</v>
      </c>
      <c r="T425" s="2">
        <v>0</v>
      </c>
      <c r="U425" s="2">
        <v>0</v>
      </c>
      <c r="V425" s="2">
        <v>0</v>
      </c>
      <c r="W425" s="2">
        <v>0</v>
      </c>
      <c r="X425" s="2">
        <v>0</v>
      </c>
      <c r="Y425" s="2">
        <v>0</v>
      </c>
      <c r="Z425" s="2">
        <v>0</v>
      </c>
      <c r="AA425" s="2">
        <v>0</v>
      </c>
      <c r="AB425" s="2">
        <v>0</v>
      </c>
      <c r="AC425" s="2">
        <v>0</v>
      </c>
      <c r="AD425" s="2">
        <v>0</v>
      </c>
      <c r="AE425" s="2">
        <v>0</v>
      </c>
      <c r="AF425" s="2">
        <v>0</v>
      </c>
      <c r="AG425" s="2">
        <v>0</v>
      </c>
      <c r="AH425" s="2">
        <v>0</v>
      </c>
      <c r="AI425" s="2">
        <v>0</v>
      </c>
      <c r="AJ425" s="2">
        <v>0</v>
      </c>
      <c r="AK425" s="2">
        <v>0</v>
      </c>
      <c r="AL425" s="2">
        <v>0</v>
      </c>
      <c r="AM425" s="2">
        <v>0</v>
      </c>
      <c r="AN425" s="2">
        <v>0</v>
      </c>
      <c r="AO425" s="2">
        <v>0</v>
      </c>
      <c r="AP425" s="2">
        <v>0</v>
      </c>
      <c r="AQ425" s="2">
        <v>0</v>
      </c>
      <c r="AR425" s="2">
        <v>0</v>
      </c>
    </row>
    <row r="426" spans="1:44" x14ac:dyDescent="0.25">
      <c r="A426" t="s">
        <v>250</v>
      </c>
      <c r="B426" t="s">
        <v>313</v>
      </c>
      <c r="C426" t="s">
        <v>44</v>
      </c>
      <c r="D426" t="s">
        <v>314</v>
      </c>
      <c r="E426" t="s">
        <v>134</v>
      </c>
      <c r="F426" t="s">
        <v>314</v>
      </c>
      <c r="G426" t="s">
        <v>31</v>
      </c>
      <c r="H426" t="s">
        <v>276</v>
      </c>
      <c r="I426" t="s">
        <v>135</v>
      </c>
      <c r="J426" t="s">
        <v>39</v>
      </c>
      <c r="K426" t="s">
        <v>31</v>
      </c>
      <c r="L426">
        <v>0.87</v>
      </c>
      <c r="M426">
        <v>1</v>
      </c>
      <c r="N426">
        <v>2.120451684454824</v>
      </c>
      <c r="O426">
        <v>5.4114176288701819</v>
      </c>
      <c r="P426">
        <v>-1.0218982000484012</v>
      </c>
      <c r="Q426">
        <v>1.3823087202131159</v>
      </c>
      <c r="R426">
        <v>-1.8625523936223551</v>
      </c>
      <c r="S426" s="2">
        <v>0.55564905167490719</v>
      </c>
      <c r="T426" s="2">
        <v>1.1083735256073732</v>
      </c>
      <c r="U426" s="2">
        <v>1.9638346551861463</v>
      </c>
      <c r="V426" s="2">
        <v>3.1877378950593767</v>
      </c>
      <c r="W426" s="2">
        <v>4.8283799502214189</v>
      </c>
      <c r="X426" s="2">
        <v>6.9007497348745526</v>
      </c>
      <c r="Y426" s="2">
        <v>9.367202214424017</v>
      </c>
      <c r="Z426" s="2">
        <v>12.117776382305433</v>
      </c>
      <c r="AA426" s="2">
        <v>14.956126948139541</v>
      </c>
      <c r="AB426" s="2">
        <v>17.599789185788708</v>
      </c>
      <c r="AC426" s="2">
        <v>19.704353474802609</v>
      </c>
      <c r="AD426" s="2">
        <v>20.917702582115421</v>
      </c>
      <c r="AE426" s="2">
        <v>20.960920660956901</v>
      </c>
      <c r="AF426" s="2">
        <v>19.717708384461741</v>
      </c>
      <c r="AG426" s="2">
        <v>17.299869484530795</v>
      </c>
      <c r="AH426" s="2">
        <v>14.276756632258923</v>
      </c>
      <c r="AI426" s="2">
        <v>10.894592986076784</v>
      </c>
      <c r="AJ426" s="2">
        <v>7.5265714667118617</v>
      </c>
      <c r="AK426" s="2">
        <v>2.133278879977035</v>
      </c>
      <c r="AL426" s="2">
        <v>0</v>
      </c>
      <c r="AM426" s="2">
        <v>0</v>
      </c>
      <c r="AN426" s="2">
        <v>0</v>
      </c>
      <c r="AO426" s="2">
        <v>0</v>
      </c>
      <c r="AP426" s="2">
        <v>0</v>
      </c>
      <c r="AQ426" s="2">
        <v>0</v>
      </c>
      <c r="AR426" s="2">
        <v>206.01737409517358</v>
      </c>
    </row>
    <row r="427" spans="1:44" x14ac:dyDescent="0.25">
      <c r="A427" t="s">
        <v>250</v>
      </c>
      <c r="B427" t="s">
        <v>313</v>
      </c>
      <c r="C427" t="s">
        <v>44</v>
      </c>
      <c r="D427" t="s">
        <v>314</v>
      </c>
      <c r="E427" t="s">
        <v>134</v>
      </c>
      <c r="F427" t="s">
        <v>314</v>
      </c>
      <c r="G427" t="s">
        <v>31</v>
      </c>
      <c r="H427" t="s">
        <v>290</v>
      </c>
      <c r="I427" t="s">
        <v>135</v>
      </c>
      <c r="J427" t="s">
        <v>39</v>
      </c>
      <c r="K427" t="s">
        <v>31</v>
      </c>
      <c r="L427">
        <v>0.87</v>
      </c>
      <c r="M427">
        <v>1</v>
      </c>
      <c r="N427">
        <v>2.120451684454824</v>
      </c>
      <c r="O427">
        <v>5.4114176288701819</v>
      </c>
      <c r="P427">
        <v>-1.0218982000484012</v>
      </c>
      <c r="Q427">
        <v>1.3823087202131159</v>
      </c>
      <c r="R427">
        <v>-1.8625523936223551</v>
      </c>
      <c r="S427" s="2">
        <v>0.12053015705468047</v>
      </c>
      <c r="T427" s="2">
        <v>0.24020908251661213</v>
      </c>
      <c r="U427" s="2">
        <v>0.42522259741090385</v>
      </c>
      <c r="V427" s="2">
        <v>0.68960778768935438</v>
      </c>
      <c r="W427" s="2">
        <v>1.0435881177129771</v>
      </c>
      <c r="X427" s="2">
        <v>1.4901572525081994</v>
      </c>
      <c r="Y427" s="2">
        <v>2.020942023718225</v>
      </c>
      <c r="Z427" s="2">
        <v>2.6120111631570113</v>
      </c>
      <c r="AA427" s="2">
        <v>3.2209158109510261</v>
      </c>
      <c r="AB427" s="2">
        <v>3.7868301997061309</v>
      </c>
      <c r="AC427" s="2">
        <v>4.2358316544242758</v>
      </c>
      <c r="AD427" s="2">
        <v>4.4926089838258516</v>
      </c>
      <c r="AE427" s="2">
        <v>4.4978309376252055</v>
      </c>
      <c r="AF427" s="2">
        <v>4.2272443098275438</v>
      </c>
      <c r="AG427" s="2">
        <v>3.7055431193734973</v>
      </c>
      <c r="AH427" s="2">
        <v>3.0552498868260409</v>
      </c>
      <c r="AI427" s="2">
        <v>2.3293584578324888</v>
      </c>
      <c r="AJ427" s="2">
        <v>1.5378058494112583</v>
      </c>
      <c r="AK427" s="2">
        <v>0</v>
      </c>
      <c r="AL427" s="2">
        <v>0</v>
      </c>
      <c r="AM427" s="2">
        <v>0</v>
      </c>
      <c r="AN427" s="2">
        <v>0</v>
      </c>
      <c r="AO427" s="2">
        <v>0</v>
      </c>
      <c r="AP427" s="2">
        <v>0</v>
      </c>
      <c r="AQ427" s="2">
        <v>0</v>
      </c>
      <c r="AR427" s="2">
        <v>43.731487391571285</v>
      </c>
    </row>
    <row r="428" spans="1:44" x14ac:dyDescent="0.25">
      <c r="A428" t="s">
        <v>250</v>
      </c>
      <c r="B428" t="s">
        <v>313</v>
      </c>
      <c r="C428" t="s">
        <v>44</v>
      </c>
      <c r="D428" t="s">
        <v>314</v>
      </c>
      <c r="E428" t="s">
        <v>134</v>
      </c>
      <c r="F428" t="s">
        <v>314</v>
      </c>
      <c r="G428" t="s">
        <v>31</v>
      </c>
      <c r="H428" t="s">
        <v>275</v>
      </c>
      <c r="I428" t="s">
        <v>135</v>
      </c>
      <c r="J428" t="s">
        <v>39</v>
      </c>
      <c r="K428" t="s">
        <v>31</v>
      </c>
      <c r="L428">
        <v>0.87</v>
      </c>
      <c r="M428">
        <v>1</v>
      </c>
      <c r="N428">
        <v>2.120451684454824</v>
      </c>
      <c r="O428">
        <v>5.4114176288701819</v>
      </c>
      <c r="P428">
        <v>-1.0218982000484012</v>
      </c>
      <c r="Q428">
        <v>1.3823087202131159</v>
      </c>
      <c r="R428">
        <v>-1.8625523936223551</v>
      </c>
      <c r="S428" s="2">
        <v>0</v>
      </c>
      <c r="T428" s="2">
        <v>0</v>
      </c>
      <c r="U428" s="2">
        <v>0</v>
      </c>
      <c r="V428" s="2">
        <v>0</v>
      </c>
      <c r="W428" s="2">
        <v>0</v>
      </c>
      <c r="X428" s="2">
        <v>0</v>
      </c>
      <c r="Y428" s="2">
        <v>0</v>
      </c>
      <c r="Z428" s="2">
        <v>0</v>
      </c>
      <c r="AA428" s="2">
        <v>0</v>
      </c>
      <c r="AB428" s="2">
        <v>0</v>
      </c>
      <c r="AC428" s="2">
        <v>0</v>
      </c>
      <c r="AD428" s="2">
        <v>0</v>
      </c>
      <c r="AE428" s="2">
        <v>0</v>
      </c>
      <c r="AF428" s="2">
        <v>0</v>
      </c>
      <c r="AG428" s="2">
        <v>0</v>
      </c>
      <c r="AH428" s="2">
        <v>0</v>
      </c>
      <c r="AI428" s="2">
        <v>0</v>
      </c>
      <c r="AJ428" s="2">
        <v>0</v>
      </c>
      <c r="AK428" s="2">
        <v>0</v>
      </c>
      <c r="AL428" s="2">
        <v>0</v>
      </c>
      <c r="AM428" s="2">
        <v>0</v>
      </c>
      <c r="AN428" s="2">
        <v>0</v>
      </c>
      <c r="AO428" s="2">
        <v>0</v>
      </c>
      <c r="AP428" s="2">
        <v>0</v>
      </c>
      <c r="AQ428" s="2">
        <v>0</v>
      </c>
      <c r="AR428" s="2">
        <v>0</v>
      </c>
    </row>
    <row r="429" spans="1:44" x14ac:dyDescent="0.25">
      <c r="A429" t="s">
        <v>250</v>
      </c>
      <c r="B429" t="s">
        <v>313</v>
      </c>
      <c r="C429" t="s">
        <v>44</v>
      </c>
      <c r="D429" t="s">
        <v>314</v>
      </c>
      <c r="E429" t="s">
        <v>134</v>
      </c>
      <c r="F429" t="s">
        <v>314</v>
      </c>
      <c r="G429" t="s">
        <v>31</v>
      </c>
      <c r="H429" t="s">
        <v>277</v>
      </c>
      <c r="I429" t="s">
        <v>135</v>
      </c>
      <c r="J429" t="s">
        <v>39</v>
      </c>
      <c r="K429" t="s">
        <v>31</v>
      </c>
      <c r="L429">
        <v>0.87</v>
      </c>
      <c r="M429">
        <v>1</v>
      </c>
      <c r="N429">
        <v>2.120451684454824</v>
      </c>
      <c r="O429">
        <v>5.4114176288701819</v>
      </c>
      <c r="P429">
        <v>-1.0218982000484012</v>
      </c>
      <c r="Q429">
        <v>1.3823087202131159</v>
      </c>
      <c r="R429">
        <v>-1.8625523936223551</v>
      </c>
      <c r="S429" s="2">
        <v>0</v>
      </c>
      <c r="T429" s="2">
        <v>0</v>
      </c>
      <c r="U429" s="2">
        <v>0</v>
      </c>
      <c r="V429" s="2">
        <v>0</v>
      </c>
      <c r="W429" s="2">
        <v>0</v>
      </c>
      <c r="X429" s="2">
        <v>0</v>
      </c>
      <c r="Y429" s="2">
        <v>0</v>
      </c>
      <c r="Z429" s="2">
        <v>0</v>
      </c>
      <c r="AA429" s="2">
        <v>0</v>
      </c>
      <c r="AB429" s="2">
        <v>0</v>
      </c>
      <c r="AC429" s="2">
        <v>0</v>
      </c>
      <c r="AD429" s="2">
        <v>0</v>
      </c>
      <c r="AE429" s="2">
        <v>0</v>
      </c>
      <c r="AF429" s="2">
        <v>0</v>
      </c>
      <c r="AG429" s="2">
        <v>0</v>
      </c>
      <c r="AH429" s="2">
        <v>0</v>
      </c>
      <c r="AI429" s="2">
        <v>0</v>
      </c>
      <c r="AJ429" s="2">
        <v>0</v>
      </c>
      <c r="AK429" s="2">
        <v>0</v>
      </c>
      <c r="AL429" s="2">
        <v>0</v>
      </c>
      <c r="AM429" s="2">
        <v>0</v>
      </c>
      <c r="AN429" s="2">
        <v>0</v>
      </c>
      <c r="AO429" s="2">
        <v>0</v>
      </c>
      <c r="AP429" s="2">
        <v>0</v>
      </c>
      <c r="AQ429" s="2">
        <v>0</v>
      </c>
      <c r="AR429" s="2">
        <v>0</v>
      </c>
    </row>
    <row r="430" spans="1:44" x14ac:dyDescent="0.25">
      <c r="A430" t="s">
        <v>250</v>
      </c>
      <c r="B430" t="s">
        <v>313</v>
      </c>
      <c r="C430" t="s">
        <v>44</v>
      </c>
      <c r="D430" t="s">
        <v>314</v>
      </c>
      <c r="E430" t="s">
        <v>134</v>
      </c>
      <c r="F430" t="s">
        <v>314</v>
      </c>
      <c r="G430" t="s">
        <v>31</v>
      </c>
      <c r="H430" t="s">
        <v>277</v>
      </c>
      <c r="I430" t="s">
        <v>135</v>
      </c>
      <c r="J430" t="s">
        <v>40</v>
      </c>
      <c r="K430" t="s">
        <v>31</v>
      </c>
      <c r="L430">
        <v>0.87</v>
      </c>
      <c r="M430">
        <v>1</v>
      </c>
      <c r="N430">
        <v>2.120451684454824</v>
      </c>
      <c r="O430">
        <v>4.1746294160814479</v>
      </c>
      <c r="P430">
        <v>-1.0218982000484012</v>
      </c>
      <c r="Q430">
        <v>0.4672931329656026</v>
      </c>
      <c r="R430">
        <v>-1.7195523936223551</v>
      </c>
      <c r="S430" s="2">
        <v>0</v>
      </c>
      <c r="T430" s="2">
        <v>0</v>
      </c>
      <c r="U430" s="2">
        <v>0</v>
      </c>
      <c r="V430" s="2">
        <v>0</v>
      </c>
      <c r="W430" s="2">
        <v>0</v>
      </c>
      <c r="X430" s="2">
        <v>0</v>
      </c>
      <c r="Y430" s="2">
        <v>0</v>
      </c>
      <c r="Z430" s="2">
        <v>0</v>
      </c>
      <c r="AA430" s="2">
        <v>0</v>
      </c>
      <c r="AB430" s="2">
        <v>0</v>
      </c>
      <c r="AC430" s="2">
        <v>0</v>
      </c>
      <c r="AD430" s="2">
        <v>0</v>
      </c>
      <c r="AE430" s="2">
        <v>0</v>
      </c>
      <c r="AF430" s="2">
        <v>0</v>
      </c>
      <c r="AG430" s="2">
        <v>0</v>
      </c>
      <c r="AH430" s="2">
        <v>0</v>
      </c>
      <c r="AI430" s="2">
        <v>0</v>
      </c>
      <c r="AJ430" s="2">
        <v>0</v>
      </c>
      <c r="AK430" s="2">
        <v>0</v>
      </c>
      <c r="AL430" s="2">
        <v>0</v>
      </c>
      <c r="AM430" s="2">
        <v>0</v>
      </c>
      <c r="AN430" s="2">
        <v>0</v>
      </c>
      <c r="AO430" s="2">
        <v>0</v>
      </c>
      <c r="AP430" s="2">
        <v>0</v>
      </c>
      <c r="AQ430" s="2">
        <v>0</v>
      </c>
      <c r="AR430" s="2">
        <v>0</v>
      </c>
    </row>
    <row r="431" spans="1:44" x14ac:dyDescent="0.25">
      <c r="A431" t="s">
        <v>250</v>
      </c>
      <c r="B431" t="s">
        <v>259</v>
      </c>
      <c r="C431" t="s">
        <v>43</v>
      </c>
      <c r="D431" t="s">
        <v>260</v>
      </c>
      <c r="E431" t="s">
        <v>134</v>
      </c>
      <c r="F431" t="s">
        <v>260</v>
      </c>
      <c r="G431" t="s">
        <v>31</v>
      </c>
      <c r="H431" t="s">
        <v>254</v>
      </c>
      <c r="I431" t="s">
        <v>135</v>
      </c>
      <c r="J431" t="s">
        <v>39</v>
      </c>
      <c r="K431" t="s">
        <v>31</v>
      </c>
      <c r="L431">
        <v>44.645800000000001</v>
      </c>
      <c r="M431">
        <v>0</v>
      </c>
      <c r="N431">
        <v>0.81670651997087551</v>
      </c>
      <c r="O431">
        <v>3.1364369911764678</v>
      </c>
      <c r="P431">
        <v>0.87892520177383748</v>
      </c>
      <c r="Q431">
        <v>2.0801417060437122</v>
      </c>
      <c r="R431">
        <v>-0.65956197763071533</v>
      </c>
      <c r="S431" s="2">
        <v>1.1840587387676928E-2</v>
      </c>
      <c r="T431" s="2">
        <v>2.3562364613248545E-2</v>
      </c>
      <c r="U431" s="2">
        <v>4.1648340987091831E-2</v>
      </c>
      <c r="V431" s="2">
        <v>6.7442777968446749E-2</v>
      </c>
      <c r="W431" s="2">
        <v>0.10190942275898859</v>
      </c>
      <c r="X431" s="2">
        <v>0.14530121292799128</v>
      </c>
      <c r="Y431" s="2">
        <v>0.19676276479613561</v>
      </c>
      <c r="Z431" s="2">
        <v>0.25393116963910251</v>
      </c>
      <c r="AA431" s="2">
        <v>0.31265996897979265</v>
      </c>
      <c r="AB431" s="2">
        <v>0.36704614056770279</v>
      </c>
      <c r="AC431" s="2">
        <v>0.40995429829189073</v>
      </c>
      <c r="AD431" s="2">
        <v>0.43415748897157019</v>
      </c>
      <c r="AE431" s="2">
        <v>0.43401398688045317</v>
      </c>
      <c r="AF431" s="2">
        <v>0.40729574148730635</v>
      </c>
      <c r="AG431" s="2">
        <v>0.35649735759469131</v>
      </c>
      <c r="AH431" s="2">
        <v>0.29349661945836514</v>
      </c>
      <c r="AI431" s="2">
        <v>0.22343161020398855</v>
      </c>
      <c r="AJ431" s="2">
        <v>6.3985017546058634E-2</v>
      </c>
      <c r="AK431" s="2">
        <v>0</v>
      </c>
      <c r="AL431" s="2">
        <v>0</v>
      </c>
      <c r="AM431" s="2">
        <v>0</v>
      </c>
      <c r="AN431" s="2">
        <v>0</v>
      </c>
      <c r="AO431" s="2">
        <v>0</v>
      </c>
      <c r="AP431" s="2">
        <v>0</v>
      </c>
      <c r="AQ431" s="2">
        <v>0</v>
      </c>
      <c r="AR431" s="2">
        <v>4.1449368710605006</v>
      </c>
    </row>
    <row r="432" spans="1:44" x14ac:dyDescent="0.25">
      <c r="A432" t="s">
        <v>250</v>
      </c>
      <c r="B432" t="s">
        <v>259</v>
      </c>
      <c r="C432" t="s">
        <v>43</v>
      </c>
      <c r="D432" t="s">
        <v>260</v>
      </c>
      <c r="E432" t="s">
        <v>134</v>
      </c>
      <c r="F432" t="s">
        <v>260</v>
      </c>
      <c r="G432" t="s">
        <v>31</v>
      </c>
      <c r="H432" t="s">
        <v>253</v>
      </c>
      <c r="I432" t="s">
        <v>135</v>
      </c>
      <c r="J432" t="s">
        <v>39</v>
      </c>
      <c r="K432" t="s">
        <v>31</v>
      </c>
      <c r="L432">
        <v>44.645800000000001</v>
      </c>
      <c r="M432">
        <v>0</v>
      </c>
      <c r="N432">
        <v>0.81670651997087551</v>
      </c>
      <c r="O432">
        <v>3.1364369911764678</v>
      </c>
      <c r="P432">
        <v>0.87892520177383748</v>
      </c>
      <c r="Q432">
        <v>2.0801417060437122</v>
      </c>
      <c r="R432">
        <v>-0.65956197763071533</v>
      </c>
      <c r="S432" s="2">
        <v>1.8259747011114904E-3</v>
      </c>
      <c r="T432" s="2">
        <v>3.6350386433841269E-3</v>
      </c>
      <c r="U432" s="2">
        <v>6.4277136012567864E-3</v>
      </c>
      <c r="V432" s="2">
        <v>1.0412689378061123E-2</v>
      </c>
      <c r="W432" s="2">
        <v>1.5740207578578119E-2</v>
      </c>
      <c r="X432" s="2">
        <v>2.2450912886920867E-2</v>
      </c>
      <c r="Y432" s="2">
        <v>3.0414195466258245E-2</v>
      </c>
      <c r="Z432" s="2">
        <v>3.9266128249566268E-2</v>
      </c>
      <c r="AA432" s="2">
        <v>4.8366314928808857E-2</v>
      </c>
      <c r="AB432" s="2">
        <v>5.6801529752621711E-2</v>
      </c>
      <c r="AC432" s="2">
        <v>6.3466341717728664E-2</v>
      </c>
      <c r="AD432" s="2">
        <v>6.7239421687826359E-2</v>
      </c>
      <c r="AE432" s="2">
        <v>6.7243304825710504E-2</v>
      </c>
      <c r="AF432" s="2">
        <v>6.3128263714277016E-2</v>
      </c>
      <c r="AG432" s="2">
        <v>5.5276297013152058E-2</v>
      </c>
      <c r="AH432" s="2">
        <v>4.552546403544807E-2</v>
      </c>
      <c r="AI432" s="2">
        <v>3.4670854425160914E-2</v>
      </c>
      <c r="AJ432" s="2">
        <v>1.3298504058260628E-2</v>
      </c>
      <c r="AK432" s="2">
        <v>0</v>
      </c>
      <c r="AL432" s="2">
        <v>0</v>
      </c>
      <c r="AM432" s="2">
        <v>0</v>
      </c>
      <c r="AN432" s="2">
        <v>0</v>
      </c>
      <c r="AO432" s="2">
        <v>0</v>
      </c>
      <c r="AP432" s="2">
        <v>0</v>
      </c>
      <c r="AQ432" s="2">
        <v>0</v>
      </c>
      <c r="AR432" s="2">
        <v>0.64518915666413157</v>
      </c>
    </row>
    <row r="433" spans="1:44" x14ac:dyDescent="0.25">
      <c r="A433" t="s">
        <v>250</v>
      </c>
      <c r="B433" t="s">
        <v>259</v>
      </c>
      <c r="C433" t="s">
        <v>43</v>
      </c>
      <c r="D433" t="s">
        <v>260</v>
      </c>
      <c r="E433" t="s">
        <v>134</v>
      </c>
      <c r="F433" t="s">
        <v>260</v>
      </c>
      <c r="G433" t="s">
        <v>31</v>
      </c>
      <c r="H433" t="s">
        <v>253</v>
      </c>
      <c r="I433" t="s">
        <v>135</v>
      </c>
      <c r="J433" t="s">
        <v>40</v>
      </c>
      <c r="K433" t="s">
        <v>31</v>
      </c>
      <c r="L433">
        <v>44.645800000000001</v>
      </c>
      <c r="M433">
        <v>0</v>
      </c>
      <c r="N433">
        <v>0.81670651997087551</v>
      </c>
      <c r="O433">
        <v>1.9536742558690725</v>
      </c>
      <c r="P433">
        <v>0.87892520177383748</v>
      </c>
      <c r="Q433">
        <v>0.4672931329656026</v>
      </c>
      <c r="R433">
        <v>-0.51656197763071521</v>
      </c>
      <c r="S433" s="2">
        <v>9.6050064373922348E-4</v>
      </c>
      <c r="T433" s="2">
        <v>1.9121058768569576E-3</v>
      </c>
      <c r="U433" s="2">
        <v>3.3811109474958397E-3</v>
      </c>
      <c r="V433" s="2">
        <v>5.4772910296053551E-3</v>
      </c>
      <c r="W433" s="2">
        <v>8.2796763299132787E-3</v>
      </c>
      <c r="X433" s="2">
        <v>1.1809646797019917E-2</v>
      </c>
      <c r="Y433" s="2">
        <v>1.5998498942164659E-2</v>
      </c>
      <c r="Z433" s="2">
        <v>2.0654799564253375E-2</v>
      </c>
      <c r="AA433" s="2">
        <v>2.5441686895298552E-2</v>
      </c>
      <c r="AB433" s="2">
        <v>2.9878785209650382E-2</v>
      </c>
      <c r="AC433" s="2">
        <v>3.3384614824370357E-2</v>
      </c>
      <c r="AD433" s="2">
        <v>3.5369333308121746E-2</v>
      </c>
      <c r="AE433" s="2">
        <v>3.5371375919355727E-2</v>
      </c>
      <c r="AF433" s="2">
        <v>3.3206778767960757E-2</v>
      </c>
      <c r="AG433" s="2">
        <v>2.907648108833864E-2</v>
      </c>
      <c r="AH433" s="2">
        <v>2.3947340281307013E-2</v>
      </c>
      <c r="AI433" s="2">
        <v>1.8237590024705732E-2</v>
      </c>
      <c r="AJ433" s="2">
        <v>6.9952895299989024E-3</v>
      </c>
      <c r="AK433" s="2">
        <v>0</v>
      </c>
      <c r="AL433" s="2">
        <v>0</v>
      </c>
      <c r="AM433" s="2">
        <v>0</v>
      </c>
      <c r="AN433" s="2">
        <v>0</v>
      </c>
      <c r="AO433" s="2">
        <v>0</v>
      </c>
      <c r="AP433" s="2">
        <v>0</v>
      </c>
      <c r="AQ433" s="2">
        <v>0</v>
      </c>
      <c r="AR433" s="2">
        <v>0.33938290598015641</v>
      </c>
    </row>
    <row r="434" spans="1:44" x14ac:dyDescent="0.25">
      <c r="A434" t="s">
        <v>250</v>
      </c>
      <c r="B434" t="s">
        <v>259</v>
      </c>
      <c r="C434" t="s">
        <v>43</v>
      </c>
      <c r="D434" t="s">
        <v>260</v>
      </c>
      <c r="E434" t="s">
        <v>134</v>
      </c>
      <c r="F434" t="s">
        <v>260</v>
      </c>
      <c r="G434" t="s">
        <v>31</v>
      </c>
      <c r="H434" t="s">
        <v>253</v>
      </c>
      <c r="I434" t="s">
        <v>256</v>
      </c>
      <c r="J434" t="s">
        <v>39</v>
      </c>
      <c r="K434" t="s">
        <v>31</v>
      </c>
      <c r="L434">
        <v>44.645800000000001</v>
      </c>
      <c r="M434">
        <v>0</v>
      </c>
      <c r="N434">
        <v>0.69825038137686057</v>
      </c>
      <c r="O434">
        <v>2.6815242338601144</v>
      </c>
      <c r="P434">
        <v>1.125330756000142</v>
      </c>
      <c r="Q434">
        <v>0.4672931329656026</v>
      </c>
      <c r="R434">
        <v>-0.41315642340441067</v>
      </c>
      <c r="S434" s="2">
        <v>9.578349546831385E-4</v>
      </c>
      <c r="T434" s="2">
        <v>1.9067991862854966E-3</v>
      </c>
      <c r="U434" s="2">
        <v>3.371727309380762E-3</v>
      </c>
      <c r="V434" s="2">
        <v>5.4620898375501679E-3</v>
      </c>
      <c r="W434" s="2">
        <v>8.2566976440327025E-3</v>
      </c>
      <c r="X434" s="2">
        <v>1.1776871341398681E-2</v>
      </c>
      <c r="Y434" s="2">
        <v>1.595409811451098E-2</v>
      </c>
      <c r="Z434" s="2">
        <v>2.0597476049154299E-2</v>
      </c>
      <c r="AA434" s="2">
        <v>2.5371078273880972E-2</v>
      </c>
      <c r="AB434" s="2">
        <v>2.9795862255603836E-2</v>
      </c>
      <c r="AC434" s="2">
        <v>3.3291962098982802E-2</v>
      </c>
      <c r="AD434" s="2">
        <v>3.5271172369516407E-2</v>
      </c>
      <c r="AE434" s="2">
        <v>3.527320931186672E-2</v>
      </c>
      <c r="AF434" s="2">
        <v>3.3114619593131896E-2</v>
      </c>
      <c r="AG434" s="2">
        <v>2.8995784778625706E-2</v>
      </c>
      <c r="AH434" s="2">
        <v>2.3880878938124867E-2</v>
      </c>
      <c r="AI434" s="2">
        <v>1.8186975020483599E-2</v>
      </c>
      <c r="AJ434" s="2">
        <v>6.9758754183416498E-3</v>
      </c>
      <c r="AK434" s="2">
        <v>0</v>
      </c>
      <c r="AL434" s="2">
        <v>0</v>
      </c>
      <c r="AM434" s="2">
        <v>0</v>
      </c>
      <c r="AN434" s="2">
        <v>0</v>
      </c>
      <c r="AO434" s="2">
        <v>0</v>
      </c>
      <c r="AP434" s="2">
        <v>0</v>
      </c>
      <c r="AQ434" s="2">
        <v>0</v>
      </c>
      <c r="AR434" s="2">
        <v>0.33844101249555464</v>
      </c>
    </row>
    <row r="435" spans="1:44" x14ac:dyDescent="0.25">
      <c r="A435" t="s">
        <v>250</v>
      </c>
      <c r="B435" t="s">
        <v>259</v>
      </c>
      <c r="C435" t="s">
        <v>43</v>
      </c>
      <c r="D435" t="s">
        <v>260</v>
      </c>
      <c r="E435" t="s">
        <v>134</v>
      </c>
      <c r="F435" t="s">
        <v>260</v>
      </c>
      <c r="G435" t="s">
        <v>31</v>
      </c>
      <c r="H435" t="s">
        <v>252</v>
      </c>
      <c r="I435" t="s">
        <v>135</v>
      </c>
      <c r="J435" t="s">
        <v>39</v>
      </c>
      <c r="K435" t="s">
        <v>31</v>
      </c>
      <c r="L435">
        <v>44.645800000000001</v>
      </c>
      <c r="M435">
        <v>0</v>
      </c>
      <c r="N435">
        <v>0.81670651997087551</v>
      </c>
      <c r="O435">
        <v>3.1364369911764678</v>
      </c>
      <c r="P435">
        <v>0.87892520177383748</v>
      </c>
      <c r="Q435">
        <v>2.0801417060437122</v>
      </c>
      <c r="R435">
        <v>-0.65956197763071533</v>
      </c>
      <c r="S435" s="2">
        <v>5.1537241373099452E-2</v>
      </c>
      <c r="T435" s="2">
        <v>0.10263839268877714</v>
      </c>
      <c r="U435" s="2">
        <v>0.18156482941024041</v>
      </c>
      <c r="V435" s="2">
        <v>0.29424732222678962</v>
      </c>
      <c r="W435" s="2">
        <v>0.44497381949936282</v>
      </c>
      <c r="X435" s="2">
        <v>0.63493958940463424</v>
      </c>
      <c r="Y435" s="2">
        <v>0.8604965486324726</v>
      </c>
      <c r="Z435" s="2">
        <v>1.111386913475922</v>
      </c>
      <c r="AA435" s="2">
        <v>1.3695080685805017</v>
      </c>
      <c r="AB435" s="2">
        <v>1.6089999327189752</v>
      </c>
      <c r="AC435" s="2">
        <v>1.7985141438334573</v>
      </c>
      <c r="AD435" s="2">
        <v>1.9062012906082848</v>
      </c>
      <c r="AE435" s="2">
        <v>1.9070770392417715</v>
      </c>
      <c r="AF435" s="2">
        <v>1.7910900870646416</v>
      </c>
      <c r="AG435" s="2">
        <v>1.5689421309858718</v>
      </c>
      <c r="AH435" s="2">
        <v>1.2926970649020082</v>
      </c>
      <c r="AI435" s="2">
        <v>0.98487547734731296</v>
      </c>
      <c r="AJ435" s="2">
        <v>0.47680827919968233</v>
      </c>
      <c r="AK435" s="2">
        <v>0</v>
      </c>
      <c r="AL435" s="2">
        <v>0</v>
      </c>
      <c r="AM435" s="2">
        <v>0</v>
      </c>
      <c r="AN435" s="2">
        <v>0</v>
      </c>
      <c r="AO435" s="2">
        <v>0</v>
      </c>
      <c r="AP435" s="2">
        <v>0</v>
      </c>
      <c r="AQ435" s="2">
        <v>0</v>
      </c>
      <c r="AR435" s="2">
        <v>18.386498171193807</v>
      </c>
    </row>
    <row r="436" spans="1:44" x14ac:dyDescent="0.25">
      <c r="A436" t="s">
        <v>250</v>
      </c>
      <c r="B436" t="s">
        <v>259</v>
      </c>
      <c r="C436" t="s">
        <v>43</v>
      </c>
      <c r="D436" t="s">
        <v>260</v>
      </c>
      <c r="E436" t="s">
        <v>134</v>
      </c>
      <c r="F436" t="s">
        <v>260</v>
      </c>
      <c r="G436" t="s">
        <v>31</v>
      </c>
      <c r="H436" t="s">
        <v>255</v>
      </c>
      <c r="I436" t="s">
        <v>135</v>
      </c>
      <c r="J436" t="s">
        <v>39</v>
      </c>
      <c r="K436" t="s">
        <v>31</v>
      </c>
      <c r="L436">
        <v>44.645800000000001</v>
      </c>
      <c r="M436">
        <v>0</v>
      </c>
      <c r="N436">
        <v>0.81670651997087551</v>
      </c>
      <c r="O436">
        <v>3.1364369911764678</v>
      </c>
      <c r="P436">
        <v>0.87892520177383748</v>
      </c>
      <c r="Q436">
        <v>2.0801417060437122</v>
      </c>
      <c r="R436">
        <v>-0.65956197763071533</v>
      </c>
      <c r="S436" s="2">
        <v>3.0484648496137421E-3</v>
      </c>
      <c r="T436" s="2">
        <v>6.0388381482775529E-3</v>
      </c>
      <c r="U436" s="2">
        <v>1.0625730521794293E-2</v>
      </c>
      <c r="V436" s="2">
        <v>1.7128649205196505E-2</v>
      </c>
      <c r="W436" s="2">
        <v>2.5764907022146621E-2</v>
      </c>
      <c r="X436" s="2">
        <v>3.6568744570695658E-2</v>
      </c>
      <c r="Y436" s="2">
        <v>4.9295843371920965E-2</v>
      </c>
      <c r="Z436" s="2">
        <v>6.3330070455363291E-2</v>
      </c>
      <c r="AA436" s="2">
        <v>7.762342689947424E-2</v>
      </c>
      <c r="AB436" s="2">
        <v>9.071263173316492E-2</v>
      </c>
      <c r="AC436" s="2">
        <v>0.10085771449851565</v>
      </c>
      <c r="AD436" s="2">
        <v>0.10632797635608401</v>
      </c>
      <c r="AE436" s="2">
        <v>0.10581093467374508</v>
      </c>
      <c r="AF436" s="2">
        <v>9.8846948725113015E-2</v>
      </c>
      <c r="AG436" s="2">
        <v>8.6126398509923582E-2</v>
      </c>
      <c r="AH436" s="2">
        <v>7.0584549721380854E-2</v>
      </c>
      <c r="AI436" s="2">
        <v>8.2017186006249406E-3</v>
      </c>
      <c r="AJ436" s="2">
        <v>0</v>
      </c>
      <c r="AK436" s="2">
        <v>0</v>
      </c>
      <c r="AL436" s="2">
        <v>0</v>
      </c>
      <c r="AM436" s="2">
        <v>0</v>
      </c>
      <c r="AN436" s="2">
        <v>0</v>
      </c>
      <c r="AO436" s="2">
        <v>0</v>
      </c>
      <c r="AP436" s="2">
        <v>0</v>
      </c>
      <c r="AQ436" s="2">
        <v>0</v>
      </c>
      <c r="AR436" s="2">
        <v>0.95689354786303482</v>
      </c>
    </row>
    <row r="437" spans="1:44" x14ac:dyDescent="0.25">
      <c r="A437" t="s">
        <v>250</v>
      </c>
      <c r="B437" t="s">
        <v>320</v>
      </c>
      <c r="C437" t="s">
        <v>44</v>
      </c>
      <c r="D437" t="s">
        <v>187</v>
      </c>
      <c r="E437" t="s">
        <v>134</v>
      </c>
      <c r="F437" t="s">
        <v>187</v>
      </c>
      <c r="G437" t="s">
        <v>31</v>
      </c>
      <c r="H437" t="s">
        <v>253</v>
      </c>
      <c r="I437" t="s">
        <v>135</v>
      </c>
      <c r="J437" t="s">
        <v>39</v>
      </c>
      <c r="K437" t="s">
        <v>31</v>
      </c>
      <c r="L437">
        <v>8.1058333333333348</v>
      </c>
      <c r="M437">
        <v>1</v>
      </c>
      <c r="N437">
        <v>3.7873058908027946</v>
      </c>
      <c r="O437">
        <v>5.375660204303025</v>
      </c>
      <c r="P437">
        <v>-1.6353884600453192</v>
      </c>
      <c r="Q437">
        <v>0.76881846021619471</v>
      </c>
      <c r="R437">
        <v>-1.8625523936223536</v>
      </c>
      <c r="S437" s="2">
        <v>5.5925043331099787E-2</v>
      </c>
      <c r="T437" s="2">
        <v>0.11133215236647852</v>
      </c>
      <c r="U437" s="2">
        <v>0.19686480949126611</v>
      </c>
      <c r="V437" s="2">
        <v>0.31891466201962176</v>
      </c>
      <c r="W437" s="2">
        <v>0.48208323496303396</v>
      </c>
      <c r="X437" s="2">
        <v>0.68761537345480095</v>
      </c>
      <c r="Y437" s="2">
        <v>0.9315108244904301</v>
      </c>
      <c r="Z437" s="2">
        <v>1.2026234111922856</v>
      </c>
      <c r="AA437" s="2">
        <v>1.4813393945232425</v>
      </c>
      <c r="AB437" s="2">
        <v>1.7396889511965719</v>
      </c>
      <c r="AC437" s="2">
        <v>1.9438154912386401</v>
      </c>
      <c r="AD437" s="2">
        <v>2.0593755045788984</v>
      </c>
      <c r="AE437" s="2">
        <v>2.0594944353911924</v>
      </c>
      <c r="AF437" s="2">
        <v>1.9334610066004816</v>
      </c>
      <c r="AG437" s="2">
        <v>1.6929748828182256</v>
      </c>
      <c r="AH437" s="2">
        <v>1.394331228850582</v>
      </c>
      <c r="AI437" s="2">
        <v>1.0618816541505778</v>
      </c>
      <c r="AJ437" s="2">
        <v>0.40729995615180919</v>
      </c>
      <c r="AK437" s="2">
        <v>0</v>
      </c>
      <c r="AL437" s="2">
        <v>0</v>
      </c>
      <c r="AM437" s="2">
        <v>0</v>
      </c>
      <c r="AN437" s="2">
        <v>0</v>
      </c>
      <c r="AO437" s="2">
        <v>0</v>
      </c>
      <c r="AP437" s="2">
        <v>0</v>
      </c>
      <c r="AQ437" s="2">
        <v>0</v>
      </c>
      <c r="AR437" s="2">
        <v>19.76053201680924</v>
      </c>
    </row>
    <row r="438" spans="1:44" x14ac:dyDescent="0.25">
      <c r="A438" t="s">
        <v>250</v>
      </c>
      <c r="B438" t="s">
        <v>320</v>
      </c>
      <c r="C438" t="s">
        <v>44</v>
      </c>
      <c r="D438" t="s">
        <v>187</v>
      </c>
      <c r="E438" t="s">
        <v>134</v>
      </c>
      <c r="F438" t="s">
        <v>187</v>
      </c>
      <c r="G438" t="s">
        <v>31</v>
      </c>
      <c r="H438" t="s">
        <v>253</v>
      </c>
      <c r="I438" t="s">
        <v>135</v>
      </c>
      <c r="J438" t="s">
        <v>40</v>
      </c>
      <c r="K438" t="s">
        <v>31</v>
      </c>
      <c r="L438">
        <v>8.1058333333333348</v>
      </c>
      <c r="M438">
        <v>1</v>
      </c>
      <c r="N438">
        <v>3.7873058908027946</v>
      </c>
      <c r="O438">
        <v>4.1746294160814506</v>
      </c>
      <c r="P438">
        <v>-1.6353884600453192</v>
      </c>
      <c r="Q438">
        <v>0.4672931329656026</v>
      </c>
      <c r="R438">
        <v>-1.7195523936223529</v>
      </c>
      <c r="S438" s="2">
        <v>2.9417735135085811E-2</v>
      </c>
      <c r="T438" s="2">
        <v>5.856302606590532E-2</v>
      </c>
      <c r="U438" s="2">
        <v>0.10355498141943602</v>
      </c>
      <c r="V438" s="2">
        <v>0.16775574052656078</v>
      </c>
      <c r="W438" s="2">
        <v>0.25358580118115714</v>
      </c>
      <c r="X438" s="2">
        <v>0.36169997779613072</v>
      </c>
      <c r="Y438" s="2">
        <v>0.48999405415008707</v>
      </c>
      <c r="Z438" s="2">
        <v>0.63260490954388171</v>
      </c>
      <c r="AA438" s="2">
        <v>0.77921530959314766</v>
      </c>
      <c r="AB438" s="2">
        <v>0.91511254592584557</v>
      </c>
      <c r="AC438" s="2">
        <v>1.0224873485423995</v>
      </c>
      <c r="AD438" s="2">
        <v>1.0832743173521355</v>
      </c>
      <c r="AE438" s="2">
        <v>1.0833368774312535</v>
      </c>
      <c r="AF438" s="2">
        <v>1.0170406744157072</v>
      </c>
      <c r="AG438" s="2">
        <v>0.89053997505628923</v>
      </c>
      <c r="AH438" s="2">
        <v>0.7334472060765499</v>
      </c>
      <c r="AI438" s="2">
        <v>0.55857182017125107</v>
      </c>
      <c r="AJ438" s="2">
        <v>0.2142482422350318</v>
      </c>
      <c r="AK438" s="2">
        <v>0</v>
      </c>
      <c r="AL438" s="2">
        <v>0</v>
      </c>
      <c r="AM438" s="2">
        <v>0</v>
      </c>
      <c r="AN438" s="2">
        <v>0</v>
      </c>
      <c r="AO438" s="2">
        <v>0</v>
      </c>
      <c r="AP438" s="2">
        <v>0</v>
      </c>
      <c r="AQ438" s="2">
        <v>0</v>
      </c>
      <c r="AR438" s="2">
        <v>10.394450542617856</v>
      </c>
    </row>
    <row r="439" spans="1:44" x14ac:dyDescent="0.25">
      <c r="A439" t="s">
        <v>250</v>
      </c>
      <c r="B439" t="s">
        <v>320</v>
      </c>
      <c r="C439" t="s">
        <v>44</v>
      </c>
      <c r="D439" t="s">
        <v>187</v>
      </c>
      <c r="E439" t="s">
        <v>134</v>
      </c>
      <c r="F439" t="s">
        <v>187</v>
      </c>
      <c r="G439" t="s">
        <v>31</v>
      </c>
      <c r="H439" t="s">
        <v>253</v>
      </c>
      <c r="I439" t="s">
        <v>256</v>
      </c>
      <c r="J439" t="s">
        <v>39</v>
      </c>
      <c r="K439" t="s">
        <v>31</v>
      </c>
      <c r="L439">
        <v>8.1058333333333348</v>
      </c>
      <c r="M439">
        <v>1</v>
      </c>
      <c r="N439">
        <v>1.8844679296312008</v>
      </c>
      <c r="O439">
        <v>2.6747929920855817</v>
      </c>
      <c r="P439">
        <v>-0.17245150869645037</v>
      </c>
      <c r="Q439">
        <v>0.4672931329656026</v>
      </c>
      <c r="R439">
        <v>-0.3996154422734845</v>
      </c>
      <c r="S439" s="2">
        <v>2.9336091738888678E-2</v>
      </c>
      <c r="T439" s="2">
        <v>5.8400495391207015E-2</v>
      </c>
      <c r="U439" s="2">
        <v>0.10326758402676153</v>
      </c>
      <c r="V439" s="2">
        <v>0.16729016599047702</v>
      </c>
      <c r="W439" s="2">
        <v>0.25288202143942212</v>
      </c>
      <c r="X439" s="2">
        <v>0.3606961474721409</v>
      </c>
      <c r="Y439" s="2">
        <v>0.48863416772397317</v>
      </c>
      <c r="Z439" s="2">
        <v>0.63084923348557975</v>
      </c>
      <c r="AA439" s="2">
        <v>0.77705274391799106</v>
      </c>
      <c r="AB439" s="2">
        <v>0.91257282300669795</v>
      </c>
      <c r="AC439" s="2">
        <v>1.0196496270345994</v>
      </c>
      <c r="AD439" s="2">
        <v>1.0802678930344365</v>
      </c>
      <c r="AE439" s="2">
        <v>1.0803302794898098</v>
      </c>
      <c r="AF439" s="2">
        <v>1.014218069128501</v>
      </c>
      <c r="AG439" s="2">
        <v>0.88806844869033885</v>
      </c>
      <c r="AH439" s="2">
        <v>0.73141166117275558</v>
      </c>
      <c r="AI439" s="2">
        <v>0.55702160904148912</v>
      </c>
      <c r="AJ439" s="2">
        <v>0.2136536364965175</v>
      </c>
      <c r="AK439" s="2">
        <v>0</v>
      </c>
      <c r="AL439" s="2">
        <v>0</v>
      </c>
      <c r="AM439" s="2">
        <v>0</v>
      </c>
      <c r="AN439" s="2">
        <v>0</v>
      </c>
      <c r="AO439" s="2">
        <v>0</v>
      </c>
      <c r="AP439" s="2">
        <v>0</v>
      </c>
      <c r="AQ439" s="2">
        <v>0</v>
      </c>
      <c r="AR439" s="2">
        <v>10.365602698281588</v>
      </c>
    </row>
    <row r="440" spans="1:44" x14ac:dyDescent="0.25">
      <c r="A440" t="s">
        <v>250</v>
      </c>
      <c r="B440" t="s">
        <v>321</v>
      </c>
      <c r="C440" t="s">
        <v>44</v>
      </c>
      <c r="D440" t="s">
        <v>187</v>
      </c>
      <c r="E440" t="s">
        <v>134</v>
      </c>
      <c r="F440" t="s">
        <v>187</v>
      </c>
      <c r="G440" t="s">
        <v>31</v>
      </c>
      <c r="H440" t="s">
        <v>252</v>
      </c>
      <c r="I440" t="s">
        <v>135</v>
      </c>
      <c r="J440" t="s">
        <v>39</v>
      </c>
      <c r="K440" t="s">
        <v>31</v>
      </c>
      <c r="L440">
        <v>5.53</v>
      </c>
      <c r="M440">
        <v>1</v>
      </c>
      <c r="N440">
        <v>2.9727795060322202</v>
      </c>
      <c r="O440">
        <v>5.4421202420407457</v>
      </c>
      <c r="P440">
        <v>-1.4126267988180814</v>
      </c>
      <c r="Q440">
        <v>0.99158012144343133</v>
      </c>
      <c r="R440">
        <v>-1.8625523936223525</v>
      </c>
      <c r="S440" s="2">
        <v>3.048296709462378E-3</v>
      </c>
      <c r="T440" s="2">
        <v>6.0707998015007173E-3</v>
      </c>
      <c r="U440" s="2">
        <v>1.0739097733978088E-2</v>
      </c>
      <c r="V440" s="2">
        <v>1.7403980504478764E-2</v>
      </c>
      <c r="W440" s="2">
        <v>2.6319069349427994E-2</v>
      </c>
      <c r="X440" s="2">
        <v>3.7555061340551144E-2</v>
      </c>
      <c r="Y440" s="2">
        <v>5.0896181631274399E-2</v>
      </c>
      <c r="Z440" s="2">
        <v>6.5735708412529209E-2</v>
      </c>
      <c r="AA440" s="2">
        <v>8.1002918041615316E-2</v>
      </c>
      <c r="AB440" s="2">
        <v>9.5168252505507964E-2</v>
      </c>
      <c r="AC440" s="2">
        <v>0.10637753594298296</v>
      </c>
      <c r="AD440" s="2">
        <v>0.112746956703956</v>
      </c>
      <c r="AE440" s="2">
        <v>0.11279875500760303</v>
      </c>
      <c r="AF440" s="2">
        <v>0.10593842187291837</v>
      </c>
      <c r="AG440" s="2">
        <v>9.2798935445494529E-2</v>
      </c>
      <c r="AH440" s="2">
        <v>7.6459742591680036E-2</v>
      </c>
      <c r="AI440" s="2">
        <v>5.8252878827834163E-2</v>
      </c>
      <c r="AJ440" s="2">
        <v>2.8201996649503697E-2</v>
      </c>
      <c r="AK440" s="2">
        <v>0</v>
      </c>
      <c r="AL440" s="2">
        <v>0</v>
      </c>
      <c r="AM440" s="2">
        <v>0</v>
      </c>
      <c r="AN440" s="2">
        <v>0</v>
      </c>
      <c r="AO440" s="2">
        <v>0</v>
      </c>
      <c r="AP440" s="2">
        <v>0</v>
      </c>
      <c r="AQ440" s="2">
        <v>0</v>
      </c>
      <c r="AR440" s="2">
        <v>1.0875145890722988</v>
      </c>
    </row>
    <row r="441" spans="1:44" x14ac:dyDescent="0.25">
      <c r="A441" t="s">
        <v>250</v>
      </c>
      <c r="B441" t="s">
        <v>315</v>
      </c>
      <c r="C441" t="s">
        <v>44</v>
      </c>
      <c r="D441" t="s">
        <v>187</v>
      </c>
      <c r="E441" t="s">
        <v>134</v>
      </c>
      <c r="F441" t="s">
        <v>187</v>
      </c>
      <c r="G441" t="s">
        <v>31</v>
      </c>
      <c r="H441" t="s">
        <v>288</v>
      </c>
      <c r="I441" t="s">
        <v>135</v>
      </c>
      <c r="J441" t="s">
        <v>39</v>
      </c>
      <c r="K441" t="s">
        <v>31</v>
      </c>
      <c r="L441">
        <v>8.1058333333333348</v>
      </c>
      <c r="M441">
        <v>1</v>
      </c>
      <c r="N441">
        <v>3.857794741759645</v>
      </c>
      <c r="O441">
        <v>5.4757113018011117</v>
      </c>
      <c r="P441">
        <v>-1.6353884600453192</v>
      </c>
      <c r="Q441">
        <v>0.7688184602161946</v>
      </c>
      <c r="R441">
        <v>-1.8625523936223536</v>
      </c>
      <c r="S441" s="2">
        <v>3.8587530222975591E-2</v>
      </c>
      <c r="T441" s="2">
        <v>7.6902540060890645E-2</v>
      </c>
      <c r="U441" s="2">
        <v>0.13613431053310204</v>
      </c>
      <c r="V441" s="2">
        <v>0.22077679146630591</v>
      </c>
      <c r="W441" s="2">
        <v>0.33410300804900472</v>
      </c>
      <c r="X441" s="2">
        <v>0.47707137718288967</v>
      </c>
      <c r="Y441" s="2">
        <v>0.64700124288173066</v>
      </c>
      <c r="Z441" s="2">
        <v>0.83623104925803182</v>
      </c>
      <c r="AA441" s="2">
        <v>1.0311708641045554</v>
      </c>
      <c r="AB441" s="2">
        <v>1.2123474186974241</v>
      </c>
      <c r="AC441" s="2">
        <v>1.3560944910275159</v>
      </c>
      <c r="AD441" s="2">
        <v>1.4383013278970902</v>
      </c>
      <c r="AE441" s="2">
        <v>1.4399731277601246</v>
      </c>
      <c r="AF441" s="2">
        <v>1.3533452668726749</v>
      </c>
      <c r="AG441" s="2">
        <v>1.1863234945134553</v>
      </c>
      <c r="AH441" s="2">
        <v>0.97813319278392596</v>
      </c>
      <c r="AI441" s="2">
        <v>0.74574025362779173</v>
      </c>
      <c r="AJ441" s="2">
        <v>0.49232599659108933</v>
      </c>
      <c r="AK441" s="2">
        <v>0</v>
      </c>
      <c r="AL441" s="2">
        <v>0</v>
      </c>
      <c r="AM441" s="2">
        <v>0</v>
      </c>
      <c r="AN441" s="2">
        <v>0</v>
      </c>
      <c r="AO441" s="2">
        <v>0</v>
      </c>
      <c r="AP441" s="2">
        <v>0</v>
      </c>
      <c r="AQ441" s="2">
        <v>0</v>
      </c>
      <c r="AR441" s="2">
        <v>14.000563283530578</v>
      </c>
    </row>
    <row r="442" spans="1:44" x14ac:dyDescent="0.25">
      <c r="A442" t="s">
        <v>250</v>
      </c>
      <c r="B442" t="s">
        <v>315</v>
      </c>
      <c r="C442" t="s">
        <v>44</v>
      </c>
      <c r="D442" t="s">
        <v>187</v>
      </c>
      <c r="E442" t="s">
        <v>134</v>
      </c>
      <c r="F442" t="s">
        <v>187</v>
      </c>
      <c r="G442" t="s">
        <v>31</v>
      </c>
      <c r="H442" t="s">
        <v>288</v>
      </c>
      <c r="I442" t="s">
        <v>135</v>
      </c>
      <c r="J442" t="s">
        <v>39</v>
      </c>
      <c r="K442" t="s">
        <v>33</v>
      </c>
      <c r="L442">
        <v>8.1058333333333348</v>
      </c>
      <c r="M442">
        <v>1</v>
      </c>
      <c r="N442">
        <v>3.857794741759645</v>
      </c>
      <c r="O442">
        <v>5.4757113018011117</v>
      </c>
      <c r="P442">
        <v>-1.6353884600453192</v>
      </c>
      <c r="Q442">
        <v>0.7688184602161946</v>
      </c>
      <c r="R442">
        <v>-1.8625523936223536</v>
      </c>
      <c r="S442" s="2">
        <v>3.6299727168346863E-4</v>
      </c>
      <c r="T442" s="2">
        <v>7.2343091320757039E-4</v>
      </c>
      <c r="U442" s="2">
        <v>1.2806308934642022E-3</v>
      </c>
      <c r="V442" s="2">
        <v>2.0768723079763679E-3</v>
      </c>
      <c r="W442" s="2">
        <v>3.1429448757727867E-3</v>
      </c>
      <c r="X442" s="2">
        <v>4.4878645333085521E-3</v>
      </c>
      <c r="Y442" s="2">
        <v>6.0864140458008016E-3</v>
      </c>
      <c r="Z442" s="2">
        <v>7.8665202883840407E-3</v>
      </c>
      <c r="AA442" s="2">
        <v>9.7003412280210494E-3</v>
      </c>
      <c r="AB442" s="2">
        <v>1.1404689618037056E-2</v>
      </c>
      <c r="AC442" s="2">
        <v>1.2756934624825305E-2</v>
      </c>
      <c r="AD442" s="2">
        <v>1.3530263659488836E-2</v>
      </c>
      <c r="AE442" s="2">
        <v>1.3545990470341347E-2</v>
      </c>
      <c r="AF442" s="2">
        <v>1.2731072361506382E-2</v>
      </c>
      <c r="AG442" s="2">
        <v>1.1159879612766144E-2</v>
      </c>
      <c r="AH442" s="2">
        <v>9.2014098407417026E-3</v>
      </c>
      <c r="AI442" s="2">
        <v>7.0152631144619511E-3</v>
      </c>
      <c r="AJ442" s="2">
        <v>4.6313664675797514E-3</v>
      </c>
      <c r="AK442" s="2">
        <v>0</v>
      </c>
      <c r="AL442" s="2">
        <v>0</v>
      </c>
      <c r="AM442" s="2">
        <v>0</v>
      </c>
      <c r="AN442" s="2">
        <v>0</v>
      </c>
      <c r="AO442" s="2">
        <v>0</v>
      </c>
      <c r="AP442" s="2">
        <v>0</v>
      </c>
      <c r="AQ442" s="2">
        <v>0</v>
      </c>
      <c r="AR442" s="2">
        <v>0.1317048861273673</v>
      </c>
    </row>
    <row r="443" spans="1:44" x14ac:dyDescent="0.25">
      <c r="A443" t="s">
        <v>250</v>
      </c>
      <c r="B443" t="s">
        <v>315</v>
      </c>
      <c r="C443" t="s">
        <v>44</v>
      </c>
      <c r="D443" t="s">
        <v>187</v>
      </c>
      <c r="E443" t="s">
        <v>134</v>
      </c>
      <c r="F443" t="s">
        <v>187</v>
      </c>
      <c r="G443" t="s">
        <v>31</v>
      </c>
      <c r="H443" t="s">
        <v>289</v>
      </c>
      <c r="I443" t="s">
        <v>135</v>
      </c>
      <c r="J443" t="s">
        <v>39</v>
      </c>
      <c r="K443" t="s">
        <v>31</v>
      </c>
      <c r="L443">
        <v>8.1058333333333348</v>
      </c>
      <c r="M443">
        <v>1</v>
      </c>
      <c r="N443">
        <v>3.857794741759645</v>
      </c>
      <c r="O443">
        <v>5.4757113018011117</v>
      </c>
      <c r="P443">
        <v>-1.6353884600453192</v>
      </c>
      <c r="Q443">
        <v>0.7688184602161946</v>
      </c>
      <c r="R443">
        <v>-1.8625523936223536</v>
      </c>
      <c r="S443" s="2">
        <v>3.6675774777486479E-2</v>
      </c>
      <c r="T443" s="2">
        <v>7.3092530742237385E-2</v>
      </c>
      <c r="U443" s="2">
        <v>0.12938976098624866</v>
      </c>
      <c r="V443" s="2">
        <v>0.20983877001522028</v>
      </c>
      <c r="W443" s="2">
        <v>0.31755042639111808</v>
      </c>
      <c r="X443" s="2">
        <v>0.45343566383336503</v>
      </c>
      <c r="Y443" s="2">
        <v>0.61494663502862446</v>
      </c>
      <c r="Z443" s="2">
        <v>0.79480136322038408</v>
      </c>
      <c r="AA443" s="2">
        <v>0.98008320694457951</v>
      </c>
      <c r="AB443" s="2">
        <v>1.1522836684100457</v>
      </c>
      <c r="AC443" s="2">
        <v>1.2889090294849159</v>
      </c>
      <c r="AD443" s="2">
        <v>1.3670430644121607</v>
      </c>
      <c r="AE443" s="2">
        <v>1.3686320377124825</v>
      </c>
      <c r="AF443" s="2">
        <v>1.2862960110996207</v>
      </c>
      <c r="AG443" s="2">
        <v>1.1275490565630994</v>
      </c>
      <c r="AH443" s="2">
        <v>0.92967319944118199</v>
      </c>
      <c r="AI443" s="2">
        <v>0.70879378458571551</v>
      </c>
      <c r="AJ443" s="2">
        <v>0.46793451832077682</v>
      </c>
      <c r="AK443" s="2">
        <v>0</v>
      </c>
      <c r="AL443" s="2">
        <v>0</v>
      </c>
      <c r="AM443" s="2">
        <v>0</v>
      </c>
      <c r="AN443" s="2">
        <v>0</v>
      </c>
      <c r="AO443" s="2">
        <v>0</v>
      </c>
      <c r="AP443" s="2">
        <v>0</v>
      </c>
      <c r="AQ443" s="2">
        <v>0</v>
      </c>
      <c r="AR443" s="2">
        <v>13.306928501969264</v>
      </c>
    </row>
    <row r="444" spans="1:44" x14ac:dyDescent="0.25">
      <c r="A444" t="s">
        <v>250</v>
      </c>
      <c r="B444" t="s">
        <v>315</v>
      </c>
      <c r="C444" t="s">
        <v>44</v>
      </c>
      <c r="D444" t="s">
        <v>187</v>
      </c>
      <c r="E444" t="s">
        <v>134</v>
      </c>
      <c r="F444" t="s">
        <v>187</v>
      </c>
      <c r="G444" t="s">
        <v>31</v>
      </c>
      <c r="H444" t="s">
        <v>290</v>
      </c>
      <c r="I444" t="s">
        <v>135</v>
      </c>
      <c r="J444" t="s">
        <v>39</v>
      </c>
      <c r="K444" t="s">
        <v>31</v>
      </c>
      <c r="L444">
        <v>8.1058333333333348</v>
      </c>
      <c r="M444">
        <v>1</v>
      </c>
      <c r="N444">
        <v>3.857794741759645</v>
      </c>
      <c r="O444">
        <v>5.4757113018011117</v>
      </c>
      <c r="P444">
        <v>-1.6353884600453192</v>
      </c>
      <c r="Q444">
        <v>0.7688184602161946</v>
      </c>
      <c r="R444">
        <v>-1.8625523936223536</v>
      </c>
      <c r="S444" s="2">
        <v>5.3109019853597672E-2</v>
      </c>
      <c r="T444" s="2">
        <v>0.10584296282466214</v>
      </c>
      <c r="U444" s="2">
        <v>0.18736518660511536</v>
      </c>
      <c r="V444" s="2">
        <v>0.30386083103645367</v>
      </c>
      <c r="W444" s="2">
        <v>0.45983464567670923</v>
      </c>
      <c r="X444" s="2">
        <v>0.65660572459502398</v>
      </c>
      <c r="Y444" s="2">
        <v>0.89048461134858536</v>
      </c>
      <c r="Z444" s="2">
        <v>1.1509265076207549</v>
      </c>
      <c r="AA444" s="2">
        <v>1.4192272368230689</v>
      </c>
      <c r="AB444" s="2">
        <v>1.6685852335458016</v>
      </c>
      <c r="AC444" s="2">
        <v>1.8664280618937485</v>
      </c>
      <c r="AD444" s="2">
        <v>1.9795714661536086</v>
      </c>
      <c r="AE444" s="2">
        <v>1.9818724077169596</v>
      </c>
      <c r="AF444" s="2">
        <v>1.8626442332999575</v>
      </c>
      <c r="AG444" s="2">
        <v>1.6327678309245781</v>
      </c>
      <c r="AH444" s="2">
        <v>1.3462301125479639</v>
      </c>
      <c r="AI444" s="2">
        <v>1.0263816758078919</v>
      </c>
      <c r="AJ444" s="2">
        <v>0.67760105340532995</v>
      </c>
      <c r="AK444" s="2">
        <v>0</v>
      </c>
      <c r="AL444" s="2">
        <v>0</v>
      </c>
      <c r="AM444" s="2">
        <v>0</v>
      </c>
      <c r="AN444" s="2">
        <v>0</v>
      </c>
      <c r="AO444" s="2">
        <v>0</v>
      </c>
      <c r="AP444" s="2">
        <v>0</v>
      </c>
      <c r="AQ444" s="2">
        <v>0</v>
      </c>
      <c r="AR444" s="2">
        <v>19.269338801679812</v>
      </c>
    </row>
    <row r="445" spans="1:44" x14ac:dyDescent="0.25">
      <c r="A445" t="s">
        <v>250</v>
      </c>
      <c r="B445" t="s">
        <v>322</v>
      </c>
      <c r="C445" t="s">
        <v>44</v>
      </c>
      <c r="D445" t="s">
        <v>187</v>
      </c>
      <c r="E445" t="s">
        <v>134</v>
      </c>
      <c r="F445" t="s">
        <v>187</v>
      </c>
      <c r="G445" t="s">
        <v>31</v>
      </c>
      <c r="H445" t="s">
        <v>254</v>
      </c>
      <c r="I445" t="s">
        <v>135</v>
      </c>
      <c r="J445" t="s">
        <v>39</v>
      </c>
      <c r="K445" t="s">
        <v>31</v>
      </c>
      <c r="L445">
        <v>5.53</v>
      </c>
      <c r="M445">
        <v>1</v>
      </c>
      <c r="N445">
        <v>2.9560080832859934</v>
      </c>
      <c r="O445">
        <v>5.411417628870181</v>
      </c>
      <c r="P445">
        <v>-1.4126267988180841</v>
      </c>
      <c r="Q445">
        <v>0.99158012144343211</v>
      </c>
      <c r="R445">
        <v>-1.8625523936223547</v>
      </c>
      <c r="S445" s="2">
        <v>1.592333142782313E-2</v>
      </c>
      <c r="T445" s="2">
        <v>3.1686885850819184E-2</v>
      </c>
      <c r="U445" s="2">
        <v>5.6009074148353287E-2</v>
      </c>
      <c r="V445" s="2">
        <v>9.0697671563349944E-2</v>
      </c>
      <c r="W445" s="2">
        <v>0.13704873424593603</v>
      </c>
      <c r="X445" s="2">
        <v>0.1954024149785899</v>
      </c>
      <c r="Y445" s="2">
        <v>0.26460838587826019</v>
      </c>
      <c r="Z445" s="2">
        <v>0.34148898543888134</v>
      </c>
      <c r="AA445" s="2">
        <v>0.42046801795150768</v>
      </c>
      <c r="AB445" s="2">
        <v>0.4936070444989617</v>
      </c>
      <c r="AC445" s="2">
        <v>0.55131033184690481</v>
      </c>
      <c r="AD445" s="2">
        <v>0.58385900651860534</v>
      </c>
      <c r="AE445" s="2">
        <v>0.58366602357927755</v>
      </c>
      <c r="AF445" s="2">
        <v>0.54773508006816729</v>
      </c>
      <c r="AG445" s="2">
        <v>0.4794209435953648</v>
      </c>
      <c r="AH445" s="2">
        <v>0.39469696828090728</v>
      </c>
      <c r="AI445" s="2">
        <v>0.3004728958322665</v>
      </c>
      <c r="AJ445" s="2">
        <v>8.6047643367873336E-2</v>
      </c>
      <c r="AK445" s="2">
        <v>0</v>
      </c>
      <c r="AL445" s="2">
        <v>0</v>
      </c>
      <c r="AM445" s="2">
        <v>0</v>
      </c>
      <c r="AN445" s="2">
        <v>0</v>
      </c>
      <c r="AO445" s="2">
        <v>0</v>
      </c>
      <c r="AP445" s="2">
        <v>0</v>
      </c>
      <c r="AQ445" s="2">
        <v>0</v>
      </c>
      <c r="AR445" s="2">
        <v>5.5741494390718493</v>
      </c>
    </row>
    <row r="446" spans="1:44" x14ac:dyDescent="0.25">
      <c r="A446" t="s">
        <v>250</v>
      </c>
      <c r="B446" t="s">
        <v>322</v>
      </c>
      <c r="C446" t="s">
        <v>44</v>
      </c>
      <c r="D446" t="s">
        <v>187</v>
      </c>
      <c r="E446" t="s">
        <v>134</v>
      </c>
      <c r="F446" t="s">
        <v>187</v>
      </c>
      <c r="G446" t="s">
        <v>31</v>
      </c>
      <c r="H446" t="s">
        <v>255</v>
      </c>
      <c r="I446" t="s">
        <v>135</v>
      </c>
      <c r="J446" t="s">
        <v>39</v>
      </c>
      <c r="K446" t="s">
        <v>31</v>
      </c>
      <c r="L446">
        <v>5.53</v>
      </c>
      <c r="M446">
        <v>1</v>
      </c>
      <c r="N446">
        <v>2.9560080832859934</v>
      </c>
      <c r="O446">
        <v>5.411417628870181</v>
      </c>
      <c r="P446">
        <v>-1.4126267988180841</v>
      </c>
      <c r="Q446">
        <v>0.99158012144343211</v>
      </c>
      <c r="R446">
        <v>-1.8625523936223547</v>
      </c>
      <c r="S446" s="2">
        <v>3.3381469518215601E-3</v>
      </c>
      <c r="T446" s="2">
        <v>6.6126821700997025E-3</v>
      </c>
      <c r="U446" s="2">
        <v>1.1635446594274892E-2</v>
      </c>
      <c r="V446" s="2">
        <v>1.8756308815695313E-2</v>
      </c>
      <c r="W446" s="2">
        <v>2.8213231932407632E-2</v>
      </c>
      <c r="X446" s="2">
        <v>4.0043710274722755E-2</v>
      </c>
      <c r="Y446" s="2">
        <v>5.3980208861618091E-2</v>
      </c>
      <c r="Z446" s="2">
        <v>6.9348046337487479E-2</v>
      </c>
      <c r="AA446" s="2">
        <v>8.4999637088567837E-2</v>
      </c>
      <c r="AB446" s="2">
        <v>9.933265103914328E-2</v>
      </c>
      <c r="AC446" s="2">
        <v>0.11044177605117152</v>
      </c>
      <c r="AD446" s="2">
        <v>0.11643185264589469</v>
      </c>
      <c r="AE446" s="2">
        <v>0.11586567878429252</v>
      </c>
      <c r="AF446" s="2">
        <v>0.10823993611912783</v>
      </c>
      <c r="AG446" s="2">
        <v>9.4310608401372453E-2</v>
      </c>
      <c r="AH446" s="2">
        <v>7.7291886612364746E-2</v>
      </c>
      <c r="AI446" s="2">
        <v>8.9810915647736394E-3</v>
      </c>
      <c r="AJ446" s="2">
        <v>0</v>
      </c>
      <c r="AK446" s="2">
        <v>0</v>
      </c>
      <c r="AL446" s="2">
        <v>0</v>
      </c>
      <c r="AM446" s="2">
        <v>0</v>
      </c>
      <c r="AN446" s="2">
        <v>0</v>
      </c>
      <c r="AO446" s="2">
        <v>0</v>
      </c>
      <c r="AP446" s="2">
        <v>0</v>
      </c>
      <c r="AQ446" s="2">
        <v>0</v>
      </c>
      <c r="AR446" s="2">
        <v>1.0478229002448358</v>
      </c>
    </row>
    <row r="447" spans="1:44" x14ac:dyDescent="0.25">
      <c r="A447" t="s">
        <v>250</v>
      </c>
      <c r="B447" t="s">
        <v>316</v>
      </c>
      <c r="C447" t="s">
        <v>44</v>
      </c>
      <c r="D447" t="s">
        <v>187</v>
      </c>
      <c r="E447" t="s">
        <v>134</v>
      </c>
      <c r="F447" t="s">
        <v>187</v>
      </c>
      <c r="G447" t="s">
        <v>31</v>
      </c>
      <c r="H447" t="s">
        <v>278</v>
      </c>
      <c r="I447" t="s">
        <v>135</v>
      </c>
      <c r="J447" t="s">
        <v>39</v>
      </c>
      <c r="K447" t="s">
        <v>31</v>
      </c>
      <c r="L447">
        <v>5.53</v>
      </c>
      <c r="M447">
        <v>1</v>
      </c>
      <c r="N447">
        <v>2.9856131888145994</v>
      </c>
      <c r="O447">
        <v>5.465614229639959</v>
      </c>
      <c r="P447">
        <v>-1.4126267988180818</v>
      </c>
      <c r="Q447">
        <v>0.99158012144343133</v>
      </c>
      <c r="R447">
        <v>-1.8625523936223527</v>
      </c>
      <c r="S447" s="2">
        <v>0</v>
      </c>
      <c r="T447" s="2">
        <v>0</v>
      </c>
      <c r="U447" s="2">
        <v>0</v>
      </c>
      <c r="V447" s="2">
        <v>0</v>
      </c>
      <c r="W447" s="2">
        <v>0</v>
      </c>
      <c r="X447" s="2">
        <v>0</v>
      </c>
      <c r="Y447" s="2">
        <v>0</v>
      </c>
      <c r="Z447" s="2">
        <v>0</v>
      </c>
      <c r="AA447" s="2">
        <v>0</v>
      </c>
      <c r="AB447" s="2">
        <v>0</v>
      </c>
      <c r="AC447" s="2">
        <v>0</v>
      </c>
      <c r="AD447" s="2">
        <v>0</v>
      </c>
      <c r="AE447" s="2">
        <v>0</v>
      </c>
      <c r="AF447" s="2">
        <v>0</v>
      </c>
      <c r="AG447" s="2">
        <v>0</v>
      </c>
      <c r="AH447" s="2">
        <v>0</v>
      </c>
      <c r="AI447" s="2">
        <v>0</v>
      </c>
      <c r="AJ447" s="2">
        <v>0</v>
      </c>
      <c r="AK447" s="2">
        <v>0</v>
      </c>
      <c r="AL447" s="2">
        <v>0</v>
      </c>
      <c r="AM447" s="2">
        <v>0</v>
      </c>
      <c r="AN447" s="2">
        <v>0</v>
      </c>
      <c r="AO447" s="2">
        <v>0</v>
      </c>
      <c r="AP447" s="2">
        <v>0</v>
      </c>
      <c r="AQ447" s="2">
        <v>0</v>
      </c>
      <c r="AR447" s="2">
        <v>0</v>
      </c>
    </row>
    <row r="448" spans="1:44" x14ac:dyDescent="0.25">
      <c r="A448" t="s">
        <v>250</v>
      </c>
      <c r="B448" t="s">
        <v>317</v>
      </c>
      <c r="C448" t="s">
        <v>44</v>
      </c>
      <c r="D448" t="s">
        <v>187</v>
      </c>
      <c r="E448" t="s">
        <v>134</v>
      </c>
      <c r="F448" t="s">
        <v>187</v>
      </c>
      <c r="G448" t="s">
        <v>31</v>
      </c>
      <c r="H448" t="s">
        <v>272</v>
      </c>
      <c r="I448" t="s">
        <v>135</v>
      </c>
      <c r="J448" t="s">
        <v>39</v>
      </c>
      <c r="K448" t="s">
        <v>31</v>
      </c>
      <c r="L448">
        <v>5.53</v>
      </c>
      <c r="M448">
        <v>1</v>
      </c>
      <c r="N448">
        <v>2.9865889881418424</v>
      </c>
      <c r="O448">
        <v>5.4674005771508298</v>
      </c>
      <c r="P448">
        <v>-1.412626798818081</v>
      </c>
      <c r="Q448">
        <v>0.99158012144343122</v>
      </c>
      <c r="R448">
        <v>-1.862552393622352</v>
      </c>
      <c r="S448" s="2">
        <v>0</v>
      </c>
      <c r="T448" s="2">
        <v>0</v>
      </c>
      <c r="U448" s="2">
        <v>0</v>
      </c>
      <c r="V448" s="2">
        <v>0</v>
      </c>
      <c r="W448" s="2">
        <v>0</v>
      </c>
      <c r="X448" s="2">
        <v>0</v>
      </c>
      <c r="Y448" s="2">
        <v>0</v>
      </c>
      <c r="Z448" s="2">
        <v>0</v>
      </c>
      <c r="AA448" s="2">
        <v>0</v>
      </c>
      <c r="AB448" s="2">
        <v>0</v>
      </c>
      <c r="AC448" s="2">
        <v>0</v>
      </c>
      <c r="AD448" s="2">
        <v>0</v>
      </c>
      <c r="AE448" s="2">
        <v>0</v>
      </c>
      <c r="AF448" s="2">
        <v>0</v>
      </c>
      <c r="AG448" s="2">
        <v>0</v>
      </c>
      <c r="AH448" s="2">
        <v>0</v>
      </c>
      <c r="AI448" s="2">
        <v>0</v>
      </c>
      <c r="AJ448" s="2">
        <v>0</v>
      </c>
      <c r="AK448" s="2">
        <v>0</v>
      </c>
      <c r="AL448" s="2">
        <v>0</v>
      </c>
      <c r="AM448" s="2">
        <v>0</v>
      </c>
      <c r="AN448" s="2">
        <v>0</v>
      </c>
      <c r="AO448" s="2">
        <v>0</v>
      </c>
      <c r="AP448" s="2">
        <v>0</v>
      </c>
      <c r="AQ448" s="2">
        <v>0</v>
      </c>
      <c r="AR448" s="2">
        <v>0</v>
      </c>
    </row>
    <row r="449" spans="1:44" x14ac:dyDescent="0.25">
      <c r="A449" t="s">
        <v>250</v>
      </c>
      <c r="B449" t="s">
        <v>317</v>
      </c>
      <c r="C449" t="s">
        <v>44</v>
      </c>
      <c r="D449" t="s">
        <v>187</v>
      </c>
      <c r="E449" t="s">
        <v>134</v>
      </c>
      <c r="F449" t="s">
        <v>187</v>
      </c>
      <c r="G449" t="s">
        <v>31</v>
      </c>
      <c r="H449" t="s">
        <v>272</v>
      </c>
      <c r="I449" t="s">
        <v>135</v>
      </c>
      <c r="J449" t="s">
        <v>40</v>
      </c>
      <c r="K449" t="s">
        <v>31</v>
      </c>
      <c r="L449">
        <v>5.53</v>
      </c>
      <c r="M449">
        <v>1</v>
      </c>
      <c r="N449">
        <v>2.9865889881418424</v>
      </c>
      <c r="O449">
        <v>4.1746294160814532</v>
      </c>
      <c r="P449">
        <v>-1.412626798818081</v>
      </c>
      <c r="Q449">
        <v>0.4672931329656026</v>
      </c>
      <c r="R449">
        <v>-1.7195523936223518</v>
      </c>
      <c r="S449" s="2">
        <v>0</v>
      </c>
      <c r="T449" s="2">
        <v>0</v>
      </c>
      <c r="U449" s="2">
        <v>0</v>
      </c>
      <c r="V449" s="2">
        <v>0</v>
      </c>
      <c r="W449" s="2">
        <v>0</v>
      </c>
      <c r="X449" s="2">
        <v>0</v>
      </c>
      <c r="Y449" s="2">
        <v>0</v>
      </c>
      <c r="Z449" s="2">
        <v>0</v>
      </c>
      <c r="AA449" s="2">
        <v>0</v>
      </c>
      <c r="AB449" s="2">
        <v>0</v>
      </c>
      <c r="AC449" s="2">
        <v>0</v>
      </c>
      <c r="AD449" s="2">
        <v>0</v>
      </c>
      <c r="AE449" s="2">
        <v>0</v>
      </c>
      <c r="AF449" s="2">
        <v>0</v>
      </c>
      <c r="AG449" s="2">
        <v>0</v>
      </c>
      <c r="AH449" s="2">
        <v>0</v>
      </c>
      <c r="AI449" s="2">
        <v>0</v>
      </c>
      <c r="AJ449" s="2">
        <v>0</v>
      </c>
      <c r="AK449" s="2">
        <v>0</v>
      </c>
      <c r="AL449" s="2">
        <v>0</v>
      </c>
      <c r="AM449" s="2">
        <v>0</v>
      </c>
      <c r="AN449" s="2">
        <v>0</v>
      </c>
      <c r="AO449" s="2">
        <v>0</v>
      </c>
      <c r="AP449" s="2">
        <v>0</v>
      </c>
      <c r="AQ449" s="2">
        <v>0</v>
      </c>
      <c r="AR449" s="2">
        <v>0</v>
      </c>
    </row>
    <row r="450" spans="1:44" x14ac:dyDescent="0.25">
      <c r="A450" t="s">
        <v>250</v>
      </c>
      <c r="B450" t="s">
        <v>317</v>
      </c>
      <c r="C450" t="s">
        <v>44</v>
      </c>
      <c r="D450" t="s">
        <v>187</v>
      </c>
      <c r="E450" t="s">
        <v>134</v>
      </c>
      <c r="F450" t="s">
        <v>187</v>
      </c>
      <c r="G450" t="s">
        <v>31</v>
      </c>
      <c r="H450" t="s">
        <v>273</v>
      </c>
      <c r="I450" t="s">
        <v>135</v>
      </c>
      <c r="J450" t="s">
        <v>39</v>
      </c>
      <c r="K450" t="s">
        <v>31</v>
      </c>
      <c r="L450">
        <v>5.53</v>
      </c>
      <c r="M450">
        <v>1</v>
      </c>
      <c r="N450">
        <v>2.9865889881418424</v>
      </c>
      <c r="O450">
        <v>5.4674005771508298</v>
      </c>
      <c r="P450">
        <v>-1.412626798818081</v>
      </c>
      <c r="Q450">
        <v>0.99158012144343122</v>
      </c>
      <c r="R450">
        <v>-1.862552393622352</v>
      </c>
      <c r="S450" s="2">
        <v>0</v>
      </c>
      <c r="T450" s="2">
        <v>0</v>
      </c>
      <c r="U450" s="2">
        <v>0</v>
      </c>
      <c r="V450" s="2">
        <v>0</v>
      </c>
      <c r="W450" s="2">
        <v>0</v>
      </c>
      <c r="X450" s="2">
        <v>0</v>
      </c>
      <c r="Y450" s="2">
        <v>0</v>
      </c>
      <c r="Z450" s="2">
        <v>0</v>
      </c>
      <c r="AA450" s="2">
        <v>0</v>
      </c>
      <c r="AB450" s="2">
        <v>0</v>
      </c>
      <c r="AC450" s="2">
        <v>0</v>
      </c>
      <c r="AD450" s="2">
        <v>0</v>
      </c>
      <c r="AE450" s="2">
        <v>0</v>
      </c>
      <c r="AF450" s="2">
        <v>0</v>
      </c>
      <c r="AG450" s="2">
        <v>0</v>
      </c>
      <c r="AH450" s="2">
        <v>0</v>
      </c>
      <c r="AI450" s="2">
        <v>0</v>
      </c>
      <c r="AJ450" s="2">
        <v>0</v>
      </c>
      <c r="AK450" s="2">
        <v>0</v>
      </c>
      <c r="AL450" s="2">
        <v>0</v>
      </c>
      <c r="AM450" s="2">
        <v>0</v>
      </c>
      <c r="AN450" s="2">
        <v>0</v>
      </c>
      <c r="AO450" s="2">
        <v>0</v>
      </c>
      <c r="AP450" s="2">
        <v>0</v>
      </c>
      <c r="AQ450" s="2">
        <v>0</v>
      </c>
      <c r="AR450" s="2">
        <v>0</v>
      </c>
    </row>
    <row r="451" spans="1:44" x14ac:dyDescent="0.25">
      <c r="A451" t="s">
        <v>250</v>
      </c>
      <c r="B451" t="s">
        <v>317</v>
      </c>
      <c r="C451" t="s">
        <v>44</v>
      </c>
      <c r="D451" t="s">
        <v>187</v>
      </c>
      <c r="E451" t="s">
        <v>134</v>
      </c>
      <c r="F451" t="s">
        <v>187</v>
      </c>
      <c r="G451" t="s">
        <v>31</v>
      </c>
      <c r="H451" t="s">
        <v>274</v>
      </c>
      <c r="I451" t="s">
        <v>135</v>
      </c>
      <c r="J451" t="s">
        <v>39</v>
      </c>
      <c r="K451" t="s">
        <v>31</v>
      </c>
      <c r="L451">
        <v>5.53</v>
      </c>
      <c r="M451">
        <v>1</v>
      </c>
      <c r="N451">
        <v>2.9865889881418424</v>
      </c>
      <c r="O451">
        <v>5.4674005771508298</v>
      </c>
      <c r="P451">
        <v>-1.412626798818081</v>
      </c>
      <c r="Q451">
        <v>0.99158012144343122</v>
      </c>
      <c r="R451">
        <v>-1.862552393622352</v>
      </c>
      <c r="S451" s="2">
        <v>0</v>
      </c>
      <c r="T451" s="2">
        <v>0</v>
      </c>
      <c r="U451" s="2">
        <v>0</v>
      </c>
      <c r="V451" s="2">
        <v>0</v>
      </c>
      <c r="W451" s="2">
        <v>0</v>
      </c>
      <c r="X451" s="2">
        <v>0</v>
      </c>
      <c r="Y451" s="2">
        <v>0</v>
      </c>
      <c r="Z451" s="2">
        <v>0</v>
      </c>
      <c r="AA451" s="2">
        <v>0</v>
      </c>
      <c r="AB451" s="2">
        <v>0</v>
      </c>
      <c r="AC451" s="2">
        <v>0</v>
      </c>
      <c r="AD451" s="2">
        <v>0</v>
      </c>
      <c r="AE451" s="2">
        <v>0</v>
      </c>
      <c r="AF451" s="2">
        <v>0</v>
      </c>
      <c r="AG451" s="2">
        <v>0</v>
      </c>
      <c r="AH451" s="2">
        <v>0</v>
      </c>
      <c r="AI451" s="2">
        <v>0</v>
      </c>
      <c r="AJ451" s="2">
        <v>0</v>
      </c>
      <c r="AK451" s="2">
        <v>0</v>
      </c>
      <c r="AL451" s="2">
        <v>0</v>
      </c>
      <c r="AM451" s="2">
        <v>0</v>
      </c>
      <c r="AN451" s="2">
        <v>0</v>
      </c>
      <c r="AO451" s="2">
        <v>0</v>
      </c>
      <c r="AP451" s="2">
        <v>0</v>
      </c>
      <c r="AQ451" s="2">
        <v>0</v>
      </c>
      <c r="AR451" s="2">
        <v>0</v>
      </c>
    </row>
    <row r="452" spans="1:44" x14ac:dyDescent="0.25">
      <c r="A452" t="s">
        <v>250</v>
      </c>
      <c r="B452" t="s">
        <v>317</v>
      </c>
      <c r="C452" t="s">
        <v>44</v>
      </c>
      <c r="D452" t="s">
        <v>187</v>
      </c>
      <c r="E452" t="s">
        <v>134</v>
      </c>
      <c r="F452" t="s">
        <v>187</v>
      </c>
      <c r="G452" t="s">
        <v>31</v>
      </c>
      <c r="H452" t="s">
        <v>274</v>
      </c>
      <c r="I452" t="s">
        <v>135</v>
      </c>
      <c r="J452" t="s">
        <v>39</v>
      </c>
      <c r="K452" t="s">
        <v>33</v>
      </c>
      <c r="L452">
        <v>5.53</v>
      </c>
      <c r="M452">
        <v>1</v>
      </c>
      <c r="N452">
        <v>2.9865889881418424</v>
      </c>
      <c r="O452">
        <v>5.4674005771508298</v>
      </c>
      <c r="P452">
        <v>-1.412626798818081</v>
      </c>
      <c r="Q452">
        <v>0.99158012144343122</v>
      </c>
      <c r="R452">
        <v>-1.862552393622352</v>
      </c>
      <c r="S452" s="2">
        <v>0</v>
      </c>
      <c r="T452" s="2">
        <v>0</v>
      </c>
      <c r="U452" s="2">
        <v>0</v>
      </c>
      <c r="V452" s="2">
        <v>0</v>
      </c>
      <c r="W452" s="2">
        <v>0</v>
      </c>
      <c r="X452" s="2">
        <v>0</v>
      </c>
      <c r="Y452" s="2">
        <v>0</v>
      </c>
      <c r="Z452" s="2">
        <v>0</v>
      </c>
      <c r="AA452" s="2">
        <v>0</v>
      </c>
      <c r="AB452" s="2">
        <v>0</v>
      </c>
      <c r="AC452" s="2">
        <v>0</v>
      </c>
      <c r="AD452" s="2">
        <v>0</v>
      </c>
      <c r="AE452" s="2">
        <v>0</v>
      </c>
      <c r="AF452" s="2">
        <v>0</v>
      </c>
      <c r="AG452" s="2">
        <v>0</v>
      </c>
      <c r="AH452" s="2">
        <v>0</v>
      </c>
      <c r="AI452" s="2">
        <v>0</v>
      </c>
      <c r="AJ452" s="2">
        <v>0</v>
      </c>
      <c r="AK452" s="2">
        <v>0</v>
      </c>
      <c r="AL452" s="2">
        <v>0</v>
      </c>
      <c r="AM452" s="2">
        <v>0</v>
      </c>
      <c r="AN452" s="2">
        <v>0</v>
      </c>
      <c r="AO452" s="2">
        <v>0</v>
      </c>
      <c r="AP452" s="2">
        <v>0</v>
      </c>
      <c r="AQ452" s="2">
        <v>0</v>
      </c>
      <c r="AR452" s="2">
        <v>0</v>
      </c>
    </row>
    <row r="453" spans="1:44" x14ac:dyDescent="0.25">
      <c r="A453" t="s">
        <v>250</v>
      </c>
      <c r="B453" t="s">
        <v>317</v>
      </c>
      <c r="C453" t="s">
        <v>44</v>
      </c>
      <c r="D453" t="s">
        <v>187</v>
      </c>
      <c r="E453" t="s">
        <v>134</v>
      </c>
      <c r="F453" t="s">
        <v>187</v>
      </c>
      <c r="G453" t="s">
        <v>31</v>
      </c>
      <c r="H453" t="s">
        <v>275</v>
      </c>
      <c r="I453" t="s">
        <v>135</v>
      </c>
      <c r="J453" t="s">
        <v>39</v>
      </c>
      <c r="K453" t="s">
        <v>31</v>
      </c>
      <c r="L453">
        <v>5.53</v>
      </c>
      <c r="M453">
        <v>1</v>
      </c>
      <c r="N453">
        <v>2.9865889881418424</v>
      </c>
      <c r="O453">
        <v>5.4674005771508298</v>
      </c>
      <c r="P453">
        <v>-1.412626798818081</v>
      </c>
      <c r="Q453">
        <v>0.99158012144343122</v>
      </c>
      <c r="R453">
        <v>-1.862552393622352</v>
      </c>
      <c r="S453" s="2">
        <v>0</v>
      </c>
      <c r="T453" s="2">
        <v>0</v>
      </c>
      <c r="U453" s="2">
        <v>0</v>
      </c>
      <c r="V453" s="2">
        <v>0</v>
      </c>
      <c r="W453" s="2">
        <v>0</v>
      </c>
      <c r="X453" s="2">
        <v>0</v>
      </c>
      <c r="Y453" s="2">
        <v>0</v>
      </c>
      <c r="Z453" s="2">
        <v>0</v>
      </c>
      <c r="AA453" s="2">
        <v>0</v>
      </c>
      <c r="AB453" s="2">
        <v>0</v>
      </c>
      <c r="AC453" s="2">
        <v>0</v>
      </c>
      <c r="AD453" s="2">
        <v>0</v>
      </c>
      <c r="AE453" s="2">
        <v>0</v>
      </c>
      <c r="AF453" s="2">
        <v>0</v>
      </c>
      <c r="AG453" s="2">
        <v>0</v>
      </c>
      <c r="AH453" s="2">
        <v>0</v>
      </c>
      <c r="AI453" s="2">
        <v>0</v>
      </c>
      <c r="AJ453" s="2">
        <v>0</v>
      </c>
      <c r="AK453" s="2">
        <v>0</v>
      </c>
      <c r="AL453" s="2">
        <v>0</v>
      </c>
      <c r="AM453" s="2">
        <v>0</v>
      </c>
      <c r="AN453" s="2">
        <v>0</v>
      </c>
      <c r="AO453" s="2">
        <v>0</v>
      </c>
      <c r="AP453" s="2">
        <v>0</v>
      </c>
      <c r="AQ453" s="2">
        <v>0</v>
      </c>
      <c r="AR453" s="2">
        <v>0</v>
      </c>
    </row>
    <row r="454" spans="1:44" x14ac:dyDescent="0.25">
      <c r="A454" t="s">
        <v>250</v>
      </c>
      <c r="B454" t="s">
        <v>319</v>
      </c>
      <c r="C454" t="s">
        <v>44</v>
      </c>
      <c r="D454" t="s">
        <v>187</v>
      </c>
      <c r="E454" t="s">
        <v>134</v>
      </c>
      <c r="F454" t="s">
        <v>187</v>
      </c>
      <c r="G454" t="s">
        <v>31</v>
      </c>
      <c r="H454" t="s">
        <v>276</v>
      </c>
      <c r="I454" t="s">
        <v>135</v>
      </c>
      <c r="J454" t="s">
        <v>39</v>
      </c>
      <c r="K454" t="s">
        <v>31</v>
      </c>
      <c r="L454">
        <v>8.1058333333333348</v>
      </c>
      <c r="M454">
        <v>1</v>
      </c>
      <c r="N454">
        <v>3.8495202205322574</v>
      </c>
      <c r="O454">
        <v>5.463966537645744</v>
      </c>
      <c r="P454">
        <v>-1.6353884600453179</v>
      </c>
      <c r="Q454">
        <v>0.76881846021619438</v>
      </c>
      <c r="R454">
        <v>-1.8625523936223525</v>
      </c>
      <c r="S454" s="2">
        <v>0.43650484416058144</v>
      </c>
      <c r="T454" s="2">
        <v>0.87071220873786936</v>
      </c>
      <c r="U454" s="2">
        <v>1.5427423794483734</v>
      </c>
      <c r="V454" s="2">
        <v>2.5042120182034879</v>
      </c>
      <c r="W454" s="2">
        <v>3.7930618820754765</v>
      </c>
      <c r="X454" s="2">
        <v>5.4210669100087685</v>
      </c>
      <c r="Y454" s="2">
        <v>7.3586540470153743</v>
      </c>
      <c r="Z454" s="2">
        <v>9.5194405090530285</v>
      </c>
      <c r="AA454" s="2">
        <v>11.749182047669724</v>
      </c>
      <c r="AB454" s="2">
        <v>13.825981008416294</v>
      </c>
      <c r="AC454" s="2">
        <v>15.479277282805347</v>
      </c>
      <c r="AD454" s="2">
        <v>16.432455842911725</v>
      </c>
      <c r="AE454" s="2">
        <v>16.466406950562774</v>
      </c>
      <c r="AF454" s="2">
        <v>15.489768586159448</v>
      </c>
      <c r="AG454" s="2">
        <v>13.59037113548724</v>
      </c>
      <c r="AH454" s="2">
        <v>11.215484684258588</v>
      </c>
      <c r="AI454" s="2">
        <v>8.5585363625577298</v>
      </c>
      <c r="AJ454" s="2">
        <v>5.912697763520554</v>
      </c>
      <c r="AK454" s="2">
        <v>1.6758537826143489</v>
      </c>
      <c r="AL454" s="2">
        <v>0</v>
      </c>
      <c r="AM454" s="2">
        <v>0</v>
      </c>
      <c r="AN454" s="2">
        <v>0</v>
      </c>
      <c r="AO454" s="2">
        <v>0</v>
      </c>
      <c r="AP454" s="2">
        <v>0</v>
      </c>
      <c r="AQ454" s="2">
        <v>0</v>
      </c>
      <c r="AR454" s="2">
        <v>161.84241024566674</v>
      </c>
    </row>
    <row r="455" spans="1:44" x14ac:dyDescent="0.25">
      <c r="A455" t="s">
        <v>250</v>
      </c>
      <c r="B455" t="s">
        <v>318</v>
      </c>
      <c r="C455" t="s">
        <v>44</v>
      </c>
      <c r="D455" t="s">
        <v>187</v>
      </c>
      <c r="E455" t="s">
        <v>134</v>
      </c>
      <c r="F455" t="s">
        <v>187</v>
      </c>
      <c r="G455" t="s">
        <v>31</v>
      </c>
      <c r="H455" t="s">
        <v>277</v>
      </c>
      <c r="I455" t="s">
        <v>135</v>
      </c>
      <c r="J455" t="s">
        <v>39</v>
      </c>
      <c r="K455" t="s">
        <v>31</v>
      </c>
      <c r="L455">
        <v>5.53</v>
      </c>
      <c r="M455">
        <v>1</v>
      </c>
      <c r="N455">
        <v>2.9868815262071493</v>
      </c>
      <c r="O455">
        <v>5.4679361121017198</v>
      </c>
      <c r="P455">
        <v>-1.412626798818081</v>
      </c>
      <c r="Q455">
        <v>0.99158012144343122</v>
      </c>
      <c r="R455">
        <v>-1.862552393622352</v>
      </c>
      <c r="S455" s="2">
        <v>0</v>
      </c>
      <c r="T455" s="2">
        <v>0</v>
      </c>
      <c r="U455" s="2">
        <v>0</v>
      </c>
      <c r="V455" s="2">
        <v>0</v>
      </c>
      <c r="W455" s="2">
        <v>0</v>
      </c>
      <c r="X455" s="2">
        <v>0</v>
      </c>
      <c r="Y455" s="2">
        <v>0</v>
      </c>
      <c r="Z455" s="2">
        <v>0</v>
      </c>
      <c r="AA455" s="2">
        <v>0</v>
      </c>
      <c r="AB455" s="2">
        <v>0</v>
      </c>
      <c r="AC455" s="2">
        <v>0</v>
      </c>
      <c r="AD455" s="2">
        <v>0</v>
      </c>
      <c r="AE455" s="2">
        <v>0</v>
      </c>
      <c r="AF455" s="2">
        <v>0</v>
      </c>
      <c r="AG455" s="2">
        <v>0</v>
      </c>
      <c r="AH455" s="2">
        <v>0</v>
      </c>
      <c r="AI455" s="2">
        <v>0</v>
      </c>
      <c r="AJ455" s="2">
        <v>0</v>
      </c>
      <c r="AK455" s="2">
        <v>0</v>
      </c>
      <c r="AL455" s="2">
        <v>0</v>
      </c>
      <c r="AM455" s="2">
        <v>0</v>
      </c>
      <c r="AN455" s="2">
        <v>0</v>
      </c>
      <c r="AO455" s="2">
        <v>0</v>
      </c>
      <c r="AP455" s="2">
        <v>0</v>
      </c>
      <c r="AQ455" s="2">
        <v>0</v>
      </c>
      <c r="AR455" s="2">
        <v>0</v>
      </c>
    </row>
    <row r="456" spans="1:44" x14ac:dyDescent="0.25">
      <c r="A456" t="s">
        <v>250</v>
      </c>
      <c r="B456" t="s">
        <v>318</v>
      </c>
      <c r="C456" t="s">
        <v>44</v>
      </c>
      <c r="D456" t="s">
        <v>187</v>
      </c>
      <c r="E456" t="s">
        <v>134</v>
      </c>
      <c r="F456" t="s">
        <v>187</v>
      </c>
      <c r="G456" t="s">
        <v>31</v>
      </c>
      <c r="H456" t="s">
        <v>277</v>
      </c>
      <c r="I456" t="s">
        <v>135</v>
      </c>
      <c r="J456" t="s">
        <v>40</v>
      </c>
      <c r="K456" t="s">
        <v>31</v>
      </c>
      <c r="L456">
        <v>5.53</v>
      </c>
      <c r="M456">
        <v>1</v>
      </c>
      <c r="N456">
        <v>2.9868815262071493</v>
      </c>
      <c r="O456">
        <v>4.1746294160814514</v>
      </c>
      <c r="P456">
        <v>-1.412626798818081</v>
      </c>
      <c r="Q456">
        <v>0.4672931329656026</v>
      </c>
      <c r="R456">
        <v>-1.7195523936223518</v>
      </c>
      <c r="S456" s="2">
        <v>0</v>
      </c>
      <c r="T456" s="2">
        <v>0</v>
      </c>
      <c r="U456" s="2">
        <v>0</v>
      </c>
      <c r="V456" s="2">
        <v>0</v>
      </c>
      <c r="W456" s="2">
        <v>0</v>
      </c>
      <c r="X456" s="2">
        <v>0</v>
      </c>
      <c r="Y456" s="2">
        <v>0</v>
      </c>
      <c r="Z456" s="2">
        <v>0</v>
      </c>
      <c r="AA456" s="2">
        <v>0</v>
      </c>
      <c r="AB456" s="2">
        <v>0</v>
      </c>
      <c r="AC456" s="2">
        <v>0</v>
      </c>
      <c r="AD456" s="2">
        <v>0</v>
      </c>
      <c r="AE456" s="2">
        <v>0</v>
      </c>
      <c r="AF456" s="2">
        <v>0</v>
      </c>
      <c r="AG456" s="2">
        <v>0</v>
      </c>
      <c r="AH456" s="2">
        <v>0</v>
      </c>
      <c r="AI456" s="2">
        <v>0</v>
      </c>
      <c r="AJ456" s="2">
        <v>0</v>
      </c>
      <c r="AK456" s="2">
        <v>0</v>
      </c>
      <c r="AL456" s="2">
        <v>0</v>
      </c>
      <c r="AM456" s="2">
        <v>0</v>
      </c>
      <c r="AN456" s="2">
        <v>0</v>
      </c>
      <c r="AO456" s="2">
        <v>0</v>
      </c>
      <c r="AP456" s="2">
        <v>0</v>
      </c>
      <c r="AQ456" s="2">
        <v>0</v>
      </c>
      <c r="AR456" s="2">
        <v>0</v>
      </c>
    </row>
    <row r="457" spans="1:44" x14ac:dyDescent="0.25">
      <c r="A457" t="s">
        <v>250</v>
      </c>
      <c r="B457" t="s">
        <v>353</v>
      </c>
      <c r="C457" t="s">
        <v>45</v>
      </c>
      <c r="D457" t="s">
        <v>354</v>
      </c>
      <c r="E457" t="s">
        <v>134</v>
      </c>
      <c r="F457" t="s">
        <v>354</v>
      </c>
      <c r="G457" t="s">
        <v>31</v>
      </c>
      <c r="H457" t="s">
        <v>254</v>
      </c>
      <c r="I457" t="s">
        <v>135</v>
      </c>
      <c r="J457" t="s">
        <v>39</v>
      </c>
      <c r="K457" t="s">
        <v>31</v>
      </c>
      <c r="L457">
        <v>2.11</v>
      </c>
      <c r="M457">
        <v>1</v>
      </c>
      <c r="N457">
        <v>1.5959225360467455</v>
      </c>
      <c r="O457">
        <v>3.1588853240212429</v>
      </c>
      <c r="P457">
        <v>-0.14324970019558894</v>
      </c>
      <c r="Q457">
        <v>1.0721225474567759</v>
      </c>
      <c r="R457">
        <v>-0.67371772101320515</v>
      </c>
      <c r="S457" s="2">
        <v>7.9353915921043655E-3</v>
      </c>
      <c r="T457" s="2">
        <v>1.5791158320124007E-2</v>
      </c>
      <c r="U457" s="2">
        <v>2.7912119903614505E-2</v>
      </c>
      <c r="V457" s="2">
        <v>4.5199181063936625E-2</v>
      </c>
      <c r="W457" s="2">
        <v>6.829823133263907E-2</v>
      </c>
      <c r="X457" s="2">
        <v>9.7378785835519774E-2</v>
      </c>
      <c r="Y457" s="2">
        <v>0.13186757871720764</v>
      </c>
      <c r="Z457" s="2">
        <v>0.17018102249087017</v>
      </c>
      <c r="AA457" s="2">
        <v>0.20954022024380622</v>
      </c>
      <c r="AB457" s="2">
        <v>0.24598905125320433</v>
      </c>
      <c r="AC457" s="2">
        <v>0.27474548223834078</v>
      </c>
      <c r="AD457" s="2">
        <v>0.29096611298352798</v>
      </c>
      <c r="AE457" s="2">
        <v>0.29086993994328808</v>
      </c>
      <c r="AF457" s="2">
        <v>0.27296375565472664</v>
      </c>
      <c r="AG457" s="2">
        <v>0.23891940842466622</v>
      </c>
      <c r="AH457" s="2">
        <v>0.19669721865191239</v>
      </c>
      <c r="AI457" s="2">
        <v>0.14974065584519353</v>
      </c>
      <c r="AJ457" s="2">
        <v>4.2881839695223634E-2</v>
      </c>
      <c r="AK457" s="2">
        <v>0</v>
      </c>
      <c r="AL457" s="2">
        <v>0</v>
      </c>
      <c r="AM457" s="2">
        <v>0</v>
      </c>
      <c r="AN457" s="2">
        <v>0</v>
      </c>
      <c r="AO457" s="2">
        <v>0</v>
      </c>
      <c r="AP457" s="2">
        <v>0</v>
      </c>
      <c r="AQ457" s="2">
        <v>0</v>
      </c>
      <c r="AR457" s="2">
        <v>2.7778771541899059</v>
      </c>
    </row>
    <row r="458" spans="1:44" x14ac:dyDescent="0.25">
      <c r="A458" t="s">
        <v>250</v>
      </c>
      <c r="B458" t="s">
        <v>353</v>
      </c>
      <c r="C458" t="s">
        <v>45</v>
      </c>
      <c r="D458" t="s">
        <v>354</v>
      </c>
      <c r="E458" t="s">
        <v>134</v>
      </c>
      <c r="F458" t="s">
        <v>354</v>
      </c>
      <c r="G458" t="s">
        <v>31</v>
      </c>
      <c r="H458" t="s">
        <v>272</v>
      </c>
      <c r="I458" t="s">
        <v>135</v>
      </c>
      <c r="J458" t="s">
        <v>39</v>
      </c>
      <c r="K458" t="s">
        <v>31</v>
      </c>
      <c r="L458">
        <v>2.11</v>
      </c>
      <c r="M458">
        <v>1</v>
      </c>
      <c r="N458">
        <v>1.5959225360467455</v>
      </c>
      <c r="O458">
        <v>3.1588853240212429</v>
      </c>
      <c r="P458">
        <v>-0.14324970019558894</v>
      </c>
      <c r="Q458">
        <v>1.0721225474567759</v>
      </c>
      <c r="R458">
        <v>-0.67371772101320515</v>
      </c>
      <c r="S458" s="2">
        <v>1.2692932154388047E-3</v>
      </c>
      <c r="T458" s="2">
        <v>2.5255626064579397E-3</v>
      </c>
      <c r="U458" s="2">
        <v>4.4636232226738107E-3</v>
      </c>
      <c r="V458" s="2">
        <v>7.2272957643043229E-3</v>
      </c>
      <c r="W458" s="2">
        <v>1.0919563399960881E-2</v>
      </c>
      <c r="X458" s="2">
        <v>1.5567207974489284E-2</v>
      </c>
      <c r="Y458" s="2">
        <v>2.1078269820615184E-2</v>
      </c>
      <c r="Z458" s="2">
        <v>2.7199355388428118E-2</v>
      </c>
      <c r="AA458" s="2">
        <v>3.3486166651869105E-2</v>
      </c>
      <c r="AB458" s="2">
        <v>3.9306499702179989E-2</v>
      </c>
      <c r="AC458" s="2">
        <v>4.3896481269945373E-2</v>
      </c>
      <c r="AD458" s="2">
        <v>4.648278240454104E-2</v>
      </c>
      <c r="AE458" s="2">
        <v>4.6462128406649414E-2</v>
      </c>
      <c r="AF458" s="2">
        <v>4.3596919099648988E-2</v>
      </c>
      <c r="AG458" s="2">
        <v>3.8155117986503492E-2</v>
      </c>
      <c r="AH458" s="2">
        <v>3.1408713231165022E-2</v>
      </c>
      <c r="AI458" s="2">
        <v>2.3907942997289509E-2</v>
      </c>
      <c r="AJ458" s="2">
        <v>6.1656557392669852E-3</v>
      </c>
      <c r="AK458" s="2">
        <v>0</v>
      </c>
      <c r="AL458" s="2">
        <v>0</v>
      </c>
      <c r="AM458" s="2">
        <v>0</v>
      </c>
      <c r="AN458" s="2">
        <v>0</v>
      </c>
      <c r="AO458" s="2">
        <v>0</v>
      </c>
      <c r="AP458" s="2">
        <v>0</v>
      </c>
      <c r="AQ458" s="2">
        <v>0</v>
      </c>
      <c r="AR458" s="2">
        <v>0.44311857888142725</v>
      </c>
    </row>
    <row r="459" spans="1:44" x14ac:dyDescent="0.25">
      <c r="A459" t="s">
        <v>250</v>
      </c>
      <c r="B459" t="s">
        <v>353</v>
      </c>
      <c r="C459" t="s">
        <v>45</v>
      </c>
      <c r="D459" t="s">
        <v>354</v>
      </c>
      <c r="E459" t="s">
        <v>134</v>
      </c>
      <c r="F459" t="s">
        <v>354</v>
      </c>
      <c r="G459" t="s">
        <v>31</v>
      </c>
      <c r="H459" t="s">
        <v>272</v>
      </c>
      <c r="I459" t="s">
        <v>135</v>
      </c>
      <c r="J459" t="s">
        <v>40</v>
      </c>
      <c r="K459" t="s">
        <v>31</v>
      </c>
      <c r="L459">
        <v>2.11</v>
      </c>
      <c r="M459">
        <v>1</v>
      </c>
      <c r="N459">
        <v>1.5959225360467455</v>
      </c>
      <c r="O459">
        <v>1.9798085216903567</v>
      </c>
      <c r="P459">
        <v>-0.14324970019558894</v>
      </c>
      <c r="Q459">
        <v>0.4672931329656026</v>
      </c>
      <c r="R459">
        <v>-0.53071772101320502</v>
      </c>
      <c r="S459" s="2">
        <v>1.2555320682320665E-4</v>
      </c>
      <c r="T459" s="2">
        <v>2.4981815109123481E-4</v>
      </c>
      <c r="U459" s="2">
        <v>4.4152304829226622E-4</v>
      </c>
      <c r="V459" s="2">
        <v>7.1489404404835458E-4</v>
      </c>
      <c r="W459" s="2">
        <v>1.0801178051680087E-3</v>
      </c>
      <c r="X459" s="2">
        <v>1.5398434803775699E-3</v>
      </c>
      <c r="Y459" s="2">
        <v>2.0849748017822325E-3</v>
      </c>
      <c r="Z459" s="2">
        <v>2.6904471331004758E-3</v>
      </c>
      <c r="AA459" s="2">
        <v>3.3123123611001342E-3</v>
      </c>
      <c r="AB459" s="2">
        <v>3.8880355039934795E-3</v>
      </c>
      <c r="AC459" s="2">
        <v>4.342057394351671E-3</v>
      </c>
      <c r="AD459" s="2">
        <v>4.5978835480798494E-3</v>
      </c>
      <c r="AE459" s="2">
        <v>4.5958405404930534E-3</v>
      </c>
      <c r="AF459" s="2">
        <v>4.3124259501225856E-3</v>
      </c>
      <c r="AG459" s="2">
        <v>3.7741456124203835E-3</v>
      </c>
      <c r="AH459" s="2">
        <v>3.1068193073103003E-3</v>
      </c>
      <c r="AI459" s="2">
        <v>2.3648743059092197E-3</v>
      </c>
      <c r="AJ459" s="2">
        <v>6.0988102734420551E-4</v>
      </c>
      <c r="AK459" s="2">
        <v>0</v>
      </c>
      <c r="AL459" s="2">
        <v>0</v>
      </c>
      <c r="AM459" s="2">
        <v>0</v>
      </c>
      <c r="AN459" s="2">
        <v>0</v>
      </c>
      <c r="AO459" s="2">
        <v>0</v>
      </c>
      <c r="AP459" s="2">
        <v>0</v>
      </c>
      <c r="AQ459" s="2">
        <v>0</v>
      </c>
      <c r="AR459" s="2">
        <v>4.3831447221808241E-2</v>
      </c>
    </row>
    <row r="460" spans="1:44" x14ac:dyDescent="0.25">
      <c r="A460" t="s">
        <v>250</v>
      </c>
      <c r="B460" t="s">
        <v>353</v>
      </c>
      <c r="C460" t="s">
        <v>45</v>
      </c>
      <c r="D460" t="s">
        <v>354</v>
      </c>
      <c r="E460" t="s">
        <v>134</v>
      </c>
      <c r="F460" t="s">
        <v>354</v>
      </c>
      <c r="G460" t="s">
        <v>31</v>
      </c>
      <c r="H460" t="s">
        <v>253</v>
      </c>
      <c r="I460" t="s">
        <v>135</v>
      </c>
      <c r="J460" t="s">
        <v>39</v>
      </c>
      <c r="K460" t="s">
        <v>31</v>
      </c>
      <c r="L460">
        <v>2.11</v>
      </c>
      <c r="M460">
        <v>1</v>
      </c>
      <c r="N460">
        <v>1.5959225360467455</v>
      </c>
      <c r="O460">
        <v>3.1588853240212429</v>
      </c>
      <c r="P460">
        <v>-0.14324970019558894</v>
      </c>
      <c r="Q460">
        <v>1.0721225474567759</v>
      </c>
      <c r="R460">
        <v>-0.67371772101320515</v>
      </c>
      <c r="S460" s="2">
        <v>4.9314780926346235E-3</v>
      </c>
      <c r="T460" s="2">
        <v>9.8172846670971335E-3</v>
      </c>
      <c r="U460" s="2">
        <v>1.7359566258520698E-2</v>
      </c>
      <c r="V460" s="2">
        <v>2.8121939215291662E-2</v>
      </c>
      <c r="W460" s="2">
        <v>4.2510166652380124E-2</v>
      </c>
      <c r="X460" s="2">
        <v>6.0634019186631943E-2</v>
      </c>
      <c r="Y460" s="2">
        <v>8.2140753952210405E-2</v>
      </c>
      <c r="Z460" s="2">
        <v>0.10604749952310226</v>
      </c>
      <c r="AA460" s="2">
        <v>0.13062471366536446</v>
      </c>
      <c r="AB460" s="2">
        <v>0.15340601347470939</v>
      </c>
      <c r="AC460" s="2">
        <v>0.17140592014233594</v>
      </c>
      <c r="AD460" s="2">
        <v>0.18159601817763124</v>
      </c>
      <c r="AE460" s="2">
        <v>0.18160650551318674</v>
      </c>
      <c r="AF460" s="2">
        <v>0.17049286024801835</v>
      </c>
      <c r="AG460" s="2">
        <v>0.14928676043342401</v>
      </c>
      <c r="AH460" s="2">
        <v>0.12295232152514345</v>
      </c>
      <c r="AI460" s="2">
        <v>9.3636871828798471E-2</v>
      </c>
      <c r="AJ460" s="2">
        <v>3.5915766734448004E-2</v>
      </c>
      <c r="AK460" s="2">
        <v>0</v>
      </c>
      <c r="AL460" s="2">
        <v>0</v>
      </c>
      <c r="AM460" s="2">
        <v>0</v>
      </c>
      <c r="AN460" s="2">
        <v>0</v>
      </c>
      <c r="AO460" s="2">
        <v>0</v>
      </c>
      <c r="AP460" s="2">
        <v>0</v>
      </c>
      <c r="AQ460" s="2">
        <v>0</v>
      </c>
      <c r="AR460" s="2">
        <v>1.7424864592909288</v>
      </c>
    </row>
    <row r="461" spans="1:44" x14ac:dyDescent="0.25">
      <c r="A461" t="s">
        <v>250</v>
      </c>
      <c r="B461" t="s">
        <v>353</v>
      </c>
      <c r="C461" t="s">
        <v>45</v>
      </c>
      <c r="D461" t="s">
        <v>354</v>
      </c>
      <c r="E461" t="s">
        <v>134</v>
      </c>
      <c r="F461" t="s">
        <v>354</v>
      </c>
      <c r="G461" t="s">
        <v>31</v>
      </c>
      <c r="H461" t="s">
        <v>253</v>
      </c>
      <c r="I461" t="s">
        <v>135</v>
      </c>
      <c r="J461" t="s">
        <v>40</v>
      </c>
      <c r="K461" t="s">
        <v>31</v>
      </c>
      <c r="L461">
        <v>2.11</v>
      </c>
      <c r="M461">
        <v>1</v>
      </c>
      <c r="N461">
        <v>1.5959225360467455</v>
      </c>
      <c r="O461">
        <v>1.9798085216903567</v>
      </c>
      <c r="P461">
        <v>-0.14324970019558894</v>
      </c>
      <c r="Q461">
        <v>0.4672931329656026</v>
      </c>
      <c r="R461">
        <v>-0.53071772101320502</v>
      </c>
      <c r="S461" s="2">
        <v>2.5940599722866701E-3</v>
      </c>
      <c r="T461" s="2">
        <v>5.1640957767805666E-3</v>
      </c>
      <c r="U461" s="2">
        <v>9.1314926522219966E-3</v>
      </c>
      <c r="V461" s="2">
        <v>1.4792724512032382E-2</v>
      </c>
      <c r="W461" s="2">
        <v>2.2361231188043562E-2</v>
      </c>
      <c r="X461" s="2">
        <v>3.1894754306182709E-2</v>
      </c>
      <c r="Y461" s="2">
        <v>4.3207743787632015E-2</v>
      </c>
      <c r="Z461" s="2">
        <v>5.5783188834364568E-2</v>
      </c>
      <c r="AA461" s="2">
        <v>6.8711314284618658E-2</v>
      </c>
      <c r="AB461" s="2">
        <v>8.0694751469576692E-2</v>
      </c>
      <c r="AC461" s="2">
        <v>9.0163076485787086E-2</v>
      </c>
      <c r="AD461" s="2">
        <v>9.5523279842771827E-2</v>
      </c>
      <c r="AE461" s="2">
        <v>9.5528796399242166E-2</v>
      </c>
      <c r="AF461" s="2">
        <v>8.9682788004391015E-2</v>
      </c>
      <c r="AG461" s="2">
        <v>7.8527938755539109E-2</v>
      </c>
      <c r="AH461" s="2">
        <v>6.4675476556299516E-2</v>
      </c>
      <c r="AI461" s="2">
        <v>4.9254940725378997E-2</v>
      </c>
      <c r="AJ461" s="2">
        <v>1.8892439773578247E-2</v>
      </c>
      <c r="AK461" s="2">
        <v>0</v>
      </c>
      <c r="AL461" s="2">
        <v>0</v>
      </c>
      <c r="AM461" s="2">
        <v>0</v>
      </c>
      <c r="AN461" s="2">
        <v>0</v>
      </c>
      <c r="AO461" s="2">
        <v>0</v>
      </c>
      <c r="AP461" s="2">
        <v>0</v>
      </c>
      <c r="AQ461" s="2">
        <v>0</v>
      </c>
      <c r="AR461" s="2">
        <v>0.91658409332672774</v>
      </c>
    </row>
    <row r="462" spans="1:44" x14ac:dyDescent="0.25">
      <c r="A462" t="s">
        <v>250</v>
      </c>
      <c r="B462" t="s">
        <v>353</v>
      </c>
      <c r="C462" t="s">
        <v>45</v>
      </c>
      <c r="D462" t="s">
        <v>354</v>
      </c>
      <c r="E462" t="s">
        <v>134</v>
      </c>
      <c r="F462" t="s">
        <v>354</v>
      </c>
      <c r="G462" t="s">
        <v>31</v>
      </c>
      <c r="H462" t="s">
        <v>253</v>
      </c>
      <c r="I462" t="s">
        <v>256</v>
      </c>
      <c r="J462" t="s">
        <v>39</v>
      </c>
      <c r="K462" t="s">
        <v>31</v>
      </c>
      <c r="L462">
        <v>2.11</v>
      </c>
      <c r="M462">
        <v>1</v>
      </c>
      <c r="N462">
        <v>1.3402593384114303</v>
      </c>
      <c r="O462">
        <v>2.6528390061948963</v>
      </c>
      <c r="P462">
        <v>0.13085257854413071</v>
      </c>
      <c r="Q462">
        <v>0.4672931329656026</v>
      </c>
      <c r="R462">
        <v>-0.39961544227348544</v>
      </c>
      <c r="S462" s="2">
        <v>2.5868606462643245E-3</v>
      </c>
      <c r="T462" s="2">
        <v>5.1497637992993775E-3</v>
      </c>
      <c r="U462" s="2">
        <v>9.106149910197394E-3</v>
      </c>
      <c r="V462" s="2">
        <v>1.4751670084741328E-2</v>
      </c>
      <c r="W462" s="2">
        <v>2.2299171792615678E-2</v>
      </c>
      <c r="X462" s="2">
        <v>3.1806236408714654E-2</v>
      </c>
      <c r="Y462" s="2">
        <v>4.3087828813598864E-2</v>
      </c>
      <c r="Z462" s="2">
        <v>5.5628373075563647E-2</v>
      </c>
      <c r="AA462" s="2">
        <v>6.8520618942859532E-2</v>
      </c>
      <c r="AB462" s="2">
        <v>8.0470798349630279E-2</v>
      </c>
      <c r="AC462" s="2">
        <v>8.9912845808881509E-2</v>
      </c>
      <c r="AD462" s="2">
        <v>9.5258172928645315E-2</v>
      </c>
      <c r="AE462" s="2">
        <v>9.5263674174949797E-2</v>
      </c>
      <c r="AF462" s="2">
        <v>8.9433890277918066E-2</v>
      </c>
      <c r="AG462" s="2">
        <v>7.8309999217130652E-2</v>
      </c>
      <c r="AH462" s="2">
        <v>6.449598192381073E-2</v>
      </c>
      <c r="AI462" s="2">
        <v>4.9118242892529425E-2</v>
      </c>
      <c r="AJ462" s="2">
        <v>1.8840007356925266E-2</v>
      </c>
      <c r="AK462" s="2">
        <v>0</v>
      </c>
      <c r="AL462" s="2">
        <v>0</v>
      </c>
      <c r="AM462" s="2">
        <v>0</v>
      </c>
      <c r="AN462" s="2">
        <v>0</v>
      </c>
      <c r="AO462" s="2">
        <v>0</v>
      </c>
      <c r="AP462" s="2">
        <v>0</v>
      </c>
      <c r="AQ462" s="2">
        <v>0</v>
      </c>
      <c r="AR462" s="2">
        <v>0.91404028640427593</v>
      </c>
    </row>
    <row r="463" spans="1:44" x14ac:dyDescent="0.25">
      <c r="A463" t="s">
        <v>250</v>
      </c>
      <c r="B463" t="s">
        <v>353</v>
      </c>
      <c r="C463" t="s">
        <v>45</v>
      </c>
      <c r="D463" t="s">
        <v>354</v>
      </c>
      <c r="E463" t="s">
        <v>134</v>
      </c>
      <c r="F463" t="s">
        <v>354</v>
      </c>
      <c r="G463" t="s">
        <v>31</v>
      </c>
      <c r="H463" t="s">
        <v>288</v>
      </c>
      <c r="I463" t="s">
        <v>135</v>
      </c>
      <c r="J463" t="s">
        <v>39</v>
      </c>
      <c r="K463" t="s">
        <v>31</v>
      </c>
      <c r="L463">
        <v>2.11</v>
      </c>
      <c r="M463">
        <v>1</v>
      </c>
      <c r="N463">
        <v>1.5959225360467455</v>
      </c>
      <c r="O463">
        <v>3.1588853240212429</v>
      </c>
      <c r="P463">
        <v>-0.14324970019558894</v>
      </c>
      <c r="Q463">
        <v>1.0721225474567759</v>
      </c>
      <c r="R463">
        <v>-0.67371772101320515</v>
      </c>
      <c r="S463" s="2">
        <v>9.3562995990387858E-3</v>
      </c>
      <c r="T463" s="2">
        <v>1.8646521313467231E-2</v>
      </c>
      <c r="U463" s="2">
        <v>3.3008419758823966E-2</v>
      </c>
      <c r="V463" s="2">
        <v>5.3531640753813954E-2</v>
      </c>
      <c r="W463" s="2">
        <v>8.1009793116671336E-2</v>
      </c>
      <c r="X463" s="2">
        <v>0.11567526372526027</v>
      </c>
      <c r="Y463" s="2">
        <v>0.15687807523238598</v>
      </c>
      <c r="Z463" s="2">
        <v>0.20276053392549498</v>
      </c>
      <c r="AA463" s="2">
        <v>0.25002749558243048</v>
      </c>
      <c r="AB463" s="2">
        <v>0.2939572862504834</v>
      </c>
      <c r="AC463" s="2">
        <v>0.32881156864257693</v>
      </c>
      <c r="AD463" s="2">
        <v>0.34874422021153068</v>
      </c>
      <c r="AE463" s="2">
        <v>0.34914958070746804</v>
      </c>
      <c r="AF463" s="2">
        <v>0.32814496560504203</v>
      </c>
      <c r="AG463" s="2">
        <v>0.28764727806906032</v>
      </c>
      <c r="AH463" s="2">
        <v>0.23716747733187934</v>
      </c>
      <c r="AI463" s="2">
        <v>0.18081927492344044</v>
      </c>
      <c r="AJ463" s="2">
        <v>0.11937404383965709</v>
      </c>
      <c r="AK463" s="2">
        <v>0</v>
      </c>
      <c r="AL463" s="2">
        <v>0</v>
      </c>
      <c r="AM463" s="2">
        <v>0</v>
      </c>
      <c r="AN463" s="2">
        <v>0</v>
      </c>
      <c r="AO463" s="2">
        <v>0</v>
      </c>
      <c r="AP463" s="2">
        <v>0</v>
      </c>
      <c r="AQ463" s="2">
        <v>0</v>
      </c>
      <c r="AR463" s="2">
        <v>3.3947097385885252</v>
      </c>
    </row>
    <row r="464" spans="1:44" x14ac:dyDescent="0.25">
      <c r="A464" t="s">
        <v>250</v>
      </c>
      <c r="B464" t="s">
        <v>353</v>
      </c>
      <c r="C464" t="s">
        <v>45</v>
      </c>
      <c r="D464" t="s">
        <v>354</v>
      </c>
      <c r="E464" t="s">
        <v>134</v>
      </c>
      <c r="F464" t="s">
        <v>354</v>
      </c>
      <c r="G464" t="s">
        <v>31</v>
      </c>
      <c r="H464" t="s">
        <v>288</v>
      </c>
      <c r="I464" t="s">
        <v>135</v>
      </c>
      <c r="J464" t="s">
        <v>39</v>
      </c>
      <c r="K464" t="s">
        <v>33</v>
      </c>
      <c r="L464">
        <v>2.11</v>
      </c>
      <c r="M464">
        <v>1</v>
      </c>
      <c r="N464">
        <v>1.5959225360467455</v>
      </c>
      <c r="O464">
        <v>3.1588853240212429</v>
      </c>
      <c r="P464">
        <v>-0.14324970019558894</v>
      </c>
      <c r="Q464">
        <v>1.0721225474567759</v>
      </c>
      <c r="R464">
        <v>-0.67371772101320515</v>
      </c>
      <c r="S464" s="2">
        <v>8.8015771102188751E-5</v>
      </c>
      <c r="T464" s="2">
        <v>1.7540994005224269E-4</v>
      </c>
      <c r="U464" s="2">
        <v>3.1051394701342032E-4</v>
      </c>
      <c r="V464" s="2">
        <v>5.0357821374128885E-4</v>
      </c>
      <c r="W464" s="2">
        <v>7.620683083646787E-4</v>
      </c>
      <c r="X464" s="2">
        <v>1.0881703205906095E-3</v>
      </c>
      <c r="Y464" s="2">
        <v>1.4757698398225906E-3</v>
      </c>
      <c r="Z464" s="2">
        <v>1.9073913306898982E-3</v>
      </c>
      <c r="AA464" s="2">
        <v>2.3520369979064719E-3</v>
      </c>
      <c r="AB464" s="2">
        <v>2.7652895192775955E-3</v>
      </c>
      <c r="AC464" s="2">
        <v>3.0931677053575627E-3</v>
      </c>
      <c r="AD464" s="2">
        <v>3.2806764185386757E-3</v>
      </c>
      <c r="AE464" s="2">
        <v>3.2844896906818583E-3</v>
      </c>
      <c r="AF464" s="2">
        <v>3.0868968950070984E-3</v>
      </c>
      <c r="AG464" s="2">
        <v>2.7059305569153693E-3</v>
      </c>
      <c r="AH464" s="2">
        <v>2.2310613482140712E-3</v>
      </c>
      <c r="AI464" s="2">
        <v>1.7009874196589744E-3</v>
      </c>
      <c r="AJ464" s="2">
        <v>1.1229651644773394E-3</v>
      </c>
      <c r="AK464" s="2">
        <v>0</v>
      </c>
      <c r="AL464" s="2">
        <v>0</v>
      </c>
      <c r="AM464" s="2">
        <v>0</v>
      </c>
      <c r="AN464" s="2">
        <v>0</v>
      </c>
      <c r="AO464" s="2">
        <v>0</v>
      </c>
      <c r="AP464" s="2">
        <v>0</v>
      </c>
      <c r="AQ464" s="2">
        <v>0</v>
      </c>
      <c r="AR464" s="2">
        <v>3.1934419387411934E-2</v>
      </c>
    </row>
    <row r="465" spans="1:44" x14ac:dyDescent="0.25">
      <c r="A465" t="s">
        <v>250</v>
      </c>
      <c r="B465" t="s">
        <v>353</v>
      </c>
      <c r="C465" t="s">
        <v>45</v>
      </c>
      <c r="D465" t="s">
        <v>354</v>
      </c>
      <c r="E465" t="s">
        <v>134</v>
      </c>
      <c r="F465" t="s">
        <v>354</v>
      </c>
      <c r="G465" t="s">
        <v>31</v>
      </c>
      <c r="H465" t="s">
        <v>273</v>
      </c>
      <c r="I465" t="s">
        <v>135</v>
      </c>
      <c r="J465" t="s">
        <v>39</v>
      </c>
      <c r="K465" t="s">
        <v>31</v>
      </c>
      <c r="L465">
        <v>2.11</v>
      </c>
      <c r="M465">
        <v>1</v>
      </c>
      <c r="N465">
        <v>1.5959225360467455</v>
      </c>
      <c r="O465">
        <v>3.1588853240212429</v>
      </c>
      <c r="P465">
        <v>-0.14324970019558894</v>
      </c>
      <c r="Q465">
        <v>1.0721225474567759</v>
      </c>
      <c r="R465">
        <v>-0.67371772101320515</v>
      </c>
      <c r="S465" s="2">
        <v>3.8174824521338573E-4</v>
      </c>
      <c r="T465" s="2">
        <v>7.5957948995934385E-4</v>
      </c>
      <c r="U465" s="2">
        <v>1.3424639096966775E-3</v>
      </c>
      <c r="V465" s="2">
        <v>2.1736565216788776E-3</v>
      </c>
      <c r="W465" s="2">
        <v>3.2841301881459165E-3</v>
      </c>
      <c r="X465" s="2">
        <v>4.6819397242887258E-3</v>
      </c>
      <c r="Y465" s="2">
        <v>6.3394276580705919E-3</v>
      </c>
      <c r="Z465" s="2">
        <v>8.1803842202670968E-3</v>
      </c>
      <c r="AA465" s="2">
        <v>1.0071183870509181E-2</v>
      </c>
      <c r="AB465" s="2">
        <v>1.1821687143896272E-2</v>
      </c>
      <c r="AC465" s="2">
        <v>1.3202154153207798E-2</v>
      </c>
      <c r="AD465" s="2">
        <v>1.3980001153188776E-2</v>
      </c>
      <c r="AE465" s="2">
        <v>1.3973789328091265E-2</v>
      </c>
      <c r="AF465" s="2">
        <v>1.3112058869114264E-2</v>
      </c>
      <c r="AG465" s="2">
        <v>1.1475401554259414E-2</v>
      </c>
      <c r="AH465" s="2">
        <v>9.4463761521506127E-3</v>
      </c>
      <c r="AI465" s="2">
        <v>7.1904703931799626E-3</v>
      </c>
      <c r="AJ465" s="2">
        <v>1.8543613330834908E-3</v>
      </c>
      <c r="AK465" s="2">
        <v>0</v>
      </c>
      <c r="AL465" s="2">
        <v>0</v>
      </c>
      <c r="AM465" s="2">
        <v>0</v>
      </c>
      <c r="AN465" s="2">
        <v>0</v>
      </c>
      <c r="AO465" s="2">
        <v>0</v>
      </c>
      <c r="AP465" s="2">
        <v>0</v>
      </c>
      <c r="AQ465" s="2">
        <v>0</v>
      </c>
      <c r="AR465" s="2">
        <v>0.13327081390800166</v>
      </c>
    </row>
    <row r="466" spans="1:44" x14ac:dyDescent="0.25">
      <c r="A466" t="s">
        <v>250</v>
      </c>
      <c r="B466" t="s">
        <v>353</v>
      </c>
      <c r="C466" t="s">
        <v>45</v>
      </c>
      <c r="D466" t="s">
        <v>354</v>
      </c>
      <c r="E466" t="s">
        <v>134</v>
      </c>
      <c r="F466" t="s">
        <v>354</v>
      </c>
      <c r="G466" t="s">
        <v>31</v>
      </c>
      <c r="H466" t="s">
        <v>252</v>
      </c>
      <c r="I466" t="s">
        <v>135</v>
      </c>
      <c r="J466" t="s">
        <v>39</v>
      </c>
      <c r="K466" t="s">
        <v>31</v>
      </c>
      <c r="L466">
        <v>2.11</v>
      </c>
      <c r="M466">
        <v>1</v>
      </c>
      <c r="N466">
        <v>1.5959225360467455</v>
      </c>
      <c r="O466">
        <v>3.1588853240212429</v>
      </c>
      <c r="P466">
        <v>-0.14324970019558894</v>
      </c>
      <c r="Q466">
        <v>1.0721225474567759</v>
      </c>
      <c r="R466">
        <v>-0.67371772101320515</v>
      </c>
      <c r="S466" s="2">
        <v>8.1865990163298569E-3</v>
      </c>
      <c r="T466" s="2">
        <v>1.6303925903612782E-2</v>
      </c>
      <c r="U466" s="2">
        <v>2.8841249827271865E-2</v>
      </c>
      <c r="V466" s="2">
        <v>4.6740663149985373E-2</v>
      </c>
      <c r="W466" s="2">
        <v>7.068329883305402E-2</v>
      </c>
      <c r="X466" s="2">
        <v>0.1008590230978491</v>
      </c>
      <c r="Y466" s="2">
        <v>0.13668834440694047</v>
      </c>
      <c r="Z466" s="2">
        <v>0.1765418320851945</v>
      </c>
      <c r="AA466" s="2">
        <v>0.21754391792008079</v>
      </c>
      <c r="AB466" s="2">
        <v>0.25558677405941627</v>
      </c>
      <c r="AC466" s="2">
        <v>0.28569076901441526</v>
      </c>
      <c r="AD466" s="2">
        <v>0.30279668051394554</v>
      </c>
      <c r="AE466" s="2">
        <v>0.30293579162487116</v>
      </c>
      <c r="AF466" s="2">
        <v>0.28451147081719957</v>
      </c>
      <c r="AG466" s="2">
        <v>0.2492236635876996</v>
      </c>
      <c r="AH466" s="2">
        <v>0.20534262676820544</v>
      </c>
      <c r="AI466" s="2">
        <v>0.15644571574347768</v>
      </c>
      <c r="AJ466" s="2">
        <v>7.5740146066713823E-2</v>
      </c>
      <c r="AK466" s="2">
        <v>0</v>
      </c>
      <c r="AL466" s="2">
        <v>0</v>
      </c>
      <c r="AM466" s="2">
        <v>0</v>
      </c>
      <c r="AN466" s="2">
        <v>0</v>
      </c>
      <c r="AO466" s="2">
        <v>0</v>
      </c>
      <c r="AP466" s="2">
        <v>0</v>
      </c>
      <c r="AQ466" s="2">
        <v>0</v>
      </c>
      <c r="AR466" s="2">
        <v>2.920662492436263</v>
      </c>
    </row>
    <row r="467" spans="1:44" x14ac:dyDescent="0.25">
      <c r="A467" t="s">
        <v>250</v>
      </c>
      <c r="B467" t="s">
        <v>353</v>
      </c>
      <c r="C467" t="s">
        <v>45</v>
      </c>
      <c r="D467" t="s">
        <v>354</v>
      </c>
      <c r="E467" t="s">
        <v>134</v>
      </c>
      <c r="F467" t="s">
        <v>354</v>
      </c>
      <c r="G467" t="s">
        <v>31</v>
      </c>
      <c r="H467" t="s">
        <v>289</v>
      </c>
      <c r="I467" t="s">
        <v>135</v>
      </c>
      <c r="J467" t="s">
        <v>39</v>
      </c>
      <c r="K467" t="s">
        <v>31</v>
      </c>
      <c r="L467">
        <v>2.11</v>
      </c>
      <c r="M467">
        <v>1</v>
      </c>
      <c r="N467">
        <v>1.5959225360467455</v>
      </c>
      <c r="O467">
        <v>3.1588853240212429</v>
      </c>
      <c r="P467">
        <v>-0.14324970019558894</v>
      </c>
      <c r="Q467">
        <v>1.0721225474567759</v>
      </c>
      <c r="R467">
        <v>-0.67371772101320515</v>
      </c>
      <c r="S467" s="2">
        <v>8.8927571902675771E-3</v>
      </c>
      <c r="T467" s="2">
        <v>1.7722710215569482E-2</v>
      </c>
      <c r="U467" s="2">
        <v>3.1373072125630556E-2</v>
      </c>
      <c r="V467" s="2">
        <v>5.0879504036959872E-2</v>
      </c>
      <c r="W467" s="2">
        <v>7.6996296729785974E-2</v>
      </c>
      <c r="X467" s="2">
        <v>0.10994432385796908</v>
      </c>
      <c r="Y467" s="2">
        <v>0.14910581012833973</v>
      </c>
      <c r="Z467" s="2">
        <v>0.19271509819476909</v>
      </c>
      <c r="AA467" s="2">
        <v>0.23764029631262301</v>
      </c>
      <c r="AB467" s="2">
        <v>0.27939365806585409</v>
      </c>
      <c r="AC467" s="2">
        <v>0.31252114260960989</v>
      </c>
      <c r="AD467" s="2">
        <v>0.33146626388160538</v>
      </c>
      <c r="AE467" s="2">
        <v>0.33185154146135137</v>
      </c>
      <c r="AF467" s="2">
        <v>0.31188756531846573</v>
      </c>
      <c r="AG467" s="2">
        <v>0.27339626881682227</v>
      </c>
      <c r="AH467" s="2">
        <v>0.22541740642394209</v>
      </c>
      <c r="AI467" s="2">
        <v>0.17186088262710078</v>
      </c>
      <c r="AJ467" s="2">
        <v>0.1134598540212933</v>
      </c>
      <c r="AK467" s="2">
        <v>0</v>
      </c>
      <c r="AL467" s="2">
        <v>0</v>
      </c>
      <c r="AM467" s="2">
        <v>0</v>
      </c>
      <c r="AN467" s="2">
        <v>0</v>
      </c>
      <c r="AO467" s="2">
        <v>0</v>
      </c>
      <c r="AP467" s="2">
        <v>0</v>
      </c>
      <c r="AQ467" s="2">
        <v>0</v>
      </c>
      <c r="AR467" s="2">
        <v>3.2265244520179595</v>
      </c>
    </row>
    <row r="468" spans="1:44" x14ac:dyDescent="0.25">
      <c r="A468" t="s">
        <v>250</v>
      </c>
      <c r="B468" t="s">
        <v>353</v>
      </c>
      <c r="C468" t="s">
        <v>45</v>
      </c>
      <c r="D468" t="s">
        <v>354</v>
      </c>
      <c r="E468" t="s">
        <v>134</v>
      </c>
      <c r="F468" t="s">
        <v>354</v>
      </c>
      <c r="G468" t="s">
        <v>31</v>
      </c>
      <c r="H468" t="s">
        <v>274</v>
      </c>
      <c r="I468" t="s">
        <v>135</v>
      </c>
      <c r="J468" t="s">
        <v>39</v>
      </c>
      <c r="K468" t="s">
        <v>31</v>
      </c>
      <c r="L468">
        <v>2.11</v>
      </c>
      <c r="M468">
        <v>1</v>
      </c>
      <c r="N468">
        <v>1.5959225360467455</v>
      </c>
      <c r="O468">
        <v>3.1588853240212429</v>
      </c>
      <c r="P468">
        <v>-0.14324970019558894</v>
      </c>
      <c r="Q468">
        <v>1.0721225474567759</v>
      </c>
      <c r="R468">
        <v>-0.67371772101320515</v>
      </c>
      <c r="S468" s="2">
        <v>6.0094009778887889E-4</v>
      </c>
      <c r="T468" s="2">
        <v>1.1957141354230626E-3</v>
      </c>
      <c r="U468" s="2">
        <v>2.1132785894542056E-3</v>
      </c>
      <c r="V468" s="2">
        <v>3.4217246027339089E-3</v>
      </c>
      <c r="W468" s="2">
        <v>5.1698090067516939E-3</v>
      </c>
      <c r="X468" s="2">
        <v>7.3702115229973249E-3</v>
      </c>
      <c r="Y468" s="2">
        <v>9.9793943378495564E-3</v>
      </c>
      <c r="Z468" s="2">
        <v>1.2877389627632891E-2</v>
      </c>
      <c r="AA468" s="2">
        <v>1.5853846863423258E-2</v>
      </c>
      <c r="AB468" s="2">
        <v>1.8609452479111117E-2</v>
      </c>
      <c r="AC468" s="2">
        <v>2.0782554752590547E-2</v>
      </c>
      <c r="AD468" s="2">
        <v>2.2007025219958565E-2</v>
      </c>
      <c r="AE468" s="2">
        <v>2.1997246694900878E-2</v>
      </c>
      <c r="AF468" s="2">
        <v>2.0640728642025916E-2</v>
      </c>
      <c r="AG468" s="2">
        <v>1.8064336951512737E-2</v>
      </c>
      <c r="AH468" s="2">
        <v>1.4870287630139119E-2</v>
      </c>
      <c r="AI468" s="2">
        <v>1.1319087999501543E-2</v>
      </c>
      <c r="AJ468" s="2">
        <v>2.9190967995575906E-3</v>
      </c>
      <c r="AK468" s="2">
        <v>0</v>
      </c>
      <c r="AL468" s="2">
        <v>0</v>
      </c>
      <c r="AM468" s="2">
        <v>0</v>
      </c>
      <c r="AN468" s="2">
        <v>0</v>
      </c>
      <c r="AO468" s="2">
        <v>0</v>
      </c>
      <c r="AP468" s="2">
        <v>0</v>
      </c>
      <c r="AQ468" s="2">
        <v>0</v>
      </c>
      <c r="AR468" s="2">
        <v>0.20979212595335275</v>
      </c>
    </row>
    <row r="469" spans="1:44" x14ac:dyDescent="0.25">
      <c r="A469" t="s">
        <v>250</v>
      </c>
      <c r="B469" t="s">
        <v>353</v>
      </c>
      <c r="C469" t="s">
        <v>45</v>
      </c>
      <c r="D469" t="s">
        <v>354</v>
      </c>
      <c r="E469" t="s">
        <v>134</v>
      </c>
      <c r="F469" t="s">
        <v>354</v>
      </c>
      <c r="G469" t="s">
        <v>31</v>
      </c>
      <c r="H469" t="s">
        <v>274</v>
      </c>
      <c r="I469" t="s">
        <v>135</v>
      </c>
      <c r="J469" t="s">
        <v>39</v>
      </c>
      <c r="K469" t="s">
        <v>33</v>
      </c>
      <c r="L469">
        <v>2.11</v>
      </c>
      <c r="M469">
        <v>1</v>
      </c>
      <c r="N469">
        <v>1.5959225360467455</v>
      </c>
      <c r="O469">
        <v>3.1588853240212429</v>
      </c>
      <c r="P469">
        <v>-0.14324970019558894</v>
      </c>
      <c r="Q469">
        <v>1.0721225474567759</v>
      </c>
      <c r="R469">
        <v>-0.67371772101320515</v>
      </c>
      <c r="S469" s="2">
        <v>1.9335143225046989E-6</v>
      </c>
      <c r="T469" s="2">
        <v>3.8471894536051398E-6</v>
      </c>
      <c r="U469" s="2">
        <v>6.7994371405513042E-6</v>
      </c>
      <c r="V469" s="2">
        <v>1.1009339452294328E-5</v>
      </c>
      <c r="W469" s="2">
        <v>1.6633770646937159E-5</v>
      </c>
      <c r="X469" s="2">
        <v>2.3713527508046116E-5</v>
      </c>
      <c r="Y469" s="2">
        <v>3.2108527876822107E-5</v>
      </c>
      <c r="Z469" s="2">
        <v>4.143277736518922E-5</v>
      </c>
      <c r="AA469" s="2">
        <v>5.1009476801453597E-5</v>
      </c>
      <c r="AB469" s="2">
        <v>5.9875589987627924E-5</v>
      </c>
      <c r="AC469" s="2">
        <v>6.6867508792014551E-5</v>
      </c>
      <c r="AD469" s="2">
        <v>7.0807221243973149E-5</v>
      </c>
      <c r="AE469" s="2">
        <v>7.0775759009514906E-5</v>
      </c>
      <c r="AF469" s="2">
        <v>6.6411185745689566E-5</v>
      </c>
      <c r="AG469" s="2">
        <v>5.8121690249685217E-5</v>
      </c>
      <c r="AH469" s="2">
        <v>4.7844892059007722E-5</v>
      </c>
      <c r="AI469" s="2">
        <v>3.6418968954233624E-5</v>
      </c>
      <c r="AJ469" s="2">
        <v>9.3921432293991501E-6</v>
      </c>
      <c r="AK469" s="2">
        <v>0</v>
      </c>
      <c r="AL469" s="2">
        <v>0</v>
      </c>
      <c r="AM469" s="2">
        <v>0</v>
      </c>
      <c r="AN469" s="2">
        <v>0</v>
      </c>
      <c r="AO469" s="2">
        <v>0</v>
      </c>
      <c r="AP469" s="2">
        <v>0</v>
      </c>
      <c r="AQ469" s="2">
        <v>0</v>
      </c>
      <c r="AR469" s="2">
        <v>6.7500251983854955E-4</v>
      </c>
    </row>
    <row r="470" spans="1:44" x14ac:dyDescent="0.25">
      <c r="A470" t="s">
        <v>250</v>
      </c>
      <c r="B470" t="s">
        <v>353</v>
      </c>
      <c r="C470" t="s">
        <v>45</v>
      </c>
      <c r="D470" t="s">
        <v>354</v>
      </c>
      <c r="E470" t="s">
        <v>134</v>
      </c>
      <c r="F470" t="s">
        <v>354</v>
      </c>
      <c r="G470" t="s">
        <v>31</v>
      </c>
      <c r="H470" t="s">
        <v>255</v>
      </c>
      <c r="I470" t="s">
        <v>135</v>
      </c>
      <c r="J470" t="s">
        <v>39</v>
      </c>
      <c r="K470" t="s">
        <v>31</v>
      </c>
      <c r="L470">
        <v>2.11</v>
      </c>
      <c r="M470">
        <v>1</v>
      </c>
      <c r="N470">
        <v>1.5959225360467455</v>
      </c>
      <c r="O470">
        <v>3.1588853240212429</v>
      </c>
      <c r="P470">
        <v>-0.14324970019558894</v>
      </c>
      <c r="Q470">
        <v>1.0721225474567759</v>
      </c>
      <c r="R470">
        <v>-0.67371772101320515</v>
      </c>
      <c r="S470" s="2">
        <v>1.7476584601772867E-3</v>
      </c>
      <c r="T470" s="2">
        <v>3.4620135379995723E-3</v>
      </c>
      <c r="U470" s="2">
        <v>6.0916391554689427E-3</v>
      </c>
      <c r="V470" s="2">
        <v>9.8197060394721539E-3</v>
      </c>
      <c r="W470" s="2">
        <v>1.4770797747148396E-2</v>
      </c>
      <c r="X470" s="2">
        <v>2.0964544116405415E-2</v>
      </c>
      <c r="Y470" s="2">
        <v>2.8260879482152494E-2</v>
      </c>
      <c r="Z470" s="2">
        <v>3.6306580155898133E-2</v>
      </c>
      <c r="AA470" s="2">
        <v>4.450083744479065E-2</v>
      </c>
      <c r="AB470" s="2">
        <v>5.2004765058550555E-2</v>
      </c>
      <c r="AC470" s="2">
        <v>5.7820853023714536E-2</v>
      </c>
      <c r="AD470" s="2">
        <v>6.095690670528342E-2</v>
      </c>
      <c r="AE470" s="2">
        <v>6.0660491192892504E-2</v>
      </c>
      <c r="AF470" s="2">
        <v>5.6668098444383488E-2</v>
      </c>
      <c r="AG470" s="2">
        <v>4.9375517326217526E-2</v>
      </c>
      <c r="AH470" s="2">
        <v>4.0465510203932874E-2</v>
      </c>
      <c r="AI470" s="2">
        <v>4.7019741435404905E-3</v>
      </c>
      <c r="AJ470" s="2">
        <v>0</v>
      </c>
      <c r="AK470" s="2">
        <v>0</v>
      </c>
      <c r="AL470" s="2">
        <v>0</v>
      </c>
      <c r="AM470" s="2">
        <v>0</v>
      </c>
      <c r="AN470" s="2">
        <v>0</v>
      </c>
      <c r="AO470" s="2">
        <v>0</v>
      </c>
      <c r="AP470" s="2">
        <v>0</v>
      </c>
      <c r="AQ470" s="2">
        <v>0</v>
      </c>
      <c r="AR470" s="2">
        <v>0.54857877223802842</v>
      </c>
    </row>
    <row r="471" spans="1:44" x14ac:dyDescent="0.25">
      <c r="A471" t="s">
        <v>250</v>
      </c>
      <c r="B471" t="s">
        <v>353</v>
      </c>
      <c r="C471" t="s">
        <v>45</v>
      </c>
      <c r="D471" t="s">
        <v>354</v>
      </c>
      <c r="E471" t="s">
        <v>134</v>
      </c>
      <c r="F471" t="s">
        <v>354</v>
      </c>
      <c r="G471" t="s">
        <v>31</v>
      </c>
      <c r="H471" t="s">
        <v>278</v>
      </c>
      <c r="I471" t="s">
        <v>135</v>
      </c>
      <c r="J471" t="s">
        <v>39</v>
      </c>
      <c r="K471" t="s">
        <v>31</v>
      </c>
      <c r="L471">
        <v>2.11</v>
      </c>
      <c r="M471">
        <v>1</v>
      </c>
      <c r="N471">
        <v>1.5959225360467455</v>
      </c>
      <c r="O471">
        <v>3.1588853240212429</v>
      </c>
      <c r="P471">
        <v>-0.14324970019558894</v>
      </c>
      <c r="Q471">
        <v>1.0721225474567759</v>
      </c>
      <c r="R471">
        <v>-0.67371772101320515</v>
      </c>
      <c r="S471" s="2">
        <v>4.1077495245392549E-3</v>
      </c>
      <c r="T471" s="2">
        <v>8.1372217677037322E-3</v>
      </c>
      <c r="U471" s="2">
        <v>1.4317973685776033E-2</v>
      </c>
      <c r="V471" s="2">
        <v>2.3080535318476984E-2</v>
      </c>
      <c r="W471" s="2">
        <v>3.4717731642348072E-2</v>
      </c>
      <c r="X471" s="2">
        <v>4.927570122460348E-2</v>
      </c>
      <c r="Y471" s="2">
        <v>6.6425229471951147E-2</v>
      </c>
      <c r="Z471" s="2">
        <v>8.5336088698879944E-2</v>
      </c>
      <c r="AA471" s="2">
        <v>0.10459611990599921</v>
      </c>
      <c r="AB471" s="2">
        <v>0.12223357927805083</v>
      </c>
      <c r="AC471" s="2">
        <v>0.13590388907711609</v>
      </c>
      <c r="AD471" s="2">
        <v>0.14327496489823924</v>
      </c>
      <c r="AE471" s="2">
        <v>0.14257826087520817</v>
      </c>
      <c r="AF471" s="2">
        <v>0.13319441970248944</v>
      </c>
      <c r="AG471" s="2">
        <v>0.11605371555268008</v>
      </c>
      <c r="AH471" s="2">
        <v>9.5111364198461099E-2</v>
      </c>
      <c r="AI471" s="2">
        <v>1.1051662834948173E-2</v>
      </c>
      <c r="AJ471" s="2">
        <v>0</v>
      </c>
      <c r="AK471" s="2">
        <v>0</v>
      </c>
      <c r="AL471" s="2">
        <v>0</v>
      </c>
      <c r="AM471" s="2">
        <v>0</v>
      </c>
      <c r="AN471" s="2">
        <v>0</v>
      </c>
      <c r="AO471" s="2">
        <v>0</v>
      </c>
      <c r="AP471" s="2">
        <v>0</v>
      </c>
      <c r="AQ471" s="2">
        <v>0</v>
      </c>
      <c r="AR471" s="2">
        <v>1.2893962076574712</v>
      </c>
    </row>
    <row r="472" spans="1:44" x14ac:dyDescent="0.25">
      <c r="A472" t="s">
        <v>250</v>
      </c>
      <c r="B472" t="s">
        <v>353</v>
      </c>
      <c r="C472" t="s">
        <v>45</v>
      </c>
      <c r="D472" t="s">
        <v>354</v>
      </c>
      <c r="E472" t="s">
        <v>134</v>
      </c>
      <c r="F472" t="s">
        <v>354</v>
      </c>
      <c r="G472" t="s">
        <v>31</v>
      </c>
      <c r="H472" t="s">
        <v>276</v>
      </c>
      <c r="I472" t="s">
        <v>135</v>
      </c>
      <c r="J472" t="s">
        <v>39</v>
      </c>
      <c r="K472" t="s">
        <v>31</v>
      </c>
      <c r="L472">
        <v>2.11</v>
      </c>
      <c r="M472">
        <v>1</v>
      </c>
      <c r="N472">
        <v>1.5959225360467455</v>
      </c>
      <c r="O472">
        <v>3.1588853240212429</v>
      </c>
      <c r="P472">
        <v>-0.14324970019558894</v>
      </c>
      <c r="Q472">
        <v>1.0721225474567759</v>
      </c>
      <c r="R472">
        <v>-0.67371772101320515</v>
      </c>
      <c r="S472" s="2">
        <v>2.0216918737995321E-2</v>
      </c>
      <c r="T472" s="2">
        <v>4.0327428672837541E-2</v>
      </c>
      <c r="U472" s="2">
        <v>7.1452809141094656E-2</v>
      </c>
      <c r="V472" s="2">
        <v>0.11598370912031924</v>
      </c>
      <c r="W472" s="2">
        <v>0.17567737188707339</v>
      </c>
      <c r="X472" s="2">
        <v>0.25107915904952471</v>
      </c>
      <c r="Y472" s="2">
        <v>0.34081938122730404</v>
      </c>
      <c r="Z472" s="2">
        <v>0.4408971808154914</v>
      </c>
      <c r="AA472" s="2">
        <v>0.5441686658768643</v>
      </c>
      <c r="AB472" s="2">
        <v>0.64035654646111861</v>
      </c>
      <c r="AC472" s="2">
        <v>0.71692970911050657</v>
      </c>
      <c r="AD472" s="2">
        <v>0.76107660404251509</v>
      </c>
      <c r="AE472" s="2">
        <v>0.76264906490664619</v>
      </c>
      <c r="AF472" s="2">
        <v>0.71741561855733815</v>
      </c>
      <c r="AG472" s="2">
        <v>0.6294441689271737</v>
      </c>
      <c r="AH472" s="2">
        <v>0.51945023177216521</v>
      </c>
      <c r="AI472" s="2">
        <v>0.39639247186533927</v>
      </c>
      <c r="AJ472" s="2">
        <v>0.27384926377459989</v>
      </c>
      <c r="AK472" s="2">
        <v>7.761792381715725E-2</v>
      </c>
      <c r="AL472" s="2">
        <v>0</v>
      </c>
      <c r="AM472" s="2">
        <v>0</v>
      </c>
      <c r="AN472" s="2">
        <v>0</v>
      </c>
      <c r="AO472" s="2">
        <v>0</v>
      </c>
      <c r="AP472" s="2">
        <v>0</v>
      </c>
      <c r="AQ472" s="2">
        <v>0</v>
      </c>
      <c r="AR472" s="2">
        <v>7.4958042277630659</v>
      </c>
    </row>
    <row r="473" spans="1:44" x14ac:dyDescent="0.25">
      <c r="A473" t="s">
        <v>250</v>
      </c>
      <c r="B473" t="s">
        <v>353</v>
      </c>
      <c r="C473" t="s">
        <v>45</v>
      </c>
      <c r="D473" t="s">
        <v>354</v>
      </c>
      <c r="E473" t="s">
        <v>134</v>
      </c>
      <c r="F473" t="s">
        <v>354</v>
      </c>
      <c r="G473" t="s">
        <v>31</v>
      </c>
      <c r="H473" t="s">
        <v>290</v>
      </c>
      <c r="I473" t="s">
        <v>135</v>
      </c>
      <c r="J473" t="s">
        <v>39</v>
      </c>
      <c r="K473" t="s">
        <v>31</v>
      </c>
      <c r="L473">
        <v>2.11</v>
      </c>
      <c r="M473">
        <v>1</v>
      </c>
      <c r="N473">
        <v>1.5959225360467455</v>
      </c>
      <c r="O473">
        <v>3.1588853240212429</v>
      </c>
      <c r="P473">
        <v>-0.14324970019558894</v>
      </c>
      <c r="Q473">
        <v>1.0721225474567759</v>
      </c>
      <c r="R473">
        <v>-0.67371772101320515</v>
      </c>
      <c r="S473" s="2">
        <v>1.2877318094478481E-2</v>
      </c>
      <c r="T473" s="2">
        <v>2.5663691480514218E-2</v>
      </c>
      <c r="U473" s="2">
        <v>4.5430345248255323E-2</v>
      </c>
      <c r="V473" s="2">
        <v>7.3676987232968644E-2</v>
      </c>
      <c r="W473" s="2">
        <v>0.11149588185893936</v>
      </c>
      <c r="X473" s="2">
        <v>0.15920686922059404</v>
      </c>
      <c r="Y473" s="2">
        <v>0.21591536861693716</v>
      </c>
      <c r="Z473" s="2">
        <v>0.27906458795239258</v>
      </c>
      <c r="AA473" s="2">
        <v>0.34411933466854172</v>
      </c>
      <c r="AB473" s="2">
        <v>0.40458104629591274</v>
      </c>
      <c r="AC473" s="2">
        <v>0.45255190021810643</v>
      </c>
      <c r="AD473" s="2">
        <v>0.47998572616636825</v>
      </c>
      <c r="AE473" s="2">
        <v>0.48054363434297864</v>
      </c>
      <c r="AF473" s="2">
        <v>0.45163443714777413</v>
      </c>
      <c r="AG473" s="2">
        <v>0.39589641818296789</v>
      </c>
      <c r="AH473" s="2">
        <v>0.32641975761244152</v>
      </c>
      <c r="AI473" s="2">
        <v>0.24886626343616799</v>
      </c>
      <c r="AJ473" s="2">
        <v>0.16429759633877108</v>
      </c>
      <c r="AK473" s="2">
        <v>0</v>
      </c>
      <c r="AL473" s="2">
        <v>0</v>
      </c>
      <c r="AM473" s="2">
        <v>0</v>
      </c>
      <c r="AN473" s="2">
        <v>0</v>
      </c>
      <c r="AO473" s="2">
        <v>0</v>
      </c>
      <c r="AP473" s="2">
        <v>0</v>
      </c>
      <c r="AQ473" s="2">
        <v>0</v>
      </c>
      <c r="AR473" s="2">
        <v>4.6722271641151094</v>
      </c>
    </row>
    <row r="474" spans="1:44" x14ac:dyDescent="0.25">
      <c r="A474" t="s">
        <v>250</v>
      </c>
      <c r="B474" t="s">
        <v>353</v>
      </c>
      <c r="C474" t="s">
        <v>45</v>
      </c>
      <c r="D474" t="s">
        <v>354</v>
      </c>
      <c r="E474" t="s">
        <v>134</v>
      </c>
      <c r="F474" t="s">
        <v>354</v>
      </c>
      <c r="G474" t="s">
        <v>31</v>
      </c>
      <c r="H474" t="s">
        <v>275</v>
      </c>
      <c r="I474" t="s">
        <v>135</v>
      </c>
      <c r="J474" t="s">
        <v>39</v>
      </c>
      <c r="K474" t="s">
        <v>31</v>
      </c>
      <c r="L474">
        <v>2.11</v>
      </c>
      <c r="M474">
        <v>1</v>
      </c>
      <c r="N474">
        <v>1.5959225360467455</v>
      </c>
      <c r="O474">
        <v>3.1588853240212429</v>
      </c>
      <c r="P474">
        <v>-0.14324970019558894</v>
      </c>
      <c r="Q474">
        <v>1.0721225474567759</v>
      </c>
      <c r="R474">
        <v>-0.67371772101320515</v>
      </c>
      <c r="S474" s="2">
        <v>9.1804861493338511E-4</v>
      </c>
      <c r="T474" s="2">
        <v>1.8266774174670957E-3</v>
      </c>
      <c r="U474" s="2">
        <v>3.2284290716416818E-3</v>
      </c>
      <c r="V474" s="2">
        <v>5.2273255583736274E-3</v>
      </c>
      <c r="W474" s="2">
        <v>7.8978520747436283E-3</v>
      </c>
      <c r="X474" s="2">
        <v>1.1259379271494155E-2</v>
      </c>
      <c r="Y474" s="2">
        <v>1.5245394979376927E-2</v>
      </c>
      <c r="Z474" s="2">
        <v>1.967262586587994E-2</v>
      </c>
      <c r="AA474" s="2">
        <v>2.4219722078597281E-2</v>
      </c>
      <c r="AB474" s="2">
        <v>2.8429426054239881E-2</v>
      </c>
      <c r="AC474" s="2">
        <v>3.1749247014127416E-2</v>
      </c>
      <c r="AD474" s="2">
        <v>3.361985511754767E-2</v>
      </c>
      <c r="AE474" s="2">
        <v>3.3604916588036444E-2</v>
      </c>
      <c r="AF474" s="2">
        <v>3.153258105217159E-2</v>
      </c>
      <c r="AG474" s="2">
        <v>2.7596659931739952E-2</v>
      </c>
      <c r="AH474" s="2">
        <v>2.2717151031759482E-2</v>
      </c>
      <c r="AI474" s="2">
        <v>1.729202810477494E-2</v>
      </c>
      <c r="AJ474" s="2">
        <v>4.4594673970846065E-3</v>
      </c>
      <c r="AK474" s="2">
        <v>0</v>
      </c>
      <c r="AL474" s="2">
        <v>0</v>
      </c>
      <c r="AM474" s="2">
        <v>0</v>
      </c>
      <c r="AN474" s="2">
        <v>0</v>
      </c>
      <c r="AO474" s="2">
        <v>0</v>
      </c>
      <c r="AP474" s="2">
        <v>0</v>
      </c>
      <c r="AQ474" s="2">
        <v>0</v>
      </c>
      <c r="AR474" s="2">
        <v>0.32049678722398967</v>
      </c>
    </row>
    <row r="475" spans="1:44" x14ac:dyDescent="0.25">
      <c r="A475" t="s">
        <v>250</v>
      </c>
      <c r="B475" t="s">
        <v>353</v>
      </c>
      <c r="C475" t="s">
        <v>45</v>
      </c>
      <c r="D475" t="s">
        <v>354</v>
      </c>
      <c r="E475" t="s">
        <v>134</v>
      </c>
      <c r="F475" t="s">
        <v>354</v>
      </c>
      <c r="G475" t="s">
        <v>31</v>
      </c>
      <c r="H475" t="s">
        <v>277</v>
      </c>
      <c r="I475" t="s">
        <v>135</v>
      </c>
      <c r="J475" t="s">
        <v>39</v>
      </c>
      <c r="K475" t="s">
        <v>31</v>
      </c>
      <c r="L475">
        <v>2.11</v>
      </c>
      <c r="M475">
        <v>1</v>
      </c>
      <c r="N475">
        <v>1.5959225360467455</v>
      </c>
      <c r="O475">
        <v>3.1588853240212429</v>
      </c>
      <c r="P475">
        <v>-0.14324970019558894</v>
      </c>
      <c r="Q475">
        <v>1.0721225474567759</v>
      </c>
      <c r="R475">
        <v>-0.67371772101320515</v>
      </c>
      <c r="S475" s="2">
        <v>4.8432645671428676E-4</v>
      </c>
      <c r="T475" s="2">
        <v>9.6356721329635836E-4</v>
      </c>
      <c r="U475" s="2">
        <v>1.7027819756427144E-3</v>
      </c>
      <c r="V475" s="2">
        <v>2.756734773654148E-3</v>
      </c>
      <c r="W475" s="2">
        <v>4.1645882699797177E-3</v>
      </c>
      <c r="X475" s="2">
        <v>5.9364274631730886E-3</v>
      </c>
      <c r="Y475" s="2">
        <v>8.0370568119328308E-3</v>
      </c>
      <c r="Z475" s="2">
        <v>1.0369751066231538E-2</v>
      </c>
      <c r="AA475" s="2">
        <v>1.2765058055030724E-2</v>
      </c>
      <c r="AB475" s="2">
        <v>1.4981985475918995E-2</v>
      </c>
      <c r="AC475" s="2">
        <v>1.6729476456445357E-2</v>
      </c>
      <c r="AD475" s="2">
        <v>1.771301125333349E-2</v>
      </c>
      <c r="AE475" s="2">
        <v>1.7703006280221287E-2</v>
      </c>
      <c r="AF475" s="2">
        <v>1.6609301284711282E-2</v>
      </c>
      <c r="AG475" s="2">
        <v>1.4534363075650019E-2</v>
      </c>
      <c r="AH475" s="2">
        <v>1.1963024414431984E-2</v>
      </c>
      <c r="AI475" s="2">
        <v>9.1050156593850719E-3</v>
      </c>
      <c r="AJ475" s="2">
        <v>2.0735361730105412E-3</v>
      </c>
      <c r="AK475" s="2">
        <v>0</v>
      </c>
      <c r="AL475" s="2">
        <v>0</v>
      </c>
      <c r="AM475" s="2">
        <v>0</v>
      </c>
      <c r="AN475" s="2">
        <v>0</v>
      </c>
      <c r="AO475" s="2">
        <v>0</v>
      </c>
      <c r="AP475" s="2">
        <v>0</v>
      </c>
      <c r="AQ475" s="2">
        <v>0</v>
      </c>
      <c r="AR475" s="2">
        <v>0.16859301215876343</v>
      </c>
    </row>
    <row r="476" spans="1:44" x14ac:dyDescent="0.25">
      <c r="A476" t="s">
        <v>250</v>
      </c>
      <c r="B476" t="s">
        <v>353</v>
      </c>
      <c r="C476" t="s">
        <v>45</v>
      </c>
      <c r="D476" t="s">
        <v>354</v>
      </c>
      <c r="E476" t="s">
        <v>134</v>
      </c>
      <c r="F476" t="s">
        <v>354</v>
      </c>
      <c r="G476" t="s">
        <v>31</v>
      </c>
      <c r="H476" t="s">
        <v>277</v>
      </c>
      <c r="I476" t="s">
        <v>135</v>
      </c>
      <c r="J476" t="s">
        <v>40</v>
      </c>
      <c r="K476" t="s">
        <v>31</v>
      </c>
      <c r="L476">
        <v>2.11</v>
      </c>
      <c r="M476">
        <v>1</v>
      </c>
      <c r="N476">
        <v>1.5959225360467455</v>
      </c>
      <c r="O476">
        <v>1.9798085216903567</v>
      </c>
      <c r="P476">
        <v>-0.14324970019558894</v>
      </c>
      <c r="Q476">
        <v>0.4672931329656026</v>
      </c>
      <c r="R476">
        <v>-0.53071772101320502</v>
      </c>
      <c r="S476" s="2">
        <v>7.6400265811979063E-5</v>
      </c>
      <c r="T476" s="2">
        <v>1.5199828587307101E-4</v>
      </c>
      <c r="U476" s="2">
        <v>2.6860600686882263E-4</v>
      </c>
      <c r="V476" s="2">
        <v>4.348622020550669E-4</v>
      </c>
      <c r="W476" s="2">
        <v>6.5694460092564834E-4</v>
      </c>
      <c r="X476" s="2">
        <v>9.3644406551077794E-4</v>
      </c>
      <c r="Y476" s="2">
        <v>1.2678086614208548E-3</v>
      </c>
      <c r="Z476" s="2">
        <v>1.6357804263654068E-3</v>
      </c>
      <c r="AA476" s="2">
        <v>2.0136290615340308E-3</v>
      </c>
      <c r="AB476" s="2">
        <v>2.3633391421907356E-3</v>
      </c>
      <c r="AC476" s="2">
        <v>2.6389977884723878E-3</v>
      </c>
      <c r="AD476" s="2">
        <v>2.7941458686069234E-3</v>
      </c>
      <c r="AE476" s="2">
        <v>2.7925676302211874E-3</v>
      </c>
      <c r="AF476" s="2">
        <v>2.6200407091363318E-3</v>
      </c>
      <c r="AG476" s="2">
        <v>2.292728772078082E-3</v>
      </c>
      <c r="AH476" s="2">
        <v>1.8871119520876632E-3</v>
      </c>
      <c r="AI476" s="2">
        <v>1.436274246338795E-3</v>
      </c>
      <c r="AJ476" s="2">
        <v>3.2709077233461807E-4</v>
      </c>
      <c r="AK476" s="2">
        <v>0</v>
      </c>
      <c r="AL476" s="2">
        <v>0</v>
      </c>
      <c r="AM476" s="2">
        <v>0</v>
      </c>
      <c r="AN476" s="2">
        <v>0</v>
      </c>
      <c r="AO476" s="2">
        <v>0</v>
      </c>
      <c r="AP476" s="2">
        <v>0</v>
      </c>
      <c r="AQ476" s="2">
        <v>0</v>
      </c>
      <c r="AR476" s="2">
        <v>2.659477045783238E-2</v>
      </c>
    </row>
    <row r="477" spans="1:44" x14ac:dyDescent="0.25">
      <c r="A477" t="s">
        <v>250</v>
      </c>
      <c r="B477" t="s">
        <v>261</v>
      </c>
      <c r="C477" t="s">
        <v>43</v>
      </c>
      <c r="D477" t="s">
        <v>262</v>
      </c>
      <c r="E477" t="s">
        <v>134</v>
      </c>
      <c r="F477" t="s">
        <v>262</v>
      </c>
      <c r="G477" t="s">
        <v>31</v>
      </c>
      <c r="H477" t="s">
        <v>254</v>
      </c>
      <c r="I477" t="s">
        <v>135</v>
      </c>
      <c r="J477" t="s">
        <v>39</v>
      </c>
      <c r="K477" t="s">
        <v>31</v>
      </c>
      <c r="L477">
        <v>1.5016666666666667</v>
      </c>
      <c r="M477">
        <v>1</v>
      </c>
      <c r="N477">
        <v>1.5584917401472864</v>
      </c>
      <c r="O477">
        <v>2.9025603819605665</v>
      </c>
      <c r="P477">
        <v>-7.0871986976393714E-2</v>
      </c>
      <c r="Q477">
        <v>1.008786206068599</v>
      </c>
      <c r="R477">
        <v>-0.53800366640583275</v>
      </c>
      <c r="S477" s="2">
        <v>7.1101834746856748E-4</v>
      </c>
      <c r="T477" s="2">
        <v>1.4149022342590683E-3</v>
      </c>
      <c r="U477" s="2">
        <v>2.5009514827168829E-3</v>
      </c>
      <c r="V477" s="2">
        <v>4.0498879801961164E-3</v>
      </c>
      <c r="W477" s="2">
        <v>6.1195840197069756E-3</v>
      </c>
      <c r="X477" s="2">
        <v>8.7252283116258621E-3</v>
      </c>
      <c r="Y477" s="2">
        <v>1.1815455710778123E-2</v>
      </c>
      <c r="Z477" s="2">
        <v>1.5248375329374449E-2</v>
      </c>
      <c r="AA477" s="2">
        <v>1.8774995461369706E-2</v>
      </c>
      <c r="AB477" s="2">
        <v>2.2040844070183079E-2</v>
      </c>
      <c r="AC477" s="2">
        <v>2.4617446598341808E-2</v>
      </c>
      <c r="AD477" s="2">
        <v>2.6070829954850161E-2</v>
      </c>
      <c r="AE477" s="2">
        <v>2.6062212762447145E-2</v>
      </c>
      <c r="AF477" s="2">
        <v>2.4457802266185272E-2</v>
      </c>
      <c r="AG477" s="2">
        <v>2.140739760408282E-2</v>
      </c>
      <c r="AH477" s="2">
        <v>1.7624250767498469E-2</v>
      </c>
      <c r="AI477" s="2">
        <v>1.3416899775159676E-2</v>
      </c>
      <c r="AJ477" s="2">
        <v>3.8422520732117093E-3</v>
      </c>
      <c r="AK477" s="2">
        <v>0</v>
      </c>
      <c r="AL477" s="2">
        <v>0</v>
      </c>
      <c r="AM477" s="2">
        <v>0</v>
      </c>
      <c r="AN477" s="2">
        <v>0</v>
      </c>
      <c r="AO477" s="2">
        <v>0</v>
      </c>
      <c r="AP477" s="2">
        <v>0</v>
      </c>
      <c r="AQ477" s="2">
        <v>0</v>
      </c>
      <c r="AR477" s="2">
        <v>0.24890033474945589</v>
      </c>
    </row>
    <row r="478" spans="1:44" x14ac:dyDescent="0.25">
      <c r="A478" t="s">
        <v>250</v>
      </c>
      <c r="B478" t="s">
        <v>261</v>
      </c>
      <c r="C478" t="s">
        <v>43</v>
      </c>
      <c r="D478" t="s">
        <v>262</v>
      </c>
      <c r="E478" t="s">
        <v>134</v>
      </c>
      <c r="F478" t="s">
        <v>262</v>
      </c>
      <c r="G478" t="s">
        <v>31</v>
      </c>
      <c r="H478" t="s">
        <v>252</v>
      </c>
      <c r="I478" t="s">
        <v>135</v>
      </c>
      <c r="J478" t="s">
        <v>39</v>
      </c>
      <c r="K478" t="s">
        <v>31</v>
      </c>
      <c r="L478">
        <v>1.5016666666666667</v>
      </c>
      <c r="M478">
        <v>1</v>
      </c>
      <c r="N478">
        <v>1.5584917401472864</v>
      </c>
      <c r="O478">
        <v>2.9025603819605665</v>
      </c>
      <c r="P478">
        <v>-7.0871986976393714E-2</v>
      </c>
      <c r="Q478">
        <v>1.008786206068599</v>
      </c>
      <c r="R478">
        <v>-0.53800366640583275</v>
      </c>
      <c r="S478" s="2">
        <v>2.8774315564426924E-3</v>
      </c>
      <c r="T478" s="2">
        <v>5.7305152964473227E-3</v>
      </c>
      <c r="U478" s="2">
        <v>1.0137142690719468E-2</v>
      </c>
      <c r="V478" s="2">
        <v>1.6428441022768057E-2</v>
      </c>
      <c r="W478" s="2">
        <v>2.4843815382920624E-2</v>
      </c>
      <c r="X478" s="2">
        <v>3.5450000083653788E-2</v>
      </c>
      <c r="Y478" s="2">
        <v>4.8043315033495224E-2</v>
      </c>
      <c r="Z478" s="2">
        <v>6.2051046797438204E-2</v>
      </c>
      <c r="AA478" s="2">
        <v>7.6462488645993032E-2</v>
      </c>
      <c r="AB478" s="2">
        <v>8.9833818368406648E-2</v>
      </c>
      <c r="AC478" s="2">
        <v>0.1004147916010909</v>
      </c>
      <c r="AD478" s="2">
        <v>0.10642718935653035</v>
      </c>
      <c r="AE478" s="2">
        <v>0.10647608422723684</v>
      </c>
      <c r="AF478" s="2">
        <v>0.10000029104471146</v>
      </c>
      <c r="AG478" s="2">
        <v>8.7597307842860364E-2</v>
      </c>
      <c r="AH478" s="2">
        <v>7.2173970285716649E-2</v>
      </c>
      <c r="AI478" s="2">
        <v>5.4987649749621961E-2</v>
      </c>
      <c r="AJ478" s="2">
        <v>2.6621199590601601E-2</v>
      </c>
      <c r="AK478" s="2">
        <v>0</v>
      </c>
      <c r="AL478" s="2">
        <v>0</v>
      </c>
      <c r="AM478" s="2">
        <v>0</v>
      </c>
      <c r="AN478" s="2">
        <v>0</v>
      </c>
      <c r="AO478" s="2">
        <v>0</v>
      </c>
      <c r="AP478" s="2">
        <v>0</v>
      </c>
      <c r="AQ478" s="2">
        <v>0</v>
      </c>
      <c r="AR478" s="2">
        <v>1.0265564985766551</v>
      </c>
    </row>
    <row r="479" spans="1:44" x14ac:dyDescent="0.25">
      <c r="A479" t="s">
        <v>250</v>
      </c>
      <c r="B479" t="s">
        <v>261</v>
      </c>
      <c r="C479" t="s">
        <v>43</v>
      </c>
      <c r="D479" t="s">
        <v>262</v>
      </c>
      <c r="E479" t="s">
        <v>134</v>
      </c>
      <c r="F479" t="s">
        <v>262</v>
      </c>
      <c r="G479" t="s">
        <v>31</v>
      </c>
      <c r="H479" t="s">
        <v>255</v>
      </c>
      <c r="I479" t="s">
        <v>135</v>
      </c>
      <c r="J479" t="s">
        <v>39</v>
      </c>
      <c r="K479" t="s">
        <v>31</v>
      </c>
      <c r="L479">
        <v>1.5016666666666667</v>
      </c>
      <c r="M479">
        <v>1</v>
      </c>
      <c r="N479">
        <v>1.5584917401472864</v>
      </c>
      <c r="O479">
        <v>2.9025603819605665</v>
      </c>
      <c r="P479">
        <v>-7.0871986976393714E-2</v>
      </c>
      <c r="Q479">
        <v>1.008786206068599</v>
      </c>
      <c r="R479">
        <v>-0.53800366640583275</v>
      </c>
      <c r="S479" s="2">
        <v>1.8305801635687562E-4</v>
      </c>
      <c r="T479" s="2">
        <v>3.6262767886727774E-4</v>
      </c>
      <c r="U479" s="2">
        <v>6.3806710840337566E-4</v>
      </c>
      <c r="V479" s="2">
        <v>1.0285624735916952E-3</v>
      </c>
      <c r="W479" s="2">
        <v>1.547163245687776E-3</v>
      </c>
      <c r="X479" s="2">
        <v>2.1959255467948091E-3</v>
      </c>
      <c r="Y479" s="2">
        <v>2.9601782364151179E-3</v>
      </c>
      <c r="Z479" s="2">
        <v>3.8029229940994345E-3</v>
      </c>
      <c r="AA479" s="2">
        <v>4.6612282745661726E-3</v>
      </c>
      <c r="AB479" s="2">
        <v>5.4472251584888609E-3</v>
      </c>
      <c r="AC479" s="2">
        <v>6.0564297314189813E-3</v>
      </c>
      <c r="AD479" s="2">
        <v>6.3849148326088571E-3</v>
      </c>
      <c r="AE479" s="2">
        <v>6.3538668693184867E-3</v>
      </c>
      <c r="AF479" s="2">
        <v>5.9356847623949762E-3</v>
      </c>
      <c r="AG479" s="2">
        <v>5.1718253104299488E-3</v>
      </c>
      <c r="AH479" s="2">
        <v>4.2385490057647891E-3</v>
      </c>
      <c r="AI479" s="2">
        <v>4.9250701970138201E-4</v>
      </c>
      <c r="AJ479" s="2">
        <v>0</v>
      </c>
      <c r="AK479" s="2">
        <v>0</v>
      </c>
      <c r="AL479" s="2">
        <v>0</v>
      </c>
      <c r="AM479" s="2">
        <v>0</v>
      </c>
      <c r="AN479" s="2">
        <v>0</v>
      </c>
      <c r="AO479" s="2">
        <v>0</v>
      </c>
      <c r="AP479" s="2">
        <v>0</v>
      </c>
      <c r="AQ479" s="2">
        <v>0</v>
      </c>
      <c r="AR479" s="2">
        <v>5.7460736264908815E-2</v>
      </c>
    </row>
    <row r="480" spans="1:44" x14ac:dyDescent="0.25">
      <c r="A480" t="s">
        <v>250</v>
      </c>
      <c r="B480" t="s">
        <v>263</v>
      </c>
      <c r="C480" t="s">
        <v>43</v>
      </c>
      <c r="D480" t="s">
        <v>264</v>
      </c>
      <c r="E480" t="s">
        <v>145</v>
      </c>
      <c r="F480" t="s">
        <v>265</v>
      </c>
      <c r="G480" t="s">
        <v>31</v>
      </c>
      <c r="H480" t="s">
        <v>254</v>
      </c>
      <c r="I480" t="s">
        <v>135</v>
      </c>
      <c r="J480" t="s">
        <v>39</v>
      </c>
      <c r="K480" t="s">
        <v>31</v>
      </c>
      <c r="L480">
        <v>0.36249999999999993</v>
      </c>
      <c r="M480">
        <v>1</v>
      </c>
      <c r="N480">
        <v>1.1290986548603958</v>
      </c>
      <c r="O480">
        <v>2.9025603819605679</v>
      </c>
      <c r="P480">
        <v>0.31276660789219263</v>
      </c>
      <c r="Q480">
        <v>1.3924248009371851</v>
      </c>
      <c r="R480">
        <v>-0.53800366640583286</v>
      </c>
      <c r="S480" s="2">
        <v>3.8249590418055747E-5</v>
      </c>
      <c r="T480" s="2">
        <v>5.8567421758126609E-5</v>
      </c>
      <c r="U480" s="2">
        <v>1.2730741796002724E-4</v>
      </c>
      <c r="V480" s="2">
        <v>2.3847509839611787E-4</v>
      </c>
      <c r="W480" s="2">
        <v>4.0624817589206996E-4</v>
      </c>
      <c r="X480" s="2">
        <v>6.4515981833607552E-4</v>
      </c>
      <c r="Y480" s="2">
        <v>9.6826079261851051E-4</v>
      </c>
      <c r="Z480" s="2">
        <v>1.3846284555116203E-3</v>
      </c>
      <c r="AA480" s="2">
        <v>1.8964296044839889E-3</v>
      </c>
      <c r="AB480" s="2">
        <v>2.496041216763673E-3</v>
      </c>
      <c r="AC480" s="2">
        <v>3.5375318396073546E-3</v>
      </c>
      <c r="AD480" s="2">
        <v>4.5076907039275126E-3</v>
      </c>
      <c r="AE480" s="2">
        <v>5.3267338901188495E-3</v>
      </c>
      <c r="AF480" s="2">
        <v>6.0858776511314768E-3</v>
      </c>
      <c r="AG480" s="2">
        <v>6.7349919337016664E-3</v>
      </c>
      <c r="AH480" s="2">
        <v>7.2379650969327065E-3</v>
      </c>
      <c r="AI480" s="2">
        <v>7.5796392943417957E-3</v>
      </c>
      <c r="AJ480" s="2">
        <v>7.7884618956293276E-3</v>
      </c>
      <c r="AK480" s="2">
        <v>7.8392472825560278E-3</v>
      </c>
      <c r="AL480" s="2">
        <v>7.8368844973190129E-3</v>
      </c>
      <c r="AM480" s="2">
        <v>4.9923298388237069E-3</v>
      </c>
      <c r="AN480" s="2">
        <v>6.0825903756295469E-4</v>
      </c>
      <c r="AO480" s="2">
        <v>4.8294928257602897E-4</v>
      </c>
      <c r="AP480" s="2">
        <v>3.6329914823748645E-4</v>
      </c>
      <c r="AQ480" s="2">
        <v>2.5687482830229051E-4</v>
      </c>
      <c r="AR480" s="2">
        <v>7.9438103812906474E-2</v>
      </c>
    </row>
    <row r="481" spans="1:44" x14ac:dyDescent="0.25">
      <c r="A481" t="s">
        <v>250</v>
      </c>
      <c r="B481" t="s">
        <v>263</v>
      </c>
      <c r="C481" t="s">
        <v>43</v>
      </c>
      <c r="D481" t="s">
        <v>264</v>
      </c>
      <c r="E481" t="s">
        <v>145</v>
      </c>
      <c r="F481" t="s">
        <v>265</v>
      </c>
      <c r="G481" t="s">
        <v>31</v>
      </c>
      <c r="H481" t="s">
        <v>252</v>
      </c>
      <c r="I481" t="s">
        <v>135</v>
      </c>
      <c r="J481" t="s">
        <v>39</v>
      </c>
      <c r="K481" t="s">
        <v>31</v>
      </c>
      <c r="L481">
        <v>0.36249999999999993</v>
      </c>
      <c r="M481">
        <v>1</v>
      </c>
      <c r="N481">
        <v>1.1290986548603958</v>
      </c>
      <c r="O481">
        <v>2.9025603819605679</v>
      </c>
      <c r="P481">
        <v>0.31276660789219263</v>
      </c>
      <c r="Q481">
        <v>1.3924248009371851</v>
      </c>
      <c r="R481">
        <v>-0.53800366640583286</v>
      </c>
      <c r="S481" s="2">
        <v>1.9729665618531609E-4</v>
      </c>
      <c r="T481" s="2">
        <v>3.0233755112586284E-4</v>
      </c>
      <c r="U481" s="2">
        <v>6.5770742411438239E-4</v>
      </c>
      <c r="V481" s="2">
        <v>1.2330058017623493E-3</v>
      </c>
      <c r="W481" s="2">
        <v>2.102115413555517E-3</v>
      </c>
      <c r="X481" s="2">
        <v>3.3409924396456273E-3</v>
      </c>
      <c r="Y481" s="2">
        <v>5.0181492924470921E-3</v>
      </c>
      <c r="Z481" s="2">
        <v>7.1817045222561859E-3</v>
      </c>
      <c r="AA481" s="2">
        <v>9.8440555533867921E-3</v>
      </c>
      <c r="AB481" s="2">
        <v>1.2966779667134718E-2</v>
      </c>
      <c r="AC481" s="2">
        <v>1.8376503592138521E-2</v>
      </c>
      <c r="AD481" s="2">
        <v>2.3261762447184097E-2</v>
      </c>
      <c r="AE481" s="2">
        <v>2.7509678824557921E-2</v>
      </c>
      <c r="AF481" s="2">
        <v>3.1455853121071117E-2</v>
      </c>
      <c r="AG481" s="2">
        <v>3.4841259041067177E-2</v>
      </c>
      <c r="AH481" s="2">
        <v>3.7478693588440706E-2</v>
      </c>
      <c r="AI481" s="2">
        <v>3.9288783883211768E-2</v>
      </c>
      <c r="AJ481" s="2">
        <v>4.0417764399173946E-2</v>
      </c>
      <c r="AK481" s="2">
        <v>4.073329532970113E-2</v>
      </c>
      <c r="AL481" s="2">
        <v>4.0778308552869555E-2</v>
      </c>
      <c r="AM481" s="2">
        <v>2.8641324723526724E-2</v>
      </c>
      <c r="AN481" s="2">
        <v>3.0036146442551136E-3</v>
      </c>
      <c r="AO481" s="2">
        <v>2.3864754093320404E-3</v>
      </c>
      <c r="AP481" s="2">
        <v>1.796453460334587E-3</v>
      </c>
      <c r="AQ481" s="2">
        <v>1.2710588788219883E-3</v>
      </c>
      <c r="AR481" s="2">
        <v>0.41408497421730023</v>
      </c>
    </row>
    <row r="482" spans="1:44" x14ac:dyDescent="0.25">
      <c r="A482" t="s">
        <v>250</v>
      </c>
      <c r="B482" t="s">
        <v>263</v>
      </c>
      <c r="C482" t="s">
        <v>43</v>
      </c>
      <c r="D482" t="s">
        <v>264</v>
      </c>
      <c r="E482" t="s">
        <v>145</v>
      </c>
      <c r="F482" t="s">
        <v>265</v>
      </c>
      <c r="G482" t="s">
        <v>31</v>
      </c>
      <c r="H482" t="s">
        <v>255</v>
      </c>
      <c r="I482" t="s">
        <v>135</v>
      </c>
      <c r="J482" t="s">
        <v>39</v>
      </c>
      <c r="K482" t="s">
        <v>31</v>
      </c>
      <c r="L482">
        <v>0.36249999999999993</v>
      </c>
      <c r="M482">
        <v>1</v>
      </c>
      <c r="N482">
        <v>1.1290986548603958</v>
      </c>
      <c r="O482">
        <v>2.9025603819605679</v>
      </c>
      <c r="P482">
        <v>0.31276660789219263</v>
      </c>
      <c r="Q482">
        <v>1.3924248009371851</v>
      </c>
      <c r="R482">
        <v>-0.53800366640583286</v>
      </c>
      <c r="S482" s="2">
        <v>9.847698267310576E-6</v>
      </c>
      <c r="T482" s="2">
        <v>1.5010343255632778E-5</v>
      </c>
      <c r="U482" s="2">
        <v>3.2479908793676569E-5</v>
      </c>
      <c r="V482" s="2">
        <v>6.0566252275564401E-5</v>
      </c>
      <c r="W482" s="2">
        <v>1.0270832859616648E-4</v>
      </c>
      <c r="X482" s="2">
        <v>1.6237087171254715E-4</v>
      </c>
      <c r="Y482" s="2">
        <v>2.4258264730904803E-4</v>
      </c>
      <c r="Z482" s="2">
        <v>3.4532435607128687E-4</v>
      </c>
      <c r="AA482" s="2">
        <v>4.7082255286469302E-4</v>
      </c>
      <c r="AB482" s="2">
        <v>6.168773967678311E-4</v>
      </c>
      <c r="AC482" s="2">
        <v>8.7458163315565381E-4</v>
      </c>
      <c r="AD482" s="2">
        <v>1.1588538088297441E-3</v>
      </c>
      <c r="AE482" s="2">
        <v>1.363337887135435E-3</v>
      </c>
      <c r="AF482" s="2">
        <v>1.5503627183645358E-3</v>
      </c>
      <c r="AG482" s="2">
        <v>1.707158703150393E-3</v>
      </c>
      <c r="AH482" s="2">
        <v>1.8247081992588581E-3</v>
      </c>
      <c r="AI482" s="2">
        <v>1.8994641676583681E-3</v>
      </c>
      <c r="AJ482" s="2">
        <v>1.9389219324559271E-3</v>
      </c>
      <c r="AK482" s="2">
        <v>1.9372898723212964E-3</v>
      </c>
      <c r="AL482" s="2">
        <v>1.9210822814608468E-3</v>
      </c>
      <c r="AM482" s="2">
        <v>5.3088179242524519E-4</v>
      </c>
      <c r="AN482" s="2">
        <v>1.9289515754042296E-4</v>
      </c>
      <c r="AO482" s="2">
        <v>1.5255048871995789E-4</v>
      </c>
      <c r="AP482" s="2">
        <v>1.1430834043686531E-4</v>
      </c>
      <c r="AQ482" s="2">
        <v>8.0511636203938668E-5</v>
      </c>
      <c r="AR482" s="2">
        <v>1.9305498975031241E-2</v>
      </c>
    </row>
    <row r="483" spans="1:44" x14ac:dyDescent="0.25">
      <c r="A483" t="s">
        <v>250</v>
      </c>
      <c r="B483" t="s">
        <v>263</v>
      </c>
      <c r="C483" t="s">
        <v>43</v>
      </c>
      <c r="D483" t="s">
        <v>264</v>
      </c>
      <c r="E483" t="s">
        <v>148</v>
      </c>
      <c r="F483" t="s">
        <v>265</v>
      </c>
      <c r="G483" t="s">
        <v>31</v>
      </c>
      <c r="H483" t="s">
        <v>254</v>
      </c>
      <c r="I483" t="s">
        <v>135</v>
      </c>
      <c r="J483" t="s">
        <v>39</v>
      </c>
      <c r="K483" t="s">
        <v>31</v>
      </c>
      <c r="L483">
        <v>0.36249999999999993</v>
      </c>
      <c r="M483">
        <v>1</v>
      </c>
      <c r="N483">
        <v>1.1290986548603958</v>
      </c>
      <c r="O483">
        <v>2.9025603819605679</v>
      </c>
      <c r="P483">
        <v>0.31276660789219263</v>
      </c>
      <c r="Q483">
        <v>1.3924248009371851</v>
      </c>
      <c r="R483">
        <v>-0.53800366640583286</v>
      </c>
      <c r="S483" s="2">
        <v>4.3380773588994959E-6</v>
      </c>
      <c r="T483" s="2">
        <v>9.3119287429151641E-6</v>
      </c>
      <c r="U483" s="2">
        <v>2.046999395885348E-5</v>
      </c>
      <c r="V483" s="2">
        <v>3.8780103311325625E-5</v>
      </c>
      <c r="W483" s="2">
        <v>6.681601578807757E-5</v>
      </c>
      <c r="X483" s="2">
        <v>1.073249871580679E-4</v>
      </c>
      <c r="Y483" s="2">
        <v>1.6292632823085694E-4</v>
      </c>
      <c r="Z483" s="2">
        <v>2.3567766200473055E-4</v>
      </c>
      <c r="AA483" s="2">
        <v>3.2653432703849504E-4</v>
      </c>
      <c r="AB483" s="2">
        <v>4.3478181249443715E-4</v>
      </c>
      <c r="AC483" s="2">
        <v>5.5758516028644339E-4</v>
      </c>
      <c r="AD483" s="2">
        <v>6.8984747223889203E-4</v>
      </c>
      <c r="AE483" s="2">
        <v>8.2456257270493169E-4</v>
      </c>
      <c r="AF483" s="2">
        <v>9.5374664243988666E-4</v>
      </c>
      <c r="AG483" s="2">
        <v>1.0698348260252575E-3</v>
      </c>
      <c r="AH483" s="2">
        <v>1.167190487802641E-3</v>
      </c>
      <c r="AI483" s="2">
        <v>1.2432220253105308E-3</v>
      </c>
      <c r="AJ483" s="2">
        <v>1.3022346540498666E-3</v>
      </c>
      <c r="AK483" s="2">
        <v>1.3393578693226924E-3</v>
      </c>
      <c r="AL483" s="2">
        <v>1.3715177276562305E-3</v>
      </c>
      <c r="AM483" s="2">
        <v>1.3874982478607641E-3</v>
      </c>
      <c r="AN483" s="2">
        <v>1.398110404354293E-3</v>
      </c>
      <c r="AO483" s="2">
        <v>1.4088637674978834E-3</v>
      </c>
      <c r="AP483" s="2">
        <v>1.4197598212293116E-3</v>
      </c>
      <c r="AQ483" s="2">
        <v>1.4308000665746621E-3</v>
      </c>
      <c r="AR483" s="2">
        <v>1.8971092981440948E-2</v>
      </c>
    </row>
    <row r="484" spans="1:44" x14ac:dyDescent="0.25">
      <c r="A484" t="s">
        <v>250</v>
      </c>
      <c r="B484" t="s">
        <v>263</v>
      </c>
      <c r="C484" t="s">
        <v>43</v>
      </c>
      <c r="D484" t="s">
        <v>264</v>
      </c>
      <c r="E484" t="s">
        <v>148</v>
      </c>
      <c r="F484" t="s">
        <v>265</v>
      </c>
      <c r="G484" t="s">
        <v>31</v>
      </c>
      <c r="H484" t="s">
        <v>252</v>
      </c>
      <c r="I484" t="s">
        <v>135</v>
      </c>
      <c r="J484" t="s">
        <v>39</v>
      </c>
      <c r="K484" t="s">
        <v>31</v>
      </c>
      <c r="L484">
        <v>0.36249999999999993</v>
      </c>
      <c r="M484">
        <v>1</v>
      </c>
      <c r="N484">
        <v>1.1290986548603958</v>
      </c>
      <c r="O484">
        <v>2.9025603819605679</v>
      </c>
      <c r="P484">
        <v>0.31276660789219263</v>
      </c>
      <c r="Q484">
        <v>1.3924248009371851</v>
      </c>
      <c r="R484">
        <v>-0.53800366640583286</v>
      </c>
      <c r="S484" s="2">
        <v>2.2376400579183082E-5</v>
      </c>
      <c r="T484" s="2">
        <v>4.5644989701682545E-5</v>
      </c>
      <c r="U484" s="2">
        <v>1.0041725530503148E-4</v>
      </c>
      <c r="V484" s="2">
        <v>1.9038509836567829E-4</v>
      </c>
      <c r="W484" s="2">
        <v>3.2827222164527896E-4</v>
      </c>
      <c r="X484" s="2">
        <v>5.276916176255237E-4</v>
      </c>
      <c r="Y484" s="2">
        <v>8.0166449475829477E-4</v>
      </c>
      <c r="Z484" s="2">
        <v>1.1604811276938875E-3</v>
      </c>
      <c r="AA484" s="2">
        <v>1.609025973934199E-3</v>
      </c>
      <c r="AB484" s="2">
        <v>2.1439587032607414E-3</v>
      </c>
      <c r="AC484" s="2">
        <v>2.7514611925029643E-3</v>
      </c>
      <c r="AD484" s="2">
        <v>3.4065025621664584E-3</v>
      </c>
      <c r="AE484" s="2">
        <v>4.0745444174173692E-3</v>
      </c>
      <c r="AF484" s="2">
        <v>4.7161174596908606E-3</v>
      </c>
      <c r="AG484" s="2">
        <v>5.2937185923571314E-3</v>
      </c>
      <c r="AH484" s="2">
        <v>5.7792939450564415E-3</v>
      </c>
      <c r="AI484" s="2">
        <v>6.1598066606831457E-3</v>
      </c>
      <c r="AJ484" s="2">
        <v>6.4563848807359823E-3</v>
      </c>
      <c r="AK484" s="2">
        <v>6.6446947356104602E-3</v>
      </c>
      <c r="AL484" s="2">
        <v>6.8085486064232642E-3</v>
      </c>
      <c r="AM484" s="2">
        <v>6.8921826657254151E-3</v>
      </c>
      <c r="AN484" s="2">
        <v>6.9491797820824593E-3</v>
      </c>
      <c r="AO484" s="2">
        <v>7.0068911696606123E-3</v>
      </c>
      <c r="AP484" s="2">
        <v>7.0653245606967603E-3</v>
      </c>
      <c r="AQ484" s="2">
        <v>7.1244877751667273E-3</v>
      </c>
      <c r="AR484" s="2">
        <v>9.4059056888845555E-2</v>
      </c>
    </row>
    <row r="485" spans="1:44" x14ac:dyDescent="0.25">
      <c r="A485" t="s">
        <v>250</v>
      </c>
      <c r="B485" t="s">
        <v>263</v>
      </c>
      <c r="C485" t="s">
        <v>43</v>
      </c>
      <c r="D485" t="s">
        <v>264</v>
      </c>
      <c r="E485" t="s">
        <v>148</v>
      </c>
      <c r="F485" t="s">
        <v>265</v>
      </c>
      <c r="G485" t="s">
        <v>31</v>
      </c>
      <c r="H485" t="s">
        <v>255</v>
      </c>
      <c r="I485" t="s">
        <v>135</v>
      </c>
      <c r="J485" t="s">
        <v>39</v>
      </c>
      <c r="K485" t="s">
        <v>31</v>
      </c>
      <c r="L485">
        <v>0.36249999999999993</v>
      </c>
      <c r="M485">
        <v>1</v>
      </c>
      <c r="N485">
        <v>1.1290986548603958</v>
      </c>
      <c r="O485">
        <v>2.9025603819605679</v>
      </c>
      <c r="P485">
        <v>0.31276660789219263</v>
      </c>
      <c r="Q485">
        <v>1.3924248009371851</v>
      </c>
      <c r="R485">
        <v>-0.53800366640583286</v>
      </c>
      <c r="S485" s="2">
        <v>1.1168767148556905E-6</v>
      </c>
      <c r="T485" s="2">
        <v>3.0810585242505828E-6</v>
      </c>
      <c r="U485" s="2">
        <v>6.7427251298843607E-6</v>
      </c>
      <c r="V485" s="2">
        <v>1.2717632287833899E-5</v>
      </c>
      <c r="W485" s="2">
        <v>2.1816224553480342E-5</v>
      </c>
      <c r="X485" s="2">
        <v>3.4891831480901697E-5</v>
      </c>
      <c r="Y485" s="2">
        <v>5.2742449435254574E-5</v>
      </c>
      <c r="Z485" s="2">
        <v>7.5972385755466751E-5</v>
      </c>
      <c r="AA485" s="2">
        <v>1.0482303380644958E-4</v>
      </c>
      <c r="AB485" s="2">
        <v>1.3899910552369596E-4</v>
      </c>
      <c r="AC485" s="2">
        <v>1.7753615374412239E-4</v>
      </c>
      <c r="AD485" s="2">
        <v>2.1876902539670211E-4</v>
      </c>
      <c r="AE485" s="2">
        <v>2.6045679739988197E-4</v>
      </c>
      <c r="AF485" s="2">
        <v>3.0008657169564658E-4</v>
      </c>
      <c r="AG485" s="2">
        <v>3.3531565891651649E-4</v>
      </c>
      <c r="AH485" s="2">
        <v>3.6443868085965937E-4</v>
      </c>
      <c r="AI485" s="2">
        <v>3.8672215555468192E-4</v>
      </c>
      <c r="AJ485" s="2">
        <v>4.0357958666823607E-4</v>
      </c>
      <c r="AK485" s="2">
        <v>4.1356907077022271E-4</v>
      </c>
      <c r="AL485" s="2">
        <v>4.2197443613298263E-4</v>
      </c>
      <c r="AM485" s="2">
        <v>4.2537523761601684E-4</v>
      </c>
      <c r="AN485" s="2">
        <v>4.2712790096604056E-4</v>
      </c>
      <c r="AO485" s="2">
        <v>4.28927377880975E-4</v>
      </c>
      <c r="AP485" s="2">
        <v>4.3077394891494479E-4</v>
      </c>
      <c r="AQ485" s="2">
        <v>4.326678999681584E-4</v>
      </c>
      <c r="AR485" s="2">
        <v>5.8802238256968602E-3</v>
      </c>
    </row>
    <row r="486" spans="1:44" x14ac:dyDescent="0.25">
      <c r="A486" t="s">
        <v>250</v>
      </c>
      <c r="B486" t="s">
        <v>266</v>
      </c>
      <c r="C486" t="s">
        <v>43</v>
      </c>
      <c r="D486" t="s">
        <v>264</v>
      </c>
      <c r="E486" t="s">
        <v>145</v>
      </c>
      <c r="F486" t="s">
        <v>267</v>
      </c>
      <c r="G486" t="s">
        <v>31</v>
      </c>
      <c r="H486" t="s">
        <v>254</v>
      </c>
      <c r="I486" t="s">
        <v>135</v>
      </c>
      <c r="J486" t="s">
        <v>39</v>
      </c>
      <c r="K486" t="s">
        <v>31</v>
      </c>
      <c r="L486">
        <v>1.1475</v>
      </c>
      <c r="M486">
        <v>1</v>
      </c>
      <c r="N486">
        <v>1.9435945825335712</v>
      </c>
      <c r="O486">
        <v>2.5395240143327231</v>
      </c>
      <c r="P486">
        <v>-0.2335376618596588</v>
      </c>
      <c r="Q486">
        <v>0.70773230705298595</v>
      </c>
      <c r="R486">
        <v>-0.39961544227348511</v>
      </c>
      <c r="S486" s="2">
        <v>8.5172651919262135E-5</v>
      </c>
      <c r="T486" s="2">
        <v>1.3041558282566036E-4</v>
      </c>
      <c r="U486" s="2">
        <v>2.8348304591337337E-4</v>
      </c>
      <c r="V486" s="2">
        <v>5.3102677244659452E-4</v>
      </c>
      <c r="W486" s="2">
        <v>9.0461712399819347E-4</v>
      </c>
      <c r="X486" s="2">
        <v>1.4366159751999273E-3</v>
      </c>
      <c r="Y486" s="2">
        <v>2.1560842496717437E-3</v>
      </c>
      <c r="Z486" s="2">
        <v>3.0832350409463905E-3</v>
      </c>
      <c r="AA486" s="2">
        <v>4.222893286612849E-3</v>
      </c>
      <c r="AB486" s="2">
        <v>5.5580843456872276E-3</v>
      </c>
      <c r="AC486" s="2">
        <v>7.8772338405473426E-3</v>
      </c>
      <c r="AD486" s="2">
        <v>1.0037544640061721E-2</v>
      </c>
      <c r="AE486" s="2">
        <v>1.1861357116008856E-2</v>
      </c>
      <c r="AF486" s="2">
        <v>1.355178795740386E-2</v>
      </c>
      <c r="AG486" s="2">
        <v>1.4997209574757284E-2</v>
      </c>
      <c r="AH486" s="2">
        <v>1.6117210016288422E-2</v>
      </c>
      <c r="AI486" s="2">
        <v>1.6878036398156823E-2</v>
      </c>
      <c r="AJ486" s="2">
        <v>1.734303418082437E-2</v>
      </c>
      <c r="AK486" s="2">
        <v>1.7456121040997679E-2</v>
      </c>
      <c r="AL486" s="2">
        <v>1.745085968571641E-2</v>
      </c>
      <c r="AM486" s="2">
        <v>1.111671960355313E-2</v>
      </c>
      <c r="AN486" s="2">
        <v>1.3544467984326276E-3</v>
      </c>
      <c r="AO486" s="2">
        <v>1.0754120682057841E-3</v>
      </c>
      <c r="AP486" s="2">
        <v>8.0897995396021587E-4</v>
      </c>
      <c r="AQ486" s="2">
        <v>5.7199855210693568E-4</v>
      </c>
      <c r="AR486" s="2">
        <v>0.17688957950224268</v>
      </c>
    </row>
    <row r="487" spans="1:44" x14ac:dyDescent="0.25">
      <c r="A487" t="s">
        <v>250</v>
      </c>
      <c r="B487" t="s">
        <v>266</v>
      </c>
      <c r="C487" t="s">
        <v>43</v>
      </c>
      <c r="D487" t="s">
        <v>264</v>
      </c>
      <c r="E487" t="s">
        <v>145</v>
      </c>
      <c r="F487" t="s">
        <v>267</v>
      </c>
      <c r="G487" t="s">
        <v>31</v>
      </c>
      <c r="H487" t="s">
        <v>252</v>
      </c>
      <c r="I487" t="s">
        <v>135</v>
      </c>
      <c r="J487" t="s">
        <v>39</v>
      </c>
      <c r="K487" t="s">
        <v>31</v>
      </c>
      <c r="L487">
        <v>1.1475</v>
      </c>
      <c r="M487">
        <v>1</v>
      </c>
      <c r="N487">
        <v>1.9435945825335712</v>
      </c>
      <c r="O487">
        <v>2.5395240143327231</v>
      </c>
      <c r="P487">
        <v>-0.2335376618596588</v>
      </c>
      <c r="Q487">
        <v>0.70773230705298595</v>
      </c>
      <c r="R487">
        <v>-0.39961544227348511</v>
      </c>
      <c r="S487" s="2">
        <v>2.0303150631395417E-4</v>
      </c>
      <c r="T487" s="2">
        <v>3.1112563997384463E-4</v>
      </c>
      <c r="U487" s="2">
        <v>6.7682509989620485E-4</v>
      </c>
      <c r="V487" s="2">
        <v>1.2688457577837353E-3</v>
      </c>
      <c r="W487" s="2">
        <v>2.1632179029890813E-3</v>
      </c>
      <c r="X487" s="2">
        <v>3.4381055448179923E-3</v>
      </c>
      <c r="Y487" s="2">
        <v>5.1640125557772341E-3</v>
      </c>
      <c r="Z487" s="2">
        <v>7.3904561549479053E-3</v>
      </c>
      <c r="AA487" s="2">
        <v>1.0130194124349873E-2</v>
      </c>
      <c r="AB487" s="2">
        <v>1.3343686906617998E-2</v>
      </c>
      <c r="AC487" s="2">
        <v>1.8910656050811245E-2</v>
      </c>
      <c r="AD487" s="2">
        <v>2.3937915423833025E-2</v>
      </c>
      <c r="AE487" s="2">
        <v>2.8309306594212678E-2</v>
      </c>
      <c r="AF487" s="2">
        <v>3.2370184903503123E-2</v>
      </c>
      <c r="AG487" s="2">
        <v>3.5853994901658248E-2</v>
      </c>
      <c r="AH487" s="2">
        <v>3.8568092136305458E-2</v>
      </c>
      <c r="AI487" s="2">
        <v>4.0430796584608165E-2</v>
      </c>
      <c r="AJ487" s="2">
        <v>4.1592593338728556E-2</v>
      </c>
      <c r="AK487" s="2">
        <v>4.1917295851950087E-2</v>
      </c>
      <c r="AL487" s="2">
        <v>4.1963617480915497E-2</v>
      </c>
      <c r="AM487" s="2">
        <v>2.9473846206408933E-2</v>
      </c>
      <c r="AN487" s="2">
        <v>3.0909211407869472E-3</v>
      </c>
      <c r="AO487" s="2">
        <v>2.4558434314405574E-3</v>
      </c>
      <c r="AP487" s="2">
        <v>1.8486712300489166E-3</v>
      </c>
      <c r="AQ487" s="2">
        <v>1.3080049290777624E-3</v>
      </c>
      <c r="AR487" s="2">
        <v>0.42612124139775703</v>
      </c>
    </row>
    <row r="488" spans="1:44" x14ac:dyDescent="0.25">
      <c r="A488" t="s">
        <v>250</v>
      </c>
      <c r="B488" t="s">
        <v>266</v>
      </c>
      <c r="C488" t="s">
        <v>43</v>
      </c>
      <c r="D488" t="s">
        <v>264</v>
      </c>
      <c r="E488" t="s">
        <v>145</v>
      </c>
      <c r="F488" t="s">
        <v>267</v>
      </c>
      <c r="G488" t="s">
        <v>31</v>
      </c>
      <c r="H488" t="s">
        <v>255</v>
      </c>
      <c r="I488" t="s">
        <v>135</v>
      </c>
      <c r="J488" t="s">
        <v>39</v>
      </c>
      <c r="K488" t="s">
        <v>31</v>
      </c>
      <c r="L488">
        <v>1.1475</v>
      </c>
      <c r="M488">
        <v>1</v>
      </c>
      <c r="N488">
        <v>1.9435945825335712</v>
      </c>
      <c r="O488">
        <v>2.5395240143327231</v>
      </c>
      <c r="P488">
        <v>-0.2335376618596588</v>
      </c>
      <c r="Q488">
        <v>0.70773230705298595</v>
      </c>
      <c r="R488">
        <v>-0.39961544227348511</v>
      </c>
      <c r="S488" s="2">
        <v>2.1928459038652336E-5</v>
      </c>
      <c r="T488" s="2">
        <v>3.3424429577608007E-5</v>
      </c>
      <c r="U488" s="2">
        <v>7.2324956576458283E-5</v>
      </c>
      <c r="V488" s="2">
        <v>1.34866498353032E-4</v>
      </c>
      <c r="W488" s="2">
        <v>2.2870678156598016E-4</v>
      </c>
      <c r="X488" s="2">
        <v>3.6156093665441416E-4</v>
      </c>
      <c r="Y488" s="2">
        <v>5.4017329741532199E-4</v>
      </c>
      <c r="Z488" s="2">
        <v>7.6895440859463423E-4</v>
      </c>
      <c r="AA488" s="2">
        <v>1.0484087534687193E-3</v>
      </c>
      <c r="AB488" s="2">
        <v>1.3736378146147407E-3</v>
      </c>
      <c r="AC488" s="2">
        <v>1.9474832593392433E-3</v>
      </c>
      <c r="AD488" s="2">
        <v>2.5804891243534538E-3</v>
      </c>
      <c r="AE488" s="2">
        <v>3.0358260582710591E-3</v>
      </c>
      <c r="AF488" s="2">
        <v>3.4522854419254132E-3</v>
      </c>
      <c r="AG488" s="2">
        <v>3.8014324442472896E-3</v>
      </c>
      <c r="AH488" s="2">
        <v>4.0631869416393653E-3</v>
      </c>
      <c r="AI488" s="2">
        <v>4.2296505300278365E-3</v>
      </c>
      <c r="AJ488" s="2">
        <v>4.3175134961376156E-3</v>
      </c>
      <c r="AK488" s="2">
        <v>4.3138792901699467E-3</v>
      </c>
      <c r="AL488" s="2">
        <v>4.2777888777048977E-3</v>
      </c>
      <c r="AM488" s="2">
        <v>1.1821462562685303E-3</v>
      </c>
      <c r="AN488" s="2">
        <v>4.2953119054436119E-4</v>
      </c>
      <c r="AO488" s="2">
        <v>3.3969330217258694E-4</v>
      </c>
      <c r="AP488" s="2">
        <v>2.5453722210060027E-4</v>
      </c>
      <c r="AQ488" s="2">
        <v>1.792800783197745E-4</v>
      </c>
      <c r="AR488" s="2">
        <v>4.2988709849081527E-2</v>
      </c>
    </row>
    <row r="489" spans="1:44" x14ac:dyDescent="0.25">
      <c r="A489" t="s">
        <v>250</v>
      </c>
      <c r="B489" t="s">
        <v>266</v>
      </c>
      <c r="C489" t="s">
        <v>43</v>
      </c>
      <c r="D489" t="s">
        <v>264</v>
      </c>
      <c r="E489" t="s">
        <v>148</v>
      </c>
      <c r="F489" t="s">
        <v>267</v>
      </c>
      <c r="G489" t="s">
        <v>31</v>
      </c>
      <c r="H489" t="s">
        <v>254</v>
      </c>
      <c r="I489" t="s">
        <v>135</v>
      </c>
      <c r="J489" t="s">
        <v>39</v>
      </c>
      <c r="K489" t="s">
        <v>31</v>
      </c>
      <c r="L489">
        <v>1.1475</v>
      </c>
      <c r="M489">
        <v>1</v>
      </c>
      <c r="N489">
        <v>1.9435945825335712</v>
      </c>
      <c r="O489">
        <v>2.5395240143327231</v>
      </c>
      <c r="P489">
        <v>-0.2335376618596588</v>
      </c>
      <c r="Q489">
        <v>0.70773230705298595</v>
      </c>
      <c r="R489">
        <v>-0.39961544227348511</v>
      </c>
      <c r="S489" s="2">
        <v>9.6598564546710232E-6</v>
      </c>
      <c r="T489" s="2">
        <v>2.0735428977113746E-5</v>
      </c>
      <c r="U489" s="2">
        <v>4.5581760515370456E-5</v>
      </c>
      <c r="V489" s="2">
        <v>8.6353976725705691E-5</v>
      </c>
      <c r="W489" s="2">
        <v>1.487832207652467E-4</v>
      </c>
      <c r="X489" s="2">
        <v>2.3898697145625659E-4</v>
      </c>
      <c r="Y489" s="2">
        <v>3.6279780492341285E-4</v>
      </c>
      <c r="Z489" s="2">
        <v>5.2479755342945604E-4</v>
      </c>
      <c r="AA489" s="2">
        <v>7.2711352651273525E-4</v>
      </c>
      <c r="AB489" s="2">
        <v>9.6815468013309312E-4</v>
      </c>
      <c r="AC489" s="2">
        <v>1.2416082434703684E-3</v>
      </c>
      <c r="AD489" s="2">
        <v>1.5361246483478711E-3</v>
      </c>
      <c r="AE489" s="2">
        <v>1.8361028241885749E-3</v>
      </c>
      <c r="AF489" s="2">
        <v>2.1237647229119415E-3</v>
      </c>
      <c r="AG489" s="2">
        <v>2.3822652282608505E-3</v>
      </c>
      <c r="AH489" s="2">
        <v>2.5990529063066843E-3</v>
      </c>
      <c r="AI489" s="2">
        <v>2.7683568807615037E-3</v>
      </c>
      <c r="AJ489" s="2">
        <v>2.8997638326143374E-3</v>
      </c>
      <c r="AK489" s="2">
        <v>2.982428317593076E-3</v>
      </c>
      <c r="AL489" s="2">
        <v>3.0540405986574566E-3</v>
      </c>
      <c r="AM489" s="2">
        <v>3.0896253793045968E-3</v>
      </c>
      <c r="AN489" s="2">
        <v>3.1132561032223456E-3</v>
      </c>
      <c r="AO489" s="2">
        <v>3.1372012604378888E-3</v>
      </c>
      <c r="AP489" s="2">
        <v>3.1614641553242722E-3</v>
      </c>
      <c r="AQ489" s="2">
        <v>3.1860481303061031E-3</v>
      </c>
      <c r="AR489" s="2">
        <v>4.2244068011600938E-2</v>
      </c>
    </row>
    <row r="490" spans="1:44" x14ac:dyDescent="0.25">
      <c r="A490" t="s">
        <v>250</v>
      </c>
      <c r="B490" t="s">
        <v>266</v>
      </c>
      <c r="C490" t="s">
        <v>43</v>
      </c>
      <c r="D490" t="s">
        <v>264</v>
      </c>
      <c r="E490" t="s">
        <v>148</v>
      </c>
      <c r="F490" t="s">
        <v>267</v>
      </c>
      <c r="G490" t="s">
        <v>31</v>
      </c>
      <c r="H490" t="s">
        <v>252</v>
      </c>
      <c r="I490" t="s">
        <v>135</v>
      </c>
      <c r="J490" t="s">
        <v>39</v>
      </c>
      <c r="K490" t="s">
        <v>31</v>
      </c>
      <c r="L490">
        <v>1.1475</v>
      </c>
      <c r="M490">
        <v>1</v>
      </c>
      <c r="N490">
        <v>1.9435945825335712</v>
      </c>
      <c r="O490">
        <v>2.5395240143327231</v>
      </c>
      <c r="P490">
        <v>-0.2335376618596588</v>
      </c>
      <c r="Q490">
        <v>0.70773230705298595</v>
      </c>
      <c r="R490">
        <v>-0.39961544227348511</v>
      </c>
      <c r="S490" s="2">
        <v>2.3026818615763754E-5</v>
      </c>
      <c r="T490" s="2">
        <v>4.6971759146860095E-5</v>
      </c>
      <c r="U490" s="2">
        <v>1.0333609802967771E-4</v>
      </c>
      <c r="V490" s="2">
        <v>1.9591904925447414E-4</v>
      </c>
      <c r="W490" s="2">
        <v>3.3781415727120493E-4</v>
      </c>
      <c r="X490" s="2">
        <v>5.4303010536136483E-4</v>
      </c>
      <c r="Y490" s="2">
        <v>8.2496659130559227E-4</v>
      </c>
      <c r="Z490" s="2">
        <v>1.1942129986394665E-3</v>
      </c>
      <c r="AA490" s="2">
        <v>1.6557957620898147E-3</v>
      </c>
      <c r="AB490" s="2">
        <v>2.2062774575818535E-3</v>
      </c>
      <c r="AC490" s="2">
        <v>2.8314383085821511E-3</v>
      </c>
      <c r="AD490" s="2">
        <v>3.5055198594413639E-3</v>
      </c>
      <c r="AE490" s="2">
        <v>4.192979782862284E-3</v>
      </c>
      <c r="AF490" s="2">
        <v>4.8532015205326046E-3</v>
      </c>
      <c r="AG490" s="2">
        <v>5.447591867947966E-3</v>
      </c>
      <c r="AH490" s="2">
        <v>5.9472815088857699E-3</v>
      </c>
      <c r="AI490" s="2">
        <v>6.3388546420499641E-3</v>
      </c>
      <c r="AJ490" s="2">
        <v>6.644053543650612E-3</v>
      </c>
      <c r="AK490" s="2">
        <v>6.8378370280144634E-3</v>
      </c>
      <c r="AL490" s="2">
        <v>7.0064536627294904E-3</v>
      </c>
      <c r="AM490" s="2">
        <v>7.0925187251972338E-3</v>
      </c>
      <c r="AN490" s="2">
        <v>7.1511725848888716E-3</v>
      </c>
      <c r="AO490" s="2">
        <v>7.2105614776253758E-3</v>
      </c>
      <c r="AP490" s="2">
        <v>7.27069336039767E-3</v>
      </c>
      <c r="AQ490" s="2">
        <v>7.3315762804859385E-3</v>
      </c>
      <c r="AR490" s="2">
        <v>9.6793084950587832E-2</v>
      </c>
    </row>
    <row r="491" spans="1:44" x14ac:dyDescent="0.25">
      <c r="A491" t="s">
        <v>250</v>
      </c>
      <c r="B491" t="s">
        <v>266</v>
      </c>
      <c r="C491" t="s">
        <v>43</v>
      </c>
      <c r="D491" t="s">
        <v>264</v>
      </c>
      <c r="E491" t="s">
        <v>148</v>
      </c>
      <c r="F491" t="s">
        <v>267</v>
      </c>
      <c r="G491" t="s">
        <v>31</v>
      </c>
      <c r="H491" t="s">
        <v>255</v>
      </c>
      <c r="I491" t="s">
        <v>135</v>
      </c>
      <c r="J491" t="s">
        <v>39</v>
      </c>
      <c r="K491" t="s">
        <v>31</v>
      </c>
      <c r="L491">
        <v>1.1475</v>
      </c>
      <c r="M491">
        <v>1</v>
      </c>
      <c r="N491">
        <v>1.9435945825335712</v>
      </c>
      <c r="O491">
        <v>2.5395240143327231</v>
      </c>
      <c r="P491">
        <v>-0.2335376618596588</v>
      </c>
      <c r="Q491">
        <v>0.70773230705298595</v>
      </c>
      <c r="R491">
        <v>-0.39961544227348511</v>
      </c>
      <c r="S491" s="2">
        <v>2.4870162172044534E-6</v>
      </c>
      <c r="T491" s="2">
        <v>6.8607773929258567E-6</v>
      </c>
      <c r="U491" s="2">
        <v>1.5014429545467902E-5</v>
      </c>
      <c r="V491" s="2">
        <v>2.8319112864997446E-5</v>
      </c>
      <c r="W491" s="2">
        <v>4.8579492741676566E-5</v>
      </c>
      <c r="X491" s="2">
        <v>7.7695729158593497E-5</v>
      </c>
      <c r="Y491" s="2">
        <v>1.1744476837581162E-4</v>
      </c>
      <c r="Z491" s="2">
        <v>1.6917225770793473E-4</v>
      </c>
      <c r="AA491" s="2">
        <v>2.3341572220609397E-4</v>
      </c>
      <c r="AB491" s="2">
        <v>3.0951762626639707E-4</v>
      </c>
      <c r="AC491" s="2">
        <v>3.9533037767627317E-4</v>
      </c>
      <c r="AD491" s="2">
        <v>4.871460804462298E-4</v>
      </c>
      <c r="AE491" s="2">
        <v>5.7997473704905474E-4</v>
      </c>
      <c r="AF491" s="2">
        <v>6.6822072700189702E-4</v>
      </c>
      <c r="AG491" s="2">
        <v>7.4666744369876546E-4</v>
      </c>
      <c r="AH491" s="2">
        <v>8.1151741944201995E-4</v>
      </c>
      <c r="AI491" s="2">
        <v>8.6113736603509318E-4</v>
      </c>
      <c r="AJ491" s="2">
        <v>8.9867481667953001E-4</v>
      </c>
      <c r="AK491" s="2">
        <v>9.2091899872101578E-4</v>
      </c>
      <c r="AL491" s="2">
        <v>9.3963572876889178E-4</v>
      </c>
      <c r="AM491" s="2">
        <v>9.4720849694222777E-4</v>
      </c>
      <c r="AN491" s="2">
        <v>9.5111125730676111E-4</v>
      </c>
      <c r="AO491" s="2">
        <v>9.551182602377024E-4</v>
      </c>
      <c r="AP491" s="2">
        <v>9.5923013046171027E-4</v>
      </c>
      <c r="AQ491" s="2">
        <v>9.6344750460988771E-4</v>
      </c>
      <c r="AR491" s="2">
        <v>1.3093846277554163E-2</v>
      </c>
    </row>
    <row r="492" spans="1:44" x14ac:dyDescent="0.25">
      <c r="A492" t="s">
        <v>250</v>
      </c>
      <c r="B492" t="s">
        <v>329</v>
      </c>
      <c r="C492" t="s">
        <v>44</v>
      </c>
      <c r="D492" t="s">
        <v>324</v>
      </c>
      <c r="E492" t="s">
        <v>145</v>
      </c>
      <c r="F492" t="s">
        <v>324</v>
      </c>
      <c r="G492" t="s">
        <v>31</v>
      </c>
      <c r="H492" t="s">
        <v>253</v>
      </c>
      <c r="I492" t="s">
        <v>135</v>
      </c>
      <c r="J492" t="s">
        <v>39</v>
      </c>
      <c r="K492" t="s">
        <v>31</v>
      </c>
      <c r="L492">
        <v>2.209411764705882</v>
      </c>
      <c r="M492">
        <v>1</v>
      </c>
      <c r="N492">
        <v>7.278646667967732</v>
      </c>
      <c r="O492">
        <v>5.3756602043030233</v>
      </c>
      <c r="P492">
        <v>-2.004166800695204</v>
      </c>
      <c r="Q492">
        <v>0.40004011956630897</v>
      </c>
      <c r="R492">
        <v>-1.8625523936223525</v>
      </c>
      <c r="S492" s="2">
        <v>6.2566292026662208E-5</v>
      </c>
      <c r="T492" s="2">
        <v>6.5193711692683191E-5</v>
      </c>
      <c r="U492" s="2">
        <v>6.6936899587074656E-5</v>
      </c>
      <c r="V492" s="2">
        <v>6.7997284389214915E-5</v>
      </c>
      <c r="W492" s="2">
        <v>6.8564447625431394E-5</v>
      </c>
      <c r="X492" s="2">
        <v>6.8796149554528223E-5</v>
      </c>
      <c r="Y492" s="2">
        <v>6.8812001618572184E-5</v>
      </c>
      <c r="Z492" s="2">
        <v>6.8875620631546285E-5</v>
      </c>
      <c r="AA492" s="2">
        <v>6.8593230586956957E-5</v>
      </c>
      <c r="AB492" s="2">
        <v>6.8311998341550424E-5</v>
      </c>
      <c r="AC492" s="2">
        <v>6.8031919148350082E-5</v>
      </c>
      <c r="AD492" s="2">
        <v>6.7752988279841844E-5</v>
      </c>
      <c r="AE492" s="2">
        <v>6.7475201027894472E-5</v>
      </c>
      <c r="AF492" s="2">
        <v>6.7198552703680122E-5</v>
      </c>
      <c r="AG492" s="2">
        <v>1.8332729528636113E-5</v>
      </c>
      <c r="AH492" s="2">
        <v>1.4152287108901742E-6</v>
      </c>
      <c r="AI492" s="2">
        <v>1.256104085848784E-6</v>
      </c>
      <c r="AJ492" s="2">
        <v>7.9221166152548417E-7</v>
      </c>
      <c r="AK492" s="2">
        <v>4.8039526100210165E-7</v>
      </c>
      <c r="AL492" s="2">
        <v>2.8035493920366136E-7</v>
      </c>
      <c r="AM492" s="2">
        <v>1.5761425608771577E-7</v>
      </c>
      <c r="AN492" s="2">
        <v>8.5445977597337407E-8</v>
      </c>
      <c r="AO492" s="2">
        <v>0</v>
      </c>
      <c r="AP492" s="2">
        <v>0</v>
      </c>
      <c r="AQ492" s="2">
        <v>0</v>
      </c>
      <c r="AR492" s="2">
        <v>9.6790638163477818E-4</v>
      </c>
    </row>
    <row r="493" spans="1:44" x14ac:dyDescent="0.25">
      <c r="A493" t="s">
        <v>250</v>
      </c>
      <c r="B493" t="s">
        <v>329</v>
      </c>
      <c r="C493" t="s">
        <v>44</v>
      </c>
      <c r="D493" t="s">
        <v>324</v>
      </c>
      <c r="E493" t="s">
        <v>145</v>
      </c>
      <c r="F493" t="s">
        <v>324</v>
      </c>
      <c r="G493" t="s">
        <v>31</v>
      </c>
      <c r="H493" t="s">
        <v>253</v>
      </c>
      <c r="I493" t="s">
        <v>135</v>
      </c>
      <c r="J493" t="s">
        <v>40</v>
      </c>
      <c r="K493" t="s">
        <v>31</v>
      </c>
      <c r="L493">
        <v>2.209411764705882</v>
      </c>
      <c r="M493">
        <v>1</v>
      </c>
      <c r="N493">
        <v>7.278646667967732</v>
      </c>
      <c r="O493">
        <v>4.1746294160814488</v>
      </c>
      <c r="P493">
        <v>-2.004166800695204</v>
      </c>
      <c r="Q493">
        <v>0.4672931329656026</v>
      </c>
      <c r="R493">
        <v>-1.719552393622352</v>
      </c>
      <c r="S493" s="2">
        <v>3.2911169980287696E-5</v>
      </c>
      <c r="T493" s="2">
        <v>3.4293247332755986E-5</v>
      </c>
      <c r="U493" s="2">
        <v>3.521020039552418E-5</v>
      </c>
      <c r="V493" s="2">
        <v>3.5767984840427517E-5</v>
      </c>
      <c r="W493" s="2">
        <v>3.6066324490565911E-5</v>
      </c>
      <c r="X493" s="2">
        <v>3.6188204520950576E-5</v>
      </c>
      <c r="Y493" s="2">
        <v>3.6196543036106103E-5</v>
      </c>
      <c r="Z493" s="2">
        <v>3.6230007959184436E-5</v>
      </c>
      <c r="AA493" s="2">
        <v>3.6081464926551789E-5</v>
      </c>
      <c r="AB493" s="2">
        <v>3.5933530920352918E-5</v>
      </c>
      <c r="AC493" s="2">
        <v>3.5786203443579467E-5</v>
      </c>
      <c r="AD493" s="2">
        <v>3.5639480009460797E-5</v>
      </c>
      <c r="AE493" s="2">
        <v>3.5493358141422017E-5</v>
      </c>
      <c r="AF493" s="2">
        <v>3.5347835373042183E-5</v>
      </c>
      <c r="AG493" s="2">
        <v>9.6433967584731884E-6</v>
      </c>
      <c r="AH493" s="2">
        <v>7.444397159614565E-7</v>
      </c>
      <c r="AI493" s="2">
        <v>6.6073685595250808E-7</v>
      </c>
      <c r="AJ493" s="2">
        <v>4.1671979924462121E-7</v>
      </c>
      <c r="AK493" s="2">
        <v>2.5269789179495382E-7</v>
      </c>
      <c r="AL493" s="2">
        <v>1.4747252490227578E-7</v>
      </c>
      <c r="AM493" s="2">
        <v>8.2908374547893862E-8</v>
      </c>
      <c r="AN493" s="2">
        <v>4.4946360120549775E-8</v>
      </c>
      <c r="AO493" s="2">
        <v>0</v>
      </c>
      <c r="AP493" s="2">
        <v>0</v>
      </c>
      <c r="AQ493" s="2">
        <v>0</v>
      </c>
      <c r="AR493" s="2">
        <v>5.0913887365120901E-4</v>
      </c>
    </row>
    <row r="494" spans="1:44" x14ac:dyDescent="0.25">
      <c r="A494" t="s">
        <v>250</v>
      </c>
      <c r="B494" t="s">
        <v>329</v>
      </c>
      <c r="C494" t="s">
        <v>44</v>
      </c>
      <c r="D494" t="s">
        <v>324</v>
      </c>
      <c r="E494" t="s">
        <v>145</v>
      </c>
      <c r="F494" t="s">
        <v>324</v>
      </c>
      <c r="G494" t="s">
        <v>31</v>
      </c>
      <c r="H494" t="s">
        <v>253</v>
      </c>
      <c r="I494" t="s">
        <v>256</v>
      </c>
      <c r="J494" t="s">
        <v>39</v>
      </c>
      <c r="K494" t="s">
        <v>31</v>
      </c>
      <c r="L494">
        <v>2.209411764705882</v>
      </c>
      <c r="M494">
        <v>1</v>
      </c>
      <c r="N494">
        <v>3.6216710802820118</v>
      </c>
      <c r="O494">
        <v>2.6747929920855809</v>
      </c>
      <c r="P494">
        <v>-0.54122984934633578</v>
      </c>
      <c r="Q494">
        <v>0.4672931329656026</v>
      </c>
      <c r="R494">
        <v>-0.399615442273484</v>
      </c>
      <c r="S494" s="2">
        <v>3.2819831212103364E-5</v>
      </c>
      <c r="T494" s="2">
        <v>3.4198072868575872E-5</v>
      </c>
      <c r="U494" s="2">
        <v>3.5112481100416265E-5</v>
      </c>
      <c r="V494" s="2">
        <v>3.5668717519401944E-5</v>
      </c>
      <c r="W494" s="2">
        <v>3.5966229183900191E-5</v>
      </c>
      <c r="X494" s="2">
        <v>3.60877709591621E-5</v>
      </c>
      <c r="Y494" s="2">
        <v>3.6096086332335637E-5</v>
      </c>
      <c r="Z494" s="2">
        <v>3.6129458379808115E-5</v>
      </c>
      <c r="AA494" s="2">
        <v>3.598132760045091E-5</v>
      </c>
      <c r="AB494" s="2">
        <v>3.5833804157289065E-5</v>
      </c>
      <c r="AC494" s="2">
        <v>3.5686885560244171E-5</v>
      </c>
      <c r="AD494" s="2">
        <v>3.5540569329447168E-5</v>
      </c>
      <c r="AE494" s="2">
        <v>3.5394852995196443E-5</v>
      </c>
      <c r="AF494" s="2">
        <v>3.524973409791613E-5</v>
      </c>
      <c r="AG494" s="2">
        <v>9.6166333227894016E-6</v>
      </c>
      <c r="AH494" s="2">
        <v>7.4237366341199899E-7</v>
      </c>
      <c r="AI494" s="2">
        <v>6.5890310496301758E-7</v>
      </c>
      <c r="AJ494" s="2">
        <v>4.1556327174457357E-7</v>
      </c>
      <c r="AK494" s="2">
        <v>2.5199657627887623E-7</v>
      </c>
      <c r="AL494" s="2">
        <v>1.4706324261988696E-7</v>
      </c>
      <c r="AM494" s="2">
        <v>8.2678277933039925E-8</v>
      </c>
      <c r="AN494" s="2">
        <v>4.4821619943575218E-8</v>
      </c>
      <c r="AO494" s="2">
        <v>0</v>
      </c>
      <c r="AP494" s="2">
        <v>0</v>
      </c>
      <c r="AQ494" s="2">
        <v>0</v>
      </c>
      <c r="AR494" s="2">
        <v>5.0772585437593154E-4</v>
      </c>
    </row>
    <row r="495" spans="1:44" x14ac:dyDescent="0.25">
      <c r="A495" t="s">
        <v>250</v>
      </c>
      <c r="B495" t="s">
        <v>329</v>
      </c>
      <c r="C495" t="s">
        <v>44</v>
      </c>
      <c r="D495" t="s">
        <v>324</v>
      </c>
      <c r="E495" t="s">
        <v>148</v>
      </c>
      <c r="F495" t="s">
        <v>324</v>
      </c>
      <c r="G495" t="s">
        <v>31</v>
      </c>
      <c r="H495" t="s">
        <v>253</v>
      </c>
      <c r="I495" t="s">
        <v>135</v>
      </c>
      <c r="J495" t="s">
        <v>39</v>
      </c>
      <c r="K495" t="s">
        <v>31</v>
      </c>
      <c r="L495">
        <v>2.209411764705882</v>
      </c>
      <c r="M495">
        <v>1</v>
      </c>
      <c r="N495">
        <v>7.278646667967732</v>
      </c>
      <c r="O495">
        <v>5.3756602043030233</v>
      </c>
      <c r="P495">
        <v>-2.004166800695204</v>
      </c>
      <c r="Q495">
        <v>0.40004011956630897</v>
      </c>
      <c r="R495">
        <v>-1.8625523936223525</v>
      </c>
      <c r="S495" s="2">
        <v>1.0643934166535595E-5</v>
      </c>
      <c r="T495" s="2">
        <v>1.5162496881332452E-5</v>
      </c>
      <c r="U495" s="2">
        <v>1.5743750836852397E-5</v>
      </c>
      <c r="V495" s="2">
        <v>1.6174518620898706E-5</v>
      </c>
      <c r="W495" s="2">
        <v>1.6495116885382253E-5</v>
      </c>
      <c r="X495" s="2">
        <v>1.6740038969138442E-5</v>
      </c>
      <c r="Y495" s="2">
        <v>1.6936029199107503E-5</v>
      </c>
      <c r="Z495" s="2">
        <v>1.7146954968154245E-5</v>
      </c>
      <c r="AA495" s="2">
        <v>1.7274110087137127E-5</v>
      </c>
      <c r="AB495" s="2">
        <v>1.7402958221853302E-5</v>
      </c>
      <c r="AC495" s="2">
        <v>1.7533517263372542E-5</v>
      </c>
      <c r="AD495" s="2">
        <v>1.7665805307887867E-5</v>
      </c>
      <c r="AE495" s="2">
        <v>1.7799840659001389E-5</v>
      </c>
      <c r="AF495" s="2">
        <v>1.7935641830028819E-5</v>
      </c>
      <c r="AG495" s="2">
        <v>1.8073227546335494E-5</v>
      </c>
      <c r="AH495" s="2">
        <v>1.8212616747693045E-5</v>
      </c>
      <c r="AI495" s="2">
        <v>1.8353828590670288E-5</v>
      </c>
      <c r="AJ495" s="2">
        <v>1.8496882451041012E-5</v>
      </c>
      <c r="AK495" s="2">
        <v>1.8641797926227851E-5</v>
      </c>
      <c r="AL495" s="2">
        <v>1.8788594837771095E-5</v>
      </c>
      <c r="AM495" s="2">
        <v>1.89372932338194E-5</v>
      </c>
      <c r="AN495" s="2">
        <v>1.9087913391657782E-5</v>
      </c>
      <c r="AO495" s="2">
        <v>1.9240475820258044E-5</v>
      </c>
      <c r="AP495" s="2">
        <v>1.9395001262857935E-5</v>
      </c>
      <c r="AQ495" s="2">
        <v>1.9551510699574541E-5</v>
      </c>
      <c r="AR495" s="2">
        <v>4.3743385640458905E-4</v>
      </c>
    </row>
    <row r="496" spans="1:44" x14ac:dyDescent="0.25">
      <c r="A496" t="s">
        <v>250</v>
      </c>
      <c r="B496" t="s">
        <v>329</v>
      </c>
      <c r="C496" t="s">
        <v>44</v>
      </c>
      <c r="D496" t="s">
        <v>324</v>
      </c>
      <c r="E496" t="s">
        <v>148</v>
      </c>
      <c r="F496" t="s">
        <v>324</v>
      </c>
      <c r="G496" t="s">
        <v>31</v>
      </c>
      <c r="H496" t="s">
        <v>253</v>
      </c>
      <c r="I496" t="s">
        <v>135</v>
      </c>
      <c r="J496" t="s">
        <v>40</v>
      </c>
      <c r="K496" t="s">
        <v>31</v>
      </c>
      <c r="L496">
        <v>2.209411764705882</v>
      </c>
      <c r="M496">
        <v>1</v>
      </c>
      <c r="N496">
        <v>7.278646667967732</v>
      </c>
      <c r="O496">
        <v>4.1746294160814488</v>
      </c>
      <c r="P496">
        <v>-2.004166800695204</v>
      </c>
      <c r="Q496">
        <v>0.4672931329656026</v>
      </c>
      <c r="R496">
        <v>-1.719552393622352</v>
      </c>
      <c r="S496" s="2">
        <v>5.5989305945214857E-6</v>
      </c>
      <c r="T496" s="2">
        <v>7.9757884960557175E-6</v>
      </c>
      <c r="U496" s="2">
        <v>8.2815401574083234E-6</v>
      </c>
      <c r="V496" s="2">
        <v>8.5081329648700363E-6</v>
      </c>
      <c r="W496" s="2">
        <v>8.6767743152845283E-6</v>
      </c>
      <c r="X496" s="2">
        <v>8.8056084217869114E-6</v>
      </c>
      <c r="Y496" s="2">
        <v>8.9087033562004951E-6</v>
      </c>
      <c r="Z496" s="2">
        <v>9.0196546945881352E-6</v>
      </c>
      <c r="AA496" s="2">
        <v>9.0865409299580009E-6</v>
      </c>
      <c r="AB496" s="2">
        <v>9.1543177267911922E-6</v>
      </c>
      <c r="AC496" s="2">
        <v>9.2229944961617985E-6</v>
      </c>
      <c r="AD496" s="2">
        <v>9.292580757044106E-6</v>
      </c>
      <c r="AE496" s="2">
        <v>9.3630861375129329E-6</v>
      </c>
      <c r="AF496" s="2">
        <v>9.4345203759573056E-6</v>
      </c>
      <c r="AG496" s="2">
        <v>9.5068933223082231E-6</v>
      </c>
      <c r="AH496" s="2">
        <v>9.580214939279655E-6</v>
      </c>
      <c r="AI496" s="2">
        <v>9.6544953036245962E-6</v>
      </c>
      <c r="AJ496" s="2">
        <v>9.7297446074027878E-6</v>
      </c>
      <c r="AK496" s="2">
        <v>9.8059731592662211E-6</v>
      </c>
      <c r="AL496" s="2">
        <v>9.8831913857565691E-6</v>
      </c>
      <c r="AM496" s="2">
        <v>9.9614098326170348E-6</v>
      </c>
      <c r="AN496" s="2">
        <v>1.0040639166120805E-5</v>
      </c>
      <c r="AO496" s="2">
        <v>1.0120890174413416E-5</v>
      </c>
      <c r="AP496" s="2">
        <v>1.020217376886903E-5</v>
      </c>
      <c r="AQ496" s="2">
        <v>1.0284500985465195E-5</v>
      </c>
      <c r="AR496" s="2">
        <v>2.3009930006926451E-4</v>
      </c>
    </row>
    <row r="497" spans="1:44" x14ac:dyDescent="0.25">
      <c r="A497" t="s">
        <v>250</v>
      </c>
      <c r="B497" t="s">
        <v>329</v>
      </c>
      <c r="C497" t="s">
        <v>44</v>
      </c>
      <c r="D497" t="s">
        <v>324</v>
      </c>
      <c r="E497" t="s">
        <v>148</v>
      </c>
      <c r="F497" t="s">
        <v>324</v>
      </c>
      <c r="G497" t="s">
        <v>31</v>
      </c>
      <c r="H497" t="s">
        <v>253</v>
      </c>
      <c r="I497" t="s">
        <v>256</v>
      </c>
      <c r="J497" t="s">
        <v>39</v>
      </c>
      <c r="K497" t="s">
        <v>31</v>
      </c>
      <c r="L497">
        <v>2.209411764705882</v>
      </c>
      <c r="M497">
        <v>1</v>
      </c>
      <c r="N497">
        <v>3.6216710802820118</v>
      </c>
      <c r="O497">
        <v>2.6747929920855809</v>
      </c>
      <c r="P497">
        <v>-0.54122984934633578</v>
      </c>
      <c r="Q497">
        <v>0.4672931329656026</v>
      </c>
      <c r="R497">
        <v>-0.399615442273484</v>
      </c>
      <c r="S497" s="2">
        <v>5.5833918147102726E-6</v>
      </c>
      <c r="T497" s="2">
        <v>7.9536531937567025E-6</v>
      </c>
      <c r="U497" s="2">
        <v>8.2585562988248031E-6</v>
      </c>
      <c r="V497" s="2">
        <v>8.4845202405266279E-6</v>
      </c>
      <c r="W497" s="2">
        <v>8.6526935585612964E-6</v>
      </c>
      <c r="X497" s="2">
        <v>8.7811701102094485E-6</v>
      </c>
      <c r="Y497" s="2">
        <v>8.883978924004298E-6</v>
      </c>
      <c r="Z497" s="2">
        <v>8.9946223378002939E-6</v>
      </c>
      <c r="AA497" s="2">
        <v>9.0613229429920962E-6</v>
      </c>
      <c r="AB497" s="2">
        <v>9.1289116380609271E-6</v>
      </c>
      <c r="AC497" s="2">
        <v>9.1973978079628863E-6</v>
      </c>
      <c r="AD497" s="2">
        <v>9.2667909452534141E-6</v>
      </c>
      <c r="AE497" s="2">
        <v>9.3371006512870661E-6</v>
      </c>
      <c r="AF497" s="2">
        <v>9.4083366374251657E-6</v>
      </c>
      <c r="AG497" s="2">
        <v>9.4805087262626274E-6</v>
      </c>
      <c r="AH497" s="2">
        <v>9.5536268528634771E-6</v>
      </c>
      <c r="AI497" s="2">
        <v>9.6277010660145381E-6</v>
      </c>
      <c r="AJ497" s="2">
        <v>9.7027415294897329E-6</v>
      </c>
      <c r="AK497" s="2">
        <v>9.7787585233309975E-6</v>
      </c>
      <c r="AL497" s="2">
        <v>9.8557624451432703E-6</v>
      </c>
      <c r="AM497" s="2">
        <v>9.9337638114018779E-6</v>
      </c>
      <c r="AN497" s="2">
        <v>1.0012773258777999E-5</v>
      </c>
      <c r="AO497" s="2">
        <v>1.0092801545476262E-5</v>
      </c>
      <c r="AP497" s="2">
        <v>1.0173859552589049E-5</v>
      </c>
      <c r="AQ497" s="2">
        <v>1.0255958285465068E-5</v>
      </c>
      <c r="AR497" s="2">
        <v>2.2946070269819012E-4</v>
      </c>
    </row>
    <row r="498" spans="1:44" x14ac:dyDescent="0.25">
      <c r="A498" t="s">
        <v>250</v>
      </c>
      <c r="B498" t="s">
        <v>330</v>
      </c>
      <c r="C498" t="s">
        <v>44</v>
      </c>
      <c r="D498" t="s">
        <v>324</v>
      </c>
      <c r="E498" t="s">
        <v>145</v>
      </c>
      <c r="F498" t="s">
        <v>324</v>
      </c>
      <c r="G498" t="s">
        <v>31</v>
      </c>
      <c r="H498" t="s">
        <v>252</v>
      </c>
      <c r="I498" t="s">
        <v>135</v>
      </c>
      <c r="J498" t="s">
        <v>39</v>
      </c>
      <c r="K498" t="s">
        <v>31</v>
      </c>
      <c r="L498">
        <v>2.590588235294117</v>
      </c>
      <c r="M498">
        <v>1</v>
      </c>
      <c r="N498">
        <v>7.6777548088491043</v>
      </c>
      <c r="O498">
        <v>5.442120242040744</v>
      </c>
      <c r="P498">
        <v>-2.0202731874183506</v>
      </c>
      <c r="Q498">
        <v>0.38393373284316173</v>
      </c>
      <c r="R498">
        <v>-1.862552393622352</v>
      </c>
      <c r="S498" s="2">
        <v>1.2261635536985954E-3</v>
      </c>
      <c r="T498" s="2">
        <v>1.2781684436948045E-3</v>
      </c>
      <c r="U498" s="2">
        <v>1.312871964064134E-3</v>
      </c>
      <c r="V498" s="2">
        <v>1.3342055661035232E-3</v>
      </c>
      <c r="W498" s="2">
        <v>1.3458744823572903E-3</v>
      </c>
      <c r="X498" s="2">
        <v>1.3509650299106623E-3</v>
      </c>
      <c r="Y498" s="2">
        <v>1.3518190561027741E-3</v>
      </c>
      <c r="Z498" s="2">
        <v>1.3536123140589938E-3</v>
      </c>
      <c r="AA498" s="2">
        <v>1.3486039484969753E-3</v>
      </c>
      <c r="AB498" s="2">
        <v>1.3436141138875365E-3</v>
      </c>
      <c r="AC498" s="2">
        <v>1.3386427416661527E-3</v>
      </c>
      <c r="AD498" s="2">
        <v>1.3336897635219875E-3</v>
      </c>
      <c r="AE498" s="2">
        <v>1.3287551113969564E-3</v>
      </c>
      <c r="AF498" s="2">
        <v>1.3238387174847879E-3</v>
      </c>
      <c r="AG498" s="2">
        <v>4.9333944144052148E-4</v>
      </c>
      <c r="AH498" s="2">
        <v>2.7735411660673307E-5</v>
      </c>
      <c r="AI498" s="2">
        <v>2.3979232376769338E-5</v>
      </c>
      <c r="AJ498" s="2">
        <v>1.5129419290116594E-5</v>
      </c>
      <c r="AK498" s="2">
        <v>9.1780240220269002E-6</v>
      </c>
      <c r="AL498" s="2">
        <v>5.3582899447782369E-6</v>
      </c>
      <c r="AM498" s="2">
        <v>3.0135548524985466E-6</v>
      </c>
      <c r="AN498" s="2">
        <v>1.634326882061093E-6</v>
      </c>
      <c r="AO498" s="2">
        <v>0</v>
      </c>
      <c r="AP498" s="2">
        <v>0</v>
      </c>
      <c r="AQ498" s="2">
        <v>0</v>
      </c>
      <c r="AR498" s="2">
        <v>1.9150192506914618E-2</v>
      </c>
    </row>
    <row r="499" spans="1:44" x14ac:dyDescent="0.25">
      <c r="A499" t="s">
        <v>250</v>
      </c>
      <c r="B499" t="s">
        <v>330</v>
      </c>
      <c r="C499" t="s">
        <v>44</v>
      </c>
      <c r="D499" t="s">
        <v>324</v>
      </c>
      <c r="E499" t="s">
        <v>148</v>
      </c>
      <c r="F499" t="s">
        <v>324</v>
      </c>
      <c r="G499" t="s">
        <v>31</v>
      </c>
      <c r="H499" t="s">
        <v>252</v>
      </c>
      <c r="I499" t="s">
        <v>135</v>
      </c>
      <c r="J499" t="s">
        <v>39</v>
      </c>
      <c r="K499" t="s">
        <v>31</v>
      </c>
      <c r="L499">
        <v>2.590588235294117</v>
      </c>
      <c r="M499">
        <v>1</v>
      </c>
      <c r="N499">
        <v>7.6777548088491043</v>
      </c>
      <c r="O499">
        <v>5.442120242040744</v>
      </c>
      <c r="P499">
        <v>-2.0202731874183506</v>
      </c>
      <c r="Q499">
        <v>0.38393373284316173</v>
      </c>
      <c r="R499">
        <v>-1.862552393622352</v>
      </c>
      <c r="S499" s="2">
        <v>2.085980121278643E-4</v>
      </c>
      <c r="T499" s="2">
        <v>2.8945454459200086E-4</v>
      </c>
      <c r="U499" s="2">
        <v>3.00669403365254E-4</v>
      </c>
      <c r="V499" s="2">
        <v>3.0901662130817793E-4</v>
      </c>
      <c r="W499" s="2">
        <v>3.1526328444914076E-4</v>
      </c>
      <c r="X499" s="2">
        <v>3.2006638814693921E-4</v>
      </c>
      <c r="Y499" s="2">
        <v>3.2393576121171906E-4</v>
      </c>
      <c r="Z499" s="2">
        <v>3.2809235046042147E-4</v>
      </c>
      <c r="AA499" s="2">
        <v>3.3064707476208269E-4</v>
      </c>
      <c r="AB499" s="2">
        <v>3.3323460958402628E-4</v>
      </c>
      <c r="AC499" s="2">
        <v>3.3585530747785424E-4</v>
      </c>
      <c r="AD499" s="2">
        <v>3.3850952500572663E-4</v>
      </c>
      <c r="AE499" s="2">
        <v>3.4119762278519647E-4</v>
      </c>
      <c r="AF499" s="2">
        <v>3.4391996553439239E-4</v>
      </c>
      <c r="AG499" s="2">
        <v>3.4667692211788717E-4</v>
      </c>
      <c r="AH499" s="2">
        <v>3.4946886559290044E-4</v>
      </c>
      <c r="AI499" s="2">
        <v>3.5229617325619161E-4</v>
      </c>
      <c r="AJ499" s="2">
        <v>3.5515922669132312E-4</v>
      </c>
      <c r="AK499" s="2">
        <v>3.5805841181656367E-4</v>
      </c>
      <c r="AL499" s="2">
        <v>3.6099411893332587E-4</v>
      </c>
      <c r="AM499" s="2">
        <v>3.6396674277502683E-4</v>
      </c>
      <c r="AN499" s="2">
        <v>3.6697668255668796E-4</v>
      </c>
      <c r="AO499" s="2">
        <v>3.7002434202490042E-4</v>
      </c>
      <c r="AP499" s="2">
        <v>3.7311012950852148E-4</v>
      </c>
      <c r="AQ499" s="2">
        <v>3.7623445796978241E-4</v>
      </c>
      <c r="AR499" s="2">
        <v>8.3914265440539065E-3</v>
      </c>
    </row>
    <row r="500" spans="1:44" x14ac:dyDescent="0.25">
      <c r="A500" t="s">
        <v>250</v>
      </c>
      <c r="B500" t="s">
        <v>323</v>
      </c>
      <c r="C500" t="s">
        <v>44</v>
      </c>
      <c r="D500" t="s">
        <v>324</v>
      </c>
      <c r="E500" t="s">
        <v>145</v>
      </c>
      <c r="F500" t="s">
        <v>324</v>
      </c>
      <c r="G500" t="s">
        <v>31</v>
      </c>
      <c r="H500" t="s">
        <v>288</v>
      </c>
      <c r="I500" t="s">
        <v>135</v>
      </c>
      <c r="J500" t="s">
        <v>39</v>
      </c>
      <c r="K500" t="s">
        <v>31</v>
      </c>
      <c r="L500">
        <v>2.5658823529411769</v>
      </c>
      <c r="M500">
        <v>1</v>
      </c>
      <c r="N500">
        <v>7.7071005546982621</v>
      </c>
      <c r="O500">
        <v>5.4757113018011117</v>
      </c>
      <c r="P500">
        <v>-2.0193742854541559</v>
      </c>
      <c r="Q500">
        <v>0.38483263480735791</v>
      </c>
      <c r="R500">
        <v>-1.8625523936223527</v>
      </c>
      <c r="S500" s="2">
        <v>9.7718865303650076E-3</v>
      </c>
      <c r="T500" s="2">
        <v>1.0193495404602848E-2</v>
      </c>
      <c r="U500" s="2">
        <v>1.047761515054825E-2</v>
      </c>
      <c r="V500" s="2">
        <v>1.0655353059405098E-2</v>
      </c>
      <c r="W500" s="2">
        <v>1.0756096336074059E-2</v>
      </c>
      <c r="X500" s="2">
        <v>1.0804365304011703E-2</v>
      </c>
      <c r="Y500" s="2">
        <v>1.0818791334451764E-2</v>
      </c>
      <c r="Z500" s="2">
        <v>1.0840754383357555E-2</v>
      </c>
      <c r="AA500" s="2">
        <v>1.080823212020748E-2</v>
      </c>
      <c r="AB500" s="2">
        <v>1.077580742384686E-2</v>
      </c>
      <c r="AC500" s="2">
        <v>1.0743480001575319E-2</v>
      </c>
      <c r="AD500" s="2">
        <v>1.0711249561570593E-2</v>
      </c>
      <c r="AE500" s="2">
        <v>1.0679115812885881E-2</v>
      </c>
      <c r="AF500" s="2">
        <v>1.0647078465447225E-2</v>
      </c>
      <c r="AG500" s="2">
        <v>5.8308995706200821E-3</v>
      </c>
      <c r="AH500" s="2">
        <v>2.2103682237458166E-4</v>
      </c>
      <c r="AI500" s="2">
        <v>1.8220853574275059E-4</v>
      </c>
      <c r="AJ500" s="2">
        <v>1.1504170483307407E-4</v>
      </c>
      <c r="AK500" s="2">
        <v>6.9835858737177177E-5</v>
      </c>
      <c r="AL500" s="2">
        <v>4.07988931650198E-5</v>
      </c>
      <c r="AM500" s="2">
        <v>2.2961001008915E-5</v>
      </c>
      <c r="AN500" s="2">
        <v>1.2460540079884444E-5</v>
      </c>
      <c r="AO500" s="2">
        <v>0</v>
      </c>
      <c r="AP500" s="2">
        <v>0</v>
      </c>
      <c r="AQ500" s="2">
        <v>0</v>
      </c>
      <c r="AR500" s="2">
        <v>0.15517856381491116</v>
      </c>
    </row>
    <row r="501" spans="1:44" x14ac:dyDescent="0.25">
      <c r="A501" t="s">
        <v>250</v>
      </c>
      <c r="B501" t="s">
        <v>323</v>
      </c>
      <c r="C501" t="s">
        <v>44</v>
      </c>
      <c r="D501" t="s">
        <v>324</v>
      </c>
      <c r="E501" t="s">
        <v>145</v>
      </c>
      <c r="F501" t="s">
        <v>324</v>
      </c>
      <c r="G501" t="s">
        <v>31</v>
      </c>
      <c r="H501" t="s">
        <v>288</v>
      </c>
      <c r="I501" t="s">
        <v>135</v>
      </c>
      <c r="J501" t="s">
        <v>39</v>
      </c>
      <c r="K501" t="s">
        <v>33</v>
      </c>
      <c r="L501">
        <v>2.5658823529411769</v>
      </c>
      <c r="M501">
        <v>1</v>
      </c>
      <c r="N501">
        <v>7.7071005546982621</v>
      </c>
      <c r="O501">
        <v>5.4757113018011117</v>
      </c>
      <c r="P501">
        <v>-2.0193742854541559</v>
      </c>
      <c r="Q501">
        <v>0.38483263480735791</v>
      </c>
      <c r="R501">
        <v>-1.8625523936223527</v>
      </c>
      <c r="S501" s="2">
        <v>9.1925244482501164E-5</v>
      </c>
      <c r="T501" s="2">
        <v>9.5891366962523255E-5</v>
      </c>
      <c r="U501" s="2">
        <v>9.8564113624816086E-5</v>
      </c>
      <c r="V501" s="2">
        <v>1.0023611428453555E-4</v>
      </c>
      <c r="W501" s="2">
        <v>1.0118381770996781E-4</v>
      </c>
      <c r="X501" s="2">
        <v>1.0163788936386988E-4</v>
      </c>
      <c r="Y501" s="2">
        <v>1.0177359666777627E-4</v>
      </c>
      <c r="Z501" s="2">
        <v>1.0198020555890204E-4</v>
      </c>
      <c r="AA501" s="2">
        <v>1.0167426494222533E-4</v>
      </c>
      <c r="AB501" s="2">
        <v>1.0136924214739869E-4</v>
      </c>
      <c r="AC501" s="2">
        <v>1.0106513442095647E-4</v>
      </c>
      <c r="AD501" s="2">
        <v>1.0076193901769361E-4</v>
      </c>
      <c r="AE501" s="2">
        <v>1.0045965320064054E-4</v>
      </c>
      <c r="AF501" s="2">
        <v>1.001582742410386E-4</v>
      </c>
      <c r="AG501" s="2">
        <v>5.485193334128297E-5</v>
      </c>
      <c r="AH501" s="2">
        <v>2.0793184482116199E-6</v>
      </c>
      <c r="AI501" s="2">
        <v>1.714056353694178E-6</v>
      </c>
      <c r="AJ501" s="2">
        <v>1.0822103602618404E-6</v>
      </c>
      <c r="AK501" s="2">
        <v>6.5695384080770634E-7</v>
      </c>
      <c r="AL501" s="2">
        <v>3.8379981359339718E-7</v>
      </c>
      <c r="AM501" s="2">
        <v>2.1599673970310096E-7</v>
      </c>
      <c r="AN501" s="2">
        <v>1.1721771324994884E-7</v>
      </c>
      <c r="AO501" s="2">
        <v>0</v>
      </c>
      <c r="AP501" s="2">
        <v>0</v>
      </c>
      <c r="AQ501" s="2">
        <v>0</v>
      </c>
      <c r="AR501" s="2">
        <v>1.4597823432356497E-3</v>
      </c>
    </row>
    <row r="502" spans="1:44" x14ac:dyDescent="0.25">
      <c r="A502" t="s">
        <v>250</v>
      </c>
      <c r="B502" t="s">
        <v>323</v>
      </c>
      <c r="C502" t="s">
        <v>44</v>
      </c>
      <c r="D502" t="s">
        <v>324</v>
      </c>
      <c r="E502" t="s">
        <v>145</v>
      </c>
      <c r="F502" t="s">
        <v>324</v>
      </c>
      <c r="G502" t="s">
        <v>31</v>
      </c>
      <c r="H502" t="s">
        <v>289</v>
      </c>
      <c r="I502" t="s">
        <v>135</v>
      </c>
      <c r="J502" t="s">
        <v>39</v>
      </c>
      <c r="K502" t="s">
        <v>31</v>
      </c>
      <c r="L502">
        <v>2.5658823529411769</v>
      </c>
      <c r="M502">
        <v>1</v>
      </c>
      <c r="N502">
        <v>7.7071005546982621</v>
      </c>
      <c r="O502">
        <v>5.4757113018011117</v>
      </c>
      <c r="P502">
        <v>-2.0193742854541559</v>
      </c>
      <c r="Q502">
        <v>0.38483263480735791</v>
      </c>
      <c r="R502">
        <v>-1.8625523936223527</v>
      </c>
      <c r="S502" s="2">
        <v>9.2877545535533963E-3</v>
      </c>
      <c r="T502" s="2">
        <v>9.6884755125364059E-3</v>
      </c>
      <c r="U502" s="2">
        <v>9.9585190149818099E-3</v>
      </c>
      <c r="V502" s="2">
        <v>1.0127451192734244E-2</v>
      </c>
      <c r="W502" s="2">
        <v>1.0223203310169762E-2</v>
      </c>
      <c r="X502" s="2">
        <v>1.0269080871822274E-2</v>
      </c>
      <c r="Y502" s="2">
        <v>1.0282792188413296E-2</v>
      </c>
      <c r="Z502" s="2">
        <v>1.0303667114339912E-2</v>
      </c>
      <c r="AA502" s="2">
        <v>1.0272756112996892E-2</v>
      </c>
      <c r="AB502" s="2">
        <v>1.0241937844657904E-2</v>
      </c>
      <c r="AC502" s="2">
        <v>1.0211212031123929E-2</v>
      </c>
      <c r="AD502" s="2">
        <v>1.0180578395030554E-2</v>
      </c>
      <c r="AE502" s="2">
        <v>1.0150036659845466E-2</v>
      </c>
      <c r="AF502" s="2">
        <v>1.0119586549865929E-2</v>
      </c>
      <c r="AG502" s="2">
        <v>5.5420172829530844E-3</v>
      </c>
      <c r="AH502" s="2">
        <v>2.1008591812166799E-4</v>
      </c>
      <c r="AI502" s="2">
        <v>1.7318131481391621E-4</v>
      </c>
      <c r="AJ502" s="2">
        <v>1.0934215359457633E-4</v>
      </c>
      <c r="AK502" s="2">
        <v>6.637595647186654E-5</v>
      </c>
      <c r="AL502" s="2">
        <v>3.8777579395326304E-5</v>
      </c>
      <c r="AM502" s="2">
        <v>2.182343614122288E-5</v>
      </c>
      <c r="AN502" s="2">
        <v>1.184320320411638E-5</v>
      </c>
      <c r="AO502" s="2">
        <v>0</v>
      </c>
      <c r="AP502" s="2">
        <v>0</v>
      </c>
      <c r="AQ502" s="2">
        <v>0</v>
      </c>
      <c r="AR502" s="2">
        <v>0.14749049819676754</v>
      </c>
    </row>
    <row r="503" spans="1:44" x14ac:dyDescent="0.25">
      <c r="A503" t="s">
        <v>250</v>
      </c>
      <c r="B503" t="s">
        <v>323</v>
      </c>
      <c r="C503" t="s">
        <v>44</v>
      </c>
      <c r="D503" t="s">
        <v>324</v>
      </c>
      <c r="E503" t="s">
        <v>145</v>
      </c>
      <c r="F503" t="s">
        <v>324</v>
      </c>
      <c r="G503" t="s">
        <v>31</v>
      </c>
      <c r="H503" t="s">
        <v>290</v>
      </c>
      <c r="I503" t="s">
        <v>135</v>
      </c>
      <c r="J503" t="s">
        <v>39</v>
      </c>
      <c r="K503" t="s">
        <v>31</v>
      </c>
      <c r="L503">
        <v>2.5658823529411769</v>
      </c>
      <c r="M503">
        <v>1</v>
      </c>
      <c r="N503">
        <v>7.7071005546982621</v>
      </c>
      <c r="O503">
        <v>5.4757113018011117</v>
      </c>
      <c r="P503">
        <v>-2.0193742854541559</v>
      </c>
      <c r="Q503">
        <v>0.38483263480735791</v>
      </c>
      <c r="R503">
        <v>-1.8625523936223527</v>
      </c>
      <c r="S503" s="2">
        <v>1.3449301179665895E-2</v>
      </c>
      <c r="T503" s="2">
        <v>1.4029572421255186E-2</v>
      </c>
      <c r="U503" s="2">
        <v>1.4420613805376452E-2</v>
      </c>
      <c r="V503" s="2">
        <v>1.4665239104680906E-2</v>
      </c>
      <c r="W503" s="2">
        <v>1.4803894692374954E-2</v>
      </c>
      <c r="X503" s="2">
        <v>1.4870328526354474E-2</v>
      </c>
      <c r="Y503" s="2">
        <v>1.4890183446651856E-2</v>
      </c>
      <c r="Z503" s="2">
        <v>1.4920411761178413E-2</v>
      </c>
      <c r="AA503" s="2">
        <v>1.4875650525894879E-2</v>
      </c>
      <c r="AB503" s="2">
        <v>1.4831023574317191E-2</v>
      </c>
      <c r="AC503" s="2">
        <v>1.478653050359424E-2</v>
      </c>
      <c r="AD503" s="2">
        <v>1.474217091208346E-2</v>
      </c>
      <c r="AE503" s="2">
        <v>1.4697944399347207E-2</v>
      </c>
      <c r="AF503" s="2">
        <v>1.4653850566149169E-2</v>
      </c>
      <c r="AG503" s="2">
        <v>8.0252184908172729E-3</v>
      </c>
      <c r="AH503" s="2">
        <v>3.0421871832777197E-4</v>
      </c>
      <c r="AI503" s="2">
        <v>2.5077833917691079E-4</v>
      </c>
      <c r="AJ503" s="2">
        <v>1.5833488566556716E-4</v>
      </c>
      <c r="AK503" s="2">
        <v>9.6116905817347222E-5</v>
      </c>
      <c r="AL503" s="2">
        <v>5.6152576093499619E-5</v>
      </c>
      <c r="AM503" s="2">
        <v>3.1601821920048499E-5</v>
      </c>
      <c r="AN503" s="2">
        <v>1.7149764876506517E-5</v>
      </c>
      <c r="AO503" s="2">
        <v>0</v>
      </c>
      <c r="AP503" s="2">
        <v>0</v>
      </c>
      <c r="AQ503" s="2">
        <v>0</v>
      </c>
      <c r="AR503" s="2">
        <v>0.21357628692161917</v>
      </c>
    </row>
    <row r="504" spans="1:44" x14ac:dyDescent="0.25">
      <c r="A504" t="s">
        <v>250</v>
      </c>
      <c r="B504" t="s">
        <v>323</v>
      </c>
      <c r="C504" t="s">
        <v>44</v>
      </c>
      <c r="D504" t="s">
        <v>324</v>
      </c>
      <c r="E504" t="s">
        <v>148</v>
      </c>
      <c r="F504" t="s">
        <v>324</v>
      </c>
      <c r="G504" t="s">
        <v>31</v>
      </c>
      <c r="H504" t="s">
        <v>288</v>
      </c>
      <c r="I504" t="s">
        <v>135</v>
      </c>
      <c r="J504" t="s">
        <v>39</v>
      </c>
      <c r="K504" t="s">
        <v>31</v>
      </c>
      <c r="L504">
        <v>2.5658823529411769</v>
      </c>
      <c r="M504">
        <v>1</v>
      </c>
      <c r="N504">
        <v>7.7071005546982621</v>
      </c>
      <c r="O504">
        <v>5.4757113018011117</v>
      </c>
      <c r="P504">
        <v>-2.0193742854541559</v>
      </c>
      <c r="Q504">
        <v>0.38483263480735791</v>
      </c>
      <c r="R504">
        <v>-1.8625523936223527</v>
      </c>
      <c r="S504" s="2">
        <v>1.6624177898817692E-3</v>
      </c>
      <c r="T504" s="2">
        <v>2.1994485855722314E-3</v>
      </c>
      <c r="U504" s="2">
        <v>2.2862424585507984E-3</v>
      </c>
      <c r="V504" s="2">
        <v>2.3513166953284788E-3</v>
      </c>
      <c r="W504" s="2">
        <v>2.4004660430196403E-3</v>
      </c>
      <c r="X504" s="2">
        <v>2.4386629813851033E-3</v>
      </c>
      <c r="Y504" s="2">
        <v>2.469771855429603E-3</v>
      </c>
      <c r="Z504" s="2">
        <v>2.5030929088469024E-3</v>
      </c>
      <c r="AA504" s="2">
        <v>2.5242082865641492E-3</v>
      </c>
      <c r="AB504" s="2">
        <v>2.5455813240058442E-3</v>
      </c>
      <c r="AC504" s="2">
        <v>2.567214848053171E-3</v>
      </c>
      <c r="AD504" s="2">
        <v>2.5891117174762571E-3</v>
      </c>
      <c r="AE504" s="2">
        <v>2.6112748232919166E-3</v>
      </c>
      <c r="AF504" s="2">
        <v>2.6337070891241871E-3</v>
      </c>
      <c r="AG504" s="2">
        <v>2.6564114715698106E-3</v>
      </c>
      <c r="AH504" s="2">
        <v>2.679390960566996E-3</v>
      </c>
      <c r="AI504" s="2">
        <v>2.7026485797695017E-3</v>
      </c>
      <c r="AJ504" s="2">
        <v>2.726187386923159E-3</v>
      </c>
      <c r="AK504" s="2">
        <v>2.7500104742486401E-3</v>
      </c>
      <c r="AL504" s="2">
        <v>2.7741209688269875E-3</v>
      </c>
      <c r="AM504" s="2">
        <v>2.7985220329899063E-3</v>
      </c>
      <c r="AN504" s="2">
        <v>2.8232168647147932E-3</v>
      </c>
      <c r="AO504" s="2">
        <v>2.8482086980239538E-3</v>
      </c>
      <c r="AP504" s="2">
        <v>2.8735008033880585E-3</v>
      </c>
      <c r="AQ504" s="2">
        <v>2.899096488134534E-3</v>
      </c>
      <c r="AR504" s="2">
        <v>6.4313832135686394E-2</v>
      </c>
    </row>
    <row r="505" spans="1:44" x14ac:dyDescent="0.25">
      <c r="A505" t="s">
        <v>250</v>
      </c>
      <c r="B505" t="s">
        <v>323</v>
      </c>
      <c r="C505" t="s">
        <v>44</v>
      </c>
      <c r="D505" t="s">
        <v>324</v>
      </c>
      <c r="E505" t="s">
        <v>148</v>
      </c>
      <c r="F505" t="s">
        <v>324</v>
      </c>
      <c r="G505" t="s">
        <v>31</v>
      </c>
      <c r="H505" t="s">
        <v>288</v>
      </c>
      <c r="I505" t="s">
        <v>135</v>
      </c>
      <c r="J505" t="s">
        <v>39</v>
      </c>
      <c r="K505" t="s">
        <v>33</v>
      </c>
      <c r="L505">
        <v>2.5658823529411769</v>
      </c>
      <c r="M505">
        <v>1</v>
      </c>
      <c r="N505">
        <v>7.7071005546982621</v>
      </c>
      <c r="O505">
        <v>5.4757113018011117</v>
      </c>
      <c r="P505">
        <v>-2.0193742854541559</v>
      </c>
      <c r="Q505">
        <v>0.38483263480735791</v>
      </c>
      <c r="R505">
        <v>-1.8625523936223527</v>
      </c>
      <c r="S505" s="2">
        <v>1.5638552626667953E-5</v>
      </c>
      <c r="T505" s="2">
        <v>2.06904622077989E-5</v>
      </c>
      <c r="U505" s="2">
        <v>2.1506942011197088E-5</v>
      </c>
      <c r="V505" s="2">
        <v>2.2119102734380813E-5</v>
      </c>
      <c r="W505" s="2">
        <v>2.2581456220437899E-5</v>
      </c>
      <c r="X505" s="2">
        <v>2.2940779150234312E-5</v>
      </c>
      <c r="Y505" s="2">
        <v>2.3233423855350743E-5</v>
      </c>
      <c r="Z505" s="2">
        <v>2.3546878782634814E-5</v>
      </c>
      <c r="AA505" s="2">
        <v>2.3745513534784982E-5</v>
      </c>
      <c r="AB505" s="2">
        <v>2.3946572121175499E-5</v>
      </c>
      <c r="AC505" s="2">
        <v>2.4150081134597244E-5</v>
      </c>
      <c r="AD505" s="2">
        <v>2.4356067467826073E-5</v>
      </c>
      <c r="AE505" s="2">
        <v>2.456455831698495E-5</v>
      </c>
      <c r="AF505" s="2">
        <v>2.4775581184935558E-5</v>
      </c>
      <c r="AG505" s="2">
        <v>2.4989163884719557E-5</v>
      </c>
      <c r="AH505" s="2">
        <v>2.5205334543024597E-5</v>
      </c>
      <c r="AI505" s="2">
        <v>2.5424121603703543E-5</v>
      </c>
      <c r="AJ505" s="2">
        <v>2.564555383131996E-5</v>
      </c>
      <c r="AK505" s="2">
        <v>2.586966031474171E-5</v>
      </c>
      <c r="AL505" s="2">
        <v>2.6096470470777302E-5</v>
      </c>
      <c r="AM505" s="2">
        <v>2.6326014047837317E-5</v>
      </c>
      <c r="AN505" s="2">
        <v>2.6558321129659433E-5</v>
      </c>
      <c r="AO505" s="2">
        <v>2.6793422139057508E-5</v>
      </c>
      <c r="AP505" s="2">
        <v>2.7031347841719735E-5</v>
      </c>
      <c r="AQ505" s="2">
        <v>2.7272129350050076E-5</v>
      </c>
      <c r="AR505" s="2">
        <v>6.0500751050561767E-4</v>
      </c>
    </row>
    <row r="506" spans="1:44" x14ac:dyDescent="0.25">
      <c r="A506" t="s">
        <v>250</v>
      </c>
      <c r="B506" t="s">
        <v>323</v>
      </c>
      <c r="C506" t="s">
        <v>44</v>
      </c>
      <c r="D506" t="s">
        <v>324</v>
      </c>
      <c r="E506" t="s">
        <v>148</v>
      </c>
      <c r="F506" t="s">
        <v>324</v>
      </c>
      <c r="G506" t="s">
        <v>31</v>
      </c>
      <c r="H506" t="s">
        <v>289</v>
      </c>
      <c r="I506" t="s">
        <v>135</v>
      </c>
      <c r="J506" t="s">
        <v>39</v>
      </c>
      <c r="K506" t="s">
        <v>31</v>
      </c>
      <c r="L506">
        <v>2.5658823529411769</v>
      </c>
      <c r="M506">
        <v>1</v>
      </c>
      <c r="N506">
        <v>7.7071005546982621</v>
      </c>
      <c r="O506">
        <v>5.4757113018011117</v>
      </c>
      <c r="P506">
        <v>-2.0193742854541559</v>
      </c>
      <c r="Q506">
        <v>0.38483263480735791</v>
      </c>
      <c r="R506">
        <v>-1.8625523936223527</v>
      </c>
      <c r="S506" s="2">
        <v>1.5800560464864339E-3</v>
      </c>
      <c r="T506" s="2">
        <v>2.0904805384791753E-3</v>
      </c>
      <c r="U506" s="2">
        <v>2.1729743523883705E-3</v>
      </c>
      <c r="V506" s="2">
        <v>2.234824593595378E-3</v>
      </c>
      <c r="W506" s="2">
        <v>2.2815389180407364E-3</v>
      </c>
      <c r="X506" s="2">
        <v>2.3178434521891459E-3</v>
      </c>
      <c r="Y506" s="2">
        <v>2.347411088455131E-3</v>
      </c>
      <c r="Z506" s="2">
        <v>2.3790813053210643E-3</v>
      </c>
      <c r="AA506" s="2">
        <v>2.3991505565279735E-3</v>
      </c>
      <c r="AB506" s="2">
        <v>2.4194647021338954E-3</v>
      </c>
      <c r="AC506" s="2">
        <v>2.4400264289668513E-3</v>
      </c>
      <c r="AD506" s="2">
        <v>2.4608384541639108E-3</v>
      </c>
      <c r="AE506" s="2">
        <v>2.481903525511261E-3</v>
      </c>
      <c r="AF506" s="2">
        <v>2.503224421786774E-3</v>
      </c>
      <c r="AG506" s="2">
        <v>2.5248039531075421E-3</v>
      </c>
      <c r="AH506" s="2">
        <v>2.546644961280218E-3</v>
      </c>
      <c r="AI506" s="2">
        <v>2.5687503201565153E-3</v>
      </c>
      <c r="AJ506" s="2">
        <v>2.5911229359915733E-3</v>
      </c>
      <c r="AK506" s="2">
        <v>2.6137657478067706E-3</v>
      </c>
      <c r="AL506" s="2">
        <v>2.6366817277572604E-3</v>
      </c>
      <c r="AM506" s="2">
        <v>2.6598738815022532E-3</v>
      </c>
      <c r="AN506" s="2">
        <v>2.6833452485805565E-3</v>
      </c>
      <c r="AO506" s="2">
        <v>2.7070989027902998E-3</v>
      </c>
      <c r="AP506" s="2">
        <v>2.731137952571979E-3</v>
      </c>
      <c r="AQ506" s="2">
        <v>2.7554655413969701E-3</v>
      </c>
      <c r="AR506" s="2">
        <v>6.1127509556988036E-2</v>
      </c>
    </row>
    <row r="507" spans="1:44" x14ac:dyDescent="0.25">
      <c r="A507" t="s">
        <v>250</v>
      </c>
      <c r="B507" t="s">
        <v>323</v>
      </c>
      <c r="C507" t="s">
        <v>44</v>
      </c>
      <c r="D507" t="s">
        <v>324</v>
      </c>
      <c r="E507" t="s">
        <v>148</v>
      </c>
      <c r="F507" t="s">
        <v>324</v>
      </c>
      <c r="G507" t="s">
        <v>31</v>
      </c>
      <c r="H507" t="s">
        <v>290</v>
      </c>
      <c r="I507" t="s">
        <v>135</v>
      </c>
      <c r="J507" t="s">
        <v>39</v>
      </c>
      <c r="K507" t="s">
        <v>31</v>
      </c>
      <c r="L507">
        <v>2.5658823529411769</v>
      </c>
      <c r="M507">
        <v>1</v>
      </c>
      <c r="N507">
        <v>7.7071005546982621</v>
      </c>
      <c r="O507">
        <v>5.4757113018011117</v>
      </c>
      <c r="P507">
        <v>-2.0193742854541559</v>
      </c>
      <c r="Q507">
        <v>0.38483263480735791</v>
      </c>
      <c r="R507">
        <v>-1.8625523936223527</v>
      </c>
      <c r="S507" s="2">
        <v>2.2880287724461835E-3</v>
      </c>
      <c r="T507" s="2">
        <v>3.0271582017076543E-3</v>
      </c>
      <c r="U507" s="2">
        <v>3.1466148628765326E-3</v>
      </c>
      <c r="V507" s="2">
        <v>3.236178224745328E-3</v>
      </c>
      <c r="W507" s="2">
        <v>3.3038237482405702E-3</v>
      </c>
      <c r="X507" s="2">
        <v>3.3563951863781693E-3</v>
      </c>
      <c r="Y507" s="2">
        <v>3.3992111375339145E-3</v>
      </c>
      <c r="Z507" s="2">
        <v>3.4450717686046101E-3</v>
      </c>
      <c r="AA507" s="2">
        <v>3.4741334112627382E-3</v>
      </c>
      <c r="AB507" s="2">
        <v>3.503549677690392E-3</v>
      </c>
      <c r="AC507" s="2">
        <v>3.5333244585974387E-3</v>
      </c>
      <c r="AD507" s="2">
        <v>3.5634616885834337E-3</v>
      </c>
      <c r="AE507" s="2">
        <v>3.5939653466299645E-3</v>
      </c>
      <c r="AF507" s="2">
        <v>3.6248394565966562E-3</v>
      </c>
      <c r="AG507" s="2">
        <v>3.6560880877243452E-3</v>
      </c>
      <c r="AH507" s="2">
        <v>3.6877153551427861E-3</v>
      </c>
      <c r="AI507" s="2">
        <v>3.7197254203849613E-3</v>
      </c>
      <c r="AJ507" s="2">
        <v>3.7521224919060386E-3</v>
      </c>
      <c r="AK507" s="2">
        <v>3.7849108256094574E-3</v>
      </c>
      <c r="AL507" s="2">
        <v>3.8180947253781748E-3</v>
      </c>
      <c r="AM507" s="2">
        <v>3.8516785436113875E-3</v>
      </c>
      <c r="AN507" s="2">
        <v>3.8856666817684406E-3</v>
      </c>
      <c r="AO507" s="2">
        <v>3.920063590918261E-3</v>
      </c>
      <c r="AP507" s="2">
        <v>3.9548737722944691E-3</v>
      </c>
      <c r="AQ507" s="2">
        <v>3.9901017778577125E-3</v>
      </c>
      <c r="AR507" s="2">
        <v>8.8516797214489615E-2</v>
      </c>
    </row>
    <row r="508" spans="1:44" x14ac:dyDescent="0.25">
      <c r="A508" t="s">
        <v>250</v>
      </c>
      <c r="B508" t="s">
        <v>331</v>
      </c>
      <c r="C508" t="s">
        <v>44</v>
      </c>
      <c r="D508" t="s">
        <v>324</v>
      </c>
      <c r="E508" t="s">
        <v>145</v>
      </c>
      <c r="F508" t="s">
        <v>324</v>
      </c>
      <c r="G508" t="s">
        <v>31</v>
      </c>
      <c r="H508" t="s">
        <v>254</v>
      </c>
      <c r="I508" t="s">
        <v>135</v>
      </c>
      <c r="J508" t="s">
        <v>39</v>
      </c>
      <c r="K508" t="s">
        <v>31</v>
      </c>
      <c r="L508">
        <v>2.6611764705882361</v>
      </c>
      <c r="M508">
        <v>1</v>
      </c>
      <c r="N508">
        <v>7.6840003133975507</v>
      </c>
      <c r="O508">
        <v>5.4114176288701801</v>
      </c>
      <c r="P508">
        <v>-2.0227495107528393</v>
      </c>
      <c r="Q508">
        <v>0.38145740950867718</v>
      </c>
      <c r="R508">
        <v>-1.8625523936223547</v>
      </c>
      <c r="S508" s="2">
        <v>2.6151513267961622E-3</v>
      </c>
      <c r="T508" s="2">
        <v>2.7239144491908872E-3</v>
      </c>
      <c r="U508" s="2">
        <v>2.7956622181696611E-3</v>
      </c>
      <c r="V508" s="2">
        <v>2.8388472296409484E-3</v>
      </c>
      <c r="W508" s="2">
        <v>2.8614145660580668E-3</v>
      </c>
      <c r="X508" s="2">
        <v>2.8699695086415785E-3</v>
      </c>
      <c r="Y508" s="2">
        <v>2.8695162624326784E-3</v>
      </c>
      <c r="Z508" s="2">
        <v>2.871054082665758E-3</v>
      </c>
      <c r="AA508" s="2">
        <v>2.8581726200148645E-3</v>
      </c>
      <c r="AB508" s="2">
        <v>2.8453489521930646E-3</v>
      </c>
      <c r="AC508" s="2">
        <v>2.8325828198942252E-3</v>
      </c>
      <c r="AD508" s="2">
        <v>2.8198739649756325E-3</v>
      </c>
      <c r="AE508" s="2">
        <v>2.8072221304527752E-3</v>
      </c>
      <c r="AF508" s="2">
        <v>2.7946270604941436E-3</v>
      </c>
      <c r="AG508" s="2">
        <v>4.9297865508914106E-4</v>
      </c>
      <c r="AH508" s="2">
        <v>5.9153852995272426E-5</v>
      </c>
      <c r="AI508" s="2">
        <v>5.3817455971395952E-5</v>
      </c>
      <c r="AJ508" s="2">
        <v>3.3929150331209612E-5</v>
      </c>
      <c r="AK508" s="2">
        <v>2.0566792020848946E-5</v>
      </c>
      <c r="AL508" s="2">
        <v>1.1998142299277724E-5</v>
      </c>
      <c r="AM508" s="2">
        <v>6.7428128821129705E-6</v>
      </c>
      <c r="AN508" s="2">
        <v>3.6540871604325699E-6</v>
      </c>
      <c r="AO508" s="2">
        <v>0</v>
      </c>
      <c r="AP508" s="2">
        <v>0</v>
      </c>
      <c r="AQ508" s="2">
        <v>0</v>
      </c>
      <c r="AR508" s="2">
        <v>4.0086198140370143E-2</v>
      </c>
    </row>
    <row r="509" spans="1:44" x14ac:dyDescent="0.25">
      <c r="A509" t="s">
        <v>250</v>
      </c>
      <c r="B509" t="s">
        <v>331</v>
      </c>
      <c r="C509" t="s">
        <v>44</v>
      </c>
      <c r="D509" t="s">
        <v>324</v>
      </c>
      <c r="E509" t="s">
        <v>145</v>
      </c>
      <c r="F509" t="s">
        <v>324</v>
      </c>
      <c r="G509" t="s">
        <v>31</v>
      </c>
      <c r="H509" t="s">
        <v>255</v>
      </c>
      <c r="I509" t="s">
        <v>135</v>
      </c>
      <c r="J509" t="s">
        <v>39</v>
      </c>
      <c r="K509" t="s">
        <v>31</v>
      </c>
      <c r="L509">
        <v>2.6611764705882361</v>
      </c>
      <c r="M509">
        <v>1</v>
      </c>
      <c r="N509">
        <v>7.6840003133975507</v>
      </c>
      <c r="O509">
        <v>5.4114176288701801</v>
      </c>
      <c r="P509">
        <v>-2.0227495107528393</v>
      </c>
      <c r="Q509">
        <v>0.38145740950867718</v>
      </c>
      <c r="R509">
        <v>-1.8625523936223547</v>
      </c>
      <c r="S509" s="2">
        <v>4.4177303093208067E-3</v>
      </c>
      <c r="T509" s="2">
        <v>4.5806004571388699E-3</v>
      </c>
      <c r="U509" s="2">
        <v>4.6799392902061934E-3</v>
      </c>
      <c r="V509" s="2">
        <v>4.7306859426256296E-3</v>
      </c>
      <c r="W509" s="2">
        <v>4.746674512554643E-3</v>
      </c>
      <c r="X509" s="2">
        <v>4.7392817136854342E-3</v>
      </c>
      <c r="Y509" s="2">
        <v>4.7170502852694829E-3</v>
      </c>
      <c r="Z509" s="2">
        <v>4.6981811978178611E-3</v>
      </c>
      <c r="AA509" s="2">
        <v>4.6558975670375003E-3</v>
      </c>
      <c r="AB509" s="2">
        <v>4.613994488934162E-3</v>
      </c>
      <c r="AC509" s="2">
        <v>4.5724685385337555E-3</v>
      </c>
      <c r="AD509" s="2">
        <v>4.531316321686951E-3</v>
      </c>
      <c r="AE509" s="2">
        <v>4.4905344747917684E-3</v>
      </c>
      <c r="AF509" s="2">
        <v>2.5850489485683382E-4</v>
      </c>
      <c r="AG509" s="2">
        <v>0</v>
      </c>
      <c r="AH509" s="2">
        <v>9.9927589892273734E-5</v>
      </c>
      <c r="AI509" s="2">
        <v>1.1683632789404184E-4</v>
      </c>
      <c r="AJ509" s="2">
        <v>7.3330586117536332E-5</v>
      </c>
      <c r="AK509" s="2">
        <v>4.4254586719928298E-5</v>
      </c>
      <c r="AL509" s="2">
        <v>2.5704399307605552E-5</v>
      </c>
      <c r="AM509" s="2">
        <v>1.438329738384751E-5</v>
      </c>
      <c r="AN509" s="2">
        <v>7.761440959665579E-6</v>
      </c>
      <c r="AO509" s="2">
        <v>0</v>
      </c>
      <c r="AP509" s="2">
        <v>0</v>
      </c>
      <c r="AQ509" s="2">
        <v>0</v>
      </c>
      <c r="AR509" s="2">
        <v>6.081505822273478E-2</v>
      </c>
    </row>
    <row r="510" spans="1:44" x14ac:dyDescent="0.25">
      <c r="A510" t="s">
        <v>250</v>
      </c>
      <c r="B510" t="s">
        <v>331</v>
      </c>
      <c r="C510" t="s">
        <v>44</v>
      </c>
      <c r="D510" t="s">
        <v>324</v>
      </c>
      <c r="E510" t="s">
        <v>148</v>
      </c>
      <c r="F510" t="s">
        <v>324</v>
      </c>
      <c r="G510" t="s">
        <v>31</v>
      </c>
      <c r="H510" t="s">
        <v>254</v>
      </c>
      <c r="I510" t="s">
        <v>135</v>
      </c>
      <c r="J510" t="s">
        <v>39</v>
      </c>
      <c r="K510" t="s">
        <v>31</v>
      </c>
      <c r="L510">
        <v>2.6611764705882361</v>
      </c>
      <c r="M510">
        <v>1</v>
      </c>
      <c r="N510">
        <v>7.6840003133975507</v>
      </c>
      <c r="O510">
        <v>5.4114176288701801</v>
      </c>
      <c r="P510">
        <v>-2.0227495107528393</v>
      </c>
      <c r="Q510">
        <v>0.38145740950867718</v>
      </c>
      <c r="R510">
        <v>-1.8625523936223547</v>
      </c>
      <c r="S510" s="2">
        <v>4.4489608791399452E-4</v>
      </c>
      <c r="T510" s="2">
        <v>6.4963327284787823E-4</v>
      </c>
      <c r="U510" s="2">
        <v>6.7427950743879396E-4</v>
      </c>
      <c r="V510" s="2">
        <v>6.9246719840543325E-4</v>
      </c>
      <c r="W510" s="2">
        <v>7.0592927735175202E-4</v>
      </c>
      <c r="X510" s="2">
        <v>7.161468334778195E-4</v>
      </c>
      <c r="Y510" s="2">
        <v>7.2426729245003403E-4</v>
      </c>
      <c r="Z510" s="2">
        <v>7.3302333669191672E-4</v>
      </c>
      <c r="AA510" s="2">
        <v>7.3819624321648709E-4</v>
      </c>
      <c r="AB510" s="2">
        <v>7.4344083321127618E-4</v>
      </c>
      <c r="AC510" s="2">
        <v>7.4875784921156008E-4</v>
      </c>
      <c r="AD510" s="2">
        <v>7.541480423548096E-4</v>
      </c>
      <c r="AE510" s="2">
        <v>7.5961217247601774E-4</v>
      </c>
      <c r="AF510" s="2">
        <v>7.6515100820394202E-4</v>
      </c>
      <c r="AG510" s="2">
        <v>7.7076532705862191E-4</v>
      </c>
      <c r="AH510" s="2">
        <v>7.7645591554964251E-4</v>
      </c>
      <c r="AI510" s="2">
        <v>7.822235692760308E-4</v>
      </c>
      <c r="AJ510" s="2">
        <v>7.8806909302667346E-4</v>
      </c>
      <c r="AK510" s="2">
        <v>7.9399330088240623E-4</v>
      </c>
      <c r="AL510" s="2">
        <v>7.9999701631895237E-4</v>
      </c>
      <c r="AM510" s="2">
        <v>8.0608107231097052E-4</v>
      </c>
      <c r="AN510" s="2">
        <v>8.1224631143759585E-4</v>
      </c>
      <c r="AO510" s="2">
        <v>8.1849358598882441E-4</v>
      </c>
      <c r="AP510" s="2">
        <v>8.2482375807324277E-4</v>
      </c>
      <c r="AQ510" s="2">
        <v>8.312376997270625E-4</v>
      </c>
      <c r="AR510" s="2">
        <v>1.8654335604901741E-2</v>
      </c>
    </row>
    <row r="511" spans="1:44" x14ac:dyDescent="0.25">
      <c r="A511" t="s">
        <v>250</v>
      </c>
      <c r="B511" t="s">
        <v>331</v>
      </c>
      <c r="C511" t="s">
        <v>44</v>
      </c>
      <c r="D511" t="s">
        <v>324</v>
      </c>
      <c r="E511" t="s">
        <v>148</v>
      </c>
      <c r="F511" t="s">
        <v>324</v>
      </c>
      <c r="G511" t="s">
        <v>31</v>
      </c>
      <c r="H511" t="s">
        <v>255</v>
      </c>
      <c r="I511" t="s">
        <v>135</v>
      </c>
      <c r="J511" t="s">
        <v>39</v>
      </c>
      <c r="K511" t="s">
        <v>31</v>
      </c>
      <c r="L511">
        <v>2.6611764705882361</v>
      </c>
      <c r="M511">
        <v>1</v>
      </c>
      <c r="N511">
        <v>7.6840003133975507</v>
      </c>
      <c r="O511">
        <v>5.4114176288701801</v>
      </c>
      <c r="P511">
        <v>-2.0227495107528393</v>
      </c>
      <c r="Q511">
        <v>0.38145740950867718</v>
      </c>
      <c r="R511">
        <v>-1.8625523936223547</v>
      </c>
      <c r="S511" s="2">
        <v>7.5155533522557917E-4</v>
      </c>
      <c r="T511" s="2">
        <v>1.4103373098437726E-3</v>
      </c>
      <c r="U511" s="2">
        <v>1.4573106312670717E-3</v>
      </c>
      <c r="V511" s="2">
        <v>1.4900160244472635E-3</v>
      </c>
      <c r="W511" s="2">
        <v>1.5123581280638092E-3</v>
      </c>
      <c r="X511" s="2">
        <v>1.5276343947993934E-3</v>
      </c>
      <c r="Y511" s="2">
        <v>1.5383754088400914E-3</v>
      </c>
      <c r="Z511" s="2">
        <v>1.5504207625425196E-3</v>
      </c>
      <c r="AA511" s="2">
        <v>1.5548702109726507E-3</v>
      </c>
      <c r="AB511" s="2">
        <v>1.5594859940081919E-3</v>
      </c>
      <c r="AC511" s="2">
        <v>1.5642689290436423E-3</v>
      </c>
      <c r="AD511" s="2">
        <v>1.5692198520713397E-3</v>
      </c>
      <c r="AE511" s="2">
        <v>1.5743396178052903E-3</v>
      </c>
      <c r="AF511" s="2">
        <v>1.5796290998068567E-3</v>
      </c>
      <c r="AG511" s="2">
        <v>1.585089190612943E-3</v>
      </c>
      <c r="AH511" s="2">
        <v>1.5907208018659546E-3</v>
      </c>
      <c r="AI511" s="2">
        <v>1.5965248644463973E-3</v>
      </c>
      <c r="AJ511" s="2">
        <v>1.6025023286073406E-3</v>
      </c>
      <c r="AK511" s="2">
        <v>1.6086541641112848E-3</v>
      </c>
      <c r="AL511" s="2">
        <v>1.6149813603694749E-3</v>
      </c>
      <c r="AM511" s="2">
        <v>1.6214849265829084E-3</v>
      </c>
      <c r="AN511" s="2">
        <v>1.628165891886307E-3</v>
      </c>
      <c r="AO511" s="2">
        <v>1.6350253054940493E-3</v>
      </c>
      <c r="AP511" s="2">
        <v>1.6420642368484637E-3</v>
      </c>
      <c r="AQ511" s="2">
        <v>1.6492837757705761E-3</v>
      </c>
      <c r="AR511" s="2">
        <v>3.841431854533317E-2</v>
      </c>
    </row>
    <row r="512" spans="1:44" x14ac:dyDescent="0.25">
      <c r="A512" t="s">
        <v>250</v>
      </c>
      <c r="B512" t="s">
        <v>325</v>
      </c>
      <c r="C512" t="s">
        <v>44</v>
      </c>
      <c r="D512" t="s">
        <v>324</v>
      </c>
      <c r="E512" t="s">
        <v>145</v>
      </c>
      <c r="F512" t="s">
        <v>324</v>
      </c>
      <c r="G512" t="s">
        <v>31</v>
      </c>
      <c r="H512" t="s">
        <v>278</v>
      </c>
      <c r="I512" t="s">
        <v>135</v>
      </c>
      <c r="J512" t="s">
        <v>39</v>
      </c>
      <c r="K512" t="s">
        <v>31</v>
      </c>
      <c r="L512">
        <v>2.080588235294119</v>
      </c>
      <c r="M512">
        <v>1</v>
      </c>
      <c r="N512">
        <v>7.2771517636398224</v>
      </c>
      <c r="O512">
        <v>5.4656142296399581</v>
      </c>
      <c r="P512">
        <v>-1.9973891453265649</v>
      </c>
      <c r="Q512">
        <v>0.40681777493494881</v>
      </c>
      <c r="R512">
        <v>-1.8625523936223536</v>
      </c>
      <c r="S512" s="2">
        <v>4.6916785078856358E-3</v>
      </c>
      <c r="T512" s="2">
        <v>4.8646484083981097E-3</v>
      </c>
      <c r="U512" s="2">
        <v>4.970147349136313E-3</v>
      </c>
      <c r="V512" s="2">
        <v>5.0240408559447947E-3</v>
      </c>
      <c r="W512" s="2">
        <v>5.0410208942575684E-3</v>
      </c>
      <c r="X512" s="2">
        <v>5.0331696599948978E-3</v>
      </c>
      <c r="Y512" s="2">
        <v>5.0095596368391953E-3</v>
      </c>
      <c r="Z512" s="2">
        <v>4.9895204570202245E-3</v>
      </c>
      <c r="AA512" s="2">
        <v>4.944614772907043E-3</v>
      </c>
      <c r="AB512" s="2">
        <v>4.9001132399508797E-3</v>
      </c>
      <c r="AC512" s="2">
        <v>4.8560122207913226E-3</v>
      </c>
      <c r="AD512" s="2">
        <v>4.8123081108041995E-3</v>
      </c>
      <c r="AE512" s="2">
        <v>4.7689973378069617E-3</v>
      </c>
      <c r="AF512" s="2">
        <v>2.7453506087143621E-4</v>
      </c>
      <c r="AG512" s="2">
        <v>0</v>
      </c>
      <c r="AH512" s="2">
        <v>1.0612420700585265E-4</v>
      </c>
      <c r="AI512" s="2">
        <v>1.240814740013033E-4</v>
      </c>
      <c r="AJ512" s="2">
        <v>7.7877894477265368E-5</v>
      </c>
      <c r="AK512" s="2">
        <v>4.6998861146227351E-5</v>
      </c>
      <c r="AL512" s="2">
        <v>2.7298356700308513E-5</v>
      </c>
      <c r="AM512" s="2">
        <v>1.5275221093951221E-5</v>
      </c>
      <c r="AN512" s="2">
        <v>8.2427362448670065E-6</v>
      </c>
      <c r="AO512" s="2">
        <v>0</v>
      </c>
      <c r="AP512" s="2">
        <v>0</v>
      </c>
      <c r="AQ512" s="2">
        <v>0</v>
      </c>
      <c r="AR512" s="2">
        <v>6.4586265263278347E-2</v>
      </c>
    </row>
    <row r="513" spans="1:44" x14ac:dyDescent="0.25">
      <c r="A513" t="s">
        <v>250</v>
      </c>
      <c r="B513" t="s">
        <v>325</v>
      </c>
      <c r="C513" t="s">
        <v>44</v>
      </c>
      <c r="D513" t="s">
        <v>324</v>
      </c>
      <c r="E513" t="s">
        <v>148</v>
      </c>
      <c r="F513" t="s">
        <v>324</v>
      </c>
      <c r="G513" t="s">
        <v>31</v>
      </c>
      <c r="H513" t="s">
        <v>278</v>
      </c>
      <c r="I513" t="s">
        <v>135</v>
      </c>
      <c r="J513" t="s">
        <v>39</v>
      </c>
      <c r="K513" t="s">
        <v>31</v>
      </c>
      <c r="L513">
        <v>2.080588235294119</v>
      </c>
      <c r="M513">
        <v>1</v>
      </c>
      <c r="N513">
        <v>7.2771517636398224</v>
      </c>
      <c r="O513">
        <v>5.4656142296399581</v>
      </c>
      <c r="P513">
        <v>-1.9973891453265649</v>
      </c>
      <c r="Q513">
        <v>0.40681777493494881</v>
      </c>
      <c r="R513">
        <v>-1.8625523936223536</v>
      </c>
      <c r="S513" s="2">
        <v>7.9816008829808815E-4</v>
      </c>
      <c r="T513" s="2">
        <v>1.4977938403126776E-3</v>
      </c>
      <c r="U513" s="2">
        <v>1.5476800278195701E-3</v>
      </c>
      <c r="V513" s="2">
        <v>1.5824135175375124E-3</v>
      </c>
      <c r="W513" s="2">
        <v>1.6061410789818041E-3</v>
      </c>
      <c r="X513" s="2">
        <v>1.6223646434155167E-3</v>
      </c>
      <c r="Y513" s="2">
        <v>1.6337717192665068E-3</v>
      </c>
      <c r="Z513" s="2">
        <v>1.6465640182817618E-3</v>
      </c>
      <c r="AA513" s="2">
        <v>1.6512893817851671E-3</v>
      </c>
      <c r="AB513" s="2">
        <v>1.6561913944814252E-3</v>
      </c>
      <c r="AC513" s="2">
        <v>1.6612709244525463E-3</v>
      </c>
      <c r="AD513" s="2">
        <v>1.666528859531597E-3</v>
      </c>
      <c r="AE513" s="2">
        <v>1.6719661074343717E-3</v>
      </c>
      <c r="AF513" s="2">
        <v>1.677583595892704E-3</v>
      </c>
      <c r="AG513" s="2">
        <v>1.6833822727906394E-3</v>
      </c>
      <c r="AH513" s="2">
        <v>1.6893631063025461E-3</v>
      </c>
      <c r="AI513" s="2">
        <v>1.6955270850337986E-3</v>
      </c>
      <c r="AJ513" s="2">
        <v>1.7018752181637131E-3</v>
      </c>
      <c r="AK513" s="2">
        <v>1.7084085355907614E-3</v>
      </c>
      <c r="AL513" s="2">
        <v>1.7151280880806621E-3</v>
      </c>
      <c r="AM513" s="2">
        <v>1.7220349474160398E-3</v>
      </c>
      <c r="AN513" s="2">
        <v>1.7291302065493858E-3</v>
      </c>
      <c r="AO513" s="2">
        <v>1.7364149797580051E-3</v>
      </c>
      <c r="AP513" s="2">
        <v>1.7438904028014403E-3</v>
      </c>
      <c r="AQ513" s="2">
        <v>1.7515576330817211E-3</v>
      </c>
      <c r="AR513" s="2">
        <v>4.0796431673059956E-2</v>
      </c>
    </row>
    <row r="514" spans="1:44" x14ac:dyDescent="0.25">
      <c r="A514" t="s">
        <v>250</v>
      </c>
      <c r="B514" t="s">
        <v>326</v>
      </c>
      <c r="C514" t="s">
        <v>44</v>
      </c>
      <c r="D514" t="s">
        <v>324</v>
      </c>
      <c r="E514" t="s">
        <v>145</v>
      </c>
      <c r="F514" t="s">
        <v>324</v>
      </c>
      <c r="G514" t="s">
        <v>31</v>
      </c>
      <c r="H514" t="s">
        <v>272</v>
      </c>
      <c r="I514" t="s">
        <v>135</v>
      </c>
      <c r="J514" t="s">
        <v>39</v>
      </c>
      <c r="K514" t="s">
        <v>31</v>
      </c>
      <c r="L514">
        <v>2.0876470588235296</v>
      </c>
      <c r="M514">
        <v>1</v>
      </c>
      <c r="N514">
        <v>7.2865699682034801</v>
      </c>
      <c r="O514">
        <v>5.4674005771508289</v>
      </c>
      <c r="P514">
        <v>-1.9977821848254711</v>
      </c>
      <c r="Q514">
        <v>0.40642473543604118</v>
      </c>
      <c r="R514">
        <v>-1.8625523936223525</v>
      </c>
      <c r="S514" s="2">
        <v>1.0456888109390619E-2</v>
      </c>
      <c r="T514" s="2">
        <v>1.0890546036438463E-2</v>
      </c>
      <c r="U514" s="2">
        <v>1.1176129987364797E-2</v>
      </c>
      <c r="V514" s="2">
        <v>1.1347477344466627E-2</v>
      </c>
      <c r="W514" s="2">
        <v>1.1436381684321494E-2</v>
      </c>
      <c r="X514" s="2">
        <v>1.1469267862607383E-2</v>
      </c>
      <c r="Y514" s="2">
        <v>1.1466151050976092E-2</v>
      </c>
      <c r="Z514" s="2">
        <v>1.147098989363678E-2</v>
      </c>
      <c r="AA514" s="2">
        <v>1.1418223340126049E-2</v>
      </c>
      <c r="AB514" s="2">
        <v>1.136569951276147E-2</v>
      </c>
      <c r="AC514" s="2">
        <v>1.1313417295002766E-2</v>
      </c>
      <c r="AD514" s="2">
        <v>1.1261375575445754E-2</v>
      </c>
      <c r="AE514" s="2">
        <v>1.1209573247798702E-2</v>
      </c>
      <c r="AF514" s="2">
        <v>1.115800921085883E-2</v>
      </c>
      <c r="AG514" s="2">
        <v>1.6532009207964357E-3</v>
      </c>
      <c r="AH514" s="2">
        <v>2.3653133020363798E-4</v>
      </c>
      <c r="AI514" s="2">
        <v>2.1673416127484347E-4</v>
      </c>
      <c r="AJ514" s="2">
        <v>1.3662449719890928E-4</v>
      </c>
      <c r="AK514" s="2">
        <v>8.2808341348191369E-5</v>
      </c>
      <c r="AL514" s="2">
        <v>4.830299086356508E-5</v>
      </c>
      <c r="AM514" s="2">
        <v>2.7142769154769656E-5</v>
      </c>
      <c r="AN514" s="2">
        <v>1.4707725756241059E-5</v>
      </c>
      <c r="AO514" s="2">
        <v>0</v>
      </c>
      <c r="AP514" s="2">
        <v>0</v>
      </c>
      <c r="AQ514" s="2">
        <v>0</v>
      </c>
      <c r="AR514" s="2">
        <v>0.15985618288779246</v>
      </c>
    </row>
    <row r="515" spans="1:44" x14ac:dyDescent="0.25">
      <c r="A515" t="s">
        <v>250</v>
      </c>
      <c r="B515" t="s">
        <v>326</v>
      </c>
      <c r="C515" t="s">
        <v>44</v>
      </c>
      <c r="D515" t="s">
        <v>324</v>
      </c>
      <c r="E515" t="s">
        <v>145</v>
      </c>
      <c r="F515" t="s">
        <v>324</v>
      </c>
      <c r="G515" t="s">
        <v>31</v>
      </c>
      <c r="H515" t="s">
        <v>272</v>
      </c>
      <c r="I515" t="s">
        <v>135</v>
      </c>
      <c r="J515" t="s">
        <v>40</v>
      </c>
      <c r="K515" t="s">
        <v>31</v>
      </c>
      <c r="L515">
        <v>2.0876470588235296</v>
      </c>
      <c r="M515">
        <v>1</v>
      </c>
      <c r="N515">
        <v>7.2865699682034801</v>
      </c>
      <c r="O515">
        <v>4.1746294160814523</v>
      </c>
      <c r="P515">
        <v>-1.9977821848254711</v>
      </c>
      <c r="Q515">
        <v>0.4672931329656026</v>
      </c>
      <c r="R515">
        <v>-1.719552393622352</v>
      </c>
      <c r="S515" s="2">
        <v>1.0343518893477835E-3</v>
      </c>
      <c r="T515" s="2">
        <v>1.0772475282300397E-3</v>
      </c>
      <c r="U515" s="2">
        <v>1.1054963051240747E-3</v>
      </c>
      <c r="V515" s="2">
        <v>1.1224452731821591E-3</v>
      </c>
      <c r="W515" s="2">
        <v>1.1312393207934669E-3</v>
      </c>
      <c r="X515" s="2">
        <v>1.1344922848003105E-3</v>
      </c>
      <c r="Y515" s="2">
        <v>1.1341839827542486E-3</v>
      </c>
      <c r="Z515" s="2">
        <v>1.1346626209490901E-3</v>
      </c>
      <c r="AA515" s="2">
        <v>1.1294431728927242E-3</v>
      </c>
      <c r="AB515" s="2">
        <v>1.1242477342974177E-3</v>
      </c>
      <c r="AC515" s="2">
        <v>1.1190761947196494E-3</v>
      </c>
      <c r="AD515" s="2">
        <v>1.1139284442239388E-3</v>
      </c>
      <c r="AE515" s="2">
        <v>1.1088043733805087E-3</v>
      </c>
      <c r="AF515" s="2">
        <v>1.1037038732629584E-3</v>
      </c>
      <c r="AG515" s="2">
        <v>1.6352776065008801E-4</v>
      </c>
      <c r="AH515" s="2">
        <v>2.3396695625572201E-5</v>
      </c>
      <c r="AI515" s="2">
        <v>2.1438441996861502E-5</v>
      </c>
      <c r="AJ515" s="2">
        <v>1.3514327143079334E-5</v>
      </c>
      <c r="AK515" s="2">
        <v>8.1910567877588927E-6</v>
      </c>
      <c r="AL515" s="2">
        <v>4.7779309999510587E-6</v>
      </c>
      <c r="AM515" s="2">
        <v>2.6848498581671212E-6</v>
      </c>
      <c r="AN515" s="2">
        <v>1.4548270732968025E-6</v>
      </c>
      <c r="AO515" s="2">
        <v>0</v>
      </c>
      <c r="AP515" s="2">
        <v>0</v>
      </c>
      <c r="AQ515" s="2">
        <v>0</v>
      </c>
      <c r="AR515" s="2">
        <v>1.5812308888093141E-2</v>
      </c>
    </row>
    <row r="516" spans="1:44" x14ac:dyDescent="0.25">
      <c r="A516" t="s">
        <v>250</v>
      </c>
      <c r="B516" t="s">
        <v>326</v>
      </c>
      <c r="C516" t="s">
        <v>44</v>
      </c>
      <c r="D516" t="s">
        <v>324</v>
      </c>
      <c r="E516" t="s">
        <v>145</v>
      </c>
      <c r="F516" t="s">
        <v>324</v>
      </c>
      <c r="G516" t="s">
        <v>31</v>
      </c>
      <c r="H516" t="s">
        <v>273</v>
      </c>
      <c r="I516" t="s">
        <v>135</v>
      </c>
      <c r="J516" t="s">
        <v>39</v>
      </c>
      <c r="K516" t="s">
        <v>31</v>
      </c>
      <c r="L516">
        <v>2.0876470588235296</v>
      </c>
      <c r="M516">
        <v>1</v>
      </c>
      <c r="N516">
        <v>7.2865699682034801</v>
      </c>
      <c r="O516">
        <v>5.4674005771508289</v>
      </c>
      <c r="P516">
        <v>-1.9977821848254711</v>
      </c>
      <c r="Q516">
        <v>0.40642473543604118</v>
      </c>
      <c r="R516">
        <v>-1.8625523936223525</v>
      </c>
      <c r="S516" s="2">
        <v>3.1449775651503464E-3</v>
      </c>
      <c r="T516" s="2">
        <v>3.2754030260759817E-3</v>
      </c>
      <c r="U516" s="2">
        <v>3.3612942691718856E-3</v>
      </c>
      <c r="V516" s="2">
        <v>3.4128281087134138E-3</v>
      </c>
      <c r="W516" s="2">
        <v>3.4395666710240287E-3</v>
      </c>
      <c r="X516" s="2">
        <v>3.4494574044650578E-3</v>
      </c>
      <c r="Y516" s="2">
        <v>3.4485200029596898E-3</v>
      </c>
      <c r="Z516" s="2">
        <v>3.4499753165721106E-3</v>
      </c>
      <c r="AA516" s="2">
        <v>3.4341054301158789E-3</v>
      </c>
      <c r="AB516" s="2">
        <v>3.4183085451373455E-3</v>
      </c>
      <c r="AC516" s="2">
        <v>3.4025843258297136E-3</v>
      </c>
      <c r="AD516" s="2">
        <v>3.3869324379308956E-3</v>
      </c>
      <c r="AE516" s="2">
        <v>3.3713525487164141E-3</v>
      </c>
      <c r="AF516" s="2">
        <v>3.3558443269923188E-3</v>
      </c>
      <c r="AG516" s="2">
        <v>4.9721100122714394E-4</v>
      </c>
      <c r="AH516" s="2">
        <v>7.1138346242566826E-5</v>
      </c>
      <c r="AI516" s="2">
        <v>6.5184218065692231E-5</v>
      </c>
      <c r="AJ516" s="2">
        <v>4.1090712078543219E-5</v>
      </c>
      <c r="AK516" s="2">
        <v>2.4905150846311756E-5</v>
      </c>
      <c r="AL516" s="2">
        <v>1.452744076501615E-5</v>
      </c>
      <c r="AM516" s="2">
        <v>8.163365539997195E-6</v>
      </c>
      <c r="AN516" s="2">
        <v>4.4234448197091545E-6</v>
      </c>
      <c r="AO516" s="2">
        <v>0</v>
      </c>
      <c r="AP516" s="2">
        <v>0</v>
      </c>
      <c r="AQ516" s="2">
        <v>0</v>
      </c>
      <c r="AR516" s="2">
        <v>4.8077793658440067E-2</v>
      </c>
    </row>
    <row r="517" spans="1:44" x14ac:dyDescent="0.25">
      <c r="A517" t="s">
        <v>250</v>
      </c>
      <c r="B517" t="s">
        <v>326</v>
      </c>
      <c r="C517" t="s">
        <v>44</v>
      </c>
      <c r="D517" t="s">
        <v>324</v>
      </c>
      <c r="E517" t="s">
        <v>145</v>
      </c>
      <c r="F517" t="s">
        <v>324</v>
      </c>
      <c r="G517" t="s">
        <v>31</v>
      </c>
      <c r="H517" t="s">
        <v>274</v>
      </c>
      <c r="I517" t="s">
        <v>135</v>
      </c>
      <c r="J517" t="s">
        <v>39</v>
      </c>
      <c r="K517" t="s">
        <v>31</v>
      </c>
      <c r="L517">
        <v>2.0876470588235296</v>
      </c>
      <c r="M517">
        <v>1</v>
      </c>
      <c r="N517">
        <v>7.2865699682034801</v>
      </c>
      <c r="O517">
        <v>5.4674005771508289</v>
      </c>
      <c r="P517">
        <v>-1.9977821848254711</v>
      </c>
      <c r="Q517">
        <v>0.40642473543604118</v>
      </c>
      <c r="R517">
        <v>-1.8625523936223525</v>
      </c>
      <c r="S517" s="2">
        <v>4.9507578600364189E-3</v>
      </c>
      <c r="T517" s="2">
        <v>5.1560708908769395E-3</v>
      </c>
      <c r="U517" s="2">
        <v>5.2912790880918579E-3</v>
      </c>
      <c r="V517" s="2">
        <v>5.3724025797171112E-3</v>
      </c>
      <c r="W517" s="2">
        <v>5.4144938648799084E-3</v>
      </c>
      <c r="X517" s="2">
        <v>5.430063650453996E-3</v>
      </c>
      <c r="Y517" s="2">
        <v>5.4285880126236537E-3</v>
      </c>
      <c r="Z517" s="2">
        <v>5.4308789368532418E-3</v>
      </c>
      <c r="AA517" s="2">
        <v>5.4058968937437165E-3</v>
      </c>
      <c r="AB517" s="2">
        <v>5.3810297680324951E-3</v>
      </c>
      <c r="AC517" s="2">
        <v>5.3562770310995461E-3</v>
      </c>
      <c r="AD517" s="2">
        <v>5.3316381567564877E-3</v>
      </c>
      <c r="AE517" s="2">
        <v>5.307112621235407E-3</v>
      </c>
      <c r="AF517" s="2">
        <v>5.2826999031777245E-3</v>
      </c>
      <c r="AG517" s="2">
        <v>7.8269915172012321E-4</v>
      </c>
      <c r="AH517" s="2">
        <v>1.1198449576016086E-4</v>
      </c>
      <c r="AI517" s="2">
        <v>1.0261163180145878E-4</v>
      </c>
      <c r="AJ517" s="2">
        <v>6.4684138943171116E-5</v>
      </c>
      <c r="AK517" s="2">
        <v>3.9205167208203916E-5</v>
      </c>
      <c r="AL517" s="2">
        <v>2.2868793199222543E-5</v>
      </c>
      <c r="AM517" s="2">
        <v>1.2850599177345534E-5</v>
      </c>
      <c r="AN517" s="2">
        <v>6.9632942543948567E-6</v>
      </c>
      <c r="AO517" s="2">
        <v>0</v>
      </c>
      <c r="AP517" s="2">
        <v>0</v>
      </c>
      <c r="AQ517" s="2">
        <v>0</v>
      </c>
      <c r="AR517" s="2">
        <v>7.5683056529642592E-2</v>
      </c>
    </row>
    <row r="518" spans="1:44" x14ac:dyDescent="0.25">
      <c r="A518" t="s">
        <v>250</v>
      </c>
      <c r="B518" t="s">
        <v>326</v>
      </c>
      <c r="C518" t="s">
        <v>44</v>
      </c>
      <c r="D518" t="s">
        <v>324</v>
      </c>
      <c r="E518" t="s">
        <v>145</v>
      </c>
      <c r="F518" t="s">
        <v>324</v>
      </c>
      <c r="G518" t="s">
        <v>31</v>
      </c>
      <c r="H518" t="s">
        <v>274</v>
      </c>
      <c r="I518" t="s">
        <v>135</v>
      </c>
      <c r="J518" t="s">
        <v>39</v>
      </c>
      <c r="K518" t="s">
        <v>33</v>
      </c>
      <c r="L518">
        <v>2.0876470588235296</v>
      </c>
      <c r="M518">
        <v>1</v>
      </c>
      <c r="N518">
        <v>7.2865699682034801</v>
      </c>
      <c r="O518">
        <v>5.4674005771508289</v>
      </c>
      <c r="P518">
        <v>-1.9977821848254711</v>
      </c>
      <c r="Q518">
        <v>0.40642473543604118</v>
      </c>
      <c r="R518">
        <v>-1.8625523936223525</v>
      </c>
      <c r="S518" s="2">
        <v>1.592897738868488E-5</v>
      </c>
      <c r="T518" s="2">
        <v>1.6589568497828114E-5</v>
      </c>
      <c r="U518" s="2">
        <v>1.7024598522945406E-5</v>
      </c>
      <c r="V518" s="2">
        <v>1.7285611947621423E-5</v>
      </c>
      <c r="W518" s="2">
        <v>1.7421039926240839E-5</v>
      </c>
      <c r="X518" s="2">
        <v>1.747113544077979E-5</v>
      </c>
      <c r="Y518" s="2">
        <v>1.7466387601701832E-5</v>
      </c>
      <c r="Z518" s="2">
        <v>1.7473758610602677E-5</v>
      </c>
      <c r="AA518" s="2">
        <v>1.7393379320993904E-5</v>
      </c>
      <c r="AB518" s="2">
        <v>1.7313369776117331E-5</v>
      </c>
      <c r="AC518" s="2">
        <v>1.7233728275147195E-5</v>
      </c>
      <c r="AD518" s="2">
        <v>1.7154453125081516E-5</v>
      </c>
      <c r="AE518" s="2">
        <v>1.7075542640706141E-5</v>
      </c>
      <c r="AF518" s="2">
        <v>1.6996995144558891E-5</v>
      </c>
      <c r="AG518" s="2">
        <v>2.5183209202238159E-6</v>
      </c>
      <c r="AH518" s="2">
        <v>3.6030816922921744E-7</v>
      </c>
      <c r="AI518" s="2">
        <v>3.3015114230803035E-7</v>
      </c>
      <c r="AJ518" s="2">
        <v>2.0812009307697151E-7</v>
      </c>
      <c r="AK518" s="2">
        <v>1.2614194425063181E-7</v>
      </c>
      <c r="AL518" s="2">
        <v>7.3579944742892943E-8</v>
      </c>
      <c r="AM518" s="2">
        <v>4.1346579556909751E-8</v>
      </c>
      <c r="AN518" s="2">
        <v>2.2404278267044775E-8</v>
      </c>
      <c r="AO518" s="2">
        <v>0</v>
      </c>
      <c r="AP518" s="2">
        <v>0</v>
      </c>
      <c r="AQ518" s="2">
        <v>0</v>
      </c>
      <c r="AR518" s="2">
        <v>2.4350891929066537E-4</v>
      </c>
    </row>
    <row r="519" spans="1:44" x14ac:dyDescent="0.25">
      <c r="A519" t="s">
        <v>250</v>
      </c>
      <c r="B519" t="s">
        <v>326</v>
      </c>
      <c r="C519" t="s">
        <v>44</v>
      </c>
      <c r="D519" t="s">
        <v>324</v>
      </c>
      <c r="E519" t="s">
        <v>145</v>
      </c>
      <c r="F519" t="s">
        <v>324</v>
      </c>
      <c r="G519" t="s">
        <v>31</v>
      </c>
      <c r="H519" t="s">
        <v>275</v>
      </c>
      <c r="I519" t="s">
        <v>135</v>
      </c>
      <c r="J519" t="s">
        <v>39</v>
      </c>
      <c r="K519" t="s">
        <v>31</v>
      </c>
      <c r="L519">
        <v>2.0876470588235296</v>
      </c>
      <c r="M519">
        <v>1</v>
      </c>
      <c r="N519">
        <v>7.2865699682034801</v>
      </c>
      <c r="O519">
        <v>5.4674005771508289</v>
      </c>
      <c r="P519">
        <v>-1.9977821848254711</v>
      </c>
      <c r="Q519">
        <v>0.40642473543604118</v>
      </c>
      <c r="R519">
        <v>-1.8625523936223525</v>
      </c>
      <c r="S519" s="2">
        <v>7.5632103981747578E-3</v>
      </c>
      <c r="T519" s="2">
        <v>7.8768645282360477E-3</v>
      </c>
      <c r="U519" s="2">
        <v>8.0834203873599696E-3</v>
      </c>
      <c r="V519" s="2">
        <v>8.2073517232770614E-3</v>
      </c>
      <c r="W519" s="2">
        <v>8.2716540492271066E-3</v>
      </c>
      <c r="X519" s="2">
        <v>8.2954398144534456E-3</v>
      </c>
      <c r="Y519" s="2">
        <v>8.2931855011345746E-3</v>
      </c>
      <c r="Z519" s="2">
        <v>8.2966853172121331E-3</v>
      </c>
      <c r="AA519" s="2">
        <v>8.2585205647529546E-3</v>
      </c>
      <c r="AB519" s="2">
        <v>8.2205313701550903E-3</v>
      </c>
      <c r="AC519" s="2">
        <v>8.1827169258523787E-3</v>
      </c>
      <c r="AD519" s="2">
        <v>8.1450764279934577E-3</v>
      </c>
      <c r="AE519" s="2">
        <v>8.1076090764246895E-3</v>
      </c>
      <c r="AF519" s="2">
        <v>8.0703140746731326E-3</v>
      </c>
      <c r="AG519" s="2">
        <v>1.195719631274524E-3</v>
      </c>
      <c r="AH519" s="2">
        <v>1.7107730305383501E-4</v>
      </c>
      <c r="AI519" s="2">
        <v>1.5675849689177781E-4</v>
      </c>
      <c r="AJ519" s="2">
        <v>9.8817143977301015E-5</v>
      </c>
      <c r="AK519" s="2">
        <v>5.9893239918845144E-5</v>
      </c>
      <c r="AL519" s="2">
        <v>3.4936367200312737E-5</v>
      </c>
      <c r="AM519" s="2">
        <v>1.963169843256316E-5</v>
      </c>
      <c r="AN519" s="2">
        <v>1.0637736887823201E-5</v>
      </c>
      <c r="AO519" s="2">
        <v>0</v>
      </c>
      <c r="AP519" s="2">
        <v>0</v>
      </c>
      <c r="AQ519" s="2">
        <v>0</v>
      </c>
      <c r="AR519" s="2">
        <v>0.1156200517765638</v>
      </c>
    </row>
    <row r="520" spans="1:44" x14ac:dyDescent="0.25">
      <c r="A520" t="s">
        <v>250</v>
      </c>
      <c r="B520" t="s">
        <v>326</v>
      </c>
      <c r="C520" t="s">
        <v>44</v>
      </c>
      <c r="D520" t="s">
        <v>324</v>
      </c>
      <c r="E520" t="s">
        <v>148</v>
      </c>
      <c r="F520" t="s">
        <v>324</v>
      </c>
      <c r="G520" t="s">
        <v>31</v>
      </c>
      <c r="H520" t="s">
        <v>272</v>
      </c>
      <c r="I520" t="s">
        <v>135</v>
      </c>
      <c r="J520" t="s">
        <v>39</v>
      </c>
      <c r="K520" t="s">
        <v>31</v>
      </c>
      <c r="L520">
        <v>2.0876470588235296</v>
      </c>
      <c r="M520">
        <v>1</v>
      </c>
      <c r="N520">
        <v>7.2865699682034801</v>
      </c>
      <c r="O520">
        <v>5.4674005771508289</v>
      </c>
      <c r="P520">
        <v>-1.9977821848254711</v>
      </c>
      <c r="Q520">
        <v>0.40642473543604118</v>
      </c>
      <c r="R520">
        <v>-1.8625523936223525</v>
      </c>
      <c r="S520" s="2">
        <v>1.7789519726652786E-3</v>
      </c>
      <c r="T520" s="2">
        <v>2.6162091831644849E-3</v>
      </c>
      <c r="U520" s="2">
        <v>2.7151607917105516E-3</v>
      </c>
      <c r="V520" s="2">
        <v>2.7880896583120079E-3</v>
      </c>
      <c r="W520" s="2">
        <v>2.8419812487386056E-3</v>
      </c>
      <c r="X520" s="2">
        <v>2.8828040347334159E-3</v>
      </c>
      <c r="Y520" s="2">
        <v>2.9151807945132112E-3</v>
      </c>
      <c r="Z520" s="2">
        <v>2.9501122494552312E-3</v>
      </c>
      <c r="AA520" s="2">
        <v>2.9706208854766158E-3</v>
      </c>
      <c r="AB520" s="2">
        <v>2.9914173560547305E-3</v>
      </c>
      <c r="AC520" s="2">
        <v>3.0125046229726323E-3</v>
      </c>
      <c r="AD520" s="2">
        <v>3.033885682451659E-3</v>
      </c>
      <c r="AE520" s="2">
        <v>3.0555635655323387E-3</v>
      </c>
      <c r="AF520" s="2">
        <v>3.077541338458552E-3</v>
      </c>
      <c r="AG520" s="2">
        <v>3.0998221030676611E-3</v>
      </c>
      <c r="AH520" s="2">
        <v>3.1224089971831608E-3</v>
      </c>
      <c r="AI520" s="2">
        <v>3.1453051950135731E-3</v>
      </c>
      <c r="AJ520" s="2">
        <v>3.168513907554296E-3</v>
      </c>
      <c r="AK520" s="2">
        <v>3.192038382994979E-3</v>
      </c>
      <c r="AL520" s="2">
        <v>3.2158819071313959E-3</v>
      </c>
      <c r="AM520" s="2">
        <v>3.2400478037812202E-3</v>
      </c>
      <c r="AN520" s="2">
        <v>3.2645394352053053E-3</v>
      </c>
      <c r="AO520" s="2">
        <v>3.2893602025336395E-3</v>
      </c>
      <c r="AP520" s="2">
        <v>3.3145135461953882E-3</v>
      </c>
      <c r="AQ520" s="2">
        <v>3.3400029463547479E-3</v>
      </c>
      <c r="AR520" s="2">
        <v>7.5022457811254703E-2</v>
      </c>
    </row>
    <row r="521" spans="1:44" x14ac:dyDescent="0.25">
      <c r="A521" t="s">
        <v>250</v>
      </c>
      <c r="B521" t="s">
        <v>326</v>
      </c>
      <c r="C521" t="s">
        <v>44</v>
      </c>
      <c r="D521" t="s">
        <v>324</v>
      </c>
      <c r="E521" t="s">
        <v>148</v>
      </c>
      <c r="F521" t="s">
        <v>324</v>
      </c>
      <c r="G521" t="s">
        <v>31</v>
      </c>
      <c r="H521" t="s">
        <v>272</v>
      </c>
      <c r="I521" t="s">
        <v>135</v>
      </c>
      <c r="J521" t="s">
        <v>40</v>
      </c>
      <c r="K521" t="s">
        <v>31</v>
      </c>
      <c r="L521">
        <v>2.0876470588235296</v>
      </c>
      <c r="M521">
        <v>1</v>
      </c>
      <c r="N521">
        <v>7.2865699682034801</v>
      </c>
      <c r="O521">
        <v>4.1746294160814523</v>
      </c>
      <c r="P521">
        <v>-1.9977821848254711</v>
      </c>
      <c r="Q521">
        <v>0.4672931329656026</v>
      </c>
      <c r="R521">
        <v>-1.719552393622352</v>
      </c>
      <c r="S521" s="2">
        <v>1.7596653179571299E-4</v>
      </c>
      <c r="T521" s="2">
        <v>2.5878453352724113E-4</v>
      </c>
      <c r="U521" s="2">
        <v>2.685724151783494E-4</v>
      </c>
      <c r="V521" s="2">
        <v>2.7578623540556812E-4</v>
      </c>
      <c r="W521" s="2">
        <v>2.811169674354528E-4</v>
      </c>
      <c r="X521" s="2">
        <v>2.8515498767440702E-4</v>
      </c>
      <c r="Y521" s="2">
        <v>2.8835756212091767E-4</v>
      </c>
      <c r="Z521" s="2">
        <v>2.9181283638979717E-4</v>
      </c>
      <c r="AA521" s="2">
        <v>2.938414653848526E-4</v>
      </c>
      <c r="AB521" s="2">
        <v>2.9589856577735336E-4</v>
      </c>
      <c r="AC521" s="2">
        <v>2.979844305345866E-4</v>
      </c>
      <c r="AD521" s="2">
        <v>3.0009935603030741E-4</v>
      </c>
      <c r="AE521" s="2">
        <v>3.0224364208242461E-4</v>
      </c>
      <c r="AF521" s="2">
        <v>3.0441759199104659E-4</v>
      </c>
      <c r="AG521" s="2">
        <v>3.0662151257702361E-4</v>
      </c>
      <c r="AH521" s="2">
        <v>3.0885571422081197E-4</v>
      </c>
      <c r="AI521" s="2">
        <v>3.1112051090190739E-4</v>
      </c>
      <c r="AJ521" s="2">
        <v>3.1341622023863279E-4</v>
      </c>
      <c r="AK521" s="2">
        <v>3.1574316352839932E-4</v>
      </c>
      <c r="AL521" s="2">
        <v>3.181016657884625E-4</v>
      </c>
      <c r="AM521" s="2">
        <v>3.2049205579704143E-4</v>
      </c>
      <c r="AN521" s="2">
        <v>3.2291466613500251E-4</v>
      </c>
      <c r="AO521" s="2">
        <v>3.2536983322798161E-4</v>
      </c>
      <c r="AP521" s="2">
        <v>3.2785789738892183E-4</v>
      </c>
      <c r="AQ521" s="2">
        <v>3.303792028611947E-4</v>
      </c>
      <c r="AR521" s="2">
        <v>7.4209095639933961E-3</v>
      </c>
    </row>
    <row r="522" spans="1:44" x14ac:dyDescent="0.25">
      <c r="A522" t="s">
        <v>250</v>
      </c>
      <c r="B522" t="s">
        <v>326</v>
      </c>
      <c r="C522" t="s">
        <v>44</v>
      </c>
      <c r="D522" t="s">
        <v>324</v>
      </c>
      <c r="E522" t="s">
        <v>148</v>
      </c>
      <c r="F522" t="s">
        <v>324</v>
      </c>
      <c r="G522" t="s">
        <v>31</v>
      </c>
      <c r="H522" t="s">
        <v>273</v>
      </c>
      <c r="I522" t="s">
        <v>135</v>
      </c>
      <c r="J522" t="s">
        <v>39</v>
      </c>
      <c r="K522" t="s">
        <v>31</v>
      </c>
      <c r="L522">
        <v>2.0876470588235296</v>
      </c>
      <c r="M522">
        <v>1</v>
      </c>
      <c r="N522">
        <v>7.2865699682034801</v>
      </c>
      <c r="O522">
        <v>5.4674005771508289</v>
      </c>
      <c r="P522">
        <v>-1.9977821848254711</v>
      </c>
      <c r="Q522">
        <v>0.40642473543604118</v>
      </c>
      <c r="R522">
        <v>-1.8625523936223525</v>
      </c>
      <c r="S522" s="2">
        <v>5.3503145342905379E-4</v>
      </c>
      <c r="T522" s="2">
        <v>7.868420414103613E-4</v>
      </c>
      <c r="U522" s="2">
        <v>8.1660238556411995E-4</v>
      </c>
      <c r="V522" s="2">
        <v>8.3853621969471985E-4</v>
      </c>
      <c r="W522" s="2">
        <v>8.5474446836954069E-4</v>
      </c>
      <c r="X522" s="2">
        <v>8.670221885438039E-4</v>
      </c>
      <c r="Y522" s="2">
        <v>8.7675971103371765E-4</v>
      </c>
      <c r="Z522" s="2">
        <v>8.8726557482046709E-4</v>
      </c>
      <c r="AA522" s="2">
        <v>8.9343368138377526E-4</v>
      </c>
      <c r="AB522" s="2">
        <v>8.9968835607457894E-4</v>
      </c>
      <c r="AC522" s="2">
        <v>9.0603048966857419E-4</v>
      </c>
      <c r="AD522" s="2">
        <v>9.1246098329892365E-4</v>
      </c>
      <c r="AE522" s="2">
        <v>9.1898074857089582E-4</v>
      </c>
      <c r="AF522" s="2">
        <v>9.2559070767747728E-4</v>
      </c>
      <c r="AG522" s="2">
        <v>9.3229179351647803E-4</v>
      </c>
      <c r="AH522" s="2">
        <v>9.3908494980892896E-4</v>
      </c>
      <c r="AI522" s="2">
        <v>9.4597113121879135E-4</v>
      </c>
      <c r="AJ522" s="2">
        <v>9.5295130347396141E-4</v>
      </c>
      <c r="AK522" s="2">
        <v>9.6002644348873207E-4</v>
      </c>
      <c r="AL522" s="2">
        <v>9.671975394877412E-4</v>
      </c>
      <c r="AM522" s="2">
        <v>9.7446559113085562E-4</v>
      </c>
      <c r="AN522" s="2">
        <v>9.8183160964009325E-4</v>
      </c>
      <c r="AO522" s="2">
        <v>9.8929661792752292E-4</v>
      </c>
      <c r="AP522" s="2">
        <v>9.9686165072477477E-4</v>
      </c>
      <c r="AQ522" s="2">
        <v>1.0045277547140008E-3</v>
      </c>
      <c r="AR522" s="2">
        <v>2.2563495394671888E-2</v>
      </c>
    </row>
    <row r="523" spans="1:44" x14ac:dyDescent="0.25">
      <c r="A523" t="s">
        <v>250</v>
      </c>
      <c r="B523" t="s">
        <v>326</v>
      </c>
      <c r="C523" t="s">
        <v>44</v>
      </c>
      <c r="D523" t="s">
        <v>324</v>
      </c>
      <c r="E523" t="s">
        <v>148</v>
      </c>
      <c r="F523" t="s">
        <v>324</v>
      </c>
      <c r="G523" t="s">
        <v>31</v>
      </c>
      <c r="H523" t="s">
        <v>274</v>
      </c>
      <c r="I523" t="s">
        <v>135</v>
      </c>
      <c r="J523" t="s">
        <v>39</v>
      </c>
      <c r="K523" t="s">
        <v>31</v>
      </c>
      <c r="L523">
        <v>2.0876470588235296</v>
      </c>
      <c r="M523">
        <v>1</v>
      </c>
      <c r="N523">
        <v>7.2865699682034801</v>
      </c>
      <c r="O523">
        <v>5.4674005771508289</v>
      </c>
      <c r="P523">
        <v>-1.9977821848254711</v>
      </c>
      <c r="Q523">
        <v>0.40642473543604118</v>
      </c>
      <c r="R523">
        <v>-1.8625523936223525</v>
      </c>
      <c r="S523" s="2">
        <v>8.4223531601058336E-4</v>
      </c>
      <c r="T523" s="2">
        <v>1.2386302733238251E-3</v>
      </c>
      <c r="U523" s="2">
        <v>1.2854783842195026E-3</v>
      </c>
      <c r="V523" s="2">
        <v>1.3200061668421983E-3</v>
      </c>
      <c r="W523" s="2">
        <v>1.3455208526744736E-3</v>
      </c>
      <c r="X523" s="2">
        <v>1.3648481828053925E-3</v>
      </c>
      <c r="Y523" s="2">
        <v>1.3801767869068612E-3</v>
      </c>
      <c r="Z523" s="2">
        <v>1.3967148977968033E-3</v>
      </c>
      <c r="AA523" s="2">
        <v>1.4064246020529299E-3</v>
      </c>
      <c r="AB523" s="2">
        <v>1.4162705800435664E-3</v>
      </c>
      <c r="AC523" s="2">
        <v>1.426254234009103E-3</v>
      </c>
      <c r="AD523" s="2">
        <v>1.4363769824945398E-3</v>
      </c>
      <c r="AE523" s="2">
        <v>1.4466402605298235E-3</v>
      </c>
      <c r="AF523" s="2">
        <v>1.4570455198117808E-3</v>
      </c>
      <c r="AG523" s="2">
        <v>1.4675942288887448E-3</v>
      </c>
      <c r="AH523" s="2">
        <v>1.4782878733464553E-3</v>
      </c>
      <c r="AI523" s="2">
        <v>1.4891279559970806E-3</v>
      </c>
      <c r="AJ523" s="2">
        <v>1.500115997069151E-3</v>
      </c>
      <c r="AK523" s="2">
        <v>1.5112535344008029E-3</v>
      </c>
      <c r="AL523" s="2">
        <v>1.5225421236344816E-3</v>
      </c>
      <c r="AM523" s="2">
        <v>1.533983338413892E-3</v>
      </c>
      <c r="AN523" s="2">
        <v>1.5455787705835413E-3</v>
      </c>
      <c r="AO523" s="2">
        <v>1.5573300303902136E-3</v>
      </c>
      <c r="AP523" s="2">
        <v>1.5692387466867829E-3</v>
      </c>
      <c r="AQ523" s="2">
        <v>1.5813065671383649E-3</v>
      </c>
      <c r="AR523" s="2">
        <v>3.5518982206070901E-2</v>
      </c>
    </row>
    <row r="524" spans="1:44" x14ac:dyDescent="0.25">
      <c r="A524" t="s">
        <v>250</v>
      </c>
      <c r="B524" t="s">
        <v>326</v>
      </c>
      <c r="C524" t="s">
        <v>44</v>
      </c>
      <c r="D524" t="s">
        <v>324</v>
      </c>
      <c r="E524" t="s">
        <v>148</v>
      </c>
      <c r="F524" t="s">
        <v>324</v>
      </c>
      <c r="G524" t="s">
        <v>31</v>
      </c>
      <c r="H524" t="s">
        <v>274</v>
      </c>
      <c r="I524" t="s">
        <v>135</v>
      </c>
      <c r="J524" t="s">
        <v>39</v>
      </c>
      <c r="K524" t="s">
        <v>33</v>
      </c>
      <c r="L524">
        <v>2.0876470588235296</v>
      </c>
      <c r="M524">
        <v>1</v>
      </c>
      <c r="N524">
        <v>7.2865699682034801</v>
      </c>
      <c r="O524">
        <v>5.4674005771508289</v>
      </c>
      <c r="P524">
        <v>-1.9977821848254711</v>
      </c>
      <c r="Q524">
        <v>0.40642473543604118</v>
      </c>
      <c r="R524">
        <v>-1.8625523936223525</v>
      </c>
      <c r="S524" s="2">
        <v>2.7098774943086715E-6</v>
      </c>
      <c r="T524" s="2">
        <v>3.9852713815760121E-6</v>
      </c>
      <c r="U524" s="2">
        <v>4.1360043643348542E-6</v>
      </c>
      <c r="V524" s="2">
        <v>4.2470969049573634E-6</v>
      </c>
      <c r="W524" s="2">
        <v>4.3291899632711591E-6</v>
      </c>
      <c r="X524" s="2">
        <v>4.3913753121295014E-6</v>
      </c>
      <c r="Y524" s="2">
        <v>4.4406948294711031E-6</v>
      </c>
      <c r="Z524" s="2">
        <v>4.4939059138878947E-6</v>
      </c>
      <c r="AA524" s="2">
        <v>4.5251467186129769E-6</v>
      </c>
      <c r="AB524" s="2">
        <v>4.5568259817109167E-6</v>
      </c>
      <c r="AC524" s="2">
        <v>4.588948214865843E-6</v>
      </c>
      <c r="AD524" s="2">
        <v>4.6215179822215499E-6</v>
      </c>
      <c r="AE524" s="2">
        <v>4.6545399009620079E-6</v>
      </c>
      <c r="AF524" s="2">
        <v>4.6880186418965412E-6</v>
      </c>
      <c r="AG524" s="2">
        <v>4.7219589300538151E-6</v>
      </c>
      <c r="AH524" s="2">
        <v>4.7563655452802457E-6</v>
      </c>
      <c r="AI524" s="2">
        <v>4.7912433228478531E-6</v>
      </c>
      <c r="AJ524" s="2">
        <v>4.8265971540654521E-6</v>
      </c>
      <c r="AK524" s="2">
        <v>4.8624319869005731E-6</v>
      </c>
      <c r="AL524" s="2">
        <v>4.8987528266057007E-6</v>
      </c>
      <c r="AM524" s="2">
        <v>4.9355647363521876E-6</v>
      </c>
      <c r="AN524" s="2">
        <v>4.9728728378720669E-6</v>
      </c>
      <c r="AO524" s="2">
        <v>5.0106823121062869E-6</v>
      </c>
      <c r="AP524" s="2">
        <v>5.0489983998607135E-6</v>
      </c>
      <c r="AQ524" s="2">
        <v>5.0878264024693728E-6</v>
      </c>
      <c r="AR524" s="2">
        <v>1.1428170805862066E-4</v>
      </c>
    </row>
    <row r="525" spans="1:44" x14ac:dyDescent="0.25">
      <c r="A525" t="s">
        <v>250</v>
      </c>
      <c r="B525" t="s">
        <v>326</v>
      </c>
      <c r="C525" t="s">
        <v>44</v>
      </c>
      <c r="D525" t="s">
        <v>324</v>
      </c>
      <c r="E525" t="s">
        <v>148</v>
      </c>
      <c r="F525" t="s">
        <v>324</v>
      </c>
      <c r="G525" t="s">
        <v>31</v>
      </c>
      <c r="H525" t="s">
        <v>275</v>
      </c>
      <c r="I525" t="s">
        <v>135</v>
      </c>
      <c r="J525" t="s">
        <v>39</v>
      </c>
      <c r="K525" t="s">
        <v>31</v>
      </c>
      <c r="L525">
        <v>2.0876470588235296</v>
      </c>
      <c r="M525">
        <v>1</v>
      </c>
      <c r="N525">
        <v>7.2865699682034801</v>
      </c>
      <c r="O525">
        <v>5.4674005771508289</v>
      </c>
      <c r="P525">
        <v>-1.9977821848254711</v>
      </c>
      <c r="Q525">
        <v>0.40642473543604118</v>
      </c>
      <c r="R525">
        <v>-1.8625523936223525</v>
      </c>
      <c r="S525" s="2">
        <v>1.2866722792446146E-3</v>
      </c>
      <c r="T525" s="2">
        <v>1.8922398605509204E-3</v>
      </c>
      <c r="U525" s="2">
        <v>1.9638091292322516E-3</v>
      </c>
      <c r="V525" s="2">
        <v>2.0165567876596442E-3</v>
      </c>
      <c r="W525" s="2">
        <v>2.0555352516944967E-3</v>
      </c>
      <c r="X525" s="2">
        <v>2.085061370391448E-3</v>
      </c>
      <c r="Y525" s="2">
        <v>2.1084786857211955E-3</v>
      </c>
      <c r="Z525" s="2">
        <v>2.1337437493306661E-3</v>
      </c>
      <c r="AA525" s="2">
        <v>2.1485771421705701E-3</v>
      </c>
      <c r="AB525" s="2">
        <v>2.1636187186774695E-3</v>
      </c>
      <c r="AC525" s="2">
        <v>2.1788706210364023E-3</v>
      </c>
      <c r="AD525" s="2">
        <v>2.1943350163406618E-3</v>
      </c>
      <c r="AE525" s="2">
        <v>2.2100140968673628E-3</v>
      </c>
      <c r="AF525" s="2">
        <v>2.2259100803555224E-3</v>
      </c>
      <c r="AG525" s="2">
        <v>2.2420252102878803E-3</v>
      </c>
      <c r="AH525" s="2">
        <v>2.2583617561751008E-3</v>
      </c>
      <c r="AI525" s="2">
        <v>2.2749220138443579E-3</v>
      </c>
      <c r="AJ525" s="2">
        <v>2.2917083057296559E-3</v>
      </c>
      <c r="AK525" s="2">
        <v>2.3087229811668444E-3</v>
      </c>
      <c r="AL525" s="2">
        <v>2.3259684166913753E-3</v>
      </c>
      <c r="AM525" s="2">
        <v>2.343447016338933E-3</v>
      </c>
      <c r="AN525" s="2">
        <v>2.3611612119501706E-3</v>
      </c>
      <c r="AO525" s="2">
        <v>2.3791134634790164E-3</v>
      </c>
      <c r="AP525" s="2">
        <v>2.3973062593032448E-3</v>
      </c>
      <c r="AQ525" s="2">
        <v>2.4157421165403371E-3</v>
      </c>
      <c r="AR525" s="2">
        <v>5.4261901540780137E-2</v>
      </c>
    </row>
    <row r="526" spans="1:44" x14ac:dyDescent="0.25">
      <c r="A526" t="s">
        <v>250</v>
      </c>
      <c r="B526" t="s">
        <v>328</v>
      </c>
      <c r="C526" t="s">
        <v>44</v>
      </c>
      <c r="D526" t="s">
        <v>324</v>
      </c>
      <c r="E526" t="s">
        <v>145</v>
      </c>
      <c r="F526" t="s">
        <v>324</v>
      </c>
      <c r="G526" t="s">
        <v>31</v>
      </c>
      <c r="H526" t="s">
        <v>276</v>
      </c>
      <c r="I526" t="s">
        <v>135</v>
      </c>
      <c r="J526" t="s">
        <v>39</v>
      </c>
      <c r="K526" t="s">
        <v>31</v>
      </c>
      <c r="L526">
        <v>2.91</v>
      </c>
      <c r="M526">
        <v>1</v>
      </c>
      <c r="N526">
        <v>7.9199602107711264</v>
      </c>
      <c r="O526">
        <v>5.4639665376457422</v>
      </c>
      <c r="P526">
        <v>-2.0305204206127274</v>
      </c>
      <c r="Q526">
        <v>0.37368649964878498</v>
      </c>
      <c r="R526">
        <v>-1.8625523936223525</v>
      </c>
      <c r="S526" s="2">
        <v>7.1989335126451722E-3</v>
      </c>
      <c r="T526" s="2">
        <v>7.5163110260697266E-3</v>
      </c>
      <c r="U526" s="2">
        <v>7.7327846965232674E-3</v>
      </c>
      <c r="V526" s="2">
        <v>7.8710593033063745E-3</v>
      </c>
      <c r="W526" s="2">
        <v>7.9526503364728274E-3</v>
      </c>
      <c r="X526" s="2">
        <v>7.995549721734543E-3</v>
      </c>
      <c r="Y526" s="2">
        <v>8.0134526954438092E-3</v>
      </c>
      <c r="Z526" s="2">
        <v>8.0369691669806721E-3</v>
      </c>
      <c r="AA526" s="2">
        <v>8.0200915317300107E-3</v>
      </c>
      <c r="AB526" s="2">
        <v>8.0032493395133797E-3</v>
      </c>
      <c r="AC526" s="2">
        <v>7.9864425159004021E-3</v>
      </c>
      <c r="AD526" s="2">
        <v>7.9696709866170119E-3</v>
      </c>
      <c r="AE526" s="2">
        <v>7.9529346775451138E-3</v>
      </c>
      <c r="AF526" s="2">
        <v>7.9362335147222709E-3</v>
      </c>
      <c r="AG526" s="2">
        <v>6.1359576399178427E-3</v>
      </c>
      <c r="AH526" s="2">
        <v>1.6283748109194803E-4</v>
      </c>
      <c r="AI526" s="2">
        <v>1.2580897519489517E-4</v>
      </c>
      <c r="AJ526" s="2">
        <v>7.9502871464542739E-5</v>
      </c>
      <c r="AK526" s="2">
        <v>4.8304352969872003E-5</v>
      </c>
      <c r="AL526" s="2">
        <v>2.8244388226192631E-5</v>
      </c>
      <c r="AM526" s="2">
        <v>1.5909127056254359E-5</v>
      </c>
      <c r="AN526" s="2">
        <v>8.6409185295680037E-6</v>
      </c>
      <c r="AO526" s="2">
        <v>0</v>
      </c>
      <c r="AP526" s="2">
        <v>0</v>
      </c>
      <c r="AQ526" s="2">
        <v>0</v>
      </c>
      <c r="AR526" s="2">
        <v>0.1167915387796557</v>
      </c>
    </row>
    <row r="527" spans="1:44" x14ac:dyDescent="0.25">
      <c r="A527" t="s">
        <v>250</v>
      </c>
      <c r="B527" t="s">
        <v>328</v>
      </c>
      <c r="C527" t="s">
        <v>44</v>
      </c>
      <c r="D527" t="s">
        <v>324</v>
      </c>
      <c r="E527" t="s">
        <v>148</v>
      </c>
      <c r="F527" t="s">
        <v>324</v>
      </c>
      <c r="G527" t="s">
        <v>31</v>
      </c>
      <c r="H527" t="s">
        <v>276</v>
      </c>
      <c r="I527" t="s">
        <v>135</v>
      </c>
      <c r="J527" t="s">
        <v>39</v>
      </c>
      <c r="K527" t="s">
        <v>31</v>
      </c>
      <c r="L527">
        <v>2.91</v>
      </c>
      <c r="M527">
        <v>1</v>
      </c>
      <c r="N527">
        <v>7.9199602107711264</v>
      </c>
      <c r="O527">
        <v>5.4639665376457422</v>
      </c>
      <c r="P527">
        <v>-2.0305204206127274</v>
      </c>
      <c r="Q527">
        <v>0.37368649964878498</v>
      </c>
      <c r="R527">
        <v>-1.8625523936223525</v>
      </c>
      <c r="S527" s="2">
        <v>1.2247005839056094E-3</v>
      </c>
      <c r="T527" s="2">
        <v>1.5186465958728467E-3</v>
      </c>
      <c r="U527" s="2">
        <v>1.5799734590397703E-3</v>
      </c>
      <c r="V527" s="2">
        <v>1.6263683678974519E-3</v>
      </c>
      <c r="W527" s="2">
        <v>1.6618023084255952E-3</v>
      </c>
      <c r="X527" s="2">
        <v>1.6896911072464167E-3</v>
      </c>
      <c r="Y527" s="2">
        <v>1.7126944139314638E-3</v>
      </c>
      <c r="Z527" s="2">
        <v>1.7372540122128951E-3</v>
      </c>
      <c r="AA527" s="2">
        <v>1.753358317340842E-3</v>
      </c>
      <c r="AB527" s="2">
        <v>1.7696503145784119E-3</v>
      </c>
      <c r="AC527" s="2">
        <v>1.7861320938676603E-3</v>
      </c>
      <c r="AD527" s="2">
        <v>1.8028057686189708E-3</v>
      </c>
      <c r="AE527" s="2">
        <v>1.8196734759746039E-3</v>
      </c>
      <c r="AF527" s="2">
        <v>1.8367373770743817E-3</v>
      </c>
      <c r="AG527" s="2">
        <v>1.8539996573249935E-3</v>
      </c>
      <c r="AH527" s="2">
        <v>1.8714625266719415E-3</v>
      </c>
      <c r="AI527" s="2">
        <v>1.8891282198748606E-3</v>
      </c>
      <c r="AJ527" s="2">
        <v>1.9069989967852436E-3</v>
      </c>
      <c r="AK527" s="2">
        <v>1.9250771426283537E-3</v>
      </c>
      <c r="AL527" s="2">
        <v>1.9433649682875133E-3</v>
      </c>
      <c r="AM527" s="2">
        <v>1.9618648105913811E-3</v>
      </c>
      <c r="AN527" s="2">
        <v>1.9805790326054987E-3</v>
      </c>
      <c r="AO527" s="2">
        <v>1.9995100239259332E-3</v>
      </c>
      <c r="AP527" s="2">
        <v>2.0186602009769875E-3</v>
      </c>
      <c r="AQ527" s="2">
        <v>2.0380320073120433E-3</v>
      </c>
      <c r="AR527" s="2">
        <v>4.4908165782971667E-2</v>
      </c>
    </row>
    <row r="528" spans="1:44" x14ac:dyDescent="0.25">
      <c r="A528" t="s">
        <v>250</v>
      </c>
      <c r="B528" t="s">
        <v>327</v>
      </c>
      <c r="C528" t="s">
        <v>44</v>
      </c>
      <c r="D528" t="s">
        <v>324</v>
      </c>
      <c r="E528" t="s">
        <v>145</v>
      </c>
      <c r="F528" t="s">
        <v>324</v>
      </c>
      <c r="G528" t="s">
        <v>31</v>
      </c>
      <c r="H528" t="s">
        <v>277</v>
      </c>
      <c r="I528" t="s">
        <v>135</v>
      </c>
      <c r="J528" t="s">
        <v>39</v>
      </c>
      <c r="K528" t="s">
        <v>31</v>
      </c>
      <c r="L528">
        <v>2.407058823529411</v>
      </c>
      <c r="M528">
        <v>1</v>
      </c>
      <c r="N528">
        <v>7.5737578827607859</v>
      </c>
      <c r="O528">
        <v>5.4679361121017189</v>
      </c>
      <c r="P528">
        <v>-2.0131550286721267</v>
      </c>
      <c r="Q528">
        <v>0.39105189158938575</v>
      </c>
      <c r="R528">
        <v>-1.8625523936223525</v>
      </c>
      <c r="S528" s="2">
        <v>3.6986087941798355E-3</v>
      </c>
      <c r="T528" s="2">
        <v>3.8515295373642731E-3</v>
      </c>
      <c r="U528" s="2">
        <v>3.9520521121371955E-3</v>
      </c>
      <c r="V528" s="2">
        <v>4.0121594406483819E-3</v>
      </c>
      <c r="W528" s="2">
        <v>4.0431061242198725E-3</v>
      </c>
      <c r="X528" s="2">
        <v>4.0542435644478235E-3</v>
      </c>
      <c r="Y528" s="2">
        <v>4.0526531856041629E-3</v>
      </c>
      <c r="Z528" s="2">
        <v>4.0538746781416711E-3</v>
      </c>
      <c r="AA528" s="2">
        <v>4.0347403896608429E-3</v>
      </c>
      <c r="AB528" s="2">
        <v>4.0156964150216438E-3</v>
      </c>
      <c r="AC528" s="2">
        <v>3.9967423279427426E-3</v>
      </c>
      <c r="AD528" s="2">
        <v>3.9778777041548537E-3</v>
      </c>
      <c r="AE528" s="2">
        <v>3.9591021213912425E-3</v>
      </c>
      <c r="AF528" s="2">
        <v>3.9404151593782763E-3</v>
      </c>
      <c r="AG528" s="2">
        <v>4.6603817942430202E-4</v>
      </c>
      <c r="AH528" s="2">
        <v>8.3661300459416676E-5</v>
      </c>
      <c r="AI528" s="2">
        <v>7.7236080217253159E-5</v>
      </c>
      <c r="AJ528" s="2">
        <v>4.8682172369849269E-5</v>
      </c>
      <c r="AK528" s="2">
        <v>2.9502889897070245E-5</v>
      </c>
      <c r="AL528" s="2">
        <v>1.7207357258028766E-5</v>
      </c>
      <c r="AM528" s="2">
        <v>9.6681763964344648E-6</v>
      </c>
      <c r="AN528" s="2">
        <v>5.2382566457256375E-6</v>
      </c>
      <c r="AO528" s="2">
        <v>0</v>
      </c>
      <c r="AP528" s="2">
        <v>0</v>
      </c>
      <c r="AQ528" s="2">
        <v>0</v>
      </c>
      <c r="AR528" s="2">
        <v>5.6380035966960888E-2</v>
      </c>
    </row>
    <row r="529" spans="1:44" x14ac:dyDescent="0.25">
      <c r="A529" t="s">
        <v>250</v>
      </c>
      <c r="B529" t="s">
        <v>327</v>
      </c>
      <c r="C529" t="s">
        <v>44</v>
      </c>
      <c r="D529" t="s">
        <v>324</v>
      </c>
      <c r="E529" t="s">
        <v>145</v>
      </c>
      <c r="F529" t="s">
        <v>324</v>
      </c>
      <c r="G529" t="s">
        <v>31</v>
      </c>
      <c r="H529" t="s">
        <v>277</v>
      </c>
      <c r="I529" t="s">
        <v>135</v>
      </c>
      <c r="J529" t="s">
        <v>40</v>
      </c>
      <c r="K529" t="s">
        <v>31</v>
      </c>
      <c r="L529">
        <v>2.407058823529411</v>
      </c>
      <c r="M529">
        <v>1</v>
      </c>
      <c r="N529">
        <v>7.5737578827607859</v>
      </c>
      <c r="O529">
        <v>4.1746294160814523</v>
      </c>
      <c r="P529">
        <v>-2.0131550286721267</v>
      </c>
      <c r="Q529">
        <v>0.4672931329656026</v>
      </c>
      <c r="R529">
        <v>-1.7195523936223525</v>
      </c>
      <c r="S529" s="2">
        <v>5.8343848677372347E-4</v>
      </c>
      <c r="T529" s="2">
        <v>6.0756102904968394E-4</v>
      </c>
      <c r="U529" s="2">
        <v>6.2341800181317335E-4</v>
      </c>
      <c r="V529" s="2">
        <v>6.3289965579230211E-4</v>
      </c>
      <c r="W529" s="2">
        <v>6.3778135246214977E-4</v>
      </c>
      <c r="X529" s="2">
        <v>6.3953823231474582E-4</v>
      </c>
      <c r="Y529" s="2">
        <v>6.3928735738377101E-4</v>
      </c>
      <c r="Z529" s="2">
        <v>6.3948004220050838E-4</v>
      </c>
      <c r="AA529" s="2">
        <v>6.3646169640132208E-4</v>
      </c>
      <c r="AB529" s="2">
        <v>6.3345759719430782E-4</v>
      </c>
      <c r="AC529" s="2">
        <v>6.3046767733555072E-4</v>
      </c>
      <c r="AD529" s="2">
        <v>6.2749186989852679E-4</v>
      </c>
      <c r="AE529" s="2">
        <v>6.2453010827260593E-4</v>
      </c>
      <c r="AF529" s="2">
        <v>6.21582326161559E-4</v>
      </c>
      <c r="AG529" s="2">
        <v>7.3515374378057516E-5</v>
      </c>
      <c r="AH529" s="2">
        <v>1.3197184470651146E-5</v>
      </c>
      <c r="AI529" s="2">
        <v>1.2183635597579056E-5</v>
      </c>
      <c r="AJ529" s="2">
        <v>7.6793882675609268E-6</v>
      </c>
      <c r="AK529" s="2">
        <v>4.6539448735657639E-6</v>
      </c>
      <c r="AL529" s="2">
        <v>2.7143812819018144E-6</v>
      </c>
      <c r="AM529" s="2">
        <v>1.525110256449273E-6</v>
      </c>
      <c r="AN529" s="2">
        <v>8.2631083761111221E-7</v>
      </c>
      <c r="AO529" s="2">
        <v>0</v>
      </c>
      <c r="AP529" s="2">
        <v>0</v>
      </c>
      <c r="AQ529" s="2">
        <v>0</v>
      </c>
      <c r="AR529" s="2">
        <v>8.8936907630173083E-3</v>
      </c>
    </row>
    <row r="530" spans="1:44" x14ac:dyDescent="0.25">
      <c r="A530" t="s">
        <v>250</v>
      </c>
      <c r="B530" t="s">
        <v>327</v>
      </c>
      <c r="C530" t="s">
        <v>44</v>
      </c>
      <c r="D530" t="s">
        <v>324</v>
      </c>
      <c r="E530" t="s">
        <v>148</v>
      </c>
      <c r="F530" t="s">
        <v>324</v>
      </c>
      <c r="G530" t="s">
        <v>31</v>
      </c>
      <c r="H530" t="s">
        <v>277</v>
      </c>
      <c r="I530" t="s">
        <v>135</v>
      </c>
      <c r="J530" t="s">
        <v>39</v>
      </c>
      <c r="K530" t="s">
        <v>31</v>
      </c>
      <c r="L530">
        <v>2.407058823529411</v>
      </c>
      <c r="M530">
        <v>1</v>
      </c>
      <c r="N530">
        <v>7.5737578827607859</v>
      </c>
      <c r="O530">
        <v>5.4679361121017189</v>
      </c>
      <c r="P530">
        <v>-2.0131550286721267</v>
      </c>
      <c r="Q530">
        <v>0.39105189158938575</v>
      </c>
      <c r="R530">
        <v>-1.8625523936223525</v>
      </c>
      <c r="S530" s="2">
        <v>6.2921658352781216E-4</v>
      </c>
      <c r="T530" s="2">
        <v>9.3232068792221587E-4</v>
      </c>
      <c r="U530" s="2">
        <v>9.6746870717826687E-4</v>
      </c>
      <c r="V530" s="2">
        <v>9.9333836269546228E-4</v>
      </c>
      <c r="W530" s="2">
        <v>1.0124215042044402E-3</v>
      </c>
      <c r="X530" s="2">
        <v>1.0268465153732461E-3</v>
      </c>
      <c r="Y530" s="2">
        <v>1.0382614840279243E-3</v>
      </c>
      <c r="Z530" s="2">
        <v>1.0505850170087077E-3</v>
      </c>
      <c r="AA530" s="2">
        <v>1.0577715414127073E-3</v>
      </c>
      <c r="AB530" s="2">
        <v>1.0650603464569877E-3</v>
      </c>
      <c r="AC530" s="2">
        <v>1.0724524767779903E-3</v>
      </c>
      <c r="AD530" s="2">
        <v>1.0799489892101969E-3</v>
      </c>
      <c r="AE530" s="2">
        <v>1.0875509529207133E-3</v>
      </c>
      <c r="AF530" s="2">
        <v>1.0952594495451811E-3</v>
      </c>
      <c r="AG530" s="2">
        <v>1.1030755733255251E-3</v>
      </c>
      <c r="AH530" s="2">
        <v>1.1110004312488316E-3</v>
      </c>
      <c r="AI530" s="2">
        <v>1.1190351431883904E-3</v>
      </c>
      <c r="AJ530" s="2">
        <v>1.1271808420455314E-3</v>
      </c>
      <c r="AK530" s="2">
        <v>1.135438673893902E-3</v>
      </c>
      <c r="AL530" s="2">
        <v>1.1438097981247969E-3</v>
      </c>
      <c r="AM530" s="2">
        <v>1.152295387594295E-3</v>
      </c>
      <c r="AN530" s="2">
        <v>1.1608966287721045E-3</v>
      </c>
      <c r="AO530" s="2">
        <v>1.1696147218921162E-3</v>
      </c>
      <c r="AP530" s="2">
        <v>1.17845088110451E-3</v>
      </c>
      <c r="AQ530" s="2">
        <v>1.1874063346296968E-3</v>
      </c>
      <c r="AR530" s="2">
        <v>2.669670703408155E-2</v>
      </c>
    </row>
    <row r="531" spans="1:44" x14ac:dyDescent="0.25">
      <c r="A531" t="s">
        <v>250</v>
      </c>
      <c r="B531" t="s">
        <v>327</v>
      </c>
      <c r="C531" t="s">
        <v>44</v>
      </c>
      <c r="D531" t="s">
        <v>324</v>
      </c>
      <c r="E531" t="s">
        <v>148</v>
      </c>
      <c r="F531" t="s">
        <v>324</v>
      </c>
      <c r="G531" t="s">
        <v>31</v>
      </c>
      <c r="H531" t="s">
        <v>277</v>
      </c>
      <c r="I531" t="s">
        <v>135</v>
      </c>
      <c r="J531" t="s">
        <v>40</v>
      </c>
      <c r="K531" t="s">
        <v>31</v>
      </c>
      <c r="L531">
        <v>2.407058823529411</v>
      </c>
      <c r="M531">
        <v>1</v>
      </c>
      <c r="N531">
        <v>7.5737578827607859</v>
      </c>
      <c r="O531">
        <v>4.1746294160814523</v>
      </c>
      <c r="P531">
        <v>-2.0131550286721267</v>
      </c>
      <c r="Q531">
        <v>0.4672931329656026</v>
      </c>
      <c r="R531">
        <v>-1.7195523936223525</v>
      </c>
      <c r="S531" s="2">
        <v>9.9256015376399128E-5</v>
      </c>
      <c r="T531" s="2">
        <v>1.4706929054112062E-4</v>
      </c>
      <c r="U531" s="2">
        <v>1.5261372854713723E-4</v>
      </c>
      <c r="V531" s="2">
        <v>1.5669454744641245E-4</v>
      </c>
      <c r="W531" s="2">
        <v>1.5970482504657586E-4</v>
      </c>
      <c r="X531" s="2">
        <v>1.6198030405945846E-4</v>
      </c>
      <c r="Y531" s="2">
        <v>1.6378096274197062E-4</v>
      </c>
      <c r="Z531" s="2">
        <v>1.6572494325846251E-4</v>
      </c>
      <c r="AA531" s="2">
        <v>1.6685858435347081E-4</v>
      </c>
      <c r="AB531" s="2">
        <v>1.6800835974796659E-4</v>
      </c>
      <c r="AC531" s="2">
        <v>1.6917443422854317E-4</v>
      </c>
      <c r="AD531" s="2">
        <v>1.7035697450595931E-4</v>
      </c>
      <c r="AE531" s="2">
        <v>1.7155614923640054E-4</v>
      </c>
      <c r="AF531" s="2">
        <v>1.7277212904290675E-4</v>
      </c>
      <c r="AG531" s="2">
        <v>1.7400508653708641E-4</v>
      </c>
      <c r="AH531" s="2">
        <v>1.7525519634106466E-4</v>
      </c>
      <c r="AI531" s="2">
        <v>1.7652263510967679E-4</v>
      </c>
      <c r="AJ531" s="2">
        <v>1.7780758155289369E-4</v>
      </c>
      <c r="AK531" s="2">
        <v>1.7911021645854107E-4</v>
      </c>
      <c r="AL531" s="2">
        <v>1.8043072271526207E-4</v>
      </c>
      <c r="AM531" s="2">
        <v>1.8176928533568583E-4</v>
      </c>
      <c r="AN531" s="2">
        <v>1.8312609147994621E-4</v>
      </c>
      <c r="AO531" s="2">
        <v>1.8450133047940613E-4</v>
      </c>
      <c r="AP531" s="2">
        <v>1.8589519386065195E-4</v>
      </c>
      <c r="AQ531" s="2">
        <v>1.8730787536980274E-4</v>
      </c>
      <c r="AR531" s="2">
        <v>4.2112824633728013E-3</v>
      </c>
    </row>
    <row r="532" spans="1:44" x14ac:dyDescent="0.25">
      <c r="A532" t="s">
        <v>250</v>
      </c>
      <c r="B532" t="s">
        <v>355</v>
      </c>
      <c r="C532" t="s">
        <v>45</v>
      </c>
      <c r="D532" t="s">
        <v>356</v>
      </c>
      <c r="E532" t="s">
        <v>134</v>
      </c>
      <c r="F532" t="s">
        <v>356</v>
      </c>
      <c r="G532" t="s">
        <v>31</v>
      </c>
      <c r="H532" t="s">
        <v>254</v>
      </c>
      <c r="I532" t="s">
        <v>135</v>
      </c>
      <c r="J532" t="s">
        <v>39</v>
      </c>
      <c r="K532" t="s">
        <v>31</v>
      </c>
      <c r="L532">
        <v>27.609695928724999</v>
      </c>
      <c r="M532">
        <v>0</v>
      </c>
      <c r="N532">
        <v>0.97527625300994847</v>
      </c>
      <c r="O532">
        <v>5.5125763814213515</v>
      </c>
      <c r="P532">
        <v>0.57134666754224184</v>
      </c>
      <c r="Q532">
        <v>3.0616063307454859</v>
      </c>
      <c r="R532">
        <v>-1.9486051365640844</v>
      </c>
      <c r="S532" s="2">
        <v>2.3066107954881731E-5</v>
      </c>
      <c r="T532" s="2">
        <v>4.5900767254765958E-5</v>
      </c>
      <c r="U532" s="2">
        <v>8.1133232490627645E-5</v>
      </c>
      <c r="V532" s="2">
        <v>1.3138219806699318E-4</v>
      </c>
      <c r="W532" s="2">
        <v>1.985250959276692E-4</v>
      </c>
      <c r="X532" s="2">
        <v>2.8305466220876903E-4</v>
      </c>
      <c r="Y532" s="2">
        <v>3.8330456299931167E-4</v>
      </c>
      <c r="Z532" s="2">
        <v>4.9467172364276444E-4</v>
      </c>
      <c r="AA532" s="2">
        <v>6.0907861759996714E-4</v>
      </c>
      <c r="AB532" s="2">
        <v>7.1502583660407258E-4</v>
      </c>
      <c r="AC532" s="2">
        <v>7.9861326058958072E-4</v>
      </c>
      <c r="AD532" s="2">
        <v>8.457623918608128E-4</v>
      </c>
      <c r="AE532" s="2">
        <v>8.4548284198570256E-4</v>
      </c>
      <c r="AF532" s="2">
        <v>7.9343424739952988E-4</v>
      </c>
      <c r="AG532" s="2">
        <v>6.9447623387901378E-4</v>
      </c>
      <c r="AH532" s="2">
        <v>5.7174737090029632E-4</v>
      </c>
      <c r="AI532" s="2">
        <v>4.3525692372845925E-4</v>
      </c>
      <c r="AJ532" s="2">
        <v>1.2464629278007E-4</v>
      </c>
      <c r="AK532" s="2">
        <v>0</v>
      </c>
      <c r="AL532" s="2">
        <v>0</v>
      </c>
      <c r="AM532" s="2">
        <v>0</v>
      </c>
      <c r="AN532" s="2">
        <v>0</v>
      </c>
      <c r="AO532" s="2">
        <v>0</v>
      </c>
      <c r="AP532" s="2">
        <v>0</v>
      </c>
      <c r="AQ532" s="2">
        <v>0</v>
      </c>
      <c r="AR532" s="2">
        <v>8.0745623678732878E-3</v>
      </c>
    </row>
    <row r="533" spans="1:44" x14ac:dyDescent="0.25">
      <c r="A533" t="s">
        <v>250</v>
      </c>
      <c r="B533" t="s">
        <v>355</v>
      </c>
      <c r="C533" t="s">
        <v>45</v>
      </c>
      <c r="D533" t="s">
        <v>356</v>
      </c>
      <c r="E533" t="s">
        <v>134</v>
      </c>
      <c r="F533" t="s">
        <v>356</v>
      </c>
      <c r="G533" t="s">
        <v>31</v>
      </c>
      <c r="H533" t="s">
        <v>272</v>
      </c>
      <c r="I533" t="s">
        <v>135</v>
      </c>
      <c r="J533" t="s">
        <v>39</v>
      </c>
      <c r="K533" t="s">
        <v>31</v>
      </c>
      <c r="L533">
        <v>27.609695928724999</v>
      </c>
      <c r="M533">
        <v>0</v>
      </c>
      <c r="N533">
        <v>0.97527625300994847</v>
      </c>
      <c r="O533">
        <v>5.5125763814213515</v>
      </c>
      <c r="P533">
        <v>0.57134666754224184</v>
      </c>
      <c r="Q533">
        <v>3.0616063307454859</v>
      </c>
      <c r="R533">
        <v>-1.9486051365640844</v>
      </c>
      <c r="S533" s="2">
        <v>1.8384300728462259E-5</v>
      </c>
      <c r="T533" s="2">
        <v>3.6579965843140726E-5</v>
      </c>
      <c r="U533" s="2">
        <v>6.4650618679793539E-5</v>
      </c>
      <c r="V533" s="2">
        <v>1.0467934214757335E-4</v>
      </c>
      <c r="W533" s="2">
        <v>1.5815773292303484E-4</v>
      </c>
      <c r="X533" s="2">
        <v>2.2547369624644845E-4</v>
      </c>
      <c r="Y533" s="2">
        <v>3.0529529859961853E-4</v>
      </c>
      <c r="Z533" s="2">
        <v>3.9395241619432655E-4</v>
      </c>
      <c r="AA533" s="2">
        <v>4.8500988619760418E-4</v>
      </c>
      <c r="AB533" s="2">
        <v>5.6931093802330991E-4</v>
      </c>
      <c r="AC533" s="2">
        <v>6.3579171681698329E-4</v>
      </c>
      <c r="AD533" s="2">
        <v>6.7325141269689254E-4</v>
      </c>
      <c r="AE533" s="2">
        <v>6.7295226250537962E-4</v>
      </c>
      <c r="AF533" s="2">
        <v>6.3145289190354842E-4</v>
      </c>
      <c r="AG533" s="2">
        <v>5.5263445424731184E-4</v>
      </c>
      <c r="AH533" s="2">
        <v>4.5492028359747297E-4</v>
      </c>
      <c r="AI533" s="2">
        <v>3.4627996787105989E-4</v>
      </c>
      <c r="AJ533" s="2">
        <v>8.9302666964674658E-5</v>
      </c>
      <c r="AK533" s="2">
        <v>0</v>
      </c>
      <c r="AL533" s="2">
        <v>0</v>
      </c>
      <c r="AM533" s="2">
        <v>0</v>
      </c>
      <c r="AN533" s="2">
        <v>0</v>
      </c>
      <c r="AO533" s="2">
        <v>0</v>
      </c>
      <c r="AP533" s="2">
        <v>0</v>
      </c>
      <c r="AQ533" s="2">
        <v>0</v>
      </c>
      <c r="AR533" s="2">
        <v>6.4180798521866365E-3</v>
      </c>
    </row>
    <row r="534" spans="1:44" x14ac:dyDescent="0.25">
      <c r="A534" t="s">
        <v>250</v>
      </c>
      <c r="B534" t="s">
        <v>355</v>
      </c>
      <c r="C534" t="s">
        <v>45</v>
      </c>
      <c r="D534" t="s">
        <v>356</v>
      </c>
      <c r="E534" t="s">
        <v>134</v>
      </c>
      <c r="F534" t="s">
        <v>356</v>
      </c>
      <c r="G534" t="s">
        <v>31</v>
      </c>
      <c r="H534" t="s">
        <v>272</v>
      </c>
      <c r="I534" t="s">
        <v>135</v>
      </c>
      <c r="J534" t="s">
        <v>40</v>
      </c>
      <c r="K534" t="s">
        <v>31</v>
      </c>
      <c r="L534">
        <v>27.609695928724999</v>
      </c>
      <c r="M534">
        <v>0</v>
      </c>
      <c r="N534">
        <v>0.97527625300994847</v>
      </c>
      <c r="O534">
        <v>4.3334995790904642</v>
      </c>
      <c r="P534">
        <v>0.57134666754224184</v>
      </c>
      <c r="Q534">
        <v>0.4672931329656026</v>
      </c>
      <c r="R534">
        <v>-1.8056051365640844</v>
      </c>
      <c r="S534" s="2">
        <v>1.818498581403577E-6</v>
      </c>
      <c r="T534" s="2">
        <v>3.6183381122871115E-6</v>
      </c>
      <c r="U534" s="2">
        <v>6.3949703658868483E-6</v>
      </c>
      <c r="V534" s="2">
        <v>1.0354445241581088E-5</v>
      </c>
      <c r="W534" s="2">
        <v>1.5644305280171596E-5</v>
      </c>
      <c r="X534" s="2">
        <v>2.2302920455016054E-5</v>
      </c>
      <c r="Y534" s="2">
        <v>3.0198541441017067E-5</v>
      </c>
      <c r="Z534" s="2">
        <v>3.8968134854363716E-5</v>
      </c>
      <c r="AA534" s="2">
        <v>4.7975161146682729E-5</v>
      </c>
      <c r="AB534" s="2">
        <v>5.6313870647802728E-5</v>
      </c>
      <c r="AC534" s="2">
        <v>6.2889872841877592E-5</v>
      </c>
      <c r="AD534" s="2">
        <v>6.6595230191257842E-5</v>
      </c>
      <c r="AE534" s="2">
        <v>6.6565639498256904E-5</v>
      </c>
      <c r="AF534" s="2">
        <v>6.2460694323391731E-5</v>
      </c>
      <c r="AG534" s="2">
        <v>5.4664302217794285E-5</v>
      </c>
      <c r="AH534" s="2">
        <v>4.4998822777792653E-5</v>
      </c>
      <c r="AI534" s="2">
        <v>3.4252574500540724E-5</v>
      </c>
      <c r="AJ534" s="2">
        <v>8.8334484726629164E-6</v>
      </c>
      <c r="AK534" s="2">
        <v>0</v>
      </c>
      <c r="AL534" s="2">
        <v>0</v>
      </c>
      <c r="AM534" s="2">
        <v>0</v>
      </c>
      <c r="AN534" s="2">
        <v>0</v>
      </c>
      <c r="AO534" s="2">
        <v>0</v>
      </c>
      <c r="AP534" s="2">
        <v>0</v>
      </c>
      <c r="AQ534" s="2">
        <v>0</v>
      </c>
      <c r="AR534" s="2">
        <v>6.3484977094978713E-4</v>
      </c>
    </row>
    <row r="535" spans="1:44" x14ac:dyDescent="0.25">
      <c r="A535" t="s">
        <v>250</v>
      </c>
      <c r="B535" t="s">
        <v>355</v>
      </c>
      <c r="C535" t="s">
        <v>45</v>
      </c>
      <c r="D535" t="s">
        <v>356</v>
      </c>
      <c r="E535" t="s">
        <v>134</v>
      </c>
      <c r="F535" t="s">
        <v>356</v>
      </c>
      <c r="G535" t="s">
        <v>31</v>
      </c>
      <c r="H535" t="s">
        <v>253</v>
      </c>
      <c r="I535" t="s">
        <v>135</v>
      </c>
      <c r="J535" t="s">
        <v>39</v>
      </c>
      <c r="K535" t="s">
        <v>31</v>
      </c>
      <c r="L535">
        <v>27.609695928724999</v>
      </c>
      <c r="M535">
        <v>0</v>
      </c>
      <c r="N535">
        <v>0.97527625300994847</v>
      </c>
      <c r="O535">
        <v>5.5125763814213515</v>
      </c>
      <c r="P535">
        <v>0.57134666754224184</v>
      </c>
      <c r="Q535">
        <v>3.0616063307454859</v>
      </c>
      <c r="R535">
        <v>-1.9486051365640844</v>
      </c>
      <c r="S535" s="2">
        <v>1.0051643146730819E-5</v>
      </c>
      <c r="T535" s="2">
        <v>2.0010195785096377E-5</v>
      </c>
      <c r="U535" s="2">
        <v>3.5383339829348679E-5</v>
      </c>
      <c r="V535" s="2">
        <v>5.7319872921741155E-5</v>
      </c>
      <c r="W535" s="2">
        <v>8.6646846497395654E-5</v>
      </c>
      <c r="X535" s="2">
        <v>1.2358800180544774E-4</v>
      </c>
      <c r="Y535" s="2">
        <v>1.6742435655633987E-4</v>
      </c>
      <c r="Z535" s="2">
        <v>2.1615256152133686E-4</v>
      </c>
      <c r="AA535" s="2">
        <v>2.6624735692715493E-4</v>
      </c>
      <c r="AB535" s="2">
        <v>3.1268160884935812E-4</v>
      </c>
      <c r="AC535" s="2">
        <v>3.4937013003891133E-4</v>
      </c>
      <c r="AD535" s="2">
        <v>3.7014021705074882E-4</v>
      </c>
      <c r="AE535" s="2">
        <v>3.7016159298562749E-4</v>
      </c>
      <c r="AF535" s="2">
        <v>3.4750907498465089E-4</v>
      </c>
      <c r="AG535" s="2">
        <v>3.0428549295381633E-4</v>
      </c>
      <c r="AH535" s="2">
        <v>2.506090135285568E-4</v>
      </c>
      <c r="AI535" s="2">
        <v>1.9085645385000978E-4</v>
      </c>
      <c r="AJ535" s="2">
        <v>7.3205733407816914E-5</v>
      </c>
      <c r="AK535" s="2">
        <v>0</v>
      </c>
      <c r="AL535" s="2">
        <v>0</v>
      </c>
      <c r="AM535" s="2">
        <v>0</v>
      </c>
      <c r="AN535" s="2">
        <v>0</v>
      </c>
      <c r="AO535" s="2">
        <v>0</v>
      </c>
      <c r="AP535" s="2">
        <v>0</v>
      </c>
      <c r="AQ535" s="2">
        <v>0</v>
      </c>
      <c r="AR535" s="2">
        <v>3.5516434926400886E-3</v>
      </c>
    </row>
    <row r="536" spans="1:44" x14ac:dyDescent="0.25">
      <c r="A536" t="s">
        <v>250</v>
      </c>
      <c r="B536" t="s">
        <v>355</v>
      </c>
      <c r="C536" t="s">
        <v>45</v>
      </c>
      <c r="D536" t="s">
        <v>356</v>
      </c>
      <c r="E536" t="s">
        <v>134</v>
      </c>
      <c r="F536" t="s">
        <v>356</v>
      </c>
      <c r="G536" t="s">
        <v>31</v>
      </c>
      <c r="H536" t="s">
        <v>253</v>
      </c>
      <c r="I536" t="s">
        <v>135</v>
      </c>
      <c r="J536" t="s">
        <v>40</v>
      </c>
      <c r="K536" t="s">
        <v>31</v>
      </c>
      <c r="L536">
        <v>27.609695928724999</v>
      </c>
      <c r="M536">
        <v>0</v>
      </c>
      <c r="N536">
        <v>0.97527625300994847</v>
      </c>
      <c r="O536">
        <v>4.3334995790904642</v>
      </c>
      <c r="P536">
        <v>0.57134666754224184</v>
      </c>
      <c r="Q536">
        <v>0.4672931329656026</v>
      </c>
      <c r="R536">
        <v>-1.8056051365640844</v>
      </c>
      <c r="S536" s="2">
        <v>5.2873732079612285E-6</v>
      </c>
      <c r="T536" s="2">
        <v>1.0525778873734482E-5</v>
      </c>
      <c r="U536" s="2">
        <v>1.8612372155564711E-5</v>
      </c>
      <c r="V536" s="2">
        <v>3.0151444489822234E-5</v>
      </c>
      <c r="W536" s="2">
        <v>4.5578042120771229E-5</v>
      </c>
      <c r="X536" s="2">
        <v>6.5009857595682457E-5</v>
      </c>
      <c r="Y536" s="2">
        <v>8.806869128696151E-5</v>
      </c>
      <c r="Z536" s="2">
        <v>1.13700739862797E-4</v>
      </c>
      <c r="AA536" s="2">
        <v>1.4005164341364257E-4</v>
      </c>
      <c r="AB536" s="2">
        <v>1.6447702501157864E-4</v>
      </c>
      <c r="AC536" s="2">
        <v>1.8377594968942623E-4</v>
      </c>
      <c r="AD536" s="2">
        <v>1.9470144714196276E-4</v>
      </c>
      <c r="AE536" s="2">
        <v>1.9471269132798511E-4</v>
      </c>
      <c r="AF536" s="2">
        <v>1.8279699605082262E-4</v>
      </c>
      <c r="AG536" s="2">
        <v>1.6006049354612729E-4</v>
      </c>
      <c r="AH536" s="2">
        <v>1.3182554975953812E-4</v>
      </c>
      <c r="AI536" s="2">
        <v>1.0039446147481247E-4</v>
      </c>
      <c r="AJ536" s="2">
        <v>3.8507737276321323E-5</v>
      </c>
      <c r="AK536" s="2">
        <v>0</v>
      </c>
      <c r="AL536" s="2">
        <v>0</v>
      </c>
      <c r="AM536" s="2">
        <v>0</v>
      </c>
      <c r="AN536" s="2">
        <v>0</v>
      </c>
      <c r="AO536" s="2">
        <v>0</v>
      </c>
      <c r="AP536" s="2">
        <v>0</v>
      </c>
      <c r="AQ536" s="2">
        <v>0</v>
      </c>
      <c r="AR536" s="2">
        <v>1.8682382942855119E-3</v>
      </c>
    </row>
    <row r="537" spans="1:44" x14ac:dyDescent="0.25">
      <c r="A537" t="s">
        <v>250</v>
      </c>
      <c r="B537" t="s">
        <v>355</v>
      </c>
      <c r="C537" t="s">
        <v>45</v>
      </c>
      <c r="D537" t="s">
        <v>356</v>
      </c>
      <c r="E537" t="s">
        <v>134</v>
      </c>
      <c r="F537" t="s">
        <v>356</v>
      </c>
      <c r="G537" t="s">
        <v>31</v>
      </c>
      <c r="H537" t="s">
        <v>253</v>
      </c>
      <c r="I537" t="s">
        <v>256</v>
      </c>
      <c r="J537" t="s">
        <v>39</v>
      </c>
      <c r="K537" t="s">
        <v>31</v>
      </c>
      <c r="L537">
        <v>27.609695928724999</v>
      </c>
      <c r="M537">
        <v>0</v>
      </c>
      <c r="N537">
        <v>0.8857473426509942</v>
      </c>
      <c r="O537">
        <v>5.0065300635950045</v>
      </c>
      <c r="P537">
        <v>0.84544894628196166</v>
      </c>
      <c r="Q537">
        <v>0.4672931329656026</v>
      </c>
      <c r="R537">
        <v>-1.6745028578243648</v>
      </c>
      <c r="S537" s="2">
        <v>5.2726990971339523E-6</v>
      </c>
      <c r="T537" s="2">
        <v>1.0496566552292142E-5</v>
      </c>
      <c r="U537" s="2">
        <v>1.8560717013960939E-5</v>
      </c>
      <c r="V537" s="2">
        <v>3.006776482117696E-5</v>
      </c>
      <c r="W537" s="2">
        <v>4.5451548829099811E-5</v>
      </c>
      <c r="X537" s="2">
        <v>6.4829434951449964E-5</v>
      </c>
      <c r="Y537" s="2">
        <v>8.7824273182634749E-5</v>
      </c>
      <c r="Z537" s="2">
        <v>1.1338518482397782E-4</v>
      </c>
      <c r="AA537" s="2">
        <v>1.3966295639342253E-4</v>
      </c>
      <c r="AB537" s="2">
        <v>1.6402054993432737E-4</v>
      </c>
      <c r="AC537" s="2">
        <v>1.8326591407305062E-4</v>
      </c>
      <c r="AD537" s="2">
        <v>1.9416108986033747E-4</v>
      </c>
      <c r="AE537" s="2">
        <v>1.9417230284023441E-4</v>
      </c>
      <c r="AF537" s="2">
        <v>1.8228967733632299E-4</v>
      </c>
      <c r="AG537" s="2">
        <v>1.5961627572208032E-4</v>
      </c>
      <c r="AH537" s="2">
        <v>1.3145969271655025E-4</v>
      </c>
      <c r="AI537" s="2">
        <v>1.0011583551137413E-4</v>
      </c>
      <c r="AJ537" s="2">
        <v>3.8400866287216032E-5</v>
      </c>
      <c r="AK537" s="2">
        <v>0</v>
      </c>
      <c r="AL537" s="2">
        <v>0</v>
      </c>
      <c r="AM537" s="2">
        <v>0</v>
      </c>
      <c r="AN537" s="2">
        <v>0</v>
      </c>
      <c r="AO537" s="2">
        <v>0</v>
      </c>
      <c r="AP537" s="2">
        <v>0</v>
      </c>
      <c r="AQ537" s="2">
        <v>0</v>
      </c>
      <c r="AR537" s="2">
        <v>1.863053349946643E-3</v>
      </c>
    </row>
    <row r="538" spans="1:44" x14ac:dyDescent="0.25">
      <c r="A538" t="s">
        <v>250</v>
      </c>
      <c r="B538" t="s">
        <v>355</v>
      </c>
      <c r="C538" t="s">
        <v>45</v>
      </c>
      <c r="D538" t="s">
        <v>356</v>
      </c>
      <c r="E538" t="s">
        <v>134</v>
      </c>
      <c r="F538" t="s">
        <v>356</v>
      </c>
      <c r="G538" t="s">
        <v>31</v>
      </c>
      <c r="H538" t="s">
        <v>288</v>
      </c>
      <c r="I538" t="s">
        <v>135</v>
      </c>
      <c r="J538" t="s">
        <v>39</v>
      </c>
      <c r="K538" t="s">
        <v>31</v>
      </c>
      <c r="L538">
        <v>27.609695928724999</v>
      </c>
      <c r="M538">
        <v>0</v>
      </c>
      <c r="N538">
        <v>0.97527625300994847</v>
      </c>
      <c r="O538">
        <v>5.5125763814213515</v>
      </c>
      <c r="P538">
        <v>0.57134666754224184</v>
      </c>
      <c r="Q538">
        <v>3.0616063307454859</v>
      </c>
      <c r="R538">
        <v>-1.9486051365640844</v>
      </c>
      <c r="S538" s="2">
        <v>3.7766127053560432E-5</v>
      </c>
      <c r="T538" s="2">
        <v>7.5265534795793891E-5</v>
      </c>
      <c r="U538" s="2">
        <v>1.3323645328512884E-4</v>
      </c>
      <c r="V538" s="2">
        <v>2.1607717075474881E-4</v>
      </c>
      <c r="W538" s="2">
        <v>3.2699104031909832E-4</v>
      </c>
      <c r="X538" s="2">
        <v>4.6691607729738534E-4</v>
      </c>
      <c r="Y538" s="2">
        <v>6.3322868816139343E-4</v>
      </c>
      <c r="Z538" s="2">
        <v>8.1843040666041529E-4</v>
      </c>
      <c r="AA538" s="2">
        <v>1.0092205860979127E-3</v>
      </c>
      <c r="AB538" s="2">
        <v>1.1865404803835169E-3</v>
      </c>
      <c r="AC538" s="2">
        <v>1.3272276444965293E-3</v>
      </c>
      <c r="AD538" s="2">
        <v>1.4076845648526065E-3</v>
      </c>
      <c r="AE538" s="2">
        <v>1.4093207775272875E-3</v>
      </c>
      <c r="AF538" s="2">
        <v>1.3245369423932726E-3</v>
      </c>
      <c r="AG538" s="2">
        <v>1.1610705210084338E-3</v>
      </c>
      <c r="AH538" s="2">
        <v>9.5731191451034253E-4</v>
      </c>
      <c r="AI538" s="2">
        <v>7.2986586611579671E-4</v>
      </c>
      <c r="AJ538" s="2">
        <v>4.8184597541200725E-4</v>
      </c>
      <c r="AK538" s="2">
        <v>0</v>
      </c>
      <c r="AL538" s="2">
        <v>0</v>
      </c>
      <c r="AM538" s="2">
        <v>0</v>
      </c>
      <c r="AN538" s="2">
        <v>0</v>
      </c>
      <c r="AO538" s="2">
        <v>0</v>
      </c>
      <c r="AP538" s="2">
        <v>0</v>
      </c>
      <c r="AQ538" s="2">
        <v>0</v>
      </c>
      <c r="AR538" s="2">
        <v>1.3702536771125231E-2</v>
      </c>
    </row>
    <row r="539" spans="1:44" x14ac:dyDescent="0.25">
      <c r="A539" t="s">
        <v>250</v>
      </c>
      <c r="B539" t="s">
        <v>355</v>
      </c>
      <c r="C539" t="s">
        <v>45</v>
      </c>
      <c r="D539" t="s">
        <v>356</v>
      </c>
      <c r="E539" t="s">
        <v>134</v>
      </c>
      <c r="F539" t="s">
        <v>356</v>
      </c>
      <c r="G539" t="s">
        <v>31</v>
      </c>
      <c r="H539" t="s">
        <v>288</v>
      </c>
      <c r="I539" t="s">
        <v>135</v>
      </c>
      <c r="J539" t="s">
        <v>39</v>
      </c>
      <c r="K539" t="s">
        <v>33</v>
      </c>
      <c r="L539">
        <v>27.609695928724999</v>
      </c>
      <c r="M539">
        <v>0</v>
      </c>
      <c r="N539">
        <v>0.97527625300994847</v>
      </c>
      <c r="O539">
        <v>5.5125763814213515</v>
      </c>
      <c r="P539">
        <v>0.57134666754224184</v>
      </c>
      <c r="Q539">
        <v>3.0616063307454859</v>
      </c>
      <c r="R539">
        <v>-1.9486051365640844</v>
      </c>
      <c r="S539" s="2">
        <v>3.55270238941883E-7</v>
      </c>
      <c r="T539" s="2">
        <v>7.0803141908270957E-7</v>
      </c>
      <c r="U539" s="2">
        <v>1.2533704217868482E-6</v>
      </c>
      <c r="V539" s="2">
        <v>2.0326624431214614E-6</v>
      </c>
      <c r="W539" s="2">
        <v>3.0760417890155055E-6</v>
      </c>
      <c r="X539" s="2">
        <v>4.3923324759246191E-6</v>
      </c>
      <c r="Y539" s="2">
        <v>5.95685406207795E-6</v>
      </c>
      <c r="Z539" s="2">
        <v>7.699067625313627E-6</v>
      </c>
      <c r="AA539" s="2">
        <v>9.4938524741914303E-6</v>
      </c>
      <c r="AB539" s="2">
        <v>1.116192082344667E-5</v>
      </c>
      <c r="AC539" s="2">
        <v>1.2485380926718594E-5</v>
      </c>
      <c r="AD539" s="2">
        <v>1.3242248298342204E-5</v>
      </c>
      <c r="AE539" s="2">
        <v>1.3257640336479164E-5</v>
      </c>
      <c r="AF539" s="2">
        <v>1.2460069186973883E-5</v>
      </c>
      <c r="AG539" s="2">
        <v>1.0922322027938913E-5</v>
      </c>
      <c r="AH539" s="2">
        <v>9.0055417154017463E-6</v>
      </c>
      <c r="AI539" s="2">
        <v>6.865930951371883E-6</v>
      </c>
      <c r="AJ539" s="2">
        <v>4.5327797201717302E-6</v>
      </c>
      <c r="AK539" s="2">
        <v>0</v>
      </c>
      <c r="AL539" s="2">
        <v>0</v>
      </c>
      <c r="AM539" s="2">
        <v>0</v>
      </c>
      <c r="AN539" s="2">
        <v>0</v>
      </c>
      <c r="AO539" s="2">
        <v>0</v>
      </c>
      <c r="AP539" s="2">
        <v>0</v>
      </c>
      <c r="AQ539" s="2">
        <v>0</v>
      </c>
      <c r="AR539" s="2">
        <v>1.2890131693630083E-4</v>
      </c>
    </row>
    <row r="540" spans="1:44" x14ac:dyDescent="0.25">
      <c r="A540" t="s">
        <v>250</v>
      </c>
      <c r="B540" t="s">
        <v>355</v>
      </c>
      <c r="C540" t="s">
        <v>45</v>
      </c>
      <c r="D540" t="s">
        <v>356</v>
      </c>
      <c r="E540" t="s">
        <v>134</v>
      </c>
      <c r="F540" t="s">
        <v>356</v>
      </c>
      <c r="G540" t="s">
        <v>31</v>
      </c>
      <c r="H540" t="s">
        <v>273</v>
      </c>
      <c r="I540" t="s">
        <v>135</v>
      </c>
      <c r="J540" t="s">
        <v>39</v>
      </c>
      <c r="K540" t="s">
        <v>31</v>
      </c>
      <c r="L540">
        <v>27.609695928724999</v>
      </c>
      <c r="M540">
        <v>0</v>
      </c>
      <c r="N540">
        <v>0.97527625300994847</v>
      </c>
      <c r="O540">
        <v>5.5125763814213515</v>
      </c>
      <c r="P540">
        <v>0.57134666754224184</v>
      </c>
      <c r="Q540">
        <v>3.0616063307454859</v>
      </c>
      <c r="R540">
        <v>-1.9486051365640844</v>
      </c>
      <c r="S540" s="2">
        <v>5.5291988149006193E-6</v>
      </c>
      <c r="T540" s="2">
        <v>1.1001664233868116E-5</v>
      </c>
      <c r="U540" s="2">
        <v>1.944409686649019E-5</v>
      </c>
      <c r="V540" s="2">
        <v>3.1482997536635259E-5</v>
      </c>
      <c r="W540" s="2">
        <v>4.7566973710974458E-5</v>
      </c>
      <c r="X540" s="2">
        <v>6.7812690430320372E-5</v>
      </c>
      <c r="Y540" s="2">
        <v>9.1819559968269531E-5</v>
      </c>
      <c r="Z540" s="2">
        <v>1.1848376856545813E-4</v>
      </c>
      <c r="AA540" s="2">
        <v>1.4586989886578012E-4</v>
      </c>
      <c r="AB540" s="2">
        <v>1.7122399216169389E-4</v>
      </c>
      <c r="AC540" s="2">
        <v>1.9121852166536764E-4</v>
      </c>
      <c r="AD540" s="2">
        <v>2.0248477046780743E-4</v>
      </c>
      <c r="AE540" s="2">
        <v>2.0239479908903049E-4</v>
      </c>
      <c r="AF540" s="2">
        <v>1.8991359166428882E-4</v>
      </c>
      <c r="AG540" s="2">
        <v>1.6620843047714177E-4</v>
      </c>
      <c r="AH540" s="2">
        <v>1.368202538727615E-4</v>
      </c>
      <c r="AI540" s="2">
        <v>1.0414596759790047E-4</v>
      </c>
      <c r="AJ540" s="2">
        <v>2.6858361796926005E-5</v>
      </c>
      <c r="AK540" s="2">
        <v>0</v>
      </c>
      <c r="AL540" s="2">
        <v>0</v>
      </c>
      <c r="AM540" s="2">
        <v>0</v>
      </c>
      <c r="AN540" s="2">
        <v>0</v>
      </c>
      <c r="AO540" s="2">
        <v>0</v>
      </c>
      <c r="AP540" s="2">
        <v>0</v>
      </c>
      <c r="AQ540" s="2">
        <v>0</v>
      </c>
      <c r="AR540" s="2">
        <v>1.9302795377856147E-3</v>
      </c>
    </row>
    <row r="541" spans="1:44" x14ac:dyDescent="0.25">
      <c r="A541" t="s">
        <v>250</v>
      </c>
      <c r="B541" t="s">
        <v>355</v>
      </c>
      <c r="C541" t="s">
        <v>45</v>
      </c>
      <c r="D541" t="s">
        <v>356</v>
      </c>
      <c r="E541" t="s">
        <v>134</v>
      </c>
      <c r="F541" t="s">
        <v>356</v>
      </c>
      <c r="G541" t="s">
        <v>31</v>
      </c>
      <c r="H541" t="s">
        <v>252</v>
      </c>
      <c r="I541" t="s">
        <v>135</v>
      </c>
      <c r="J541" t="s">
        <v>39</v>
      </c>
      <c r="K541" t="s">
        <v>31</v>
      </c>
      <c r="L541">
        <v>27.609695928724999</v>
      </c>
      <c r="M541">
        <v>0</v>
      </c>
      <c r="N541">
        <v>0.97527625300994847</v>
      </c>
      <c r="O541">
        <v>5.5125763814213515</v>
      </c>
      <c r="P541">
        <v>0.57134666754224184</v>
      </c>
      <c r="Q541">
        <v>3.0616063307454859</v>
      </c>
      <c r="R541">
        <v>-1.9486051365640844</v>
      </c>
      <c r="S541" s="2">
        <v>2.4878064859110542E-5</v>
      </c>
      <c r="T541" s="2">
        <v>4.9545620260518227E-5</v>
      </c>
      <c r="U541" s="2">
        <v>8.7645001592169042E-5</v>
      </c>
      <c r="V541" s="2">
        <v>1.4203911136769935E-4</v>
      </c>
      <c r="W541" s="2">
        <v>2.1479782866083859E-4</v>
      </c>
      <c r="X541" s="2">
        <v>3.0649813350449283E-4</v>
      </c>
      <c r="Y541" s="2">
        <v>4.153790225779012E-4</v>
      </c>
      <c r="Z541" s="2">
        <v>5.3648885699676783E-4</v>
      </c>
      <c r="AA541" s="2">
        <v>6.6108913957130407E-4</v>
      </c>
      <c r="AB541" s="2">
        <v>7.7669668802608294E-4</v>
      </c>
      <c r="AC541" s="2">
        <v>8.6817901634275111E-4</v>
      </c>
      <c r="AD541" s="2">
        <v>9.2016177193034599E-4</v>
      </c>
      <c r="AE541" s="2">
        <v>9.2058451344160467E-4</v>
      </c>
      <c r="AF541" s="2">
        <v>8.6459527454960366E-4</v>
      </c>
      <c r="AG541" s="2">
        <v>7.5735997998587152E-4</v>
      </c>
      <c r="AH541" s="2">
        <v>6.2401092039435831E-4</v>
      </c>
      <c r="AI541" s="2">
        <v>4.7541923763856999E-4</v>
      </c>
      <c r="AJ541" s="2">
        <v>2.3016496380580664E-4</v>
      </c>
      <c r="AK541" s="2">
        <v>0</v>
      </c>
      <c r="AL541" s="2">
        <v>0</v>
      </c>
      <c r="AM541" s="2">
        <v>0</v>
      </c>
      <c r="AN541" s="2">
        <v>0</v>
      </c>
      <c r="AO541" s="2">
        <v>0</v>
      </c>
      <c r="AP541" s="2">
        <v>0</v>
      </c>
      <c r="AQ541" s="2">
        <v>0</v>
      </c>
      <c r="AR541" s="2">
        <v>8.8755331455057963E-3</v>
      </c>
    </row>
    <row r="542" spans="1:44" x14ac:dyDescent="0.25">
      <c r="A542" t="s">
        <v>250</v>
      </c>
      <c r="B542" t="s">
        <v>355</v>
      </c>
      <c r="C542" t="s">
        <v>45</v>
      </c>
      <c r="D542" t="s">
        <v>356</v>
      </c>
      <c r="E542" t="s">
        <v>134</v>
      </c>
      <c r="F542" t="s">
        <v>356</v>
      </c>
      <c r="G542" t="s">
        <v>31</v>
      </c>
      <c r="H542" t="s">
        <v>289</v>
      </c>
      <c r="I542" t="s">
        <v>135</v>
      </c>
      <c r="J542" t="s">
        <v>39</v>
      </c>
      <c r="K542" t="s">
        <v>31</v>
      </c>
      <c r="L542">
        <v>27.609695928724999</v>
      </c>
      <c r="M542">
        <v>0</v>
      </c>
      <c r="N542">
        <v>0.97527625300994847</v>
      </c>
      <c r="O542">
        <v>5.5125763814213515</v>
      </c>
      <c r="P542">
        <v>0.57134666754224184</v>
      </c>
      <c r="Q542">
        <v>3.0616063307454859</v>
      </c>
      <c r="R542">
        <v>-1.9486051365640844</v>
      </c>
      <c r="S542" s="2">
        <v>3.5895066671295059E-5</v>
      </c>
      <c r="T542" s="2">
        <v>7.1536628198972226E-5</v>
      </c>
      <c r="U542" s="2">
        <v>1.2663547328890611E-4</v>
      </c>
      <c r="V542" s="2">
        <v>2.0537198424891971E-4</v>
      </c>
      <c r="W542" s="2">
        <v>3.1079080935474454E-4</v>
      </c>
      <c r="X542" s="2">
        <v>4.4378349150602517E-4</v>
      </c>
      <c r="Y542" s="2">
        <v>6.018564187822128E-4</v>
      </c>
      <c r="Z542" s="2">
        <v>7.7788262405692271E-4</v>
      </c>
      <c r="AA542" s="2">
        <v>9.5922041920400722E-4</v>
      </c>
      <c r="AB542" s="2">
        <v>1.1277552922266492E-3</v>
      </c>
      <c r="AC542" s="2">
        <v>1.2614723431826566E-3</v>
      </c>
      <c r="AD542" s="2">
        <v>1.3379431583195292E-3</v>
      </c>
      <c r="AE542" s="2">
        <v>1.3394983075399618E-3</v>
      </c>
      <c r="AF542" s="2">
        <v>1.2589149474705676E-3</v>
      </c>
      <c r="AG542" s="2">
        <v>1.1035471999171784E-3</v>
      </c>
      <c r="AH542" s="2">
        <v>9.0988347700679225E-4</v>
      </c>
      <c r="AI542" s="2">
        <v>6.937058673814725E-4</v>
      </c>
      <c r="AJ542" s="2">
        <v>4.579737124799627E-4</v>
      </c>
      <c r="AK542" s="2">
        <v>0</v>
      </c>
      <c r="AL542" s="2">
        <v>0</v>
      </c>
      <c r="AM542" s="2">
        <v>0</v>
      </c>
      <c r="AN542" s="2">
        <v>0</v>
      </c>
      <c r="AO542" s="2">
        <v>0</v>
      </c>
      <c r="AP542" s="2">
        <v>0</v>
      </c>
      <c r="AQ542" s="2">
        <v>0</v>
      </c>
      <c r="AR542" s="2">
        <v>1.3023667220836777E-2</v>
      </c>
    </row>
    <row r="543" spans="1:44" x14ac:dyDescent="0.25">
      <c r="A543" t="s">
        <v>250</v>
      </c>
      <c r="B543" t="s">
        <v>355</v>
      </c>
      <c r="C543" t="s">
        <v>45</v>
      </c>
      <c r="D543" t="s">
        <v>356</v>
      </c>
      <c r="E543" t="s">
        <v>134</v>
      </c>
      <c r="F543" t="s">
        <v>356</v>
      </c>
      <c r="G543" t="s">
        <v>31</v>
      </c>
      <c r="H543" t="s">
        <v>274</v>
      </c>
      <c r="I543" t="s">
        <v>135</v>
      </c>
      <c r="J543" t="s">
        <v>39</v>
      </c>
      <c r="K543" t="s">
        <v>31</v>
      </c>
      <c r="L543">
        <v>27.609695928724999</v>
      </c>
      <c r="M543">
        <v>0</v>
      </c>
      <c r="N543">
        <v>0.97527625300994847</v>
      </c>
      <c r="O543">
        <v>5.5125763814213515</v>
      </c>
      <c r="P543">
        <v>0.57134666754224184</v>
      </c>
      <c r="Q543">
        <v>3.0616063307454859</v>
      </c>
      <c r="R543">
        <v>-1.9486051365640844</v>
      </c>
      <c r="S543" s="2">
        <v>8.703949050671424E-6</v>
      </c>
      <c r="T543" s="2">
        <v>1.7318589576870424E-5</v>
      </c>
      <c r="U543" s="2">
        <v>3.0608490330672328E-5</v>
      </c>
      <c r="V543" s="2">
        <v>4.9559875796618933E-5</v>
      </c>
      <c r="W543" s="2">
        <v>7.4878934459583237E-5</v>
      </c>
      <c r="X543" s="2">
        <v>1.067493179850635E-4</v>
      </c>
      <c r="Y543" s="2">
        <v>1.4454042955828352E-4</v>
      </c>
      <c r="Z543" s="2">
        <v>1.8651466866159859E-4</v>
      </c>
      <c r="AA543" s="2">
        <v>2.2962534180047642E-4</v>
      </c>
      <c r="AB543" s="2">
        <v>2.6953722481667258E-4</v>
      </c>
      <c r="AC543" s="2">
        <v>3.0101219468448172E-4</v>
      </c>
      <c r="AD543" s="2">
        <v>3.1874728775155682E-4</v>
      </c>
      <c r="AE543" s="2">
        <v>3.1860565669014829E-4</v>
      </c>
      <c r="AF543" s="2">
        <v>2.9895800118840527E-4</v>
      </c>
      <c r="AG543" s="2">
        <v>2.6164183258639226E-4</v>
      </c>
      <c r="AH543" s="2">
        <v>2.1537958005763102E-4</v>
      </c>
      <c r="AI543" s="2">
        <v>1.6394440246245628E-4</v>
      </c>
      <c r="AJ543" s="2">
        <v>4.2279871006798302E-5</v>
      </c>
      <c r="AK543" s="2">
        <v>0</v>
      </c>
      <c r="AL543" s="2">
        <v>0</v>
      </c>
      <c r="AM543" s="2">
        <v>0</v>
      </c>
      <c r="AN543" s="2">
        <v>0</v>
      </c>
      <c r="AO543" s="2">
        <v>0</v>
      </c>
      <c r="AP543" s="2">
        <v>0</v>
      </c>
      <c r="AQ543" s="2">
        <v>0</v>
      </c>
      <c r="AR543" s="2">
        <v>3.0386056484643809E-3</v>
      </c>
    </row>
    <row r="544" spans="1:44" x14ac:dyDescent="0.25">
      <c r="A544" t="s">
        <v>250</v>
      </c>
      <c r="B544" t="s">
        <v>355</v>
      </c>
      <c r="C544" t="s">
        <v>45</v>
      </c>
      <c r="D544" t="s">
        <v>356</v>
      </c>
      <c r="E544" t="s">
        <v>134</v>
      </c>
      <c r="F544" t="s">
        <v>356</v>
      </c>
      <c r="G544" t="s">
        <v>31</v>
      </c>
      <c r="H544" t="s">
        <v>274</v>
      </c>
      <c r="I544" t="s">
        <v>135</v>
      </c>
      <c r="J544" t="s">
        <v>39</v>
      </c>
      <c r="K544" t="s">
        <v>33</v>
      </c>
      <c r="L544">
        <v>27.609695928724999</v>
      </c>
      <c r="M544">
        <v>0</v>
      </c>
      <c r="N544">
        <v>0.97527625300994847</v>
      </c>
      <c r="O544">
        <v>5.5125763814213515</v>
      </c>
      <c r="P544">
        <v>0.57134666754224184</v>
      </c>
      <c r="Q544">
        <v>3.0616063307454859</v>
      </c>
      <c r="R544">
        <v>-1.9486051365640844</v>
      </c>
      <c r="S544" s="2">
        <v>2.8004804827879519E-8</v>
      </c>
      <c r="T544" s="2">
        <v>5.5722261030123027E-8</v>
      </c>
      <c r="U544" s="2">
        <v>9.8482285775833273E-8</v>
      </c>
      <c r="V544" s="2">
        <v>1.5945803920706528E-7</v>
      </c>
      <c r="W544" s="2">
        <v>2.4092167050293686E-7</v>
      </c>
      <c r="X544" s="2">
        <v>3.4346407570599708E-7</v>
      </c>
      <c r="Y544" s="2">
        <v>4.6505632052215976E-7</v>
      </c>
      <c r="Z544" s="2">
        <v>6.0010770547901543E-7</v>
      </c>
      <c r="AA544" s="2">
        <v>7.3881554719824635E-7</v>
      </c>
      <c r="AB544" s="2">
        <v>8.6723133728096866E-7</v>
      </c>
      <c r="AC544" s="2">
        <v>9.6850150591130854E-7</v>
      </c>
      <c r="AD544" s="2">
        <v>1.0255638596838652E-6</v>
      </c>
      <c r="AE544" s="2">
        <v>1.0251081642048106E-6</v>
      </c>
      <c r="AF544" s="2">
        <v>9.6189217403201831E-7</v>
      </c>
      <c r="AG544" s="2">
        <v>8.4182804997295088E-7</v>
      </c>
      <c r="AH544" s="2">
        <v>6.9298005632964081E-7</v>
      </c>
      <c r="AI544" s="2">
        <v>5.2748826617157746E-7</v>
      </c>
      <c r="AJ544" s="2">
        <v>1.3603475029555823E-7</v>
      </c>
      <c r="AK544" s="2">
        <v>0</v>
      </c>
      <c r="AL544" s="2">
        <v>0</v>
      </c>
      <c r="AM544" s="2">
        <v>0</v>
      </c>
      <c r="AN544" s="2">
        <v>0</v>
      </c>
      <c r="AO544" s="2">
        <v>0</v>
      </c>
      <c r="AP544" s="2">
        <v>0</v>
      </c>
      <c r="AQ544" s="2">
        <v>0</v>
      </c>
      <c r="AR544" s="2">
        <v>9.7766608741319568E-6</v>
      </c>
    </row>
    <row r="545" spans="1:44" x14ac:dyDescent="0.25">
      <c r="A545" t="s">
        <v>250</v>
      </c>
      <c r="B545" t="s">
        <v>355</v>
      </c>
      <c r="C545" t="s">
        <v>45</v>
      </c>
      <c r="D545" t="s">
        <v>356</v>
      </c>
      <c r="E545" t="s">
        <v>134</v>
      </c>
      <c r="F545" t="s">
        <v>356</v>
      </c>
      <c r="G545" t="s">
        <v>31</v>
      </c>
      <c r="H545" t="s">
        <v>255</v>
      </c>
      <c r="I545" t="s">
        <v>135</v>
      </c>
      <c r="J545" t="s">
        <v>39</v>
      </c>
      <c r="K545" t="s">
        <v>31</v>
      </c>
      <c r="L545">
        <v>27.609695928724999</v>
      </c>
      <c r="M545">
        <v>0</v>
      </c>
      <c r="N545">
        <v>0.97527625300994847</v>
      </c>
      <c r="O545">
        <v>5.5125763814213515</v>
      </c>
      <c r="P545">
        <v>0.57134666754224184</v>
      </c>
      <c r="Q545">
        <v>3.0616063307454859</v>
      </c>
      <c r="R545">
        <v>-1.9486051365640844</v>
      </c>
      <c r="S545" s="2">
        <v>5.0799860653154649E-6</v>
      </c>
      <c r="T545" s="2">
        <v>1.0063167908212025E-5</v>
      </c>
      <c r="U545" s="2">
        <v>1.7706801832191575E-5</v>
      </c>
      <c r="V545" s="2">
        <v>2.8543317234279462E-5</v>
      </c>
      <c r="W545" s="2">
        <v>4.2934845931793289E-5</v>
      </c>
      <c r="X545" s="2">
        <v>6.0938446729589978E-5</v>
      </c>
      <c r="Y545" s="2">
        <v>8.2146985371690326E-5</v>
      </c>
      <c r="Z545" s="2">
        <v>1.0553373297692947E-4</v>
      </c>
      <c r="AA545" s="2">
        <v>1.2935229580925825E-4</v>
      </c>
      <c r="AB545" s="2">
        <v>1.5116425082315106E-4</v>
      </c>
      <c r="AC545" s="2">
        <v>1.6807009741212639E-4</v>
      </c>
      <c r="AD545" s="2">
        <v>1.7718578526845682E-4</v>
      </c>
      <c r="AE545" s="2">
        <v>1.7632418289774166E-4</v>
      </c>
      <c r="AF545" s="2">
        <v>1.647193413386907E-4</v>
      </c>
      <c r="AG545" s="2">
        <v>1.4352171531243173E-4</v>
      </c>
      <c r="AH545" s="2">
        <v>1.1762265490993408E-4</v>
      </c>
      <c r="AI545" s="2">
        <v>1.3667409092183861E-5</v>
      </c>
      <c r="AJ545" s="2">
        <v>0</v>
      </c>
      <c r="AK545" s="2">
        <v>0</v>
      </c>
      <c r="AL545" s="2">
        <v>0</v>
      </c>
      <c r="AM545" s="2">
        <v>0</v>
      </c>
      <c r="AN545" s="2">
        <v>0</v>
      </c>
      <c r="AO545" s="2">
        <v>0</v>
      </c>
      <c r="AP545" s="2">
        <v>0</v>
      </c>
      <c r="AQ545" s="2">
        <v>0</v>
      </c>
      <c r="AR545" s="2">
        <v>1.5945750169139763E-3</v>
      </c>
    </row>
    <row r="546" spans="1:44" x14ac:dyDescent="0.25">
      <c r="A546" t="s">
        <v>250</v>
      </c>
      <c r="B546" t="s">
        <v>355</v>
      </c>
      <c r="C546" t="s">
        <v>45</v>
      </c>
      <c r="D546" t="s">
        <v>356</v>
      </c>
      <c r="E546" t="s">
        <v>134</v>
      </c>
      <c r="F546" t="s">
        <v>356</v>
      </c>
      <c r="G546" t="s">
        <v>31</v>
      </c>
      <c r="H546" t="s">
        <v>278</v>
      </c>
      <c r="I546" t="s">
        <v>135</v>
      </c>
      <c r="J546" t="s">
        <v>39</v>
      </c>
      <c r="K546" t="s">
        <v>31</v>
      </c>
      <c r="L546">
        <v>27.609695928724999</v>
      </c>
      <c r="M546">
        <v>0</v>
      </c>
      <c r="N546">
        <v>0.97527625300994847</v>
      </c>
      <c r="O546">
        <v>5.5125763814213515</v>
      </c>
      <c r="P546">
        <v>0.57134666754224184</v>
      </c>
      <c r="Q546">
        <v>3.0616063307454859</v>
      </c>
      <c r="R546">
        <v>-1.9486051365640844</v>
      </c>
      <c r="S546" s="2">
        <v>7.3630814860863167E-6</v>
      </c>
      <c r="T546" s="2">
        <v>1.4585852079838846E-5</v>
      </c>
      <c r="U546" s="2">
        <v>2.5664760310777089E-5</v>
      </c>
      <c r="V546" s="2">
        <v>4.1371525035110549E-5</v>
      </c>
      <c r="W546" s="2">
        <v>6.2231030779160952E-5</v>
      </c>
      <c r="X546" s="2">
        <v>8.83259802559394E-5</v>
      </c>
      <c r="Y546" s="2">
        <v>1.1906626107852031E-4</v>
      </c>
      <c r="Z546" s="2">
        <v>1.5296370215372852E-4</v>
      </c>
      <c r="AA546" s="2">
        <v>1.8748702894262059E-4</v>
      </c>
      <c r="AB546" s="2">
        <v>2.1910191923428686E-4</v>
      </c>
      <c r="AC546" s="2">
        <v>2.4360575141520635E-4</v>
      </c>
      <c r="AD546" s="2">
        <v>2.5681829799011898E-4</v>
      </c>
      <c r="AE546" s="2">
        <v>2.5556946612668226E-4</v>
      </c>
      <c r="AF546" s="2">
        <v>2.3874906683153053E-4</v>
      </c>
      <c r="AG546" s="2">
        <v>2.0802460307589289E-4</v>
      </c>
      <c r="AH546" s="2">
        <v>1.7048574180643402E-4</v>
      </c>
      <c r="AI546" s="2">
        <v>1.9809945451724929E-5</v>
      </c>
      <c r="AJ546" s="2">
        <v>0</v>
      </c>
      <c r="AK546" s="2">
        <v>0</v>
      </c>
      <c r="AL546" s="2">
        <v>0</v>
      </c>
      <c r="AM546" s="2">
        <v>0</v>
      </c>
      <c r="AN546" s="2">
        <v>0</v>
      </c>
      <c r="AO546" s="2">
        <v>0</v>
      </c>
      <c r="AP546" s="2">
        <v>0</v>
      </c>
      <c r="AQ546" s="2">
        <v>0</v>
      </c>
      <c r="AR546" s="2">
        <v>2.3112240140536595E-3</v>
      </c>
    </row>
    <row r="547" spans="1:44" x14ac:dyDescent="0.25">
      <c r="A547" t="s">
        <v>250</v>
      </c>
      <c r="B547" t="s">
        <v>355</v>
      </c>
      <c r="C547" t="s">
        <v>45</v>
      </c>
      <c r="D547" t="s">
        <v>356</v>
      </c>
      <c r="E547" t="s">
        <v>134</v>
      </c>
      <c r="F547" t="s">
        <v>356</v>
      </c>
      <c r="G547" t="s">
        <v>31</v>
      </c>
      <c r="H547" t="s">
        <v>276</v>
      </c>
      <c r="I547" t="s">
        <v>135</v>
      </c>
      <c r="J547" t="s">
        <v>39</v>
      </c>
      <c r="K547" t="s">
        <v>31</v>
      </c>
      <c r="L547">
        <v>27.609695928724999</v>
      </c>
      <c r="M547">
        <v>0</v>
      </c>
      <c r="N547">
        <v>0.97527625300994847</v>
      </c>
      <c r="O547">
        <v>5.5125763814213515</v>
      </c>
      <c r="P547">
        <v>0.57134666754224184</v>
      </c>
      <c r="Q547">
        <v>3.0616063307454859</v>
      </c>
      <c r="R547">
        <v>-1.9486051365640844</v>
      </c>
      <c r="S547" s="2">
        <v>1.1477719740495863E-4</v>
      </c>
      <c r="T547" s="2">
        <v>2.2895028177155529E-4</v>
      </c>
      <c r="U547" s="2">
        <v>4.0565791880605193E-4</v>
      </c>
      <c r="V547" s="2">
        <v>6.5847250265903821E-4</v>
      </c>
      <c r="W547" s="2">
        <v>9.973704031748193E-4</v>
      </c>
      <c r="X547" s="2">
        <v>1.4254477933048201E-3</v>
      </c>
      <c r="Y547" s="2">
        <v>1.9349285568944742E-3</v>
      </c>
      <c r="Z547" s="2">
        <v>2.5030986874692907E-3</v>
      </c>
      <c r="AA547" s="2">
        <v>3.0894002787654829E-3</v>
      </c>
      <c r="AB547" s="2">
        <v>3.6354862328547583E-3</v>
      </c>
      <c r="AC547" s="2">
        <v>4.0702138547654698E-3</v>
      </c>
      <c r="AD547" s="2">
        <v>4.3208483327536592E-3</v>
      </c>
      <c r="AE547" s="2">
        <v>4.3297756402901318E-3</v>
      </c>
      <c r="AF547" s="2">
        <v>4.0729725008886858E-3</v>
      </c>
      <c r="AG547" s="2">
        <v>3.5735335620940491E-3</v>
      </c>
      <c r="AH547" s="2">
        <v>2.9490666983843883E-3</v>
      </c>
      <c r="AI547" s="2">
        <v>2.2504327975371259E-3</v>
      </c>
      <c r="AJ547" s="2">
        <v>1.5547201536892834E-3</v>
      </c>
      <c r="AK547" s="2">
        <v>4.4065902819215546E-4</v>
      </c>
      <c r="AL547" s="2">
        <v>0</v>
      </c>
      <c r="AM547" s="2">
        <v>0</v>
      </c>
      <c r="AN547" s="2">
        <v>0</v>
      </c>
      <c r="AO547" s="2">
        <v>0</v>
      </c>
      <c r="AP547" s="2">
        <v>0</v>
      </c>
      <c r="AQ547" s="2">
        <v>0</v>
      </c>
      <c r="AR547" s="2">
        <v>4.2555812421700201E-2</v>
      </c>
    </row>
    <row r="548" spans="1:44" x14ac:dyDescent="0.25">
      <c r="A548" t="s">
        <v>250</v>
      </c>
      <c r="B548" t="s">
        <v>355</v>
      </c>
      <c r="C548" t="s">
        <v>45</v>
      </c>
      <c r="D548" t="s">
        <v>356</v>
      </c>
      <c r="E548" t="s">
        <v>134</v>
      </c>
      <c r="F548" t="s">
        <v>356</v>
      </c>
      <c r="G548" t="s">
        <v>31</v>
      </c>
      <c r="H548" t="s">
        <v>290</v>
      </c>
      <c r="I548" t="s">
        <v>135</v>
      </c>
      <c r="J548" t="s">
        <v>39</v>
      </c>
      <c r="K548" t="s">
        <v>31</v>
      </c>
      <c r="L548">
        <v>27.609695928724999</v>
      </c>
      <c r="M548">
        <v>0</v>
      </c>
      <c r="N548">
        <v>0.97527625300994847</v>
      </c>
      <c r="O548">
        <v>5.5125763814213515</v>
      </c>
      <c r="P548">
        <v>0.57134666754224184</v>
      </c>
      <c r="Q548">
        <v>3.0616063307454859</v>
      </c>
      <c r="R548">
        <v>-1.9486051365640844</v>
      </c>
      <c r="S548" s="2">
        <v>5.1978501342042278E-5</v>
      </c>
      <c r="T548" s="2">
        <v>1.0358990996996808E-4</v>
      </c>
      <c r="U548" s="2">
        <v>1.8337679042567114E-4</v>
      </c>
      <c r="V548" s="2">
        <v>2.9739262101543878E-4</v>
      </c>
      <c r="W548" s="2">
        <v>4.5004625981259273E-4</v>
      </c>
      <c r="X548" s="2">
        <v>6.4262872165853253E-4</v>
      </c>
      <c r="Y548" s="2">
        <v>8.7152908665315851E-4</v>
      </c>
      <c r="Z548" s="2">
        <v>1.1264270209819151E-3</v>
      </c>
      <c r="AA548" s="2">
        <v>1.3890164992166319E-3</v>
      </c>
      <c r="AB548" s="2">
        <v>1.6330664742120469E-3</v>
      </c>
      <c r="AC548" s="2">
        <v>1.8266978714237688E-3</v>
      </c>
      <c r="AD548" s="2">
        <v>1.9374328201457783E-3</v>
      </c>
      <c r="AE548" s="2">
        <v>1.9396847821377024E-3</v>
      </c>
      <c r="AF548" s="2">
        <v>1.8229945882492233E-3</v>
      </c>
      <c r="AG548" s="2">
        <v>1.5980115077421728E-3</v>
      </c>
      <c r="AH548" s="2">
        <v>1.317573246591028E-3</v>
      </c>
      <c r="AI548" s="2">
        <v>1.0045333440627244E-3</v>
      </c>
      <c r="AJ548" s="2">
        <v>6.6317712812040267E-4</v>
      </c>
      <c r="AK548" s="2">
        <v>0</v>
      </c>
      <c r="AL548" s="2">
        <v>0</v>
      </c>
      <c r="AM548" s="2">
        <v>0</v>
      </c>
      <c r="AN548" s="2">
        <v>0</v>
      </c>
      <c r="AO548" s="2">
        <v>0</v>
      </c>
      <c r="AP548" s="2">
        <v>0</v>
      </c>
      <c r="AQ548" s="2">
        <v>0</v>
      </c>
      <c r="AR548" s="2">
        <v>1.8859157173760795E-2</v>
      </c>
    </row>
    <row r="549" spans="1:44" x14ac:dyDescent="0.25">
      <c r="A549" t="s">
        <v>250</v>
      </c>
      <c r="B549" t="s">
        <v>355</v>
      </c>
      <c r="C549" t="s">
        <v>45</v>
      </c>
      <c r="D549" t="s">
        <v>356</v>
      </c>
      <c r="E549" t="s">
        <v>134</v>
      </c>
      <c r="F549" t="s">
        <v>356</v>
      </c>
      <c r="G549" t="s">
        <v>31</v>
      </c>
      <c r="H549" t="s">
        <v>275</v>
      </c>
      <c r="I549" t="s">
        <v>135</v>
      </c>
      <c r="J549" t="s">
        <v>39</v>
      </c>
      <c r="K549" t="s">
        <v>31</v>
      </c>
      <c r="L549">
        <v>27.609695928724999</v>
      </c>
      <c r="M549">
        <v>0</v>
      </c>
      <c r="N549">
        <v>0.97527625300994847</v>
      </c>
      <c r="O549">
        <v>5.5125763814213515</v>
      </c>
      <c r="P549">
        <v>0.57134666754224184</v>
      </c>
      <c r="Q549">
        <v>3.0616063307454859</v>
      </c>
      <c r="R549">
        <v>-1.9486051365640844</v>
      </c>
      <c r="S549" s="2">
        <v>1.3296913286067518E-5</v>
      </c>
      <c r="T549" s="2">
        <v>2.6457391064677085E-5</v>
      </c>
      <c r="U549" s="2">
        <v>4.6760204979944137E-5</v>
      </c>
      <c r="V549" s="2">
        <v>7.5711997749467892E-5</v>
      </c>
      <c r="W549" s="2">
        <v>1.143916046228931E-4</v>
      </c>
      <c r="X549" s="2">
        <v>1.6307958793540284E-4</v>
      </c>
      <c r="Y549" s="2">
        <v>2.2081259287922727E-4</v>
      </c>
      <c r="Z549" s="2">
        <v>2.8493610903910078E-4</v>
      </c>
      <c r="AA549" s="2">
        <v>3.5079574115487455E-4</v>
      </c>
      <c r="AB549" s="2">
        <v>4.117686219082485E-4</v>
      </c>
      <c r="AC549" s="2">
        <v>4.5985253675854979E-4</v>
      </c>
      <c r="AD549" s="2">
        <v>4.8694621495684349E-4</v>
      </c>
      <c r="AE549" s="2">
        <v>4.8672984696902566E-4</v>
      </c>
      <c r="AF549" s="2">
        <v>4.567143712395288E-4</v>
      </c>
      <c r="AG549" s="2">
        <v>3.997069306880512E-4</v>
      </c>
      <c r="AH549" s="2">
        <v>3.2903267045147005E-4</v>
      </c>
      <c r="AI549" s="2">
        <v>2.5045579777506537E-4</v>
      </c>
      <c r="AJ549" s="2">
        <v>6.459042616755432E-5</v>
      </c>
      <c r="AK549" s="2">
        <v>0</v>
      </c>
      <c r="AL549" s="2">
        <v>0</v>
      </c>
      <c r="AM549" s="2">
        <v>0</v>
      </c>
      <c r="AN549" s="2">
        <v>0</v>
      </c>
      <c r="AO549" s="2">
        <v>0</v>
      </c>
      <c r="AP549" s="2">
        <v>0</v>
      </c>
      <c r="AQ549" s="2">
        <v>0</v>
      </c>
      <c r="AR549" s="2">
        <v>4.642039559625992E-3</v>
      </c>
    </row>
    <row r="550" spans="1:44" x14ac:dyDescent="0.25">
      <c r="A550" t="s">
        <v>250</v>
      </c>
      <c r="B550" t="s">
        <v>355</v>
      </c>
      <c r="C550" t="s">
        <v>45</v>
      </c>
      <c r="D550" t="s">
        <v>356</v>
      </c>
      <c r="E550" t="s">
        <v>134</v>
      </c>
      <c r="F550" t="s">
        <v>356</v>
      </c>
      <c r="G550" t="s">
        <v>31</v>
      </c>
      <c r="H550" t="s">
        <v>277</v>
      </c>
      <c r="I550" t="s">
        <v>135</v>
      </c>
      <c r="J550" t="s">
        <v>39</v>
      </c>
      <c r="K550" t="s">
        <v>31</v>
      </c>
      <c r="L550">
        <v>27.609695928724999</v>
      </c>
      <c r="M550">
        <v>0</v>
      </c>
      <c r="N550">
        <v>0.97527625300994847</v>
      </c>
      <c r="O550">
        <v>5.5125763814213515</v>
      </c>
      <c r="P550">
        <v>0.57134666754224184</v>
      </c>
      <c r="Q550">
        <v>3.0616063307454859</v>
      </c>
      <c r="R550">
        <v>-1.9486051365640844</v>
      </c>
      <c r="S550" s="2">
        <v>3.5181553461173492E-5</v>
      </c>
      <c r="T550" s="2">
        <v>6.9993680828420868E-5</v>
      </c>
      <c r="U550" s="2">
        <v>1.2369036272601709E-4</v>
      </c>
      <c r="V550" s="2">
        <v>2.0024966729167008E-4</v>
      </c>
      <c r="W550" s="2">
        <v>3.0251637678034246E-4</v>
      </c>
      <c r="X550" s="2">
        <v>4.312230671454081E-4</v>
      </c>
      <c r="Y550" s="2">
        <v>5.8381312847897266E-4</v>
      </c>
      <c r="Z550" s="2">
        <v>7.5326042271298425E-4</v>
      </c>
      <c r="AA550" s="2">
        <v>9.2725591627751186E-4</v>
      </c>
      <c r="AB550" s="2">
        <v>1.0882938886952211E-3</v>
      </c>
      <c r="AC550" s="2">
        <v>1.2152319208881938E-3</v>
      </c>
      <c r="AD550" s="2">
        <v>1.2866760502723061E-3</v>
      </c>
      <c r="AE550" s="2">
        <v>1.2859492873801602E-3</v>
      </c>
      <c r="AF550" s="2">
        <v>1.2065023766511295E-3</v>
      </c>
      <c r="AG550" s="2">
        <v>1.0557785239300624E-3</v>
      </c>
      <c r="AH550" s="2">
        <v>8.6899606073336183E-4</v>
      </c>
      <c r="AI550" s="2">
        <v>6.6138983477924168E-4</v>
      </c>
      <c r="AJ550" s="2">
        <v>1.5062200859178632E-4</v>
      </c>
      <c r="AK550" s="2">
        <v>0</v>
      </c>
      <c r="AL550" s="2">
        <v>0</v>
      </c>
      <c r="AM550" s="2">
        <v>0</v>
      </c>
      <c r="AN550" s="2">
        <v>0</v>
      </c>
      <c r="AO550" s="2">
        <v>0</v>
      </c>
      <c r="AP550" s="2">
        <v>0</v>
      </c>
      <c r="AQ550" s="2">
        <v>0</v>
      </c>
      <c r="AR550" s="2">
        <v>1.2246624127623963E-2</v>
      </c>
    </row>
    <row r="551" spans="1:44" x14ac:dyDescent="0.25">
      <c r="A551" t="s">
        <v>250</v>
      </c>
      <c r="B551" t="s">
        <v>355</v>
      </c>
      <c r="C551" t="s">
        <v>45</v>
      </c>
      <c r="D551" t="s">
        <v>356</v>
      </c>
      <c r="E551" t="s">
        <v>134</v>
      </c>
      <c r="F551" t="s">
        <v>356</v>
      </c>
      <c r="G551" t="s">
        <v>31</v>
      </c>
      <c r="H551" t="s">
        <v>277</v>
      </c>
      <c r="I551" t="s">
        <v>135</v>
      </c>
      <c r="J551" t="s">
        <v>40</v>
      </c>
      <c r="K551" t="s">
        <v>31</v>
      </c>
      <c r="L551">
        <v>27.609695928724999</v>
      </c>
      <c r="M551">
        <v>0</v>
      </c>
      <c r="N551">
        <v>0.97527625300994847</v>
      </c>
      <c r="O551">
        <v>4.3334995790904642</v>
      </c>
      <c r="P551">
        <v>0.57134666754224184</v>
      </c>
      <c r="Q551">
        <v>0.4672931329656026</v>
      </c>
      <c r="R551">
        <v>-1.8056051365640844</v>
      </c>
      <c r="S551" s="2">
        <v>5.5497278722843683E-6</v>
      </c>
      <c r="T551" s="2">
        <v>1.104118048129836E-5</v>
      </c>
      <c r="U551" s="2">
        <v>1.9511584510078769E-5</v>
      </c>
      <c r="V551" s="2">
        <v>3.1588461868539226E-5</v>
      </c>
      <c r="W551" s="2">
        <v>4.77205638430142E-5</v>
      </c>
      <c r="X551" s="2">
        <v>6.8023450912988801E-5</v>
      </c>
      <c r="Y551" s="2">
        <v>9.2093829651410141E-5</v>
      </c>
      <c r="Z551" s="2">
        <v>1.1882335916839068E-4</v>
      </c>
      <c r="AA551" s="2">
        <v>1.4627034616265756E-4</v>
      </c>
      <c r="AB551" s="2">
        <v>1.7167334392991171E-4</v>
      </c>
      <c r="AC551" s="2">
        <v>1.9169723332671524E-4</v>
      </c>
      <c r="AD551" s="2">
        <v>2.0296721538113686E-4</v>
      </c>
      <c r="AE551" s="2">
        <v>2.0285257188526237E-4</v>
      </c>
      <c r="AF551" s="2">
        <v>1.9032018796633226E-4</v>
      </c>
      <c r="AG551" s="2">
        <v>1.6654419503335028E-4</v>
      </c>
      <c r="AH551" s="2">
        <v>1.3708012252726712E-4</v>
      </c>
      <c r="AI551" s="2">
        <v>1.0433119744330585E-4</v>
      </c>
      <c r="AJ551" s="2">
        <v>2.3759927491087426E-5</v>
      </c>
      <c r="AK551" s="2">
        <v>0</v>
      </c>
      <c r="AL551" s="2">
        <v>0</v>
      </c>
      <c r="AM551" s="2">
        <v>0</v>
      </c>
      <c r="AN551" s="2">
        <v>0</v>
      </c>
      <c r="AO551" s="2">
        <v>0</v>
      </c>
      <c r="AP551" s="2">
        <v>0</v>
      </c>
      <c r="AQ551" s="2">
        <v>0</v>
      </c>
      <c r="AR551" s="2">
        <v>1.9318484994550311E-3</v>
      </c>
    </row>
    <row r="552" spans="1:44" x14ac:dyDescent="0.25">
      <c r="A552" t="s">
        <v>250</v>
      </c>
      <c r="B552" t="s">
        <v>332</v>
      </c>
      <c r="C552" t="s">
        <v>44</v>
      </c>
      <c r="D552" t="s">
        <v>333</v>
      </c>
      <c r="E552" t="s">
        <v>134</v>
      </c>
      <c r="F552" t="s">
        <v>334</v>
      </c>
      <c r="G552" t="s">
        <v>31</v>
      </c>
      <c r="H552" t="s">
        <v>272</v>
      </c>
      <c r="I552" t="s">
        <v>135</v>
      </c>
      <c r="J552" t="s">
        <v>39</v>
      </c>
      <c r="K552" t="s">
        <v>31</v>
      </c>
      <c r="L552">
        <v>47.690400470307488</v>
      </c>
      <c r="M552">
        <v>1</v>
      </c>
      <c r="N552">
        <v>3.235559366958098</v>
      </c>
      <c r="O552">
        <v>7.3503117205943074</v>
      </c>
      <c r="P552">
        <v>-2.2239257747150929</v>
      </c>
      <c r="Q552">
        <v>1.2304919070027225</v>
      </c>
      <c r="R552">
        <v>-2.9127631550786535</v>
      </c>
      <c r="S552" s="2">
        <v>1.0466216428555801E-2</v>
      </c>
      <c r="T552" s="2">
        <v>1.694642174952261E-2</v>
      </c>
      <c r="U552" s="2">
        <v>2.5603978684577915E-2</v>
      </c>
      <c r="V552" s="2">
        <v>3.6501684779690263E-2</v>
      </c>
      <c r="W552" s="2">
        <v>4.9423914805673159E-2</v>
      </c>
      <c r="X552" s="2">
        <v>6.3776516522818849E-2</v>
      </c>
      <c r="Y552" s="2">
        <v>7.8517708609645687E-2</v>
      </c>
      <c r="Z552" s="2">
        <v>9.2165111706168576E-2</v>
      </c>
      <c r="AA552" s="2">
        <v>0.10292761071085327</v>
      </c>
      <c r="AB552" s="2">
        <v>0.10899191902581062</v>
      </c>
      <c r="AC552" s="2">
        <v>0.10894348993552577</v>
      </c>
      <c r="AD552" s="2">
        <v>0.10222520319307632</v>
      </c>
      <c r="AE552" s="2">
        <v>8.9465374379115739E-2</v>
      </c>
      <c r="AF552" s="2">
        <v>7.3646536461673059E-2</v>
      </c>
      <c r="AG552" s="2">
        <v>5.6058877124784807E-2</v>
      </c>
      <c r="AH552" s="2">
        <v>6.2943820130112998E-3</v>
      </c>
      <c r="AI552" s="2">
        <v>0</v>
      </c>
      <c r="AJ552" s="2">
        <v>0</v>
      </c>
      <c r="AK552" s="2">
        <v>0</v>
      </c>
      <c r="AL552" s="2">
        <v>0</v>
      </c>
      <c r="AM552" s="2">
        <v>0</v>
      </c>
      <c r="AN552" s="2">
        <v>0</v>
      </c>
      <c r="AO552" s="2">
        <v>0</v>
      </c>
      <c r="AP552" s="2">
        <v>0</v>
      </c>
      <c r="AQ552" s="2">
        <v>0</v>
      </c>
      <c r="AR552" s="2">
        <v>1.0219549461305037</v>
      </c>
    </row>
    <row r="553" spans="1:44" x14ac:dyDescent="0.25">
      <c r="A553" t="s">
        <v>250</v>
      </c>
      <c r="B553" t="s">
        <v>332</v>
      </c>
      <c r="C553" t="s">
        <v>44</v>
      </c>
      <c r="D553" t="s">
        <v>333</v>
      </c>
      <c r="E553" t="s">
        <v>134</v>
      </c>
      <c r="F553" t="s">
        <v>334</v>
      </c>
      <c r="G553" t="s">
        <v>31</v>
      </c>
      <c r="H553" t="s">
        <v>272</v>
      </c>
      <c r="I553" t="s">
        <v>135</v>
      </c>
      <c r="J553" t="s">
        <v>40</v>
      </c>
      <c r="K553" t="s">
        <v>31</v>
      </c>
      <c r="L553">
        <v>47.690400470307488</v>
      </c>
      <c r="M553">
        <v>1</v>
      </c>
      <c r="N553">
        <v>3.235559366958098</v>
      </c>
      <c r="O553">
        <v>6.1135235078055725</v>
      </c>
      <c r="P553">
        <v>-2.2239257747150929</v>
      </c>
      <c r="Q553">
        <v>0.4672931329656026</v>
      </c>
      <c r="R553">
        <v>-2.7697631550786532</v>
      </c>
      <c r="S553" s="2">
        <v>1.0352746078900505E-3</v>
      </c>
      <c r="T553" s="2">
        <v>1.6762695718778777E-3</v>
      </c>
      <c r="U553" s="2">
        <v>2.5326391035427154E-3</v>
      </c>
      <c r="V553" s="2">
        <v>3.6105948750034095E-3</v>
      </c>
      <c r="W553" s="2">
        <v>4.888808135214048E-3</v>
      </c>
      <c r="X553" s="2">
        <v>6.3085078152607388E-3</v>
      </c>
      <c r="Y553" s="2">
        <v>7.7666452388174779E-3</v>
      </c>
      <c r="Z553" s="2">
        <v>9.1165896037095975E-3</v>
      </c>
      <c r="AA553" s="2">
        <v>1.0181171252011081E-2</v>
      </c>
      <c r="AB553" s="2">
        <v>1.0781027413571287E-2</v>
      </c>
      <c r="AC553" s="2">
        <v>1.0776237009340934E-2</v>
      </c>
      <c r="AD553" s="2">
        <v>1.0111692021143894E-2</v>
      </c>
      <c r="AE553" s="2">
        <v>8.8495428135204491E-3</v>
      </c>
      <c r="AF553" s="2">
        <v>7.2848091455280173E-3</v>
      </c>
      <c r="AG553" s="2">
        <v>5.5451110179389205E-3</v>
      </c>
      <c r="AH553" s="2">
        <v>6.2261409506599312E-4</v>
      </c>
      <c r="AI553" s="2">
        <v>0</v>
      </c>
      <c r="AJ553" s="2">
        <v>0</v>
      </c>
      <c r="AK553" s="2">
        <v>0</v>
      </c>
      <c r="AL553" s="2">
        <v>0</v>
      </c>
      <c r="AM553" s="2">
        <v>0</v>
      </c>
      <c r="AN553" s="2">
        <v>0</v>
      </c>
      <c r="AO553" s="2">
        <v>0</v>
      </c>
      <c r="AP553" s="2">
        <v>0</v>
      </c>
      <c r="AQ553" s="2">
        <v>0</v>
      </c>
      <c r="AR553" s="2">
        <v>0.10108753371943649</v>
      </c>
    </row>
    <row r="554" spans="1:44" x14ac:dyDescent="0.25">
      <c r="A554" t="s">
        <v>250</v>
      </c>
      <c r="B554" t="s">
        <v>332</v>
      </c>
      <c r="C554" t="s">
        <v>44</v>
      </c>
      <c r="D554" t="s">
        <v>333</v>
      </c>
      <c r="E554" t="s">
        <v>134</v>
      </c>
      <c r="F554" t="s">
        <v>334</v>
      </c>
      <c r="G554" t="s">
        <v>31</v>
      </c>
      <c r="H554" t="s">
        <v>273</v>
      </c>
      <c r="I554" t="s">
        <v>135</v>
      </c>
      <c r="J554" t="s">
        <v>39</v>
      </c>
      <c r="K554" t="s">
        <v>31</v>
      </c>
      <c r="L554">
        <v>47.690400470307488</v>
      </c>
      <c r="M554">
        <v>1</v>
      </c>
      <c r="N554">
        <v>3.235559366958098</v>
      </c>
      <c r="O554">
        <v>7.3503117205943074</v>
      </c>
      <c r="P554">
        <v>-2.2239257747150929</v>
      </c>
      <c r="Q554">
        <v>1.2304919070027225</v>
      </c>
      <c r="R554">
        <v>-2.9127631550786535</v>
      </c>
      <c r="S554" s="2">
        <v>3.1477831182162462E-3</v>
      </c>
      <c r="T554" s="2">
        <v>5.0967472975026757E-3</v>
      </c>
      <c r="U554" s="2">
        <v>7.7005642308893164E-3</v>
      </c>
      <c r="V554" s="2">
        <v>1.0978120691491804E-2</v>
      </c>
      <c r="W554" s="2">
        <v>1.4864565979830716E-2</v>
      </c>
      <c r="X554" s="2">
        <v>1.9181204919614878E-2</v>
      </c>
      <c r="Y554" s="2">
        <v>2.3614714957367781E-2</v>
      </c>
      <c r="Z554" s="2">
        <v>2.7719260794726763E-2</v>
      </c>
      <c r="AA554" s="2">
        <v>3.0956152837617601E-2</v>
      </c>
      <c r="AB554" s="2">
        <v>3.278003326926994E-2</v>
      </c>
      <c r="AC554" s="2">
        <v>3.2765467903278327E-2</v>
      </c>
      <c r="AD554" s="2">
        <v>3.0744899177647979E-2</v>
      </c>
      <c r="AE554" s="2">
        <v>2.690729711714325E-2</v>
      </c>
      <c r="AF554" s="2">
        <v>2.214967803996961E-2</v>
      </c>
      <c r="AG554" s="2">
        <v>1.6860074339577334E-2</v>
      </c>
      <c r="AH554" s="2">
        <v>1.8930766027444425E-3</v>
      </c>
      <c r="AI554" s="2">
        <v>0</v>
      </c>
      <c r="AJ554" s="2">
        <v>0</v>
      </c>
      <c r="AK554" s="2">
        <v>0</v>
      </c>
      <c r="AL554" s="2">
        <v>0</v>
      </c>
      <c r="AM554" s="2">
        <v>0</v>
      </c>
      <c r="AN554" s="2">
        <v>0</v>
      </c>
      <c r="AO554" s="2">
        <v>0</v>
      </c>
      <c r="AP554" s="2">
        <v>0</v>
      </c>
      <c r="AQ554" s="2">
        <v>0</v>
      </c>
      <c r="AR554" s="2">
        <v>0.30735964127688864</v>
      </c>
    </row>
    <row r="555" spans="1:44" x14ac:dyDescent="0.25">
      <c r="A555" t="s">
        <v>250</v>
      </c>
      <c r="B555" t="s">
        <v>332</v>
      </c>
      <c r="C555" t="s">
        <v>44</v>
      </c>
      <c r="D555" t="s">
        <v>333</v>
      </c>
      <c r="E555" t="s">
        <v>134</v>
      </c>
      <c r="F555" t="s">
        <v>334</v>
      </c>
      <c r="G555" t="s">
        <v>31</v>
      </c>
      <c r="H555" t="s">
        <v>274</v>
      </c>
      <c r="I555" t="s">
        <v>135</v>
      </c>
      <c r="J555" t="s">
        <v>39</v>
      </c>
      <c r="K555" t="s">
        <v>31</v>
      </c>
      <c r="L555">
        <v>47.690400470307488</v>
      </c>
      <c r="M555">
        <v>1</v>
      </c>
      <c r="N555">
        <v>3.235559366958098</v>
      </c>
      <c r="O555">
        <v>7.3503117205943074</v>
      </c>
      <c r="P555">
        <v>-2.2239257747150929</v>
      </c>
      <c r="Q555">
        <v>1.2304919070027225</v>
      </c>
      <c r="R555">
        <v>-2.9127631550786535</v>
      </c>
      <c r="S555" s="2">
        <v>4.9551743029537425E-3</v>
      </c>
      <c r="T555" s="2">
        <v>8.0231929230072212E-3</v>
      </c>
      <c r="U555" s="2">
        <v>1.2122067042779705E-2</v>
      </c>
      <c r="V555" s="2">
        <v>1.7281527825217812E-2</v>
      </c>
      <c r="W555" s="2">
        <v>2.3399488656498199E-2</v>
      </c>
      <c r="X555" s="2">
        <v>3.0194651330116219E-2</v>
      </c>
      <c r="Y555" s="2">
        <v>3.7173790040094988E-2</v>
      </c>
      <c r="Z555" s="2">
        <v>4.3635080190892399E-2</v>
      </c>
      <c r="AA555" s="2">
        <v>4.8730527898057541E-2</v>
      </c>
      <c r="AB555" s="2">
        <v>5.1601642300534295E-2</v>
      </c>
      <c r="AC555" s="2">
        <v>5.1578713806237138E-2</v>
      </c>
      <c r="AD555" s="2">
        <v>4.8397976807981323E-2</v>
      </c>
      <c r="AE555" s="2">
        <v>4.235690396368981E-2</v>
      </c>
      <c r="AF555" s="2">
        <v>3.4867559587317257E-2</v>
      </c>
      <c r="AG555" s="2">
        <v>2.6540776151282506E-2</v>
      </c>
      <c r="AH555" s="2">
        <v>2.9800415667641141E-3</v>
      </c>
      <c r="AI555" s="2">
        <v>0</v>
      </c>
      <c r="AJ555" s="2">
        <v>0</v>
      </c>
      <c r="AK555" s="2">
        <v>0</v>
      </c>
      <c r="AL555" s="2">
        <v>0</v>
      </c>
      <c r="AM555" s="2">
        <v>0</v>
      </c>
      <c r="AN555" s="2">
        <v>0</v>
      </c>
      <c r="AO555" s="2">
        <v>0</v>
      </c>
      <c r="AP555" s="2">
        <v>0</v>
      </c>
      <c r="AQ555" s="2">
        <v>0</v>
      </c>
      <c r="AR555" s="2">
        <v>0.48383911439342425</v>
      </c>
    </row>
    <row r="556" spans="1:44" x14ac:dyDescent="0.25">
      <c r="A556" t="s">
        <v>250</v>
      </c>
      <c r="B556" t="s">
        <v>332</v>
      </c>
      <c r="C556" t="s">
        <v>44</v>
      </c>
      <c r="D556" t="s">
        <v>333</v>
      </c>
      <c r="E556" t="s">
        <v>134</v>
      </c>
      <c r="F556" t="s">
        <v>334</v>
      </c>
      <c r="G556" t="s">
        <v>31</v>
      </c>
      <c r="H556" t="s">
        <v>274</v>
      </c>
      <c r="I556" t="s">
        <v>135</v>
      </c>
      <c r="J556" t="s">
        <v>39</v>
      </c>
      <c r="K556" t="s">
        <v>33</v>
      </c>
      <c r="L556">
        <v>47.690400470307488</v>
      </c>
      <c r="M556">
        <v>1</v>
      </c>
      <c r="N556">
        <v>3.235559366958098</v>
      </c>
      <c r="O556">
        <v>7.3503117205943074</v>
      </c>
      <c r="P556">
        <v>-2.2239257747150929</v>
      </c>
      <c r="Q556">
        <v>1.2304919070027225</v>
      </c>
      <c r="R556">
        <v>-2.9127631550786535</v>
      </c>
      <c r="S556" s="2">
        <v>1.5943187217029819E-5</v>
      </c>
      <c r="T556" s="2">
        <v>2.5814483816160309E-5</v>
      </c>
      <c r="U556" s="2">
        <v>3.9002540073155533E-5</v>
      </c>
      <c r="V556" s="2">
        <v>5.5603015488177848E-5</v>
      </c>
      <c r="W556" s="2">
        <v>7.5287448155140899E-5</v>
      </c>
      <c r="X556" s="2">
        <v>9.7150765982545353E-5</v>
      </c>
      <c r="Y556" s="2">
        <v>1.1960602351011293E-4</v>
      </c>
      <c r="Z556" s="2">
        <v>1.4039511229681985E-4</v>
      </c>
      <c r="AA556" s="2">
        <v>1.5678962675446347E-4</v>
      </c>
      <c r="AB556" s="2">
        <v>1.6602738745501272E-4</v>
      </c>
      <c r="AC556" s="2">
        <v>1.659536154230246E-4</v>
      </c>
      <c r="AD556" s="2">
        <v>1.5571964940065935E-4</v>
      </c>
      <c r="AE556" s="2">
        <v>1.3628260249580227E-4</v>
      </c>
      <c r="AF556" s="2">
        <v>1.1218576710211265E-4</v>
      </c>
      <c r="AG556" s="2">
        <v>8.5394486085573989E-5</v>
      </c>
      <c r="AH556" s="2">
        <v>9.5882319588904655E-6</v>
      </c>
      <c r="AI556" s="2">
        <v>0</v>
      </c>
      <c r="AJ556" s="2">
        <v>0</v>
      </c>
      <c r="AK556" s="2">
        <v>0</v>
      </c>
      <c r="AL556" s="2">
        <v>0</v>
      </c>
      <c r="AM556" s="2">
        <v>0</v>
      </c>
      <c r="AN556" s="2">
        <v>0</v>
      </c>
      <c r="AO556" s="2">
        <v>0</v>
      </c>
      <c r="AP556" s="2">
        <v>0</v>
      </c>
      <c r="AQ556" s="2">
        <v>0</v>
      </c>
      <c r="AR556" s="2">
        <v>1.5567439432146821E-3</v>
      </c>
    </row>
    <row r="557" spans="1:44" x14ac:dyDescent="0.25">
      <c r="A557" t="s">
        <v>250</v>
      </c>
      <c r="B557" t="s">
        <v>332</v>
      </c>
      <c r="C557" t="s">
        <v>44</v>
      </c>
      <c r="D557" t="s">
        <v>333</v>
      </c>
      <c r="E557" t="s">
        <v>134</v>
      </c>
      <c r="F557" t="s">
        <v>334</v>
      </c>
      <c r="G557" t="s">
        <v>31</v>
      </c>
      <c r="H557" t="s">
        <v>278</v>
      </c>
      <c r="I557" t="s">
        <v>135</v>
      </c>
      <c r="J557" t="s">
        <v>39</v>
      </c>
      <c r="K557" t="s">
        <v>31</v>
      </c>
      <c r="L557">
        <v>47.690400470307488</v>
      </c>
      <c r="M557">
        <v>1</v>
      </c>
      <c r="N557">
        <v>3.235559366958098</v>
      </c>
      <c r="O557">
        <v>7.3503117205943074</v>
      </c>
      <c r="P557">
        <v>-2.2239257747150929</v>
      </c>
      <c r="Q557">
        <v>1.2304919070027225</v>
      </c>
      <c r="R557">
        <v>-2.9127631550786535</v>
      </c>
      <c r="S557" s="2">
        <v>1.5799142370036002E-4</v>
      </c>
      <c r="T557" s="2">
        <v>2.5468175279265995E-4</v>
      </c>
      <c r="U557" s="2">
        <v>3.8309218679949815E-4</v>
      </c>
      <c r="V557" s="2">
        <v>5.437318409128451E-4</v>
      </c>
      <c r="W557" s="2">
        <v>7.3296800261075977E-4</v>
      </c>
      <c r="X557" s="2">
        <v>9.4163953939586399E-4</v>
      </c>
      <c r="Y557" s="2">
        <v>1.1541640081305061E-3</v>
      </c>
      <c r="Z557" s="2">
        <v>1.3487842370680666E-3</v>
      </c>
      <c r="AA557" s="2">
        <v>1.4996290252328132E-3</v>
      </c>
      <c r="AB557" s="2">
        <v>1.5809650291074024E-3</v>
      </c>
      <c r="AC557" s="2">
        <v>1.5732772610675856E-3</v>
      </c>
      <c r="AD557" s="2">
        <v>1.4697314340397899E-3</v>
      </c>
      <c r="AE557" s="2">
        <v>1.2805926416878147E-3</v>
      </c>
      <c r="AF557" s="2">
        <v>9.4950292618925015E-4</v>
      </c>
      <c r="AG557" s="2">
        <v>0</v>
      </c>
      <c r="AH557" s="2">
        <v>0</v>
      </c>
      <c r="AI557" s="2">
        <v>0</v>
      </c>
      <c r="AJ557" s="2">
        <v>0</v>
      </c>
      <c r="AK557" s="2">
        <v>0</v>
      </c>
      <c r="AL557" s="2">
        <v>0</v>
      </c>
      <c r="AM557" s="2">
        <v>0</v>
      </c>
      <c r="AN557" s="2">
        <v>0</v>
      </c>
      <c r="AO557" s="2">
        <v>0</v>
      </c>
      <c r="AP557" s="2">
        <v>0</v>
      </c>
      <c r="AQ557" s="2">
        <v>0</v>
      </c>
      <c r="AR557" s="2">
        <v>1.3870751308735215E-2</v>
      </c>
    </row>
    <row r="558" spans="1:44" x14ac:dyDescent="0.25">
      <c r="A558" t="s">
        <v>250</v>
      </c>
      <c r="B558" t="s">
        <v>332</v>
      </c>
      <c r="C558" t="s">
        <v>44</v>
      </c>
      <c r="D558" t="s">
        <v>333</v>
      </c>
      <c r="E558" t="s">
        <v>134</v>
      </c>
      <c r="F558" t="s">
        <v>334</v>
      </c>
      <c r="G558" t="s">
        <v>31</v>
      </c>
      <c r="H558" t="s">
        <v>275</v>
      </c>
      <c r="I558" t="s">
        <v>135</v>
      </c>
      <c r="J558" t="s">
        <v>39</v>
      </c>
      <c r="K558" t="s">
        <v>31</v>
      </c>
      <c r="L558">
        <v>47.690400470307488</v>
      </c>
      <c r="M558">
        <v>1</v>
      </c>
      <c r="N558">
        <v>3.235559366958098</v>
      </c>
      <c r="O558">
        <v>7.3503117205943074</v>
      </c>
      <c r="P558">
        <v>-2.2239257747150929</v>
      </c>
      <c r="Q558">
        <v>1.2304919070027225</v>
      </c>
      <c r="R558">
        <v>-2.9127631550786535</v>
      </c>
      <c r="S558" s="2">
        <v>7.5699573423678645E-3</v>
      </c>
      <c r="T558" s="2">
        <v>1.2256930728057055E-2</v>
      </c>
      <c r="U558" s="2">
        <v>1.8518729070835349E-2</v>
      </c>
      <c r="V558" s="2">
        <v>2.6400772293693298E-2</v>
      </c>
      <c r="W558" s="2">
        <v>3.5747103963088528E-2</v>
      </c>
      <c r="X558" s="2">
        <v>4.6127988353588431E-2</v>
      </c>
      <c r="Y558" s="2">
        <v>5.6789930616550778E-2</v>
      </c>
      <c r="Z558" s="2">
        <v>6.6660762161072251E-2</v>
      </c>
      <c r="AA558" s="2">
        <v>7.4445013415465805E-2</v>
      </c>
      <c r="AB558" s="2">
        <v>7.8831178709157179E-2</v>
      </c>
      <c r="AC558" s="2">
        <v>7.8796151137341841E-2</v>
      </c>
      <c r="AD558" s="2">
        <v>7.3936979305639569E-2</v>
      </c>
      <c r="AE558" s="2">
        <v>6.4708108445100124E-2</v>
      </c>
      <c r="AF558" s="2">
        <v>5.3266731414700202E-2</v>
      </c>
      <c r="AG558" s="2">
        <v>4.0546009285441387E-2</v>
      </c>
      <c r="AH558" s="2">
        <v>4.5525719499799108E-3</v>
      </c>
      <c r="AI558" s="2">
        <v>0</v>
      </c>
      <c r="AJ558" s="2">
        <v>0</v>
      </c>
      <c r="AK558" s="2">
        <v>0</v>
      </c>
      <c r="AL558" s="2">
        <v>0</v>
      </c>
      <c r="AM558" s="2">
        <v>0</v>
      </c>
      <c r="AN558" s="2">
        <v>0</v>
      </c>
      <c r="AO558" s="2">
        <v>0</v>
      </c>
      <c r="AP558" s="2">
        <v>0</v>
      </c>
      <c r="AQ558" s="2">
        <v>0</v>
      </c>
      <c r="AR558" s="2">
        <v>0.73915491819207946</v>
      </c>
    </row>
    <row r="559" spans="1:44" x14ac:dyDescent="0.25">
      <c r="A559" t="s">
        <v>250</v>
      </c>
      <c r="B559" t="s">
        <v>332</v>
      </c>
      <c r="C559" t="s">
        <v>44</v>
      </c>
      <c r="D559" t="s">
        <v>333</v>
      </c>
      <c r="E559" t="s">
        <v>134</v>
      </c>
      <c r="F559" t="s">
        <v>334</v>
      </c>
      <c r="G559" t="s">
        <v>31</v>
      </c>
      <c r="H559" t="s">
        <v>277</v>
      </c>
      <c r="I559" t="s">
        <v>135</v>
      </c>
      <c r="J559" t="s">
        <v>39</v>
      </c>
      <c r="K559" t="s">
        <v>31</v>
      </c>
      <c r="L559">
        <v>47.690400470307488</v>
      </c>
      <c r="M559">
        <v>1</v>
      </c>
      <c r="N559">
        <v>3.235559366958098</v>
      </c>
      <c r="O559">
        <v>7.3503117205943074</v>
      </c>
      <c r="P559">
        <v>-2.2239257747150929</v>
      </c>
      <c r="Q559">
        <v>1.2304919070027225</v>
      </c>
      <c r="R559">
        <v>-2.9127631550786535</v>
      </c>
      <c r="S559" s="2">
        <v>1.5900321010546123</v>
      </c>
      <c r="T559" s="2">
        <v>2.5741973117545722</v>
      </c>
      <c r="U559" s="2">
        <v>3.8888296515141567</v>
      </c>
      <c r="V559" s="2">
        <v>5.5433463397242138</v>
      </c>
      <c r="W559" s="2">
        <v>7.5048823112831862</v>
      </c>
      <c r="X559" s="2">
        <v>9.6831169880277574</v>
      </c>
      <c r="Y559" s="2">
        <v>11.919818490951297</v>
      </c>
      <c r="Z559" s="2">
        <v>13.989951846450351</v>
      </c>
      <c r="AA559" s="2">
        <v>15.6217325412698</v>
      </c>
      <c r="AB559" s="2">
        <v>16.540142485658652</v>
      </c>
      <c r="AC559" s="2">
        <v>16.530799992816846</v>
      </c>
      <c r="AD559" s="2">
        <v>15.509514780252688</v>
      </c>
      <c r="AE559" s="2">
        <v>13.571968807071427</v>
      </c>
      <c r="AF559" s="2">
        <v>11.170891586086483</v>
      </c>
      <c r="AG559" s="2">
        <v>8.5021261594942334</v>
      </c>
      <c r="AH559" s="2">
        <v>0.66590261291192099</v>
      </c>
      <c r="AI559" s="2">
        <v>0</v>
      </c>
      <c r="AJ559" s="2">
        <v>0</v>
      </c>
      <c r="AK559" s="2">
        <v>0</v>
      </c>
      <c r="AL559" s="2">
        <v>0</v>
      </c>
      <c r="AM559" s="2">
        <v>0</v>
      </c>
      <c r="AN559" s="2">
        <v>0</v>
      </c>
      <c r="AO559" s="2">
        <v>0</v>
      </c>
      <c r="AP559" s="2">
        <v>0</v>
      </c>
      <c r="AQ559" s="2">
        <v>0</v>
      </c>
      <c r="AR559" s="2">
        <v>154.80725400632221</v>
      </c>
    </row>
    <row r="560" spans="1:44" x14ac:dyDescent="0.25">
      <c r="A560" t="s">
        <v>250</v>
      </c>
      <c r="B560" t="s">
        <v>332</v>
      </c>
      <c r="C560" t="s">
        <v>44</v>
      </c>
      <c r="D560" t="s">
        <v>333</v>
      </c>
      <c r="E560" t="s">
        <v>134</v>
      </c>
      <c r="F560" t="s">
        <v>334</v>
      </c>
      <c r="G560" t="s">
        <v>31</v>
      </c>
      <c r="H560" t="s">
        <v>277</v>
      </c>
      <c r="I560" t="s">
        <v>135</v>
      </c>
      <c r="J560" t="s">
        <v>40</v>
      </c>
      <c r="K560" t="s">
        <v>31</v>
      </c>
      <c r="L560">
        <v>47.690400470307488</v>
      </c>
      <c r="M560">
        <v>1</v>
      </c>
      <c r="N560">
        <v>3.235559366958098</v>
      </c>
      <c r="O560">
        <v>6.1135235078055725</v>
      </c>
      <c r="P560">
        <v>-2.2239257747150929</v>
      </c>
      <c r="Q560">
        <v>0.4672931329656026</v>
      </c>
      <c r="R560">
        <v>-2.7697631550786532</v>
      </c>
      <c r="S560" s="2">
        <v>0.25082023392708147</v>
      </c>
      <c r="T560" s="2">
        <v>0.4060677589342393</v>
      </c>
      <c r="U560" s="2">
        <v>0.61344495010409239</v>
      </c>
      <c r="V560" s="2">
        <v>0.87443733038236526</v>
      </c>
      <c r="W560" s="2">
        <v>1.1838605872565409</v>
      </c>
      <c r="X560" s="2">
        <v>1.5274670658973071</v>
      </c>
      <c r="Y560" s="2">
        <v>1.8802964168369762</v>
      </c>
      <c r="Z560" s="2">
        <v>2.2068504103960618</v>
      </c>
      <c r="AA560" s="2">
        <v>2.4642562925294134</v>
      </c>
      <c r="AB560" s="2">
        <v>2.6091312274063778</v>
      </c>
      <c r="AC560" s="2">
        <v>2.607657492229277</v>
      </c>
      <c r="AD560" s="2">
        <v>2.4465544580504632</v>
      </c>
      <c r="AE560" s="2">
        <v>2.1409155128269881</v>
      </c>
      <c r="AF560" s="2">
        <v>1.7621566501317083</v>
      </c>
      <c r="AG560" s="2">
        <v>1.3411712070388309</v>
      </c>
      <c r="AH560" s="2">
        <v>0.10504306738992455</v>
      </c>
      <c r="AI560" s="2">
        <v>0</v>
      </c>
      <c r="AJ560" s="2">
        <v>0</v>
      </c>
      <c r="AK560" s="2">
        <v>0</v>
      </c>
      <c r="AL560" s="2">
        <v>0</v>
      </c>
      <c r="AM560" s="2">
        <v>0</v>
      </c>
      <c r="AN560" s="2">
        <v>0</v>
      </c>
      <c r="AO560" s="2">
        <v>0</v>
      </c>
      <c r="AP560" s="2">
        <v>0</v>
      </c>
      <c r="AQ560" s="2">
        <v>0</v>
      </c>
      <c r="AR560" s="2">
        <v>24.420130661337652</v>
      </c>
    </row>
    <row r="561" spans="1:44" x14ac:dyDescent="0.25">
      <c r="A561" t="s">
        <v>250</v>
      </c>
      <c r="B561" t="s">
        <v>428</v>
      </c>
      <c r="C561" t="s">
        <v>44</v>
      </c>
      <c r="D561" t="s">
        <v>426</v>
      </c>
      <c r="E561" t="s">
        <v>134</v>
      </c>
      <c r="F561" t="s">
        <v>427</v>
      </c>
      <c r="G561" t="s">
        <v>31</v>
      </c>
      <c r="H561" t="s">
        <v>253</v>
      </c>
      <c r="I561" t="s">
        <v>135</v>
      </c>
      <c r="J561" t="s">
        <v>39</v>
      </c>
      <c r="K561" t="s">
        <v>31</v>
      </c>
      <c r="L561">
        <v>2.6811632968427466</v>
      </c>
      <c r="M561">
        <v>1</v>
      </c>
      <c r="N561">
        <v>3.805910542982351</v>
      </c>
      <c r="O561">
        <v>32.367018153726569</v>
      </c>
      <c r="P561">
        <v>-12.417746747424893</v>
      </c>
      <c r="Q561">
        <v>4.6064513862797813</v>
      </c>
      <c r="R561">
        <v>-16.482543607065516</v>
      </c>
      <c r="S561" s="2">
        <v>1.3393963941697102</v>
      </c>
      <c r="T561" s="2">
        <v>0.85751027289875192</v>
      </c>
      <c r="U561" s="2">
        <v>0.56496823391487128</v>
      </c>
      <c r="V561" s="2">
        <v>0.19135752886437263</v>
      </c>
      <c r="W561" s="2">
        <v>0</v>
      </c>
      <c r="X561" s="2">
        <v>0</v>
      </c>
      <c r="Y561" s="2">
        <v>0</v>
      </c>
      <c r="Z561" s="2">
        <v>0</v>
      </c>
      <c r="AA561" s="2">
        <v>0</v>
      </c>
      <c r="AB561" s="2">
        <v>0</v>
      </c>
      <c r="AC561" s="2">
        <v>0</v>
      </c>
      <c r="AD561" s="2">
        <v>0</v>
      </c>
      <c r="AE561" s="2">
        <v>0</v>
      </c>
      <c r="AF561" s="2">
        <v>0</v>
      </c>
      <c r="AG561" s="2">
        <v>0</v>
      </c>
      <c r="AH561" s="2">
        <v>0</v>
      </c>
      <c r="AI561" s="2">
        <v>0</v>
      </c>
      <c r="AJ561" s="2">
        <v>0</v>
      </c>
      <c r="AK561" s="2">
        <v>0</v>
      </c>
      <c r="AL561" s="2">
        <v>0</v>
      </c>
      <c r="AM561" s="2">
        <v>0</v>
      </c>
      <c r="AN561" s="2">
        <v>0</v>
      </c>
      <c r="AO561" s="2">
        <v>0</v>
      </c>
      <c r="AP561" s="2">
        <v>0</v>
      </c>
      <c r="AQ561" s="2">
        <v>0</v>
      </c>
      <c r="AR561" s="2">
        <v>2.9532324298477062</v>
      </c>
    </row>
    <row r="562" spans="1:44" x14ac:dyDescent="0.25">
      <c r="A562" t="s">
        <v>250</v>
      </c>
      <c r="B562" t="s">
        <v>428</v>
      </c>
      <c r="C562" t="s">
        <v>44</v>
      </c>
      <c r="D562" t="s">
        <v>426</v>
      </c>
      <c r="E562" t="s">
        <v>134</v>
      </c>
      <c r="F562" t="s">
        <v>427</v>
      </c>
      <c r="G562" t="s">
        <v>31</v>
      </c>
      <c r="H562" t="s">
        <v>253</v>
      </c>
      <c r="I562" t="s">
        <v>135</v>
      </c>
      <c r="J562" t="s">
        <v>40</v>
      </c>
      <c r="K562" t="s">
        <v>31</v>
      </c>
      <c r="L562">
        <v>2.6811632968427466</v>
      </c>
      <c r="M562">
        <v>1</v>
      </c>
      <c r="N562">
        <v>3.805910542982351</v>
      </c>
      <c r="O562">
        <v>31.165987365504993</v>
      </c>
      <c r="P562">
        <v>-12.417746747424893</v>
      </c>
      <c r="Q562">
        <v>0.4672931329656026</v>
      </c>
      <c r="R562">
        <v>-16.339543607065512</v>
      </c>
      <c r="S562" s="2">
        <v>0.70455034127192462</v>
      </c>
      <c r="T562" s="2">
        <v>0.451068225989599</v>
      </c>
      <c r="U562" s="2">
        <v>0.29718503330693874</v>
      </c>
      <c r="V562" s="2">
        <v>0.10065803734668258</v>
      </c>
      <c r="W562" s="2">
        <v>0</v>
      </c>
      <c r="X562" s="2">
        <v>0</v>
      </c>
      <c r="Y562" s="2">
        <v>0</v>
      </c>
      <c r="Z562" s="2">
        <v>0</v>
      </c>
      <c r="AA562" s="2">
        <v>0</v>
      </c>
      <c r="AB562" s="2">
        <v>0</v>
      </c>
      <c r="AC562" s="2">
        <v>0</v>
      </c>
      <c r="AD562" s="2">
        <v>0</v>
      </c>
      <c r="AE562" s="2">
        <v>0</v>
      </c>
      <c r="AF562" s="2">
        <v>0</v>
      </c>
      <c r="AG562" s="2">
        <v>0</v>
      </c>
      <c r="AH562" s="2">
        <v>0</v>
      </c>
      <c r="AI562" s="2">
        <v>0</v>
      </c>
      <c r="AJ562" s="2">
        <v>0</v>
      </c>
      <c r="AK562" s="2">
        <v>0</v>
      </c>
      <c r="AL562" s="2">
        <v>0</v>
      </c>
      <c r="AM562" s="2">
        <v>0</v>
      </c>
      <c r="AN562" s="2">
        <v>0</v>
      </c>
      <c r="AO562" s="2">
        <v>0</v>
      </c>
      <c r="AP562" s="2">
        <v>0</v>
      </c>
      <c r="AQ562" s="2">
        <v>0</v>
      </c>
      <c r="AR562" s="2">
        <v>1.5534616379151449</v>
      </c>
    </row>
    <row r="563" spans="1:44" x14ac:dyDescent="0.25">
      <c r="A563" t="s">
        <v>250</v>
      </c>
      <c r="B563" t="s">
        <v>428</v>
      </c>
      <c r="C563" t="s">
        <v>44</v>
      </c>
      <c r="D563" t="s">
        <v>426</v>
      </c>
      <c r="E563" t="s">
        <v>134</v>
      </c>
      <c r="F563" t="s">
        <v>427</v>
      </c>
      <c r="G563" t="s">
        <v>31</v>
      </c>
      <c r="H563" t="s">
        <v>253</v>
      </c>
      <c r="I563" t="s">
        <v>256</v>
      </c>
      <c r="J563" t="s">
        <v>39</v>
      </c>
      <c r="K563" t="s">
        <v>31</v>
      </c>
      <c r="L563">
        <v>2.6811632968427466</v>
      </c>
      <c r="M563">
        <v>1</v>
      </c>
      <c r="N563">
        <v>3.4883261751745867</v>
      </c>
      <c r="O563">
        <v>29.66615094150913</v>
      </c>
      <c r="P563">
        <v>-10.954809796076024</v>
      </c>
      <c r="Q563">
        <v>0.4672931329656026</v>
      </c>
      <c r="R563">
        <v>-15.019606655716643</v>
      </c>
      <c r="S563" s="2">
        <v>0.70259499418659843</v>
      </c>
      <c r="T563" s="2">
        <v>0.44981637088527854</v>
      </c>
      <c r="U563" s="2">
        <v>0.29636025208884981</v>
      </c>
      <c r="V563" s="2">
        <v>0.10037867987793712</v>
      </c>
      <c r="W563" s="2">
        <v>0</v>
      </c>
      <c r="X563" s="2">
        <v>0</v>
      </c>
      <c r="Y563" s="2">
        <v>0</v>
      </c>
      <c r="Z563" s="2">
        <v>0</v>
      </c>
      <c r="AA563" s="2">
        <v>0</v>
      </c>
      <c r="AB563" s="2">
        <v>0</v>
      </c>
      <c r="AC563" s="2">
        <v>0</v>
      </c>
      <c r="AD563" s="2">
        <v>0</v>
      </c>
      <c r="AE563" s="2">
        <v>0</v>
      </c>
      <c r="AF563" s="2">
        <v>0</v>
      </c>
      <c r="AG563" s="2">
        <v>0</v>
      </c>
      <c r="AH563" s="2">
        <v>0</v>
      </c>
      <c r="AI563" s="2">
        <v>0</v>
      </c>
      <c r="AJ563" s="2">
        <v>0</v>
      </c>
      <c r="AK563" s="2">
        <v>0</v>
      </c>
      <c r="AL563" s="2">
        <v>0</v>
      </c>
      <c r="AM563" s="2">
        <v>0</v>
      </c>
      <c r="AN563" s="2">
        <v>0</v>
      </c>
      <c r="AO563" s="2">
        <v>0</v>
      </c>
      <c r="AP563" s="2">
        <v>0</v>
      </c>
      <c r="AQ563" s="2">
        <v>0</v>
      </c>
      <c r="AR563" s="2">
        <v>1.5491502970386641</v>
      </c>
    </row>
    <row r="564" spans="1:44" x14ac:dyDescent="0.25">
      <c r="A564" t="s">
        <v>250</v>
      </c>
      <c r="B564" t="s">
        <v>431</v>
      </c>
      <c r="C564" t="s">
        <v>44</v>
      </c>
      <c r="D564" t="s">
        <v>426</v>
      </c>
      <c r="E564" t="s">
        <v>134</v>
      </c>
      <c r="F564" t="s">
        <v>427</v>
      </c>
      <c r="G564" t="s">
        <v>31</v>
      </c>
      <c r="H564" t="s">
        <v>252</v>
      </c>
      <c r="I564" t="s">
        <v>135</v>
      </c>
      <c r="J564" t="s">
        <v>39</v>
      </c>
      <c r="K564" t="s">
        <v>31</v>
      </c>
      <c r="L564">
        <v>6.7044253476663016</v>
      </c>
      <c r="M564">
        <v>1</v>
      </c>
      <c r="N564">
        <v>3.813725317797616</v>
      </c>
      <c r="O564">
        <v>32.433478191464303</v>
      </c>
      <c r="P564">
        <v>-12.417746747424887</v>
      </c>
      <c r="Q564">
        <v>4.6064513862797822</v>
      </c>
      <c r="R564">
        <v>-16.482543607065512</v>
      </c>
      <c r="S564" s="2">
        <v>1.1514425085235915</v>
      </c>
      <c r="T564" s="2">
        <v>0.73747425294132041</v>
      </c>
      <c r="U564" s="2">
        <v>0.48607799270057972</v>
      </c>
      <c r="V564" s="2">
        <v>0.18840484851570882</v>
      </c>
      <c r="W564" s="2">
        <v>0</v>
      </c>
      <c r="X564" s="2">
        <v>0</v>
      </c>
      <c r="Y564" s="2">
        <v>0</v>
      </c>
      <c r="Z564" s="2">
        <v>0</v>
      </c>
      <c r="AA564" s="2">
        <v>0</v>
      </c>
      <c r="AB564" s="2">
        <v>0</v>
      </c>
      <c r="AC564" s="2">
        <v>0</v>
      </c>
      <c r="AD564" s="2">
        <v>0</v>
      </c>
      <c r="AE564" s="2">
        <v>0</v>
      </c>
      <c r="AF564" s="2">
        <v>0</v>
      </c>
      <c r="AG564" s="2">
        <v>0</v>
      </c>
      <c r="AH564" s="2">
        <v>0</v>
      </c>
      <c r="AI564" s="2">
        <v>0</v>
      </c>
      <c r="AJ564" s="2">
        <v>0</v>
      </c>
      <c r="AK564" s="2">
        <v>0</v>
      </c>
      <c r="AL564" s="2">
        <v>0</v>
      </c>
      <c r="AM564" s="2">
        <v>0</v>
      </c>
      <c r="AN564" s="2">
        <v>0</v>
      </c>
      <c r="AO564" s="2">
        <v>0</v>
      </c>
      <c r="AP564" s="2">
        <v>0</v>
      </c>
      <c r="AQ564" s="2">
        <v>0</v>
      </c>
      <c r="AR564" s="2">
        <v>2.5633996026812</v>
      </c>
    </row>
    <row r="565" spans="1:44" x14ac:dyDescent="0.25">
      <c r="A565" t="s">
        <v>250</v>
      </c>
      <c r="B565" t="s">
        <v>425</v>
      </c>
      <c r="C565" t="s">
        <v>44</v>
      </c>
      <c r="D565" t="s">
        <v>426</v>
      </c>
      <c r="E565" t="s">
        <v>134</v>
      </c>
      <c r="F565" t="s">
        <v>427</v>
      </c>
      <c r="G565" t="s">
        <v>31</v>
      </c>
      <c r="H565" t="s">
        <v>288</v>
      </c>
      <c r="I565" t="s">
        <v>135</v>
      </c>
      <c r="J565" t="s">
        <v>39</v>
      </c>
      <c r="K565" t="s">
        <v>31</v>
      </c>
      <c r="L565">
        <v>2.8887849337297156</v>
      </c>
      <c r="M565">
        <v>1</v>
      </c>
      <c r="N565">
        <v>3.8176751585856912</v>
      </c>
      <c r="O565">
        <v>32.467069251224679</v>
      </c>
      <c r="P565">
        <v>-12.417746747424893</v>
      </c>
      <c r="Q565">
        <v>4.6064513862797822</v>
      </c>
      <c r="R565">
        <v>-16.482543607065516</v>
      </c>
      <c r="S565" s="2">
        <v>5.8856799502879706</v>
      </c>
      <c r="T565" s="2">
        <v>3.7723004424238535</v>
      </c>
      <c r="U565" s="2">
        <v>2.4881147089567084</v>
      </c>
      <c r="V565" s="2">
        <v>1.1796459109513306</v>
      </c>
      <c r="W565" s="2">
        <v>0</v>
      </c>
      <c r="X565" s="2">
        <v>0</v>
      </c>
      <c r="Y565" s="2">
        <v>0</v>
      </c>
      <c r="Z565" s="2">
        <v>0</v>
      </c>
      <c r="AA565" s="2">
        <v>0</v>
      </c>
      <c r="AB565" s="2">
        <v>0</v>
      </c>
      <c r="AC565" s="2">
        <v>0</v>
      </c>
      <c r="AD565" s="2">
        <v>0</v>
      </c>
      <c r="AE565" s="2">
        <v>0</v>
      </c>
      <c r="AF565" s="2">
        <v>0</v>
      </c>
      <c r="AG565" s="2">
        <v>0</v>
      </c>
      <c r="AH565" s="2">
        <v>0</v>
      </c>
      <c r="AI565" s="2">
        <v>0</v>
      </c>
      <c r="AJ565" s="2">
        <v>0</v>
      </c>
      <c r="AK565" s="2">
        <v>0</v>
      </c>
      <c r="AL565" s="2">
        <v>0</v>
      </c>
      <c r="AM565" s="2">
        <v>0</v>
      </c>
      <c r="AN565" s="2">
        <v>0</v>
      </c>
      <c r="AO565" s="2">
        <v>0</v>
      </c>
      <c r="AP565" s="2">
        <v>0</v>
      </c>
      <c r="AQ565" s="2">
        <v>0</v>
      </c>
      <c r="AR565" s="2">
        <v>13.325741012619863</v>
      </c>
    </row>
    <row r="566" spans="1:44" x14ac:dyDescent="0.25">
      <c r="A566" t="s">
        <v>250</v>
      </c>
      <c r="B566" t="s">
        <v>425</v>
      </c>
      <c r="C566" t="s">
        <v>44</v>
      </c>
      <c r="D566" t="s">
        <v>426</v>
      </c>
      <c r="E566" t="s">
        <v>134</v>
      </c>
      <c r="F566" t="s">
        <v>427</v>
      </c>
      <c r="G566" t="s">
        <v>31</v>
      </c>
      <c r="H566" t="s">
        <v>288</v>
      </c>
      <c r="I566" t="s">
        <v>135</v>
      </c>
      <c r="J566" t="s">
        <v>39</v>
      </c>
      <c r="K566" t="s">
        <v>33</v>
      </c>
      <c r="L566">
        <v>2.8887849337297156</v>
      </c>
      <c r="M566">
        <v>1</v>
      </c>
      <c r="N566">
        <v>3.8176751585856912</v>
      </c>
      <c r="O566">
        <v>32.467069251224679</v>
      </c>
      <c r="P566">
        <v>-12.417746747424893</v>
      </c>
      <c r="Q566">
        <v>4.6064513862797822</v>
      </c>
      <c r="R566">
        <v>-16.482543607065516</v>
      </c>
      <c r="S566" s="2">
        <v>5.5367258583565192E-2</v>
      </c>
      <c r="T566" s="2">
        <v>3.5486457947880745E-2</v>
      </c>
      <c r="U566" s="2">
        <v>2.3405977158108621E-2</v>
      </c>
      <c r="V566" s="2">
        <v>1.1097062827123685E-2</v>
      </c>
      <c r="W566" s="2">
        <v>0</v>
      </c>
      <c r="X566" s="2">
        <v>0</v>
      </c>
      <c r="Y566" s="2">
        <v>0</v>
      </c>
      <c r="Z566" s="2">
        <v>0</v>
      </c>
      <c r="AA566" s="2">
        <v>0</v>
      </c>
      <c r="AB566" s="2">
        <v>0</v>
      </c>
      <c r="AC566" s="2">
        <v>0</v>
      </c>
      <c r="AD566" s="2">
        <v>0</v>
      </c>
      <c r="AE566" s="2">
        <v>0</v>
      </c>
      <c r="AF566" s="2">
        <v>0</v>
      </c>
      <c r="AG566" s="2">
        <v>0</v>
      </c>
      <c r="AH566" s="2">
        <v>0</v>
      </c>
      <c r="AI566" s="2">
        <v>0</v>
      </c>
      <c r="AJ566" s="2">
        <v>0</v>
      </c>
      <c r="AK566" s="2">
        <v>0</v>
      </c>
      <c r="AL566" s="2">
        <v>0</v>
      </c>
      <c r="AM566" s="2">
        <v>0</v>
      </c>
      <c r="AN566" s="2">
        <v>0</v>
      </c>
      <c r="AO566" s="2">
        <v>0</v>
      </c>
      <c r="AP566" s="2">
        <v>0</v>
      </c>
      <c r="AQ566" s="2">
        <v>0</v>
      </c>
      <c r="AR566" s="2">
        <v>0.12535675651667824</v>
      </c>
    </row>
    <row r="567" spans="1:44" x14ac:dyDescent="0.25">
      <c r="A567" t="s">
        <v>250</v>
      </c>
      <c r="B567" t="s">
        <v>425</v>
      </c>
      <c r="C567" t="s">
        <v>44</v>
      </c>
      <c r="D567" t="s">
        <v>426</v>
      </c>
      <c r="E567" t="s">
        <v>134</v>
      </c>
      <c r="F567" t="s">
        <v>427</v>
      </c>
      <c r="G567" t="s">
        <v>31</v>
      </c>
      <c r="H567" t="s">
        <v>289</v>
      </c>
      <c r="I567" t="s">
        <v>135</v>
      </c>
      <c r="J567" t="s">
        <v>39</v>
      </c>
      <c r="K567" t="s">
        <v>31</v>
      </c>
      <c r="L567">
        <v>2.8887849337297156</v>
      </c>
      <c r="M567">
        <v>1</v>
      </c>
      <c r="N567">
        <v>3.8176751585856912</v>
      </c>
      <c r="O567">
        <v>32.467069251224679</v>
      </c>
      <c r="P567">
        <v>-12.417746747424893</v>
      </c>
      <c r="Q567">
        <v>4.6064513862797822</v>
      </c>
      <c r="R567">
        <v>-16.482543607065516</v>
      </c>
      <c r="S567" s="2">
        <v>5.5940836591972944</v>
      </c>
      <c r="T567" s="2">
        <v>3.5854080481412374</v>
      </c>
      <c r="U567" s="2">
        <v>2.3648451756032283</v>
      </c>
      <c r="V567" s="2">
        <v>1.1212023028484348</v>
      </c>
      <c r="W567" s="2">
        <v>0</v>
      </c>
      <c r="X567" s="2">
        <v>0</v>
      </c>
      <c r="Y567" s="2">
        <v>0</v>
      </c>
      <c r="Z567" s="2">
        <v>0</v>
      </c>
      <c r="AA567" s="2">
        <v>0</v>
      </c>
      <c r="AB567" s="2">
        <v>0</v>
      </c>
      <c r="AC567" s="2">
        <v>0</v>
      </c>
      <c r="AD567" s="2">
        <v>0</v>
      </c>
      <c r="AE567" s="2">
        <v>0</v>
      </c>
      <c r="AF567" s="2">
        <v>0</v>
      </c>
      <c r="AG567" s="2">
        <v>0</v>
      </c>
      <c r="AH567" s="2">
        <v>0</v>
      </c>
      <c r="AI567" s="2">
        <v>0</v>
      </c>
      <c r="AJ567" s="2">
        <v>0</v>
      </c>
      <c r="AK567" s="2">
        <v>0</v>
      </c>
      <c r="AL567" s="2">
        <v>0</v>
      </c>
      <c r="AM567" s="2">
        <v>0</v>
      </c>
      <c r="AN567" s="2">
        <v>0</v>
      </c>
      <c r="AO567" s="2">
        <v>0</v>
      </c>
      <c r="AP567" s="2">
        <v>0</v>
      </c>
      <c r="AQ567" s="2">
        <v>0</v>
      </c>
      <c r="AR567" s="2">
        <v>12.665539185790196</v>
      </c>
    </row>
    <row r="568" spans="1:44" x14ac:dyDescent="0.25">
      <c r="A568" t="s">
        <v>250</v>
      </c>
      <c r="B568" t="s">
        <v>425</v>
      </c>
      <c r="C568" t="s">
        <v>44</v>
      </c>
      <c r="D568" t="s">
        <v>426</v>
      </c>
      <c r="E568" t="s">
        <v>134</v>
      </c>
      <c r="F568" t="s">
        <v>427</v>
      </c>
      <c r="G568" t="s">
        <v>31</v>
      </c>
      <c r="H568" t="s">
        <v>290</v>
      </c>
      <c r="I568" t="s">
        <v>135</v>
      </c>
      <c r="J568" t="s">
        <v>39</v>
      </c>
      <c r="K568" t="s">
        <v>31</v>
      </c>
      <c r="L568">
        <v>2.8887849337297156</v>
      </c>
      <c r="M568">
        <v>1</v>
      </c>
      <c r="N568">
        <v>3.8176751585856912</v>
      </c>
      <c r="O568">
        <v>32.467069251224679</v>
      </c>
      <c r="P568">
        <v>-12.417746747424893</v>
      </c>
      <c r="Q568">
        <v>4.6064513862797822</v>
      </c>
      <c r="R568">
        <v>-16.482543607065516</v>
      </c>
      <c r="S568" s="2">
        <v>8.1006141498439117</v>
      </c>
      <c r="T568" s="2">
        <v>5.1919150547535295</v>
      </c>
      <c r="U568" s="2">
        <v>3.4244568831547388</v>
      </c>
      <c r="V568" s="2">
        <v>1.6235772992702864</v>
      </c>
      <c r="W568" s="2">
        <v>0</v>
      </c>
      <c r="X568" s="2">
        <v>0</v>
      </c>
      <c r="Y568" s="2">
        <v>0</v>
      </c>
      <c r="Z568" s="2">
        <v>0</v>
      </c>
      <c r="AA568" s="2">
        <v>0</v>
      </c>
      <c r="AB568" s="2">
        <v>0</v>
      </c>
      <c r="AC568" s="2">
        <v>0</v>
      </c>
      <c r="AD568" s="2">
        <v>0</v>
      </c>
      <c r="AE568" s="2">
        <v>0</v>
      </c>
      <c r="AF568" s="2">
        <v>0</v>
      </c>
      <c r="AG568" s="2">
        <v>0</v>
      </c>
      <c r="AH568" s="2">
        <v>0</v>
      </c>
      <c r="AI568" s="2">
        <v>0</v>
      </c>
      <c r="AJ568" s="2">
        <v>0</v>
      </c>
      <c r="AK568" s="2">
        <v>0</v>
      </c>
      <c r="AL568" s="2">
        <v>0</v>
      </c>
      <c r="AM568" s="2">
        <v>0</v>
      </c>
      <c r="AN568" s="2">
        <v>0</v>
      </c>
      <c r="AO568" s="2">
        <v>0</v>
      </c>
      <c r="AP568" s="2">
        <v>0</v>
      </c>
      <c r="AQ568" s="2">
        <v>0</v>
      </c>
      <c r="AR568" s="2">
        <v>18.340563387022467</v>
      </c>
    </row>
    <row r="569" spans="1:44" x14ac:dyDescent="0.25">
      <c r="A569" t="s">
        <v>250</v>
      </c>
      <c r="B569" t="s">
        <v>429</v>
      </c>
      <c r="C569" t="s">
        <v>44</v>
      </c>
      <c r="D569" t="s">
        <v>426</v>
      </c>
      <c r="E569" t="s">
        <v>134</v>
      </c>
      <c r="F569" t="s">
        <v>427</v>
      </c>
      <c r="G569" t="s">
        <v>31</v>
      </c>
      <c r="H569" t="s">
        <v>254</v>
      </c>
      <c r="I569" t="s">
        <v>135</v>
      </c>
      <c r="J569" t="s">
        <v>39</v>
      </c>
      <c r="K569" t="s">
        <v>31</v>
      </c>
      <c r="L569">
        <v>1.0818728120569481</v>
      </c>
      <c r="M569">
        <v>1</v>
      </c>
      <c r="N569">
        <v>3.8101151180996409</v>
      </c>
      <c r="O569">
        <v>32.402775578293678</v>
      </c>
      <c r="P569">
        <v>-12.417746747424893</v>
      </c>
      <c r="Q569">
        <v>4.6064513862797831</v>
      </c>
      <c r="R569">
        <v>-16.482543607065512</v>
      </c>
      <c r="S569" s="2">
        <v>1.1980124950802735</v>
      </c>
      <c r="T569" s="2">
        <v>0.76669547936936555</v>
      </c>
      <c r="U569" s="2">
        <v>0.50493903933048323</v>
      </c>
      <c r="V569" s="2">
        <v>0.14734393411158944</v>
      </c>
      <c r="W569" s="2">
        <v>0</v>
      </c>
      <c r="X569" s="2">
        <v>0</v>
      </c>
      <c r="Y569" s="2">
        <v>0</v>
      </c>
      <c r="Z569" s="2">
        <v>0</v>
      </c>
      <c r="AA569" s="2">
        <v>0</v>
      </c>
      <c r="AB569" s="2">
        <v>0</v>
      </c>
      <c r="AC569" s="2">
        <v>0</v>
      </c>
      <c r="AD569" s="2">
        <v>0</v>
      </c>
      <c r="AE569" s="2">
        <v>0</v>
      </c>
      <c r="AF569" s="2">
        <v>0</v>
      </c>
      <c r="AG569" s="2">
        <v>0</v>
      </c>
      <c r="AH569" s="2">
        <v>0</v>
      </c>
      <c r="AI569" s="2">
        <v>0</v>
      </c>
      <c r="AJ569" s="2">
        <v>0</v>
      </c>
      <c r="AK569" s="2">
        <v>0</v>
      </c>
      <c r="AL569" s="2">
        <v>0</v>
      </c>
      <c r="AM569" s="2">
        <v>0</v>
      </c>
      <c r="AN569" s="2">
        <v>0</v>
      </c>
      <c r="AO569" s="2">
        <v>0</v>
      </c>
      <c r="AP569" s="2">
        <v>0</v>
      </c>
      <c r="AQ569" s="2">
        <v>0</v>
      </c>
      <c r="AR569" s="2">
        <v>2.6169909478917117</v>
      </c>
    </row>
    <row r="570" spans="1:44" x14ac:dyDescent="0.25">
      <c r="A570" t="s">
        <v>250</v>
      </c>
      <c r="B570" t="s">
        <v>429</v>
      </c>
      <c r="C570" t="s">
        <v>44</v>
      </c>
      <c r="D570" t="s">
        <v>426</v>
      </c>
      <c r="E570" t="s">
        <v>134</v>
      </c>
      <c r="F570" t="s">
        <v>427</v>
      </c>
      <c r="G570" t="s">
        <v>31</v>
      </c>
      <c r="H570" t="s">
        <v>255</v>
      </c>
      <c r="I570" t="s">
        <v>135</v>
      </c>
      <c r="J570" t="s">
        <v>39</v>
      </c>
      <c r="K570" t="s">
        <v>31</v>
      </c>
      <c r="L570">
        <v>1.0818728120569481</v>
      </c>
      <c r="M570">
        <v>1</v>
      </c>
      <c r="N570">
        <v>3.8101151180996409</v>
      </c>
      <c r="O570">
        <v>32.402775578293678</v>
      </c>
      <c r="P570">
        <v>-12.417746747424893</v>
      </c>
      <c r="Q570">
        <v>4.6064513862797831</v>
      </c>
      <c r="R570">
        <v>-16.482543607065512</v>
      </c>
      <c r="S570" s="2">
        <v>0.25114981603087039</v>
      </c>
      <c r="T570" s="2">
        <v>0.16000037208423809</v>
      </c>
      <c r="U570" s="2">
        <v>8.0789088882633739E-2</v>
      </c>
      <c r="V570" s="2">
        <v>0</v>
      </c>
      <c r="W570" s="2">
        <v>0</v>
      </c>
      <c r="X570" s="2">
        <v>0</v>
      </c>
      <c r="Y570" s="2">
        <v>0</v>
      </c>
      <c r="Z570" s="2">
        <v>0</v>
      </c>
      <c r="AA570" s="2">
        <v>0</v>
      </c>
      <c r="AB570" s="2">
        <v>0</v>
      </c>
      <c r="AC570" s="2">
        <v>0</v>
      </c>
      <c r="AD570" s="2">
        <v>0</v>
      </c>
      <c r="AE570" s="2">
        <v>0</v>
      </c>
      <c r="AF570" s="2">
        <v>0</v>
      </c>
      <c r="AG570" s="2">
        <v>0</v>
      </c>
      <c r="AH570" s="2">
        <v>0</v>
      </c>
      <c r="AI570" s="2">
        <v>0</v>
      </c>
      <c r="AJ570" s="2">
        <v>0</v>
      </c>
      <c r="AK570" s="2">
        <v>0</v>
      </c>
      <c r="AL570" s="2">
        <v>0</v>
      </c>
      <c r="AM570" s="2">
        <v>0</v>
      </c>
      <c r="AN570" s="2">
        <v>0</v>
      </c>
      <c r="AO570" s="2">
        <v>0</v>
      </c>
      <c r="AP570" s="2">
        <v>0</v>
      </c>
      <c r="AQ570" s="2">
        <v>0</v>
      </c>
      <c r="AR570" s="2">
        <v>0.4919392769977422</v>
      </c>
    </row>
    <row r="571" spans="1:44" x14ac:dyDescent="0.25">
      <c r="A571" t="s">
        <v>250</v>
      </c>
      <c r="B571" t="s">
        <v>433</v>
      </c>
      <c r="C571" t="s">
        <v>44</v>
      </c>
      <c r="D571" t="s">
        <v>426</v>
      </c>
      <c r="E571" t="s">
        <v>134</v>
      </c>
      <c r="F571" t="s">
        <v>427</v>
      </c>
      <c r="G571" t="s">
        <v>31</v>
      </c>
      <c r="H571" t="s">
        <v>278</v>
      </c>
      <c r="I571" t="s">
        <v>135</v>
      </c>
      <c r="J571" t="s">
        <v>39</v>
      </c>
      <c r="K571" t="s">
        <v>31</v>
      </c>
      <c r="L571">
        <v>5.6706223366326478</v>
      </c>
      <c r="M571">
        <v>1</v>
      </c>
      <c r="N571">
        <v>3.8164878835265905</v>
      </c>
      <c r="O571">
        <v>32.456972179063527</v>
      </c>
      <c r="P571">
        <v>-12.417746747424896</v>
      </c>
      <c r="Q571">
        <v>4.6064513862797822</v>
      </c>
      <c r="R571">
        <v>-16.482543607065516</v>
      </c>
      <c r="S571" s="2">
        <v>2.6679863198486835</v>
      </c>
      <c r="T571" s="2">
        <v>1.6996978561950287</v>
      </c>
      <c r="U571" s="2">
        <v>0.85822951152555116</v>
      </c>
      <c r="V571" s="2">
        <v>0</v>
      </c>
      <c r="W571" s="2">
        <v>0</v>
      </c>
      <c r="X571" s="2">
        <v>0</v>
      </c>
      <c r="Y571" s="2">
        <v>0</v>
      </c>
      <c r="Z571" s="2">
        <v>0</v>
      </c>
      <c r="AA571" s="2">
        <v>0</v>
      </c>
      <c r="AB571" s="2">
        <v>0</v>
      </c>
      <c r="AC571" s="2">
        <v>0</v>
      </c>
      <c r="AD571" s="2">
        <v>0</v>
      </c>
      <c r="AE571" s="2">
        <v>0</v>
      </c>
      <c r="AF571" s="2">
        <v>0</v>
      </c>
      <c r="AG571" s="2">
        <v>0</v>
      </c>
      <c r="AH571" s="2">
        <v>0</v>
      </c>
      <c r="AI571" s="2">
        <v>0</v>
      </c>
      <c r="AJ571" s="2">
        <v>0</v>
      </c>
      <c r="AK571" s="2">
        <v>0</v>
      </c>
      <c r="AL571" s="2">
        <v>0</v>
      </c>
      <c r="AM571" s="2">
        <v>0</v>
      </c>
      <c r="AN571" s="2">
        <v>0</v>
      </c>
      <c r="AO571" s="2">
        <v>0</v>
      </c>
      <c r="AP571" s="2">
        <v>0</v>
      </c>
      <c r="AQ571" s="2">
        <v>0</v>
      </c>
      <c r="AR571" s="2">
        <v>5.2259136875692631</v>
      </c>
    </row>
    <row r="572" spans="1:44" x14ac:dyDescent="0.25">
      <c r="A572" t="s">
        <v>250</v>
      </c>
      <c r="B572" t="s">
        <v>432</v>
      </c>
      <c r="C572" t="s">
        <v>44</v>
      </c>
      <c r="D572" t="s">
        <v>426</v>
      </c>
      <c r="E572" t="s">
        <v>134</v>
      </c>
      <c r="F572" t="s">
        <v>427</v>
      </c>
      <c r="G572" t="s">
        <v>31</v>
      </c>
      <c r="H572" t="s">
        <v>272</v>
      </c>
      <c r="I572" t="s">
        <v>135</v>
      </c>
      <c r="J572" t="s">
        <v>39</v>
      </c>
      <c r="K572" t="s">
        <v>31</v>
      </c>
      <c r="L572">
        <v>1.3518127382698817</v>
      </c>
      <c r="M572">
        <v>1</v>
      </c>
      <c r="N572">
        <v>3.816697933114499</v>
      </c>
      <c r="O572">
        <v>32.458758526574407</v>
      </c>
      <c r="P572">
        <v>-12.417746747424886</v>
      </c>
      <c r="Q572">
        <v>4.6064513862797805</v>
      </c>
      <c r="R572">
        <v>-16.482543607065505</v>
      </c>
      <c r="S572" s="2">
        <v>2.3261973489253749</v>
      </c>
      <c r="T572" s="2">
        <v>1.4885336835773466</v>
      </c>
      <c r="U572" s="2">
        <v>0.98022385816347746</v>
      </c>
      <c r="V572" s="2">
        <v>0.27262678104800614</v>
      </c>
      <c r="W572" s="2">
        <v>0</v>
      </c>
      <c r="X572" s="2">
        <v>0</v>
      </c>
      <c r="Y572" s="2">
        <v>0</v>
      </c>
      <c r="Z572" s="2">
        <v>0</v>
      </c>
      <c r="AA572" s="2">
        <v>0</v>
      </c>
      <c r="AB572" s="2">
        <v>0</v>
      </c>
      <c r="AC572" s="2">
        <v>0</v>
      </c>
      <c r="AD572" s="2">
        <v>0</v>
      </c>
      <c r="AE572" s="2">
        <v>0</v>
      </c>
      <c r="AF572" s="2">
        <v>0</v>
      </c>
      <c r="AG572" s="2">
        <v>0</v>
      </c>
      <c r="AH572" s="2">
        <v>0</v>
      </c>
      <c r="AI572" s="2">
        <v>0</v>
      </c>
      <c r="AJ572" s="2">
        <v>0</v>
      </c>
      <c r="AK572" s="2">
        <v>0</v>
      </c>
      <c r="AL572" s="2">
        <v>0</v>
      </c>
      <c r="AM572" s="2">
        <v>0</v>
      </c>
      <c r="AN572" s="2">
        <v>0</v>
      </c>
      <c r="AO572" s="2">
        <v>0</v>
      </c>
      <c r="AP572" s="2">
        <v>0</v>
      </c>
      <c r="AQ572" s="2">
        <v>0</v>
      </c>
      <c r="AR572" s="2">
        <v>5.0675816717142048</v>
      </c>
    </row>
    <row r="573" spans="1:44" x14ac:dyDescent="0.25">
      <c r="A573" t="s">
        <v>250</v>
      </c>
      <c r="B573" t="s">
        <v>432</v>
      </c>
      <c r="C573" t="s">
        <v>44</v>
      </c>
      <c r="D573" t="s">
        <v>426</v>
      </c>
      <c r="E573" t="s">
        <v>134</v>
      </c>
      <c r="F573" t="s">
        <v>427</v>
      </c>
      <c r="G573" t="s">
        <v>31</v>
      </c>
      <c r="H573" t="s">
        <v>272</v>
      </c>
      <c r="I573" t="s">
        <v>135</v>
      </c>
      <c r="J573" t="s">
        <v>40</v>
      </c>
      <c r="K573" t="s">
        <v>31</v>
      </c>
      <c r="L573">
        <v>1.3518127382698817</v>
      </c>
      <c r="M573">
        <v>1</v>
      </c>
      <c r="N573">
        <v>3.816697933114499</v>
      </c>
      <c r="O573">
        <v>31.165987365505025</v>
      </c>
      <c r="P573">
        <v>-12.417746747424886</v>
      </c>
      <c r="Q573">
        <v>0.4672931329656026</v>
      </c>
      <c r="R573">
        <v>-16.339543607065504</v>
      </c>
      <c r="S573" s="2">
        <v>0.23009776882818567</v>
      </c>
      <c r="T573" s="2">
        <v>0.14723956227315602</v>
      </c>
      <c r="U573" s="2">
        <v>9.6959668026346729E-2</v>
      </c>
      <c r="V573" s="2">
        <v>2.6967107528918857E-2</v>
      </c>
      <c r="W573" s="2">
        <v>0</v>
      </c>
      <c r="X573" s="2">
        <v>0</v>
      </c>
      <c r="Y573" s="2">
        <v>0</v>
      </c>
      <c r="Z573" s="2">
        <v>0</v>
      </c>
      <c r="AA573" s="2">
        <v>0</v>
      </c>
      <c r="AB573" s="2">
        <v>0</v>
      </c>
      <c r="AC573" s="2">
        <v>0</v>
      </c>
      <c r="AD573" s="2">
        <v>0</v>
      </c>
      <c r="AE573" s="2">
        <v>0</v>
      </c>
      <c r="AF573" s="2">
        <v>0</v>
      </c>
      <c r="AG573" s="2">
        <v>0</v>
      </c>
      <c r="AH573" s="2">
        <v>0</v>
      </c>
      <c r="AI573" s="2">
        <v>0</v>
      </c>
      <c r="AJ573" s="2">
        <v>0</v>
      </c>
      <c r="AK573" s="2">
        <v>0</v>
      </c>
      <c r="AL573" s="2">
        <v>0</v>
      </c>
      <c r="AM573" s="2">
        <v>0</v>
      </c>
      <c r="AN573" s="2">
        <v>0</v>
      </c>
      <c r="AO573" s="2">
        <v>0</v>
      </c>
      <c r="AP573" s="2">
        <v>0</v>
      </c>
      <c r="AQ573" s="2">
        <v>0</v>
      </c>
      <c r="AR573" s="2">
        <v>0.50126410665660737</v>
      </c>
    </row>
    <row r="574" spans="1:44" x14ac:dyDescent="0.25">
      <c r="A574" t="s">
        <v>250</v>
      </c>
      <c r="B574" t="s">
        <v>432</v>
      </c>
      <c r="C574" t="s">
        <v>44</v>
      </c>
      <c r="D574" t="s">
        <v>426</v>
      </c>
      <c r="E574" t="s">
        <v>134</v>
      </c>
      <c r="F574" t="s">
        <v>427</v>
      </c>
      <c r="G574" t="s">
        <v>31</v>
      </c>
      <c r="H574" t="s">
        <v>273</v>
      </c>
      <c r="I574" t="s">
        <v>135</v>
      </c>
      <c r="J574" t="s">
        <v>39</v>
      </c>
      <c r="K574" t="s">
        <v>31</v>
      </c>
      <c r="L574">
        <v>1.3518127382698817</v>
      </c>
      <c r="M574">
        <v>1</v>
      </c>
      <c r="N574">
        <v>3.816697933114499</v>
      </c>
      <c r="O574">
        <v>32.458758526574407</v>
      </c>
      <c r="P574">
        <v>-12.417746747424886</v>
      </c>
      <c r="Q574">
        <v>4.6064513862797805</v>
      </c>
      <c r="R574">
        <v>-16.482543607065505</v>
      </c>
      <c r="S574" s="2">
        <v>0.69961908341666779</v>
      </c>
      <c r="T574" s="2">
        <v>0.44768625147832553</v>
      </c>
      <c r="U574" s="2">
        <v>0.29480874333740031</v>
      </c>
      <c r="V574" s="2">
        <v>8.1994289418202138E-2</v>
      </c>
      <c r="W574" s="2">
        <v>0</v>
      </c>
      <c r="X574" s="2">
        <v>0</v>
      </c>
      <c r="Y574" s="2">
        <v>0</v>
      </c>
      <c r="Z574" s="2">
        <v>0</v>
      </c>
      <c r="AA574" s="2">
        <v>0</v>
      </c>
      <c r="AB574" s="2">
        <v>0</v>
      </c>
      <c r="AC574" s="2">
        <v>0</v>
      </c>
      <c r="AD574" s="2">
        <v>0</v>
      </c>
      <c r="AE574" s="2">
        <v>0</v>
      </c>
      <c r="AF574" s="2">
        <v>0</v>
      </c>
      <c r="AG574" s="2">
        <v>0</v>
      </c>
      <c r="AH574" s="2">
        <v>0</v>
      </c>
      <c r="AI574" s="2">
        <v>0</v>
      </c>
      <c r="AJ574" s="2">
        <v>0</v>
      </c>
      <c r="AK574" s="2">
        <v>0</v>
      </c>
      <c r="AL574" s="2">
        <v>0</v>
      </c>
      <c r="AM574" s="2">
        <v>0</v>
      </c>
      <c r="AN574" s="2">
        <v>0</v>
      </c>
      <c r="AO574" s="2">
        <v>0</v>
      </c>
      <c r="AP574" s="2">
        <v>0</v>
      </c>
      <c r="AQ574" s="2">
        <v>0</v>
      </c>
      <c r="AR574" s="2">
        <v>1.5241083676505958</v>
      </c>
    </row>
    <row r="575" spans="1:44" x14ac:dyDescent="0.25">
      <c r="A575" t="s">
        <v>250</v>
      </c>
      <c r="B575" t="s">
        <v>432</v>
      </c>
      <c r="C575" t="s">
        <v>44</v>
      </c>
      <c r="D575" t="s">
        <v>426</v>
      </c>
      <c r="E575" t="s">
        <v>134</v>
      </c>
      <c r="F575" t="s">
        <v>427</v>
      </c>
      <c r="G575" t="s">
        <v>31</v>
      </c>
      <c r="H575" t="s">
        <v>274</v>
      </c>
      <c r="I575" t="s">
        <v>135</v>
      </c>
      <c r="J575" t="s">
        <v>39</v>
      </c>
      <c r="K575" t="s">
        <v>31</v>
      </c>
      <c r="L575">
        <v>1.3518127382698817</v>
      </c>
      <c r="M575">
        <v>1</v>
      </c>
      <c r="N575">
        <v>3.816697933114499</v>
      </c>
      <c r="O575">
        <v>32.458758526574407</v>
      </c>
      <c r="P575">
        <v>-12.417746747424886</v>
      </c>
      <c r="Q575">
        <v>4.6064513862797805</v>
      </c>
      <c r="R575">
        <v>-16.482543607065505</v>
      </c>
      <c r="S575" s="2">
        <v>1.1013257183890155</v>
      </c>
      <c r="T575" s="2">
        <v>0.70473832719713081</v>
      </c>
      <c r="U575" s="2">
        <v>0.46408175354195913</v>
      </c>
      <c r="V575" s="2">
        <v>0.12907369429704141</v>
      </c>
      <c r="W575" s="2">
        <v>0</v>
      </c>
      <c r="X575" s="2">
        <v>0</v>
      </c>
      <c r="Y575" s="2">
        <v>0</v>
      </c>
      <c r="Z575" s="2">
        <v>0</v>
      </c>
      <c r="AA575" s="2">
        <v>0</v>
      </c>
      <c r="AB575" s="2">
        <v>0</v>
      </c>
      <c r="AC575" s="2">
        <v>0</v>
      </c>
      <c r="AD575" s="2">
        <v>0</v>
      </c>
      <c r="AE575" s="2">
        <v>0</v>
      </c>
      <c r="AF575" s="2">
        <v>0</v>
      </c>
      <c r="AG575" s="2">
        <v>0</v>
      </c>
      <c r="AH575" s="2">
        <v>0</v>
      </c>
      <c r="AI575" s="2">
        <v>0</v>
      </c>
      <c r="AJ575" s="2">
        <v>0</v>
      </c>
      <c r="AK575" s="2">
        <v>0</v>
      </c>
      <c r="AL575" s="2">
        <v>0</v>
      </c>
      <c r="AM575" s="2">
        <v>0</v>
      </c>
      <c r="AN575" s="2">
        <v>0</v>
      </c>
      <c r="AO575" s="2">
        <v>0</v>
      </c>
      <c r="AP575" s="2">
        <v>0</v>
      </c>
      <c r="AQ575" s="2">
        <v>0</v>
      </c>
      <c r="AR575" s="2">
        <v>2.399219493425147</v>
      </c>
    </row>
    <row r="576" spans="1:44" x14ac:dyDescent="0.25">
      <c r="A576" t="s">
        <v>250</v>
      </c>
      <c r="B576" t="s">
        <v>432</v>
      </c>
      <c r="C576" t="s">
        <v>44</v>
      </c>
      <c r="D576" t="s">
        <v>426</v>
      </c>
      <c r="E576" t="s">
        <v>134</v>
      </c>
      <c r="F576" t="s">
        <v>427</v>
      </c>
      <c r="G576" t="s">
        <v>31</v>
      </c>
      <c r="H576" t="s">
        <v>274</v>
      </c>
      <c r="I576" t="s">
        <v>135</v>
      </c>
      <c r="J576" t="s">
        <v>39</v>
      </c>
      <c r="K576" t="s">
        <v>33</v>
      </c>
      <c r="L576">
        <v>1.3518127382698817</v>
      </c>
      <c r="M576">
        <v>1</v>
      </c>
      <c r="N576">
        <v>3.816697933114499</v>
      </c>
      <c r="O576">
        <v>32.458758526574407</v>
      </c>
      <c r="P576">
        <v>-12.417746747424886</v>
      </c>
      <c r="Q576">
        <v>4.6064513862797805</v>
      </c>
      <c r="R576">
        <v>-16.482543607065505</v>
      </c>
      <c r="S576" s="2">
        <v>3.5434963619219934E-3</v>
      </c>
      <c r="T576" s="2">
        <v>2.2674833219938828E-3</v>
      </c>
      <c r="U576" s="2">
        <v>1.4931749779854345E-3</v>
      </c>
      <c r="V576" s="2">
        <v>4.1529236857414781E-4</v>
      </c>
      <c r="W576" s="2">
        <v>0</v>
      </c>
      <c r="X576" s="2">
        <v>0</v>
      </c>
      <c r="Y576" s="2">
        <v>0</v>
      </c>
      <c r="Z576" s="2">
        <v>0</v>
      </c>
      <c r="AA576" s="2">
        <v>0</v>
      </c>
      <c r="AB576" s="2">
        <v>0</v>
      </c>
      <c r="AC576" s="2">
        <v>0</v>
      </c>
      <c r="AD576" s="2">
        <v>0</v>
      </c>
      <c r="AE576" s="2">
        <v>0</v>
      </c>
      <c r="AF576" s="2">
        <v>0</v>
      </c>
      <c r="AG576" s="2">
        <v>0</v>
      </c>
      <c r="AH576" s="2">
        <v>0</v>
      </c>
      <c r="AI576" s="2">
        <v>0</v>
      </c>
      <c r="AJ576" s="2">
        <v>0</v>
      </c>
      <c r="AK576" s="2">
        <v>0</v>
      </c>
      <c r="AL576" s="2">
        <v>0</v>
      </c>
      <c r="AM576" s="2">
        <v>0</v>
      </c>
      <c r="AN576" s="2">
        <v>0</v>
      </c>
      <c r="AO576" s="2">
        <v>0</v>
      </c>
      <c r="AP576" s="2">
        <v>0</v>
      </c>
      <c r="AQ576" s="2">
        <v>0</v>
      </c>
      <c r="AR576" s="2">
        <v>7.719447030475458E-3</v>
      </c>
    </row>
    <row r="577" spans="1:44" x14ac:dyDescent="0.25">
      <c r="A577" t="s">
        <v>250</v>
      </c>
      <c r="B577" t="s">
        <v>432</v>
      </c>
      <c r="C577" t="s">
        <v>44</v>
      </c>
      <c r="D577" t="s">
        <v>426</v>
      </c>
      <c r="E577" t="s">
        <v>134</v>
      </c>
      <c r="F577" t="s">
        <v>427</v>
      </c>
      <c r="G577" t="s">
        <v>31</v>
      </c>
      <c r="H577" t="s">
        <v>275</v>
      </c>
      <c r="I577" t="s">
        <v>135</v>
      </c>
      <c r="J577" t="s">
        <v>39</v>
      </c>
      <c r="K577" t="s">
        <v>31</v>
      </c>
      <c r="L577">
        <v>1.3518127382698817</v>
      </c>
      <c r="M577">
        <v>1</v>
      </c>
      <c r="N577">
        <v>3.816697933114499</v>
      </c>
      <c r="O577">
        <v>32.458758526574407</v>
      </c>
      <c r="P577">
        <v>-12.417746747424886</v>
      </c>
      <c r="Q577">
        <v>4.6064513862797805</v>
      </c>
      <c r="R577">
        <v>-16.482543607065505</v>
      </c>
      <c r="S577" s="2">
        <v>1.6824814221545898</v>
      </c>
      <c r="T577" s="2">
        <v>1.076619862036722</v>
      </c>
      <c r="U577" s="2">
        <v>0.70897184698221172</v>
      </c>
      <c r="V577" s="2">
        <v>0.19718425631728076</v>
      </c>
      <c r="W577" s="2">
        <v>0</v>
      </c>
      <c r="X577" s="2">
        <v>0</v>
      </c>
      <c r="Y577" s="2">
        <v>0</v>
      </c>
      <c r="Z577" s="2">
        <v>0</v>
      </c>
      <c r="AA577" s="2">
        <v>0</v>
      </c>
      <c r="AB577" s="2">
        <v>0</v>
      </c>
      <c r="AC577" s="2">
        <v>0</v>
      </c>
      <c r="AD577" s="2">
        <v>0</v>
      </c>
      <c r="AE577" s="2">
        <v>0</v>
      </c>
      <c r="AF577" s="2">
        <v>0</v>
      </c>
      <c r="AG577" s="2">
        <v>0</v>
      </c>
      <c r="AH577" s="2">
        <v>0</v>
      </c>
      <c r="AI577" s="2">
        <v>0</v>
      </c>
      <c r="AJ577" s="2">
        <v>0</v>
      </c>
      <c r="AK577" s="2">
        <v>0</v>
      </c>
      <c r="AL577" s="2">
        <v>0</v>
      </c>
      <c r="AM577" s="2">
        <v>0</v>
      </c>
      <c r="AN577" s="2">
        <v>0</v>
      </c>
      <c r="AO577" s="2">
        <v>0</v>
      </c>
      <c r="AP577" s="2">
        <v>0</v>
      </c>
      <c r="AQ577" s="2">
        <v>0</v>
      </c>
      <c r="AR577" s="2">
        <v>3.6652573874908048</v>
      </c>
    </row>
    <row r="578" spans="1:44" x14ac:dyDescent="0.25">
      <c r="A578" t="s">
        <v>250</v>
      </c>
      <c r="B578" t="s">
        <v>430</v>
      </c>
      <c r="C578" t="s">
        <v>44</v>
      </c>
      <c r="D578" t="s">
        <v>426</v>
      </c>
      <c r="E578" t="s">
        <v>134</v>
      </c>
      <c r="F578" t="s">
        <v>427</v>
      </c>
      <c r="G578" t="s">
        <v>31</v>
      </c>
      <c r="H578" t="s">
        <v>276</v>
      </c>
      <c r="I578" t="s">
        <v>135</v>
      </c>
      <c r="J578" t="s">
        <v>39</v>
      </c>
      <c r="K578" t="s">
        <v>31</v>
      </c>
      <c r="L578">
        <v>5.2615885271995229</v>
      </c>
      <c r="M578">
        <v>1</v>
      </c>
      <c r="N578">
        <v>3.8162941378963127</v>
      </c>
      <c r="O578">
        <v>32.455324487069326</v>
      </c>
      <c r="P578">
        <v>-12.417746747424884</v>
      </c>
      <c r="Q578">
        <v>4.6064513862797813</v>
      </c>
      <c r="R578">
        <v>-16.482543607065505</v>
      </c>
      <c r="S578" s="2">
        <v>27.938964815259901</v>
      </c>
      <c r="T578" s="2">
        <v>17.923045493023611</v>
      </c>
      <c r="U578" s="2">
        <v>11.832262488966972</v>
      </c>
      <c r="V578" s="2">
        <v>5.9037073688701041</v>
      </c>
      <c r="W578" s="2">
        <v>1.0432749318246206</v>
      </c>
      <c r="X578" s="2">
        <v>0</v>
      </c>
      <c r="Y578" s="2">
        <v>0</v>
      </c>
      <c r="Z578" s="2">
        <v>0</v>
      </c>
      <c r="AA578" s="2">
        <v>0</v>
      </c>
      <c r="AB578" s="2">
        <v>0</v>
      </c>
      <c r="AC578" s="2">
        <v>0</v>
      </c>
      <c r="AD578" s="2">
        <v>0</v>
      </c>
      <c r="AE578" s="2">
        <v>0</v>
      </c>
      <c r="AF578" s="2">
        <v>0</v>
      </c>
      <c r="AG578" s="2">
        <v>0</v>
      </c>
      <c r="AH578" s="2">
        <v>0</v>
      </c>
      <c r="AI578" s="2">
        <v>0</v>
      </c>
      <c r="AJ578" s="2">
        <v>0</v>
      </c>
      <c r="AK578" s="2">
        <v>0</v>
      </c>
      <c r="AL578" s="2">
        <v>0</v>
      </c>
      <c r="AM578" s="2">
        <v>0</v>
      </c>
      <c r="AN578" s="2">
        <v>0</v>
      </c>
      <c r="AO578" s="2">
        <v>0</v>
      </c>
      <c r="AP578" s="2">
        <v>0</v>
      </c>
      <c r="AQ578" s="2">
        <v>0</v>
      </c>
      <c r="AR578" s="2">
        <v>64.641255097945219</v>
      </c>
    </row>
    <row r="579" spans="1:44" x14ac:dyDescent="0.25">
      <c r="A579" t="s">
        <v>250</v>
      </c>
      <c r="B579" t="s">
        <v>434</v>
      </c>
      <c r="C579" t="s">
        <v>44</v>
      </c>
      <c r="D579" t="s">
        <v>426</v>
      </c>
      <c r="E579" t="s">
        <v>134</v>
      </c>
      <c r="F579" t="s">
        <v>427</v>
      </c>
      <c r="G579" t="s">
        <v>31</v>
      </c>
      <c r="H579" t="s">
        <v>277</v>
      </c>
      <c r="I579" t="s">
        <v>135</v>
      </c>
      <c r="J579" t="s">
        <v>39</v>
      </c>
      <c r="K579" t="s">
        <v>31</v>
      </c>
      <c r="L579">
        <v>1.6183681259174498</v>
      </c>
      <c r="M579">
        <v>1</v>
      </c>
      <c r="N579">
        <v>3.8167609045660575</v>
      </c>
      <c r="O579">
        <v>32.459294061525291</v>
      </c>
      <c r="P579">
        <v>-12.417746747424893</v>
      </c>
      <c r="Q579">
        <v>4.6064513862797813</v>
      </c>
      <c r="R579">
        <v>-16.482543607065512</v>
      </c>
      <c r="S579" s="2">
        <v>3.4120835925999153</v>
      </c>
      <c r="T579" s="2">
        <v>2.1831290730275423</v>
      </c>
      <c r="U579" s="2">
        <v>1.4374530083532602</v>
      </c>
      <c r="V579" s="2">
        <v>0.37902419646135532</v>
      </c>
      <c r="W579" s="2">
        <v>0</v>
      </c>
      <c r="X579" s="2">
        <v>0</v>
      </c>
      <c r="Y579" s="2">
        <v>0</v>
      </c>
      <c r="Z579" s="2">
        <v>0</v>
      </c>
      <c r="AA579" s="2">
        <v>0</v>
      </c>
      <c r="AB579" s="2">
        <v>0</v>
      </c>
      <c r="AC579" s="2">
        <v>0</v>
      </c>
      <c r="AD579" s="2">
        <v>0</v>
      </c>
      <c r="AE579" s="2">
        <v>0</v>
      </c>
      <c r="AF579" s="2">
        <v>0</v>
      </c>
      <c r="AG579" s="2">
        <v>0</v>
      </c>
      <c r="AH579" s="2">
        <v>0</v>
      </c>
      <c r="AI579" s="2">
        <v>0</v>
      </c>
      <c r="AJ579" s="2">
        <v>0</v>
      </c>
      <c r="AK579" s="2">
        <v>0</v>
      </c>
      <c r="AL579" s="2">
        <v>0</v>
      </c>
      <c r="AM579" s="2">
        <v>0</v>
      </c>
      <c r="AN579" s="2">
        <v>0</v>
      </c>
      <c r="AO579" s="2">
        <v>0</v>
      </c>
      <c r="AP579" s="2">
        <v>0</v>
      </c>
      <c r="AQ579" s="2">
        <v>0</v>
      </c>
      <c r="AR579" s="2">
        <v>7.4116898704420722</v>
      </c>
    </row>
    <row r="580" spans="1:44" x14ac:dyDescent="0.25">
      <c r="A580" t="s">
        <v>250</v>
      </c>
      <c r="B580" t="s">
        <v>434</v>
      </c>
      <c r="C580" t="s">
        <v>44</v>
      </c>
      <c r="D580" t="s">
        <v>426</v>
      </c>
      <c r="E580" t="s">
        <v>134</v>
      </c>
      <c r="F580" t="s">
        <v>427</v>
      </c>
      <c r="G580" t="s">
        <v>31</v>
      </c>
      <c r="H580" t="s">
        <v>277</v>
      </c>
      <c r="I580" t="s">
        <v>135</v>
      </c>
      <c r="J580" t="s">
        <v>40</v>
      </c>
      <c r="K580" t="s">
        <v>31</v>
      </c>
      <c r="L580">
        <v>1.6183681259174498</v>
      </c>
      <c r="M580">
        <v>1</v>
      </c>
      <c r="N580">
        <v>3.8167609045660575</v>
      </c>
      <c r="O580">
        <v>31.165987365505021</v>
      </c>
      <c r="P580">
        <v>-12.417746747424893</v>
      </c>
      <c r="Q580">
        <v>0.4672931329656026</v>
      </c>
      <c r="R580">
        <v>-16.339543607065512</v>
      </c>
      <c r="S580" s="2">
        <v>0.53824045709959734</v>
      </c>
      <c r="T580" s="2">
        <v>0.3443785470913418</v>
      </c>
      <c r="U580" s="2">
        <v>0.22675158543982654</v>
      </c>
      <c r="V580" s="2">
        <v>5.9789319698266903E-2</v>
      </c>
      <c r="W580" s="2">
        <v>0</v>
      </c>
      <c r="X580" s="2">
        <v>0</v>
      </c>
      <c r="Y580" s="2">
        <v>0</v>
      </c>
      <c r="Z580" s="2">
        <v>0</v>
      </c>
      <c r="AA580" s="2">
        <v>0</v>
      </c>
      <c r="AB580" s="2">
        <v>0</v>
      </c>
      <c r="AC580" s="2">
        <v>0</v>
      </c>
      <c r="AD580" s="2">
        <v>0</v>
      </c>
      <c r="AE580" s="2">
        <v>0</v>
      </c>
      <c r="AF580" s="2">
        <v>0</v>
      </c>
      <c r="AG580" s="2">
        <v>0</v>
      </c>
      <c r="AH580" s="2">
        <v>0</v>
      </c>
      <c r="AI580" s="2">
        <v>0</v>
      </c>
      <c r="AJ580" s="2">
        <v>0</v>
      </c>
      <c r="AK580" s="2">
        <v>0</v>
      </c>
      <c r="AL580" s="2">
        <v>0</v>
      </c>
      <c r="AM580" s="2">
        <v>0</v>
      </c>
      <c r="AN580" s="2">
        <v>0</v>
      </c>
      <c r="AO580" s="2">
        <v>0</v>
      </c>
      <c r="AP580" s="2">
        <v>0</v>
      </c>
      <c r="AQ580" s="2">
        <v>0</v>
      </c>
      <c r="AR580" s="2">
        <v>1.1691599093290326</v>
      </c>
    </row>
    <row r="581" spans="1:44" x14ac:dyDescent="0.25">
      <c r="A581" t="s">
        <v>250</v>
      </c>
      <c r="B581" t="s">
        <v>418</v>
      </c>
      <c r="C581" t="s">
        <v>46</v>
      </c>
      <c r="D581" t="s">
        <v>417</v>
      </c>
      <c r="E581" t="s">
        <v>134</v>
      </c>
      <c r="F581" t="s">
        <v>417</v>
      </c>
      <c r="G581" t="s">
        <v>31</v>
      </c>
      <c r="H581" t="s">
        <v>253</v>
      </c>
      <c r="I581" t="s">
        <v>135</v>
      </c>
      <c r="J581" t="s">
        <v>39</v>
      </c>
      <c r="K581" t="s">
        <v>31</v>
      </c>
      <c r="L581">
        <v>132.92529508551502</v>
      </c>
      <c r="M581">
        <v>1</v>
      </c>
      <c r="N581">
        <v>3.7090191236946746</v>
      </c>
      <c r="O581">
        <v>6.6927284547203163</v>
      </c>
      <c r="P581">
        <v>-2.1462333666955802</v>
      </c>
      <c r="Q581">
        <v>0.97738688913926208</v>
      </c>
      <c r="R581">
        <v>-2.5819657291956819</v>
      </c>
      <c r="S581" s="2">
        <v>11.594299087644044</v>
      </c>
      <c r="T581" s="2">
        <v>13.403971860154334</v>
      </c>
      <c r="U581" s="2">
        <v>15.226242688948162</v>
      </c>
      <c r="V581" s="2">
        <v>17.728322579027594</v>
      </c>
      <c r="W581" s="2">
        <v>19.368507376076593</v>
      </c>
      <c r="X581" s="2">
        <v>19.705174593401349</v>
      </c>
      <c r="Y581" s="2">
        <v>18.493626193419448</v>
      </c>
      <c r="Z581" s="2">
        <v>15.831661141157921</v>
      </c>
      <c r="AA581" s="2">
        <v>12.200977855899541</v>
      </c>
      <c r="AB581" s="2">
        <v>4.1640561421840001</v>
      </c>
      <c r="AC581" s="2">
        <v>0</v>
      </c>
      <c r="AD581" s="2">
        <v>0</v>
      </c>
      <c r="AE581" s="2">
        <v>0</v>
      </c>
      <c r="AF581" s="2">
        <v>0</v>
      </c>
      <c r="AG581" s="2">
        <v>0</v>
      </c>
      <c r="AH581" s="2">
        <v>0</v>
      </c>
      <c r="AI581" s="2">
        <v>0</v>
      </c>
      <c r="AJ581" s="2">
        <v>0</v>
      </c>
      <c r="AK581" s="2">
        <v>0</v>
      </c>
      <c r="AL581" s="2">
        <v>0</v>
      </c>
      <c r="AM581" s="2">
        <v>0</v>
      </c>
      <c r="AN581" s="2">
        <v>0</v>
      </c>
      <c r="AO581" s="2">
        <v>0</v>
      </c>
      <c r="AP581" s="2">
        <v>0</v>
      </c>
      <c r="AQ581" s="2">
        <v>0</v>
      </c>
      <c r="AR581" s="2">
        <v>147.71683951791297</v>
      </c>
    </row>
    <row r="582" spans="1:44" x14ac:dyDescent="0.25">
      <c r="A582" t="s">
        <v>250</v>
      </c>
      <c r="B582" t="s">
        <v>418</v>
      </c>
      <c r="C582" t="s">
        <v>46</v>
      </c>
      <c r="D582" t="s">
        <v>417</v>
      </c>
      <c r="E582" t="s">
        <v>134</v>
      </c>
      <c r="F582" t="s">
        <v>417</v>
      </c>
      <c r="G582" t="s">
        <v>31</v>
      </c>
      <c r="H582" t="s">
        <v>253</v>
      </c>
      <c r="I582" t="s">
        <v>135</v>
      </c>
      <c r="J582" t="s">
        <v>40</v>
      </c>
      <c r="K582" t="s">
        <v>31</v>
      </c>
      <c r="L582">
        <v>132.92529508551502</v>
      </c>
      <c r="M582">
        <v>1</v>
      </c>
      <c r="N582">
        <v>3.7090191236946746</v>
      </c>
      <c r="O582">
        <v>5.5028068801139645</v>
      </c>
      <c r="P582">
        <v>-2.1462333666955802</v>
      </c>
      <c r="Q582">
        <v>0.4672931329656026</v>
      </c>
      <c r="R582">
        <v>-2.4389657291956826</v>
      </c>
      <c r="S582" s="2">
        <v>6.0988422953551256</v>
      </c>
      <c r="T582" s="2">
        <v>7.0507677858317601</v>
      </c>
      <c r="U582" s="2">
        <v>8.0093201157508176</v>
      </c>
      <c r="V582" s="2">
        <v>9.3254661410190636</v>
      </c>
      <c r="W582" s="2">
        <v>10.188237433774592</v>
      </c>
      <c r="X582" s="2">
        <v>10.365331387359754</v>
      </c>
      <c r="Y582" s="2">
        <v>9.7280317482160772</v>
      </c>
      <c r="Z582" s="2">
        <v>8.3277828045959126</v>
      </c>
      <c r="AA582" s="2">
        <v>6.4179679366346125</v>
      </c>
      <c r="AB582" s="2">
        <v>2.1903800762954067</v>
      </c>
      <c r="AC582" s="2">
        <v>0</v>
      </c>
      <c r="AD582" s="2">
        <v>0</v>
      </c>
      <c r="AE582" s="2">
        <v>0</v>
      </c>
      <c r="AF582" s="2">
        <v>0</v>
      </c>
      <c r="AG582" s="2">
        <v>0</v>
      </c>
      <c r="AH582" s="2">
        <v>0</v>
      </c>
      <c r="AI582" s="2">
        <v>0</v>
      </c>
      <c r="AJ582" s="2">
        <v>0</v>
      </c>
      <c r="AK582" s="2">
        <v>0</v>
      </c>
      <c r="AL582" s="2">
        <v>0</v>
      </c>
      <c r="AM582" s="2">
        <v>0</v>
      </c>
      <c r="AN582" s="2">
        <v>0</v>
      </c>
      <c r="AO582" s="2">
        <v>0</v>
      </c>
      <c r="AP582" s="2">
        <v>0</v>
      </c>
      <c r="AQ582" s="2">
        <v>0</v>
      </c>
      <c r="AR582" s="2">
        <v>77.702127724833133</v>
      </c>
    </row>
    <row r="583" spans="1:44" x14ac:dyDescent="0.25">
      <c r="A583" t="s">
        <v>250</v>
      </c>
      <c r="B583" t="s">
        <v>418</v>
      </c>
      <c r="C583" t="s">
        <v>46</v>
      </c>
      <c r="D583" t="s">
        <v>417</v>
      </c>
      <c r="E583" t="s">
        <v>134</v>
      </c>
      <c r="F583" t="s">
        <v>417</v>
      </c>
      <c r="G583" t="s">
        <v>31</v>
      </c>
      <c r="H583" t="s">
        <v>253</v>
      </c>
      <c r="I583" t="s">
        <v>256</v>
      </c>
      <c r="J583" t="s">
        <v>39</v>
      </c>
      <c r="K583" t="s">
        <v>31</v>
      </c>
      <c r="L583">
        <v>132.92529508551502</v>
      </c>
      <c r="M583">
        <v>1</v>
      </c>
      <c r="N583">
        <v>2.2122352322745571</v>
      </c>
      <c r="O583">
        <v>3.9918612425028721</v>
      </c>
      <c r="P583">
        <v>-0.68329641534671282</v>
      </c>
      <c r="Q583">
        <v>0.4672931329656026</v>
      </c>
      <c r="R583">
        <v>-1.1190287778468149</v>
      </c>
      <c r="S583" s="2">
        <v>6.0819161045529793</v>
      </c>
      <c r="T583" s="2">
        <v>7.0311997047001151</v>
      </c>
      <c r="U583" s="2">
        <v>7.9870917527420033</v>
      </c>
      <c r="V583" s="2">
        <v>9.2995850620244394</v>
      </c>
      <c r="W583" s="2">
        <v>10.159961895173932</v>
      </c>
      <c r="X583" s="2">
        <v>10.336564357767344</v>
      </c>
      <c r="Y583" s="2">
        <v>9.7010334240218192</v>
      </c>
      <c r="Z583" s="2">
        <v>8.3046706082341881</v>
      </c>
      <c r="AA583" s="2">
        <v>6.4001560725796471</v>
      </c>
      <c r="AB583" s="2">
        <v>2.1843010879718108</v>
      </c>
      <c r="AC583" s="2">
        <v>0</v>
      </c>
      <c r="AD583" s="2">
        <v>0</v>
      </c>
      <c r="AE583" s="2">
        <v>0</v>
      </c>
      <c r="AF583" s="2">
        <v>0</v>
      </c>
      <c r="AG583" s="2">
        <v>0</v>
      </c>
      <c r="AH583" s="2">
        <v>0</v>
      </c>
      <c r="AI583" s="2">
        <v>0</v>
      </c>
      <c r="AJ583" s="2">
        <v>0</v>
      </c>
      <c r="AK583" s="2">
        <v>0</v>
      </c>
      <c r="AL583" s="2">
        <v>0</v>
      </c>
      <c r="AM583" s="2">
        <v>0</v>
      </c>
      <c r="AN583" s="2">
        <v>0</v>
      </c>
      <c r="AO583" s="2">
        <v>0</v>
      </c>
      <c r="AP583" s="2">
        <v>0</v>
      </c>
      <c r="AQ583" s="2">
        <v>0</v>
      </c>
      <c r="AR583" s="2">
        <v>77.486480069768277</v>
      </c>
    </row>
    <row r="584" spans="1:44" x14ac:dyDescent="0.25">
      <c r="A584" t="s">
        <v>250</v>
      </c>
      <c r="B584" t="s">
        <v>421</v>
      </c>
      <c r="C584" t="s">
        <v>46</v>
      </c>
      <c r="D584" t="s">
        <v>417</v>
      </c>
      <c r="E584" t="s">
        <v>134</v>
      </c>
      <c r="F584" t="s">
        <v>417</v>
      </c>
      <c r="G584" t="s">
        <v>31</v>
      </c>
      <c r="H584" t="s">
        <v>252</v>
      </c>
      <c r="I584" t="s">
        <v>135</v>
      </c>
      <c r="J584" t="s">
        <v>39</v>
      </c>
      <c r="K584" t="s">
        <v>31</v>
      </c>
      <c r="L584">
        <v>23.32522440484621</v>
      </c>
      <c r="M584">
        <v>1</v>
      </c>
      <c r="N584">
        <v>4.5763392831344119</v>
      </c>
      <c r="O584">
        <v>8.2577617200793298</v>
      </c>
      <c r="P584">
        <v>-2.9939407192181542</v>
      </c>
      <c r="Q584">
        <v>0.97738688913926253</v>
      </c>
      <c r="R584">
        <v>-3.4296730817182568</v>
      </c>
      <c r="S584" s="2">
        <v>4.3390973709467868</v>
      </c>
      <c r="T584" s="2">
        <v>5.0183714299059439</v>
      </c>
      <c r="U584" s="2">
        <v>5.702908980929152</v>
      </c>
      <c r="V584" s="2">
        <v>6.6427167761967096</v>
      </c>
      <c r="W584" s="2">
        <v>7.2602009568029304</v>
      </c>
      <c r="X584" s="2">
        <v>7.3893659257831752</v>
      </c>
      <c r="Y584" s="2">
        <v>6.9378252954368724</v>
      </c>
      <c r="Z584" s="2">
        <v>5.9415829961686972</v>
      </c>
      <c r="AA584" s="2">
        <v>4.5808357408499258</v>
      </c>
      <c r="AB584" s="2">
        <v>2.0046039706287431</v>
      </c>
      <c r="AC584" s="2">
        <v>0</v>
      </c>
      <c r="AD584" s="2">
        <v>0</v>
      </c>
      <c r="AE584" s="2">
        <v>0</v>
      </c>
      <c r="AF584" s="2">
        <v>0</v>
      </c>
      <c r="AG584" s="2">
        <v>0</v>
      </c>
      <c r="AH584" s="2">
        <v>0</v>
      </c>
      <c r="AI584" s="2">
        <v>0</v>
      </c>
      <c r="AJ584" s="2">
        <v>0</v>
      </c>
      <c r="AK584" s="2">
        <v>0</v>
      </c>
      <c r="AL584" s="2">
        <v>0</v>
      </c>
      <c r="AM584" s="2">
        <v>0</v>
      </c>
      <c r="AN584" s="2">
        <v>0</v>
      </c>
      <c r="AO584" s="2">
        <v>0</v>
      </c>
      <c r="AP584" s="2">
        <v>0</v>
      </c>
      <c r="AQ584" s="2">
        <v>0</v>
      </c>
      <c r="AR584" s="2">
        <v>55.817509443648937</v>
      </c>
    </row>
    <row r="585" spans="1:44" x14ac:dyDescent="0.25">
      <c r="A585" t="s">
        <v>250</v>
      </c>
      <c r="B585" t="s">
        <v>416</v>
      </c>
      <c r="C585" t="s">
        <v>46</v>
      </c>
      <c r="D585" t="s">
        <v>417</v>
      </c>
      <c r="E585" t="s">
        <v>134</v>
      </c>
      <c r="F585" t="s">
        <v>417</v>
      </c>
      <c r="G585" t="s">
        <v>31</v>
      </c>
      <c r="H585" t="s">
        <v>288</v>
      </c>
      <c r="I585" t="s">
        <v>135</v>
      </c>
      <c r="J585" t="s">
        <v>39</v>
      </c>
      <c r="K585" t="s">
        <v>31</v>
      </c>
      <c r="L585">
        <v>14.288847944005283</v>
      </c>
      <c r="M585">
        <v>1</v>
      </c>
      <c r="N585">
        <v>6.2590732420642228</v>
      </c>
      <c r="O585">
        <v>11.294165974969015</v>
      </c>
      <c r="P585">
        <v>-4.6386228285855591</v>
      </c>
      <c r="Q585">
        <v>0.97738688913926242</v>
      </c>
      <c r="R585">
        <v>-5.0743551910856617</v>
      </c>
      <c r="S585" s="2">
        <v>6.4288379104951865</v>
      </c>
      <c r="T585" s="2">
        <v>7.4404792551808256</v>
      </c>
      <c r="U585" s="2">
        <v>8.4613483738794706</v>
      </c>
      <c r="V585" s="2">
        <v>9.8626563275174437</v>
      </c>
      <c r="W585" s="2">
        <v>10.787028692026189</v>
      </c>
      <c r="X585" s="2">
        <v>10.986652636374522</v>
      </c>
      <c r="Y585" s="2">
        <v>10.32254078692152</v>
      </c>
      <c r="Z585" s="2">
        <v>8.8464788614067125</v>
      </c>
      <c r="AA585" s="2">
        <v>6.8252415070824917</v>
      </c>
      <c r="AB585" s="2">
        <v>4.1441987545333401</v>
      </c>
      <c r="AC585" s="2">
        <v>0</v>
      </c>
      <c r="AD585" s="2">
        <v>0</v>
      </c>
      <c r="AE585" s="2">
        <v>0</v>
      </c>
      <c r="AF585" s="2">
        <v>0</v>
      </c>
      <c r="AG585" s="2">
        <v>0</v>
      </c>
      <c r="AH585" s="2">
        <v>0</v>
      </c>
      <c r="AI585" s="2">
        <v>0</v>
      </c>
      <c r="AJ585" s="2">
        <v>0</v>
      </c>
      <c r="AK585" s="2">
        <v>0</v>
      </c>
      <c r="AL585" s="2">
        <v>0</v>
      </c>
      <c r="AM585" s="2">
        <v>0</v>
      </c>
      <c r="AN585" s="2">
        <v>0</v>
      </c>
      <c r="AO585" s="2">
        <v>0</v>
      </c>
      <c r="AP585" s="2">
        <v>0</v>
      </c>
      <c r="AQ585" s="2">
        <v>0</v>
      </c>
      <c r="AR585" s="2">
        <v>84.105463105417698</v>
      </c>
    </row>
    <row r="586" spans="1:44" x14ac:dyDescent="0.25">
      <c r="A586" t="s">
        <v>250</v>
      </c>
      <c r="B586" t="s">
        <v>416</v>
      </c>
      <c r="C586" t="s">
        <v>46</v>
      </c>
      <c r="D586" t="s">
        <v>417</v>
      </c>
      <c r="E586" t="s">
        <v>134</v>
      </c>
      <c r="F586" t="s">
        <v>417</v>
      </c>
      <c r="G586" t="s">
        <v>31</v>
      </c>
      <c r="H586" t="s">
        <v>288</v>
      </c>
      <c r="I586" t="s">
        <v>135</v>
      </c>
      <c r="J586" t="s">
        <v>39</v>
      </c>
      <c r="K586" t="s">
        <v>33</v>
      </c>
      <c r="L586">
        <v>14.288847944005283</v>
      </c>
      <c r="M586">
        <v>1</v>
      </c>
      <c r="N586">
        <v>6.2590732420642228</v>
      </c>
      <c r="O586">
        <v>11.294165974969015</v>
      </c>
      <c r="P586">
        <v>-4.6386228285855591</v>
      </c>
      <c r="Q586">
        <v>0.97738688913926242</v>
      </c>
      <c r="R586">
        <v>-5.0743551910856617</v>
      </c>
      <c r="S586" s="2">
        <v>6.0476807095975096E-2</v>
      </c>
      <c r="T586" s="2">
        <v>6.9993431920655699E-2</v>
      </c>
      <c r="U586" s="2">
        <v>7.9596863461679046E-2</v>
      </c>
      <c r="V586" s="2">
        <v>9.2779126255374461E-2</v>
      </c>
      <c r="W586" s="2">
        <v>0.10147480188937714</v>
      </c>
      <c r="X586" s="2">
        <v>0.10335268696630265</v>
      </c>
      <c r="Y586" s="2">
        <v>9.7105311504564418E-2</v>
      </c>
      <c r="Z586" s="2">
        <v>8.3219829622163538E-2</v>
      </c>
      <c r="AA586" s="2">
        <v>6.4205820671480646E-2</v>
      </c>
      <c r="AB586" s="2">
        <v>3.898494753400749E-2</v>
      </c>
      <c r="AC586" s="2">
        <v>0</v>
      </c>
      <c r="AD586" s="2">
        <v>0</v>
      </c>
      <c r="AE586" s="2">
        <v>0</v>
      </c>
      <c r="AF586" s="2">
        <v>0</v>
      </c>
      <c r="AG586" s="2">
        <v>0</v>
      </c>
      <c r="AH586" s="2">
        <v>0</v>
      </c>
      <c r="AI586" s="2">
        <v>0</v>
      </c>
      <c r="AJ586" s="2">
        <v>0</v>
      </c>
      <c r="AK586" s="2">
        <v>0</v>
      </c>
      <c r="AL586" s="2">
        <v>0</v>
      </c>
      <c r="AM586" s="2">
        <v>0</v>
      </c>
      <c r="AN586" s="2">
        <v>0</v>
      </c>
      <c r="AO586" s="2">
        <v>0</v>
      </c>
      <c r="AP586" s="2">
        <v>0</v>
      </c>
      <c r="AQ586" s="2">
        <v>0</v>
      </c>
      <c r="AR586" s="2">
        <v>0.79118962692158024</v>
      </c>
    </row>
    <row r="587" spans="1:44" x14ac:dyDescent="0.25">
      <c r="A587" t="s">
        <v>250</v>
      </c>
      <c r="B587" t="s">
        <v>416</v>
      </c>
      <c r="C587" t="s">
        <v>46</v>
      </c>
      <c r="D587" t="s">
        <v>417</v>
      </c>
      <c r="E587" t="s">
        <v>134</v>
      </c>
      <c r="F587" t="s">
        <v>417</v>
      </c>
      <c r="G587" t="s">
        <v>31</v>
      </c>
      <c r="H587" t="s">
        <v>289</v>
      </c>
      <c r="I587" t="s">
        <v>135</v>
      </c>
      <c r="J587" t="s">
        <v>39</v>
      </c>
      <c r="K587" t="s">
        <v>31</v>
      </c>
      <c r="L587">
        <v>14.288847944005283</v>
      </c>
      <c r="M587">
        <v>1</v>
      </c>
      <c r="N587">
        <v>6.2590732420642228</v>
      </c>
      <c r="O587">
        <v>11.294165974969015</v>
      </c>
      <c r="P587">
        <v>-4.6386228285855591</v>
      </c>
      <c r="Q587">
        <v>0.97738688913926242</v>
      </c>
      <c r="R587">
        <v>-5.0743551910856617</v>
      </c>
      <c r="S587" s="2">
        <v>6.1103317554617611</v>
      </c>
      <c r="T587" s="2">
        <v>7.0718530007679101</v>
      </c>
      <c r="U587" s="2">
        <v>8.0421448452661526</v>
      </c>
      <c r="V587" s="2">
        <v>9.3740273110407042</v>
      </c>
      <c r="W587" s="2">
        <v>10.252603173640731</v>
      </c>
      <c r="X587" s="2">
        <v>10.442337079407876</v>
      </c>
      <c r="Y587" s="2">
        <v>9.8111275545470207</v>
      </c>
      <c r="Z587" s="2">
        <v>8.4081946789526416</v>
      </c>
      <c r="AA587" s="2">
        <v>6.4870961906410134</v>
      </c>
      <c r="AB587" s="2">
        <v>3.9388812726839681</v>
      </c>
      <c r="AC587" s="2">
        <v>0</v>
      </c>
      <c r="AD587" s="2">
        <v>0</v>
      </c>
      <c r="AE587" s="2">
        <v>0</v>
      </c>
      <c r="AF587" s="2">
        <v>0</v>
      </c>
      <c r="AG587" s="2">
        <v>0</v>
      </c>
      <c r="AH587" s="2">
        <v>0</v>
      </c>
      <c r="AI587" s="2">
        <v>0</v>
      </c>
      <c r="AJ587" s="2">
        <v>0</v>
      </c>
      <c r="AK587" s="2">
        <v>0</v>
      </c>
      <c r="AL587" s="2">
        <v>0</v>
      </c>
      <c r="AM587" s="2">
        <v>0</v>
      </c>
      <c r="AN587" s="2">
        <v>0</v>
      </c>
      <c r="AO587" s="2">
        <v>0</v>
      </c>
      <c r="AP587" s="2">
        <v>0</v>
      </c>
      <c r="AQ587" s="2">
        <v>0</v>
      </c>
      <c r="AR587" s="2">
        <v>79.938596862409781</v>
      </c>
    </row>
    <row r="588" spans="1:44" x14ac:dyDescent="0.25">
      <c r="A588" t="s">
        <v>250</v>
      </c>
      <c r="B588" t="s">
        <v>416</v>
      </c>
      <c r="C588" t="s">
        <v>46</v>
      </c>
      <c r="D588" t="s">
        <v>417</v>
      </c>
      <c r="E588" t="s">
        <v>134</v>
      </c>
      <c r="F588" t="s">
        <v>417</v>
      </c>
      <c r="G588" t="s">
        <v>31</v>
      </c>
      <c r="H588" t="s">
        <v>290</v>
      </c>
      <c r="I588" t="s">
        <v>135</v>
      </c>
      <c r="J588" t="s">
        <v>39</v>
      </c>
      <c r="K588" t="s">
        <v>31</v>
      </c>
      <c r="L588">
        <v>14.288847944005283</v>
      </c>
      <c r="M588">
        <v>1</v>
      </c>
      <c r="N588">
        <v>6.2590732420642228</v>
      </c>
      <c r="O588">
        <v>11.294165974969015</v>
      </c>
      <c r="P588">
        <v>-4.6386228285855591</v>
      </c>
      <c r="Q588">
        <v>0.97738688913926242</v>
      </c>
      <c r="R588">
        <v>-5.0743551910856617</v>
      </c>
      <c r="S588" s="2">
        <v>8.8481765547347244</v>
      </c>
      <c r="T588" s="2">
        <v>10.240524806855817</v>
      </c>
      <c r="U588" s="2">
        <v>11.645573483969891</v>
      </c>
      <c r="V588" s="2">
        <v>13.574230008518628</v>
      </c>
      <c r="W588" s="2">
        <v>14.846467697096623</v>
      </c>
      <c r="X588" s="2">
        <v>15.121215315365712</v>
      </c>
      <c r="Y588" s="2">
        <v>14.207180931879609</v>
      </c>
      <c r="Z588" s="2">
        <v>12.175638574690094</v>
      </c>
      <c r="AA588" s="2">
        <v>9.3937571181846682</v>
      </c>
      <c r="AB588" s="2">
        <v>5.7037683588445063</v>
      </c>
      <c r="AC588" s="2">
        <v>0</v>
      </c>
      <c r="AD588" s="2">
        <v>0</v>
      </c>
      <c r="AE588" s="2">
        <v>0</v>
      </c>
      <c r="AF588" s="2">
        <v>0</v>
      </c>
      <c r="AG588" s="2">
        <v>0</v>
      </c>
      <c r="AH588" s="2">
        <v>0</v>
      </c>
      <c r="AI588" s="2">
        <v>0</v>
      </c>
      <c r="AJ588" s="2">
        <v>0</v>
      </c>
      <c r="AK588" s="2">
        <v>0</v>
      </c>
      <c r="AL588" s="2">
        <v>0</v>
      </c>
      <c r="AM588" s="2">
        <v>0</v>
      </c>
      <c r="AN588" s="2">
        <v>0</v>
      </c>
      <c r="AO588" s="2">
        <v>0</v>
      </c>
      <c r="AP588" s="2">
        <v>0</v>
      </c>
      <c r="AQ588" s="2">
        <v>0</v>
      </c>
      <c r="AR588" s="2">
        <v>115.75653285014027</v>
      </c>
    </row>
    <row r="589" spans="1:44" x14ac:dyDescent="0.25">
      <c r="A589" t="s">
        <v>250</v>
      </c>
      <c r="B589" t="s">
        <v>419</v>
      </c>
      <c r="C589" t="s">
        <v>46</v>
      </c>
      <c r="D589" t="s">
        <v>417</v>
      </c>
      <c r="E589" t="s">
        <v>134</v>
      </c>
      <c r="F589" t="s">
        <v>417</v>
      </c>
      <c r="G589" t="s">
        <v>31</v>
      </c>
      <c r="H589" t="s">
        <v>254</v>
      </c>
      <c r="I589" t="s">
        <v>135</v>
      </c>
      <c r="J589" t="s">
        <v>39</v>
      </c>
      <c r="K589" t="s">
        <v>31</v>
      </c>
      <c r="L589">
        <v>25.551339726938693</v>
      </c>
      <c r="M589">
        <v>1</v>
      </c>
      <c r="N589">
        <v>3.696448091734216</v>
      </c>
      <c r="O589">
        <v>6.6700446937309286</v>
      </c>
      <c r="P589">
        <v>-2.1339466048744784</v>
      </c>
      <c r="Q589">
        <v>0.97738688913926219</v>
      </c>
      <c r="R589">
        <v>-2.569678967374581</v>
      </c>
      <c r="S589" s="2">
        <v>4.9910822568630451</v>
      </c>
      <c r="T589" s="2">
        <v>5.7678649649398945</v>
      </c>
      <c r="U589" s="2">
        <v>6.5494627021638765</v>
      </c>
      <c r="V589" s="2">
        <v>7.6227542666572159</v>
      </c>
      <c r="W589" s="2">
        <v>8.3247610460735331</v>
      </c>
      <c r="X589" s="2">
        <v>8.4661753438639504</v>
      </c>
      <c r="Y589" s="2">
        <v>7.942558012286475</v>
      </c>
      <c r="Z589" s="2">
        <v>6.7966695440679992</v>
      </c>
      <c r="AA589" s="2">
        <v>5.235952003374531</v>
      </c>
      <c r="AB589" s="2">
        <v>1.3015673658327587</v>
      </c>
      <c r="AC589" s="2">
        <v>0</v>
      </c>
      <c r="AD589" s="2">
        <v>0</v>
      </c>
      <c r="AE589" s="2">
        <v>0</v>
      </c>
      <c r="AF589" s="2">
        <v>0</v>
      </c>
      <c r="AG589" s="2">
        <v>0</v>
      </c>
      <c r="AH589" s="2">
        <v>0</v>
      </c>
      <c r="AI589" s="2">
        <v>0</v>
      </c>
      <c r="AJ589" s="2">
        <v>0</v>
      </c>
      <c r="AK589" s="2">
        <v>0</v>
      </c>
      <c r="AL589" s="2">
        <v>0</v>
      </c>
      <c r="AM589" s="2">
        <v>0</v>
      </c>
      <c r="AN589" s="2">
        <v>0</v>
      </c>
      <c r="AO589" s="2">
        <v>0</v>
      </c>
      <c r="AP589" s="2">
        <v>0</v>
      </c>
      <c r="AQ589" s="2">
        <v>0</v>
      </c>
      <c r="AR589" s="2">
        <v>62.998847506123276</v>
      </c>
    </row>
    <row r="590" spans="1:44" x14ac:dyDescent="0.25">
      <c r="A590" t="s">
        <v>250</v>
      </c>
      <c r="B590" t="s">
        <v>419</v>
      </c>
      <c r="C590" t="s">
        <v>46</v>
      </c>
      <c r="D590" t="s">
        <v>417</v>
      </c>
      <c r="E590" t="s">
        <v>134</v>
      </c>
      <c r="F590" t="s">
        <v>417</v>
      </c>
      <c r="G590" t="s">
        <v>31</v>
      </c>
      <c r="H590" t="s">
        <v>255</v>
      </c>
      <c r="I590" t="s">
        <v>135</v>
      </c>
      <c r="J590" t="s">
        <v>39</v>
      </c>
      <c r="K590" t="s">
        <v>31</v>
      </c>
      <c r="L590">
        <v>25.551339726938693</v>
      </c>
      <c r="M590">
        <v>1</v>
      </c>
      <c r="N590">
        <v>3.696448091734216</v>
      </c>
      <c r="O590">
        <v>6.6700446937309286</v>
      </c>
      <c r="P590">
        <v>-2.1339466048744784</v>
      </c>
      <c r="Q590">
        <v>0.97738688913926219</v>
      </c>
      <c r="R590">
        <v>-2.569678967374581</v>
      </c>
      <c r="S590" s="2">
        <v>1.2849986511153109</v>
      </c>
      <c r="T590" s="2">
        <v>1.4782558353590649</v>
      </c>
      <c r="U590" s="2">
        <v>1.6709627343212805</v>
      </c>
      <c r="V590" s="2">
        <v>1.935974284334383</v>
      </c>
      <c r="W590" s="2">
        <v>2.104679709951105</v>
      </c>
      <c r="X590" s="2">
        <v>2.1307282809394943</v>
      </c>
      <c r="Y590" s="2">
        <v>1.9898840929163426</v>
      </c>
      <c r="Z590" s="2">
        <v>1.6950796615452857</v>
      </c>
      <c r="AA590" s="2">
        <v>0.25325070294783047</v>
      </c>
      <c r="AB590" s="2">
        <v>0</v>
      </c>
      <c r="AC590" s="2">
        <v>0</v>
      </c>
      <c r="AD590" s="2">
        <v>0</v>
      </c>
      <c r="AE590" s="2">
        <v>0</v>
      </c>
      <c r="AF590" s="2">
        <v>0</v>
      </c>
      <c r="AG590" s="2">
        <v>0</v>
      </c>
      <c r="AH590" s="2">
        <v>0</v>
      </c>
      <c r="AI590" s="2">
        <v>0</v>
      </c>
      <c r="AJ590" s="2">
        <v>0</v>
      </c>
      <c r="AK590" s="2">
        <v>0</v>
      </c>
      <c r="AL590" s="2">
        <v>0</v>
      </c>
      <c r="AM590" s="2">
        <v>0</v>
      </c>
      <c r="AN590" s="2">
        <v>0</v>
      </c>
      <c r="AO590" s="2">
        <v>0</v>
      </c>
      <c r="AP590" s="2">
        <v>0</v>
      </c>
      <c r="AQ590" s="2">
        <v>0</v>
      </c>
      <c r="AR590" s="2">
        <v>14.543813953430098</v>
      </c>
    </row>
    <row r="591" spans="1:44" x14ac:dyDescent="0.25">
      <c r="A591" t="s">
        <v>250</v>
      </c>
      <c r="B591" t="s">
        <v>423</v>
      </c>
      <c r="C591" t="s">
        <v>46</v>
      </c>
      <c r="D591" t="s">
        <v>417</v>
      </c>
      <c r="E591" t="s">
        <v>134</v>
      </c>
      <c r="F591" t="s">
        <v>417</v>
      </c>
      <c r="G591" t="s">
        <v>31</v>
      </c>
      <c r="H591" t="s">
        <v>278</v>
      </c>
      <c r="I591" t="s">
        <v>135</v>
      </c>
      <c r="J591" t="s">
        <v>39</v>
      </c>
      <c r="K591" t="s">
        <v>31</v>
      </c>
      <c r="L591">
        <v>196.08017298589448</v>
      </c>
      <c r="M591">
        <v>1</v>
      </c>
      <c r="N591">
        <v>3.2126218906728834</v>
      </c>
      <c r="O591">
        <v>5.7970059535702099</v>
      </c>
      <c r="P591">
        <v>-1.6610612193350758</v>
      </c>
      <c r="Q591">
        <v>0.97738688913926253</v>
      </c>
      <c r="R591">
        <v>-2.0967935818351786</v>
      </c>
      <c r="S591" s="2">
        <v>16.107849450749615</v>
      </c>
      <c r="T591" s="2">
        <v>18.530387113627533</v>
      </c>
      <c r="U591" s="2">
        <v>20.946026782906561</v>
      </c>
      <c r="V591" s="2">
        <v>24.268027274203412</v>
      </c>
      <c r="W591" s="2">
        <v>26.382801165211124</v>
      </c>
      <c r="X591" s="2">
        <v>26.709327935899918</v>
      </c>
      <c r="Y591" s="2">
        <v>24.943803143542443</v>
      </c>
      <c r="Z591" s="2">
        <v>21.248339810707623</v>
      </c>
      <c r="AA591" s="2">
        <v>3.1745746914516539</v>
      </c>
      <c r="AB591" s="2">
        <v>0</v>
      </c>
      <c r="AC591" s="2">
        <v>0</v>
      </c>
      <c r="AD591" s="2">
        <v>0</v>
      </c>
      <c r="AE591" s="2">
        <v>0</v>
      </c>
      <c r="AF591" s="2">
        <v>0</v>
      </c>
      <c r="AG591" s="2">
        <v>0</v>
      </c>
      <c r="AH591" s="2">
        <v>0</v>
      </c>
      <c r="AI591" s="2">
        <v>0</v>
      </c>
      <c r="AJ591" s="2">
        <v>0</v>
      </c>
      <c r="AK591" s="2">
        <v>0</v>
      </c>
      <c r="AL591" s="2">
        <v>0</v>
      </c>
      <c r="AM591" s="2">
        <v>0</v>
      </c>
      <c r="AN591" s="2">
        <v>0</v>
      </c>
      <c r="AO591" s="2">
        <v>0</v>
      </c>
      <c r="AP591" s="2">
        <v>0</v>
      </c>
      <c r="AQ591" s="2">
        <v>0</v>
      </c>
      <c r="AR591" s="2">
        <v>182.31113736829985</v>
      </c>
    </row>
    <row r="592" spans="1:44" x14ac:dyDescent="0.25">
      <c r="A592" t="s">
        <v>250</v>
      </c>
      <c r="B592" t="s">
        <v>422</v>
      </c>
      <c r="C592" t="s">
        <v>46</v>
      </c>
      <c r="D592" t="s">
        <v>417</v>
      </c>
      <c r="E592" t="s">
        <v>134</v>
      </c>
      <c r="F592" t="s">
        <v>417</v>
      </c>
      <c r="G592" t="s">
        <v>31</v>
      </c>
      <c r="H592" t="s">
        <v>272</v>
      </c>
      <c r="I592" t="s">
        <v>135</v>
      </c>
      <c r="J592" t="s">
        <v>39</v>
      </c>
      <c r="K592" t="s">
        <v>31</v>
      </c>
      <c r="L592">
        <v>20.929193230947988</v>
      </c>
      <c r="M592">
        <v>1</v>
      </c>
      <c r="N592">
        <v>3.3514932674547055</v>
      </c>
      <c r="O592">
        <v>6.0475919936896414</v>
      </c>
      <c r="P592">
        <v>-1.7967922822783473</v>
      </c>
      <c r="Q592">
        <v>0.97738688913926242</v>
      </c>
      <c r="R592">
        <v>-2.2325246447784499</v>
      </c>
      <c r="S592" s="2">
        <v>6.2894978185579147</v>
      </c>
      <c r="T592" s="2">
        <v>7.267530833593205</v>
      </c>
      <c r="U592" s="2">
        <v>8.2514073440602544</v>
      </c>
      <c r="V592" s="2">
        <v>9.6025113477956943</v>
      </c>
      <c r="W592" s="2">
        <v>10.485647192082638</v>
      </c>
      <c r="X592" s="2">
        <v>10.662554866136102</v>
      </c>
      <c r="Y592" s="2">
        <v>10.001956718155292</v>
      </c>
      <c r="Z592" s="2">
        <v>8.557980360983743</v>
      </c>
      <c r="AA592" s="2">
        <v>6.5920629014955967</v>
      </c>
      <c r="AB592" s="2">
        <v>1.4600411278140559</v>
      </c>
      <c r="AC592" s="2">
        <v>0</v>
      </c>
      <c r="AD592" s="2">
        <v>0</v>
      </c>
      <c r="AE592" s="2">
        <v>0</v>
      </c>
      <c r="AF592" s="2">
        <v>0</v>
      </c>
      <c r="AG592" s="2">
        <v>0</v>
      </c>
      <c r="AH592" s="2">
        <v>0</v>
      </c>
      <c r="AI592" s="2">
        <v>0</v>
      </c>
      <c r="AJ592" s="2">
        <v>0</v>
      </c>
      <c r="AK592" s="2">
        <v>0</v>
      </c>
      <c r="AL592" s="2">
        <v>0</v>
      </c>
      <c r="AM592" s="2">
        <v>0</v>
      </c>
      <c r="AN592" s="2">
        <v>0</v>
      </c>
      <c r="AO592" s="2">
        <v>0</v>
      </c>
      <c r="AP592" s="2">
        <v>0</v>
      </c>
      <c r="AQ592" s="2">
        <v>0</v>
      </c>
      <c r="AR592" s="2">
        <v>79.171190510674492</v>
      </c>
    </row>
    <row r="593" spans="1:44" x14ac:dyDescent="0.25">
      <c r="A593" t="s">
        <v>250</v>
      </c>
      <c r="B593" t="s">
        <v>422</v>
      </c>
      <c r="C593" t="s">
        <v>46</v>
      </c>
      <c r="D593" t="s">
        <v>417</v>
      </c>
      <c r="E593" t="s">
        <v>134</v>
      </c>
      <c r="F593" t="s">
        <v>417</v>
      </c>
      <c r="G593" t="s">
        <v>31</v>
      </c>
      <c r="H593" t="s">
        <v>272</v>
      </c>
      <c r="I593" t="s">
        <v>135</v>
      </c>
      <c r="J593" t="s">
        <v>40</v>
      </c>
      <c r="K593" t="s">
        <v>31</v>
      </c>
      <c r="L593">
        <v>20.929193230947988</v>
      </c>
      <c r="M593">
        <v>1</v>
      </c>
      <c r="N593">
        <v>3.3514932674547055</v>
      </c>
      <c r="O593">
        <v>4.8576704190832896</v>
      </c>
      <c r="P593">
        <v>-1.7967922822783473</v>
      </c>
      <c r="Q593">
        <v>0.4672931329656026</v>
      </c>
      <c r="R593">
        <v>-2.0895246447784497</v>
      </c>
      <c r="S593" s="2">
        <v>0.62213097086043656</v>
      </c>
      <c r="T593" s="2">
        <v>0.71887392979463316</v>
      </c>
      <c r="U593" s="2">
        <v>0.81619490299818021</v>
      </c>
      <c r="V593" s="2">
        <v>0.94984049280936822</v>
      </c>
      <c r="W593" s="2">
        <v>1.0371966182200074</v>
      </c>
      <c r="X593" s="2">
        <v>1.0546955897097181</v>
      </c>
      <c r="Y593" s="2">
        <v>0.98935196784864321</v>
      </c>
      <c r="Z593" s="2">
        <v>0.84651983102271278</v>
      </c>
      <c r="AA593" s="2">
        <v>0.65205945072111493</v>
      </c>
      <c r="AB593" s="2">
        <v>0.14442119713643234</v>
      </c>
      <c r="AC593" s="2">
        <v>0</v>
      </c>
      <c r="AD593" s="2">
        <v>0</v>
      </c>
      <c r="AE593" s="2">
        <v>0</v>
      </c>
      <c r="AF593" s="2">
        <v>0</v>
      </c>
      <c r="AG593" s="2">
        <v>0</v>
      </c>
      <c r="AH593" s="2">
        <v>0</v>
      </c>
      <c r="AI593" s="2">
        <v>0</v>
      </c>
      <c r="AJ593" s="2">
        <v>0</v>
      </c>
      <c r="AK593" s="2">
        <v>0</v>
      </c>
      <c r="AL593" s="2">
        <v>0</v>
      </c>
      <c r="AM593" s="2">
        <v>0</v>
      </c>
      <c r="AN593" s="2">
        <v>0</v>
      </c>
      <c r="AO593" s="2">
        <v>0</v>
      </c>
      <c r="AP593" s="2">
        <v>0</v>
      </c>
      <c r="AQ593" s="2">
        <v>0</v>
      </c>
      <c r="AR593" s="2">
        <v>7.8312849511212459</v>
      </c>
    </row>
    <row r="594" spans="1:44" x14ac:dyDescent="0.25">
      <c r="A594" t="s">
        <v>250</v>
      </c>
      <c r="B594" t="s">
        <v>422</v>
      </c>
      <c r="C594" t="s">
        <v>46</v>
      </c>
      <c r="D594" t="s">
        <v>417</v>
      </c>
      <c r="E594" t="s">
        <v>134</v>
      </c>
      <c r="F594" t="s">
        <v>417</v>
      </c>
      <c r="G594" t="s">
        <v>31</v>
      </c>
      <c r="H594" t="s">
        <v>273</v>
      </c>
      <c r="I594" t="s">
        <v>135</v>
      </c>
      <c r="J594" t="s">
        <v>39</v>
      </c>
      <c r="K594" t="s">
        <v>31</v>
      </c>
      <c r="L594">
        <v>20.929193230947988</v>
      </c>
      <c r="M594">
        <v>1</v>
      </c>
      <c r="N594">
        <v>3.3514932674547055</v>
      </c>
      <c r="O594">
        <v>6.0475919936896414</v>
      </c>
      <c r="P594">
        <v>-1.7967922822783473</v>
      </c>
      <c r="Q594">
        <v>0.97738688913926242</v>
      </c>
      <c r="R594">
        <v>-2.2325246447784499</v>
      </c>
      <c r="S594" s="2">
        <v>1.8916076492836649</v>
      </c>
      <c r="T594" s="2">
        <v>2.1857574822057639</v>
      </c>
      <c r="U594" s="2">
        <v>2.481664784639126</v>
      </c>
      <c r="V594" s="2">
        <v>2.8880181600871109</v>
      </c>
      <c r="W594" s="2">
        <v>3.1536270475694494</v>
      </c>
      <c r="X594" s="2">
        <v>3.2068331888402386</v>
      </c>
      <c r="Y594" s="2">
        <v>3.0081539705827742</v>
      </c>
      <c r="Z594" s="2">
        <v>2.5738686267591335</v>
      </c>
      <c r="AA594" s="2">
        <v>1.9826060790155782</v>
      </c>
      <c r="AB594" s="2">
        <v>0.43911692877810343</v>
      </c>
      <c r="AC594" s="2">
        <v>0</v>
      </c>
      <c r="AD594" s="2">
        <v>0</v>
      </c>
      <c r="AE594" s="2">
        <v>0</v>
      </c>
      <c r="AF594" s="2">
        <v>0</v>
      </c>
      <c r="AG594" s="2">
        <v>0</v>
      </c>
      <c r="AH594" s="2">
        <v>0</v>
      </c>
      <c r="AI594" s="2">
        <v>0</v>
      </c>
      <c r="AJ594" s="2">
        <v>0</v>
      </c>
      <c r="AK594" s="2">
        <v>0</v>
      </c>
      <c r="AL594" s="2">
        <v>0</v>
      </c>
      <c r="AM594" s="2">
        <v>0</v>
      </c>
      <c r="AN594" s="2">
        <v>0</v>
      </c>
      <c r="AO594" s="2">
        <v>0</v>
      </c>
      <c r="AP594" s="2">
        <v>0</v>
      </c>
      <c r="AQ594" s="2">
        <v>0</v>
      </c>
      <c r="AR594" s="2">
        <v>23.81125391776094</v>
      </c>
    </row>
    <row r="595" spans="1:44" x14ac:dyDescent="0.25">
      <c r="A595" t="s">
        <v>250</v>
      </c>
      <c r="B595" t="s">
        <v>422</v>
      </c>
      <c r="C595" t="s">
        <v>46</v>
      </c>
      <c r="D595" t="s">
        <v>417</v>
      </c>
      <c r="E595" t="s">
        <v>134</v>
      </c>
      <c r="F595" t="s">
        <v>417</v>
      </c>
      <c r="G595" t="s">
        <v>31</v>
      </c>
      <c r="H595" t="s">
        <v>274</v>
      </c>
      <c r="I595" t="s">
        <v>135</v>
      </c>
      <c r="J595" t="s">
        <v>39</v>
      </c>
      <c r="K595" t="s">
        <v>31</v>
      </c>
      <c r="L595">
        <v>20.929193230947988</v>
      </c>
      <c r="M595">
        <v>1</v>
      </c>
      <c r="N595">
        <v>3.3514932674547055</v>
      </c>
      <c r="O595">
        <v>6.0475919936896414</v>
      </c>
      <c r="P595">
        <v>-1.7967922822783473</v>
      </c>
      <c r="Q595">
        <v>0.97738688913926242</v>
      </c>
      <c r="R595">
        <v>-2.2325246447784499</v>
      </c>
      <c r="S595" s="2">
        <v>2.977729170970548</v>
      </c>
      <c r="T595" s="2">
        <v>3.4407736815274501</v>
      </c>
      <c r="U595" s="2">
        <v>3.9065847638059052</v>
      </c>
      <c r="V595" s="2">
        <v>4.5462577426353326</v>
      </c>
      <c r="W595" s="2">
        <v>4.9643736942306358</v>
      </c>
      <c r="X595" s="2">
        <v>5.0481296882375375</v>
      </c>
      <c r="Y595" s="2">
        <v>4.7353730211269367</v>
      </c>
      <c r="Z595" s="2">
        <v>4.0517301222845958</v>
      </c>
      <c r="AA595" s="2">
        <v>3.1209769944966621</v>
      </c>
      <c r="AB595" s="2">
        <v>0.69124867875468787</v>
      </c>
      <c r="AC595" s="2">
        <v>0</v>
      </c>
      <c r="AD595" s="2">
        <v>0</v>
      </c>
      <c r="AE595" s="2">
        <v>0</v>
      </c>
      <c r="AF595" s="2">
        <v>0</v>
      </c>
      <c r="AG595" s="2">
        <v>0</v>
      </c>
      <c r="AH595" s="2">
        <v>0</v>
      </c>
      <c r="AI595" s="2">
        <v>0</v>
      </c>
      <c r="AJ595" s="2">
        <v>0</v>
      </c>
      <c r="AK595" s="2">
        <v>0</v>
      </c>
      <c r="AL595" s="2">
        <v>0</v>
      </c>
      <c r="AM595" s="2">
        <v>0</v>
      </c>
      <c r="AN595" s="2">
        <v>0</v>
      </c>
      <c r="AO595" s="2">
        <v>0</v>
      </c>
      <c r="AP595" s="2">
        <v>0</v>
      </c>
      <c r="AQ595" s="2">
        <v>0</v>
      </c>
      <c r="AR595" s="2">
        <v>37.483177558070295</v>
      </c>
    </row>
    <row r="596" spans="1:44" x14ac:dyDescent="0.25">
      <c r="A596" t="s">
        <v>250</v>
      </c>
      <c r="B596" t="s">
        <v>422</v>
      </c>
      <c r="C596" t="s">
        <v>46</v>
      </c>
      <c r="D596" t="s">
        <v>417</v>
      </c>
      <c r="E596" t="s">
        <v>134</v>
      </c>
      <c r="F596" t="s">
        <v>417</v>
      </c>
      <c r="G596" t="s">
        <v>31</v>
      </c>
      <c r="H596" t="s">
        <v>274</v>
      </c>
      <c r="I596" t="s">
        <v>135</v>
      </c>
      <c r="J596" t="s">
        <v>39</v>
      </c>
      <c r="K596" t="s">
        <v>33</v>
      </c>
      <c r="L596">
        <v>20.929193230947988</v>
      </c>
      <c r="M596">
        <v>1</v>
      </c>
      <c r="N596">
        <v>3.3514932674547055</v>
      </c>
      <c r="O596">
        <v>6.0475919936896414</v>
      </c>
      <c r="P596">
        <v>-1.7967922822783473</v>
      </c>
      <c r="Q596">
        <v>0.97738688913926242</v>
      </c>
      <c r="R596">
        <v>-2.2325246447784499</v>
      </c>
      <c r="S596" s="2">
        <v>9.5807918656050581E-3</v>
      </c>
      <c r="T596" s="2">
        <v>1.1070629532309549E-2</v>
      </c>
      <c r="U596" s="2">
        <v>1.2569368595455275E-2</v>
      </c>
      <c r="V596" s="2">
        <v>1.4627505289672771E-2</v>
      </c>
      <c r="W596" s="2">
        <v>1.5972786098611601E-2</v>
      </c>
      <c r="X596" s="2">
        <v>1.6242269553957356E-2</v>
      </c>
      <c r="Y596" s="2">
        <v>1.5235980412090788E-2</v>
      </c>
      <c r="Z596" s="2">
        <v>1.3036371264267401E-2</v>
      </c>
      <c r="AA596" s="2">
        <v>1.0041689248679457E-2</v>
      </c>
      <c r="AB596" s="2">
        <v>2.2240806125308605E-3</v>
      </c>
      <c r="AC596" s="2">
        <v>0</v>
      </c>
      <c r="AD596" s="2">
        <v>0</v>
      </c>
      <c r="AE596" s="2">
        <v>0</v>
      </c>
      <c r="AF596" s="2">
        <v>0</v>
      </c>
      <c r="AG596" s="2">
        <v>0</v>
      </c>
      <c r="AH596" s="2">
        <v>0</v>
      </c>
      <c r="AI596" s="2">
        <v>0</v>
      </c>
      <c r="AJ596" s="2">
        <v>0</v>
      </c>
      <c r="AK596" s="2">
        <v>0</v>
      </c>
      <c r="AL596" s="2">
        <v>0</v>
      </c>
      <c r="AM596" s="2">
        <v>0</v>
      </c>
      <c r="AN596" s="2">
        <v>0</v>
      </c>
      <c r="AO596" s="2">
        <v>0</v>
      </c>
      <c r="AP596" s="2">
        <v>0</v>
      </c>
      <c r="AQ596" s="2">
        <v>0</v>
      </c>
      <c r="AR596" s="2">
        <v>0.12060147247318011</v>
      </c>
    </row>
    <row r="597" spans="1:44" x14ac:dyDescent="0.25">
      <c r="A597" t="s">
        <v>250</v>
      </c>
      <c r="B597" t="s">
        <v>422</v>
      </c>
      <c r="C597" t="s">
        <v>46</v>
      </c>
      <c r="D597" t="s">
        <v>417</v>
      </c>
      <c r="E597" t="s">
        <v>134</v>
      </c>
      <c r="F597" t="s">
        <v>417</v>
      </c>
      <c r="G597" t="s">
        <v>31</v>
      </c>
      <c r="H597" t="s">
        <v>275</v>
      </c>
      <c r="I597" t="s">
        <v>135</v>
      </c>
      <c r="J597" t="s">
        <v>39</v>
      </c>
      <c r="K597" t="s">
        <v>31</v>
      </c>
      <c r="L597">
        <v>20.929193230947988</v>
      </c>
      <c r="M597">
        <v>1</v>
      </c>
      <c r="N597">
        <v>3.3514932674547055</v>
      </c>
      <c r="O597">
        <v>6.0475919936896414</v>
      </c>
      <c r="P597">
        <v>-1.7967922822783473</v>
      </c>
      <c r="Q597">
        <v>0.97738688913926242</v>
      </c>
      <c r="R597">
        <v>-2.2325246447784499</v>
      </c>
      <c r="S597" s="2">
        <v>4.54903933206442</v>
      </c>
      <c r="T597" s="2">
        <v>5.2564265960086844</v>
      </c>
      <c r="U597" s="2">
        <v>5.9680403167103311</v>
      </c>
      <c r="V597" s="2">
        <v>6.945260665935522</v>
      </c>
      <c r="W597" s="2">
        <v>7.5840111364998544</v>
      </c>
      <c r="X597" s="2">
        <v>7.7119641131331731</v>
      </c>
      <c r="Y597" s="2">
        <v>7.234169693841582</v>
      </c>
      <c r="Z597" s="2">
        <v>6.1897770518785418</v>
      </c>
      <c r="AA597" s="2">
        <v>4.7678772269964584</v>
      </c>
      <c r="AB597" s="2">
        <v>1.056011896094549</v>
      </c>
      <c r="AC597" s="2">
        <v>0</v>
      </c>
      <c r="AD597" s="2">
        <v>0</v>
      </c>
      <c r="AE597" s="2">
        <v>0</v>
      </c>
      <c r="AF597" s="2">
        <v>0</v>
      </c>
      <c r="AG597" s="2">
        <v>0</v>
      </c>
      <c r="AH597" s="2">
        <v>0</v>
      </c>
      <c r="AI597" s="2">
        <v>0</v>
      </c>
      <c r="AJ597" s="2">
        <v>0</v>
      </c>
      <c r="AK597" s="2">
        <v>0</v>
      </c>
      <c r="AL597" s="2">
        <v>0</v>
      </c>
      <c r="AM597" s="2">
        <v>0</v>
      </c>
      <c r="AN597" s="2">
        <v>0</v>
      </c>
      <c r="AO597" s="2">
        <v>0</v>
      </c>
      <c r="AP597" s="2">
        <v>0</v>
      </c>
      <c r="AQ597" s="2">
        <v>0</v>
      </c>
      <c r="AR597" s="2">
        <v>57.262578029163116</v>
      </c>
    </row>
    <row r="598" spans="1:44" x14ac:dyDescent="0.25">
      <c r="A598" t="s">
        <v>250</v>
      </c>
      <c r="B598" t="s">
        <v>420</v>
      </c>
      <c r="C598" t="s">
        <v>46</v>
      </c>
      <c r="D598" t="s">
        <v>417</v>
      </c>
      <c r="E598" t="s">
        <v>134</v>
      </c>
      <c r="F598" t="s">
        <v>417</v>
      </c>
      <c r="G598" t="s">
        <v>31</v>
      </c>
      <c r="H598" t="s">
        <v>276</v>
      </c>
      <c r="I598" t="s">
        <v>135</v>
      </c>
      <c r="J598" t="s">
        <v>39</v>
      </c>
      <c r="K598" t="s">
        <v>31</v>
      </c>
      <c r="L598">
        <v>18.647305501260348</v>
      </c>
      <c r="M598">
        <v>1</v>
      </c>
      <c r="N598">
        <v>3.992594563639448</v>
      </c>
      <c r="O598">
        <v>7.2044253084393324</v>
      </c>
      <c r="P598">
        <v>-2.4233962837795024</v>
      </c>
      <c r="Q598">
        <v>0.97738688913926275</v>
      </c>
      <c r="R598">
        <v>-2.8591286462796051</v>
      </c>
      <c r="S598" s="2">
        <v>17.291683294549106</v>
      </c>
      <c r="T598" s="2">
        <v>20.030766621562702</v>
      </c>
      <c r="U598" s="2">
        <v>22.799645872353452</v>
      </c>
      <c r="V598" s="2">
        <v>26.59955000197894</v>
      </c>
      <c r="W598" s="2">
        <v>29.118841179291366</v>
      </c>
      <c r="X598" s="2">
        <v>29.684484529141955</v>
      </c>
      <c r="Y598" s="2">
        <v>27.915318672135403</v>
      </c>
      <c r="Z598" s="2">
        <v>23.945190188254035</v>
      </c>
      <c r="AA598" s="2">
        <v>18.490886561684704</v>
      </c>
      <c r="AB598" s="2">
        <v>12.211961923804772</v>
      </c>
      <c r="AC598" s="2">
        <v>3.0828813540467626</v>
      </c>
      <c r="AD598" s="2">
        <v>0</v>
      </c>
      <c r="AE598" s="2">
        <v>0</v>
      </c>
      <c r="AF598" s="2">
        <v>0</v>
      </c>
      <c r="AG598" s="2">
        <v>0</v>
      </c>
      <c r="AH598" s="2">
        <v>0</v>
      </c>
      <c r="AI598" s="2">
        <v>0</v>
      </c>
      <c r="AJ598" s="2">
        <v>0</v>
      </c>
      <c r="AK598" s="2">
        <v>0</v>
      </c>
      <c r="AL598" s="2">
        <v>0</v>
      </c>
      <c r="AM598" s="2">
        <v>0</v>
      </c>
      <c r="AN598" s="2">
        <v>0</v>
      </c>
      <c r="AO598" s="2">
        <v>0</v>
      </c>
      <c r="AP598" s="2">
        <v>0</v>
      </c>
      <c r="AQ598" s="2">
        <v>0</v>
      </c>
      <c r="AR598" s="2">
        <v>231.17121019880318</v>
      </c>
    </row>
    <row r="599" spans="1:44" x14ac:dyDescent="0.25">
      <c r="A599" t="s">
        <v>250</v>
      </c>
      <c r="B599" t="s">
        <v>424</v>
      </c>
      <c r="C599" t="s">
        <v>46</v>
      </c>
      <c r="D599" t="s">
        <v>417</v>
      </c>
      <c r="E599" t="s">
        <v>134</v>
      </c>
      <c r="F599" t="s">
        <v>417</v>
      </c>
      <c r="G599" t="s">
        <v>31</v>
      </c>
      <c r="H599" t="s">
        <v>277</v>
      </c>
      <c r="I599" t="s">
        <v>135</v>
      </c>
      <c r="J599" t="s">
        <v>39</v>
      </c>
      <c r="K599" t="s">
        <v>31</v>
      </c>
      <c r="L599">
        <v>23.558166392472799</v>
      </c>
      <c r="M599">
        <v>1</v>
      </c>
      <c r="N599">
        <v>5.8283940021897402</v>
      </c>
      <c r="O599">
        <v>10.517028109825306</v>
      </c>
      <c r="P599">
        <v>-4.2176825861077756</v>
      </c>
      <c r="Q599">
        <v>0.97738688913926242</v>
      </c>
      <c r="R599">
        <v>-4.6534149486078791</v>
      </c>
      <c r="S599" s="2">
        <v>9.3961432804532272</v>
      </c>
      <c r="T599" s="2">
        <v>10.855958726351965</v>
      </c>
      <c r="U599" s="2">
        <v>12.324149797885426</v>
      </c>
      <c r="V599" s="2">
        <v>14.340404804958402</v>
      </c>
      <c r="W599" s="2">
        <v>15.657393397713417</v>
      </c>
      <c r="X599" s="2">
        <v>15.919636316853282</v>
      </c>
      <c r="Y599" s="2">
        <v>14.931535622311703</v>
      </c>
      <c r="Z599" s="2">
        <v>12.774338791718396</v>
      </c>
      <c r="AA599" s="2">
        <v>9.8386639698537479</v>
      </c>
      <c r="AB599" s="2">
        <v>1.8971826290542164</v>
      </c>
      <c r="AC599" s="2">
        <v>0</v>
      </c>
      <c r="AD599" s="2">
        <v>0</v>
      </c>
      <c r="AE599" s="2">
        <v>0</v>
      </c>
      <c r="AF599" s="2">
        <v>0</v>
      </c>
      <c r="AG599" s="2">
        <v>0</v>
      </c>
      <c r="AH599" s="2">
        <v>0</v>
      </c>
      <c r="AI599" s="2">
        <v>0</v>
      </c>
      <c r="AJ599" s="2">
        <v>0</v>
      </c>
      <c r="AK599" s="2">
        <v>0</v>
      </c>
      <c r="AL599" s="2">
        <v>0</v>
      </c>
      <c r="AM599" s="2">
        <v>0</v>
      </c>
      <c r="AN599" s="2">
        <v>0</v>
      </c>
      <c r="AO599" s="2">
        <v>0</v>
      </c>
      <c r="AP599" s="2">
        <v>0</v>
      </c>
      <c r="AQ599" s="2">
        <v>0</v>
      </c>
      <c r="AR599" s="2">
        <v>117.93540733715378</v>
      </c>
    </row>
    <row r="600" spans="1:44" x14ac:dyDescent="0.25">
      <c r="A600" t="s">
        <v>250</v>
      </c>
      <c r="B600" t="s">
        <v>424</v>
      </c>
      <c r="C600" t="s">
        <v>46</v>
      </c>
      <c r="D600" t="s">
        <v>417</v>
      </c>
      <c r="E600" t="s">
        <v>134</v>
      </c>
      <c r="F600" t="s">
        <v>417</v>
      </c>
      <c r="G600" t="s">
        <v>31</v>
      </c>
      <c r="H600" t="s">
        <v>277</v>
      </c>
      <c r="I600" t="s">
        <v>135</v>
      </c>
      <c r="J600" t="s">
        <v>40</v>
      </c>
      <c r="K600" t="s">
        <v>31</v>
      </c>
      <c r="L600">
        <v>23.558166392472799</v>
      </c>
      <c r="M600">
        <v>1</v>
      </c>
      <c r="N600">
        <v>5.8283940021897402</v>
      </c>
      <c r="O600">
        <v>9.3271065352189524</v>
      </c>
      <c r="P600">
        <v>-4.2176825861077756</v>
      </c>
      <c r="Q600">
        <v>0.4672931329656026</v>
      </c>
      <c r="R600">
        <v>-4.5104149486078775</v>
      </c>
      <c r="S600" s="2">
        <v>1.4821982864701342</v>
      </c>
      <c r="T600" s="2">
        <v>1.7124774433423966</v>
      </c>
      <c r="U600" s="2">
        <v>1.9440778165470805</v>
      </c>
      <c r="V600" s="2">
        <v>2.2621327490199961</v>
      </c>
      <c r="W600" s="2">
        <v>2.4698816282376015</v>
      </c>
      <c r="X600" s="2">
        <v>2.5112492397976172</v>
      </c>
      <c r="Y600" s="2">
        <v>2.3553809103569412</v>
      </c>
      <c r="Z600" s="2">
        <v>2.0150930549625121</v>
      </c>
      <c r="AA600" s="2">
        <v>1.5520038852120677</v>
      </c>
      <c r="AB600" s="2">
        <v>0.29927181376159934</v>
      </c>
      <c r="AC600" s="2">
        <v>0</v>
      </c>
      <c r="AD600" s="2">
        <v>0</v>
      </c>
      <c r="AE600" s="2">
        <v>0</v>
      </c>
      <c r="AF600" s="2">
        <v>0</v>
      </c>
      <c r="AG600" s="2">
        <v>0</v>
      </c>
      <c r="AH600" s="2">
        <v>0</v>
      </c>
      <c r="AI600" s="2">
        <v>0</v>
      </c>
      <c r="AJ600" s="2">
        <v>0</v>
      </c>
      <c r="AK600" s="2">
        <v>0</v>
      </c>
      <c r="AL600" s="2">
        <v>0</v>
      </c>
      <c r="AM600" s="2">
        <v>0</v>
      </c>
      <c r="AN600" s="2">
        <v>0</v>
      </c>
      <c r="AO600" s="2">
        <v>0</v>
      </c>
      <c r="AP600" s="2">
        <v>0</v>
      </c>
      <c r="AQ600" s="2">
        <v>0</v>
      </c>
      <c r="AR600" s="2">
        <v>18.603766827707947</v>
      </c>
    </row>
    <row r="601" spans="1:44" x14ac:dyDescent="0.25">
      <c r="A601" t="s">
        <v>250</v>
      </c>
      <c r="B601" t="s">
        <v>395</v>
      </c>
      <c r="C601" t="s">
        <v>44</v>
      </c>
      <c r="D601" t="s">
        <v>390</v>
      </c>
      <c r="E601" t="s">
        <v>134</v>
      </c>
      <c r="F601" t="s">
        <v>390</v>
      </c>
      <c r="G601" t="s">
        <v>31</v>
      </c>
      <c r="H601" t="s">
        <v>253</v>
      </c>
      <c r="I601" t="s">
        <v>135</v>
      </c>
      <c r="J601" t="s">
        <v>39</v>
      </c>
      <c r="K601" t="s">
        <v>31</v>
      </c>
      <c r="L601">
        <v>0.26148930323017083</v>
      </c>
      <c r="M601">
        <v>0</v>
      </c>
      <c r="N601">
        <v>0.52383520285766771</v>
      </c>
      <c r="O601">
        <v>6.0314982584435803</v>
      </c>
      <c r="P601">
        <v>3.4772274133658292</v>
      </c>
      <c r="Q601">
        <v>6.2366719843947944</v>
      </c>
      <c r="R601">
        <v>-2.2177900443898042</v>
      </c>
      <c r="S601" s="2">
        <v>1.1939843656416005E-2</v>
      </c>
      <c r="T601" s="2">
        <v>1.9342162848164937E-2</v>
      </c>
      <c r="U601" s="2">
        <v>2.9238330962818689E-2</v>
      </c>
      <c r="V601" s="2">
        <v>4.1703847813200273E-2</v>
      </c>
      <c r="W601" s="2">
        <v>5.6496098197622968E-2</v>
      </c>
      <c r="X601" s="2">
        <v>7.2939066887008214E-2</v>
      </c>
      <c r="Y601" s="2">
        <v>8.9843181310076362E-2</v>
      </c>
      <c r="Z601" s="2">
        <v>0.10551207268459491</v>
      </c>
      <c r="AA601" s="2">
        <v>0.11789234003926183</v>
      </c>
      <c r="AB601" s="2">
        <v>0.12490105071630767</v>
      </c>
      <c r="AC601" s="2">
        <v>0.12490826386582071</v>
      </c>
      <c r="AD601" s="2">
        <v>0.11726434091619937</v>
      </c>
      <c r="AE601" s="2">
        <v>0.10267886610778758</v>
      </c>
      <c r="AF601" s="2">
        <v>8.4566139173151436E-2</v>
      </c>
      <c r="AG601" s="2">
        <v>6.440308435488469E-2</v>
      </c>
      <c r="AH601" s="2">
        <v>1.6352222306124514E-2</v>
      </c>
      <c r="AI601" s="2">
        <v>0</v>
      </c>
      <c r="AJ601" s="2">
        <v>0</v>
      </c>
      <c r="AK601" s="2">
        <v>0</v>
      </c>
      <c r="AL601" s="2">
        <v>0</v>
      </c>
      <c r="AM601" s="2">
        <v>0</v>
      </c>
      <c r="AN601" s="2">
        <v>0</v>
      </c>
      <c r="AO601" s="2">
        <v>0</v>
      </c>
      <c r="AP601" s="2">
        <v>0</v>
      </c>
      <c r="AQ601" s="2">
        <v>0</v>
      </c>
      <c r="AR601" s="2">
        <v>1.1799809118394404</v>
      </c>
    </row>
    <row r="602" spans="1:44" x14ac:dyDescent="0.25">
      <c r="A602" t="s">
        <v>250</v>
      </c>
      <c r="B602" t="s">
        <v>395</v>
      </c>
      <c r="C602" t="s">
        <v>44</v>
      </c>
      <c r="D602" t="s">
        <v>390</v>
      </c>
      <c r="E602" t="s">
        <v>134</v>
      </c>
      <c r="F602" t="s">
        <v>390</v>
      </c>
      <c r="G602" t="s">
        <v>31</v>
      </c>
      <c r="H602" t="s">
        <v>253</v>
      </c>
      <c r="I602" t="s">
        <v>135</v>
      </c>
      <c r="J602" t="s">
        <v>40</v>
      </c>
      <c r="K602" t="s">
        <v>31</v>
      </c>
      <c r="L602">
        <v>0.26148930323017083</v>
      </c>
      <c r="M602">
        <v>0</v>
      </c>
      <c r="N602">
        <v>0.52383520285766771</v>
      </c>
      <c r="O602">
        <v>4.8304674702220067</v>
      </c>
      <c r="P602">
        <v>3.4772274133658292</v>
      </c>
      <c r="Q602">
        <v>0.4672931329656026</v>
      </c>
      <c r="R602">
        <v>-2.0747900443898049</v>
      </c>
      <c r="S602" s="2">
        <v>6.2806059203078888E-3</v>
      </c>
      <c r="T602" s="2">
        <v>1.0174379664549888E-2</v>
      </c>
      <c r="U602" s="2">
        <v>1.5379969774254326E-2</v>
      </c>
      <c r="V602" s="2">
        <v>2.1937090720149956E-2</v>
      </c>
      <c r="W602" s="2">
        <v>2.9718121863648937E-2</v>
      </c>
      <c r="X602" s="2">
        <v>3.836746514399382E-2</v>
      </c>
      <c r="Y602" s="2">
        <v>4.7259380664682667E-2</v>
      </c>
      <c r="Z602" s="2">
        <v>5.5501543189028682E-2</v>
      </c>
      <c r="AA602" s="2">
        <v>6.2013821128357696E-2</v>
      </c>
      <c r="AB602" s="2">
        <v>6.5700548613128823E-2</v>
      </c>
      <c r="AC602" s="2">
        <v>6.5704342879690389E-2</v>
      </c>
      <c r="AD602" s="2">
        <v>6.1683480537328708E-2</v>
      </c>
      <c r="AE602" s="2">
        <v>5.4011217644423279E-2</v>
      </c>
      <c r="AF602" s="2">
        <v>4.4483546822915811E-2</v>
      </c>
      <c r="AG602" s="2">
        <v>3.3877360920720238E-2</v>
      </c>
      <c r="AH602" s="2">
        <v>8.6016087966824268E-3</v>
      </c>
      <c r="AI602" s="2">
        <v>0</v>
      </c>
      <c r="AJ602" s="2">
        <v>0</v>
      </c>
      <c r="AK602" s="2">
        <v>0</v>
      </c>
      <c r="AL602" s="2">
        <v>0</v>
      </c>
      <c r="AM602" s="2">
        <v>0</v>
      </c>
      <c r="AN602" s="2">
        <v>0</v>
      </c>
      <c r="AO602" s="2">
        <v>0</v>
      </c>
      <c r="AP602" s="2">
        <v>0</v>
      </c>
      <c r="AQ602" s="2">
        <v>0</v>
      </c>
      <c r="AR602" s="2">
        <v>0.62069448428386342</v>
      </c>
    </row>
    <row r="603" spans="1:44" x14ac:dyDescent="0.25">
      <c r="A603" t="s">
        <v>250</v>
      </c>
      <c r="B603" t="s">
        <v>395</v>
      </c>
      <c r="C603" t="s">
        <v>44</v>
      </c>
      <c r="D603" t="s">
        <v>390</v>
      </c>
      <c r="E603" t="s">
        <v>134</v>
      </c>
      <c r="F603" t="s">
        <v>390</v>
      </c>
      <c r="G603" t="s">
        <v>31</v>
      </c>
      <c r="H603" t="s">
        <v>253</v>
      </c>
      <c r="I603" t="s">
        <v>256</v>
      </c>
      <c r="J603" t="s">
        <v>39</v>
      </c>
      <c r="K603" t="s">
        <v>31</v>
      </c>
      <c r="L603">
        <v>0.26148930323017083</v>
      </c>
      <c r="M603">
        <v>0</v>
      </c>
      <c r="N603">
        <v>0.28926507394766826</v>
      </c>
      <c r="O603">
        <v>3.330631046226137</v>
      </c>
      <c r="P603">
        <v>4.9401643647146969</v>
      </c>
      <c r="Q603">
        <v>0.4672931329656026</v>
      </c>
      <c r="R603">
        <v>-0.75485309304093573</v>
      </c>
      <c r="S603" s="2">
        <v>6.2631752787185519E-3</v>
      </c>
      <c r="T603" s="2">
        <v>1.0146142585583801E-2</v>
      </c>
      <c r="U603" s="2">
        <v>1.5337285558082921E-2</v>
      </c>
      <c r="V603" s="2">
        <v>2.1876208446893589E-2</v>
      </c>
      <c r="W603" s="2">
        <v>2.9635644800530148E-2</v>
      </c>
      <c r="X603" s="2">
        <v>3.8260983453834919E-2</v>
      </c>
      <c r="Y603" s="2">
        <v>4.7128221133810572E-2</v>
      </c>
      <c r="Z603" s="2">
        <v>5.5347509084794411E-2</v>
      </c>
      <c r="AA603" s="2">
        <v>6.184171342037708E-2</v>
      </c>
      <c r="AB603" s="2">
        <v>6.5518209085760087E-2</v>
      </c>
      <c r="AC603" s="2">
        <v>6.552199282204775E-2</v>
      </c>
      <c r="AD603" s="2">
        <v>6.1512289627586612E-2</v>
      </c>
      <c r="AE603" s="2">
        <v>5.3861319658701945E-2</v>
      </c>
      <c r="AF603" s="2">
        <v>4.4360091097284997E-2</v>
      </c>
      <c r="AG603" s="2">
        <v>3.3783340671130563E-2</v>
      </c>
      <c r="AH603" s="2">
        <v>8.5777366477318116E-3</v>
      </c>
      <c r="AI603" s="2">
        <v>0</v>
      </c>
      <c r="AJ603" s="2">
        <v>0</v>
      </c>
      <c r="AK603" s="2">
        <v>0</v>
      </c>
      <c r="AL603" s="2">
        <v>0</v>
      </c>
      <c r="AM603" s="2">
        <v>0</v>
      </c>
      <c r="AN603" s="2">
        <v>0</v>
      </c>
      <c r="AO603" s="2">
        <v>0</v>
      </c>
      <c r="AP603" s="2">
        <v>0</v>
      </c>
      <c r="AQ603" s="2">
        <v>0</v>
      </c>
      <c r="AR603" s="2">
        <v>0.61897186337286969</v>
      </c>
    </row>
    <row r="604" spans="1:44" x14ac:dyDescent="0.25">
      <c r="A604" t="s">
        <v>250</v>
      </c>
      <c r="B604" t="s">
        <v>396</v>
      </c>
      <c r="C604" t="s">
        <v>44</v>
      </c>
      <c r="D604" t="s">
        <v>390</v>
      </c>
      <c r="E604" t="s">
        <v>134</v>
      </c>
      <c r="F604" t="s">
        <v>390</v>
      </c>
      <c r="G604" t="s">
        <v>31</v>
      </c>
      <c r="H604" t="s">
        <v>252</v>
      </c>
      <c r="I604" t="s">
        <v>135</v>
      </c>
      <c r="J604" t="s">
        <v>39</v>
      </c>
      <c r="K604" t="s">
        <v>31</v>
      </c>
      <c r="L604">
        <v>0.29656632466037225</v>
      </c>
      <c r="M604">
        <v>0</v>
      </c>
      <c r="N604">
        <v>0.70838296473979667</v>
      </c>
      <c r="O604">
        <v>7.236633810211182</v>
      </c>
      <c r="P604">
        <v>2.1571713853867371</v>
      </c>
      <c r="Q604">
        <v>5.5333847029631578</v>
      </c>
      <c r="R604">
        <v>-2.8345587909372605</v>
      </c>
      <c r="S604" s="2">
        <v>1.0073860062744097E-2</v>
      </c>
      <c r="T604" s="2">
        <v>1.63258840248863E-2</v>
      </c>
      <c r="U604" s="2">
        <v>2.4688724153139923E-2</v>
      </c>
      <c r="V604" s="2">
        <v>3.522869816106422E-2</v>
      </c>
      <c r="W604" s="2">
        <v>4.7743397460592578E-2</v>
      </c>
      <c r="X604" s="2">
        <v>6.1663683865913158E-2</v>
      </c>
      <c r="Y604" s="2">
        <v>7.5985160135318586E-2</v>
      </c>
      <c r="Z604" s="2">
        <v>8.9273017333947532E-2</v>
      </c>
      <c r="AA604" s="2">
        <v>9.9787937260179441E-2</v>
      </c>
      <c r="AB604" s="2">
        <v>0.10576280172423633</v>
      </c>
      <c r="AC604" s="2">
        <v>0.1058113913614064</v>
      </c>
      <c r="AD604" s="2">
        <v>9.9376024285459372E-2</v>
      </c>
      <c r="AE604" s="2">
        <v>8.7050468559544472E-2</v>
      </c>
      <c r="AF604" s="2">
        <v>7.1723413491712185E-2</v>
      </c>
      <c r="AG604" s="2">
        <v>5.4644381129606269E-2</v>
      </c>
      <c r="AH604" s="2">
        <v>2.0073485328639517E-2</v>
      </c>
      <c r="AI604" s="2">
        <v>0</v>
      </c>
      <c r="AJ604" s="2">
        <v>0</v>
      </c>
      <c r="AK604" s="2">
        <v>0</v>
      </c>
      <c r="AL604" s="2">
        <v>0</v>
      </c>
      <c r="AM604" s="2">
        <v>0</v>
      </c>
      <c r="AN604" s="2">
        <v>0</v>
      </c>
      <c r="AO604" s="2">
        <v>0</v>
      </c>
      <c r="AP604" s="2">
        <v>0</v>
      </c>
      <c r="AQ604" s="2">
        <v>0</v>
      </c>
      <c r="AR604" s="2">
        <v>1.0052123283383905</v>
      </c>
    </row>
    <row r="605" spans="1:44" x14ac:dyDescent="0.25">
      <c r="A605" t="s">
        <v>250</v>
      </c>
      <c r="B605" t="s">
        <v>389</v>
      </c>
      <c r="C605" t="s">
        <v>44</v>
      </c>
      <c r="D605" t="s">
        <v>390</v>
      </c>
      <c r="E605" t="s">
        <v>134</v>
      </c>
      <c r="F605" t="s">
        <v>390</v>
      </c>
      <c r="G605" t="s">
        <v>31</v>
      </c>
      <c r="H605" t="s">
        <v>288</v>
      </c>
      <c r="I605" t="s">
        <v>135</v>
      </c>
      <c r="J605" t="s">
        <v>39</v>
      </c>
      <c r="K605" t="s">
        <v>31</v>
      </c>
      <c r="L605">
        <v>5.9814813064183341E-2</v>
      </c>
      <c r="M605">
        <v>0</v>
      </c>
      <c r="N605">
        <v>0.16203067434216739</v>
      </c>
      <c r="O605">
        <v>7.8628457168505825</v>
      </c>
      <c r="P605">
        <v>22.587603914734448</v>
      </c>
      <c r="Q605">
        <v>26.28481299660363</v>
      </c>
      <c r="R605">
        <v>-3.1555545552300228</v>
      </c>
      <c r="S605" s="2">
        <v>2.7831102245586468E-2</v>
      </c>
      <c r="T605" s="2">
        <v>4.5135289058941604E-2</v>
      </c>
      <c r="U605" s="2">
        <v>6.8303537448840712E-2</v>
      </c>
      <c r="V605" s="2">
        <v>9.7531784785373749E-2</v>
      </c>
      <c r="W605" s="2">
        <v>0.13227200162213695</v>
      </c>
      <c r="X605" s="2">
        <v>0.17095787051549557</v>
      </c>
      <c r="Y605" s="2">
        <v>0.2108110853111152</v>
      </c>
      <c r="Z605" s="2">
        <v>0.24785055901639474</v>
      </c>
      <c r="AA605" s="2">
        <v>0.27723800331207588</v>
      </c>
      <c r="AB605" s="2">
        <v>0.29404425056336714</v>
      </c>
      <c r="AC605" s="2">
        <v>0.29438603091793064</v>
      </c>
      <c r="AD605" s="2">
        <v>0.2766759558881034</v>
      </c>
      <c r="AE605" s="2">
        <v>0.24253026546248349</v>
      </c>
      <c r="AF605" s="2">
        <v>0.19996814022539913</v>
      </c>
      <c r="AG605" s="2">
        <v>0.15245806267419984</v>
      </c>
      <c r="AH605" s="2">
        <v>8.6320011889047213E-2</v>
      </c>
      <c r="AI605" s="2">
        <v>0</v>
      </c>
      <c r="AJ605" s="2">
        <v>0</v>
      </c>
      <c r="AK605" s="2">
        <v>0</v>
      </c>
      <c r="AL605" s="2">
        <v>0</v>
      </c>
      <c r="AM605" s="2">
        <v>0</v>
      </c>
      <c r="AN605" s="2">
        <v>0</v>
      </c>
      <c r="AO605" s="2">
        <v>0</v>
      </c>
      <c r="AP605" s="2">
        <v>0</v>
      </c>
      <c r="AQ605" s="2">
        <v>0</v>
      </c>
      <c r="AR605" s="2">
        <v>2.8243139509364918</v>
      </c>
    </row>
    <row r="606" spans="1:44" x14ac:dyDescent="0.25">
      <c r="A606" t="s">
        <v>250</v>
      </c>
      <c r="B606" t="s">
        <v>389</v>
      </c>
      <c r="C606" t="s">
        <v>44</v>
      </c>
      <c r="D606" t="s">
        <v>390</v>
      </c>
      <c r="E606" t="s">
        <v>134</v>
      </c>
      <c r="F606" t="s">
        <v>390</v>
      </c>
      <c r="G606" t="s">
        <v>31</v>
      </c>
      <c r="H606" t="s">
        <v>288</v>
      </c>
      <c r="I606" t="s">
        <v>135</v>
      </c>
      <c r="J606" t="s">
        <v>39</v>
      </c>
      <c r="K606" t="s">
        <v>33</v>
      </c>
      <c r="L606">
        <v>5.9814813064183341E-2</v>
      </c>
      <c r="M606">
        <v>0</v>
      </c>
      <c r="N606">
        <v>0.16203067434216739</v>
      </c>
      <c r="O606">
        <v>7.8628457168505825</v>
      </c>
      <c r="P606">
        <v>22.587603914734448</v>
      </c>
      <c r="Q606">
        <v>26.28481299660363</v>
      </c>
      <c r="R606">
        <v>-3.1555545552300228</v>
      </c>
      <c r="S606" s="2">
        <v>2.6181033418604994E-4</v>
      </c>
      <c r="T606" s="2">
        <v>4.2459278140805312E-4</v>
      </c>
      <c r="U606" s="2">
        <v>6.4253912072081997E-4</v>
      </c>
      <c r="V606" s="2">
        <v>9.1749255717926117E-4</v>
      </c>
      <c r="W606" s="2">
        <v>1.2442977156480093E-3</v>
      </c>
      <c r="X606" s="2">
        <v>1.6082200703529559E-3</v>
      </c>
      <c r="Y606" s="2">
        <v>1.9831237803087571E-3</v>
      </c>
      <c r="Z606" s="2">
        <v>2.3315583088187623E-3</v>
      </c>
      <c r="AA606" s="2">
        <v>2.6080093291209259E-3</v>
      </c>
      <c r="AB606" s="2">
        <v>2.7661076024285058E-3</v>
      </c>
      <c r="AC606" s="2">
        <v>2.7693227689733627E-3</v>
      </c>
      <c r="AD606" s="2">
        <v>2.6027220852812747E-3</v>
      </c>
      <c r="AE606" s="2">
        <v>2.2815097041668096E-3</v>
      </c>
      <c r="AF606" s="2">
        <v>1.8811229665643967E-3</v>
      </c>
      <c r="AG606" s="2">
        <v>1.4341902805671256E-3</v>
      </c>
      <c r="AH606" s="2">
        <v>8.1202213840449004E-4</v>
      </c>
      <c r="AI606" s="2">
        <v>0</v>
      </c>
      <c r="AJ606" s="2">
        <v>0</v>
      </c>
      <c r="AK606" s="2">
        <v>0</v>
      </c>
      <c r="AL606" s="2">
        <v>0</v>
      </c>
      <c r="AM606" s="2">
        <v>0</v>
      </c>
      <c r="AN606" s="2">
        <v>0</v>
      </c>
      <c r="AO606" s="2">
        <v>0</v>
      </c>
      <c r="AP606" s="2">
        <v>0</v>
      </c>
      <c r="AQ606" s="2">
        <v>0</v>
      </c>
      <c r="AR606" s="2">
        <v>2.6568641544129554E-2</v>
      </c>
    </row>
    <row r="607" spans="1:44" x14ac:dyDescent="0.25">
      <c r="A607" t="s">
        <v>250</v>
      </c>
      <c r="B607" t="s">
        <v>389</v>
      </c>
      <c r="C607" t="s">
        <v>44</v>
      </c>
      <c r="D607" t="s">
        <v>390</v>
      </c>
      <c r="E607" t="s">
        <v>134</v>
      </c>
      <c r="F607" t="s">
        <v>390</v>
      </c>
      <c r="G607" t="s">
        <v>31</v>
      </c>
      <c r="H607" t="s">
        <v>289</v>
      </c>
      <c r="I607" t="s">
        <v>135</v>
      </c>
      <c r="J607" t="s">
        <v>39</v>
      </c>
      <c r="K607" t="s">
        <v>31</v>
      </c>
      <c r="L607">
        <v>5.9814813064183341E-2</v>
      </c>
      <c r="M607">
        <v>0</v>
      </c>
      <c r="N607">
        <v>0.16203067434216739</v>
      </c>
      <c r="O607">
        <v>7.8628457168505825</v>
      </c>
      <c r="P607">
        <v>22.587603914734448</v>
      </c>
      <c r="Q607">
        <v>26.28481299660363</v>
      </c>
      <c r="R607">
        <v>-3.1555545552300228</v>
      </c>
      <c r="S607" s="2">
        <v>2.6452256256622796E-2</v>
      </c>
      <c r="T607" s="2">
        <v>4.2899135717601844E-2</v>
      </c>
      <c r="U607" s="2">
        <v>6.4919551510651777E-2</v>
      </c>
      <c r="V607" s="2">
        <v>9.2699733612513505E-2</v>
      </c>
      <c r="W607" s="2">
        <v>0.12571880379046282</v>
      </c>
      <c r="X607" s="2">
        <v>0.16248804521134536</v>
      </c>
      <c r="Y607" s="2">
        <v>0.20036679830999921</v>
      </c>
      <c r="Z607" s="2">
        <v>0.23557121247285809</v>
      </c>
      <c r="AA607" s="2">
        <v>0.26350270438349066</v>
      </c>
      <c r="AB607" s="2">
        <v>0.27947631387550498</v>
      </c>
      <c r="AC607" s="2">
        <v>0.27980116128695898</v>
      </c>
      <c r="AD607" s="2">
        <v>0.26296850267074118</v>
      </c>
      <c r="AE607" s="2">
        <v>0.23051450407494198</v>
      </c>
      <c r="AF607" s="2">
        <v>0.19006104902803048</v>
      </c>
      <c r="AG607" s="2">
        <v>0.14490477979131192</v>
      </c>
      <c r="AH607" s="2">
        <v>8.2043429484576144E-2</v>
      </c>
      <c r="AI607" s="2">
        <v>0</v>
      </c>
      <c r="AJ607" s="2">
        <v>0</v>
      </c>
      <c r="AK607" s="2">
        <v>0</v>
      </c>
      <c r="AL607" s="2">
        <v>0</v>
      </c>
      <c r="AM607" s="2">
        <v>0</v>
      </c>
      <c r="AN607" s="2">
        <v>0</v>
      </c>
      <c r="AO607" s="2">
        <v>0</v>
      </c>
      <c r="AP607" s="2">
        <v>0</v>
      </c>
      <c r="AQ607" s="2">
        <v>0</v>
      </c>
      <c r="AR607" s="2">
        <v>2.6843879814776117</v>
      </c>
    </row>
    <row r="608" spans="1:44" x14ac:dyDescent="0.25">
      <c r="A608" t="s">
        <v>250</v>
      </c>
      <c r="B608" t="s">
        <v>389</v>
      </c>
      <c r="C608" t="s">
        <v>44</v>
      </c>
      <c r="D608" t="s">
        <v>390</v>
      </c>
      <c r="E608" t="s">
        <v>134</v>
      </c>
      <c r="F608" t="s">
        <v>390</v>
      </c>
      <c r="G608" t="s">
        <v>31</v>
      </c>
      <c r="H608" t="s">
        <v>290</v>
      </c>
      <c r="I608" t="s">
        <v>135</v>
      </c>
      <c r="J608" t="s">
        <v>39</v>
      </c>
      <c r="K608" t="s">
        <v>31</v>
      </c>
      <c r="L608">
        <v>5.9814813064183341E-2</v>
      </c>
      <c r="M608">
        <v>0</v>
      </c>
      <c r="N608">
        <v>0.16203067434216739</v>
      </c>
      <c r="O608">
        <v>7.8628457168505825</v>
      </c>
      <c r="P608">
        <v>22.587603914734448</v>
      </c>
      <c r="Q608">
        <v>26.28481299660363</v>
      </c>
      <c r="R608">
        <v>-3.1555545552300228</v>
      </c>
      <c r="S608" s="2">
        <v>3.8304668714669025E-2</v>
      </c>
      <c r="T608" s="2">
        <v>6.2120870366093997E-2</v>
      </c>
      <c r="U608" s="2">
        <v>9.4007932238211675E-2</v>
      </c>
      <c r="V608" s="2">
        <v>0.13423552802140959</v>
      </c>
      <c r="W608" s="2">
        <v>0.18204939055784614</v>
      </c>
      <c r="X608" s="2">
        <v>0.2352937564770658</v>
      </c>
      <c r="Y608" s="2">
        <v>0.29014477087419926</v>
      </c>
      <c r="Z608" s="2">
        <v>0.34112316034389495</v>
      </c>
      <c r="AA608" s="2">
        <v>0.38156986303585783</v>
      </c>
      <c r="AB608" s="2">
        <v>0.404700737537949</v>
      </c>
      <c r="AC608" s="2">
        <v>0.40517113871499227</v>
      </c>
      <c r="AD608" s="2">
        <v>0.38079630257148134</v>
      </c>
      <c r="AE608" s="2">
        <v>0.33380070217285074</v>
      </c>
      <c r="AF608" s="2">
        <v>0.27522134399247844</v>
      </c>
      <c r="AG608" s="2">
        <v>0.20983199055803015</v>
      </c>
      <c r="AH608" s="2">
        <v>0.11880447384654223</v>
      </c>
      <c r="AI608" s="2">
        <v>0</v>
      </c>
      <c r="AJ608" s="2">
        <v>0</v>
      </c>
      <c r="AK608" s="2">
        <v>0</v>
      </c>
      <c r="AL608" s="2">
        <v>0</v>
      </c>
      <c r="AM608" s="2">
        <v>0</v>
      </c>
      <c r="AN608" s="2">
        <v>0</v>
      </c>
      <c r="AO608" s="2">
        <v>0</v>
      </c>
      <c r="AP608" s="2">
        <v>0</v>
      </c>
      <c r="AQ608" s="2">
        <v>0</v>
      </c>
      <c r="AR608" s="2">
        <v>3.8871766300235726</v>
      </c>
    </row>
    <row r="609" spans="1:44" x14ac:dyDescent="0.25">
      <c r="A609" t="s">
        <v>250</v>
      </c>
      <c r="B609" t="s">
        <v>397</v>
      </c>
      <c r="C609" t="s">
        <v>44</v>
      </c>
      <c r="D609" t="s">
        <v>390</v>
      </c>
      <c r="E609" t="s">
        <v>134</v>
      </c>
      <c r="F609" t="s">
        <v>390</v>
      </c>
      <c r="G609" t="s">
        <v>31</v>
      </c>
      <c r="H609" t="s">
        <v>254</v>
      </c>
      <c r="I609" t="s">
        <v>135</v>
      </c>
      <c r="J609" t="s">
        <v>39</v>
      </c>
      <c r="K609" t="s">
        <v>31</v>
      </c>
      <c r="L609">
        <v>0.18916475889744169</v>
      </c>
      <c r="M609">
        <v>0</v>
      </c>
      <c r="N609">
        <v>0.40629251985025328</v>
      </c>
      <c r="O609">
        <v>6.3833710076387984</v>
      </c>
      <c r="P609">
        <v>5.5794100196641887</v>
      </c>
      <c r="Q609">
        <v>8.5100798872179535</v>
      </c>
      <c r="R609">
        <v>-2.3890153409146042</v>
      </c>
      <c r="S609" s="2">
        <v>3.3027768938069434E-2</v>
      </c>
      <c r="T609" s="2">
        <v>5.3483150456671229E-2</v>
      </c>
      <c r="U609" s="2">
        <v>8.0815724893798138E-2</v>
      </c>
      <c r="V609" s="2">
        <v>0.11522607559552689</v>
      </c>
      <c r="W609" s="2">
        <v>0.15603587027191812</v>
      </c>
      <c r="X609" s="2">
        <v>0.20137128630437709</v>
      </c>
      <c r="Y609" s="2">
        <v>0.24794411894699614</v>
      </c>
      <c r="Z609" s="2">
        <v>0.2910731816193462</v>
      </c>
      <c r="AA609" s="2">
        <v>0.32510000442393144</v>
      </c>
      <c r="AB609" s="2">
        <v>0.34429350338179493</v>
      </c>
      <c r="AC609" s="2">
        <v>0.34417970403720616</v>
      </c>
      <c r="AD609" s="2">
        <v>0.32299172837332585</v>
      </c>
      <c r="AE609" s="2">
        <v>0.2827078360052569</v>
      </c>
      <c r="AF609" s="2">
        <v>0.23274729081236925</v>
      </c>
      <c r="AG609" s="2">
        <v>0.17718467099482449</v>
      </c>
      <c r="AH609" s="2">
        <v>2.5579306696008233E-2</v>
      </c>
      <c r="AI609" s="2">
        <v>0</v>
      </c>
      <c r="AJ609" s="2">
        <v>0</v>
      </c>
      <c r="AK609" s="2">
        <v>0</v>
      </c>
      <c r="AL609" s="2">
        <v>0</v>
      </c>
      <c r="AM609" s="2">
        <v>0</v>
      </c>
      <c r="AN609" s="2">
        <v>0</v>
      </c>
      <c r="AO609" s="2">
        <v>0</v>
      </c>
      <c r="AP609" s="2">
        <v>0</v>
      </c>
      <c r="AQ609" s="2">
        <v>0</v>
      </c>
      <c r="AR609" s="2">
        <v>3.2337612217514202</v>
      </c>
    </row>
    <row r="610" spans="1:44" x14ac:dyDescent="0.25">
      <c r="A610" t="s">
        <v>250</v>
      </c>
      <c r="B610" t="s">
        <v>397</v>
      </c>
      <c r="C610" t="s">
        <v>44</v>
      </c>
      <c r="D610" t="s">
        <v>390</v>
      </c>
      <c r="E610" t="s">
        <v>134</v>
      </c>
      <c r="F610" t="s">
        <v>390</v>
      </c>
      <c r="G610" t="s">
        <v>31</v>
      </c>
      <c r="H610" t="s">
        <v>255</v>
      </c>
      <c r="I610" t="s">
        <v>135</v>
      </c>
      <c r="J610" t="s">
        <v>39</v>
      </c>
      <c r="K610" t="s">
        <v>31</v>
      </c>
      <c r="L610">
        <v>0.18916475889744169</v>
      </c>
      <c r="M610">
        <v>0</v>
      </c>
      <c r="N610">
        <v>0.40629251985025328</v>
      </c>
      <c r="O610">
        <v>6.3833710076387984</v>
      </c>
      <c r="P610">
        <v>5.5794100196641887</v>
      </c>
      <c r="Q610">
        <v>8.5100798872179535</v>
      </c>
      <c r="R610">
        <v>-2.3890153409146042</v>
      </c>
      <c r="S610" s="2">
        <v>6.923899480823387E-3</v>
      </c>
      <c r="T610" s="2">
        <v>1.1161307459831885E-2</v>
      </c>
      <c r="U610" s="2">
        <v>1.6788834046581842E-2</v>
      </c>
      <c r="V610" s="2">
        <v>2.3828790973766095E-2</v>
      </c>
      <c r="W610" s="2">
        <v>3.2121976331840794E-2</v>
      </c>
      <c r="X610" s="2">
        <v>4.126690781843332E-2</v>
      </c>
      <c r="Y610" s="2">
        <v>5.0580692226913838E-2</v>
      </c>
      <c r="Z610" s="2">
        <v>5.9109831787388815E-2</v>
      </c>
      <c r="AA610" s="2">
        <v>6.5720533343187379E-2</v>
      </c>
      <c r="AB610" s="2">
        <v>6.9285045275604598E-2</v>
      </c>
      <c r="AC610" s="2">
        <v>6.8948132474308962E-2</v>
      </c>
      <c r="AD610" s="2">
        <v>6.4410285538016365E-2</v>
      </c>
      <c r="AE610" s="2">
        <v>5.612136734551311E-2</v>
      </c>
      <c r="AF610" s="2">
        <v>4.1611517028611246E-2</v>
      </c>
      <c r="AG610" s="2">
        <v>0</v>
      </c>
      <c r="AH610" s="2">
        <v>0</v>
      </c>
      <c r="AI610" s="2">
        <v>0</v>
      </c>
      <c r="AJ610" s="2">
        <v>0</v>
      </c>
      <c r="AK610" s="2">
        <v>0</v>
      </c>
      <c r="AL610" s="2">
        <v>0</v>
      </c>
      <c r="AM610" s="2">
        <v>0</v>
      </c>
      <c r="AN610" s="2">
        <v>0</v>
      </c>
      <c r="AO610" s="2">
        <v>0</v>
      </c>
      <c r="AP610" s="2">
        <v>0</v>
      </c>
      <c r="AQ610" s="2">
        <v>0</v>
      </c>
      <c r="AR610" s="2">
        <v>0.60787912113082154</v>
      </c>
    </row>
    <row r="611" spans="1:44" x14ac:dyDescent="0.25">
      <c r="A611" t="s">
        <v>250</v>
      </c>
      <c r="B611" t="s">
        <v>391</v>
      </c>
      <c r="C611" t="s">
        <v>44</v>
      </c>
      <c r="D611" t="s">
        <v>390</v>
      </c>
      <c r="E611" t="s">
        <v>134</v>
      </c>
      <c r="F611" t="s">
        <v>390</v>
      </c>
      <c r="G611" t="s">
        <v>31</v>
      </c>
      <c r="H611" t="s">
        <v>278</v>
      </c>
      <c r="I611" t="s">
        <v>135</v>
      </c>
      <c r="J611" t="s">
        <v>39</v>
      </c>
      <c r="K611" t="s">
        <v>31</v>
      </c>
      <c r="L611">
        <v>4.0325188614540375E-2</v>
      </c>
      <c r="M611">
        <v>0</v>
      </c>
      <c r="N611">
        <v>0.18009299470238083</v>
      </c>
      <c r="O611">
        <v>12.916489671181225</v>
      </c>
      <c r="P611">
        <v>32.408117274389646</v>
      </c>
      <c r="Q611">
        <v>38.848124604986538</v>
      </c>
      <c r="R611">
        <v>-5.8983528039577333</v>
      </c>
      <c r="S611" s="2">
        <v>5.6116980123703947E-3</v>
      </c>
      <c r="T611" s="2">
        <v>9.0460421993799767E-3</v>
      </c>
      <c r="U611" s="2">
        <v>1.3607052920129314E-2</v>
      </c>
      <c r="V611" s="2">
        <v>1.9312813439164897E-2</v>
      </c>
      <c r="W611" s="2">
        <v>2.603429342584325E-2</v>
      </c>
      <c r="X611" s="2">
        <v>3.3446098578229992E-2</v>
      </c>
      <c r="Y611" s="2">
        <v>4.0994756035992667E-2</v>
      </c>
      <c r="Z611" s="2">
        <v>4.7907472728560135E-2</v>
      </c>
      <c r="AA611" s="2">
        <v>5.3265329364664452E-2</v>
      </c>
      <c r="AB611" s="2">
        <v>5.615430321265532E-2</v>
      </c>
      <c r="AC611" s="2">
        <v>5.5881241348801097E-2</v>
      </c>
      <c r="AD611" s="2">
        <v>5.220339670311222E-2</v>
      </c>
      <c r="AE611" s="2">
        <v>4.5485375178622979E-2</v>
      </c>
      <c r="AF611" s="2">
        <v>3.3725398245296849E-2</v>
      </c>
      <c r="AG611" s="2">
        <v>0</v>
      </c>
      <c r="AH611" s="2">
        <v>0</v>
      </c>
      <c r="AI611" s="2">
        <v>0</v>
      </c>
      <c r="AJ611" s="2">
        <v>0</v>
      </c>
      <c r="AK611" s="2">
        <v>0</v>
      </c>
      <c r="AL611" s="2">
        <v>0</v>
      </c>
      <c r="AM611" s="2">
        <v>0</v>
      </c>
      <c r="AN611" s="2">
        <v>0</v>
      </c>
      <c r="AO611" s="2">
        <v>0</v>
      </c>
      <c r="AP611" s="2">
        <v>0</v>
      </c>
      <c r="AQ611" s="2">
        <v>0</v>
      </c>
      <c r="AR611" s="2">
        <v>0.49267527139282363</v>
      </c>
    </row>
    <row r="612" spans="1:44" x14ac:dyDescent="0.25">
      <c r="A612" t="s">
        <v>250</v>
      </c>
      <c r="B612" t="s">
        <v>392</v>
      </c>
      <c r="C612" t="s">
        <v>44</v>
      </c>
      <c r="D612" t="s">
        <v>390</v>
      </c>
      <c r="E612" t="s">
        <v>134</v>
      </c>
      <c r="F612" t="s">
        <v>390</v>
      </c>
      <c r="G612" t="s">
        <v>31</v>
      </c>
      <c r="H612" t="s">
        <v>272</v>
      </c>
      <c r="I612" t="s">
        <v>135</v>
      </c>
      <c r="J612" t="s">
        <v>39</v>
      </c>
      <c r="K612" t="s">
        <v>31</v>
      </c>
      <c r="L612">
        <v>7.4195278969956924E-2</v>
      </c>
      <c r="M612">
        <v>0</v>
      </c>
      <c r="N612">
        <v>0.27950272237800688</v>
      </c>
      <c r="O612">
        <v>10.963614690254309</v>
      </c>
      <c r="P612">
        <v>15.865375968895169</v>
      </c>
      <c r="Q612">
        <v>21.246632142897212</v>
      </c>
      <c r="R612">
        <v>-4.8396016473628869</v>
      </c>
      <c r="S612" s="2">
        <v>1.400776746836554E-2</v>
      </c>
      <c r="T612" s="2">
        <v>2.2680740161315448E-2</v>
      </c>
      <c r="U612" s="2">
        <v>3.4267835194006654E-2</v>
      </c>
      <c r="V612" s="2">
        <v>4.8853099502360692E-2</v>
      </c>
      <c r="W612" s="2">
        <v>6.6147944742024525E-2</v>
      </c>
      <c r="X612" s="2">
        <v>8.5357169851425663E-2</v>
      </c>
      <c r="Y612" s="2">
        <v>0.10508647626968338</v>
      </c>
      <c r="Z612" s="2">
        <v>0.12335187813941365</v>
      </c>
      <c r="AA612" s="2">
        <v>0.13775618407606641</v>
      </c>
      <c r="AB612" s="2">
        <v>0.145872528823212</v>
      </c>
      <c r="AC612" s="2">
        <v>0.14580771233102061</v>
      </c>
      <c r="AD612" s="2">
        <v>0.13681609639068215</v>
      </c>
      <c r="AE612" s="2">
        <v>0.11973860557227631</v>
      </c>
      <c r="AF612" s="2">
        <v>9.8567000276332986E-2</v>
      </c>
      <c r="AG612" s="2">
        <v>7.5028040998576684E-2</v>
      </c>
      <c r="AH612" s="2">
        <v>8.4242706232177337E-3</v>
      </c>
      <c r="AI612" s="2">
        <v>0</v>
      </c>
      <c r="AJ612" s="2">
        <v>0</v>
      </c>
      <c r="AK612" s="2">
        <v>0</v>
      </c>
      <c r="AL612" s="2">
        <v>0</v>
      </c>
      <c r="AM612" s="2">
        <v>0</v>
      </c>
      <c r="AN612" s="2">
        <v>0</v>
      </c>
      <c r="AO612" s="2">
        <v>0</v>
      </c>
      <c r="AP612" s="2">
        <v>0</v>
      </c>
      <c r="AQ612" s="2">
        <v>0</v>
      </c>
      <c r="AR612" s="2">
        <v>1.3677633504199804</v>
      </c>
    </row>
    <row r="613" spans="1:44" x14ac:dyDescent="0.25">
      <c r="A613" t="s">
        <v>250</v>
      </c>
      <c r="B613" t="s">
        <v>392</v>
      </c>
      <c r="C613" t="s">
        <v>44</v>
      </c>
      <c r="D613" t="s">
        <v>390</v>
      </c>
      <c r="E613" t="s">
        <v>134</v>
      </c>
      <c r="F613" t="s">
        <v>390</v>
      </c>
      <c r="G613" t="s">
        <v>31</v>
      </c>
      <c r="H613" t="s">
        <v>272</v>
      </c>
      <c r="I613" t="s">
        <v>135</v>
      </c>
      <c r="J613" t="s">
        <v>40</v>
      </c>
      <c r="K613" t="s">
        <v>31</v>
      </c>
      <c r="L613">
        <v>7.4195278969956924E-2</v>
      </c>
      <c r="M613">
        <v>0</v>
      </c>
      <c r="N613">
        <v>0.27950272237800688</v>
      </c>
      <c r="O613">
        <v>9.6708435291849302</v>
      </c>
      <c r="P613">
        <v>15.865375968895169</v>
      </c>
      <c r="Q613">
        <v>0.4672931329656026</v>
      </c>
      <c r="R613">
        <v>-4.6966016473628862</v>
      </c>
      <c r="S613" s="2">
        <v>1.3855901100669485E-3</v>
      </c>
      <c r="T613" s="2">
        <v>2.24348450440003E-3</v>
      </c>
      <c r="U613" s="2">
        <v>3.3896317629093222E-3</v>
      </c>
      <c r="V613" s="2">
        <v>4.8323454590073842E-3</v>
      </c>
      <c r="W613" s="2">
        <v>6.5430796336954462E-3</v>
      </c>
      <c r="X613" s="2">
        <v>8.4431763046135255E-3</v>
      </c>
      <c r="Y613" s="2">
        <v>1.0394717255971709E-2</v>
      </c>
      <c r="Z613" s="2">
        <v>1.2201454856681582E-2</v>
      </c>
      <c r="AA613" s="2">
        <v>1.3626268903122452E-2</v>
      </c>
      <c r="AB613" s="2">
        <v>1.4429103975658891E-2</v>
      </c>
      <c r="AC613" s="2">
        <v>1.4422692597774983E-2</v>
      </c>
      <c r="AD613" s="2">
        <v>1.353327933841089E-2</v>
      </c>
      <c r="AE613" s="2">
        <v>1.1844044959258015E-2</v>
      </c>
      <c r="AF613" s="2">
        <v>9.7498378003692612E-3</v>
      </c>
      <c r="AG613" s="2">
        <v>7.4214618296669583E-3</v>
      </c>
      <c r="AH613" s="2">
        <v>8.332938197623945E-4</v>
      </c>
      <c r="AI613" s="2">
        <v>0</v>
      </c>
      <c r="AJ613" s="2">
        <v>0</v>
      </c>
      <c r="AK613" s="2">
        <v>0</v>
      </c>
      <c r="AL613" s="2">
        <v>0</v>
      </c>
      <c r="AM613" s="2">
        <v>0</v>
      </c>
      <c r="AN613" s="2">
        <v>0</v>
      </c>
      <c r="AO613" s="2">
        <v>0</v>
      </c>
      <c r="AP613" s="2">
        <v>0</v>
      </c>
      <c r="AQ613" s="2">
        <v>0</v>
      </c>
      <c r="AR613" s="2">
        <v>0.1352934631113698</v>
      </c>
    </row>
    <row r="614" spans="1:44" x14ac:dyDescent="0.25">
      <c r="A614" t="s">
        <v>250</v>
      </c>
      <c r="B614" t="s">
        <v>392</v>
      </c>
      <c r="C614" t="s">
        <v>44</v>
      </c>
      <c r="D614" t="s">
        <v>390</v>
      </c>
      <c r="E614" t="s">
        <v>134</v>
      </c>
      <c r="F614" t="s">
        <v>390</v>
      </c>
      <c r="G614" t="s">
        <v>31</v>
      </c>
      <c r="H614" t="s">
        <v>273</v>
      </c>
      <c r="I614" t="s">
        <v>135</v>
      </c>
      <c r="J614" t="s">
        <v>39</v>
      </c>
      <c r="K614" t="s">
        <v>31</v>
      </c>
      <c r="L614">
        <v>7.4195278969956924E-2</v>
      </c>
      <c r="M614">
        <v>0</v>
      </c>
      <c r="N614">
        <v>0.27950272237800688</v>
      </c>
      <c r="O614">
        <v>10.963614690254309</v>
      </c>
      <c r="P614">
        <v>15.865375968895169</v>
      </c>
      <c r="Q614">
        <v>21.246632142897212</v>
      </c>
      <c r="R614">
        <v>-4.8396016473628869</v>
      </c>
      <c r="S614" s="2">
        <v>4.212927781668669E-3</v>
      </c>
      <c r="T614" s="2">
        <v>6.8213811051764574E-3</v>
      </c>
      <c r="U614" s="2">
        <v>1.03062758025151E-2</v>
      </c>
      <c r="V614" s="2">
        <v>1.4692889539958513E-2</v>
      </c>
      <c r="W614" s="2">
        <v>1.9894427483416501E-2</v>
      </c>
      <c r="X614" s="2">
        <v>2.5671727707059215E-2</v>
      </c>
      <c r="Y614" s="2">
        <v>3.1605445789561801E-2</v>
      </c>
      <c r="Z614" s="2">
        <v>3.7098884994211032E-2</v>
      </c>
      <c r="AA614" s="2">
        <v>4.1431074316544213E-2</v>
      </c>
      <c r="AB614" s="2">
        <v>4.3872118140841812E-2</v>
      </c>
      <c r="AC614" s="2">
        <v>4.3852624156430646E-2</v>
      </c>
      <c r="AD614" s="2">
        <v>4.1148336789960903E-2</v>
      </c>
      <c r="AE614" s="2">
        <v>3.6012169611819675E-2</v>
      </c>
      <c r="AF614" s="2">
        <v>2.9644670698432102E-2</v>
      </c>
      <c r="AG614" s="2">
        <v>2.2565174574814766E-2</v>
      </c>
      <c r="AH614" s="2">
        <v>2.5336545476642111E-3</v>
      </c>
      <c r="AI614" s="2">
        <v>0</v>
      </c>
      <c r="AJ614" s="2">
        <v>0</v>
      </c>
      <c r="AK614" s="2">
        <v>0</v>
      </c>
      <c r="AL614" s="2">
        <v>0</v>
      </c>
      <c r="AM614" s="2">
        <v>0</v>
      </c>
      <c r="AN614" s="2">
        <v>0</v>
      </c>
      <c r="AO614" s="2">
        <v>0</v>
      </c>
      <c r="AP614" s="2">
        <v>0</v>
      </c>
      <c r="AQ614" s="2">
        <v>0</v>
      </c>
      <c r="AR614" s="2">
        <v>0.41136378304007559</v>
      </c>
    </row>
    <row r="615" spans="1:44" x14ac:dyDescent="0.25">
      <c r="A615" t="s">
        <v>250</v>
      </c>
      <c r="B615" t="s">
        <v>392</v>
      </c>
      <c r="C615" t="s">
        <v>44</v>
      </c>
      <c r="D615" t="s">
        <v>390</v>
      </c>
      <c r="E615" t="s">
        <v>134</v>
      </c>
      <c r="F615" t="s">
        <v>390</v>
      </c>
      <c r="G615" t="s">
        <v>31</v>
      </c>
      <c r="H615" t="s">
        <v>274</v>
      </c>
      <c r="I615" t="s">
        <v>135</v>
      </c>
      <c r="J615" t="s">
        <v>39</v>
      </c>
      <c r="K615" t="s">
        <v>31</v>
      </c>
      <c r="L615">
        <v>7.4195278969956924E-2</v>
      </c>
      <c r="M615">
        <v>0</v>
      </c>
      <c r="N615">
        <v>0.27950272237800688</v>
      </c>
      <c r="O615">
        <v>10.963614690254309</v>
      </c>
      <c r="P615">
        <v>15.865375968895169</v>
      </c>
      <c r="Q615">
        <v>21.246632142897212</v>
      </c>
      <c r="R615">
        <v>-4.8396016473628869</v>
      </c>
      <c r="S615" s="2">
        <v>6.6319027391423917E-3</v>
      </c>
      <c r="T615" s="2">
        <v>1.0738075367205941E-2</v>
      </c>
      <c r="U615" s="2">
        <v>1.6223923662414288E-2</v>
      </c>
      <c r="V615" s="2">
        <v>2.3129239197965185E-2</v>
      </c>
      <c r="W615" s="2">
        <v>3.131739136261226E-2</v>
      </c>
      <c r="X615" s="2">
        <v>4.0411896458270077E-2</v>
      </c>
      <c r="Y615" s="2">
        <v>4.9752631273586805E-2</v>
      </c>
      <c r="Z615" s="2">
        <v>5.8400288294233708E-2</v>
      </c>
      <c r="AA615" s="2">
        <v>6.5219930054597614E-2</v>
      </c>
      <c r="AB615" s="2">
        <v>6.906257015281303E-2</v>
      </c>
      <c r="AC615" s="2">
        <v>6.9031883130553695E-2</v>
      </c>
      <c r="AD615" s="2">
        <v>6.4774850557824587E-2</v>
      </c>
      <c r="AE615" s="2">
        <v>5.6689603683757236E-2</v>
      </c>
      <c r="AF615" s="2">
        <v>4.6666020163306961E-2</v>
      </c>
      <c r="AG615" s="2">
        <v>3.5521625536307333E-2</v>
      </c>
      <c r="AH615" s="2">
        <v>3.9884259606369609E-3</v>
      </c>
      <c r="AI615" s="2">
        <v>0</v>
      </c>
      <c r="AJ615" s="2">
        <v>0</v>
      </c>
      <c r="AK615" s="2">
        <v>0</v>
      </c>
      <c r="AL615" s="2">
        <v>0</v>
      </c>
      <c r="AM615" s="2">
        <v>0</v>
      </c>
      <c r="AN615" s="2">
        <v>0</v>
      </c>
      <c r="AO615" s="2">
        <v>0</v>
      </c>
      <c r="AP615" s="2">
        <v>0</v>
      </c>
      <c r="AQ615" s="2">
        <v>0</v>
      </c>
      <c r="AR615" s="2">
        <v>0.64756025759522828</v>
      </c>
    </row>
    <row r="616" spans="1:44" x14ac:dyDescent="0.25">
      <c r="A616" t="s">
        <v>250</v>
      </c>
      <c r="B616" t="s">
        <v>392</v>
      </c>
      <c r="C616" t="s">
        <v>44</v>
      </c>
      <c r="D616" t="s">
        <v>390</v>
      </c>
      <c r="E616" t="s">
        <v>134</v>
      </c>
      <c r="F616" t="s">
        <v>390</v>
      </c>
      <c r="G616" t="s">
        <v>31</v>
      </c>
      <c r="H616" t="s">
        <v>274</v>
      </c>
      <c r="I616" t="s">
        <v>135</v>
      </c>
      <c r="J616" t="s">
        <v>39</v>
      </c>
      <c r="K616" t="s">
        <v>33</v>
      </c>
      <c r="L616">
        <v>7.4195278969956924E-2</v>
      </c>
      <c r="M616">
        <v>0</v>
      </c>
      <c r="N616">
        <v>0.27950272237800688</v>
      </c>
      <c r="O616">
        <v>10.963614690254309</v>
      </c>
      <c r="P616">
        <v>15.865375968895169</v>
      </c>
      <c r="Q616">
        <v>21.246632142897212</v>
      </c>
      <c r="R616">
        <v>-4.8396016473628869</v>
      </c>
      <c r="S616" s="2">
        <v>2.1338031825086953E-5</v>
      </c>
      <c r="T616" s="2">
        <v>3.4549570905687421E-5</v>
      </c>
      <c r="U616" s="2">
        <v>5.2200192471632174E-5</v>
      </c>
      <c r="V616" s="2">
        <v>7.4417925218253603E-5</v>
      </c>
      <c r="W616" s="2">
        <v>1.0076316252800459E-4</v>
      </c>
      <c r="X616" s="2">
        <v>1.3002457464419869E-4</v>
      </c>
      <c r="Y616" s="2">
        <v>1.6007822660482748E-4</v>
      </c>
      <c r="Z616" s="2">
        <v>1.8790191280425173E-4</v>
      </c>
      <c r="AA616" s="2">
        <v>2.0984399166790445E-4</v>
      </c>
      <c r="AB616" s="2">
        <v>2.2220761941294575E-4</v>
      </c>
      <c r="AC616" s="2">
        <v>2.2210888445205394E-4</v>
      </c>
      <c r="AD616" s="2">
        <v>2.0841195612088367E-4</v>
      </c>
      <c r="AE616" s="2">
        <v>1.8239781479545709E-4</v>
      </c>
      <c r="AF616" s="2">
        <v>1.5014710899146283E-4</v>
      </c>
      <c r="AG616" s="2">
        <v>1.1429021292772511E-4</v>
      </c>
      <c r="AH616" s="2">
        <v>1.2832691224160295E-5</v>
      </c>
      <c r="AI616" s="2">
        <v>0</v>
      </c>
      <c r="AJ616" s="2">
        <v>0</v>
      </c>
      <c r="AK616" s="2">
        <v>0</v>
      </c>
      <c r="AL616" s="2">
        <v>0</v>
      </c>
      <c r="AM616" s="2">
        <v>0</v>
      </c>
      <c r="AN616" s="2">
        <v>0</v>
      </c>
      <c r="AO616" s="2">
        <v>0</v>
      </c>
      <c r="AP616" s="2">
        <v>0</v>
      </c>
      <c r="AQ616" s="2">
        <v>0</v>
      </c>
      <c r="AR616" s="2">
        <v>2.0835138765945352E-3</v>
      </c>
    </row>
    <row r="617" spans="1:44" x14ac:dyDescent="0.25">
      <c r="A617" t="s">
        <v>250</v>
      </c>
      <c r="B617" t="s">
        <v>392</v>
      </c>
      <c r="C617" t="s">
        <v>44</v>
      </c>
      <c r="D617" t="s">
        <v>390</v>
      </c>
      <c r="E617" t="s">
        <v>134</v>
      </c>
      <c r="F617" t="s">
        <v>390</v>
      </c>
      <c r="G617" t="s">
        <v>31</v>
      </c>
      <c r="H617" t="s">
        <v>275</v>
      </c>
      <c r="I617" t="s">
        <v>135</v>
      </c>
      <c r="J617" t="s">
        <v>39</v>
      </c>
      <c r="K617" t="s">
        <v>31</v>
      </c>
      <c r="L617">
        <v>7.4195278969956924E-2</v>
      </c>
      <c r="M617">
        <v>0</v>
      </c>
      <c r="N617">
        <v>0.27950272237800688</v>
      </c>
      <c r="O617">
        <v>10.963614690254309</v>
      </c>
      <c r="P617">
        <v>15.865375968895169</v>
      </c>
      <c r="Q617">
        <v>21.246632142897212</v>
      </c>
      <c r="R617">
        <v>-4.8396016473628869</v>
      </c>
      <c r="S617" s="2">
        <v>1.0131474245843326E-2</v>
      </c>
      <c r="T617" s="2">
        <v>1.6404422427769228E-2</v>
      </c>
      <c r="U617" s="2">
        <v>2.4785083741070434E-2</v>
      </c>
      <c r="V617" s="2">
        <v>3.5334247270706685E-2</v>
      </c>
      <c r="W617" s="2">
        <v>4.7843184153562118E-2</v>
      </c>
      <c r="X617" s="2">
        <v>6.1736744988150488E-2</v>
      </c>
      <c r="Y617" s="2">
        <v>7.6006467862715935E-2</v>
      </c>
      <c r="Z617" s="2">
        <v>8.9217384523852042E-2</v>
      </c>
      <c r="AA617" s="2">
        <v>9.9635665306712168E-2</v>
      </c>
      <c r="AB617" s="2">
        <v>0.10550601816356801</v>
      </c>
      <c r="AC617" s="2">
        <v>0.10545913798635013</v>
      </c>
      <c r="AD617" s="2">
        <v>9.8955722967948023E-2</v>
      </c>
      <c r="AE617" s="2">
        <v>8.6603993200799548E-2</v>
      </c>
      <c r="AF617" s="2">
        <v>7.1291090963992304E-2</v>
      </c>
      <c r="AG617" s="2">
        <v>5.4265939723073711E-2</v>
      </c>
      <c r="AH617" s="2">
        <v>6.0930680818266905E-3</v>
      </c>
      <c r="AI617" s="2">
        <v>0</v>
      </c>
      <c r="AJ617" s="2">
        <v>0</v>
      </c>
      <c r="AK617" s="2">
        <v>0</v>
      </c>
      <c r="AL617" s="2">
        <v>0</v>
      </c>
      <c r="AM617" s="2">
        <v>0</v>
      </c>
      <c r="AN617" s="2">
        <v>0</v>
      </c>
      <c r="AO617" s="2">
        <v>0</v>
      </c>
      <c r="AP617" s="2">
        <v>0</v>
      </c>
      <c r="AQ617" s="2">
        <v>0</v>
      </c>
      <c r="AR617" s="2">
        <v>0.98926964560794084</v>
      </c>
    </row>
    <row r="618" spans="1:44" x14ac:dyDescent="0.25">
      <c r="A618" t="s">
        <v>250</v>
      </c>
      <c r="B618" t="s">
        <v>394</v>
      </c>
      <c r="C618" t="s">
        <v>44</v>
      </c>
      <c r="D618" t="s">
        <v>390</v>
      </c>
      <c r="E618" t="s">
        <v>134</v>
      </c>
      <c r="F618" t="s">
        <v>390</v>
      </c>
      <c r="G618" t="s">
        <v>31</v>
      </c>
      <c r="H618" t="s">
        <v>276</v>
      </c>
      <c r="I618" t="s">
        <v>135</v>
      </c>
      <c r="J618" t="s">
        <v>39</v>
      </c>
      <c r="K618" t="s">
        <v>31</v>
      </c>
      <c r="L618">
        <v>0.14568348082595861</v>
      </c>
      <c r="M618">
        <v>0</v>
      </c>
      <c r="N618">
        <v>0.32133818869682679</v>
      </c>
      <c r="O618">
        <v>6.5040144936843847</v>
      </c>
      <c r="P618">
        <v>7.995752395375872</v>
      </c>
      <c r="Q618">
        <v>10.96330599894752</v>
      </c>
      <c r="R618">
        <v>-2.4258990769324882</v>
      </c>
      <c r="S618" s="2">
        <v>6.0777800828286759E-2</v>
      </c>
      <c r="T618" s="2">
        <v>9.8655810135062749E-2</v>
      </c>
      <c r="U618" s="2">
        <v>0.14943127424851074</v>
      </c>
      <c r="V618" s="2">
        <v>0.21356807806831551</v>
      </c>
      <c r="W618" s="2">
        <v>0.28990116301445229</v>
      </c>
      <c r="X618" s="2">
        <v>0.37502739729158469</v>
      </c>
      <c r="Y618" s="2">
        <v>0.4628701822814284</v>
      </c>
      <c r="Z618" s="2">
        <v>0.54468764920145996</v>
      </c>
      <c r="AA618" s="2">
        <v>0.6098208256887071</v>
      </c>
      <c r="AB618" s="2">
        <v>0.64737220007997309</v>
      </c>
      <c r="AC618" s="2">
        <v>0.64870973620149519</v>
      </c>
      <c r="AD618" s="2">
        <v>0.61023414054553515</v>
      </c>
      <c r="AE618" s="2">
        <v>0.53540557455256066</v>
      </c>
      <c r="AF618" s="2">
        <v>0.44184466791941163</v>
      </c>
      <c r="AG618" s="2">
        <v>0.33717166608930299</v>
      </c>
      <c r="AH618" s="2">
        <v>0.23293634233189525</v>
      </c>
      <c r="AI618" s="2">
        <v>4.4367542850880501E-2</v>
      </c>
      <c r="AJ618" s="2">
        <v>0</v>
      </c>
      <c r="AK618" s="2">
        <v>0</v>
      </c>
      <c r="AL618" s="2">
        <v>0</v>
      </c>
      <c r="AM618" s="2">
        <v>0</v>
      </c>
      <c r="AN618" s="2">
        <v>0</v>
      </c>
      <c r="AO618" s="2">
        <v>0</v>
      </c>
      <c r="AP618" s="2">
        <v>0</v>
      </c>
      <c r="AQ618" s="2">
        <v>0</v>
      </c>
      <c r="AR618" s="2">
        <v>6.3027820513288608</v>
      </c>
    </row>
    <row r="619" spans="1:44" x14ac:dyDescent="0.25">
      <c r="A619" t="s">
        <v>250</v>
      </c>
      <c r="B619" t="s">
        <v>393</v>
      </c>
      <c r="C619" t="s">
        <v>44</v>
      </c>
      <c r="D619" t="s">
        <v>390</v>
      </c>
      <c r="E619" t="s">
        <v>134</v>
      </c>
      <c r="F619" t="s">
        <v>390</v>
      </c>
      <c r="G619" t="s">
        <v>31</v>
      </c>
      <c r="H619" t="s">
        <v>277</v>
      </c>
      <c r="I619" t="s">
        <v>135</v>
      </c>
      <c r="J619" t="s">
        <v>39</v>
      </c>
      <c r="K619" t="s">
        <v>31</v>
      </c>
      <c r="L619">
        <v>1.7330886141164292E-2</v>
      </c>
      <c r="M619">
        <v>0</v>
      </c>
      <c r="N619">
        <v>5.2590649203604373E-2</v>
      </c>
      <c r="O619">
        <v>8.7388756588801293</v>
      </c>
      <c r="P619">
        <v>85.829647673268298</v>
      </c>
      <c r="Q619">
        <v>90.005573805405362</v>
      </c>
      <c r="R619">
        <v>-3.6342716054979225</v>
      </c>
      <c r="S619" s="2">
        <v>5.0223612422475193E-3</v>
      </c>
      <c r="T619" s="2">
        <v>8.130998613096475E-3</v>
      </c>
      <c r="U619" s="2">
        <v>1.2283467300133962E-2</v>
      </c>
      <c r="V619" s="2">
        <v>1.7509513040975592E-2</v>
      </c>
      <c r="W619" s="2">
        <v>2.3705326466564883E-2</v>
      </c>
      <c r="X619" s="2">
        <v>3.0585616122192249E-2</v>
      </c>
      <c r="Y619" s="2">
        <v>3.7650582251686847E-2</v>
      </c>
      <c r="Z619" s="2">
        <v>4.4189417237500209E-2</v>
      </c>
      <c r="AA619" s="2">
        <v>4.9343647842073068E-2</v>
      </c>
      <c r="AB619" s="2">
        <v>5.2244587078541231E-2</v>
      </c>
      <c r="AC619" s="2">
        <v>5.2215077376238053E-2</v>
      </c>
      <c r="AD619" s="2">
        <v>4.8989190763344709E-2</v>
      </c>
      <c r="AE619" s="2">
        <v>4.2869153441881781E-2</v>
      </c>
      <c r="AF619" s="2">
        <v>3.5284981294464245E-2</v>
      </c>
      <c r="AG619" s="2">
        <v>2.6855274727988637E-2</v>
      </c>
      <c r="AH619" s="2">
        <v>2.1033559460730089E-3</v>
      </c>
      <c r="AI619" s="2">
        <v>0</v>
      </c>
      <c r="AJ619" s="2">
        <v>0</v>
      </c>
      <c r="AK619" s="2">
        <v>0</v>
      </c>
      <c r="AL619" s="2">
        <v>0</v>
      </c>
      <c r="AM619" s="2">
        <v>0</v>
      </c>
      <c r="AN619" s="2">
        <v>0</v>
      </c>
      <c r="AO619" s="2">
        <v>0</v>
      </c>
      <c r="AP619" s="2">
        <v>0</v>
      </c>
      <c r="AQ619" s="2">
        <v>0</v>
      </c>
      <c r="AR619" s="2">
        <v>0.48898255074500241</v>
      </c>
    </row>
    <row r="620" spans="1:44" x14ac:dyDescent="0.25">
      <c r="A620" t="s">
        <v>250</v>
      </c>
      <c r="B620" t="s">
        <v>393</v>
      </c>
      <c r="C620" t="s">
        <v>44</v>
      </c>
      <c r="D620" t="s">
        <v>390</v>
      </c>
      <c r="E620" t="s">
        <v>134</v>
      </c>
      <c r="F620" t="s">
        <v>390</v>
      </c>
      <c r="G620" t="s">
        <v>31</v>
      </c>
      <c r="H620" t="s">
        <v>277</v>
      </c>
      <c r="I620" t="s">
        <v>135</v>
      </c>
      <c r="J620" t="s">
        <v>40</v>
      </c>
      <c r="K620" t="s">
        <v>31</v>
      </c>
      <c r="L620">
        <v>1.7330886141164292E-2</v>
      </c>
      <c r="M620">
        <v>0</v>
      </c>
      <c r="N620">
        <v>5.2590649203604373E-2</v>
      </c>
      <c r="O620">
        <v>7.4455689628598627</v>
      </c>
      <c r="P620">
        <v>85.829647673268298</v>
      </c>
      <c r="Q620">
        <v>0.4672931329656026</v>
      </c>
      <c r="R620">
        <v>-3.4912716054979223</v>
      </c>
      <c r="S620" s="2">
        <v>7.9225433298567348E-4</v>
      </c>
      <c r="T620" s="2">
        <v>1.2826275474847066E-3</v>
      </c>
      <c r="U620" s="2">
        <v>1.93766034007224E-3</v>
      </c>
      <c r="V620" s="2">
        <v>2.7620449637299118E-3</v>
      </c>
      <c r="W620" s="2">
        <v>3.7394059690480565E-3</v>
      </c>
      <c r="X620" s="2">
        <v>4.8247399442337968E-3</v>
      </c>
      <c r="Y620" s="2">
        <v>5.9392057818174618E-3</v>
      </c>
      <c r="Z620" s="2">
        <v>6.9706768569388336E-3</v>
      </c>
      <c r="AA620" s="2">
        <v>7.7837329739163597E-3</v>
      </c>
      <c r="AB620" s="2">
        <v>8.2413427652008233E-3</v>
      </c>
      <c r="AC620" s="2">
        <v>8.2366877457015989E-3</v>
      </c>
      <c r="AD620" s="2">
        <v>7.7278190037865799E-3</v>
      </c>
      <c r="AE620" s="2">
        <v>6.7624113295681378E-3</v>
      </c>
      <c r="AF620" s="2">
        <v>5.5660431361858661E-3</v>
      </c>
      <c r="AG620" s="2">
        <v>4.2362957860929348E-3</v>
      </c>
      <c r="AH620" s="2">
        <v>3.3179470406670219E-4</v>
      </c>
      <c r="AI620" s="2">
        <v>0</v>
      </c>
      <c r="AJ620" s="2">
        <v>0</v>
      </c>
      <c r="AK620" s="2">
        <v>0</v>
      </c>
      <c r="AL620" s="2">
        <v>0</v>
      </c>
      <c r="AM620" s="2">
        <v>0</v>
      </c>
      <c r="AN620" s="2">
        <v>0</v>
      </c>
      <c r="AO620" s="2">
        <v>0</v>
      </c>
      <c r="AP620" s="2">
        <v>0</v>
      </c>
      <c r="AQ620" s="2">
        <v>0</v>
      </c>
      <c r="AR620" s="2">
        <v>7.7134743180829676E-2</v>
      </c>
    </row>
    <row r="621" spans="1:44" x14ac:dyDescent="0.25">
      <c r="A621" t="s">
        <v>250</v>
      </c>
      <c r="B621" t="s">
        <v>279</v>
      </c>
      <c r="C621" t="s">
        <v>43</v>
      </c>
      <c r="D621" t="s">
        <v>280</v>
      </c>
      <c r="E621" t="s">
        <v>145</v>
      </c>
      <c r="F621" t="s">
        <v>280</v>
      </c>
      <c r="G621" t="s">
        <v>31</v>
      </c>
      <c r="H621" t="s">
        <v>272</v>
      </c>
      <c r="I621" t="s">
        <v>135</v>
      </c>
      <c r="J621" t="s">
        <v>39</v>
      </c>
      <c r="K621" t="s">
        <v>31</v>
      </c>
      <c r="L621">
        <v>555.32000000000005</v>
      </c>
      <c r="M621">
        <v>1</v>
      </c>
      <c r="N621">
        <v>7.4417404184983775</v>
      </c>
      <c r="O621">
        <v>3.994835640102659</v>
      </c>
      <c r="P621">
        <v>-1.3808313679047273</v>
      </c>
      <c r="Q621">
        <v>0.29076811148401677</v>
      </c>
      <c r="R621">
        <v>-1.1299449527495846</v>
      </c>
      <c r="S621" s="2">
        <v>4.6441397034799065E-5</v>
      </c>
      <c r="T621" s="2">
        <v>7.1102545329832382E-5</v>
      </c>
      <c r="U621" s="2">
        <v>1.545372953291587E-4</v>
      </c>
      <c r="V621" s="2">
        <v>2.8944975688810259E-4</v>
      </c>
      <c r="W621" s="2">
        <v>4.930286213851217E-4</v>
      </c>
      <c r="X621" s="2">
        <v>7.8288608512851621E-4</v>
      </c>
      <c r="Y621" s="2">
        <v>1.1748276653654089E-3</v>
      </c>
      <c r="Z621" s="2">
        <v>1.6798311343263464E-3</v>
      </c>
      <c r="AA621" s="2">
        <v>2.3004863217306435E-3</v>
      </c>
      <c r="AB621" s="2">
        <v>3.027507564104128E-3</v>
      </c>
      <c r="AC621" s="2">
        <v>3.8373174995062894E-3</v>
      </c>
      <c r="AD621" s="2">
        <v>4.6919353693927511E-3</v>
      </c>
      <c r="AE621" s="2">
        <v>6.3354442393245263E-3</v>
      </c>
      <c r="AF621" s="2">
        <v>7.6116615026409363E-3</v>
      </c>
      <c r="AG621" s="2">
        <v>8.4398252992684726E-3</v>
      </c>
      <c r="AH621" s="2">
        <v>9.092402289429681E-3</v>
      </c>
      <c r="AI621" s="2">
        <v>9.5497215394640886E-3</v>
      </c>
      <c r="AJ621" s="2">
        <v>9.8455329884913519E-3</v>
      </c>
      <c r="AK621" s="2">
        <v>9.9442914275888524E-3</v>
      </c>
      <c r="AL621" s="2">
        <v>9.9738786216997406E-3</v>
      </c>
      <c r="AM621" s="2">
        <v>9.8544658699697071E-3</v>
      </c>
      <c r="AN621" s="2">
        <v>9.6698870986714567E-3</v>
      </c>
      <c r="AO621" s="2">
        <v>5.8731184314766436E-3</v>
      </c>
      <c r="AP621" s="2">
        <v>8.9163122883920826E-4</v>
      </c>
      <c r="AQ621" s="2">
        <v>7.078724802892847E-4</v>
      </c>
      <c r="AR621" s="2">
        <v>0.11633908427267504</v>
      </c>
    </row>
    <row r="622" spans="1:44" x14ac:dyDescent="0.25">
      <c r="A622" t="s">
        <v>250</v>
      </c>
      <c r="B622" t="s">
        <v>279</v>
      </c>
      <c r="C622" t="s">
        <v>43</v>
      </c>
      <c r="D622" t="s">
        <v>280</v>
      </c>
      <c r="E622" t="s">
        <v>145</v>
      </c>
      <c r="F622" t="s">
        <v>280</v>
      </c>
      <c r="G622" t="s">
        <v>31</v>
      </c>
      <c r="H622" t="s">
        <v>272</v>
      </c>
      <c r="I622" t="s">
        <v>135</v>
      </c>
      <c r="J622" t="s">
        <v>40</v>
      </c>
      <c r="K622" t="s">
        <v>31</v>
      </c>
      <c r="L622">
        <v>555.32000000000005</v>
      </c>
      <c r="M622">
        <v>1</v>
      </c>
      <c r="N622">
        <v>7.4417404184983775</v>
      </c>
      <c r="O622">
        <v>2.8220930578635581</v>
      </c>
      <c r="P622">
        <v>-1.3808313679047273</v>
      </c>
      <c r="Q622">
        <v>0.4672931329656026</v>
      </c>
      <c r="R622">
        <v>-0.98694495274958449</v>
      </c>
      <c r="S622" s="2">
        <v>4.5937898793959966E-6</v>
      </c>
      <c r="T622" s="2">
        <v>7.0331681213364734E-6</v>
      </c>
      <c r="U622" s="2">
        <v>1.5286186648097056E-5</v>
      </c>
      <c r="V622" s="2">
        <v>2.863116634475616E-5</v>
      </c>
      <c r="W622" s="2">
        <v>4.8768341087466422E-5</v>
      </c>
      <c r="X622" s="2">
        <v>7.7439836098997981E-5</v>
      </c>
      <c r="Y622" s="2">
        <v>1.1620906742202602E-4</v>
      </c>
      <c r="Z622" s="2">
        <v>1.6616191063719267E-4</v>
      </c>
      <c r="AA622" s="2">
        <v>2.2755454093115397E-4</v>
      </c>
      <c r="AB622" s="2">
        <v>2.994684590852241E-4</v>
      </c>
      <c r="AC622" s="2">
        <v>3.7957149049698953E-4</v>
      </c>
      <c r="AD622" s="2">
        <v>4.6410673646501342E-4</v>
      </c>
      <c r="AE622" s="2">
        <v>6.2667579974562241E-4</v>
      </c>
      <c r="AF622" s="2">
        <v>7.5291390459290765E-4</v>
      </c>
      <c r="AG622" s="2">
        <v>8.3483242363700523E-4</v>
      </c>
      <c r="AH622" s="2">
        <v>8.9938262592060918E-4</v>
      </c>
      <c r="AI622" s="2">
        <v>9.4461874448282027E-4</v>
      </c>
      <c r="AJ622" s="2">
        <v>9.7387918296042966E-4</v>
      </c>
      <c r="AK622" s="2">
        <v>9.8364795709293489E-4</v>
      </c>
      <c r="AL622" s="2">
        <v>9.8657459930321214E-4</v>
      </c>
      <c r="AM622" s="2">
        <v>9.7476278645104893E-4</v>
      </c>
      <c r="AN622" s="2">
        <v>9.5650502192027816E-4</v>
      </c>
      <c r="AO622" s="2">
        <v>5.8094445330305429E-4</v>
      </c>
      <c r="AP622" s="2">
        <v>8.8196453524554168E-5</v>
      </c>
      <c r="AQ622" s="2">
        <v>7.0019802234184066E-5</v>
      </c>
      <c r="AR622" s="2">
        <v>1.1507778448386309E-2</v>
      </c>
    </row>
    <row r="623" spans="1:44" x14ac:dyDescent="0.25">
      <c r="A623" t="s">
        <v>250</v>
      </c>
      <c r="B623" t="s">
        <v>279</v>
      </c>
      <c r="C623" t="s">
        <v>43</v>
      </c>
      <c r="D623" t="s">
        <v>280</v>
      </c>
      <c r="E623" t="s">
        <v>145</v>
      </c>
      <c r="F623" t="s">
        <v>280</v>
      </c>
      <c r="G623" t="s">
        <v>31</v>
      </c>
      <c r="H623" t="s">
        <v>253</v>
      </c>
      <c r="I623" t="s">
        <v>135</v>
      </c>
      <c r="J623" t="s">
        <v>39</v>
      </c>
      <c r="K623" t="s">
        <v>31</v>
      </c>
      <c r="L623">
        <v>555.32000000000005</v>
      </c>
      <c r="M623">
        <v>1</v>
      </c>
      <c r="N623">
        <v>7.4417404184983775</v>
      </c>
      <c r="O623">
        <v>3.994835640102659</v>
      </c>
      <c r="P623">
        <v>-1.3808313679047273</v>
      </c>
      <c r="Q623">
        <v>0.29076811148401677</v>
      </c>
      <c r="R623">
        <v>-1.1299449527495846</v>
      </c>
      <c r="S623" s="2">
        <v>7.1816529039038683E-5</v>
      </c>
      <c r="T623" s="2">
        <v>1.1000752142445616E-4</v>
      </c>
      <c r="U623" s="2">
        <v>2.3921512460089219E-4</v>
      </c>
      <c r="V623" s="2">
        <v>4.4827716106756458E-4</v>
      </c>
      <c r="W623" s="2">
        <v>7.6394774178557107E-4</v>
      </c>
      <c r="X623" s="2">
        <v>1.2136911628109399E-3</v>
      </c>
      <c r="Y623" s="2">
        <v>1.8222244794375941E-3</v>
      </c>
      <c r="Z623" s="2">
        <v>2.6068223384478144E-3</v>
      </c>
      <c r="AA623" s="2">
        <v>3.571770606276242E-3</v>
      </c>
      <c r="AB623" s="2">
        <v>4.702916158615073E-3</v>
      </c>
      <c r="AC623" s="2">
        <v>5.9638653519596867E-3</v>
      </c>
      <c r="AD623" s="2">
        <v>7.2957545155777201E-3</v>
      </c>
      <c r="AE623" s="2">
        <v>9.8488732941452162E-3</v>
      </c>
      <c r="AF623" s="2">
        <v>1.177283476996978E-2</v>
      </c>
      <c r="AG623" s="2">
        <v>1.3060141290396073E-2</v>
      </c>
      <c r="AH623" s="2">
        <v>1.40772910117985E-2</v>
      </c>
      <c r="AI623" s="2">
        <v>1.4793660390545799E-2</v>
      </c>
      <c r="AJ623" s="2">
        <v>1.5261354000314165E-2</v>
      </c>
      <c r="AK623" s="2">
        <v>1.5425072355247142E-2</v>
      </c>
      <c r="AL623" s="2">
        <v>1.5482941319463385E-2</v>
      </c>
      <c r="AM623" s="2">
        <v>1.5310857659101314E-2</v>
      </c>
      <c r="AN623" s="2">
        <v>1.5038614239706472E-2</v>
      </c>
      <c r="AO623" s="2">
        <v>9.7786984028367333E-3</v>
      </c>
      <c r="AP623" s="2">
        <v>1.3418398266007933E-3</v>
      </c>
      <c r="AQ623" s="2">
        <v>1.0657638862586678E-3</v>
      </c>
      <c r="AR623" s="2">
        <v>0.18106825113742664</v>
      </c>
    </row>
    <row r="624" spans="1:44" x14ac:dyDescent="0.25">
      <c r="A624" t="s">
        <v>250</v>
      </c>
      <c r="B624" t="s">
        <v>279</v>
      </c>
      <c r="C624" t="s">
        <v>43</v>
      </c>
      <c r="D624" t="s">
        <v>280</v>
      </c>
      <c r="E624" t="s">
        <v>145</v>
      </c>
      <c r="F624" t="s">
        <v>280</v>
      </c>
      <c r="G624" t="s">
        <v>31</v>
      </c>
      <c r="H624" t="s">
        <v>253</v>
      </c>
      <c r="I624" t="s">
        <v>135</v>
      </c>
      <c r="J624" t="s">
        <v>40</v>
      </c>
      <c r="K624" t="s">
        <v>31</v>
      </c>
      <c r="L624">
        <v>555.32000000000005</v>
      </c>
      <c r="M624">
        <v>1</v>
      </c>
      <c r="N624">
        <v>7.4417404184983775</v>
      </c>
      <c r="O624">
        <v>2.8220930578635581</v>
      </c>
      <c r="P624">
        <v>-1.3808313679047273</v>
      </c>
      <c r="Q624">
        <v>0.4672931329656026</v>
      </c>
      <c r="R624">
        <v>-0.98694495274958449</v>
      </c>
      <c r="S624" s="2">
        <v>3.7776986905198913E-5</v>
      </c>
      <c r="T624" s="2">
        <v>5.7866242659347238E-5</v>
      </c>
      <c r="U624" s="2">
        <v>1.2583212737364555E-4</v>
      </c>
      <c r="V624" s="2">
        <v>2.3580310368861873E-4</v>
      </c>
      <c r="W624" s="2">
        <v>4.0185239002572793E-4</v>
      </c>
      <c r="X624" s="2">
        <v>6.3842677692681551E-4</v>
      </c>
      <c r="Y624" s="2">
        <v>9.585279491943591E-4</v>
      </c>
      <c r="Z624" s="2">
        <v>1.3712427300711174E-3</v>
      </c>
      <c r="AA624" s="2">
        <v>1.8788255743789159E-3</v>
      </c>
      <c r="AB624" s="2">
        <v>2.4738316445741182E-3</v>
      </c>
      <c r="AC624" s="2">
        <v>3.1371171277698711E-3</v>
      </c>
      <c r="AD624" s="2">
        <v>3.8377185097417605E-3</v>
      </c>
      <c r="AE624" s="2">
        <v>5.1807120511440886E-3</v>
      </c>
      <c r="AF624" s="2">
        <v>6.1927557749339567E-3</v>
      </c>
      <c r="AG624" s="2">
        <v>6.8699057599838466E-3</v>
      </c>
      <c r="AH624" s="2">
        <v>7.4049476538236413E-3</v>
      </c>
      <c r="AI624" s="2">
        <v>7.7817728360252423E-3</v>
      </c>
      <c r="AJ624" s="2">
        <v>8.0277893952808432E-3</v>
      </c>
      <c r="AK624" s="2">
        <v>8.1139086526885937E-3</v>
      </c>
      <c r="AL624" s="2">
        <v>8.1443489306115835E-3</v>
      </c>
      <c r="AM624" s="2">
        <v>8.0538293486841148E-3</v>
      </c>
      <c r="AN624" s="2">
        <v>7.9106236517906669E-3</v>
      </c>
      <c r="AO624" s="2">
        <v>5.1437985998048844E-3</v>
      </c>
      <c r="AP624" s="2">
        <v>7.0583563751483176E-4</v>
      </c>
      <c r="AQ624" s="2">
        <v>5.6061395494819437E-4</v>
      </c>
      <c r="AR624" s="2">
        <v>9.5245663410543968E-2</v>
      </c>
    </row>
    <row r="625" spans="1:44" x14ac:dyDescent="0.25">
      <c r="A625" t="s">
        <v>250</v>
      </c>
      <c r="B625" t="s">
        <v>279</v>
      </c>
      <c r="C625" t="s">
        <v>43</v>
      </c>
      <c r="D625" t="s">
        <v>280</v>
      </c>
      <c r="E625" t="s">
        <v>145</v>
      </c>
      <c r="F625" t="s">
        <v>280</v>
      </c>
      <c r="G625" t="s">
        <v>31</v>
      </c>
      <c r="H625" t="s">
        <v>253</v>
      </c>
      <c r="I625" t="s">
        <v>256</v>
      </c>
      <c r="J625" t="s">
        <v>39</v>
      </c>
      <c r="K625" t="s">
        <v>31</v>
      </c>
      <c r="L625">
        <v>555.32000000000005</v>
      </c>
      <c r="M625">
        <v>1</v>
      </c>
      <c r="N625">
        <v>4.9300155022114529</v>
      </c>
      <c r="O625">
        <v>2.6465047861031108</v>
      </c>
      <c r="P625">
        <v>-0.65050185742862832</v>
      </c>
      <c r="Q625">
        <v>0.4672931329656026</v>
      </c>
      <c r="R625">
        <v>-0.3996154422734855</v>
      </c>
      <c r="S625" s="2">
        <v>3.767214397643936E-5</v>
      </c>
      <c r="T625" s="2">
        <v>5.7705645776066381E-5</v>
      </c>
      <c r="U625" s="2">
        <v>1.2548290394830982E-4</v>
      </c>
      <c r="V625" s="2">
        <v>2.351486764823583E-4</v>
      </c>
      <c r="W625" s="2">
        <v>4.0073712422633947E-4</v>
      </c>
      <c r="X625" s="2">
        <v>6.3665494336953652E-4</v>
      </c>
      <c r="Y625" s="2">
        <v>9.5586773498130921E-4</v>
      </c>
      <c r="Z625" s="2">
        <v>1.3674371035339438E-3</v>
      </c>
      <c r="AA625" s="2">
        <v>1.8736112470335263E-3</v>
      </c>
      <c r="AB625" s="2">
        <v>2.466965989684117E-3</v>
      </c>
      <c r="AC625" s="2">
        <v>3.1284106486543575E-3</v>
      </c>
      <c r="AD625" s="2">
        <v>3.8270676431354385E-3</v>
      </c>
      <c r="AE625" s="2">
        <v>5.1663339583156451E-3</v>
      </c>
      <c r="AF625" s="2">
        <v>6.1755689449158298E-3</v>
      </c>
      <c r="AG625" s="2">
        <v>6.8508396274204932E-3</v>
      </c>
      <c r="AH625" s="2">
        <v>7.3843966130197006E-3</v>
      </c>
      <c r="AI625" s="2">
        <v>7.7601759877345619E-3</v>
      </c>
      <c r="AJ625" s="2">
        <v>8.0055097742571264E-3</v>
      </c>
      <c r="AK625" s="2">
        <v>8.0913900238479657E-3</v>
      </c>
      <c r="AL625" s="2">
        <v>8.1217458204993903E-3</v>
      </c>
      <c r="AM625" s="2">
        <v>8.0314774586627054E-3</v>
      </c>
      <c r="AN625" s="2">
        <v>7.8886692022722329E-3</v>
      </c>
      <c r="AO625" s="2">
        <v>5.1295229533244949E-3</v>
      </c>
      <c r="AP625" s="2">
        <v>7.0387672333129122E-4</v>
      </c>
      <c r="AQ625" s="2">
        <v>5.5905807625708959E-4</v>
      </c>
      <c r="AR625" s="2">
        <v>9.4981326968660254E-2</v>
      </c>
    </row>
    <row r="626" spans="1:44" x14ac:dyDescent="0.25">
      <c r="A626" t="s">
        <v>250</v>
      </c>
      <c r="B626" t="s">
        <v>279</v>
      </c>
      <c r="C626" t="s">
        <v>43</v>
      </c>
      <c r="D626" t="s">
        <v>280</v>
      </c>
      <c r="E626" t="s">
        <v>145</v>
      </c>
      <c r="F626" t="s">
        <v>280</v>
      </c>
      <c r="G626" t="s">
        <v>31</v>
      </c>
      <c r="H626" t="s">
        <v>273</v>
      </c>
      <c r="I626" t="s">
        <v>135</v>
      </c>
      <c r="J626" t="s">
        <v>39</v>
      </c>
      <c r="K626" t="s">
        <v>31</v>
      </c>
      <c r="L626">
        <v>555.32000000000005</v>
      </c>
      <c r="M626">
        <v>1</v>
      </c>
      <c r="N626">
        <v>7.4417404184983775</v>
      </c>
      <c r="O626">
        <v>3.994835640102659</v>
      </c>
      <c r="P626">
        <v>-1.3808313679047273</v>
      </c>
      <c r="Q626">
        <v>0.29076811148401677</v>
      </c>
      <c r="R626">
        <v>-1.1299449527495846</v>
      </c>
      <c r="S626" s="2">
        <v>1.3967554232269056E-5</v>
      </c>
      <c r="T626" s="2">
        <v>2.1384556050341033E-5</v>
      </c>
      <c r="U626" s="2">
        <v>4.6478103399878548E-5</v>
      </c>
      <c r="V626" s="2">
        <v>8.7053909550185841E-5</v>
      </c>
      <c r="W626" s="2">
        <v>1.4828158597592303E-4</v>
      </c>
      <c r="X626" s="2">
        <v>2.3545811603228981E-4</v>
      </c>
      <c r="Y626" s="2">
        <v>3.533371125176443E-4</v>
      </c>
      <c r="Z626" s="2">
        <v>5.0522021230705217E-4</v>
      </c>
      <c r="AA626" s="2">
        <v>6.9188632364545208E-4</v>
      </c>
      <c r="AB626" s="2">
        <v>9.1054272244530385E-4</v>
      </c>
      <c r="AC626" s="2">
        <v>1.1540983627307253E-3</v>
      </c>
      <c r="AD626" s="2">
        <v>1.4111302826912934E-3</v>
      </c>
      <c r="AE626" s="2">
        <v>1.9054263361624297E-3</v>
      </c>
      <c r="AF626" s="2">
        <v>2.2892570341100605E-3</v>
      </c>
      <c r="AG626" s="2">
        <v>2.5383327183305226E-3</v>
      </c>
      <c r="AH626" s="2">
        <v>2.7345995208553939E-3</v>
      </c>
      <c r="AI626" s="2">
        <v>2.8721412795912377E-3</v>
      </c>
      <c r="AJ626" s="2">
        <v>2.9611085097053227E-3</v>
      </c>
      <c r="AK626" s="2">
        <v>2.9908107568826624E-3</v>
      </c>
      <c r="AL626" s="2">
        <v>2.9997092992330235E-3</v>
      </c>
      <c r="AM626" s="2">
        <v>2.963795132297789E-3</v>
      </c>
      <c r="AN626" s="2">
        <v>2.9082818583042814E-3</v>
      </c>
      <c r="AO626" s="2">
        <v>1.7663788223838378E-3</v>
      </c>
      <c r="AP626" s="2">
        <v>2.6816393000978368E-4</v>
      </c>
      <c r="AQ626" s="2">
        <v>2.1289728322691599E-4</v>
      </c>
      <c r="AR626" s="2">
        <v>3.4989741322671623E-2</v>
      </c>
    </row>
    <row r="627" spans="1:44" x14ac:dyDescent="0.25">
      <c r="A627" t="s">
        <v>250</v>
      </c>
      <c r="B627" t="s">
        <v>279</v>
      </c>
      <c r="C627" t="s">
        <v>43</v>
      </c>
      <c r="D627" t="s">
        <v>280</v>
      </c>
      <c r="E627" t="s">
        <v>145</v>
      </c>
      <c r="F627" t="s">
        <v>280</v>
      </c>
      <c r="G627" t="s">
        <v>31</v>
      </c>
      <c r="H627" t="s">
        <v>252</v>
      </c>
      <c r="I627" t="s">
        <v>135</v>
      </c>
      <c r="J627" t="s">
        <v>39</v>
      </c>
      <c r="K627" t="s">
        <v>31</v>
      </c>
      <c r="L627">
        <v>555.32000000000005</v>
      </c>
      <c r="M627">
        <v>1</v>
      </c>
      <c r="N627">
        <v>7.4417404184983775</v>
      </c>
      <c r="O627">
        <v>3.994835640102659</v>
      </c>
      <c r="P627">
        <v>-1.3808313679047273</v>
      </c>
      <c r="Q627">
        <v>0.29076811148401677</v>
      </c>
      <c r="R627">
        <v>-1.1299449527495846</v>
      </c>
      <c r="S627" s="2">
        <v>1.0901235165705944E-3</v>
      </c>
      <c r="T627" s="2">
        <v>1.6705061342504246E-3</v>
      </c>
      <c r="U627" s="2">
        <v>3.6340318377049092E-3</v>
      </c>
      <c r="V627" s="2">
        <v>6.812728844763638E-3</v>
      </c>
      <c r="W627" s="2">
        <v>1.1614821513801917E-2</v>
      </c>
      <c r="X627" s="2">
        <v>1.8459990643335211E-2</v>
      </c>
      <c r="Y627" s="2">
        <v>2.7726787970600183E-2</v>
      </c>
      <c r="Z627" s="2">
        <v>3.9681082995239973E-2</v>
      </c>
      <c r="AA627" s="2">
        <v>5.4391375224802092E-2</v>
      </c>
      <c r="AB627" s="2">
        <v>7.1645367552787831E-2</v>
      </c>
      <c r="AC627" s="2">
        <v>9.0891465575684657E-2</v>
      </c>
      <c r="AD627" s="2">
        <v>0.11123459735864538</v>
      </c>
      <c r="AE627" s="2">
        <v>0.15013105293652504</v>
      </c>
      <c r="AF627" s="2">
        <v>0.17873458011700644</v>
      </c>
      <c r="AG627" s="2">
        <v>0.19835612616923792</v>
      </c>
      <c r="AH627" s="2">
        <v>0.21389351463306219</v>
      </c>
      <c r="AI627" s="2">
        <v>0.22487944123830439</v>
      </c>
      <c r="AJ627" s="2">
        <v>0.23210382704204938</v>
      </c>
      <c r="AK627" s="2">
        <v>0.23472323436274473</v>
      </c>
      <c r="AL627" s="2">
        <v>0.23574969329145312</v>
      </c>
      <c r="AM627" s="2">
        <v>0.23329139128917684</v>
      </c>
      <c r="AN627" s="2">
        <v>0.22932042172812633</v>
      </c>
      <c r="AO627" s="2">
        <v>0.15702928453994755</v>
      </c>
      <c r="AP627" s="2">
        <v>1.9915051912544352E-2</v>
      </c>
      <c r="AQ627" s="2">
        <v>1.5823195480738701E-2</v>
      </c>
      <c r="AR627" s="2">
        <v>2.7628036939091039</v>
      </c>
    </row>
    <row r="628" spans="1:44" x14ac:dyDescent="0.25">
      <c r="A628" t="s">
        <v>250</v>
      </c>
      <c r="B628" t="s">
        <v>279</v>
      </c>
      <c r="C628" t="s">
        <v>43</v>
      </c>
      <c r="D628" t="s">
        <v>280</v>
      </c>
      <c r="E628" t="s">
        <v>145</v>
      </c>
      <c r="F628" t="s">
        <v>280</v>
      </c>
      <c r="G628" t="s">
        <v>31</v>
      </c>
      <c r="H628" t="s">
        <v>274</v>
      </c>
      <c r="I628" t="s">
        <v>135</v>
      </c>
      <c r="J628" t="s">
        <v>39</v>
      </c>
      <c r="K628" t="s">
        <v>31</v>
      </c>
      <c r="L628">
        <v>555.32000000000005</v>
      </c>
      <c r="M628">
        <v>1</v>
      </c>
      <c r="N628">
        <v>7.4417404184983775</v>
      </c>
      <c r="O628">
        <v>3.994835640102659</v>
      </c>
      <c r="P628">
        <v>-1.3808313679047273</v>
      </c>
      <c r="Q628">
        <v>0.29076811148401677</v>
      </c>
      <c r="R628">
        <v>-1.1299449527495846</v>
      </c>
      <c r="S628" s="2">
        <v>2.198743153755542E-5</v>
      </c>
      <c r="T628" s="2">
        <v>3.3663120564916997E-5</v>
      </c>
      <c r="U628" s="2">
        <v>7.3164857605441773E-5</v>
      </c>
      <c r="V628" s="2">
        <v>1.3703844241314285E-4</v>
      </c>
      <c r="W628" s="2">
        <v>2.3342176917369285E-4</v>
      </c>
      <c r="X628" s="2">
        <v>3.7065323822127152E-4</v>
      </c>
      <c r="Y628" s="2">
        <v>5.5621588733198956E-4</v>
      </c>
      <c r="Z628" s="2">
        <v>7.9530708417274059E-4</v>
      </c>
      <c r="AA628" s="2">
        <v>1.0891529698004931E-3</v>
      </c>
      <c r="AB628" s="2">
        <v>1.4333572964071518E-3</v>
      </c>
      <c r="AC628" s="2">
        <v>1.8167574878300155E-3</v>
      </c>
      <c r="AD628" s="2">
        <v>2.2213717566647766E-3</v>
      </c>
      <c r="AE628" s="2">
        <v>2.9994822586359485E-3</v>
      </c>
      <c r="AF628" s="2">
        <v>3.6037005099342437E-3</v>
      </c>
      <c r="AG628" s="2">
        <v>3.9957902389875059E-3</v>
      </c>
      <c r="AH628" s="2">
        <v>4.3047493317426725E-3</v>
      </c>
      <c r="AI628" s="2">
        <v>4.5212646896549934E-3</v>
      </c>
      <c r="AJ628" s="2">
        <v>4.6613150412548416E-3</v>
      </c>
      <c r="AK628" s="2">
        <v>4.7080716971061873E-3</v>
      </c>
      <c r="AL628" s="2">
        <v>4.7220795962314936E-3</v>
      </c>
      <c r="AM628" s="2">
        <v>4.665544266310051E-3</v>
      </c>
      <c r="AN628" s="2">
        <v>4.5781564322583453E-3</v>
      </c>
      <c r="AO628" s="2">
        <v>2.7805965726501502E-3</v>
      </c>
      <c r="AP628" s="2">
        <v>4.2213804606606732E-4</v>
      </c>
      <c r="AQ628" s="2">
        <v>3.3513844740754912E-4</v>
      </c>
      <c r="AR628" s="2">
        <v>5.5080118469963232E-2</v>
      </c>
    </row>
    <row r="629" spans="1:44" x14ac:dyDescent="0.25">
      <c r="A629" t="s">
        <v>250</v>
      </c>
      <c r="B629" t="s">
        <v>279</v>
      </c>
      <c r="C629" t="s">
        <v>43</v>
      </c>
      <c r="D629" t="s">
        <v>280</v>
      </c>
      <c r="E629" t="s">
        <v>145</v>
      </c>
      <c r="F629" t="s">
        <v>280</v>
      </c>
      <c r="G629" t="s">
        <v>31</v>
      </c>
      <c r="H629" t="s">
        <v>274</v>
      </c>
      <c r="I629" t="s">
        <v>135</v>
      </c>
      <c r="J629" t="s">
        <v>39</v>
      </c>
      <c r="K629" t="s">
        <v>33</v>
      </c>
      <c r="L629">
        <v>555.32000000000005</v>
      </c>
      <c r="M629">
        <v>1</v>
      </c>
      <c r="N629">
        <v>7.4417404184983775</v>
      </c>
      <c r="O629">
        <v>3.994835640102659</v>
      </c>
      <c r="P629">
        <v>-1.3808313679047273</v>
      </c>
      <c r="Q629">
        <v>0.29076811148401677</v>
      </c>
      <c r="R629">
        <v>-1.1299449527495846</v>
      </c>
      <c r="S629" s="2">
        <v>7.0744178911307248E-8</v>
      </c>
      <c r="T629" s="2">
        <v>1.0831050547626486E-7</v>
      </c>
      <c r="U629" s="2">
        <v>2.3540665800909482E-7</v>
      </c>
      <c r="V629" s="2">
        <v>4.4091880723964353E-7</v>
      </c>
      <c r="W629" s="2">
        <v>7.5103048630361074E-7</v>
      </c>
      <c r="X629" s="2">
        <v>1.192570353385458E-6</v>
      </c>
      <c r="Y629" s="2">
        <v>1.7896149525021178E-6</v>
      </c>
      <c r="Z629" s="2">
        <v>2.5588867238106639E-6</v>
      </c>
      <c r="AA629" s="2">
        <v>3.5043307548560687E-6</v>
      </c>
      <c r="AB629" s="2">
        <v>4.6118021947064193E-6</v>
      </c>
      <c r="AC629" s="2">
        <v>5.8453856485227875E-6</v>
      </c>
      <c r="AD629" s="2">
        <v>7.1472250277892079E-6</v>
      </c>
      <c r="AE629" s="2">
        <v>9.6507820471797419E-6</v>
      </c>
      <c r="AF629" s="2">
        <v>1.1594843771638709E-5</v>
      </c>
      <c r="AG629" s="2">
        <v>1.2856385661788671E-5</v>
      </c>
      <c r="AH629" s="2">
        <v>1.3850456174154511E-5</v>
      </c>
      <c r="AI629" s="2">
        <v>1.4547090575995944E-5</v>
      </c>
      <c r="AJ629" s="2">
        <v>1.4997700148707946E-5</v>
      </c>
      <c r="AK629" s="2">
        <v>1.5148138876450737E-5</v>
      </c>
      <c r="AL629" s="2">
        <v>1.5193209048480597E-5</v>
      </c>
      <c r="AM629" s="2">
        <v>1.501130760683466E-5</v>
      </c>
      <c r="AN629" s="2">
        <v>1.4730138769252785E-5</v>
      </c>
      <c r="AO629" s="2">
        <v>8.946521155949471E-6</v>
      </c>
      <c r="AP629" s="2">
        <v>1.3582218280092877E-6</v>
      </c>
      <c r="AQ629" s="2">
        <v>1.078302131058889E-6</v>
      </c>
      <c r="AR629" s="2">
        <v>1.7721932408701463E-4</v>
      </c>
    </row>
    <row r="630" spans="1:44" x14ac:dyDescent="0.25">
      <c r="A630" t="s">
        <v>250</v>
      </c>
      <c r="B630" t="s">
        <v>279</v>
      </c>
      <c r="C630" t="s">
        <v>43</v>
      </c>
      <c r="D630" t="s">
        <v>280</v>
      </c>
      <c r="E630" t="s">
        <v>145</v>
      </c>
      <c r="F630" t="s">
        <v>280</v>
      </c>
      <c r="G630" t="s">
        <v>31</v>
      </c>
      <c r="H630" t="s">
        <v>278</v>
      </c>
      <c r="I630" t="s">
        <v>135</v>
      </c>
      <c r="J630" t="s">
        <v>39</v>
      </c>
      <c r="K630" t="s">
        <v>31</v>
      </c>
      <c r="L630">
        <v>555.32000000000005</v>
      </c>
      <c r="M630">
        <v>1</v>
      </c>
      <c r="N630">
        <v>7.4417404184983775</v>
      </c>
      <c r="O630">
        <v>3.994835640102659</v>
      </c>
      <c r="P630">
        <v>-1.3808313679047273</v>
      </c>
      <c r="Q630">
        <v>0.29076811148401677</v>
      </c>
      <c r="R630">
        <v>-1.1299449527495846</v>
      </c>
      <c r="S630" s="2">
        <v>9.3146092496487797E-5</v>
      </c>
      <c r="T630" s="2">
        <v>1.4197782906634899E-4</v>
      </c>
      <c r="U630" s="2">
        <v>3.0721662125006611E-4</v>
      </c>
      <c r="V630" s="2">
        <v>5.7287597400829365E-4</v>
      </c>
      <c r="W630" s="2">
        <v>9.7148381437877989E-4</v>
      </c>
      <c r="X630" s="2">
        <v>1.53581190494809E-3</v>
      </c>
      <c r="Y630" s="2">
        <v>2.2945083298599447E-3</v>
      </c>
      <c r="Z630" s="2">
        <v>3.2663078760932279E-3</v>
      </c>
      <c r="AA630" s="2">
        <v>4.45335345053623E-3</v>
      </c>
      <c r="AB630" s="2">
        <v>5.8348374918295838E-3</v>
      </c>
      <c r="AC630" s="2">
        <v>7.3628725035913174E-3</v>
      </c>
      <c r="AD630" s="2">
        <v>8.9628800700367658E-3</v>
      </c>
      <c r="AE630" s="2">
        <v>1.2131301702400645E-2</v>
      </c>
      <c r="AF630" s="2">
        <v>1.5262229084440805E-2</v>
      </c>
      <c r="AG630" s="2">
        <v>1.6849818060120404E-2</v>
      </c>
      <c r="AH630" s="2">
        <v>1.8069630518914869E-2</v>
      </c>
      <c r="AI630" s="2">
        <v>1.8884675182831417E-2</v>
      </c>
      <c r="AJ630" s="2">
        <v>1.9363906300652239E-2</v>
      </c>
      <c r="AK630" s="2">
        <v>1.9439880200274526E-2</v>
      </c>
      <c r="AL630" s="2">
        <v>1.9365443462097814E-2</v>
      </c>
      <c r="AM630" s="2">
        <v>1.8987798131411455E-2</v>
      </c>
      <c r="AN630" s="2">
        <v>1.8473700336577768E-2</v>
      </c>
      <c r="AO630" s="2">
        <v>4.4973978412751756E-3</v>
      </c>
      <c r="AP630" s="2">
        <v>2.1894371292054304E-3</v>
      </c>
      <c r="AQ630" s="2">
        <v>1.7315090142266374E-3</v>
      </c>
      <c r="AR630" s="2">
        <v>0.22104399892252433</v>
      </c>
    </row>
    <row r="631" spans="1:44" x14ac:dyDescent="0.25">
      <c r="A631" t="s">
        <v>250</v>
      </c>
      <c r="B631" t="s">
        <v>279</v>
      </c>
      <c r="C631" t="s">
        <v>43</v>
      </c>
      <c r="D631" t="s">
        <v>280</v>
      </c>
      <c r="E631" t="s">
        <v>145</v>
      </c>
      <c r="F631" t="s">
        <v>280</v>
      </c>
      <c r="G631" t="s">
        <v>31</v>
      </c>
      <c r="H631" t="s">
        <v>276</v>
      </c>
      <c r="I631" t="s">
        <v>135</v>
      </c>
      <c r="J631" t="s">
        <v>39</v>
      </c>
      <c r="K631" t="s">
        <v>31</v>
      </c>
      <c r="L631">
        <v>555.32000000000005</v>
      </c>
      <c r="M631">
        <v>1</v>
      </c>
      <c r="N631">
        <v>7.4417404184983775</v>
      </c>
      <c r="O631">
        <v>3.994835640102659</v>
      </c>
      <c r="P631">
        <v>-1.3808313679047273</v>
      </c>
      <c r="Q631">
        <v>0.29076811148401677</v>
      </c>
      <c r="R631">
        <v>-1.1299449527495846</v>
      </c>
      <c r="S631" s="2">
        <v>1.8320103785953381E-4</v>
      </c>
      <c r="T631" s="2">
        <v>2.8118826251708325E-4</v>
      </c>
      <c r="U631" s="2">
        <v>6.1268145297361815E-4</v>
      </c>
      <c r="V631" s="2">
        <v>1.1504400754446158E-3</v>
      </c>
      <c r="W631" s="2">
        <v>1.9645013461028339E-3</v>
      </c>
      <c r="X631" s="2">
        <v>3.1272900226008548E-3</v>
      </c>
      <c r="Y631" s="2">
        <v>4.7047130097111183E-3</v>
      </c>
      <c r="Z631" s="2">
        <v>6.743944443736243E-3</v>
      </c>
      <c r="AA631" s="2">
        <v>9.2588574821132249E-3</v>
      </c>
      <c r="AB631" s="2">
        <v>1.2215531471964108E-2</v>
      </c>
      <c r="AC631" s="2">
        <v>1.5521877459264748E-2</v>
      </c>
      <c r="AD631" s="2">
        <v>1.9026456987944761E-2</v>
      </c>
      <c r="AE631" s="2">
        <v>2.5660022345322768E-2</v>
      </c>
      <c r="AF631" s="2">
        <v>3.006477011666189E-2</v>
      </c>
      <c r="AG631" s="2">
        <v>3.3417596139318995E-2</v>
      </c>
      <c r="AH631" s="2">
        <v>3.6095246450156201E-2</v>
      </c>
      <c r="AI631" s="2">
        <v>3.8017568665244944E-2</v>
      </c>
      <c r="AJ631" s="2">
        <v>3.9316731235815548E-2</v>
      </c>
      <c r="AK631" s="2">
        <v>3.984829357487274E-2</v>
      </c>
      <c r="AL631" s="2">
        <v>4.0121730928619932E-2</v>
      </c>
      <c r="AM631" s="2">
        <v>3.9813670441297487E-2</v>
      </c>
      <c r="AN631" s="2">
        <v>3.9256943996225847E-2</v>
      </c>
      <c r="AO631" s="2">
        <v>3.2377053737500064E-2</v>
      </c>
      <c r="AP631" s="2">
        <v>3.0359313731284847E-3</v>
      </c>
      <c r="AQ631" s="2">
        <v>2.4155393860807038E-3</v>
      </c>
      <c r="AR631" s="2">
        <v>0.47423178144247841</v>
      </c>
    </row>
    <row r="632" spans="1:44" x14ac:dyDescent="0.25">
      <c r="A632" t="s">
        <v>250</v>
      </c>
      <c r="B632" t="s">
        <v>279</v>
      </c>
      <c r="C632" t="s">
        <v>43</v>
      </c>
      <c r="D632" t="s">
        <v>280</v>
      </c>
      <c r="E632" t="s">
        <v>145</v>
      </c>
      <c r="F632" t="s">
        <v>280</v>
      </c>
      <c r="G632" t="s">
        <v>31</v>
      </c>
      <c r="H632" t="s">
        <v>275</v>
      </c>
      <c r="I632" t="s">
        <v>135</v>
      </c>
      <c r="J632" t="s">
        <v>39</v>
      </c>
      <c r="K632" t="s">
        <v>31</v>
      </c>
      <c r="L632">
        <v>555.32000000000005</v>
      </c>
      <c r="M632">
        <v>1</v>
      </c>
      <c r="N632">
        <v>7.4417404184983775</v>
      </c>
      <c r="O632">
        <v>3.994835640102659</v>
      </c>
      <c r="P632">
        <v>-1.3808313679047273</v>
      </c>
      <c r="Q632">
        <v>0.29076811148401677</v>
      </c>
      <c r="R632">
        <v>-1.1299449527495846</v>
      </c>
      <c r="S632" s="2">
        <v>3.3589922095840784E-5</v>
      </c>
      <c r="T632" s="2">
        <v>5.142672509734054E-5</v>
      </c>
      <c r="U632" s="2">
        <v>1.1177303101193929E-4</v>
      </c>
      <c r="V632" s="2">
        <v>2.0935190165029214E-4</v>
      </c>
      <c r="W632" s="2">
        <v>3.5659549541407703E-4</v>
      </c>
      <c r="X632" s="2">
        <v>5.6624228142146404E-4</v>
      </c>
      <c r="Y632" s="2">
        <v>8.4972400218910279E-4</v>
      </c>
      <c r="Z632" s="2">
        <v>1.2149806108095683E-3</v>
      </c>
      <c r="AA632" s="2">
        <v>1.6638852675249626E-3</v>
      </c>
      <c r="AB632" s="2">
        <v>2.1897218799560693E-3</v>
      </c>
      <c r="AC632" s="2">
        <v>2.7754375211589822E-3</v>
      </c>
      <c r="AD632" s="2">
        <v>3.3935616411050196E-3</v>
      </c>
      <c r="AE632" s="2">
        <v>4.5822712499797424E-3</v>
      </c>
      <c r="AF632" s="2">
        <v>5.5053278587213709E-3</v>
      </c>
      <c r="AG632" s="2">
        <v>6.1043183970652124E-3</v>
      </c>
      <c r="AH632" s="2">
        <v>6.576311309867325E-3</v>
      </c>
      <c r="AI632" s="2">
        <v>6.907079093835429E-3</v>
      </c>
      <c r="AJ632" s="2">
        <v>7.1210322511971397E-3</v>
      </c>
      <c r="AK632" s="2">
        <v>7.1924618051596445E-3</v>
      </c>
      <c r="AL632" s="2">
        <v>7.2138614961395394E-3</v>
      </c>
      <c r="AM632" s="2">
        <v>7.1274931850214239E-3</v>
      </c>
      <c r="AN632" s="2">
        <v>6.993991892116541E-3</v>
      </c>
      <c r="AO632" s="2">
        <v>4.2478823456823132E-3</v>
      </c>
      <c r="AP632" s="2">
        <v>6.4489497360482786E-4</v>
      </c>
      <c r="AQ632" s="2">
        <v>5.1198678301795806E-4</v>
      </c>
      <c r="AR632" s="2">
        <v>8.4145202920843126E-2</v>
      </c>
    </row>
    <row r="633" spans="1:44" x14ac:dyDescent="0.25">
      <c r="A633" t="s">
        <v>250</v>
      </c>
      <c r="B633" t="s">
        <v>279</v>
      </c>
      <c r="C633" t="s">
        <v>43</v>
      </c>
      <c r="D633" t="s">
        <v>280</v>
      </c>
      <c r="E633" t="s">
        <v>145</v>
      </c>
      <c r="F633" t="s">
        <v>280</v>
      </c>
      <c r="G633" t="s">
        <v>31</v>
      </c>
      <c r="H633" t="s">
        <v>277</v>
      </c>
      <c r="I633" t="s">
        <v>135</v>
      </c>
      <c r="J633" t="s">
        <v>39</v>
      </c>
      <c r="K633" t="s">
        <v>31</v>
      </c>
      <c r="L633">
        <v>555.32000000000005</v>
      </c>
      <c r="M633">
        <v>1</v>
      </c>
      <c r="N633">
        <v>7.4417404184983775</v>
      </c>
      <c r="O633">
        <v>3.994835640102659</v>
      </c>
      <c r="P633">
        <v>-1.3808313679047273</v>
      </c>
      <c r="Q633">
        <v>0.29076811148401677</v>
      </c>
      <c r="R633">
        <v>-1.1299449527495846</v>
      </c>
      <c r="S633" s="2">
        <v>4.4513945115303979E-3</v>
      </c>
      <c r="T633" s="2">
        <v>6.8143368646707723E-3</v>
      </c>
      <c r="U633" s="2">
        <v>1.4808784008511346E-2</v>
      </c>
      <c r="V633" s="2">
        <v>2.7733643047427495E-2</v>
      </c>
      <c r="W633" s="2">
        <v>4.723386726743347E-2</v>
      </c>
      <c r="X633" s="2">
        <v>7.4994184661166002E-2</v>
      </c>
      <c r="Y633" s="2">
        <v>0.11252546579494786</v>
      </c>
      <c r="Z633" s="2">
        <v>0.16087550433290704</v>
      </c>
      <c r="AA633" s="2">
        <v>0.22028838101354511</v>
      </c>
      <c r="AB633" s="2">
        <v>0.28987102974321655</v>
      </c>
      <c r="AC633" s="2">
        <v>0.36736260946703347</v>
      </c>
      <c r="AD633" s="2">
        <v>0.44912463671066255</v>
      </c>
      <c r="AE633" s="2">
        <v>0.6064825183323469</v>
      </c>
      <c r="AF633" s="2">
        <v>0.72954587728987497</v>
      </c>
      <c r="AG633" s="2">
        <v>0.80882674709946467</v>
      </c>
      <c r="AH633" s="2">
        <v>0.87125731216598468</v>
      </c>
      <c r="AI633" s="2">
        <v>0.91495518302301881</v>
      </c>
      <c r="AJ633" s="2">
        <v>0.94315660767530529</v>
      </c>
      <c r="AK633" s="2">
        <v>0.95245954549291645</v>
      </c>
      <c r="AL633" s="2">
        <v>0.95511601173672256</v>
      </c>
      <c r="AM633" s="2">
        <v>0.94348418915445909</v>
      </c>
      <c r="AN633" s="2">
        <v>0.92559732278421669</v>
      </c>
      <c r="AO633" s="2">
        <v>0.55268920597867133</v>
      </c>
      <c r="AP633" s="2">
        <v>8.6009054669082971E-2</v>
      </c>
      <c r="AQ633" s="2">
        <v>6.8276019320740483E-2</v>
      </c>
      <c r="AR633" s="2">
        <v>11.133939432145857</v>
      </c>
    </row>
    <row r="634" spans="1:44" x14ac:dyDescent="0.25">
      <c r="A634" t="s">
        <v>250</v>
      </c>
      <c r="B634" t="s">
        <v>279</v>
      </c>
      <c r="C634" t="s">
        <v>43</v>
      </c>
      <c r="D634" t="s">
        <v>280</v>
      </c>
      <c r="E634" t="s">
        <v>145</v>
      </c>
      <c r="F634" t="s">
        <v>280</v>
      </c>
      <c r="G634" t="s">
        <v>31</v>
      </c>
      <c r="H634" t="s">
        <v>277</v>
      </c>
      <c r="I634" t="s">
        <v>135</v>
      </c>
      <c r="J634" t="s">
        <v>40</v>
      </c>
      <c r="K634" t="s">
        <v>31</v>
      </c>
      <c r="L634">
        <v>555.32000000000005</v>
      </c>
      <c r="M634">
        <v>1</v>
      </c>
      <c r="N634">
        <v>7.4417404184983775</v>
      </c>
      <c r="O634">
        <v>2.8220930578635581</v>
      </c>
      <c r="P634">
        <v>-1.3808313679047273</v>
      </c>
      <c r="Q634">
        <v>0.4672931329656026</v>
      </c>
      <c r="R634">
        <v>-0.98694495274958449</v>
      </c>
      <c r="S634" s="2">
        <v>7.0218696335957391E-4</v>
      </c>
      <c r="T634" s="2">
        <v>1.0749302264533049E-3</v>
      </c>
      <c r="U634" s="2">
        <v>2.3360174091622728E-3</v>
      </c>
      <c r="V634" s="2">
        <v>4.3748543392250787E-3</v>
      </c>
      <c r="W634" s="2">
        <v>7.4509248143106947E-3</v>
      </c>
      <c r="X634" s="2">
        <v>1.1829986908697222E-2</v>
      </c>
      <c r="Y634" s="2">
        <v>1.7750373489140804E-2</v>
      </c>
      <c r="Z634" s="2">
        <v>2.5377369175851025E-2</v>
      </c>
      <c r="AA634" s="2">
        <v>3.4749476580119502E-2</v>
      </c>
      <c r="AB634" s="2">
        <v>4.572581864268941E-2</v>
      </c>
      <c r="AC634" s="2">
        <v>5.7949758109581501E-2</v>
      </c>
      <c r="AD634" s="2">
        <v>7.0847340986051402E-2</v>
      </c>
      <c r="AE634" s="2">
        <v>9.5669821395373167E-2</v>
      </c>
      <c r="AF634" s="2">
        <v>0.11508249895144704</v>
      </c>
      <c r="AG634" s="2">
        <v>0.12758869068078019</v>
      </c>
      <c r="AH634" s="2">
        <v>0.13743682451644226</v>
      </c>
      <c r="AI634" s="2">
        <v>0.14432996219788094</v>
      </c>
      <c r="AJ634" s="2">
        <v>0.14877860692880909</v>
      </c>
      <c r="AK634" s="2">
        <v>0.1502461024831912</v>
      </c>
      <c r="AL634" s="2">
        <v>0.15066514778689838</v>
      </c>
      <c r="AM634" s="2">
        <v>0.14883028139700219</v>
      </c>
      <c r="AN634" s="2">
        <v>0.14600871068517102</v>
      </c>
      <c r="AO634" s="2">
        <v>8.7184174357610472E-2</v>
      </c>
      <c r="AP634" s="2">
        <v>1.3567531874128893E-2</v>
      </c>
      <c r="AQ634" s="2">
        <v>1.0770227296844874E-2</v>
      </c>
      <c r="AR634" s="2">
        <v>1.7563276181962215</v>
      </c>
    </row>
    <row r="635" spans="1:44" x14ac:dyDescent="0.25">
      <c r="A635" t="s">
        <v>250</v>
      </c>
      <c r="B635" t="s">
        <v>279</v>
      </c>
      <c r="C635" t="s">
        <v>43</v>
      </c>
      <c r="D635" t="s">
        <v>280</v>
      </c>
      <c r="E635" t="s">
        <v>148</v>
      </c>
      <c r="F635" t="s">
        <v>280</v>
      </c>
      <c r="G635" t="s">
        <v>31</v>
      </c>
      <c r="H635" t="s">
        <v>272</v>
      </c>
      <c r="I635" t="s">
        <v>135</v>
      </c>
      <c r="J635" t="s">
        <v>39</v>
      </c>
      <c r="K635" t="s">
        <v>31</v>
      </c>
      <c r="L635">
        <v>555.32000000000005</v>
      </c>
      <c r="M635">
        <v>1</v>
      </c>
      <c r="N635">
        <v>7.4417404184983775</v>
      </c>
      <c r="O635">
        <v>3.994835640102659</v>
      </c>
      <c r="P635">
        <v>-1.3808313679047273</v>
      </c>
      <c r="Q635">
        <v>0.29076811148401677</v>
      </c>
      <c r="R635">
        <v>-1.1299449527495846</v>
      </c>
      <c r="S635" s="2">
        <v>6.3205813434453427E-6</v>
      </c>
      <c r="T635" s="2">
        <v>1.3664632161941472E-5</v>
      </c>
      <c r="U635" s="2">
        <v>3.0034983888633974E-5</v>
      </c>
      <c r="V635" s="2">
        <v>5.6894539590275857E-5</v>
      </c>
      <c r="W635" s="2">
        <v>9.8015483270474029E-5</v>
      </c>
      <c r="X635" s="2">
        <v>1.5742292826227932E-4</v>
      </c>
      <c r="Y635" s="2">
        <v>2.389527248828269E-4</v>
      </c>
      <c r="Z635" s="2">
        <v>3.4561553639875247E-4</v>
      </c>
      <c r="AA635" s="2">
        <v>4.7880462734132406E-4</v>
      </c>
      <c r="AB635" s="2">
        <v>6.3746458633218942E-4</v>
      </c>
      <c r="AC635" s="2">
        <v>8.174320034801581E-4</v>
      </c>
      <c r="AD635" s="2">
        <v>1.011229610082568E-3</v>
      </c>
      <c r="AE635" s="2">
        <v>1.2085847821970131E-3</v>
      </c>
      <c r="AF635" s="2">
        <v>1.3977962099991994E-3</v>
      </c>
      <c r="AG635" s="2">
        <v>1.5677811136060663E-3</v>
      </c>
      <c r="AH635" s="2">
        <v>1.7102863214264008E-3</v>
      </c>
      <c r="AI635" s="2">
        <v>1.8215231134578989E-3</v>
      </c>
      <c r="AJ635" s="2">
        <v>1.9078080049134299E-3</v>
      </c>
      <c r="AK635" s="2">
        <v>1.9620135237987677E-3</v>
      </c>
      <c r="AL635" s="2">
        <v>2.008941297938906E-3</v>
      </c>
      <c r="AM635" s="2">
        <v>2.0321662473015826E-3</v>
      </c>
      <c r="AN635" s="2">
        <v>2.0475274610044468E-3</v>
      </c>
      <c r="AO635" s="2">
        <v>2.0630951095860208E-3</v>
      </c>
      <c r="AP635" s="2">
        <v>2.0788713508922536E-3</v>
      </c>
      <c r="AQ635" s="2">
        <v>2.0948583676910068E-3</v>
      </c>
      <c r="AR635" s="2">
        <v>2.779310514084786E-2</v>
      </c>
    </row>
    <row r="636" spans="1:44" x14ac:dyDescent="0.25">
      <c r="A636" t="s">
        <v>250</v>
      </c>
      <c r="B636" t="s">
        <v>279</v>
      </c>
      <c r="C636" t="s">
        <v>43</v>
      </c>
      <c r="D636" t="s">
        <v>280</v>
      </c>
      <c r="E636" t="s">
        <v>148</v>
      </c>
      <c r="F636" t="s">
        <v>280</v>
      </c>
      <c r="G636" t="s">
        <v>31</v>
      </c>
      <c r="H636" t="s">
        <v>272</v>
      </c>
      <c r="I636" t="s">
        <v>135</v>
      </c>
      <c r="J636" t="s">
        <v>40</v>
      </c>
      <c r="K636" t="s">
        <v>31</v>
      </c>
      <c r="L636">
        <v>555.32000000000005</v>
      </c>
      <c r="M636">
        <v>1</v>
      </c>
      <c r="N636">
        <v>7.4417404184983775</v>
      </c>
      <c r="O636">
        <v>2.8220930578635581</v>
      </c>
      <c r="P636">
        <v>-1.3808313679047273</v>
      </c>
      <c r="Q636">
        <v>0.4672931329656026</v>
      </c>
      <c r="R636">
        <v>-0.98694495274958449</v>
      </c>
      <c r="S636" s="2">
        <v>6.2520562388900134E-7</v>
      </c>
      <c r="T636" s="2">
        <v>1.3516485924004321E-6</v>
      </c>
      <c r="U636" s="2">
        <v>2.9709357130674023E-6</v>
      </c>
      <c r="V636" s="2">
        <v>5.6277712741256916E-6</v>
      </c>
      <c r="W636" s="2">
        <v>9.6952840314993627E-6</v>
      </c>
      <c r="X636" s="2">
        <v>1.5571621458636705E-5</v>
      </c>
      <c r="Y636" s="2">
        <v>2.3636209918454871E-5</v>
      </c>
      <c r="Z636" s="2">
        <v>3.418685170217677E-5</v>
      </c>
      <c r="AA636" s="2">
        <v>4.736136274368439E-5</v>
      </c>
      <c r="AB636" s="2">
        <v>6.3055346138099234E-5</v>
      </c>
      <c r="AC636" s="2">
        <v>8.0856974691518671E-5</v>
      </c>
      <c r="AD636" s="2">
        <v>1.0002662807628478E-4</v>
      </c>
      <c r="AE636" s="2">
        <v>1.195481810482247E-4</v>
      </c>
      <c r="AF636" s="2">
        <v>1.3826418869658294E-4</v>
      </c>
      <c r="AG636" s="2">
        <v>1.5507838852037812E-4</v>
      </c>
      <c r="AH636" s="2">
        <v>1.691744111046225E-4</v>
      </c>
      <c r="AI636" s="2">
        <v>1.8017749202115473E-4</v>
      </c>
      <c r="AJ636" s="2">
        <v>1.8871243468914073E-4</v>
      </c>
      <c r="AK636" s="2">
        <v>1.9407421921677429E-4</v>
      </c>
      <c r="AL636" s="2">
        <v>1.9871611949694997E-4</v>
      </c>
      <c r="AM636" s="2">
        <v>2.01013434912586E-4</v>
      </c>
      <c r="AN636" s="2">
        <v>2.0253290229619152E-4</v>
      </c>
      <c r="AO636" s="2">
        <v>2.0407278935959073E-4</v>
      </c>
      <c r="AP636" s="2">
        <v>2.0563330954792949E-4</v>
      </c>
      <c r="AQ636" s="2">
        <v>2.0721467877152862E-4</v>
      </c>
      <c r="AR636" s="2">
        <v>2.7491783896454913E-3</v>
      </c>
    </row>
    <row r="637" spans="1:44" x14ac:dyDescent="0.25">
      <c r="A637" t="s">
        <v>250</v>
      </c>
      <c r="B637" t="s">
        <v>279</v>
      </c>
      <c r="C637" t="s">
        <v>43</v>
      </c>
      <c r="D637" t="s">
        <v>280</v>
      </c>
      <c r="E637" t="s">
        <v>148</v>
      </c>
      <c r="F637" t="s">
        <v>280</v>
      </c>
      <c r="G637" t="s">
        <v>31</v>
      </c>
      <c r="H637" t="s">
        <v>253</v>
      </c>
      <c r="I637" t="s">
        <v>135</v>
      </c>
      <c r="J637" t="s">
        <v>39</v>
      </c>
      <c r="K637" t="s">
        <v>31</v>
      </c>
      <c r="L637">
        <v>555.32000000000005</v>
      </c>
      <c r="M637">
        <v>1</v>
      </c>
      <c r="N637">
        <v>7.4417404184983775</v>
      </c>
      <c r="O637">
        <v>3.994835640102659</v>
      </c>
      <c r="P637">
        <v>-1.3808313679047273</v>
      </c>
      <c r="Q637">
        <v>0.29076811148401677</v>
      </c>
      <c r="R637">
        <v>-1.1299449527495846</v>
      </c>
      <c r="S637" s="2">
        <v>9.7740861080259812E-6</v>
      </c>
      <c r="T637" s="2">
        <v>2.0468093099336516E-5</v>
      </c>
      <c r="U637" s="2">
        <v>4.5011266925787273E-5</v>
      </c>
      <c r="V637" s="2">
        <v>8.5305374814773806E-5</v>
      </c>
      <c r="W637" s="2">
        <v>1.4703138704091654E-4</v>
      </c>
      <c r="X637" s="2">
        <v>2.3626016855318944E-4</v>
      </c>
      <c r="Y637" s="2">
        <v>3.587891212599657E-4</v>
      </c>
      <c r="Z637" s="2">
        <v>5.1918591614833571E-4</v>
      </c>
      <c r="AA637" s="2">
        <v>7.1959472537861139E-4</v>
      </c>
      <c r="AB637" s="2">
        <v>9.5848056465917017E-4</v>
      </c>
      <c r="AC637" s="2">
        <v>1.2296291201427971E-3</v>
      </c>
      <c r="AD637" s="2">
        <v>1.5218266484601538E-3</v>
      </c>
      <c r="AE637" s="2">
        <v>1.8196300184193954E-3</v>
      </c>
      <c r="AF637" s="2">
        <v>2.1054167098905822E-3</v>
      </c>
      <c r="AG637" s="2">
        <v>2.3624659278581057E-3</v>
      </c>
      <c r="AH637" s="2">
        <v>2.5782947295395499E-3</v>
      </c>
      <c r="AI637" s="2">
        <v>2.7471333742542475E-3</v>
      </c>
      <c r="AJ637" s="2">
        <v>2.8784504977396584E-3</v>
      </c>
      <c r="AK637" s="2">
        <v>2.9614395160188905E-3</v>
      </c>
      <c r="AL637" s="2">
        <v>3.033490471555168E-3</v>
      </c>
      <c r="AM637" s="2">
        <v>3.0697775061447742E-3</v>
      </c>
      <c r="AN637" s="2">
        <v>3.0941933699535741E-3</v>
      </c>
      <c r="AO637" s="2">
        <v>3.1189240801885254E-3</v>
      </c>
      <c r="AP637" s="2">
        <v>3.1439729993747727E-3</v>
      </c>
      <c r="AQ637" s="2">
        <v>3.1693435284361284E-3</v>
      </c>
      <c r="AR637" s="2">
        <v>4.1933889201964433E-2</v>
      </c>
    </row>
    <row r="638" spans="1:44" x14ac:dyDescent="0.25">
      <c r="A638" t="s">
        <v>250</v>
      </c>
      <c r="B638" t="s">
        <v>279</v>
      </c>
      <c r="C638" t="s">
        <v>43</v>
      </c>
      <c r="D638" t="s">
        <v>280</v>
      </c>
      <c r="E638" t="s">
        <v>148</v>
      </c>
      <c r="F638" t="s">
        <v>280</v>
      </c>
      <c r="G638" t="s">
        <v>31</v>
      </c>
      <c r="H638" t="s">
        <v>253</v>
      </c>
      <c r="I638" t="s">
        <v>135</v>
      </c>
      <c r="J638" t="s">
        <v>40</v>
      </c>
      <c r="K638" t="s">
        <v>31</v>
      </c>
      <c r="L638">
        <v>555.32000000000005</v>
      </c>
      <c r="M638">
        <v>1</v>
      </c>
      <c r="N638">
        <v>7.4417404184983775</v>
      </c>
      <c r="O638">
        <v>2.8220930578635581</v>
      </c>
      <c r="P638">
        <v>-1.3808313679047273</v>
      </c>
      <c r="Q638">
        <v>0.4672931329656026</v>
      </c>
      <c r="R638">
        <v>-0.98694495274958449</v>
      </c>
      <c r="S638" s="2">
        <v>5.1413724368727387E-6</v>
      </c>
      <c r="T638" s="2">
        <v>1.0766642377936605E-5</v>
      </c>
      <c r="U638" s="2">
        <v>2.3676861914581582E-5</v>
      </c>
      <c r="V638" s="2">
        <v>4.487240013464118E-5</v>
      </c>
      <c r="W638" s="2">
        <v>7.7341565475528223E-5</v>
      </c>
      <c r="X638" s="2">
        <v>1.2427775907691523E-4</v>
      </c>
      <c r="Y638" s="2">
        <v>1.8873053483548102E-4</v>
      </c>
      <c r="Z638" s="2">
        <v>2.7310258262464314E-4</v>
      </c>
      <c r="AA638" s="2">
        <v>3.7852178156509025E-4</v>
      </c>
      <c r="AB638" s="2">
        <v>5.0418069801640142E-4</v>
      </c>
      <c r="AC638" s="2">
        <v>6.4681047373696756E-4</v>
      </c>
      <c r="AD638" s="2">
        <v>8.005124466487479E-4</v>
      </c>
      <c r="AE638" s="2">
        <v>9.5716320877564968E-4</v>
      </c>
      <c r="AF638" s="2">
        <v>1.1074929482638857E-3</v>
      </c>
      <c r="AG638" s="2">
        <v>1.2427061794111495E-3</v>
      </c>
      <c r="AH638" s="2">
        <v>1.356236614869171E-3</v>
      </c>
      <c r="AI638" s="2">
        <v>1.4450492511219118E-3</v>
      </c>
      <c r="AJ638" s="2">
        <v>1.5141247873628615E-3</v>
      </c>
      <c r="AK638" s="2">
        <v>1.5577787358168069E-3</v>
      </c>
      <c r="AL638" s="2">
        <v>1.5956790359318478E-3</v>
      </c>
      <c r="AM638" s="2">
        <v>1.6147667703136533E-3</v>
      </c>
      <c r="AN638" s="2">
        <v>1.6276100221350052E-3</v>
      </c>
      <c r="AO638" s="2">
        <v>1.6406188897202703E-3</v>
      </c>
      <c r="AP638" s="2">
        <v>1.6537951418275577E-3</v>
      </c>
      <c r="AQ638" s="2">
        <v>1.6671405674134636E-3</v>
      </c>
      <c r="AR638" s="2">
        <v>2.2058097271807041E-2</v>
      </c>
    </row>
    <row r="639" spans="1:44" x14ac:dyDescent="0.25">
      <c r="A639" t="s">
        <v>250</v>
      </c>
      <c r="B639" t="s">
        <v>279</v>
      </c>
      <c r="C639" t="s">
        <v>43</v>
      </c>
      <c r="D639" t="s">
        <v>280</v>
      </c>
      <c r="E639" t="s">
        <v>148</v>
      </c>
      <c r="F639" t="s">
        <v>280</v>
      </c>
      <c r="G639" t="s">
        <v>31</v>
      </c>
      <c r="H639" t="s">
        <v>253</v>
      </c>
      <c r="I639" t="s">
        <v>256</v>
      </c>
      <c r="J639" t="s">
        <v>39</v>
      </c>
      <c r="K639" t="s">
        <v>31</v>
      </c>
      <c r="L639">
        <v>555.32000000000005</v>
      </c>
      <c r="M639">
        <v>1</v>
      </c>
      <c r="N639">
        <v>4.9300155022114529</v>
      </c>
      <c r="O639">
        <v>2.6465047861031108</v>
      </c>
      <c r="P639">
        <v>-0.65050185742862832</v>
      </c>
      <c r="Q639">
        <v>0.4672931329656026</v>
      </c>
      <c r="R639">
        <v>-0.3996154422734855</v>
      </c>
      <c r="S639" s="2">
        <v>5.1271035237516898E-6</v>
      </c>
      <c r="T639" s="2">
        <v>1.0736761585097268E-5</v>
      </c>
      <c r="U639" s="2">
        <v>2.3611151233282822E-5</v>
      </c>
      <c r="V639" s="2">
        <v>4.474786521970963E-5</v>
      </c>
      <c r="W639" s="2">
        <v>7.7126918493235563E-5</v>
      </c>
      <c r="X639" s="2">
        <v>1.2393284950871827E-4</v>
      </c>
      <c r="Y639" s="2">
        <v>1.8820674869901216E-4</v>
      </c>
      <c r="Z639" s="2">
        <v>2.7234463772326649E-4</v>
      </c>
      <c r="AA639" s="2">
        <v>3.7747126548560528E-4</v>
      </c>
      <c r="AB639" s="2">
        <v>5.027814392259399E-4</v>
      </c>
      <c r="AC639" s="2">
        <v>6.4501537280451824E-4</v>
      </c>
      <c r="AD639" s="2">
        <v>7.9829077477147875E-4</v>
      </c>
      <c r="AE639" s="2">
        <v>9.545067821432069E-4</v>
      </c>
      <c r="AF639" s="2">
        <v>1.1044193096868332E-3</v>
      </c>
      <c r="AG639" s="2">
        <v>1.239257281917981E-3</v>
      </c>
      <c r="AH639" s="2">
        <v>1.3524726349850586E-3</v>
      </c>
      <c r="AI639" s="2">
        <v>1.4410387884539917E-3</v>
      </c>
      <c r="AJ639" s="2">
        <v>1.5099226185235951E-3</v>
      </c>
      <c r="AK639" s="2">
        <v>1.5534554136462963E-3</v>
      </c>
      <c r="AL639" s="2">
        <v>1.5912505285999407E-3</v>
      </c>
      <c r="AM639" s="2">
        <v>1.6102852885615979E-3</v>
      </c>
      <c r="AN639" s="2">
        <v>1.6230928963508146E-3</v>
      </c>
      <c r="AO639" s="2">
        <v>1.6360656602684633E-3</v>
      </c>
      <c r="AP639" s="2">
        <v>1.6492053441639091E-3</v>
      </c>
      <c r="AQ639" s="2">
        <v>1.6625137320287451E-3</v>
      </c>
      <c r="AR639" s="2">
        <v>2.1996879167604049E-2</v>
      </c>
    </row>
    <row r="640" spans="1:44" x14ac:dyDescent="0.25">
      <c r="A640" t="s">
        <v>250</v>
      </c>
      <c r="B640" t="s">
        <v>279</v>
      </c>
      <c r="C640" t="s">
        <v>43</v>
      </c>
      <c r="D640" t="s">
        <v>280</v>
      </c>
      <c r="E640" t="s">
        <v>148</v>
      </c>
      <c r="F640" t="s">
        <v>280</v>
      </c>
      <c r="G640" t="s">
        <v>31</v>
      </c>
      <c r="H640" t="s">
        <v>273</v>
      </c>
      <c r="I640" t="s">
        <v>135</v>
      </c>
      <c r="J640" t="s">
        <v>39</v>
      </c>
      <c r="K640" t="s">
        <v>31</v>
      </c>
      <c r="L640">
        <v>555.32000000000005</v>
      </c>
      <c r="M640">
        <v>1</v>
      </c>
      <c r="N640">
        <v>7.4417404184983775</v>
      </c>
      <c r="O640">
        <v>3.994835640102659</v>
      </c>
      <c r="P640">
        <v>-1.3808313679047273</v>
      </c>
      <c r="Q640">
        <v>0.29076811148401677</v>
      </c>
      <c r="R640">
        <v>-1.1299449527495846</v>
      </c>
      <c r="S640" s="2">
        <v>1.900956222912272E-6</v>
      </c>
      <c r="T640" s="2">
        <v>4.1097275915905688E-6</v>
      </c>
      <c r="U640" s="2">
        <v>9.0332180579208442E-6</v>
      </c>
      <c r="V640" s="2">
        <v>1.7111405297556109E-5</v>
      </c>
      <c r="W640" s="2">
        <v>2.9478798347874152E-5</v>
      </c>
      <c r="X640" s="2">
        <v>4.7345976398134669E-5</v>
      </c>
      <c r="Y640" s="2">
        <v>7.1866596546362973E-5</v>
      </c>
      <c r="Z640" s="2">
        <v>1.039461354822515E-4</v>
      </c>
      <c r="AA640" s="2">
        <v>1.4400362663595539E-4</v>
      </c>
      <c r="AB640" s="2">
        <v>1.9172164812514248E-4</v>
      </c>
      <c r="AC640" s="2">
        <v>2.458480271652083E-4</v>
      </c>
      <c r="AD640" s="2">
        <v>3.0413392623656623E-4</v>
      </c>
      <c r="AE640" s="2">
        <v>3.6348978642874492E-4</v>
      </c>
      <c r="AF640" s="2">
        <v>4.2039636219803759E-4</v>
      </c>
      <c r="AG640" s="2">
        <v>4.7152043493031286E-4</v>
      </c>
      <c r="AH640" s="2">
        <v>5.1437980923208144E-4</v>
      </c>
      <c r="AI640" s="2">
        <v>5.4783500275607032E-4</v>
      </c>
      <c r="AJ640" s="2">
        <v>5.7378574880980111E-4</v>
      </c>
      <c r="AK640" s="2">
        <v>5.9008841352403262E-4</v>
      </c>
      <c r="AL640" s="2">
        <v>6.0420224885528715E-4</v>
      </c>
      <c r="AM640" s="2">
        <v>6.111873044409641E-4</v>
      </c>
      <c r="AN640" s="2">
        <v>6.1580729003932546E-4</v>
      </c>
      <c r="AO640" s="2">
        <v>6.2048936227907371E-4</v>
      </c>
      <c r="AP640" s="2">
        <v>6.2523417014652665E-4</v>
      </c>
      <c r="AQ640" s="2">
        <v>6.3004237012339985E-4</v>
      </c>
      <c r="AR640" s="2">
        <v>8.3589583458711317E-3</v>
      </c>
    </row>
    <row r="641" spans="1:44" x14ac:dyDescent="0.25">
      <c r="A641" t="s">
        <v>250</v>
      </c>
      <c r="B641" t="s">
        <v>279</v>
      </c>
      <c r="C641" t="s">
        <v>43</v>
      </c>
      <c r="D641" t="s">
        <v>280</v>
      </c>
      <c r="E641" t="s">
        <v>148</v>
      </c>
      <c r="F641" t="s">
        <v>280</v>
      </c>
      <c r="G641" t="s">
        <v>31</v>
      </c>
      <c r="H641" t="s">
        <v>252</v>
      </c>
      <c r="I641" t="s">
        <v>135</v>
      </c>
      <c r="J641" t="s">
        <v>39</v>
      </c>
      <c r="K641" t="s">
        <v>31</v>
      </c>
      <c r="L641">
        <v>555.32000000000005</v>
      </c>
      <c r="M641">
        <v>1</v>
      </c>
      <c r="N641">
        <v>7.4417404184983775</v>
      </c>
      <c r="O641">
        <v>3.994835640102659</v>
      </c>
      <c r="P641">
        <v>-1.3808313679047273</v>
      </c>
      <c r="Q641">
        <v>0.29076811148401677</v>
      </c>
      <c r="R641">
        <v>-1.1299449527495846</v>
      </c>
      <c r="S641" s="2">
        <v>1.4836363246618559E-4</v>
      </c>
      <c r="T641" s="2">
        <v>3.0264279780204447E-4</v>
      </c>
      <c r="U641" s="2">
        <v>6.6580273742501608E-4</v>
      </c>
      <c r="V641" s="2">
        <v>1.2623220906780573E-3</v>
      </c>
      <c r="W641" s="2">
        <v>2.1765636107867917E-3</v>
      </c>
      <c r="X641" s="2">
        <v>3.4987863635992491E-3</v>
      </c>
      <c r="Y641" s="2">
        <v>5.3153256727160444E-3</v>
      </c>
      <c r="Z641" s="2">
        <v>7.6944097824783505E-3</v>
      </c>
      <c r="AA641" s="2">
        <v>1.0668424413504803E-2</v>
      </c>
      <c r="AB641" s="2">
        <v>1.4215221967789298E-2</v>
      </c>
      <c r="AC641" s="2">
        <v>1.8243183288792628E-2</v>
      </c>
      <c r="AD641" s="2">
        <v>2.2586344588350016E-2</v>
      </c>
      <c r="AE641" s="2">
        <v>2.7015703811418289E-2</v>
      </c>
      <c r="AF641" s="2">
        <v>3.1269565227030824E-2</v>
      </c>
      <c r="AG641" s="2">
        <v>3.5099269734496334E-2</v>
      </c>
      <c r="AH641" s="2">
        <v>3.8318810022380675E-2</v>
      </c>
      <c r="AI641" s="2">
        <v>4.0841747010846571E-2</v>
      </c>
      <c r="AJ641" s="2">
        <v>4.2808167922989568E-2</v>
      </c>
      <c r="AK641" s="2">
        <v>4.405673039841957E-2</v>
      </c>
      <c r="AL641" s="2">
        <v>4.5143140850422661E-2</v>
      </c>
      <c r="AM641" s="2">
        <v>4.5697664925554896E-2</v>
      </c>
      <c r="AN641" s="2">
        <v>4.6075576430709829E-2</v>
      </c>
      <c r="AO641" s="2">
        <v>4.6458223812511003E-2</v>
      </c>
      <c r="AP641" s="2">
        <v>4.6845658338486772E-2</v>
      </c>
      <c r="AQ641" s="2">
        <v>4.723793185790643E-2</v>
      </c>
      <c r="AR641" s="2">
        <v>0.62364558128956193</v>
      </c>
    </row>
    <row r="642" spans="1:44" x14ac:dyDescent="0.25">
      <c r="A642" t="s">
        <v>250</v>
      </c>
      <c r="B642" t="s">
        <v>279</v>
      </c>
      <c r="C642" t="s">
        <v>43</v>
      </c>
      <c r="D642" t="s">
        <v>280</v>
      </c>
      <c r="E642" t="s">
        <v>148</v>
      </c>
      <c r="F642" t="s">
        <v>280</v>
      </c>
      <c r="G642" t="s">
        <v>31</v>
      </c>
      <c r="H642" t="s">
        <v>274</v>
      </c>
      <c r="I642" t="s">
        <v>135</v>
      </c>
      <c r="J642" t="s">
        <v>39</v>
      </c>
      <c r="K642" t="s">
        <v>31</v>
      </c>
      <c r="L642">
        <v>555.32000000000005</v>
      </c>
      <c r="M642">
        <v>1</v>
      </c>
      <c r="N642">
        <v>7.4417404184983775</v>
      </c>
      <c r="O642">
        <v>3.994835640102659</v>
      </c>
      <c r="P642">
        <v>-1.3808313679047273</v>
      </c>
      <c r="Q642">
        <v>0.29076811148401677</v>
      </c>
      <c r="R642">
        <v>-1.1299449527495846</v>
      </c>
      <c r="S642" s="2">
        <v>2.9924454999150903E-6</v>
      </c>
      <c r="T642" s="2">
        <v>6.4694471598569321E-6</v>
      </c>
      <c r="U642" s="2">
        <v>1.4219902805423217E-5</v>
      </c>
      <c r="V642" s="2">
        <v>2.693641608508394E-5</v>
      </c>
      <c r="W642" s="2">
        <v>4.6404907380695678E-5</v>
      </c>
      <c r="X642" s="2">
        <v>7.4531045115088581E-5</v>
      </c>
      <c r="Y642" s="2">
        <v>1.1313089214643036E-4</v>
      </c>
      <c r="Z642" s="2">
        <v>1.6362983092840327E-4</v>
      </c>
      <c r="AA642" s="2">
        <v>2.2668749511655715E-4</v>
      </c>
      <c r="AB642" s="2">
        <v>3.0180420582724059E-4</v>
      </c>
      <c r="AC642" s="2">
        <v>3.8700881887035389E-4</v>
      </c>
      <c r="AD642" s="2">
        <v>4.7876126128976946E-4</v>
      </c>
      <c r="AE642" s="2">
        <v>5.7219801411176449E-4</v>
      </c>
      <c r="AF642" s="2">
        <v>6.6177915465769782E-4</v>
      </c>
      <c r="AG642" s="2">
        <v>7.4225759994808662E-4</v>
      </c>
      <c r="AH642" s="2">
        <v>8.0972592994570331E-4</v>
      </c>
      <c r="AI642" s="2">
        <v>8.6239039538841752E-4</v>
      </c>
      <c r="AJ642" s="2">
        <v>9.0324151668826915E-4</v>
      </c>
      <c r="AK642" s="2">
        <v>9.2890483027369185E-4</v>
      </c>
      <c r="AL642" s="2">
        <v>9.5112253445565952E-4</v>
      </c>
      <c r="AM642" s="2">
        <v>9.6211826276443595E-4</v>
      </c>
      <c r="AN642" s="2">
        <v>9.693909473990689E-4</v>
      </c>
      <c r="AO642" s="2">
        <v>9.7676136752513059E-4</v>
      </c>
      <c r="AP642" s="2">
        <v>9.8423054476329849E-4</v>
      </c>
      <c r="AQ642" s="2">
        <v>9.9179951253333589E-4</v>
      </c>
      <c r="AR642" s="2">
        <v>1.3158497278679378E-2</v>
      </c>
    </row>
    <row r="643" spans="1:44" x14ac:dyDescent="0.25">
      <c r="A643" t="s">
        <v>250</v>
      </c>
      <c r="B643" t="s">
        <v>279</v>
      </c>
      <c r="C643" t="s">
        <v>43</v>
      </c>
      <c r="D643" t="s">
        <v>280</v>
      </c>
      <c r="E643" t="s">
        <v>148</v>
      </c>
      <c r="F643" t="s">
        <v>280</v>
      </c>
      <c r="G643" t="s">
        <v>31</v>
      </c>
      <c r="H643" t="s">
        <v>274</v>
      </c>
      <c r="I643" t="s">
        <v>135</v>
      </c>
      <c r="J643" t="s">
        <v>39</v>
      </c>
      <c r="K643" t="s">
        <v>33</v>
      </c>
      <c r="L643">
        <v>555.32000000000005</v>
      </c>
      <c r="M643">
        <v>1</v>
      </c>
      <c r="N643">
        <v>7.4417404184983775</v>
      </c>
      <c r="O643">
        <v>3.994835640102659</v>
      </c>
      <c r="P643">
        <v>-1.3808313679047273</v>
      </c>
      <c r="Q643">
        <v>0.29076811148401677</v>
      </c>
      <c r="R643">
        <v>-1.1299449527495846</v>
      </c>
      <c r="S643" s="2">
        <v>9.6281413982683957E-9</v>
      </c>
      <c r="T643" s="2">
        <v>2.0815333821616931E-8</v>
      </c>
      <c r="U643" s="2">
        <v>4.5752290186783191E-8</v>
      </c>
      <c r="V643" s="2">
        <v>8.6667450697811744E-8</v>
      </c>
      <c r="W643" s="2">
        <v>1.4930698315059025E-7</v>
      </c>
      <c r="X643" s="2">
        <v>2.3980234258206684E-7</v>
      </c>
      <c r="Y643" s="2">
        <v>3.6399667968188243E-7</v>
      </c>
      <c r="Z643" s="2">
        <v>5.2647613772686047E-7</v>
      </c>
      <c r="AA643" s="2">
        <v>7.2936307654171638E-7</v>
      </c>
      <c r="AB643" s="2">
        <v>9.7104978800088798E-7</v>
      </c>
      <c r="AC643" s="2">
        <v>1.2451941499239848E-6</v>
      </c>
      <c r="AD643" s="2">
        <v>1.5404060390881055E-6</v>
      </c>
      <c r="AE643" s="2">
        <v>1.8410371677054015E-6</v>
      </c>
      <c r="AF643" s="2">
        <v>2.1292629308208504E-6</v>
      </c>
      <c r="AG643" s="2">
        <v>2.3882009301229537E-6</v>
      </c>
      <c r="AH643" s="2">
        <v>2.6052791095385908E-6</v>
      </c>
      <c r="AI643" s="2">
        <v>2.7747261119856213E-6</v>
      </c>
      <c r="AJ643" s="2">
        <v>2.9061638849254933E-6</v>
      </c>
      <c r="AK643" s="2">
        <v>2.9887351504524953E-6</v>
      </c>
      <c r="AL643" s="2">
        <v>3.0602202275958878E-6</v>
      </c>
      <c r="AM643" s="2">
        <v>3.0955987923640242E-6</v>
      </c>
      <c r="AN643" s="2">
        <v>3.1189985288034436E-6</v>
      </c>
      <c r="AO643" s="2">
        <v>3.142712727488207E-6</v>
      </c>
      <c r="AP643" s="2">
        <v>3.1667446754651236E-6</v>
      </c>
      <c r="AQ643" s="2">
        <v>3.1910976977444152E-6</v>
      </c>
      <c r="AR643" s="2">
        <v>4.2337236347813084E-5</v>
      </c>
    </row>
    <row r="644" spans="1:44" x14ac:dyDescent="0.25">
      <c r="A644" t="s">
        <v>250</v>
      </c>
      <c r="B644" t="s">
        <v>279</v>
      </c>
      <c r="C644" t="s">
        <v>43</v>
      </c>
      <c r="D644" t="s">
        <v>280</v>
      </c>
      <c r="E644" t="s">
        <v>148</v>
      </c>
      <c r="F644" t="s">
        <v>280</v>
      </c>
      <c r="G644" t="s">
        <v>31</v>
      </c>
      <c r="H644" t="s">
        <v>278</v>
      </c>
      <c r="I644" t="s">
        <v>135</v>
      </c>
      <c r="J644" t="s">
        <v>39</v>
      </c>
      <c r="K644" t="s">
        <v>31</v>
      </c>
      <c r="L644">
        <v>555.32000000000005</v>
      </c>
      <c r="M644">
        <v>1</v>
      </c>
      <c r="N644">
        <v>7.4417404184983775</v>
      </c>
      <c r="O644">
        <v>3.994835640102659</v>
      </c>
      <c r="P644">
        <v>-1.3808313679047273</v>
      </c>
      <c r="Q644">
        <v>0.29076811148401677</v>
      </c>
      <c r="R644">
        <v>-1.1299449527495846</v>
      </c>
      <c r="S644" s="2">
        <v>1.2676997076702653E-5</v>
      </c>
      <c r="T644" s="2">
        <v>3.4971245604418735E-5</v>
      </c>
      <c r="U644" s="2">
        <v>7.6532624974277576E-5</v>
      </c>
      <c r="V644" s="2">
        <v>1.4435020910636543E-4</v>
      </c>
      <c r="W644" s="2">
        <v>2.4762286760082882E-4</v>
      </c>
      <c r="X644" s="2">
        <v>3.9603623193213637E-4</v>
      </c>
      <c r="Y644" s="2">
        <v>5.9864787976643223E-4</v>
      </c>
      <c r="Z644" s="2">
        <v>8.6231694091376814E-4</v>
      </c>
      <c r="AA644" s="2">
        <v>1.18978332653945E-3</v>
      </c>
      <c r="AB644" s="2">
        <v>1.5776953990985912E-3</v>
      </c>
      <c r="AC644" s="2">
        <v>2.0151062978460352E-3</v>
      </c>
      <c r="AD644" s="2">
        <v>2.4831158699422018E-3</v>
      </c>
      <c r="AE644" s="2">
        <v>2.9562887428199723E-3</v>
      </c>
      <c r="AF644" s="2">
        <v>3.406102519233714E-3</v>
      </c>
      <c r="AG644" s="2">
        <v>3.8059667385997235E-3</v>
      </c>
      <c r="AH644" s="2">
        <v>4.1365246767564754E-3</v>
      </c>
      <c r="AI644" s="2">
        <v>4.3894510202017005E-3</v>
      </c>
      <c r="AJ644" s="2">
        <v>4.5807896004629095E-3</v>
      </c>
      <c r="AK644" s="2">
        <v>4.6941742373473863E-3</v>
      </c>
      <c r="AL644" s="2">
        <v>4.7895784934438874E-3</v>
      </c>
      <c r="AM644" s="2">
        <v>4.828178949416684E-3</v>
      </c>
      <c r="AN644" s="2">
        <v>4.8480723788965471E-3</v>
      </c>
      <c r="AO644" s="2">
        <v>4.8684971610473997E-3</v>
      </c>
      <c r="AP644" s="2">
        <v>4.8894564802705416E-3</v>
      </c>
      <c r="AQ644" s="2">
        <v>4.9109535816476814E-3</v>
      </c>
      <c r="AR644" s="2">
        <v>6.6742890470545824E-2</v>
      </c>
    </row>
    <row r="645" spans="1:44" x14ac:dyDescent="0.25">
      <c r="A645" t="s">
        <v>250</v>
      </c>
      <c r="B645" t="s">
        <v>279</v>
      </c>
      <c r="C645" t="s">
        <v>43</v>
      </c>
      <c r="D645" t="s">
        <v>280</v>
      </c>
      <c r="E645" t="s">
        <v>148</v>
      </c>
      <c r="F645" t="s">
        <v>280</v>
      </c>
      <c r="G645" t="s">
        <v>31</v>
      </c>
      <c r="H645" t="s">
        <v>276</v>
      </c>
      <c r="I645" t="s">
        <v>135</v>
      </c>
      <c r="J645" t="s">
        <v>39</v>
      </c>
      <c r="K645" t="s">
        <v>31</v>
      </c>
      <c r="L645">
        <v>555.32000000000005</v>
      </c>
      <c r="M645">
        <v>1</v>
      </c>
      <c r="N645">
        <v>7.4417404184983775</v>
      </c>
      <c r="O645">
        <v>3.994835640102659</v>
      </c>
      <c r="P645">
        <v>-1.3808313679047273</v>
      </c>
      <c r="Q645">
        <v>0.29076811148401677</v>
      </c>
      <c r="R645">
        <v>-1.1299449527495846</v>
      </c>
      <c r="S645" s="2">
        <v>2.4933295204860831E-5</v>
      </c>
      <c r="T645" s="2">
        <v>4.5450551068455225E-5</v>
      </c>
      <c r="U645" s="2">
        <v>1.0014714983382073E-4</v>
      </c>
      <c r="V645" s="2">
        <v>1.9016900020852015E-4</v>
      </c>
      <c r="W645" s="2">
        <v>3.2840502058907866E-4</v>
      </c>
      <c r="X645" s="2">
        <v>5.2870952716159436E-4</v>
      </c>
      <c r="Y645" s="2">
        <v>8.044208654743077E-4</v>
      </c>
      <c r="Z645" s="2">
        <v>1.1662052497258086E-3</v>
      </c>
      <c r="AA645" s="2">
        <v>1.6193425933965474E-3</v>
      </c>
      <c r="AB645" s="2">
        <v>2.1608442466362703E-3</v>
      </c>
      <c r="AC645" s="2">
        <v>2.7771186915202515E-3</v>
      </c>
      <c r="AD645" s="2">
        <v>3.4431540746760725E-3</v>
      </c>
      <c r="AE645" s="2">
        <v>4.124166744865679E-3</v>
      </c>
      <c r="AF645" s="2">
        <v>4.7801770204493714E-3</v>
      </c>
      <c r="AG645" s="2">
        <v>5.3729804435345852E-3</v>
      </c>
      <c r="AH645" s="2">
        <v>5.8737724862623188E-3</v>
      </c>
      <c r="AI645" s="2">
        <v>6.2688847017087325E-3</v>
      </c>
      <c r="AJ645" s="2">
        <v>6.5794026608720817E-3</v>
      </c>
      <c r="AK645" s="2">
        <v>6.7801449981236906E-3</v>
      </c>
      <c r="AL645" s="2">
        <v>6.9563027772361905E-3</v>
      </c>
      <c r="AM645" s="2">
        <v>7.0507261326325336E-3</v>
      </c>
      <c r="AN645" s="2">
        <v>7.1179829861600964E-3</v>
      </c>
      <c r="AO645" s="2">
        <v>7.1860188847087825E-3</v>
      </c>
      <c r="AP645" s="2">
        <v>7.2548425126414857E-3</v>
      </c>
      <c r="AQ645" s="2">
        <v>7.3244626518200401E-3</v>
      </c>
      <c r="AR645" s="2">
        <v>9.5858765266511187E-2</v>
      </c>
    </row>
    <row r="646" spans="1:44" x14ac:dyDescent="0.25">
      <c r="A646" t="s">
        <v>250</v>
      </c>
      <c r="B646" t="s">
        <v>279</v>
      </c>
      <c r="C646" t="s">
        <v>43</v>
      </c>
      <c r="D646" t="s">
        <v>280</v>
      </c>
      <c r="E646" t="s">
        <v>148</v>
      </c>
      <c r="F646" t="s">
        <v>280</v>
      </c>
      <c r="G646" t="s">
        <v>31</v>
      </c>
      <c r="H646" t="s">
        <v>275</v>
      </c>
      <c r="I646" t="s">
        <v>135</v>
      </c>
      <c r="J646" t="s">
        <v>39</v>
      </c>
      <c r="K646" t="s">
        <v>31</v>
      </c>
      <c r="L646">
        <v>555.32000000000005</v>
      </c>
      <c r="M646">
        <v>1</v>
      </c>
      <c r="N646">
        <v>7.4417404184983775</v>
      </c>
      <c r="O646">
        <v>3.994835640102659</v>
      </c>
      <c r="P646">
        <v>-1.3808313679047273</v>
      </c>
      <c r="Q646">
        <v>0.29076811148401677</v>
      </c>
      <c r="R646">
        <v>-1.1299449527495846</v>
      </c>
      <c r="S646" s="2">
        <v>4.5715212823522303E-6</v>
      </c>
      <c r="T646" s="2">
        <v>9.8832929044749479E-6</v>
      </c>
      <c r="U646" s="2">
        <v>2.1723566330553751E-5</v>
      </c>
      <c r="V646" s="2">
        <v>4.1150423426843004E-5</v>
      </c>
      <c r="W646" s="2">
        <v>7.0892192256284079E-5</v>
      </c>
      <c r="X646" s="2">
        <v>1.1386013845507059E-4</v>
      </c>
      <c r="Y646" s="2">
        <v>1.7282863836737524E-4</v>
      </c>
      <c r="Z646" s="2">
        <v>2.4997523080641499E-4</v>
      </c>
      <c r="AA646" s="2">
        <v>3.4630762979571901E-4</v>
      </c>
      <c r="AB646" s="2">
        <v>4.6106248220118977E-4</v>
      </c>
      <c r="AC646" s="2">
        <v>5.9122849588205369E-4</v>
      </c>
      <c r="AD646" s="2">
        <v>7.3139754599176434E-4</v>
      </c>
      <c r="AE646" s="2">
        <v>8.7413969587945119E-4</v>
      </c>
      <c r="AF646" s="2">
        <v>1.0109916754776568E-3</v>
      </c>
      <c r="AG646" s="2">
        <v>1.1339375822372098E-3</v>
      </c>
      <c r="AH646" s="2">
        <v>1.2370080998047445E-3</v>
      </c>
      <c r="AI646" s="2">
        <v>1.3174629400355552E-3</v>
      </c>
      <c r="AJ646" s="2">
        <v>1.3798706832795274E-3</v>
      </c>
      <c r="AK646" s="2">
        <v>1.4190762040600065E-3</v>
      </c>
      <c r="AL646" s="2">
        <v>1.4530179107730384E-3</v>
      </c>
      <c r="AM646" s="2">
        <v>1.4698159463529779E-3</v>
      </c>
      <c r="AN646" s="2">
        <v>1.4809263350260228E-3</v>
      </c>
      <c r="AO646" s="2">
        <v>1.4921860329778285E-3</v>
      </c>
      <c r="AP646" s="2">
        <v>1.5035966009252831E-3</v>
      </c>
      <c r="AQ646" s="2">
        <v>1.5151596176108913E-3</v>
      </c>
      <c r="AR646" s="2">
        <v>2.0102070482140289E-2</v>
      </c>
    </row>
    <row r="647" spans="1:44" x14ac:dyDescent="0.25">
      <c r="A647" t="s">
        <v>250</v>
      </c>
      <c r="B647" t="s">
        <v>279</v>
      </c>
      <c r="C647" t="s">
        <v>43</v>
      </c>
      <c r="D647" t="s">
        <v>280</v>
      </c>
      <c r="E647" t="s">
        <v>148</v>
      </c>
      <c r="F647" t="s">
        <v>280</v>
      </c>
      <c r="G647" t="s">
        <v>31</v>
      </c>
      <c r="H647" t="s">
        <v>277</v>
      </c>
      <c r="I647" t="s">
        <v>135</v>
      </c>
      <c r="J647" t="s">
        <v>39</v>
      </c>
      <c r="K647" t="s">
        <v>31</v>
      </c>
      <c r="L647">
        <v>555.32000000000005</v>
      </c>
      <c r="M647">
        <v>1</v>
      </c>
      <c r="N647">
        <v>7.4417404184983775</v>
      </c>
      <c r="O647">
        <v>3.994835640102659</v>
      </c>
      <c r="P647">
        <v>-1.3808313679047273</v>
      </c>
      <c r="Q647">
        <v>0.29076811148401677</v>
      </c>
      <c r="R647">
        <v>-1.1299449527495846</v>
      </c>
      <c r="S647" s="2">
        <v>6.0582589883788069E-4</v>
      </c>
      <c r="T647" s="2">
        <v>1.3196102320952182E-3</v>
      </c>
      <c r="U647" s="2">
        <v>2.9001712959394912E-3</v>
      </c>
      <c r="V647" s="2">
        <v>5.493080119838907E-3</v>
      </c>
      <c r="W647" s="2">
        <v>9.4621474636686614E-3</v>
      </c>
      <c r="X647" s="2">
        <v>1.5195439734872312E-2</v>
      </c>
      <c r="Y647" s="2">
        <v>2.3062591691231343E-2</v>
      </c>
      <c r="Z647" s="2">
        <v>3.3353452264754994E-2</v>
      </c>
      <c r="AA647" s="2">
        <v>4.6201689890554655E-2</v>
      </c>
      <c r="AB647" s="2">
        <v>6.1504677138695521E-2</v>
      </c>
      <c r="AC647" s="2">
        <v>7.8860013094982778E-2</v>
      </c>
      <c r="AD647" s="2">
        <v>9.754582388261282E-2</v>
      </c>
      <c r="AE647" s="2">
        <v>0.11657093648606597</v>
      </c>
      <c r="AF647" s="2">
        <v>0.13480681427842844</v>
      </c>
      <c r="AG647" s="2">
        <v>0.1511850329215908</v>
      </c>
      <c r="AH647" s="2">
        <v>0.16491043362264937</v>
      </c>
      <c r="AI647" s="2">
        <v>0.17561859298266205</v>
      </c>
      <c r="AJ647" s="2">
        <v>0.18391939142424416</v>
      </c>
      <c r="AK647" s="2">
        <v>0.18912652706039063</v>
      </c>
      <c r="AL647" s="2">
        <v>0.19363142444315196</v>
      </c>
      <c r="AM647" s="2">
        <v>0.19585132449657094</v>
      </c>
      <c r="AN647" s="2">
        <v>0.19731324519427101</v>
      </c>
      <c r="AO647" s="2">
        <v>0.19879502677824781</v>
      </c>
      <c r="AP647" s="2">
        <v>0.20029687561305312</v>
      </c>
      <c r="AQ647" s="2">
        <v>0.20181900045470247</v>
      </c>
      <c r="AR647" s="2">
        <v>2.6793491484641132</v>
      </c>
    </row>
    <row r="648" spans="1:44" x14ac:dyDescent="0.25">
      <c r="A648" t="s">
        <v>250</v>
      </c>
      <c r="B648" t="s">
        <v>279</v>
      </c>
      <c r="C648" t="s">
        <v>43</v>
      </c>
      <c r="D648" t="s">
        <v>280</v>
      </c>
      <c r="E648" t="s">
        <v>148</v>
      </c>
      <c r="F648" t="s">
        <v>280</v>
      </c>
      <c r="G648" t="s">
        <v>31</v>
      </c>
      <c r="H648" t="s">
        <v>277</v>
      </c>
      <c r="I648" t="s">
        <v>135</v>
      </c>
      <c r="J648" t="s">
        <v>40</v>
      </c>
      <c r="K648" t="s">
        <v>31</v>
      </c>
      <c r="L648">
        <v>555.32000000000005</v>
      </c>
      <c r="M648">
        <v>1</v>
      </c>
      <c r="N648">
        <v>7.4417404184983775</v>
      </c>
      <c r="O648">
        <v>2.8220930578635581</v>
      </c>
      <c r="P648">
        <v>-1.3808313679047273</v>
      </c>
      <c r="Q648">
        <v>0.4672931329656026</v>
      </c>
      <c r="R648">
        <v>-0.98694495274958449</v>
      </c>
      <c r="S648" s="2">
        <v>9.5566242697123127E-5</v>
      </c>
      <c r="T648" s="2">
        <v>2.0816243073782243E-4</v>
      </c>
      <c r="U648" s="2">
        <v>4.5748865220625041E-4</v>
      </c>
      <c r="V648" s="2">
        <v>8.6650806592166927E-4</v>
      </c>
      <c r="W648" s="2">
        <v>1.4926101420944882E-3</v>
      </c>
      <c r="X648" s="2">
        <v>2.3970105675210087E-3</v>
      </c>
      <c r="Y648" s="2">
        <v>3.6380175212328814E-3</v>
      </c>
      <c r="Z648" s="2">
        <v>5.2613533360570891E-3</v>
      </c>
      <c r="AA648" s="2">
        <v>7.2881035914239634E-3</v>
      </c>
      <c r="AB648" s="2">
        <v>9.7020792833711986E-3</v>
      </c>
      <c r="AC648" s="2">
        <v>1.2439803522744784E-2</v>
      </c>
      <c r="AD648" s="2">
        <v>1.538740403330169E-2</v>
      </c>
      <c r="AE648" s="2">
        <v>1.8388527841130462E-2</v>
      </c>
      <c r="AF648" s="2">
        <v>2.126515349586585E-2</v>
      </c>
      <c r="AG648" s="2">
        <v>2.3848741983583298E-2</v>
      </c>
      <c r="AH648" s="2">
        <v>2.6013860670369485E-2</v>
      </c>
      <c r="AI648" s="2">
        <v>2.7703023445023581E-2</v>
      </c>
      <c r="AJ648" s="2">
        <v>2.9012436132678617E-2</v>
      </c>
      <c r="AK648" s="2">
        <v>2.9833837774495244E-2</v>
      </c>
      <c r="AL648" s="2">
        <v>3.0544464569144846E-2</v>
      </c>
      <c r="AM648" s="2">
        <v>3.0894643568879158E-2</v>
      </c>
      <c r="AN648" s="2">
        <v>3.1125254819517993E-2</v>
      </c>
      <c r="AO648" s="2">
        <v>3.135899903340908E-2</v>
      </c>
      <c r="AP648" s="2">
        <v>3.1595908763607863E-2</v>
      </c>
      <c r="AQ648" s="2">
        <v>3.1836016940415393E-2</v>
      </c>
      <c r="AR648" s="2">
        <v>0.42265497642743094</v>
      </c>
    </row>
    <row r="649" spans="1:44" x14ac:dyDescent="0.25">
      <c r="A649" t="s">
        <v>250</v>
      </c>
      <c r="B649" t="s">
        <v>340</v>
      </c>
      <c r="C649" t="s">
        <v>44</v>
      </c>
      <c r="D649" t="s">
        <v>161</v>
      </c>
      <c r="E649" t="s">
        <v>134</v>
      </c>
      <c r="F649" t="s">
        <v>161</v>
      </c>
      <c r="G649" t="s">
        <v>31</v>
      </c>
      <c r="H649" t="s">
        <v>253</v>
      </c>
      <c r="I649" t="s">
        <v>135</v>
      </c>
      <c r="J649" t="s">
        <v>39</v>
      </c>
      <c r="K649" t="s">
        <v>31</v>
      </c>
      <c r="L649">
        <v>1016.045</v>
      </c>
      <c r="M649">
        <v>1</v>
      </c>
      <c r="N649">
        <v>7.3329103464985135</v>
      </c>
      <c r="O649">
        <v>5.3756602043030259</v>
      </c>
      <c r="P649">
        <v>-2.0071271053248574</v>
      </c>
      <c r="Q649">
        <v>0.39707981493665734</v>
      </c>
      <c r="R649">
        <v>-1.8625523936223545</v>
      </c>
      <c r="S649" s="2">
        <v>1.1149890430522962E-2</v>
      </c>
      <c r="T649" s="2">
        <v>2.2196519239712702E-2</v>
      </c>
      <c r="U649" s="2">
        <v>3.9249340272441917E-2</v>
      </c>
      <c r="V649" s="2">
        <v>6.358266934464113E-2</v>
      </c>
      <c r="W649" s="2">
        <v>9.6113921922359277E-2</v>
      </c>
      <c r="X649" s="2">
        <v>0.13709128532942319</v>
      </c>
      <c r="Y649" s="2">
        <v>0.18571722093130022</v>
      </c>
      <c r="Z649" s="2">
        <v>0.23976949261510833</v>
      </c>
      <c r="AA649" s="2">
        <v>0.29533766905758368</v>
      </c>
      <c r="AB649" s="2">
        <v>0.34684534930429578</v>
      </c>
      <c r="AC649" s="2">
        <v>0.38754247566959893</v>
      </c>
      <c r="AD649" s="2">
        <v>0.41058191221085111</v>
      </c>
      <c r="AE649" s="2">
        <v>0.41060562369048359</v>
      </c>
      <c r="AF649" s="2">
        <v>0.38547808085998775</v>
      </c>
      <c r="AG649" s="2">
        <v>0.33753186981535149</v>
      </c>
      <c r="AH649" s="2">
        <v>0.27799067286363593</v>
      </c>
      <c r="AI649" s="2">
        <v>0.21170952025668435</v>
      </c>
      <c r="AJ649" s="2">
        <v>8.1204226460098713E-2</v>
      </c>
      <c r="AK649" s="2">
        <v>0</v>
      </c>
      <c r="AL649" s="2">
        <v>0</v>
      </c>
      <c r="AM649" s="2">
        <v>0</v>
      </c>
      <c r="AN649" s="2">
        <v>0</v>
      </c>
      <c r="AO649" s="2">
        <v>0</v>
      </c>
      <c r="AP649" s="2">
        <v>0</v>
      </c>
      <c r="AQ649" s="2">
        <v>0</v>
      </c>
      <c r="AR649" s="2">
        <v>3.9396977402740823</v>
      </c>
    </row>
    <row r="650" spans="1:44" x14ac:dyDescent="0.25">
      <c r="A650" t="s">
        <v>250</v>
      </c>
      <c r="B650" t="s">
        <v>340</v>
      </c>
      <c r="C650" t="s">
        <v>44</v>
      </c>
      <c r="D650" t="s">
        <v>161</v>
      </c>
      <c r="E650" t="s">
        <v>134</v>
      </c>
      <c r="F650" t="s">
        <v>161</v>
      </c>
      <c r="G650" t="s">
        <v>31</v>
      </c>
      <c r="H650" t="s">
        <v>253</v>
      </c>
      <c r="I650" t="s">
        <v>135</v>
      </c>
      <c r="J650" t="s">
        <v>40</v>
      </c>
      <c r="K650" t="s">
        <v>31</v>
      </c>
      <c r="L650">
        <v>1016.045</v>
      </c>
      <c r="M650">
        <v>1</v>
      </c>
      <c r="N650">
        <v>7.3329103464985135</v>
      </c>
      <c r="O650">
        <v>4.1746294160814514</v>
      </c>
      <c r="P650">
        <v>-2.0071271053248574</v>
      </c>
      <c r="Q650">
        <v>0.4672931329656026</v>
      </c>
      <c r="R650">
        <v>-1.7195523936223538</v>
      </c>
      <c r="S650" s="2">
        <v>5.865074105145124E-3</v>
      </c>
      <c r="T650" s="2">
        <v>1.1675830451285297E-2</v>
      </c>
      <c r="U650" s="2">
        <v>2.0645968739365604E-2</v>
      </c>
      <c r="V650" s="2">
        <v>3.3445805573873118E-2</v>
      </c>
      <c r="W650" s="2">
        <v>5.0557920557460549E-2</v>
      </c>
      <c r="X650" s="2">
        <v>7.2112865380772107E-2</v>
      </c>
      <c r="Y650" s="2">
        <v>9.7691118146045877E-2</v>
      </c>
      <c r="Z650" s="2">
        <v>0.12612373647107661</v>
      </c>
      <c r="AA650" s="2">
        <v>0.15535375220564476</v>
      </c>
      <c r="AB650" s="2">
        <v>0.18244786254811893</v>
      </c>
      <c r="AC650" s="2">
        <v>0.20385539686303353</v>
      </c>
      <c r="AD650" s="2">
        <v>0.21597461933407405</v>
      </c>
      <c r="AE650" s="2">
        <v>0.21598709206517874</v>
      </c>
      <c r="AF650" s="2">
        <v>0.20276948228691355</v>
      </c>
      <c r="AG650" s="2">
        <v>0.17754877876610506</v>
      </c>
      <c r="AH650" s="2">
        <v>0.14622887166864365</v>
      </c>
      <c r="AI650" s="2">
        <v>0.11136360781367227</v>
      </c>
      <c r="AJ650" s="2">
        <v>4.2715110862048523E-2</v>
      </c>
      <c r="AK650" s="2">
        <v>0</v>
      </c>
      <c r="AL650" s="2">
        <v>0</v>
      </c>
      <c r="AM650" s="2">
        <v>0</v>
      </c>
      <c r="AN650" s="2">
        <v>0</v>
      </c>
      <c r="AO650" s="2">
        <v>0</v>
      </c>
      <c r="AP650" s="2">
        <v>0</v>
      </c>
      <c r="AQ650" s="2">
        <v>0</v>
      </c>
      <c r="AR650" s="2">
        <v>2.072362893838458</v>
      </c>
    </row>
    <row r="651" spans="1:44" x14ac:dyDescent="0.25">
      <c r="A651" t="s">
        <v>250</v>
      </c>
      <c r="B651" t="s">
        <v>340</v>
      </c>
      <c r="C651" t="s">
        <v>44</v>
      </c>
      <c r="D651" t="s">
        <v>161</v>
      </c>
      <c r="E651" t="s">
        <v>134</v>
      </c>
      <c r="F651" t="s">
        <v>161</v>
      </c>
      <c r="G651" t="s">
        <v>31</v>
      </c>
      <c r="H651" t="s">
        <v>253</v>
      </c>
      <c r="I651" t="s">
        <v>256</v>
      </c>
      <c r="J651" t="s">
        <v>39</v>
      </c>
      <c r="K651" t="s">
        <v>31</v>
      </c>
      <c r="L651">
        <v>1016.045</v>
      </c>
      <c r="M651">
        <v>1</v>
      </c>
      <c r="N651">
        <v>3.648671318679285</v>
      </c>
      <c r="O651">
        <v>2.6747929920855813</v>
      </c>
      <c r="P651">
        <v>-0.54419015397598791</v>
      </c>
      <c r="Q651">
        <v>0.4672931329656026</v>
      </c>
      <c r="R651">
        <v>-0.39961544227348456</v>
      </c>
      <c r="S651" s="2">
        <v>5.8487966940292437E-3</v>
      </c>
      <c r="T651" s="2">
        <v>1.1643426377787197E-2</v>
      </c>
      <c r="U651" s="2">
        <v>2.0588669732561675E-2</v>
      </c>
      <c r="V651" s="2">
        <v>3.3352983025058229E-2</v>
      </c>
      <c r="W651" s="2">
        <v>5.0417606548920434E-2</v>
      </c>
      <c r="X651" s="2">
        <v>7.1912729673106079E-2</v>
      </c>
      <c r="Y651" s="2">
        <v>9.7419994804051238E-2</v>
      </c>
      <c r="Z651" s="2">
        <v>0.12577370373948507</v>
      </c>
      <c r="AA651" s="2">
        <v>0.15492259705777928</v>
      </c>
      <c r="AB651" s="2">
        <v>0.18194151278805296</v>
      </c>
      <c r="AC651" s="2">
        <v>0.20328963451400889</v>
      </c>
      <c r="AD651" s="2">
        <v>0.21537522236031495</v>
      </c>
      <c r="AE651" s="2">
        <v>0.21538766047569813</v>
      </c>
      <c r="AF651" s="2">
        <v>0.20220673368974865</v>
      </c>
      <c r="AG651" s="2">
        <v>0.17705602549252519</v>
      </c>
      <c r="AH651" s="2">
        <v>0.14582304091211934</v>
      </c>
      <c r="AI651" s="2">
        <v>0.11105453904570205</v>
      </c>
      <c r="AJ651" s="2">
        <v>4.259656309813175E-2</v>
      </c>
      <c r="AK651" s="2">
        <v>0</v>
      </c>
      <c r="AL651" s="2">
        <v>0</v>
      </c>
      <c r="AM651" s="2">
        <v>0</v>
      </c>
      <c r="AN651" s="2">
        <v>0</v>
      </c>
      <c r="AO651" s="2">
        <v>0</v>
      </c>
      <c r="AP651" s="2">
        <v>0</v>
      </c>
      <c r="AQ651" s="2">
        <v>0</v>
      </c>
      <c r="AR651" s="2">
        <v>2.0666114400290803</v>
      </c>
    </row>
    <row r="652" spans="1:44" x14ac:dyDescent="0.25">
      <c r="A652" t="s">
        <v>250</v>
      </c>
      <c r="B652" t="s">
        <v>341</v>
      </c>
      <c r="C652" t="s">
        <v>44</v>
      </c>
      <c r="D652" t="s">
        <v>161</v>
      </c>
      <c r="E652" t="s">
        <v>134</v>
      </c>
      <c r="F652" t="s">
        <v>161</v>
      </c>
      <c r="G652" t="s">
        <v>31</v>
      </c>
      <c r="H652" t="s">
        <v>252</v>
      </c>
      <c r="I652" t="s">
        <v>135</v>
      </c>
      <c r="J652" t="s">
        <v>39</v>
      </c>
      <c r="K652" t="s">
        <v>31</v>
      </c>
      <c r="L652">
        <v>514.79499999999996</v>
      </c>
      <c r="M652">
        <v>1</v>
      </c>
      <c r="N652">
        <v>5.8863034085379518</v>
      </c>
      <c r="O652">
        <v>5.4421202420407457</v>
      </c>
      <c r="P652">
        <v>-1.9034258936939177</v>
      </c>
      <c r="Q652">
        <v>0.50078102656759582</v>
      </c>
      <c r="R652">
        <v>-1.8625523936223527</v>
      </c>
      <c r="S652" s="2">
        <v>4.0029129624033701E-5</v>
      </c>
      <c r="T652" s="2">
        <v>7.9719546795262348E-5</v>
      </c>
      <c r="U652" s="2">
        <v>1.4102194642147937E-4</v>
      </c>
      <c r="V652" s="2">
        <v>2.2854277584769808E-4</v>
      </c>
      <c r="W652" s="2">
        <v>3.4561249739957045E-4</v>
      </c>
      <c r="X652" s="2">
        <v>4.9315947944732447E-4</v>
      </c>
      <c r="Y652" s="2">
        <v>6.6835024476536787E-4</v>
      </c>
      <c r="Z652" s="2">
        <v>8.6321754204724335E-4</v>
      </c>
      <c r="AA652" s="2">
        <v>1.0637010157664953E-3</v>
      </c>
      <c r="AB652" s="2">
        <v>1.2497150634354166E-3</v>
      </c>
      <c r="AC652" s="2">
        <v>1.3969113184188614E-3</v>
      </c>
      <c r="AD652" s="2">
        <v>1.4805522476235417E-3</v>
      </c>
      <c r="AE652" s="2">
        <v>1.4812324442082625E-3</v>
      </c>
      <c r="AF652" s="2">
        <v>1.3911450313065247E-3</v>
      </c>
      <c r="AG652" s="2">
        <v>1.2186020489374154E-3</v>
      </c>
      <c r="AH652" s="2">
        <v>1.0040416793161862E-3</v>
      </c>
      <c r="AI652" s="2">
        <v>7.6495573096090064E-4</v>
      </c>
      <c r="AJ652" s="2">
        <v>3.703384175284748E-4</v>
      </c>
      <c r="AK652" s="2">
        <v>0</v>
      </c>
      <c r="AL652" s="2">
        <v>0</v>
      </c>
      <c r="AM652" s="2">
        <v>0</v>
      </c>
      <c r="AN652" s="2">
        <v>0</v>
      </c>
      <c r="AO652" s="2">
        <v>0</v>
      </c>
      <c r="AP652" s="2">
        <v>0</v>
      </c>
      <c r="AQ652" s="2">
        <v>0</v>
      </c>
      <c r="AR652" s="2">
        <v>1.4280848159850061E-2</v>
      </c>
    </row>
    <row r="653" spans="1:44" x14ac:dyDescent="0.25">
      <c r="A653" t="s">
        <v>250</v>
      </c>
      <c r="B653" t="s">
        <v>335</v>
      </c>
      <c r="C653" t="s">
        <v>44</v>
      </c>
      <c r="D653" t="s">
        <v>161</v>
      </c>
      <c r="E653" t="s">
        <v>134</v>
      </c>
      <c r="F653" t="s">
        <v>161</v>
      </c>
      <c r="G653" t="s">
        <v>31</v>
      </c>
      <c r="H653" t="s">
        <v>288</v>
      </c>
      <c r="I653" t="s">
        <v>135</v>
      </c>
      <c r="J653" t="s">
        <v>39</v>
      </c>
      <c r="K653" t="s">
        <v>31</v>
      </c>
      <c r="L653">
        <v>514.79499999999996</v>
      </c>
      <c r="M653">
        <v>1</v>
      </c>
      <c r="N653">
        <v>5.9226361540065984</v>
      </c>
      <c r="O653">
        <v>5.4757113018011108</v>
      </c>
      <c r="P653">
        <v>-1.9034258936939177</v>
      </c>
      <c r="Q653">
        <v>0.50078102656759582</v>
      </c>
      <c r="R653">
        <v>-1.8625523936223527</v>
      </c>
      <c r="S653" s="2">
        <v>5.0513708149333369E-4</v>
      </c>
      <c r="T653" s="2">
        <v>1.0067066853284329E-3</v>
      </c>
      <c r="U653" s="2">
        <v>1.7820909479418765E-3</v>
      </c>
      <c r="V653" s="2">
        <v>2.890118736760974E-3</v>
      </c>
      <c r="W653" s="2">
        <v>4.373636183212657E-3</v>
      </c>
      <c r="X653" s="2">
        <v>6.2451896180358126E-3</v>
      </c>
      <c r="Y653" s="2">
        <v>8.4696874265676892E-3</v>
      </c>
      <c r="Z653" s="2">
        <v>1.0946834618215611E-2</v>
      </c>
      <c r="AA653" s="2">
        <v>1.3498729714103158E-2</v>
      </c>
      <c r="AB653" s="2">
        <v>1.5870454348803086E-2</v>
      </c>
      <c r="AC653" s="2">
        <v>1.77522015394227E-2</v>
      </c>
      <c r="AD653" s="2">
        <v>1.8828345086707058E-2</v>
      </c>
      <c r="AE653" s="2">
        <v>1.8850230086829491E-2</v>
      </c>
      <c r="AF653" s="2">
        <v>1.7716212320679686E-2</v>
      </c>
      <c r="AG653" s="2">
        <v>1.5529783436844417E-2</v>
      </c>
      <c r="AH653" s="2">
        <v>1.2804430432825144E-2</v>
      </c>
      <c r="AI653" s="2">
        <v>9.7622484023439215E-3</v>
      </c>
      <c r="AJ653" s="2">
        <v>6.4448829874383705E-3</v>
      </c>
      <c r="AK653" s="2">
        <v>0</v>
      </c>
      <c r="AL653" s="2">
        <v>0</v>
      </c>
      <c r="AM653" s="2">
        <v>0</v>
      </c>
      <c r="AN653" s="2">
        <v>0</v>
      </c>
      <c r="AO653" s="2">
        <v>0</v>
      </c>
      <c r="AP653" s="2">
        <v>0</v>
      </c>
      <c r="AQ653" s="2">
        <v>0</v>
      </c>
      <c r="AR653" s="2">
        <v>0.18327691965355344</v>
      </c>
    </row>
    <row r="654" spans="1:44" x14ac:dyDescent="0.25">
      <c r="A654" t="s">
        <v>250</v>
      </c>
      <c r="B654" t="s">
        <v>335</v>
      </c>
      <c r="C654" t="s">
        <v>44</v>
      </c>
      <c r="D654" t="s">
        <v>161</v>
      </c>
      <c r="E654" t="s">
        <v>134</v>
      </c>
      <c r="F654" t="s">
        <v>161</v>
      </c>
      <c r="G654" t="s">
        <v>31</v>
      </c>
      <c r="H654" t="s">
        <v>288</v>
      </c>
      <c r="I654" t="s">
        <v>135</v>
      </c>
      <c r="J654" t="s">
        <v>39</v>
      </c>
      <c r="K654" t="s">
        <v>33</v>
      </c>
      <c r="L654">
        <v>514.79499999999996</v>
      </c>
      <c r="M654">
        <v>1</v>
      </c>
      <c r="N654">
        <v>5.9226361540065984</v>
      </c>
      <c r="O654">
        <v>5.4757113018011108</v>
      </c>
      <c r="P654">
        <v>-1.9034258936939177</v>
      </c>
      <c r="Q654">
        <v>0.50078102656759582</v>
      </c>
      <c r="R654">
        <v>-1.8625523936223527</v>
      </c>
      <c r="S654" s="2">
        <v>4.7518817957168138E-6</v>
      </c>
      <c r="T654" s="2">
        <v>9.4702039246384797E-6</v>
      </c>
      <c r="U654" s="2">
        <v>1.6764331592529263E-5</v>
      </c>
      <c r="V654" s="2">
        <v>2.7187674625023131E-5</v>
      </c>
      <c r="W654" s="2">
        <v>4.1143291438149684E-5</v>
      </c>
      <c r="X654" s="2">
        <v>5.8749206787614683E-5</v>
      </c>
      <c r="Y654" s="2">
        <v>7.9675309875760412E-5</v>
      </c>
      <c r="Z654" s="2">
        <v>1.0297811435509882E-4</v>
      </c>
      <c r="AA654" s="2">
        <v>1.2698408084419149E-4</v>
      </c>
      <c r="AB654" s="2">
        <v>1.492951633779976E-4</v>
      </c>
      <c r="AC654" s="2">
        <v>1.669969725439608E-4</v>
      </c>
      <c r="AD654" s="2">
        <v>1.7712037690144935E-4</v>
      </c>
      <c r="AE654" s="2">
        <v>1.7732625157882128E-4</v>
      </c>
      <c r="AF654" s="2">
        <v>1.6665841788295386E-4</v>
      </c>
      <c r="AG654" s="2">
        <v>1.4609043348550799E-4</v>
      </c>
      <c r="AH654" s="2">
        <v>1.204527287887638E-4</v>
      </c>
      <c r="AI654" s="2">
        <v>9.1834577519480414E-5</v>
      </c>
      <c r="AJ654" s="2">
        <v>6.0627744953896632E-5</v>
      </c>
      <c r="AK654" s="2">
        <v>0</v>
      </c>
      <c r="AL654" s="2">
        <v>0</v>
      </c>
      <c r="AM654" s="2">
        <v>0</v>
      </c>
      <c r="AN654" s="2">
        <v>0</v>
      </c>
      <c r="AO654" s="2">
        <v>0</v>
      </c>
      <c r="AP654" s="2">
        <v>0</v>
      </c>
      <c r="AQ654" s="2">
        <v>0</v>
      </c>
      <c r="AR654" s="2">
        <v>1.7241067622715542E-3</v>
      </c>
    </row>
    <row r="655" spans="1:44" x14ac:dyDescent="0.25">
      <c r="A655" t="s">
        <v>250</v>
      </c>
      <c r="B655" t="s">
        <v>335</v>
      </c>
      <c r="C655" t="s">
        <v>44</v>
      </c>
      <c r="D655" t="s">
        <v>161</v>
      </c>
      <c r="E655" t="s">
        <v>134</v>
      </c>
      <c r="F655" t="s">
        <v>161</v>
      </c>
      <c r="G655" t="s">
        <v>31</v>
      </c>
      <c r="H655" t="s">
        <v>289</v>
      </c>
      <c r="I655" t="s">
        <v>135</v>
      </c>
      <c r="J655" t="s">
        <v>39</v>
      </c>
      <c r="K655" t="s">
        <v>31</v>
      </c>
      <c r="L655">
        <v>514.79499999999996</v>
      </c>
      <c r="M655">
        <v>1</v>
      </c>
      <c r="N655">
        <v>5.9226361540065984</v>
      </c>
      <c r="O655">
        <v>5.4757113018011108</v>
      </c>
      <c r="P655">
        <v>-1.9034258936939177</v>
      </c>
      <c r="Q655">
        <v>0.50078102656759582</v>
      </c>
      <c r="R655">
        <v>-1.8625523936223527</v>
      </c>
      <c r="S655" s="2">
        <v>4.8011089918306081E-4</v>
      </c>
      <c r="T655" s="2">
        <v>9.5683106549565621E-4</v>
      </c>
      <c r="U655" s="2">
        <v>1.6938001956082074E-3</v>
      </c>
      <c r="V655" s="2">
        <v>2.7469325778856626E-3</v>
      </c>
      <c r="W655" s="2">
        <v>4.1569516029472302E-3</v>
      </c>
      <c r="X655" s="2">
        <v>5.9357820142995387E-3</v>
      </c>
      <c r="Y655" s="2">
        <v>8.0500707533634943E-3</v>
      </c>
      <c r="Z655" s="2">
        <v>1.0404491779186705E-2</v>
      </c>
      <c r="AA655" s="2">
        <v>1.2829957447803592E-2</v>
      </c>
      <c r="AB655" s="2">
        <v>1.5084178903124381E-2</v>
      </c>
      <c r="AC655" s="2">
        <v>1.6872698037480396E-2</v>
      </c>
      <c r="AD655" s="2">
        <v>1.7895525830303131E-2</v>
      </c>
      <c r="AE655" s="2">
        <v>1.791632657424443E-2</v>
      </c>
      <c r="AF655" s="2">
        <v>1.6838491845132524E-2</v>
      </c>
      <c r="AG655" s="2">
        <v>1.4760385968773854E-2</v>
      </c>
      <c r="AH655" s="2">
        <v>1.2170056077563487E-2</v>
      </c>
      <c r="AI655" s="2">
        <v>9.278593930664724E-3</v>
      </c>
      <c r="AJ655" s="2">
        <v>6.1255819055713008E-3</v>
      </c>
      <c r="AK655" s="2">
        <v>0</v>
      </c>
      <c r="AL655" s="2">
        <v>0</v>
      </c>
      <c r="AM655" s="2">
        <v>0</v>
      </c>
      <c r="AN655" s="2">
        <v>0</v>
      </c>
      <c r="AO655" s="2">
        <v>0</v>
      </c>
      <c r="AP655" s="2">
        <v>0</v>
      </c>
      <c r="AQ655" s="2">
        <v>0</v>
      </c>
      <c r="AR655" s="2">
        <v>0.17419676740863135</v>
      </c>
    </row>
    <row r="656" spans="1:44" x14ac:dyDescent="0.25">
      <c r="A656" t="s">
        <v>250</v>
      </c>
      <c r="B656" t="s">
        <v>335</v>
      </c>
      <c r="C656" t="s">
        <v>44</v>
      </c>
      <c r="D656" t="s">
        <v>161</v>
      </c>
      <c r="E656" t="s">
        <v>134</v>
      </c>
      <c r="F656" t="s">
        <v>161</v>
      </c>
      <c r="G656" t="s">
        <v>31</v>
      </c>
      <c r="H656" t="s">
        <v>290</v>
      </c>
      <c r="I656" t="s">
        <v>135</v>
      </c>
      <c r="J656" t="s">
        <v>39</v>
      </c>
      <c r="K656" t="s">
        <v>31</v>
      </c>
      <c r="L656">
        <v>514.79499999999996</v>
      </c>
      <c r="M656">
        <v>1</v>
      </c>
      <c r="N656">
        <v>5.9226361540065984</v>
      </c>
      <c r="O656">
        <v>5.4757113018011108</v>
      </c>
      <c r="P656">
        <v>-1.9034258936939177</v>
      </c>
      <c r="Q656">
        <v>0.50078102656759582</v>
      </c>
      <c r="R656">
        <v>-1.8625523936223527</v>
      </c>
      <c r="S656" s="2">
        <v>6.9523328222350072E-4</v>
      </c>
      <c r="T656" s="2">
        <v>1.385556552308789E-3</v>
      </c>
      <c r="U656" s="2">
        <v>2.452738047453701E-3</v>
      </c>
      <c r="V656" s="2">
        <v>3.9777454655157531E-3</v>
      </c>
      <c r="W656" s="2">
        <v>6.0195490497692303E-3</v>
      </c>
      <c r="X656" s="2">
        <v>8.5954166410023656E-3</v>
      </c>
      <c r="Y656" s="2">
        <v>1.1657050738726013E-2</v>
      </c>
      <c r="Z656" s="2">
        <v>1.5066412743013636E-2</v>
      </c>
      <c r="AA656" s="2">
        <v>1.8578652228895386E-2</v>
      </c>
      <c r="AB656" s="2">
        <v>2.1842918430533417E-2</v>
      </c>
      <c r="AC656" s="2">
        <v>2.4432815952571879E-2</v>
      </c>
      <c r="AD656" s="2">
        <v>2.5913940261067161E-2</v>
      </c>
      <c r="AE656" s="2">
        <v>2.5944061155026486E-2</v>
      </c>
      <c r="AF656" s="2">
        <v>2.4383283056278855E-2</v>
      </c>
      <c r="AG656" s="2">
        <v>2.1374044208156168E-2</v>
      </c>
      <c r="AH656" s="2">
        <v>1.762307009910731E-2</v>
      </c>
      <c r="AI656" s="2">
        <v>1.3436035973795873E-2</v>
      </c>
      <c r="AJ656" s="2">
        <v>8.8702598107763455E-3</v>
      </c>
      <c r="AK656" s="2">
        <v>0</v>
      </c>
      <c r="AL656" s="2">
        <v>0</v>
      </c>
      <c r="AM656" s="2">
        <v>0</v>
      </c>
      <c r="AN656" s="2">
        <v>0</v>
      </c>
      <c r="AO656" s="2">
        <v>0</v>
      </c>
      <c r="AP656" s="2">
        <v>0</v>
      </c>
      <c r="AQ656" s="2">
        <v>0</v>
      </c>
      <c r="AR656" s="2">
        <v>0.25224878369622195</v>
      </c>
    </row>
    <row r="657" spans="1:44" x14ac:dyDescent="0.25">
      <c r="A657" t="s">
        <v>250</v>
      </c>
      <c r="B657" t="s">
        <v>342</v>
      </c>
      <c r="C657" t="s">
        <v>44</v>
      </c>
      <c r="D657" t="s">
        <v>161</v>
      </c>
      <c r="E657" t="s">
        <v>134</v>
      </c>
      <c r="F657" t="s">
        <v>161</v>
      </c>
      <c r="G657" t="s">
        <v>31</v>
      </c>
      <c r="H657" t="s">
        <v>254</v>
      </c>
      <c r="I657" t="s">
        <v>135</v>
      </c>
      <c r="J657" t="s">
        <v>39</v>
      </c>
      <c r="K657" t="s">
        <v>31</v>
      </c>
      <c r="L657">
        <v>514.79499999999996</v>
      </c>
      <c r="M657">
        <v>1</v>
      </c>
      <c r="N657">
        <v>5.8530948632432755</v>
      </c>
      <c r="O657">
        <v>5.4114176288701819</v>
      </c>
      <c r="P657">
        <v>-1.9034258936939203</v>
      </c>
      <c r="Q657">
        <v>0.50078102656759649</v>
      </c>
      <c r="R657">
        <v>-1.8625523936223551</v>
      </c>
      <c r="S657" s="2">
        <v>3.3559301846555179E-3</v>
      </c>
      <c r="T657" s="2">
        <v>6.6781864816736697E-3</v>
      </c>
      <c r="U657" s="2">
        <v>1.1804222213238453E-2</v>
      </c>
      <c r="V657" s="2">
        <v>1.9115036012224067E-2</v>
      </c>
      <c r="W657" s="2">
        <v>2.888377888191989E-2</v>
      </c>
      <c r="X657" s="2">
        <v>4.1182139902923659E-2</v>
      </c>
      <c r="Y657" s="2">
        <v>5.5767681110386033E-2</v>
      </c>
      <c r="Z657" s="2">
        <v>7.197069276340505E-2</v>
      </c>
      <c r="AA657" s="2">
        <v>8.8615960769375751E-2</v>
      </c>
      <c r="AB657" s="2">
        <v>0.10403041521187033</v>
      </c>
      <c r="AC657" s="2">
        <v>0.11619170222913661</v>
      </c>
      <c r="AD657" s="2">
        <v>0.12305151547213866</v>
      </c>
      <c r="AE657" s="2">
        <v>0.12301084325011345</v>
      </c>
      <c r="AF657" s="2">
        <v>0.11543819813884026</v>
      </c>
      <c r="AG657" s="2">
        <v>0.10104061597037721</v>
      </c>
      <c r="AH657" s="2">
        <v>8.3184569488484225E-2</v>
      </c>
      <c r="AI657" s="2">
        <v>6.3326324981995891E-2</v>
      </c>
      <c r="AJ657" s="2">
        <v>1.8135016846546999E-2</v>
      </c>
      <c r="AK657" s="2">
        <v>0</v>
      </c>
      <c r="AL657" s="2">
        <v>0</v>
      </c>
      <c r="AM657" s="2">
        <v>0</v>
      </c>
      <c r="AN657" s="2">
        <v>0</v>
      </c>
      <c r="AO657" s="2">
        <v>0</v>
      </c>
      <c r="AP657" s="2">
        <v>0</v>
      </c>
      <c r="AQ657" s="2">
        <v>0</v>
      </c>
      <c r="AR657" s="2">
        <v>1.1747828299093057</v>
      </c>
    </row>
    <row r="658" spans="1:44" x14ac:dyDescent="0.25">
      <c r="A658" t="s">
        <v>250</v>
      </c>
      <c r="B658" t="s">
        <v>342</v>
      </c>
      <c r="C658" t="s">
        <v>44</v>
      </c>
      <c r="D658" t="s">
        <v>161</v>
      </c>
      <c r="E658" t="s">
        <v>134</v>
      </c>
      <c r="F658" t="s">
        <v>161</v>
      </c>
      <c r="G658" t="s">
        <v>31</v>
      </c>
      <c r="H658" t="s">
        <v>255</v>
      </c>
      <c r="I658" t="s">
        <v>135</v>
      </c>
      <c r="J658" t="s">
        <v>39</v>
      </c>
      <c r="K658" t="s">
        <v>31</v>
      </c>
      <c r="L658">
        <v>514.79499999999996</v>
      </c>
      <c r="M658">
        <v>1</v>
      </c>
      <c r="N658">
        <v>5.8530948632432755</v>
      </c>
      <c r="O658">
        <v>5.4114176288701819</v>
      </c>
      <c r="P658">
        <v>-1.9034258936939203</v>
      </c>
      <c r="Q658">
        <v>0.50078102656759649</v>
      </c>
      <c r="R658">
        <v>-1.8625523936223551</v>
      </c>
      <c r="S658" s="2">
        <v>7.0353293638410945E-4</v>
      </c>
      <c r="T658" s="2">
        <v>1.3936593480303361E-3</v>
      </c>
      <c r="U658" s="2">
        <v>2.4522347358446302E-3</v>
      </c>
      <c r="V658" s="2">
        <v>3.9529958408909055E-3</v>
      </c>
      <c r="W658" s="2">
        <v>5.9460947024700325E-3</v>
      </c>
      <c r="X658" s="2">
        <v>8.4394334581098362E-3</v>
      </c>
      <c r="Y658" s="2">
        <v>1.1376627630583643E-2</v>
      </c>
      <c r="Z658" s="2">
        <v>1.4615484391929145E-2</v>
      </c>
      <c r="AA658" s="2">
        <v>1.7914143725719475E-2</v>
      </c>
      <c r="AB658" s="2">
        <v>2.0934905704571318E-2</v>
      </c>
      <c r="AC658" s="2">
        <v>2.327621525540027E-2</v>
      </c>
      <c r="AD658" s="2">
        <v>2.4538657034229607E-2</v>
      </c>
      <c r="AE658" s="2">
        <v>2.4419332760881009E-2</v>
      </c>
      <c r="AF658" s="2">
        <v>2.2812165309368637E-2</v>
      </c>
      <c r="AG658" s="2">
        <v>1.9876482437234593E-2</v>
      </c>
      <c r="AH658" s="2">
        <v>1.6289692674371914E-2</v>
      </c>
      <c r="AI658" s="2">
        <v>1.8928147297565061E-3</v>
      </c>
      <c r="AJ658" s="2">
        <v>0</v>
      </c>
      <c r="AK658" s="2">
        <v>0</v>
      </c>
      <c r="AL658" s="2">
        <v>0</v>
      </c>
      <c r="AM658" s="2">
        <v>0</v>
      </c>
      <c r="AN658" s="2">
        <v>0</v>
      </c>
      <c r="AO658" s="2">
        <v>0</v>
      </c>
      <c r="AP658" s="2">
        <v>0</v>
      </c>
      <c r="AQ658" s="2">
        <v>0</v>
      </c>
      <c r="AR658" s="2">
        <v>0.22083447267577594</v>
      </c>
    </row>
    <row r="659" spans="1:44" x14ac:dyDescent="0.25">
      <c r="A659" t="s">
        <v>250</v>
      </c>
      <c r="B659" t="s">
        <v>336</v>
      </c>
      <c r="C659" t="s">
        <v>44</v>
      </c>
      <c r="D659" t="s">
        <v>161</v>
      </c>
      <c r="E659" t="s">
        <v>134</v>
      </c>
      <c r="F659" t="s">
        <v>161</v>
      </c>
      <c r="G659" t="s">
        <v>31</v>
      </c>
      <c r="H659" t="s">
        <v>278</v>
      </c>
      <c r="I659" t="s">
        <v>135</v>
      </c>
      <c r="J659" t="s">
        <v>39</v>
      </c>
      <c r="K659" t="s">
        <v>31</v>
      </c>
      <c r="L659">
        <v>514.79499999999996</v>
      </c>
      <c r="M659">
        <v>1</v>
      </c>
      <c r="N659">
        <v>5.9117149638022148</v>
      </c>
      <c r="O659">
        <v>5.4656142296399564</v>
      </c>
      <c r="P659">
        <v>-1.9034258936939177</v>
      </c>
      <c r="Q659">
        <v>0.50078102656759582</v>
      </c>
      <c r="R659">
        <v>-1.8625523936223527</v>
      </c>
      <c r="S659" s="2">
        <v>0</v>
      </c>
      <c r="T659" s="2">
        <v>0</v>
      </c>
      <c r="U659" s="2">
        <v>0</v>
      </c>
      <c r="V659" s="2">
        <v>0</v>
      </c>
      <c r="W659" s="2">
        <v>0</v>
      </c>
      <c r="X659" s="2">
        <v>0</v>
      </c>
      <c r="Y659" s="2">
        <v>0</v>
      </c>
      <c r="Z659" s="2">
        <v>0</v>
      </c>
      <c r="AA659" s="2">
        <v>0</v>
      </c>
      <c r="AB659" s="2">
        <v>0</v>
      </c>
      <c r="AC659" s="2">
        <v>0</v>
      </c>
      <c r="AD659" s="2">
        <v>0</v>
      </c>
      <c r="AE659" s="2">
        <v>0</v>
      </c>
      <c r="AF659" s="2">
        <v>0</v>
      </c>
      <c r="AG659" s="2">
        <v>0</v>
      </c>
      <c r="AH659" s="2">
        <v>0</v>
      </c>
      <c r="AI659" s="2">
        <v>0</v>
      </c>
      <c r="AJ659" s="2">
        <v>0</v>
      </c>
      <c r="AK659" s="2">
        <v>0</v>
      </c>
      <c r="AL659" s="2">
        <v>0</v>
      </c>
      <c r="AM659" s="2">
        <v>0</v>
      </c>
      <c r="AN659" s="2">
        <v>0</v>
      </c>
      <c r="AO659" s="2">
        <v>0</v>
      </c>
      <c r="AP659" s="2">
        <v>0</v>
      </c>
      <c r="AQ659" s="2">
        <v>0</v>
      </c>
      <c r="AR659" s="2">
        <v>0</v>
      </c>
    </row>
    <row r="660" spans="1:44" x14ac:dyDescent="0.25">
      <c r="A660" t="s">
        <v>250</v>
      </c>
      <c r="B660" t="s">
        <v>337</v>
      </c>
      <c r="C660" t="s">
        <v>44</v>
      </c>
      <c r="D660" t="s">
        <v>161</v>
      </c>
      <c r="E660" t="s">
        <v>134</v>
      </c>
      <c r="F660" t="s">
        <v>161</v>
      </c>
      <c r="G660" t="s">
        <v>31</v>
      </c>
      <c r="H660" t="s">
        <v>272</v>
      </c>
      <c r="I660" t="s">
        <v>135</v>
      </c>
      <c r="J660" t="s">
        <v>39</v>
      </c>
      <c r="K660" t="s">
        <v>31</v>
      </c>
      <c r="L660">
        <v>211.14</v>
      </c>
      <c r="M660">
        <v>1</v>
      </c>
      <c r="N660">
        <v>4.6734133238817801</v>
      </c>
      <c r="O660">
        <v>5.4674005771508307</v>
      </c>
      <c r="P660">
        <v>-1.7705282647850258</v>
      </c>
      <c r="Q660">
        <v>0.63367865547648627</v>
      </c>
      <c r="R660">
        <v>-1.8625523936223525</v>
      </c>
      <c r="S660" s="2">
        <v>3.4351704751159481E-4</v>
      </c>
      <c r="T660" s="2">
        <v>6.8350937303024353E-4</v>
      </c>
      <c r="U660" s="2">
        <v>1.2080192756147468E-3</v>
      </c>
      <c r="V660" s="2">
        <v>1.9559698832775909E-3</v>
      </c>
      <c r="W660" s="2">
        <v>2.9552321982383432E-3</v>
      </c>
      <c r="X660" s="2">
        <v>4.2130543647054836E-3</v>
      </c>
      <c r="Y660" s="2">
        <v>5.7045487420550808E-3</v>
      </c>
      <c r="Z660" s="2">
        <v>7.3611377919650467E-3</v>
      </c>
      <c r="AA660" s="2">
        <v>9.0625782607327687E-3</v>
      </c>
      <c r="AB660" s="2">
        <v>1.0637772708050242E-2</v>
      </c>
      <c r="AC660" s="2">
        <v>1.1879989161359114E-2</v>
      </c>
      <c r="AD660" s="2">
        <v>1.2579936595825663E-2</v>
      </c>
      <c r="AE660" s="2">
        <v>1.2574346870544902E-2</v>
      </c>
      <c r="AF660" s="2">
        <v>1.1798916710143969E-2</v>
      </c>
      <c r="AG660" s="2">
        <v>1.0326166813748433E-2</v>
      </c>
      <c r="AH660" s="2">
        <v>8.5003435802484661E-3</v>
      </c>
      <c r="AI660" s="2">
        <v>6.4703615292430097E-3</v>
      </c>
      <c r="AJ660" s="2">
        <v>1.6686513642111308E-3</v>
      </c>
      <c r="AK660" s="2">
        <v>0</v>
      </c>
      <c r="AL660" s="2">
        <v>0</v>
      </c>
      <c r="AM660" s="2">
        <v>0</v>
      </c>
      <c r="AN660" s="2">
        <v>0</v>
      </c>
      <c r="AO660" s="2">
        <v>0</v>
      </c>
      <c r="AP660" s="2">
        <v>0</v>
      </c>
      <c r="AQ660" s="2">
        <v>0</v>
      </c>
      <c r="AR660" s="2">
        <v>0.11992405227050583</v>
      </c>
    </row>
    <row r="661" spans="1:44" x14ac:dyDescent="0.25">
      <c r="A661" t="s">
        <v>250</v>
      </c>
      <c r="B661" t="s">
        <v>337</v>
      </c>
      <c r="C661" t="s">
        <v>44</v>
      </c>
      <c r="D661" t="s">
        <v>161</v>
      </c>
      <c r="E661" t="s">
        <v>134</v>
      </c>
      <c r="F661" t="s">
        <v>161</v>
      </c>
      <c r="G661" t="s">
        <v>31</v>
      </c>
      <c r="H661" t="s">
        <v>272</v>
      </c>
      <c r="I661" t="s">
        <v>135</v>
      </c>
      <c r="J661" t="s">
        <v>40</v>
      </c>
      <c r="K661" t="s">
        <v>31</v>
      </c>
      <c r="L661">
        <v>211.14</v>
      </c>
      <c r="M661">
        <v>1</v>
      </c>
      <c r="N661">
        <v>4.6734133238817801</v>
      </c>
      <c r="O661">
        <v>4.1746294160814532</v>
      </c>
      <c r="P661">
        <v>-1.7705282647850258</v>
      </c>
      <c r="Q661">
        <v>0.4672931329656026</v>
      </c>
      <c r="R661">
        <v>-1.7195523936223525</v>
      </c>
      <c r="S661" s="2">
        <v>3.3979277907516682E-5</v>
      </c>
      <c r="T661" s="2">
        <v>6.7609904972192693E-5</v>
      </c>
      <c r="U661" s="2">
        <v>1.1949224348862911E-4</v>
      </c>
      <c r="V661" s="2">
        <v>1.9347640742743306E-4</v>
      </c>
      <c r="W661" s="2">
        <v>2.9231928043336092E-4</v>
      </c>
      <c r="X661" s="2">
        <v>4.1673781879186572E-4</v>
      </c>
      <c r="Y661" s="2">
        <v>5.6427024058164582E-4</v>
      </c>
      <c r="Z661" s="2">
        <v>7.2813314087494144E-4</v>
      </c>
      <c r="AA661" s="2">
        <v>8.9643255701789834E-4</v>
      </c>
      <c r="AB661" s="2">
        <v>1.0522442416824591E-3</v>
      </c>
      <c r="AC661" s="2">
        <v>1.175119127787922E-3</v>
      </c>
      <c r="AD661" s="2">
        <v>1.2443550174437016E-3</v>
      </c>
      <c r="AE661" s="2">
        <v>1.2438021050624457E-3</v>
      </c>
      <c r="AF661" s="2">
        <v>1.1670997780338453E-3</v>
      </c>
      <c r="AG661" s="2">
        <v>1.0214214823556632E-3</v>
      </c>
      <c r="AH661" s="2">
        <v>8.4081864034095323E-4</v>
      </c>
      <c r="AI661" s="2">
        <v>6.4002125704352953E-4</v>
      </c>
      <c r="AJ661" s="2">
        <v>1.6505605426575396E-4</v>
      </c>
      <c r="AK661" s="2">
        <v>0</v>
      </c>
      <c r="AL661" s="2">
        <v>0</v>
      </c>
      <c r="AM661" s="2">
        <v>0</v>
      </c>
      <c r="AN661" s="2">
        <v>0</v>
      </c>
      <c r="AO661" s="2">
        <v>0</v>
      </c>
      <c r="AP661" s="2">
        <v>0</v>
      </c>
      <c r="AQ661" s="2">
        <v>0</v>
      </c>
      <c r="AR661" s="2">
        <v>1.1862388575511758E-2</v>
      </c>
    </row>
    <row r="662" spans="1:44" x14ac:dyDescent="0.25">
      <c r="A662" t="s">
        <v>250</v>
      </c>
      <c r="B662" t="s">
        <v>337</v>
      </c>
      <c r="C662" t="s">
        <v>44</v>
      </c>
      <c r="D662" t="s">
        <v>161</v>
      </c>
      <c r="E662" t="s">
        <v>134</v>
      </c>
      <c r="F662" t="s">
        <v>161</v>
      </c>
      <c r="G662" t="s">
        <v>31</v>
      </c>
      <c r="H662" t="s">
        <v>273</v>
      </c>
      <c r="I662" t="s">
        <v>135</v>
      </c>
      <c r="J662" t="s">
        <v>39</v>
      </c>
      <c r="K662" t="s">
        <v>31</v>
      </c>
      <c r="L662">
        <v>211.14</v>
      </c>
      <c r="M662">
        <v>1</v>
      </c>
      <c r="N662">
        <v>4.6734133238817801</v>
      </c>
      <c r="O662">
        <v>5.4674005771508307</v>
      </c>
      <c r="P662">
        <v>-1.7705282647850258</v>
      </c>
      <c r="Q662">
        <v>0.63367865547648627</v>
      </c>
      <c r="R662">
        <v>-1.8625523936223525</v>
      </c>
      <c r="S662" s="2">
        <v>1.0331500120962947E-4</v>
      </c>
      <c r="T662" s="2">
        <v>2.0556991920183854E-4</v>
      </c>
      <c r="U662" s="2">
        <v>3.6331970662149051E-4</v>
      </c>
      <c r="V662" s="2">
        <v>5.8827074906668835E-4</v>
      </c>
      <c r="W662" s="2">
        <v>8.8880543293975739E-4</v>
      </c>
      <c r="X662" s="2">
        <v>1.2671036850684673E-3</v>
      </c>
      <c r="Y662" s="2">
        <v>1.7156803845838767E-3</v>
      </c>
      <c r="Z662" s="2">
        <v>2.2139103878256517E-3</v>
      </c>
      <c r="AA662" s="2">
        <v>2.725629748952602E-3</v>
      </c>
      <c r="AB662" s="2">
        <v>3.199379792535267E-3</v>
      </c>
      <c r="AC662" s="2">
        <v>3.572984524253555E-3</v>
      </c>
      <c r="AD662" s="2">
        <v>3.7834982980602182E-3</v>
      </c>
      <c r="AE662" s="2">
        <v>3.7818171515834223E-3</v>
      </c>
      <c r="AF662" s="2">
        <v>3.5486014537304605E-3</v>
      </c>
      <c r="AG662" s="2">
        <v>3.1056622795910733E-3</v>
      </c>
      <c r="AH662" s="2">
        <v>2.5565339875774089E-3</v>
      </c>
      <c r="AI662" s="2">
        <v>1.9460035944734813E-3</v>
      </c>
      <c r="AJ662" s="2">
        <v>5.0185782324557965E-4</v>
      </c>
      <c r="AK662" s="2">
        <v>0</v>
      </c>
      <c r="AL662" s="2">
        <v>0</v>
      </c>
      <c r="AM662" s="2">
        <v>0</v>
      </c>
      <c r="AN662" s="2">
        <v>0</v>
      </c>
      <c r="AO662" s="2">
        <v>0</v>
      </c>
      <c r="AP662" s="2">
        <v>0</v>
      </c>
      <c r="AQ662" s="2">
        <v>0</v>
      </c>
      <c r="AR662" s="2">
        <v>3.606794392052047E-2</v>
      </c>
    </row>
    <row r="663" spans="1:44" x14ac:dyDescent="0.25">
      <c r="A663" t="s">
        <v>250</v>
      </c>
      <c r="B663" t="s">
        <v>337</v>
      </c>
      <c r="C663" t="s">
        <v>44</v>
      </c>
      <c r="D663" t="s">
        <v>161</v>
      </c>
      <c r="E663" t="s">
        <v>134</v>
      </c>
      <c r="F663" t="s">
        <v>161</v>
      </c>
      <c r="G663" t="s">
        <v>31</v>
      </c>
      <c r="H663" t="s">
        <v>274</v>
      </c>
      <c r="I663" t="s">
        <v>135</v>
      </c>
      <c r="J663" t="s">
        <v>39</v>
      </c>
      <c r="K663" t="s">
        <v>31</v>
      </c>
      <c r="L663">
        <v>211.14</v>
      </c>
      <c r="M663">
        <v>1</v>
      </c>
      <c r="N663">
        <v>4.6734133238817801</v>
      </c>
      <c r="O663">
        <v>5.4674005771508307</v>
      </c>
      <c r="P663">
        <v>-1.7705282647850258</v>
      </c>
      <c r="Q663">
        <v>0.63367865547648627</v>
      </c>
      <c r="R663">
        <v>-1.8625523936223525</v>
      </c>
      <c r="S663" s="2">
        <v>1.6263631256580784E-4</v>
      </c>
      <c r="T663" s="2">
        <v>3.2360386431783676E-4</v>
      </c>
      <c r="U663" s="2">
        <v>5.7193027803887763E-4</v>
      </c>
      <c r="V663" s="2">
        <v>9.2604350092786482E-4</v>
      </c>
      <c r="W663" s="2">
        <v>1.3991389102196092E-3</v>
      </c>
      <c r="X663" s="2">
        <v>1.9946481011014583E-3</v>
      </c>
      <c r="Y663" s="2">
        <v>2.7007881529618736E-3</v>
      </c>
      <c r="Z663" s="2">
        <v>3.4850913963261139E-3</v>
      </c>
      <c r="AA663" s="2">
        <v>4.2906293045467583E-3</v>
      </c>
      <c r="AB663" s="2">
        <v>5.0363967077706193E-3</v>
      </c>
      <c r="AC663" s="2">
        <v>5.6245174570557395E-3</v>
      </c>
      <c r="AD663" s="2">
        <v>5.9559038338197479E-3</v>
      </c>
      <c r="AE663" s="2">
        <v>5.9532574082216457E-3</v>
      </c>
      <c r="AF663" s="2">
        <v>5.5861341377654271E-3</v>
      </c>
      <c r="AG663" s="2">
        <v>4.8888685603609714E-3</v>
      </c>
      <c r="AH663" s="2">
        <v>4.024442296091244E-3</v>
      </c>
      <c r="AI663" s="2">
        <v>3.0633581294047005E-3</v>
      </c>
      <c r="AJ663" s="2">
        <v>7.9001408168552284E-4</v>
      </c>
      <c r="AK663" s="2">
        <v>0</v>
      </c>
      <c r="AL663" s="2">
        <v>0</v>
      </c>
      <c r="AM663" s="2">
        <v>0</v>
      </c>
      <c r="AN663" s="2">
        <v>0</v>
      </c>
      <c r="AO663" s="2">
        <v>0</v>
      </c>
      <c r="AP663" s="2">
        <v>0</v>
      </c>
      <c r="AQ663" s="2">
        <v>0</v>
      </c>
      <c r="AR663" s="2">
        <v>5.6777402433181808E-2</v>
      </c>
    </row>
    <row r="664" spans="1:44" x14ac:dyDescent="0.25">
      <c r="A664" t="s">
        <v>250</v>
      </c>
      <c r="B664" t="s">
        <v>337</v>
      </c>
      <c r="C664" t="s">
        <v>44</v>
      </c>
      <c r="D664" t="s">
        <v>161</v>
      </c>
      <c r="E664" t="s">
        <v>134</v>
      </c>
      <c r="F664" t="s">
        <v>161</v>
      </c>
      <c r="G664" t="s">
        <v>31</v>
      </c>
      <c r="H664" t="s">
        <v>274</v>
      </c>
      <c r="I664" t="s">
        <v>135</v>
      </c>
      <c r="J664" t="s">
        <v>39</v>
      </c>
      <c r="K664" t="s">
        <v>33</v>
      </c>
      <c r="L664">
        <v>211.14</v>
      </c>
      <c r="M664">
        <v>1</v>
      </c>
      <c r="N664">
        <v>4.6734133238817801</v>
      </c>
      <c r="O664">
        <v>5.4674005771508307</v>
      </c>
      <c r="P664">
        <v>-1.7705282647850258</v>
      </c>
      <c r="Q664">
        <v>0.63367865547648627</v>
      </c>
      <c r="R664">
        <v>-1.8625523936223525</v>
      </c>
      <c r="S664" s="2">
        <v>5.2327950965890759E-7</v>
      </c>
      <c r="T664" s="2">
        <v>1.0411898103964137E-6</v>
      </c>
      <c r="U664" s="2">
        <v>1.8401757315431545E-6</v>
      </c>
      <c r="V664" s="2">
        <v>2.9795288730016844E-6</v>
      </c>
      <c r="W664" s="2">
        <v>4.501705131737834E-6</v>
      </c>
      <c r="X664" s="2">
        <v>6.4177456056383746E-6</v>
      </c>
      <c r="Y664" s="2">
        <v>8.6897389523795494E-6</v>
      </c>
      <c r="Z664" s="2">
        <v>1.1213221009595188E-5</v>
      </c>
      <c r="AA664" s="2">
        <v>1.3805025232005845E-5</v>
      </c>
      <c r="AB664" s="2">
        <v>1.6204518893181142E-5</v>
      </c>
      <c r="AC664" s="2">
        <v>1.8096787184628168E-5</v>
      </c>
      <c r="AD664" s="2">
        <v>1.9163017093588669E-5</v>
      </c>
      <c r="AE664" s="2">
        <v>1.9154502265211931E-5</v>
      </c>
      <c r="AF664" s="2">
        <v>1.7973289521772657E-5</v>
      </c>
      <c r="AG664" s="2">
        <v>1.5729849642387778E-5</v>
      </c>
      <c r="AH664" s="2">
        <v>1.2948573157652455E-5</v>
      </c>
      <c r="AI664" s="2">
        <v>9.8563015514502516E-6</v>
      </c>
      <c r="AJ664" s="2">
        <v>2.5418565802810462E-6</v>
      </c>
      <c r="AK664" s="2">
        <v>0</v>
      </c>
      <c r="AL664" s="2">
        <v>0</v>
      </c>
      <c r="AM664" s="2">
        <v>0</v>
      </c>
      <c r="AN664" s="2">
        <v>0</v>
      </c>
      <c r="AO664" s="2">
        <v>0</v>
      </c>
      <c r="AP664" s="2">
        <v>0</v>
      </c>
      <c r="AQ664" s="2">
        <v>0</v>
      </c>
      <c r="AR664" s="2">
        <v>1.8268030574611105E-4</v>
      </c>
    </row>
    <row r="665" spans="1:44" x14ac:dyDescent="0.25">
      <c r="A665" t="s">
        <v>250</v>
      </c>
      <c r="B665" t="s">
        <v>337</v>
      </c>
      <c r="C665" t="s">
        <v>44</v>
      </c>
      <c r="D665" t="s">
        <v>161</v>
      </c>
      <c r="E665" t="s">
        <v>134</v>
      </c>
      <c r="F665" t="s">
        <v>161</v>
      </c>
      <c r="G665" t="s">
        <v>31</v>
      </c>
      <c r="H665" t="s">
        <v>275</v>
      </c>
      <c r="I665" t="s">
        <v>135</v>
      </c>
      <c r="J665" t="s">
        <v>39</v>
      </c>
      <c r="K665" t="s">
        <v>31</v>
      </c>
      <c r="L665">
        <v>211.14</v>
      </c>
      <c r="M665">
        <v>1</v>
      </c>
      <c r="N665">
        <v>4.6734133238817801</v>
      </c>
      <c r="O665">
        <v>5.4674005771508307</v>
      </c>
      <c r="P665">
        <v>-1.7705282647850258</v>
      </c>
      <c r="Q665">
        <v>0.63367865547648627</v>
      </c>
      <c r="R665">
        <v>-1.8625523936223525</v>
      </c>
      <c r="S665" s="2">
        <v>2.4845744532322361E-4</v>
      </c>
      <c r="T665" s="2">
        <v>4.9436554577932709E-4</v>
      </c>
      <c r="U665" s="2">
        <v>8.7373067885465107E-4</v>
      </c>
      <c r="V665" s="2">
        <v>1.4147049872740617E-3</v>
      </c>
      <c r="W665" s="2">
        <v>2.1374468825639571E-3</v>
      </c>
      <c r="X665" s="2">
        <v>3.0471987694504436E-3</v>
      </c>
      <c r="Y665" s="2">
        <v>4.1259600285921023E-3</v>
      </c>
      <c r="Z665" s="2">
        <v>5.3241302104581533E-3</v>
      </c>
      <c r="AA665" s="2">
        <v>6.5547403222468758E-3</v>
      </c>
      <c r="AB665" s="2">
        <v>7.6940397867213952E-3</v>
      </c>
      <c r="AC665" s="2">
        <v>8.5925044444824638E-3</v>
      </c>
      <c r="AD665" s="2">
        <v>9.0987592364582051E-3</v>
      </c>
      <c r="AE665" s="2">
        <v>9.0947163254196505E-3</v>
      </c>
      <c r="AF665" s="2">
        <v>8.5338667312716589E-3</v>
      </c>
      <c r="AG665" s="2">
        <v>7.4686628949289348E-3</v>
      </c>
      <c r="AH665" s="2">
        <v>6.1480897836574252E-3</v>
      </c>
      <c r="AI665" s="2">
        <v>4.6798536128519874E-3</v>
      </c>
      <c r="AJ665" s="2">
        <v>1.2068945576071185E-3</v>
      </c>
      <c r="AK665" s="2">
        <v>0</v>
      </c>
      <c r="AL665" s="2">
        <v>0</v>
      </c>
      <c r="AM665" s="2">
        <v>0</v>
      </c>
      <c r="AN665" s="2">
        <v>0</v>
      </c>
      <c r="AO665" s="2">
        <v>0</v>
      </c>
      <c r="AP665" s="2">
        <v>0</v>
      </c>
      <c r="AQ665" s="2">
        <v>0</v>
      </c>
      <c r="AR665" s="2">
        <v>8.6738122243941645E-2</v>
      </c>
    </row>
    <row r="666" spans="1:44" x14ac:dyDescent="0.25">
      <c r="A666" t="s">
        <v>250</v>
      </c>
      <c r="B666" t="s">
        <v>339</v>
      </c>
      <c r="C666" t="s">
        <v>44</v>
      </c>
      <c r="D666" t="s">
        <v>161</v>
      </c>
      <c r="E666" t="s">
        <v>134</v>
      </c>
      <c r="F666" t="s">
        <v>161</v>
      </c>
      <c r="G666" t="s">
        <v>31</v>
      </c>
      <c r="H666" t="s">
        <v>276</v>
      </c>
      <c r="I666" t="s">
        <v>135</v>
      </c>
      <c r="J666" t="s">
        <v>39</v>
      </c>
      <c r="K666" t="s">
        <v>31</v>
      </c>
      <c r="L666">
        <v>514.79499999999996</v>
      </c>
      <c r="M666">
        <v>1</v>
      </c>
      <c r="N666">
        <v>5.9099327880011625</v>
      </c>
      <c r="O666">
        <v>5.4639665376457431</v>
      </c>
      <c r="P666">
        <v>-1.9034258936939159</v>
      </c>
      <c r="Q666">
        <v>0.50078102656759549</v>
      </c>
      <c r="R666">
        <v>-1.862552393622352</v>
      </c>
      <c r="S666" s="2">
        <v>1.2174704821346517E-2</v>
      </c>
      <c r="T666" s="2">
        <v>2.4285329859538594E-2</v>
      </c>
      <c r="U666" s="2">
        <v>4.3029151535042352E-2</v>
      </c>
      <c r="V666" s="2">
        <v>6.9845827691387433E-2</v>
      </c>
      <c r="W666" s="2">
        <v>0.10579357686665559</v>
      </c>
      <c r="X666" s="2">
        <v>0.1512008178810629</v>
      </c>
      <c r="Y666" s="2">
        <v>0.20524271861656809</v>
      </c>
      <c r="Z666" s="2">
        <v>0.2655099475126404</v>
      </c>
      <c r="AA666" s="2">
        <v>0.32770042586290271</v>
      </c>
      <c r="AB666" s="2">
        <v>0.38562513084296263</v>
      </c>
      <c r="AC666" s="2">
        <v>0.4317377785997738</v>
      </c>
      <c r="AD666" s="2">
        <v>0.45832320546633587</v>
      </c>
      <c r="AE666" s="2">
        <v>0.45927014733774657</v>
      </c>
      <c r="AF666" s="2">
        <v>0.4320303951038883</v>
      </c>
      <c r="AG666" s="2">
        <v>0.37905365587703777</v>
      </c>
      <c r="AH666" s="2">
        <v>0.31281489148594377</v>
      </c>
      <c r="AI666" s="2">
        <v>0.23870904369292362</v>
      </c>
      <c r="AJ666" s="2">
        <v>0.16491306094696279</v>
      </c>
      <c r="AK666" s="2">
        <v>4.6741806878003077E-2</v>
      </c>
      <c r="AL666" s="2">
        <v>0</v>
      </c>
      <c r="AM666" s="2">
        <v>0</v>
      </c>
      <c r="AN666" s="2">
        <v>0</v>
      </c>
      <c r="AO666" s="2">
        <v>0</v>
      </c>
      <c r="AP666" s="2">
        <v>0</v>
      </c>
      <c r="AQ666" s="2">
        <v>0</v>
      </c>
      <c r="AR666" s="2">
        <v>4.5140016168787227</v>
      </c>
    </row>
    <row r="667" spans="1:44" x14ac:dyDescent="0.25">
      <c r="A667" t="s">
        <v>250</v>
      </c>
      <c r="B667" t="s">
        <v>338</v>
      </c>
      <c r="C667" t="s">
        <v>44</v>
      </c>
      <c r="D667" t="s">
        <v>161</v>
      </c>
      <c r="E667" t="s">
        <v>134</v>
      </c>
      <c r="F667" t="s">
        <v>161</v>
      </c>
      <c r="G667" t="s">
        <v>31</v>
      </c>
      <c r="H667" t="s">
        <v>277</v>
      </c>
      <c r="I667" t="s">
        <v>135</v>
      </c>
      <c r="J667" t="s">
        <v>39</v>
      </c>
      <c r="K667" t="s">
        <v>31</v>
      </c>
      <c r="L667">
        <v>514.79499999999996</v>
      </c>
      <c r="M667">
        <v>1</v>
      </c>
      <c r="N667">
        <v>5.9142263571638143</v>
      </c>
      <c r="O667">
        <v>5.4679361121017198</v>
      </c>
      <c r="P667">
        <v>-1.9034258936939168</v>
      </c>
      <c r="Q667">
        <v>0.5007810265675956</v>
      </c>
      <c r="R667">
        <v>-1.8625523936223525</v>
      </c>
      <c r="S667" s="2">
        <v>0</v>
      </c>
      <c r="T667" s="2">
        <v>0</v>
      </c>
      <c r="U667" s="2">
        <v>0</v>
      </c>
      <c r="V667" s="2">
        <v>0</v>
      </c>
      <c r="W667" s="2">
        <v>0</v>
      </c>
      <c r="X667" s="2">
        <v>0</v>
      </c>
      <c r="Y667" s="2">
        <v>0</v>
      </c>
      <c r="Z667" s="2">
        <v>0</v>
      </c>
      <c r="AA667" s="2">
        <v>0</v>
      </c>
      <c r="AB667" s="2">
        <v>0</v>
      </c>
      <c r="AC667" s="2">
        <v>0</v>
      </c>
      <c r="AD667" s="2">
        <v>0</v>
      </c>
      <c r="AE667" s="2">
        <v>0</v>
      </c>
      <c r="AF667" s="2">
        <v>0</v>
      </c>
      <c r="AG667" s="2">
        <v>0</v>
      </c>
      <c r="AH667" s="2">
        <v>0</v>
      </c>
      <c r="AI667" s="2">
        <v>0</v>
      </c>
      <c r="AJ667" s="2">
        <v>0</v>
      </c>
      <c r="AK667" s="2">
        <v>0</v>
      </c>
      <c r="AL667" s="2">
        <v>0</v>
      </c>
      <c r="AM667" s="2">
        <v>0</v>
      </c>
      <c r="AN667" s="2">
        <v>0</v>
      </c>
      <c r="AO667" s="2">
        <v>0</v>
      </c>
      <c r="AP667" s="2">
        <v>0</v>
      </c>
      <c r="AQ667" s="2">
        <v>0</v>
      </c>
      <c r="AR667" s="2">
        <v>0</v>
      </c>
    </row>
    <row r="668" spans="1:44" x14ac:dyDescent="0.25">
      <c r="A668" t="s">
        <v>250</v>
      </c>
      <c r="B668" t="s">
        <v>338</v>
      </c>
      <c r="C668" t="s">
        <v>44</v>
      </c>
      <c r="D668" t="s">
        <v>161</v>
      </c>
      <c r="E668" t="s">
        <v>134</v>
      </c>
      <c r="F668" t="s">
        <v>161</v>
      </c>
      <c r="G668" t="s">
        <v>31</v>
      </c>
      <c r="H668" t="s">
        <v>277</v>
      </c>
      <c r="I668" t="s">
        <v>135</v>
      </c>
      <c r="J668" t="s">
        <v>40</v>
      </c>
      <c r="K668" t="s">
        <v>31</v>
      </c>
      <c r="L668">
        <v>514.79499999999996</v>
      </c>
      <c r="M668">
        <v>1</v>
      </c>
      <c r="N668">
        <v>5.9142263571638143</v>
      </c>
      <c r="O668">
        <v>4.1746294160814523</v>
      </c>
      <c r="P668">
        <v>-1.9034258936939168</v>
      </c>
      <c r="Q668">
        <v>0.4672931329656026</v>
      </c>
      <c r="R668">
        <v>-1.719552393622352</v>
      </c>
      <c r="S668" s="2">
        <v>0</v>
      </c>
      <c r="T668" s="2">
        <v>0</v>
      </c>
      <c r="U668" s="2">
        <v>0</v>
      </c>
      <c r="V668" s="2">
        <v>0</v>
      </c>
      <c r="W668" s="2">
        <v>0</v>
      </c>
      <c r="X668" s="2">
        <v>0</v>
      </c>
      <c r="Y668" s="2">
        <v>0</v>
      </c>
      <c r="Z668" s="2">
        <v>0</v>
      </c>
      <c r="AA668" s="2">
        <v>0</v>
      </c>
      <c r="AB668" s="2">
        <v>0</v>
      </c>
      <c r="AC668" s="2">
        <v>0</v>
      </c>
      <c r="AD668" s="2">
        <v>0</v>
      </c>
      <c r="AE668" s="2">
        <v>0</v>
      </c>
      <c r="AF668" s="2">
        <v>0</v>
      </c>
      <c r="AG668" s="2">
        <v>0</v>
      </c>
      <c r="AH668" s="2">
        <v>0</v>
      </c>
      <c r="AI668" s="2">
        <v>0</v>
      </c>
      <c r="AJ668" s="2">
        <v>0</v>
      </c>
      <c r="AK668" s="2">
        <v>0</v>
      </c>
      <c r="AL668" s="2">
        <v>0</v>
      </c>
      <c r="AM668" s="2">
        <v>0</v>
      </c>
      <c r="AN668" s="2">
        <v>0</v>
      </c>
      <c r="AO668" s="2">
        <v>0</v>
      </c>
      <c r="AP668" s="2">
        <v>0</v>
      </c>
      <c r="AQ668" s="2">
        <v>0</v>
      </c>
      <c r="AR668" s="2">
        <v>0</v>
      </c>
    </row>
    <row r="669" spans="1:44" x14ac:dyDescent="0.25">
      <c r="A669" t="s">
        <v>250</v>
      </c>
      <c r="B669" t="s">
        <v>364</v>
      </c>
      <c r="C669" t="s">
        <v>45</v>
      </c>
      <c r="D669" t="s">
        <v>358</v>
      </c>
      <c r="E669" t="s">
        <v>145</v>
      </c>
      <c r="F669" t="s">
        <v>359</v>
      </c>
      <c r="G669" t="s">
        <v>31</v>
      </c>
      <c r="H669" t="s">
        <v>253</v>
      </c>
      <c r="I669" t="s">
        <v>135</v>
      </c>
      <c r="J669" t="s">
        <v>39</v>
      </c>
      <c r="K669" t="s">
        <v>31</v>
      </c>
      <c r="L669">
        <v>0.63</v>
      </c>
      <c r="M669">
        <v>1</v>
      </c>
      <c r="N669">
        <v>2.0844226675851618</v>
      </c>
      <c r="O669">
        <v>3.1590792310146649</v>
      </c>
      <c r="P669">
        <v>-0.39445929554307774</v>
      </c>
      <c r="Q669">
        <v>0.82091295210928661</v>
      </c>
      <c r="R669">
        <v>-0.67371772101320448</v>
      </c>
      <c r="S669" s="2">
        <v>2.735410168418273E-3</v>
      </c>
      <c r="T669" s="2">
        <v>5.3463723802314187E-3</v>
      </c>
      <c r="U669" s="2">
        <v>9.3866712008795934E-3</v>
      </c>
      <c r="V669" s="2">
        <v>1.5011975238567841E-2</v>
      </c>
      <c r="W669" s="2">
        <v>2.2129330680417197E-2</v>
      </c>
      <c r="X669" s="2">
        <v>3.0379649961624976E-2</v>
      </c>
      <c r="Y669" s="2">
        <v>3.9200933187131651E-2</v>
      </c>
      <c r="Z669" s="2">
        <v>4.7949371208273299E-2</v>
      </c>
      <c r="AA669" s="2">
        <v>5.603390411771237E-2</v>
      </c>
      <c r="AB669" s="2">
        <v>6.3020441238672245E-2</v>
      </c>
      <c r="AC669" s="2">
        <v>6.868050752018523E-2</v>
      </c>
      <c r="AD669" s="2">
        <v>7.2983283118968137E-2</v>
      </c>
      <c r="AE669" s="2">
        <v>7.6048155706844034E-2</v>
      </c>
      <c r="AF669" s="2">
        <v>7.8081576123890842E-2</v>
      </c>
      <c r="AG669" s="2">
        <v>7.9318509969941303E-2</v>
      </c>
      <c r="AH669" s="2">
        <v>7.9980103196943139E-2</v>
      </c>
      <c r="AI669" s="2">
        <v>8.0250382399093656E-2</v>
      </c>
      <c r="AJ669" s="2">
        <v>8.0351152418566621E-2</v>
      </c>
      <c r="AK669" s="2">
        <v>8.0343085033785636E-2</v>
      </c>
      <c r="AL669" s="2">
        <v>8.0013678385147127E-2</v>
      </c>
      <c r="AM669" s="2">
        <v>7.9685622303768022E-2</v>
      </c>
      <c r="AN669" s="2">
        <v>2.8871783105706105E-2</v>
      </c>
      <c r="AO669" s="2">
        <v>0</v>
      </c>
      <c r="AP669" s="2">
        <v>0</v>
      </c>
      <c r="AQ669" s="2">
        <v>0</v>
      </c>
      <c r="AR669" s="2">
        <v>1.1758018986647685</v>
      </c>
    </row>
    <row r="670" spans="1:44" x14ac:dyDescent="0.25">
      <c r="A670" t="s">
        <v>250</v>
      </c>
      <c r="B670" t="s">
        <v>364</v>
      </c>
      <c r="C670" t="s">
        <v>45</v>
      </c>
      <c r="D670" t="s">
        <v>358</v>
      </c>
      <c r="E670" t="s">
        <v>145</v>
      </c>
      <c r="F670" t="s">
        <v>359</v>
      </c>
      <c r="G670" t="s">
        <v>31</v>
      </c>
      <c r="H670" t="s">
        <v>253</v>
      </c>
      <c r="I670" t="s">
        <v>135</v>
      </c>
      <c r="J670" t="s">
        <v>40</v>
      </c>
      <c r="K670" t="s">
        <v>31</v>
      </c>
      <c r="L670">
        <v>0.63</v>
      </c>
      <c r="M670">
        <v>1</v>
      </c>
      <c r="N670">
        <v>2.0844226675851618</v>
      </c>
      <c r="O670">
        <v>1.979808521690356</v>
      </c>
      <c r="P670">
        <v>-0.39445929554307774</v>
      </c>
      <c r="Q670">
        <v>0.4672931329656026</v>
      </c>
      <c r="R670">
        <v>-0.53071772101320469</v>
      </c>
      <c r="S670" s="2">
        <v>1.4388826011977409E-3</v>
      </c>
      <c r="T670" s="2">
        <v>2.8123029907019155E-3</v>
      </c>
      <c r="U670" s="2">
        <v>4.9375841437042916E-3</v>
      </c>
      <c r="V670" s="2">
        <v>7.8966109835282416E-3</v>
      </c>
      <c r="W670" s="2">
        <v>1.1640487872652651E-2</v>
      </c>
      <c r="X670" s="2">
        <v>1.5980327288735753E-2</v>
      </c>
      <c r="Y670" s="2">
        <v>2.062050560640228E-2</v>
      </c>
      <c r="Z670" s="2">
        <v>2.5222365832562217E-2</v>
      </c>
      <c r="AA670" s="2">
        <v>2.9474998171400431E-2</v>
      </c>
      <c r="AB670" s="2">
        <v>3.3150061904816411E-2</v>
      </c>
      <c r="AC670" s="2">
        <v>3.6127374407388689E-2</v>
      </c>
      <c r="AD670" s="2">
        <v>3.8390723800992399E-2</v>
      </c>
      <c r="AE670" s="2">
        <v>4.0002910482353077E-2</v>
      </c>
      <c r="AF670" s="2">
        <v>4.1072531884214288E-2</v>
      </c>
      <c r="AG670" s="2">
        <v>4.1723184795599694E-2</v>
      </c>
      <c r="AH670" s="2">
        <v>4.2071196583518738E-2</v>
      </c>
      <c r="AI670" s="2">
        <v>4.2213369061317528E-2</v>
      </c>
      <c r="AJ670" s="2">
        <v>4.2266376185958673E-2</v>
      </c>
      <c r="AK670" s="2">
        <v>4.2262132573891796E-2</v>
      </c>
      <c r="AL670" s="2">
        <v>4.2088857830338847E-2</v>
      </c>
      <c r="AM670" s="2">
        <v>4.1916293513234455E-2</v>
      </c>
      <c r="AN670" s="2">
        <v>1.5187157983103579E-2</v>
      </c>
      <c r="AO670" s="2">
        <v>0</v>
      </c>
      <c r="AP670" s="2">
        <v>0</v>
      </c>
      <c r="AQ670" s="2">
        <v>0</v>
      </c>
      <c r="AR670" s="2">
        <v>0.61849623649761354</v>
      </c>
    </row>
    <row r="671" spans="1:44" x14ac:dyDescent="0.25">
      <c r="A671" t="s">
        <v>250</v>
      </c>
      <c r="B671" t="s">
        <v>364</v>
      </c>
      <c r="C671" t="s">
        <v>45</v>
      </c>
      <c r="D671" t="s">
        <v>358</v>
      </c>
      <c r="E671" t="s">
        <v>145</v>
      </c>
      <c r="F671" t="s">
        <v>359</v>
      </c>
      <c r="G671" t="s">
        <v>31</v>
      </c>
      <c r="H671" t="s">
        <v>253</v>
      </c>
      <c r="I671" t="s">
        <v>256</v>
      </c>
      <c r="J671" t="s">
        <v>39</v>
      </c>
      <c r="K671" t="s">
        <v>31</v>
      </c>
      <c r="L671">
        <v>0.63</v>
      </c>
      <c r="M671">
        <v>1</v>
      </c>
      <c r="N671">
        <v>1.7505233448428057</v>
      </c>
      <c r="O671">
        <v>2.6530329131883188</v>
      </c>
      <c r="P671">
        <v>-0.12035701680335814</v>
      </c>
      <c r="Q671">
        <v>0.4672931329656026</v>
      </c>
      <c r="R671">
        <v>-0.39961544227348489</v>
      </c>
      <c r="S671" s="2">
        <v>1.434889252907966E-3</v>
      </c>
      <c r="T671" s="2">
        <v>2.8044979721903989E-3</v>
      </c>
      <c r="U671" s="2">
        <v>4.9238808066985702E-3</v>
      </c>
      <c r="V671" s="2">
        <v>7.8746954235375654E-3</v>
      </c>
      <c r="W671" s="2">
        <v>1.1608181885840591E-2</v>
      </c>
      <c r="X671" s="2">
        <v>1.5935976893091661E-2</v>
      </c>
      <c r="Y671" s="2">
        <v>2.0563277267739294E-2</v>
      </c>
      <c r="Z671" s="2">
        <v>2.5152365895543247E-2</v>
      </c>
      <c r="AA671" s="2">
        <v>2.9393195852405882E-2</v>
      </c>
      <c r="AB671" s="2">
        <v>3.305806013698398E-2</v>
      </c>
      <c r="AC671" s="2">
        <v>3.6027109668150252E-2</v>
      </c>
      <c r="AD671" s="2">
        <v>3.8284177560801366E-2</v>
      </c>
      <c r="AE671" s="2">
        <v>3.9891889920962077E-2</v>
      </c>
      <c r="AF671" s="2">
        <v>4.0958542789607089E-2</v>
      </c>
      <c r="AG671" s="2">
        <v>4.1607389936096348E-2</v>
      </c>
      <c r="AH671" s="2">
        <v>4.195443588269037E-2</v>
      </c>
      <c r="AI671" s="2">
        <v>4.2096213787491607E-2</v>
      </c>
      <c r="AJ671" s="2">
        <v>4.2149073800818497E-2</v>
      </c>
      <c r="AK671" s="2">
        <v>4.2144841966099522E-2</v>
      </c>
      <c r="AL671" s="2">
        <v>4.1972048114038513E-2</v>
      </c>
      <c r="AM671" s="2">
        <v>4.1799962716770972E-2</v>
      </c>
      <c r="AN671" s="2">
        <v>1.5145008879828337E-2</v>
      </c>
      <c r="AO671" s="2">
        <v>0</v>
      </c>
      <c r="AP671" s="2">
        <v>0</v>
      </c>
      <c r="AQ671" s="2">
        <v>0</v>
      </c>
      <c r="AR671" s="2">
        <v>0.61677971641029417</v>
      </c>
    </row>
    <row r="672" spans="1:44" x14ac:dyDescent="0.25">
      <c r="A672" t="s">
        <v>250</v>
      </c>
      <c r="B672" t="s">
        <v>364</v>
      </c>
      <c r="C672" t="s">
        <v>45</v>
      </c>
      <c r="D672" t="s">
        <v>358</v>
      </c>
      <c r="E672" t="s">
        <v>148</v>
      </c>
      <c r="F672" t="s">
        <v>359</v>
      </c>
      <c r="G672" t="s">
        <v>31</v>
      </c>
      <c r="H672" t="s">
        <v>253</v>
      </c>
      <c r="I672" t="s">
        <v>135</v>
      </c>
      <c r="J672" t="s">
        <v>39</v>
      </c>
      <c r="K672" t="s">
        <v>31</v>
      </c>
      <c r="L672">
        <v>0.63</v>
      </c>
      <c r="M672">
        <v>1</v>
      </c>
      <c r="N672">
        <v>2.0844226675851618</v>
      </c>
      <c r="O672">
        <v>3.1590792310146649</v>
      </c>
      <c r="P672">
        <v>-0.39445929554307774</v>
      </c>
      <c r="Q672">
        <v>0.82091295210928661</v>
      </c>
      <c r="R672">
        <v>-0.67371772101320448</v>
      </c>
      <c r="S672" s="2">
        <v>4.6535482298853129E-4</v>
      </c>
      <c r="T672" s="2">
        <v>1.2434382463730597E-3</v>
      </c>
      <c r="U672" s="2">
        <v>2.2077719984903905E-3</v>
      </c>
      <c r="V672" s="2">
        <v>3.5708995618536554E-3</v>
      </c>
      <c r="W672" s="2">
        <v>5.3238363147457887E-3</v>
      </c>
      <c r="X672" s="2">
        <v>7.3922236566932049E-3</v>
      </c>
      <c r="Y672" s="2">
        <v>9.648144705477318E-3</v>
      </c>
      <c r="Z672" s="2">
        <v>1.1937252997804532E-2</v>
      </c>
      <c r="AA672" s="2">
        <v>1.4111244215482441E-2</v>
      </c>
      <c r="AB672" s="2">
        <v>1.6054897128258735E-2</v>
      </c>
      <c r="AC672" s="2">
        <v>1.7700674614756332E-2</v>
      </c>
      <c r="AD672" s="2">
        <v>1.9029543980922107E-2</v>
      </c>
      <c r="AE672" s="2">
        <v>2.0061371190774953E-2</v>
      </c>
      <c r="AF672" s="2">
        <v>2.0840377158979215E-2</v>
      </c>
      <c r="AG672" s="2">
        <v>2.1420747002926961E-2</v>
      </c>
      <c r="AH672" s="2">
        <v>2.1855609612922669E-2</v>
      </c>
      <c r="AI672" s="2">
        <v>2.2190478408624117E-2</v>
      </c>
      <c r="AJ672" s="2">
        <v>2.2483700811383674E-2</v>
      </c>
      <c r="AK672" s="2">
        <v>2.2750854789733571E-2</v>
      </c>
      <c r="AL672" s="2">
        <v>2.2930008926653103E-2</v>
      </c>
      <c r="AM672" s="2">
        <v>2.3111483676532332E-2</v>
      </c>
      <c r="AN672" s="2">
        <v>2.3295303786209975E-2</v>
      </c>
      <c r="AO672" s="2">
        <v>2.3481494285280367E-2</v>
      </c>
      <c r="AP672" s="2">
        <v>2.367008048924105E-2</v>
      </c>
      <c r="AQ672" s="2">
        <v>2.3861088002682263E-2</v>
      </c>
      <c r="AR672" s="2">
        <v>0.40063788038579035</v>
      </c>
    </row>
    <row r="673" spans="1:44" x14ac:dyDescent="0.25">
      <c r="A673" t="s">
        <v>250</v>
      </c>
      <c r="B673" t="s">
        <v>364</v>
      </c>
      <c r="C673" t="s">
        <v>45</v>
      </c>
      <c r="D673" t="s">
        <v>358</v>
      </c>
      <c r="E673" t="s">
        <v>148</v>
      </c>
      <c r="F673" t="s">
        <v>359</v>
      </c>
      <c r="G673" t="s">
        <v>31</v>
      </c>
      <c r="H673" t="s">
        <v>253</v>
      </c>
      <c r="I673" t="s">
        <v>135</v>
      </c>
      <c r="J673" t="s">
        <v>40</v>
      </c>
      <c r="K673" t="s">
        <v>31</v>
      </c>
      <c r="L673">
        <v>0.63</v>
      </c>
      <c r="M673">
        <v>1</v>
      </c>
      <c r="N673">
        <v>2.0844226675851618</v>
      </c>
      <c r="O673">
        <v>1.979808521690356</v>
      </c>
      <c r="P673">
        <v>-0.39445929554307774</v>
      </c>
      <c r="Q673">
        <v>0.4672931329656026</v>
      </c>
      <c r="R673">
        <v>-0.53071772101320469</v>
      </c>
      <c r="S673" s="2">
        <v>2.4478630880020344E-4</v>
      </c>
      <c r="T673" s="2">
        <v>6.5407436114218813E-4</v>
      </c>
      <c r="U673" s="2">
        <v>1.1613339574138746E-3</v>
      </c>
      <c r="V673" s="2">
        <v>1.8783673869089124E-3</v>
      </c>
      <c r="W673" s="2">
        <v>2.8004485518681914E-3</v>
      </c>
      <c r="X673" s="2">
        <v>3.8884632829776652E-3</v>
      </c>
      <c r="Y673" s="2">
        <v>5.0751246415732037E-3</v>
      </c>
      <c r="Z673" s="2">
        <v>6.2792431800340748E-3</v>
      </c>
      <c r="AA673" s="2">
        <v>7.4228077446428275E-3</v>
      </c>
      <c r="AB673" s="2">
        <v>8.445209573535159E-3</v>
      </c>
      <c r="AC673" s="2">
        <v>9.3109227371785761E-3</v>
      </c>
      <c r="AD673" s="2">
        <v>1.000993564292731E-2</v>
      </c>
      <c r="AE673" s="2">
        <v>1.0552698200748068E-2</v>
      </c>
      <c r="AF673" s="2">
        <v>1.0962471530839481E-2</v>
      </c>
      <c r="AG673" s="2">
        <v>1.1267758131129763E-2</v>
      </c>
      <c r="AH673" s="2">
        <v>1.1496504902147443E-2</v>
      </c>
      <c r="AI673" s="2">
        <v>1.1672652848580437E-2</v>
      </c>
      <c r="AJ673" s="2">
        <v>1.1826893926749588E-2</v>
      </c>
      <c r="AK673" s="2">
        <v>1.1967422471874933E-2</v>
      </c>
      <c r="AL673" s="2">
        <v>1.2061661271423932E-2</v>
      </c>
      <c r="AM673" s="2">
        <v>1.2157120761621348E-2</v>
      </c>
      <c r="AN673" s="2">
        <v>1.2253813959818479E-2</v>
      </c>
      <c r="AO673" s="2">
        <v>1.2351754032102286E-2</v>
      </c>
      <c r="AP673" s="2">
        <v>1.2450954294950618E-2</v>
      </c>
      <c r="AQ673" s="2">
        <v>1.2551428216909992E-2</v>
      </c>
      <c r="AR673" s="2">
        <v>0.21074385191789857</v>
      </c>
    </row>
    <row r="674" spans="1:44" x14ac:dyDescent="0.25">
      <c r="A674" t="s">
        <v>250</v>
      </c>
      <c r="B674" t="s">
        <v>364</v>
      </c>
      <c r="C674" t="s">
        <v>45</v>
      </c>
      <c r="D674" t="s">
        <v>358</v>
      </c>
      <c r="E674" t="s">
        <v>148</v>
      </c>
      <c r="F674" t="s">
        <v>359</v>
      </c>
      <c r="G674" t="s">
        <v>31</v>
      </c>
      <c r="H674" t="s">
        <v>253</v>
      </c>
      <c r="I674" t="s">
        <v>256</v>
      </c>
      <c r="J674" t="s">
        <v>39</v>
      </c>
      <c r="K674" t="s">
        <v>31</v>
      </c>
      <c r="L674">
        <v>0.63</v>
      </c>
      <c r="M674">
        <v>1</v>
      </c>
      <c r="N674">
        <v>1.7505233448428057</v>
      </c>
      <c r="O674">
        <v>2.6530329131883188</v>
      </c>
      <c r="P674">
        <v>-0.12035701680335814</v>
      </c>
      <c r="Q674">
        <v>0.4672931329656026</v>
      </c>
      <c r="R674">
        <v>-0.39961544227348489</v>
      </c>
      <c r="S674" s="2">
        <v>2.4410695039612387E-4</v>
      </c>
      <c r="T674" s="2">
        <v>6.5225910065514338E-4</v>
      </c>
      <c r="U674" s="2">
        <v>1.1581108932328039E-3</v>
      </c>
      <c r="V674" s="2">
        <v>1.8731543311767249E-3</v>
      </c>
      <c r="W674" s="2">
        <v>2.7926764331241689E-3</v>
      </c>
      <c r="X674" s="2">
        <v>3.8776715837883385E-3</v>
      </c>
      <c r="Y674" s="2">
        <v>5.0610395867598714E-3</v>
      </c>
      <c r="Z674" s="2">
        <v>6.2618163204743033E-3</v>
      </c>
      <c r="AA674" s="2">
        <v>7.4022071365128801E-3</v>
      </c>
      <c r="AB674" s="2">
        <v>8.4217714812409653E-3</v>
      </c>
      <c r="AC674" s="2">
        <v>9.2850820206686734E-3</v>
      </c>
      <c r="AD674" s="2">
        <v>9.9821549474437277E-3</v>
      </c>
      <c r="AE674" s="2">
        <v>1.0523411169771962E-2</v>
      </c>
      <c r="AF674" s="2">
        <v>1.0932047250983028E-2</v>
      </c>
      <c r="AG674" s="2">
        <v>1.1236486585678456E-2</v>
      </c>
      <c r="AH674" s="2">
        <v>1.1464598513015291E-2</v>
      </c>
      <c r="AI674" s="2">
        <v>1.1640257593921483E-2</v>
      </c>
      <c r="AJ674" s="2">
        <v>1.1794070604960599E-2</v>
      </c>
      <c r="AK674" s="2">
        <v>1.1934209139514615E-2</v>
      </c>
      <c r="AL674" s="2">
        <v>1.2028186396983231E-2</v>
      </c>
      <c r="AM674" s="2">
        <v>1.2123380957302633E-2</v>
      </c>
      <c r="AN674" s="2">
        <v>1.2219805801697183E-2</v>
      </c>
      <c r="AO674" s="2">
        <v>1.2317474059713313E-2</v>
      </c>
      <c r="AP674" s="2">
        <v>1.241639901087232E-2</v>
      </c>
      <c r="AQ674" s="2">
        <v>1.2516594086340638E-2</v>
      </c>
      <c r="AR674" s="2">
        <v>0.21015897195622843</v>
      </c>
    </row>
    <row r="675" spans="1:44" x14ac:dyDescent="0.25">
      <c r="A675" t="s">
        <v>250</v>
      </c>
      <c r="B675" t="s">
        <v>373</v>
      </c>
      <c r="C675" t="s">
        <v>45</v>
      </c>
      <c r="D675" t="s">
        <v>358</v>
      </c>
      <c r="E675" t="s">
        <v>145</v>
      </c>
      <c r="F675" t="s">
        <v>368</v>
      </c>
      <c r="G675" t="s">
        <v>31</v>
      </c>
      <c r="H675" t="s">
        <v>253</v>
      </c>
      <c r="I675" t="s">
        <v>135</v>
      </c>
      <c r="J675" t="s">
        <v>39</v>
      </c>
      <c r="K675" t="s">
        <v>31</v>
      </c>
      <c r="L675">
        <v>0.40754716981132122</v>
      </c>
      <c r="M675">
        <v>1</v>
      </c>
      <c r="N675">
        <v>3.8941300308350058</v>
      </c>
      <c r="O675">
        <v>3.1590792310146658</v>
      </c>
      <c r="P675">
        <v>-0.77595970828116723</v>
      </c>
      <c r="Q675">
        <v>0.43941253937119779</v>
      </c>
      <c r="R675">
        <v>-0.67371772101320504</v>
      </c>
      <c r="S675" s="2">
        <v>0</v>
      </c>
      <c r="T675" s="2">
        <v>0</v>
      </c>
      <c r="U675" s="2">
        <v>2.3301125002400005E-4</v>
      </c>
      <c r="V675" s="2">
        <v>4.3665141086640836E-4</v>
      </c>
      <c r="W675" s="2">
        <v>7.4413529898436867E-4</v>
      </c>
      <c r="X675" s="2">
        <v>1.1822149433966204E-3</v>
      </c>
      <c r="Y675" s="2">
        <v>1.7749663801002946E-3</v>
      </c>
      <c r="Z675" s="2">
        <v>2.5392162501665949E-3</v>
      </c>
      <c r="AA675" s="2">
        <v>3.4791392691242212E-3</v>
      </c>
      <c r="AB675" s="2">
        <v>4.5809493639052271E-3</v>
      </c>
      <c r="AC675" s="2">
        <v>5.8091967343346087E-3</v>
      </c>
      <c r="AD675" s="2">
        <v>7.1065442972273801E-3</v>
      </c>
      <c r="AE675" s="2">
        <v>8.3986490336107073E-3</v>
      </c>
      <c r="AF675" s="2">
        <v>9.6046010519596475E-3</v>
      </c>
      <c r="AG675" s="2">
        <v>1.0651327957258858E-2</v>
      </c>
      <c r="AH675" s="2">
        <v>1.1488143829222138E-2</v>
      </c>
      <c r="AI675" s="2">
        <v>1.2096464579900037E-2</v>
      </c>
      <c r="AJ675" s="2">
        <v>1.2525104134352615E-2</v>
      </c>
      <c r="AK675" s="2">
        <v>1.2733621024222638E-2</v>
      </c>
      <c r="AL675" s="2">
        <v>1.2888456658480854E-2</v>
      </c>
      <c r="AM675" s="2">
        <v>1.2887162636727992E-2</v>
      </c>
      <c r="AN675" s="2">
        <v>1.2834325269917408E-2</v>
      </c>
      <c r="AO675" s="2">
        <v>1.2781704536310742E-2</v>
      </c>
      <c r="AP675" s="2">
        <v>1.2729299547711875E-2</v>
      </c>
      <c r="AQ675" s="2">
        <v>0</v>
      </c>
      <c r="AR675" s="2">
        <v>0.1695048854578052</v>
      </c>
    </row>
    <row r="676" spans="1:44" x14ac:dyDescent="0.25">
      <c r="A676" t="s">
        <v>250</v>
      </c>
      <c r="B676" t="s">
        <v>373</v>
      </c>
      <c r="C676" t="s">
        <v>45</v>
      </c>
      <c r="D676" t="s">
        <v>358</v>
      </c>
      <c r="E676" t="s">
        <v>145</v>
      </c>
      <c r="F676" t="s">
        <v>368</v>
      </c>
      <c r="G676" t="s">
        <v>31</v>
      </c>
      <c r="H676" t="s">
        <v>253</v>
      </c>
      <c r="I676" t="s">
        <v>135</v>
      </c>
      <c r="J676" t="s">
        <v>40</v>
      </c>
      <c r="K676" t="s">
        <v>31</v>
      </c>
      <c r="L676">
        <v>0.40754716981132122</v>
      </c>
      <c r="M676">
        <v>1</v>
      </c>
      <c r="N676">
        <v>3.8941300308350058</v>
      </c>
      <c r="O676">
        <v>1.9798085216903556</v>
      </c>
      <c r="P676">
        <v>-0.77595970828116723</v>
      </c>
      <c r="Q676">
        <v>0.4672931329656026</v>
      </c>
      <c r="R676">
        <v>-0.53071772101320469</v>
      </c>
      <c r="S676" s="2">
        <v>0</v>
      </c>
      <c r="T676" s="2">
        <v>0</v>
      </c>
      <c r="U676" s="2">
        <v>1.2256876040522309E-4</v>
      </c>
      <c r="V676" s="2">
        <v>2.2968771745387795E-4</v>
      </c>
      <c r="W676" s="2">
        <v>3.9143063333160858E-4</v>
      </c>
      <c r="X676" s="2">
        <v>6.2186963131492519E-4</v>
      </c>
      <c r="Y676" s="2">
        <v>9.3366920673328471E-4</v>
      </c>
      <c r="Z676" s="2">
        <v>1.3356805225140933E-3</v>
      </c>
      <c r="AA676" s="2">
        <v>1.8300995657924975E-3</v>
      </c>
      <c r="AB676" s="2">
        <v>2.4096745756057979E-3</v>
      </c>
      <c r="AC676" s="2">
        <v>3.0557582202753071E-3</v>
      </c>
      <c r="AD676" s="2">
        <v>3.7381900023550382E-3</v>
      </c>
      <c r="AE676" s="2">
        <v>4.417863948724194E-3</v>
      </c>
      <c r="AF676" s="2">
        <v>5.0522197748140568E-3</v>
      </c>
      <c r="AG676" s="2">
        <v>5.6028198821140495E-3</v>
      </c>
      <c r="AH676" s="2">
        <v>6.0430024231003356E-3</v>
      </c>
      <c r="AI676" s="2">
        <v>6.3629917812608756E-3</v>
      </c>
      <c r="AJ676" s="2">
        <v>6.5884650957231117E-3</v>
      </c>
      <c r="AK676" s="2">
        <v>6.6981493135979519E-3</v>
      </c>
      <c r="AL676" s="2">
        <v>6.7795960753128087E-3</v>
      </c>
      <c r="AM676" s="2">
        <v>6.7789153929759295E-3</v>
      </c>
      <c r="AN676" s="2">
        <v>6.7511218398647269E-3</v>
      </c>
      <c r="AO676" s="2">
        <v>6.7234422403212833E-3</v>
      </c>
      <c r="AP676" s="2">
        <v>6.6958761271359649E-3</v>
      </c>
      <c r="AQ676" s="2">
        <v>0</v>
      </c>
      <c r="AR676" s="2">
        <v>8.9163092730726937E-2</v>
      </c>
    </row>
    <row r="677" spans="1:44" x14ac:dyDescent="0.25">
      <c r="A677" t="s">
        <v>250</v>
      </c>
      <c r="B677" t="s">
        <v>373</v>
      </c>
      <c r="C677" t="s">
        <v>45</v>
      </c>
      <c r="D677" t="s">
        <v>358</v>
      </c>
      <c r="E677" t="s">
        <v>145</v>
      </c>
      <c r="F677" t="s">
        <v>368</v>
      </c>
      <c r="G677" t="s">
        <v>31</v>
      </c>
      <c r="H677" t="s">
        <v>253</v>
      </c>
      <c r="I677" t="s">
        <v>256</v>
      </c>
      <c r="J677" t="s">
        <v>39</v>
      </c>
      <c r="K677" t="s">
        <v>31</v>
      </c>
      <c r="L677">
        <v>0.40754716981132122</v>
      </c>
      <c r="M677">
        <v>1</v>
      </c>
      <c r="N677">
        <v>3.2703374573869155</v>
      </c>
      <c r="O677">
        <v>2.6530329131883197</v>
      </c>
      <c r="P677">
        <v>-0.5018574295414473</v>
      </c>
      <c r="Q677">
        <v>0.4672931329656026</v>
      </c>
      <c r="R677">
        <v>-0.39961544227348522</v>
      </c>
      <c r="S677" s="2">
        <v>0</v>
      </c>
      <c r="T677" s="2">
        <v>0</v>
      </c>
      <c r="U677" s="2">
        <v>1.2222859384171294E-4</v>
      </c>
      <c r="V677" s="2">
        <v>2.2905026235301487E-4</v>
      </c>
      <c r="W677" s="2">
        <v>3.903442911596489E-4</v>
      </c>
      <c r="X677" s="2">
        <v>6.2014374900416043E-4</v>
      </c>
      <c r="Y677" s="2">
        <v>9.3107798328891176E-4</v>
      </c>
      <c r="Z677" s="2">
        <v>1.3319735922017611E-3</v>
      </c>
      <c r="AA677" s="2">
        <v>1.8250204683281936E-3</v>
      </c>
      <c r="AB677" s="2">
        <v>2.4029869766054356E-3</v>
      </c>
      <c r="AC677" s="2">
        <v>3.0472775375199905E-3</v>
      </c>
      <c r="AD677" s="2">
        <v>3.7278153584192984E-3</v>
      </c>
      <c r="AE677" s="2">
        <v>4.4056029974628387E-3</v>
      </c>
      <c r="AF677" s="2">
        <v>5.0381982881545296E-3</v>
      </c>
      <c r="AG677" s="2">
        <v>5.587270308315925E-3</v>
      </c>
      <c r="AH677" s="2">
        <v>6.0262312053711697E-3</v>
      </c>
      <c r="AI677" s="2">
        <v>6.3453324931949809E-3</v>
      </c>
      <c r="AJ677" s="2">
        <v>6.57018004883996E-3</v>
      </c>
      <c r="AK677" s="2">
        <v>6.6795598587780424E-3</v>
      </c>
      <c r="AL677" s="2">
        <v>6.760780580309822E-3</v>
      </c>
      <c r="AM677" s="2">
        <v>6.7601017870788666E-3</v>
      </c>
      <c r="AN677" s="2">
        <v>6.7323853697518442E-3</v>
      </c>
      <c r="AO677" s="2">
        <v>6.7047825897358602E-3</v>
      </c>
      <c r="AP677" s="2">
        <v>6.6772929811179443E-3</v>
      </c>
      <c r="AQ677" s="2">
        <v>0</v>
      </c>
      <c r="AR677" s="2">
        <v>8.8915637320833907E-2</v>
      </c>
    </row>
    <row r="678" spans="1:44" x14ac:dyDescent="0.25">
      <c r="A678" t="s">
        <v>250</v>
      </c>
      <c r="B678" t="s">
        <v>373</v>
      </c>
      <c r="C678" t="s">
        <v>45</v>
      </c>
      <c r="D678" t="s">
        <v>358</v>
      </c>
      <c r="E678" t="s">
        <v>148</v>
      </c>
      <c r="F678" t="s">
        <v>368</v>
      </c>
      <c r="G678" t="s">
        <v>31</v>
      </c>
      <c r="H678" t="s">
        <v>253</v>
      </c>
      <c r="I678" t="s">
        <v>135</v>
      </c>
      <c r="J678" t="s">
        <v>39</v>
      </c>
      <c r="K678" t="s">
        <v>31</v>
      </c>
      <c r="L678">
        <v>0.40754716981132122</v>
      </c>
      <c r="M678">
        <v>1</v>
      </c>
      <c r="N678">
        <v>3.8941300308350058</v>
      </c>
      <c r="O678">
        <v>3.1590792310146658</v>
      </c>
      <c r="P678">
        <v>-0.77595970828116723</v>
      </c>
      <c r="Q678">
        <v>0.43941253937119779</v>
      </c>
      <c r="R678">
        <v>-0.67371772101320504</v>
      </c>
      <c r="S678" s="2">
        <v>0</v>
      </c>
      <c r="T678" s="2">
        <v>0</v>
      </c>
      <c r="U678" s="2">
        <v>6.5765897468063995E-5</v>
      </c>
      <c r="V678" s="2">
        <v>1.2463956064140619E-4</v>
      </c>
      <c r="W678" s="2">
        <v>2.1482734846506492E-4</v>
      </c>
      <c r="X678" s="2">
        <v>3.4519939299808571E-4</v>
      </c>
      <c r="Y678" s="2">
        <v>5.2422626984359151E-4</v>
      </c>
      <c r="Z678" s="2">
        <v>7.5858179652154092E-4</v>
      </c>
      <c r="AA678" s="2">
        <v>1.0513988198962855E-3</v>
      </c>
      <c r="AB678" s="2">
        <v>1.4004345766236075E-3</v>
      </c>
      <c r="AC678" s="2">
        <v>1.7966093416652376E-3</v>
      </c>
      <c r="AD678" s="2">
        <v>2.2235387306874265E-3</v>
      </c>
      <c r="AE678" s="2">
        <v>2.6586588068824571E-3</v>
      </c>
      <c r="AF678" s="2">
        <v>3.076221331394814E-3</v>
      </c>
      <c r="AG678" s="2">
        <v>3.451795574638635E-3</v>
      </c>
      <c r="AH678" s="2">
        <v>3.7671427268403221E-3</v>
      </c>
      <c r="AI678" s="2">
        <v>4.013832628176831E-3</v>
      </c>
      <c r="AJ678" s="2">
        <v>4.2056998887269872E-3</v>
      </c>
      <c r="AK678" s="2">
        <v>4.326955024160653E-3</v>
      </c>
      <c r="AL678" s="2">
        <v>4.4322285718278948E-3</v>
      </c>
      <c r="AM678" s="2">
        <v>4.4852475059577622E-3</v>
      </c>
      <c r="AN678" s="2">
        <v>4.5209214895070623E-3</v>
      </c>
      <c r="AO678" s="2">
        <v>4.5570554947174883E-3</v>
      </c>
      <c r="AP678" s="2">
        <v>4.5936544345696962E-3</v>
      </c>
      <c r="AQ678" s="2">
        <v>0</v>
      </c>
      <c r="AR678" s="2">
        <v>5.6594635212210913E-2</v>
      </c>
    </row>
    <row r="679" spans="1:44" x14ac:dyDescent="0.25">
      <c r="A679" t="s">
        <v>250</v>
      </c>
      <c r="B679" t="s">
        <v>373</v>
      </c>
      <c r="C679" t="s">
        <v>45</v>
      </c>
      <c r="D679" t="s">
        <v>358</v>
      </c>
      <c r="E679" t="s">
        <v>148</v>
      </c>
      <c r="F679" t="s">
        <v>368</v>
      </c>
      <c r="G679" t="s">
        <v>31</v>
      </c>
      <c r="H679" t="s">
        <v>253</v>
      </c>
      <c r="I679" t="s">
        <v>135</v>
      </c>
      <c r="J679" t="s">
        <v>40</v>
      </c>
      <c r="K679" t="s">
        <v>31</v>
      </c>
      <c r="L679">
        <v>0.40754716981132122</v>
      </c>
      <c r="M679">
        <v>1</v>
      </c>
      <c r="N679">
        <v>3.8941300308350058</v>
      </c>
      <c r="O679">
        <v>1.9798085216903556</v>
      </c>
      <c r="P679">
        <v>-0.77595970828116723</v>
      </c>
      <c r="Q679">
        <v>0.4672931329656026</v>
      </c>
      <c r="R679">
        <v>-0.53071772101320469</v>
      </c>
      <c r="S679" s="2">
        <v>0</v>
      </c>
      <c r="T679" s="2">
        <v>0</v>
      </c>
      <c r="U679" s="2">
        <v>3.4594228942882543E-5</v>
      </c>
      <c r="V679" s="2">
        <v>6.5562999398936322E-5</v>
      </c>
      <c r="W679" s="2">
        <v>1.1300365025204595E-4</v>
      </c>
      <c r="X679" s="2">
        <v>1.8158205532159026E-4</v>
      </c>
      <c r="Y679" s="2">
        <v>2.7575391342677779E-4</v>
      </c>
      <c r="Z679" s="2">
        <v>3.990297912913415E-4</v>
      </c>
      <c r="AA679" s="2">
        <v>5.5305763147885957E-4</v>
      </c>
      <c r="AB679" s="2">
        <v>7.3665769385680658E-4</v>
      </c>
      <c r="AC679" s="2">
        <v>9.4505385434252148E-4</v>
      </c>
      <c r="AD679" s="2">
        <v>1.1696275862443923E-3</v>
      </c>
      <c r="AE679" s="2">
        <v>1.3985097898339487E-3</v>
      </c>
      <c r="AF679" s="2">
        <v>1.6181563563232827E-3</v>
      </c>
      <c r="AG679" s="2">
        <v>1.8157162141832729E-3</v>
      </c>
      <c r="AH679" s="2">
        <v>1.9815953703986987E-3</v>
      </c>
      <c r="AI679" s="2">
        <v>2.1113593856906111E-3</v>
      </c>
      <c r="AJ679" s="2">
        <v>2.2122855524982204E-3</v>
      </c>
      <c r="AK679" s="2">
        <v>2.2760682738962165E-3</v>
      </c>
      <c r="AL679" s="2">
        <v>2.331444347968609E-3</v>
      </c>
      <c r="AM679" s="2">
        <v>2.3593334092634447E-3</v>
      </c>
      <c r="AN679" s="2">
        <v>2.3780986660564192E-3</v>
      </c>
      <c r="AO679" s="2">
        <v>2.3971059038042199E-3</v>
      </c>
      <c r="AP679" s="2">
        <v>2.4163577068367806E-3</v>
      </c>
      <c r="AQ679" s="2">
        <v>0</v>
      </c>
      <c r="AR679" s="2">
        <v>2.9769954381309881E-2</v>
      </c>
    </row>
    <row r="680" spans="1:44" x14ac:dyDescent="0.25">
      <c r="A680" t="s">
        <v>250</v>
      </c>
      <c r="B680" t="s">
        <v>373</v>
      </c>
      <c r="C680" t="s">
        <v>45</v>
      </c>
      <c r="D680" t="s">
        <v>358</v>
      </c>
      <c r="E680" t="s">
        <v>148</v>
      </c>
      <c r="F680" t="s">
        <v>368</v>
      </c>
      <c r="G680" t="s">
        <v>31</v>
      </c>
      <c r="H680" t="s">
        <v>253</v>
      </c>
      <c r="I680" t="s">
        <v>256</v>
      </c>
      <c r="J680" t="s">
        <v>39</v>
      </c>
      <c r="K680" t="s">
        <v>31</v>
      </c>
      <c r="L680">
        <v>0.40754716981132122</v>
      </c>
      <c r="M680">
        <v>1</v>
      </c>
      <c r="N680">
        <v>3.2703374573869155</v>
      </c>
      <c r="O680">
        <v>2.6530329131883197</v>
      </c>
      <c r="P680">
        <v>-0.5018574295414473</v>
      </c>
      <c r="Q680">
        <v>0.4672931329656026</v>
      </c>
      <c r="R680">
        <v>-0.39961544227348522</v>
      </c>
      <c r="S680" s="2">
        <v>0</v>
      </c>
      <c r="T680" s="2">
        <v>0</v>
      </c>
      <c r="U680" s="2">
        <v>3.4498219160798973E-5</v>
      </c>
      <c r="V680" s="2">
        <v>6.5381041613564824E-5</v>
      </c>
      <c r="W680" s="2">
        <v>1.1269002985445613E-4</v>
      </c>
      <c r="X680" s="2">
        <v>1.8107810844679561E-4</v>
      </c>
      <c r="Y680" s="2">
        <v>2.7498861025495187E-4</v>
      </c>
      <c r="Z680" s="2">
        <v>3.9792235908436623E-4</v>
      </c>
      <c r="AA680" s="2">
        <v>5.5152272394368932E-4</v>
      </c>
      <c r="AB680" s="2">
        <v>7.3461323884743072E-4</v>
      </c>
      <c r="AC680" s="2">
        <v>9.4243103494792571E-4</v>
      </c>
      <c r="AD680" s="2">
        <v>1.1663815046548858E-3</v>
      </c>
      <c r="AE680" s="2">
        <v>1.3946284886959756E-3</v>
      </c>
      <c r="AF680" s="2">
        <v>1.6136654674121663E-3</v>
      </c>
      <c r="AG680" s="2">
        <v>1.8106770350086996E-3</v>
      </c>
      <c r="AH680" s="2">
        <v>1.9760958247951824E-3</v>
      </c>
      <c r="AI680" s="2">
        <v>2.1054997044456288E-3</v>
      </c>
      <c r="AJ680" s="2">
        <v>2.206145769641578E-3</v>
      </c>
      <c r="AK680" s="2">
        <v>2.2697514740812725E-3</v>
      </c>
      <c r="AL680" s="2">
        <v>2.3249738622653968E-3</v>
      </c>
      <c r="AM680" s="2">
        <v>2.352785522711026E-3</v>
      </c>
      <c r="AN680" s="2">
        <v>2.3714987000598335E-3</v>
      </c>
      <c r="AO680" s="2">
        <v>2.3904531867907268E-3</v>
      </c>
      <c r="AP680" s="2">
        <v>2.4096515600614769E-3</v>
      </c>
      <c r="AQ680" s="2">
        <v>0</v>
      </c>
      <c r="AR680" s="2">
        <v>2.9687333466777825E-2</v>
      </c>
    </row>
    <row r="681" spans="1:44" x14ac:dyDescent="0.25">
      <c r="A681" t="s">
        <v>250</v>
      </c>
      <c r="B681" t="s">
        <v>365</v>
      </c>
      <c r="C681" t="s">
        <v>45</v>
      </c>
      <c r="D681" t="s">
        <v>358</v>
      </c>
      <c r="E681" t="s">
        <v>145</v>
      </c>
      <c r="F681" t="s">
        <v>359</v>
      </c>
      <c r="G681" t="s">
        <v>31</v>
      </c>
      <c r="H681" t="s">
        <v>252</v>
      </c>
      <c r="I681" t="s">
        <v>135</v>
      </c>
      <c r="J681" t="s">
        <v>39</v>
      </c>
      <c r="K681" t="s">
        <v>31</v>
      </c>
      <c r="L681">
        <v>1.9</v>
      </c>
      <c r="M681">
        <v>1</v>
      </c>
      <c r="N681">
        <v>3.6463650483715906</v>
      </c>
      <c r="O681">
        <v>3.1557944646272507</v>
      </c>
      <c r="P681">
        <v>-0.74659023207454367</v>
      </c>
      <c r="Q681">
        <v>0.4687820155778209</v>
      </c>
      <c r="R681">
        <v>-0.67371772101320515</v>
      </c>
      <c r="S681" s="2">
        <v>2.7433734070226781E-2</v>
      </c>
      <c r="T681" s="2">
        <v>5.3640901729342549E-2</v>
      </c>
      <c r="U681" s="2">
        <v>9.4215610994971125E-2</v>
      </c>
      <c r="V681" s="2">
        <v>0.15073826100160914</v>
      </c>
      <c r="W681" s="2">
        <v>0.22229430562755095</v>
      </c>
      <c r="X681" s="2">
        <v>0.30529326445309085</v>
      </c>
      <c r="Y681" s="2">
        <v>0.39409893457425171</v>
      </c>
      <c r="Z681" s="2">
        <v>0.48224326327172556</v>
      </c>
      <c r="AA681" s="2">
        <v>0.56377853102077025</v>
      </c>
      <c r="AB681" s="2">
        <v>0.63432742520042229</v>
      </c>
      <c r="AC681" s="2">
        <v>0.69157604666307737</v>
      </c>
      <c r="AD681" s="2">
        <v>0.73519787125245017</v>
      </c>
      <c r="AE681" s="2">
        <v>0.76637958783879179</v>
      </c>
      <c r="AF681" s="2">
        <v>0.78718754141361225</v>
      </c>
      <c r="AG681" s="2">
        <v>0.79997899876707501</v>
      </c>
      <c r="AH681" s="2">
        <v>0.80697558773248257</v>
      </c>
      <c r="AI681" s="2">
        <v>0.81002783937824341</v>
      </c>
      <c r="AJ681" s="2">
        <v>0.81137074102760665</v>
      </c>
      <c r="AK681" s="2">
        <v>0.81161512980502448</v>
      </c>
      <c r="AL681" s="2">
        <v>0.80861215382474583</v>
      </c>
      <c r="AM681" s="2">
        <v>0.80562028885559422</v>
      </c>
      <c r="AN681" s="2">
        <v>0.34384076880292819</v>
      </c>
      <c r="AO681" s="2">
        <v>0</v>
      </c>
      <c r="AP681" s="2">
        <v>0</v>
      </c>
      <c r="AQ681" s="2">
        <v>0</v>
      </c>
      <c r="AR681" s="2">
        <v>11.906446787305596</v>
      </c>
    </row>
    <row r="682" spans="1:44" x14ac:dyDescent="0.25">
      <c r="A682" t="s">
        <v>250</v>
      </c>
      <c r="B682" t="s">
        <v>365</v>
      </c>
      <c r="C682" t="s">
        <v>45</v>
      </c>
      <c r="D682" t="s">
        <v>358</v>
      </c>
      <c r="E682" t="s">
        <v>148</v>
      </c>
      <c r="F682" t="s">
        <v>359</v>
      </c>
      <c r="G682" t="s">
        <v>31</v>
      </c>
      <c r="H682" t="s">
        <v>252</v>
      </c>
      <c r="I682" t="s">
        <v>135</v>
      </c>
      <c r="J682" t="s">
        <v>39</v>
      </c>
      <c r="K682" t="s">
        <v>31</v>
      </c>
      <c r="L682">
        <v>1.9</v>
      </c>
      <c r="M682">
        <v>1</v>
      </c>
      <c r="N682">
        <v>3.6463650483715906</v>
      </c>
      <c r="O682">
        <v>3.1557944646272507</v>
      </c>
      <c r="P682">
        <v>-0.74659023207454367</v>
      </c>
      <c r="Q682">
        <v>0.4687820155778209</v>
      </c>
      <c r="R682">
        <v>-0.67371772101320515</v>
      </c>
      <c r="S682" s="2">
        <v>4.6670954906725725E-3</v>
      </c>
      <c r="T682" s="2">
        <v>1.21475403794889E-2</v>
      </c>
      <c r="U682" s="2">
        <v>2.1576933867838318E-2</v>
      </c>
      <c r="V682" s="2">
        <v>3.4912632131061938E-2</v>
      </c>
      <c r="W682" s="2">
        <v>5.2071150634891331E-2</v>
      </c>
      <c r="X682" s="2">
        <v>7.2329120529160462E-2</v>
      </c>
      <c r="Y682" s="2">
        <v>9.4437741343936163E-2</v>
      </c>
      <c r="Z682" s="2">
        <v>0.11688747516346008</v>
      </c>
      <c r="AA682" s="2">
        <v>0.13822569799194082</v>
      </c>
      <c r="AB682" s="2">
        <v>0.15732184538722135</v>
      </c>
      <c r="AC682" s="2">
        <v>0.1735111830563924</v>
      </c>
      <c r="AD682" s="2">
        <v>0.1866037282356223</v>
      </c>
      <c r="AE682" s="2">
        <v>0.19679088439914727</v>
      </c>
      <c r="AF682" s="2">
        <v>0.20450339496524336</v>
      </c>
      <c r="AG682" s="2">
        <v>0.2102704815413205</v>
      </c>
      <c r="AH682" s="2">
        <v>0.21461177571362888</v>
      </c>
      <c r="AI682" s="2">
        <v>0.21797284942234371</v>
      </c>
      <c r="AJ682" s="2">
        <v>0.22092600761942466</v>
      </c>
      <c r="AK682" s="2">
        <v>0.22362393502321382</v>
      </c>
      <c r="AL682" s="2">
        <v>0.2254574190466595</v>
      </c>
      <c r="AM682" s="2">
        <v>0.22731395926157158</v>
      </c>
      <c r="AN682" s="2">
        <v>0.22919380499607933</v>
      </c>
      <c r="AO682" s="2">
        <v>0.23109720840848558</v>
      </c>
      <c r="AP682" s="2">
        <v>0.23302442451892916</v>
      </c>
      <c r="AQ682" s="2">
        <v>0.2349757112413037</v>
      </c>
      <c r="AR682" s="2">
        <v>3.9344540003690378</v>
      </c>
    </row>
    <row r="683" spans="1:44" x14ac:dyDescent="0.25">
      <c r="A683" t="s">
        <v>250</v>
      </c>
      <c r="B683" t="s">
        <v>374</v>
      </c>
      <c r="C683" t="s">
        <v>45</v>
      </c>
      <c r="D683" t="s">
        <v>358</v>
      </c>
      <c r="E683" t="s">
        <v>145</v>
      </c>
      <c r="F683" t="s">
        <v>368</v>
      </c>
      <c r="G683" t="s">
        <v>31</v>
      </c>
      <c r="H683" t="s">
        <v>252</v>
      </c>
      <c r="I683" t="s">
        <v>135</v>
      </c>
      <c r="J683" t="s">
        <v>39</v>
      </c>
      <c r="K683" t="s">
        <v>31</v>
      </c>
      <c r="L683">
        <v>1.2291105121293815</v>
      </c>
      <c r="M683">
        <v>1</v>
      </c>
      <c r="N683">
        <v>5.0188091618005437</v>
      </c>
      <c r="O683">
        <v>3.1557944646272493</v>
      </c>
      <c r="P683">
        <v>-0.87478341436528484</v>
      </c>
      <c r="Q683">
        <v>0.3405888332870794</v>
      </c>
      <c r="R683">
        <v>-0.67371772101320493</v>
      </c>
      <c r="S683" s="2">
        <v>0</v>
      </c>
      <c r="T683" s="2">
        <v>0</v>
      </c>
      <c r="U683" s="2">
        <v>2.3387734394761761E-3</v>
      </c>
      <c r="V683" s="2">
        <v>4.384504589962329E-3</v>
      </c>
      <c r="W683" s="2">
        <v>7.4750132288032558E-3</v>
      </c>
      <c r="X683" s="2">
        <v>1.1880395587529506E-2</v>
      </c>
      <c r="Y683" s="2">
        <v>1.7844278246219637E-2</v>
      </c>
      <c r="Z683" s="2">
        <v>2.5537768270497196E-2</v>
      </c>
      <c r="AA683" s="2">
        <v>3.5004950257312345E-2</v>
      </c>
      <c r="AB683" s="2">
        <v>4.6109195014591077E-2</v>
      </c>
      <c r="AC683" s="2">
        <v>5.8495509961664804E-2</v>
      </c>
      <c r="AD683" s="2">
        <v>7.1587848833357337E-2</v>
      </c>
      <c r="AE683" s="2">
        <v>8.4637860378801791E-2</v>
      </c>
      <c r="AF683" s="2">
        <v>9.6829785766035056E-2</v>
      </c>
      <c r="AG683" s="2">
        <v>0.10742560189313657</v>
      </c>
      <c r="AH683" s="2">
        <v>0.11591197370318169</v>
      </c>
      <c r="AI683" s="2">
        <v>0.12209877105685346</v>
      </c>
      <c r="AJ683" s="2">
        <v>0.12647613278772823</v>
      </c>
      <c r="AK683" s="2">
        <v>0.12863334132758894</v>
      </c>
      <c r="AL683" s="2">
        <v>0.13024976364573276</v>
      </c>
      <c r="AM683" s="2">
        <v>0.13028899550225259</v>
      </c>
      <c r="AN683" s="2">
        <v>0.12980692621889425</v>
      </c>
      <c r="AO683" s="2">
        <v>0.12932664059188434</v>
      </c>
      <c r="AP683" s="2">
        <v>0.12884813202169434</v>
      </c>
      <c r="AQ683" s="2">
        <v>0</v>
      </c>
      <c r="AR683" s="2">
        <v>1.7111921623231976</v>
      </c>
    </row>
    <row r="684" spans="1:44" x14ac:dyDescent="0.25">
      <c r="A684" t="s">
        <v>250</v>
      </c>
      <c r="B684" t="s">
        <v>374</v>
      </c>
      <c r="C684" t="s">
        <v>45</v>
      </c>
      <c r="D684" t="s">
        <v>358</v>
      </c>
      <c r="E684" t="s">
        <v>148</v>
      </c>
      <c r="F684" t="s">
        <v>368</v>
      </c>
      <c r="G684" t="s">
        <v>31</v>
      </c>
      <c r="H684" t="s">
        <v>252</v>
      </c>
      <c r="I684" t="s">
        <v>135</v>
      </c>
      <c r="J684" t="s">
        <v>39</v>
      </c>
      <c r="K684" t="s">
        <v>31</v>
      </c>
      <c r="L684">
        <v>1.2291105121293815</v>
      </c>
      <c r="M684">
        <v>1</v>
      </c>
      <c r="N684">
        <v>5.0188091618005437</v>
      </c>
      <c r="O684">
        <v>3.1557944646272493</v>
      </c>
      <c r="P684">
        <v>-0.87478341436528484</v>
      </c>
      <c r="Q684">
        <v>0.3405888332870794</v>
      </c>
      <c r="R684">
        <v>-0.67371772101320493</v>
      </c>
      <c r="S684" s="2">
        <v>0</v>
      </c>
      <c r="T684" s="2">
        <v>0</v>
      </c>
      <c r="U684" s="2">
        <v>6.4274137972478195E-4</v>
      </c>
      <c r="V684" s="2">
        <v>1.2185991384735951E-3</v>
      </c>
      <c r="W684" s="2">
        <v>2.1011741460636607E-3</v>
      </c>
      <c r="X684" s="2">
        <v>3.3775991720900672E-3</v>
      </c>
      <c r="Y684" s="2">
        <v>5.1312191502559347E-3</v>
      </c>
      <c r="Z684" s="2">
        <v>7.4278991085027892E-3</v>
      </c>
      <c r="AA684" s="2">
        <v>1.0298903025759757E-2</v>
      </c>
      <c r="AB684" s="2">
        <v>1.3722850428652549E-2</v>
      </c>
      <c r="AC684" s="2">
        <v>1.7611295566250539E-2</v>
      </c>
      <c r="AD684" s="2">
        <v>2.1804023125228444E-2</v>
      </c>
      <c r="AE684" s="2">
        <v>2.6079962976935968E-2</v>
      </c>
      <c r="AF684" s="2">
        <v>3.0186483725112886E-2</v>
      </c>
      <c r="AG684" s="2">
        <v>3.3883539055024052E-2</v>
      </c>
      <c r="AH684" s="2">
        <v>3.6991564376033431E-2</v>
      </c>
      <c r="AI684" s="2">
        <v>3.9427114591997915E-2</v>
      </c>
      <c r="AJ684" s="2">
        <v>4.1325424735747983E-2</v>
      </c>
      <c r="AK684" s="2">
        <v>4.2530740849698073E-2</v>
      </c>
      <c r="AL684" s="2">
        <v>4.3579521387261635E-2</v>
      </c>
      <c r="AM684" s="2">
        <v>4.4114838455075932E-2</v>
      </c>
      <c r="AN684" s="2">
        <v>4.4479660268780946E-2</v>
      </c>
      <c r="AO684" s="2">
        <v>4.4849053922940647E-2</v>
      </c>
      <c r="AP684" s="2">
        <v>4.5223068909334023E-2</v>
      </c>
      <c r="AQ684" s="2">
        <v>0</v>
      </c>
      <c r="AR684" s="2">
        <v>0.5560072774949455</v>
      </c>
    </row>
    <row r="685" spans="1:44" x14ac:dyDescent="0.25">
      <c r="A685" t="s">
        <v>250</v>
      </c>
      <c r="B685" t="s">
        <v>357</v>
      </c>
      <c r="C685" t="s">
        <v>45</v>
      </c>
      <c r="D685" t="s">
        <v>358</v>
      </c>
      <c r="E685" t="s">
        <v>145</v>
      </c>
      <c r="F685" t="s">
        <v>359</v>
      </c>
      <c r="G685" t="s">
        <v>31</v>
      </c>
      <c r="H685" t="s">
        <v>288</v>
      </c>
      <c r="I685" t="s">
        <v>135</v>
      </c>
      <c r="J685" t="s">
        <v>39</v>
      </c>
      <c r="K685" t="s">
        <v>31</v>
      </c>
      <c r="L685">
        <v>0.94</v>
      </c>
      <c r="M685">
        <v>1</v>
      </c>
      <c r="N685">
        <v>2.6639854114837256</v>
      </c>
      <c r="O685">
        <v>3.1585068309872635</v>
      </c>
      <c r="P685">
        <v>-0.57316921040971502</v>
      </c>
      <c r="Q685">
        <v>0.64220303724264949</v>
      </c>
      <c r="R685">
        <v>-0.67371772101320504</v>
      </c>
      <c r="S685" s="2">
        <v>1.7471363277933891E-2</v>
      </c>
      <c r="T685" s="2">
        <v>3.4185581166411398E-2</v>
      </c>
      <c r="U685" s="2">
        <v>6.0086207662164298E-2</v>
      </c>
      <c r="V685" s="2">
        <v>9.6201192204525915E-2</v>
      </c>
      <c r="W685" s="2">
        <v>0.14196795263717862</v>
      </c>
      <c r="X685" s="2">
        <v>0.19511211301604531</v>
      </c>
      <c r="Y685" s="2">
        <v>0.25204454257060876</v>
      </c>
      <c r="Z685" s="2">
        <v>0.30863362153882756</v>
      </c>
      <c r="AA685" s="2">
        <v>0.36106935250181121</v>
      </c>
      <c r="AB685" s="2">
        <v>0.40653749800990846</v>
      </c>
      <c r="AC685" s="2">
        <v>0.4435392851081541</v>
      </c>
      <c r="AD685" s="2">
        <v>0.47184723922555061</v>
      </c>
      <c r="AE685" s="2">
        <v>0.49220512843393949</v>
      </c>
      <c r="AF685" s="2">
        <v>0.5059241904919386</v>
      </c>
      <c r="AG685" s="2">
        <v>0.5145064781944434</v>
      </c>
      <c r="AH685" s="2">
        <v>0.60887820195682008</v>
      </c>
      <c r="AI685" s="2">
        <v>0.63215098353723875</v>
      </c>
      <c r="AJ685" s="2">
        <v>0.62924084072826647</v>
      </c>
      <c r="AK685" s="2">
        <v>0.62306666410884326</v>
      </c>
      <c r="AL685" s="2">
        <v>0.61204542918706761</v>
      </c>
      <c r="AM685" s="2">
        <v>0.59914028532379204</v>
      </c>
      <c r="AN685" s="2">
        <v>0.34694264546265058</v>
      </c>
      <c r="AO685" s="2">
        <v>5.3663672254049569E-2</v>
      </c>
      <c r="AP685" s="2">
        <v>4.1654022781172438E-2</v>
      </c>
      <c r="AQ685" s="2">
        <v>3.1009837184761233E-2</v>
      </c>
      <c r="AR685" s="2">
        <v>8.4791243285641045</v>
      </c>
    </row>
    <row r="686" spans="1:44" x14ac:dyDescent="0.25">
      <c r="A686" t="s">
        <v>250</v>
      </c>
      <c r="B686" t="s">
        <v>357</v>
      </c>
      <c r="C686" t="s">
        <v>45</v>
      </c>
      <c r="D686" t="s">
        <v>358</v>
      </c>
      <c r="E686" t="s">
        <v>145</v>
      </c>
      <c r="F686" t="s">
        <v>359</v>
      </c>
      <c r="G686" t="s">
        <v>31</v>
      </c>
      <c r="H686" t="s">
        <v>288</v>
      </c>
      <c r="I686" t="s">
        <v>135</v>
      </c>
      <c r="J686" t="s">
        <v>39</v>
      </c>
      <c r="K686" t="s">
        <v>33</v>
      </c>
      <c r="L686">
        <v>0.94</v>
      </c>
      <c r="M686">
        <v>1</v>
      </c>
      <c r="N686">
        <v>2.6639854114837256</v>
      </c>
      <c r="O686">
        <v>3.1585068309872635</v>
      </c>
      <c r="P686">
        <v>-0.57316921040971502</v>
      </c>
      <c r="Q686">
        <v>0.64220303724264949</v>
      </c>
      <c r="R686">
        <v>-0.67371772101320504</v>
      </c>
      <c r="S686" s="2">
        <v>1.6435509517799069E-4</v>
      </c>
      <c r="T686" s="2">
        <v>3.2158763783571824E-4</v>
      </c>
      <c r="U686" s="2">
        <v>5.6523776777466048E-4</v>
      </c>
      <c r="V686" s="2">
        <v>9.0497552191478518E-4</v>
      </c>
      <c r="W686" s="2">
        <v>1.3355086261286457E-3</v>
      </c>
      <c r="X686" s="2">
        <v>1.8354417680520711E-3</v>
      </c>
      <c r="Y686" s="2">
        <v>2.371011587607736E-3</v>
      </c>
      <c r="Z686" s="2">
        <v>2.9033514692701533E-3</v>
      </c>
      <c r="AA686" s="2">
        <v>3.396620335359913E-3</v>
      </c>
      <c r="AB686" s="2">
        <v>3.8243443351228981E-3</v>
      </c>
      <c r="AC686" s="2">
        <v>4.1724243414478016E-3</v>
      </c>
      <c r="AD686" s="2">
        <v>4.4387204752552329E-3</v>
      </c>
      <c r="AE686" s="2">
        <v>4.6302294471219883E-3</v>
      </c>
      <c r="AF686" s="2">
        <v>4.7592862193054719E-3</v>
      </c>
      <c r="AG686" s="2">
        <v>4.8400207727430748E-3</v>
      </c>
      <c r="AH686" s="2">
        <v>5.7277862776058787E-3</v>
      </c>
      <c r="AI686" s="2">
        <v>5.9467159724933419E-3</v>
      </c>
      <c r="AJ686" s="2">
        <v>5.9193399291508093E-3</v>
      </c>
      <c r="AK686" s="2">
        <v>5.8612587496922565E-3</v>
      </c>
      <c r="AL686" s="2">
        <v>5.7575807432464193E-3</v>
      </c>
      <c r="AM686" s="2">
        <v>5.6361805917989841E-3</v>
      </c>
      <c r="AN686" s="2">
        <v>3.2637288006217486E-3</v>
      </c>
      <c r="AO686" s="2">
        <v>5.0482024903312735E-4</v>
      </c>
      <c r="AP686" s="2">
        <v>3.9184411484318924E-4</v>
      </c>
      <c r="AQ686" s="2">
        <v>2.9171305414915503E-4</v>
      </c>
      <c r="AR686" s="2">
        <v>7.9764083882753051E-2</v>
      </c>
    </row>
    <row r="687" spans="1:44" x14ac:dyDescent="0.25">
      <c r="A687" t="s">
        <v>250</v>
      </c>
      <c r="B687" t="s">
        <v>357</v>
      </c>
      <c r="C687" t="s">
        <v>45</v>
      </c>
      <c r="D687" t="s">
        <v>358</v>
      </c>
      <c r="E687" t="s">
        <v>145</v>
      </c>
      <c r="F687" t="s">
        <v>359</v>
      </c>
      <c r="G687" t="s">
        <v>31</v>
      </c>
      <c r="H687" t="s">
        <v>289</v>
      </c>
      <c r="I687" t="s">
        <v>135</v>
      </c>
      <c r="J687" t="s">
        <v>39</v>
      </c>
      <c r="K687" t="s">
        <v>31</v>
      </c>
      <c r="L687">
        <v>0.94</v>
      </c>
      <c r="M687">
        <v>1</v>
      </c>
      <c r="N687">
        <v>2.6639854114837256</v>
      </c>
      <c r="O687">
        <v>3.1585068309872635</v>
      </c>
      <c r="P687">
        <v>-0.57316921040971502</v>
      </c>
      <c r="Q687">
        <v>0.64220303724264949</v>
      </c>
      <c r="R687">
        <v>-0.67371772101320504</v>
      </c>
      <c r="S687" s="2">
        <v>1.6605773443764585E-2</v>
      </c>
      <c r="T687" s="2">
        <v>3.2491913015730331E-2</v>
      </c>
      <c r="U687" s="2">
        <v>5.7109335754758926E-2</v>
      </c>
      <c r="V687" s="2">
        <v>9.1435063043192835E-2</v>
      </c>
      <c r="W687" s="2">
        <v>0.13493438492836826</v>
      </c>
      <c r="X687" s="2">
        <v>0.18544560566551227</v>
      </c>
      <c r="Y687" s="2">
        <v>0.23955741203955774</v>
      </c>
      <c r="Z687" s="2">
        <v>0.29334287856490793</v>
      </c>
      <c r="AA687" s="2">
        <v>0.34318076785138552</v>
      </c>
      <c r="AB687" s="2">
        <v>0.38639626919518627</v>
      </c>
      <c r="AC687" s="2">
        <v>0.42156486387170533</v>
      </c>
      <c r="AD687" s="2">
        <v>0.44847034716181994</v>
      </c>
      <c r="AE687" s="2">
        <v>0.46781963837681789</v>
      </c>
      <c r="AF687" s="2">
        <v>0.48085901216648708</v>
      </c>
      <c r="AG687" s="2">
        <v>0.489016104601111</v>
      </c>
      <c r="AH687" s="2">
        <v>0.57871233719417992</v>
      </c>
      <c r="AI687" s="2">
        <v>0.60083210725349345</v>
      </c>
      <c r="AJ687" s="2">
        <v>0.59806614266298053</v>
      </c>
      <c r="AK687" s="2">
        <v>0.59219785542557601</v>
      </c>
      <c r="AL687" s="2">
        <v>0.58172264938297347</v>
      </c>
      <c r="AM687" s="2">
        <v>0.56945686955551278</v>
      </c>
      <c r="AN687" s="2">
        <v>0.32975394517779361</v>
      </c>
      <c r="AO687" s="2">
        <v>5.1004994254607909E-2</v>
      </c>
      <c r="AP687" s="2">
        <v>3.9590343027161704E-2</v>
      </c>
      <c r="AQ687" s="2">
        <v>2.9473506023913885E-2</v>
      </c>
      <c r="AR687" s="2">
        <v>8.0590401196384978</v>
      </c>
    </row>
    <row r="688" spans="1:44" x14ac:dyDescent="0.25">
      <c r="A688" t="s">
        <v>250</v>
      </c>
      <c r="B688" t="s">
        <v>357</v>
      </c>
      <c r="C688" t="s">
        <v>45</v>
      </c>
      <c r="D688" t="s">
        <v>358</v>
      </c>
      <c r="E688" t="s">
        <v>145</v>
      </c>
      <c r="F688" t="s">
        <v>359</v>
      </c>
      <c r="G688" t="s">
        <v>31</v>
      </c>
      <c r="H688" t="s">
        <v>290</v>
      </c>
      <c r="I688" t="s">
        <v>135</v>
      </c>
      <c r="J688" t="s">
        <v>39</v>
      </c>
      <c r="K688" t="s">
        <v>31</v>
      </c>
      <c r="L688">
        <v>0.94</v>
      </c>
      <c r="M688">
        <v>1</v>
      </c>
      <c r="N688">
        <v>2.6639854114837256</v>
      </c>
      <c r="O688">
        <v>3.1585068309872635</v>
      </c>
      <c r="P688">
        <v>-0.57316921040971502</v>
      </c>
      <c r="Q688">
        <v>0.64220303724264949</v>
      </c>
      <c r="R688">
        <v>-0.67371772101320504</v>
      </c>
      <c r="S688" s="2">
        <v>2.4046290960718978E-2</v>
      </c>
      <c r="T688" s="2">
        <v>4.7050503061030452E-2</v>
      </c>
      <c r="U688" s="2">
        <v>8.2698207872273652E-2</v>
      </c>
      <c r="V688" s="2">
        <v>0.13240419890070781</v>
      </c>
      <c r="W688" s="2">
        <v>0.19539417971594453</v>
      </c>
      <c r="X688" s="2">
        <v>0.2685378676471169</v>
      </c>
      <c r="Y688" s="2">
        <v>0.3468954488153087</v>
      </c>
      <c r="Z688" s="2">
        <v>0.42478046765568234</v>
      </c>
      <c r="AA688" s="2">
        <v>0.49694912578589051</v>
      </c>
      <c r="AB688" s="2">
        <v>0.55952811512628686</v>
      </c>
      <c r="AC688" s="2">
        <v>0.61045463554010815</v>
      </c>
      <c r="AD688" s="2">
        <v>0.64941560786842789</v>
      </c>
      <c r="AE688" s="2">
        <v>0.67743469942204837</v>
      </c>
      <c r="AF688" s="2">
        <v>0.69631660077724811</v>
      </c>
      <c r="AG688" s="2">
        <v>0.70812862619965333</v>
      </c>
      <c r="AH688" s="2">
        <v>0.83801488017737191</v>
      </c>
      <c r="AI688" s="2">
        <v>0.87004581379402923</v>
      </c>
      <c r="AJ688" s="2">
        <v>0.86604050867796156</v>
      </c>
      <c r="AK688" s="2">
        <v>0.85754282907095392</v>
      </c>
      <c r="AL688" s="2">
        <v>0.84237401725818795</v>
      </c>
      <c r="AM688" s="2">
        <v>0.82461233264951395</v>
      </c>
      <c r="AN688" s="2">
        <v>0.47750617205774115</v>
      </c>
      <c r="AO688" s="2">
        <v>7.3858705615223466E-2</v>
      </c>
      <c r="AP688" s="2">
        <v>5.7329513189478536E-2</v>
      </c>
      <c r="AQ688" s="2">
        <v>4.2679644154103767E-2</v>
      </c>
      <c r="AR688" s="2">
        <v>11.67003899199301</v>
      </c>
    </row>
    <row r="689" spans="1:44" x14ac:dyDescent="0.25">
      <c r="A689" t="s">
        <v>250</v>
      </c>
      <c r="B689" t="s">
        <v>357</v>
      </c>
      <c r="C689" t="s">
        <v>45</v>
      </c>
      <c r="D689" t="s">
        <v>358</v>
      </c>
      <c r="E689" t="s">
        <v>148</v>
      </c>
      <c r="F689" t="s">
        <v>359</v>
      </c>
      <c r="G689" t="s">
        <v>31</v>
      </c>
      <c r="H689" t="s">
        <v>288</v>
      </c>
      <c r="I689" t="s">
        <v>135</v>
      </c>
      <c r="J689" t="s">
        <v>39</v>
      </c>
      <c r="K689" t="s">
        <v>31</v>
      </c>
      <c r="L689">
        <v>0.94</v>
      </c>
      <c r="M689">
        <v>1</v>
      </c>
      <c r="N689">
        <v>2.6639854114837256</v>
      </c>
      <c r="O689">
        <v>3.1585068309872635</v>
      </c>
      <c r="P689">
        <v>-0.57316921040971502</v>
      </c>
      <c r="Q689">
        <v>0.64220303724264949</v>
      </c>
      <c r="R689">
        <v>-0.67371772101320504</v>
      </c>
      <c r="S689" s="2">
        <v>2.9722720414805562E-3</v>
      </c>
      <c r="T689" s="2">
        <v>7.3762164163508285E-3</v>
      </c>
      <c r="U689" s="2">
        <v>1.3110964389959694E-2</v>
      </c>
      <c r="V689" s="2">
        <v>2.1228716503330459E-2</v>
      </c>
      <c r="W689" s="2">
        <v>3.168335787023592E-2</v>
      </c>
      <c r="X689" s="2">
        <v>4.4038929992063956E-2</v>
      </c>
      <c r="Y689" s="2">
        <v>5.7538083350700105E-2</v>
      </c>
      <c r="Z689" s="2">
        <v>7.1262441910090596E-2</v>
      </c>
      <c r="AA689" s="2">
        <v>8.4325932444160659E-2</v>
      </c>
      <c r="AB689" s="2">
        <v>9.6036818563768056E-2</v>
      </c>
      <c r="AC689" s="2">
        <v>0.10598620170164409</v>
      </c>
      <c r="AD689" s="2">
        <v>0.11405440690325604</v>
      </c>
      <c r="AE689" s="2">
        <v>0.12035480111788209</v>
      </c>
      <c r="AF689" s="2">
        <v>0.12514758216371094</v>
      </c>
      <c r="AG689" s="2">
        <v>0.12875395590775143</v>
      </c>
      <c r="AH689" s="2">
        <v>0.13149008399944995</v>
      </c>
      <c r="AI689" s="2">
        <v>0.1336275210599796</v>
      </c>
      <c r="AJ689" s="2">
        <v>0.1355162277619725</v>
      </c>
      <c r="AK689" s="2">
        <v>0.13724944896944674</v>
      </c>
      <c r="AL689" s="2">
        <v>0.13845277242084672</v>
      </c>
      <c r="AM689" s="2">
        <v>0.13967059782260038</v>
      </c>
      <c r="AN689" s="2">
        <v>0.14090308478160371</v>
      </c>
      <c r="AO689" s="2">
        <v>0.14215039470370708</v>
      </c>
      <c r="AP689" s="2">
        <v>0.14341269081385152</v>
      </c>
      <c r="AQ689" s="2">
        <v>0.14469013817645091</v>
      </c>
      <c r="AR689" s="2">
        <v>2.4110336417862945</v>
      </c>
    </row>
    <row r="690" spans="1:44" x14ac:dyDescent="0.25">
      <c r="A690" t="s">
        <v>250</v>
      </c>
      <c r="B690" t="s">
        <v>357</v>
      </c>
      <c r="C690" t="s">
        <v>45</v>
      </c>
      <c r="D690" t="s">
        <v>358</v>
      </c>
      <c r="E690" t="s">
        <v>148</v>
      </c>
      <c r="F690" t="s">
        <v>359</v>
      </c>
      <c r="G690" t="s">
        <v>31</v>
      </c>
      <c r="H690" t="s">
        <v>288</v>
      </c>
      <c r="I690" t="s">
        <v>135</v>
      </c>
      <c r="J690" t="s">
        <v>39</v>
      </c>
      <c r="K690" t="s">
        <v>33</v>
      </c>
      <c r="L690">
        <v>0.94</v>
      </c>
      <c r="M690">
        <v>1</v>
      </c>
      <c r="N690">
        <v>2.6639854114837256</v>
      </c>
      <c r="O690">
        <v>3.1585068309872635</v>
      </c>
      <c r="P690">
        <v>-0.57316921040971502</v>
      </c>
      <c r="Q690">
        <v>0.64220303724264949</v>
      </c>
      <c r="R690">
        <v>-0.67371772101320504</v>
      </c>
      <c r="S690" s="2">
        <v>2.7960500076682439E-5</v>
      </c>
      <c r="T690" s="2">
        <v>6.9388904109957223E-5</v>
      </c>
      <c r="U690" s="2">
        <v>1.2333632847693344E-4</v>
      </c>
      <c r="V690" s="2">
        <v>1.9970094296064799E-4</v>
      </c>
      <c r="W690" s="2">
        <v>2.9804893959807852E-4</v>
      </c>
      <c r="X690" s="2">
        <v>4.1427920736581233E-4</v>
      </c>
      <c r="Y690" s="2">
        <v>5.4126727348214308E-4</v>
      </c>
      <c r="Z690" s="2">
        <v>6.7037387045471865E-4</v>
      </c>
      <c r="AA690" s="2">
        <v>7.9326360698693261E-4</v>
      </c>
      <c r="AB690" s="2">
        <v>9.0342924044026251E-4</v>
      </c>
      <c r="AC690" s="2">
        <v>9.9702421563334625E-4</v>
      </c>
      <c r="AD690" s="2">
        <v>1.0729227367007449E-3</v>
      </c>
      <c r="AE690" s="2">
        <v>1.1321912593873443E-3</v>
      </c>
      <c r="AF690" s="2">
        <v>1.1772774940688217E-3</v>
      </c>
      <c r="AG690" s="2">
        <v>1.211203060753008E-3</v>
      </c>
      <c r="AH690" s="2">
        <v>1.2369421279211903E-3</v>
      </c>
      <c r="AI690" s="2">
        <v>1.2570492406823108E-3</v>
      </c>
      <c r="AJ690" s="2">
        <v>1.2748165187608362E-3</v>
      </c>
      <c r="AK690" s="2">
        <v>1.2911211271641281E-3</v>
      </c>
      <c r="AL690" s="2">
        <v>1.3024409272987313E-3</v>
      </c>
      <c r="AM690" s="2">
        <v>1.3138971489244221E-3</v>
      </c>
      <c r="AN690" s="2">
        <v>1.3254912934814525E-3</v>
      </c>
      <c r="AO690" s="2">
        <v>1.3372248793329252E-3</v>
      </c>
      <c r="AP690" s="2">
        <v>1.3490994419543569E-3</v>
      </c>
      <c r="AQ690" s="2">
        <v>1.3611165341253972E-3</v>
      </c>
      <c r="AR690" s="2">
        <v>2.2680866820141189E-2</v>
      </c>
    </row>
    <row r="691" spans="1:44" x14ac:dyDescent="0.25">
      <c r="A691" t="s">
        <v>250</v>
      </c>
      <c r="B691" t="s">
        <v>357</v>
      </c>
      <c r="C691" t="s">
        <v>45</v>
      </c>
      <c r="D691" t="s">
        <v>358</v>
      </c>
      <c r="E691" t="s">
        <v>148</v>
      </c>
      <c r="F691" t="s">
        <v>359</v>
      </c>
      <c r="G691" t="s">
        <v>31</v>
      </c>
      <c r="H691" t="s">
        <v>289</v>
      </c>
      <c r="I691" t="s">
        <v>135</v>
      </c>
      <c r="J691" t="s">
        <v>39</v>
      </c>
      <c r="K691" t="s">
        <v>31</v>
      </c>
      <c r="L691">
        <v>0.94</v>
      </c>
      <c r="M691">
        <v>1</v>
      </c>
      <c r="N691">
        <v>2.6639854114837256</v>
      </c>
      <c r="O691">
        <v>3.1585068309872635</v>
      </c>
      <c r="P691">
        <v>-0.57316921040971502</v>
      </c>
      <c r="Q691">
        <v>0.64220303724264949</v>
      </c>
      <c r="R691">
        <v>-0.67371772101320504</v>
      </c>
      <c r="S691" s="2">
        <v>2.82501573282486E-3</v>
      </c>
      <c r="T691" s="2">
        <v>7.0107739581374345E-3</v>
      </c>
      <c r="U691" s="2">
        <v>1.2461403316128919E-2</v>
      </c>
      <c r="V691" s="2">
        <v>2.0176974810056061E-2</v>
      </c>
      <c r="W691" s="2">
        <v>3.0113658239557146E-2</v>
      </c>
      <c r="X691" s="2">
        <v>4.1857093949712251E-2</v>
      </c>
      <c r="Y691" s="2">
        <v>5.4687454053279391E-2</v>
      </c>
      <c r="Z691" s="2">
        <v>6.7731861937927948E-2</v>
      </c>
      <c r="AA691" s="2">
        <v>8.0148143411939043E-2</v>
      </c>
      <c r="AB691" s="2">
        <v>9.1278833022951811E-2</v>
      </c>
      <c r="AC691" s="2">
        <v>0.1007352904077886</v>
      </c>
      <c r="AD691" s="2">
        <v>0.1084037697098577</v>
      </c>
      <c r="AE691" s="2">
        <v>0.11439202130019743</v>
      </c>
      <c r="AF691" s="2">
        <v>0.1189473519258908</v>
      </c>
      <c r="AG691" s="2">
        <v>0.12237505383984029</v>
      </c>
      <c r="AH691" s="2">
        <v>0.12497562498481039</v>
      </c>
      <c r="AI691" s="2">
        <v>0.12700716625682018</v>
      </c>
      <c r="AJ691" s="2">
        <v>0.12880230010505964</v>
      </c>
      <c r="AK691" s="2">
        <v>0.13044965173076578</v>
      </c>
      <c r="AL691" s="2">
        <v>0.13159335850943141</v>
      </c>
      <c r="AM691" s="2">
        <v>0.13275084876327656</v>
      </c>
      <c r="AN691" s="2">
        <v>0.13392227419173314</v>
      </c>
      <c r="AO691" s="2">
        <v>0.13510778820407118</v>
      </c>
      <c r="AP691" s="2">
        <v>0.13630754593851613</v>
      </c>
      <c r="AQ691" s="2">
        <v>0.13752170428163937</v>
      </c>
      <c r="AR691" s="2">
        <v>2.2915829625822135</v>
      </c>
    </row>
    <row r="692" spans="1:44" x14ac:dyDescent="0.25">
      <c r="A692" t="s">
        <v>250</v>
      </c>
      <c r="B692" t="s">
        <v>357</v>
      </c>
      <c r="C692" t="s">
        <v>45</v>
      </c>
      <c r="D692" t="s">
        <v>358</v>
      </c>
      <c r="E692" t="s">
        <v>148</v>
      </c>
      <c r="F692" t="s">
        <v>359</v>
      </c>
      <c r="G692" t="s">
        <v>31</v>
      </c>
      <c r="H692" t="s">
        <v>290</v>
      </c>
      <c r="I692" t="s">
        <v>135</v>
      </c>
      <c r="J692" t="s">
        <v>39</v>
      </c>
      <c r="K692" t="s">
        <v>31</v>
      </c>
      <c r="L692">
        <v>0.94</v>
      </c>
      <c r="M692">
        <v>1</v>
      </c>
      <c r="N692">
        <v>2.6639854114837256</v>
      </c>
      <c r="O692">
        <v>3.1585068309872635</v>
      </c>
      <c r="P692">
        <v>-0.57316921040971502</v>
      </c>
      <c r="Q692">
        <v>0.64220303724264949</v>
      </c>
      <c r="R692">
        <v>-0.67371772101320504</v>
      </c>
      <c r="S692" s="2">
        <v>4.0908151920875015E-3</v>
      </c>
      <c r="T692" s="2">
        <v>1.0152078193052062E-2</v>
      </c>
      <c r="U692" s="2">
        <v>1.8044960744121121E-2</v>
      </c>
      <c r="V692" s="2">
        <v>2.9217633772541399E-2</v>
      </c>
      <c r="W692" s="2">
        <v>4.3606628162927021E-2</v>
      </c>
      <c r="X692" s="2">
        <v>6.0611922913044292E-2</v>
      </c>
      <c r="Y692" s="2">
        <v>7.9191158214908769E-2</v>
      </c>
      <c r="Z692" s="2">
        <v>9.8080349282510401E-2</v>
      </c>
      <c r="AA692" s="2">
        <v>0.1160599705260091</v>
      </c>
      <c r="AB692" s="2">
        <v>0.13217796719062028</v>
      </c>
      <c r="AC692" s="2">
        <v>0.145871561560283</v>
      </c>
      <c r="AD692" s="2">
        <v>0.15697604188745706</v>
      </c>
      <c r="AE692" s="2">
        <v>0.16564743804825258</v>
      </c>
      <c r="AF692" s="2">
        <v>0.17224386705643294</v>
      </c>
      <c r="AG692" s="2">
        <v>0.17720741288755748</v>
      </c>
      <c r="AH692" s="2">
        <v>0.18097321702958019</v>
      </c>
      <c r="AI692" s="2">
        <v>0.18391502715910812</v>
      </c>
      <c r="AJ692" s="2">
        <v>0.18651450323737065</v>
      </c>
      <c r="AK692" s="2">
        <v>0.1888999805920098</v>
      </c>
      <c r="AL692" s="2">
        <v>0.19055614590503758</v>
      </c>
      <c r="AM692" s="2">
        <v>0.19223227062891085</v>
      </c>
      <c r="AN692" s="2">
        <v>0.19392857443474545</v>
      </c>
      <c r="AO692" s="2">
        <v>0.19564527946960708</v>
      </c>
      <c r="AP692" s="2">
        <v>0.19738261038421617</v>
      </c>
      <c r="AQ692" s="2">
        <v>0.19914079436101317</v>
      </c>
      <c r="AR692" s="2">
        <v>3.3183682088334043</v>
      </c>
    </row>
    <row r="693" spans="1:44" x14ac:dyDescent="0.25">
      <c r="A693" t="s">
        <v>250</v>
      </c>
      <c r="B693" t="s">
        <v>367</v>
      </c>
      <c r="C693" t="s">
        <v>45</v>
      </c>
      <c r="D693" t="s">
        <v>358</v>
      </c>
      <c r="E693" t="s">
        <v>145</v>
      </c>
      <c r="F693" t="s">
        <v>368</v>
      </c>
      <c r="G693" t="s">
        <v>31</v>
      </c>
      <c r="H693" t="s">
        <v>288</v>
      </c>
      <c r="I693" t="s">
        <v>135</v>
      </c>
      <c r="J693" t="s">
        <v>39</v>
      </c>
      <c r="K693" t="s">
        <v>31</v>
      </c>
      <c r="L693">
        <v>0.60808625336927302</v>
      </c>
      <c r="M693">
        <v>1</v>
      </c>
      <c r="N693">
        <v>4.3950725886364177</v>
      </c>
      <c r="O693">
        <v>3.1585068309872635</v>
      </c>
      <c r="P693">
        <v>-0.82611371143425327</v>
      </c>
      <c r="Q693">
        <v>0.38925853621811146</v>
      </c>
      <c r="R693">
        <v>-0.67371772101320526</v>
      </c>
      <c r="S693" s="2">
        <v>0</v>
      </c>
      <c r="T693" s="2">
        <v>0</v>
      </c>
      <c r="U693" s="2">
        <v>1.4915577691962394E-3</v>
      </c>
      <c r="V693" s="2">
        <v>2.7981918192361891E-3</v>
      </c>
      <c r="W693" s="2">
        <v>4.7739069205266172E-3</v>
      </c>
      <c r="X693" s="2">
        <v>7.5927292097384353E-3</v>
      </c>
      <c r="Y693" s="2">
        <v>1.1412243356937355E-2</v>
      </c>
      <c r="Z693" s="2">
        <v>1.6344062235042176E-2</v>
      </c>
      <c r="AA693" s="2">
        <v>2.241875848106787E-2</v>
      </c>
      <c r="AB693" s="2">
        <v>2.9551168736808263E-2</v>
      </c>
      <c r="AC693" s="2">
        <v>3.751584051475057E-2</v>
      </c>
      <c r="AD693" s="2">
        <v>4.5944813165158006E-2</v>
      </c>
      <c r="AE693" s="2">
        <v>5.4358427076067924E-2</v>
      </c>
      <c r="AF693" s="2">
        <v>6.2232350490731482E-2</v>
      </c>
      <c r="AG693" s="2">
        <v>6.9090773861738577E-2</v>
      </c>
      <c r="AH693" s="2">
        <v>7.4601161680720604E-2</v>
      </c>
      <c r="AI693" s="2">
        <v>7.8638208337781929E-2</v>
      </c>
      <c r="AJ693" s="2">
        <v>8.1514697885478993E-2</v>
      </c>
      <c r="AK693" s="2">
        <v>8.2963281995818899E-2</v>
      </c>
      <c r="AL693" s="2">
        <v>8.4064831205338891E-2</v>
      </c>
      <c r="AM693" s="2">
        <v>8.4149233646308094E-2</v>
      </c>
      <c r="AN693" s="2">
        <v>8.3896785945369173E-2</v>
      </c>
      <c r="AO693" s="2">
        <v>8.3645095587533053E-2</v>
      </c>
      <c r="AP693" s="2">
        <v>8.3394160300770445E-2</v>
      </c>
      <c r="AQ693" s="2">
        <v>0</v>
      </c>
      <c r="AR693" s="2">
        <v>1.1023922802221198</v>
      </c>
    </row>
    <row r="694" spans="1:44" x14ac:dyDescent="0.25">
      <c r="A694" t="s">
        <v>250</v>
      </c>
      <c r="B694" t="s">
        <v>367</v>
      </c>
      <c r="C694" t="s">
        <v>45</v>
      </c>
      <c r="D694" t="s">
        <v>358</v>
      </c>
      <c r="E694" t="s">
        <v>145</v>
      </c>
      <c r="F694" t="s">
        <v>368</v>
      </c>
      <c r="G694" t="s">
        <v>31</v>
      </c>
      <c r="H694" t="s">
        <v>288</v>
      </c>
      <c r="I694" t="s">
        <v>135</v>
      </c>
      <c r="J694" t="s">
        <v>39</v>
      </c>
      <c r="K694" t="s">
        <v>33</v>
      </c>
      <c r="L694">
        <v>0.60808625336927302</v>
      </c>
      <c r="M694">
        <v>1</v>
      </c>
      <c r="N694">
        <v>4.3950725886364177</v>
      </c>
      <c r="O694">
        <v>3.1585068309872635</v>
      </c>
      <c r="P694">
        <v>-0.82611371143425327</v>
      </c>
      <c r="Q694">
        <v>0.38925853621811146</v>
      </c>
      <c r="R694">
        <v>-0.67371772101320526</v>
      </c>
      <c r="S694" s="2">
        <v>0</v>
      </c>
      <c r="T694" s="2">
        <v>0</v>
      </c>
      <c r="U694" s="2">
        <v>1.403125304075925E-5</v>
      </c>
      <c r="V694" s="2">
        <v>2.6322907689618187E-5</v>
      </c>
      <c r="W694" s="2">
        <v>4.4908683644909405E-5</v>
      </c>
      <c r="X694" s="2">
        <v>7.1425664504575729E-5</v>
      </c>
      <c r="Y694" s="2">
        <v>1.0735626712614727E-4</v>
      </c>
      <c r="Z694" s="2">
        <v>1.5375044645932318E-4</v>
      </c>
      <c r="AA694" s="2">
        <v>2.1089580276668774E-4</v>
      </c>
      <c r="AB694" s="2">
        <v>2.7799119468216714E-4</v>
      </c>
      <c r="AC694" s="2">
        <v>3.5291576509496707E-4</v>
      </c>
      <c r="AD694" s="2">
        <v>4.3220806645533468E-4</v>
      </c>
      <c r="AE694" s="2">
        <v>5.1135588641194635E-4</v>
      </c>
      <c r="AF694" s="2">
        <v>5.8542677668275262E-4</v>
      </c>
      <c r="AG694" s="2">
        <v>6.4994474291017864E-4</v>
      </c>
      <c r="AH694" s="2">
        <v>7.0178158586566041E-4</v>
      </c>
      <c r="AI694" s="2">
        <v>7.3975854147033881E-4</v>
      </c>
      <c r="AJ694" s="2">
        <v>7.6681800476862349E-4</v>
      </c>
      <c r="AK694" s="2">
        <v>7.804449997283661E-4</v>
      </c>
      <c r="AL694" s="2">
        <v>7.9080739803088173E-4</v>
      </c>
      <c r="AM694" s="2">
        <v>7.9160138136223797E-4</v>
      </c>
      <c r="AN694" s="2">
        <v>7.8922657721815139E-4</v>
      </c>
      <c r="AO694" s="2">
        <v>7.8685889748649667E-4</v>
      </c>
      <c r="AP694" s="2">
        <v>7.844983207940375E-4</v>
      </c>
      <c r="AQ694" s="2">
        <v>0</v>
      </c>
      <c r="AR694" s="2">
        <v>1.0370329164194161E-2</v>
      </c>
    </row>
    <row r="695" spans="1:44" x14ac:dyDescent="0.25">
      <c r="A695" t="s">
        <v>250</v>
      </c>
      <c r="B695" t="s">
        <v>367</v>
      </c>
      <c r="C695" t="s">
        <v>45</v>
      </c>
      <c r="D695" t="s">
        <v>358</v>
      </c>
      <c r="E695" t="s">
        <v>145</v>
      </c>
      <c r="F695" t="s">
        <v>368</v>
      </c>
      <c r="G695" t="s">
        <v>31</v>
      </c>
      <c r="H695" t="s">
        <v>289</v>
      </c>
      <c r="I695" t="s">
        <v>135</v>
      </c>
      <c r="J695" t="s">
        <v>39</v>
      </c>
      <c r="K695" t="s">
        <v>31</v>
      </c>
      <c r="L695">
        <v>0.60808625336927302</v>
      </c>
      <c r="M695">
        <v>1</v>
      </c>
      <c r="N695">
        <v>4.3950725886364177</v>
      </c>
      <c r="O695">
        <v>3.1585068309872635</v>
      </c>
      <c r="P695">
        <v>-0.82611371143425327</v>
      </c>
      <c r="Q695">
        <v>0.38925853621811146</v>
      </c>
      <c r="R695">
        <v>-0.67371772101320526</v>
      </c>
      <c r="S695" s="2">
        <v>0</v>
      </c>
      <c r="T695" s="2">
        <v>0</v>
      </c>
      <c r="U695" s="2">
        <v>1.4176610032968591E-3</v>
      </c>
      <c r="V695" s="2">
        <v>2.6595600276435078E-3</v>
      </c>
      <c r="W695" s="2">
        <v>4.537391587753627E-3</v>
      </c>
      <c r="X695" s="2">
        <v>7.2165599828155121E-3</v>
      </c>
      <c r="Y695" s="2">
        <v>1.0846842610716976E-2</v>
      </c>
      <c r="Z695" s="2">
        <v>1.5534322668951715E-2</v>
      </c>
      <c r="AA695" s="2">
        <v>2.1308058123734101E-2</v>
      </c>
      <c r="AB695" s="2">
        <v>2.808710489476629E-2</v>
      </c>
      <c r="AC695" s="2">
        <v>3.5657180165623817E-2</v>
      </c>
      <c r="AD695" s="2">
        <v>4.3668553289158689E-2</v>
      </c>
      <c r="AE695" s="2">
        <v>5.1665328596574675E-2</v>
      </c>
      <c r="AF695" s="2">
        <v>5.9149151481912708E-2</v>
      </c>
      <c r="AG695" s="2">
        <v>6.5667785595840453E-2</v>
      </c>
      <c r="AH695" s="2">
        <v>7.0905170352464658E-2</v>
      </c>
      <c r="AI695" s="2">
        <v>7.4742208201350593E-2</v>
      </c>
      <c r="AJ695" s="2">
        <v>7.7476186825831669E-2</v>
      </c>
      <c r="AK695" s="2">
        <v>7.8853003229215707E-2</v>
      </c>
      <c r="AL695" s="2">
        <v>7.9899978002704042E-2</v>
      </c>
      <c r="AM695" s="2">
        <v>7.998019886415253E-2</v>
      </c>
      <c r="AN695" s="2">
        <v>7.9740258267560066E-2</v>
      </c>
      <c r="AO695" s="2">
        <v>7.9501037492757401E-2</v>
      </c>
      <c r="AP695" s="2">
        <v>7.9262534380279109E-2</v>
      </c>
      <c r="AQ695" s="2">
        <v>0</v>
      </c>
      <c r="AR695" s="2">
        <v>1.0477760756451049</v>
      </c>
    </row>
    <row r="696" spans="1:44" x14ac:dyDescent="0.25">
      <c r="A696" t="s">
        <v>250</v>
      </c>
      <c r="B696" t="s">
        <v>367</v>
      </c>
      <c r="C696" t="s">
        <v>45</v>
      </c>
      <c r="D696" t="s">
        <v>358</v>
      </c>
      <c r="E696" t="s">
        <v>145</v>
      </c>
      <c r="F696" t="s">
        <v>368</v>
      </c>
      <c r="G696" t="s">
        <v>31</v>
      </c>
      <c r="H696" t="s">
        <v>290</v>
      </c>
      <c r="I696" t="s">
        <v>135</v>
      </c>
      <c r="J696" t="s">
        <v>39</v>
      </c>
      <c r="K696" t="s">
        <v>31</v>
      </c>
      <c r="L696">
        <v>0.60808625336927302</v>
      </c>
      <c r="M696">
        <v>1</v>
      </c>
      <c r="N696">
        <v>4.3950725886364177</v>
      </c>
      <c r="O696">
        <v>3.1585068309872635</v>
      </c>
      <c r="P696">
        <v>-0.82611371143425327</v>
      </c>
      <c r="Q696">
        <v>0.38925853621811146</v>
      </c>
      <c r="R696">
        <v>-0.67371772101320526</v>
      </c>
      <c r="S696" s="2">
        <v>0</v>
      </c>
      <c r="T696" s="2">
        <v>0</v>
      </c>
      <c r="U696" s="2">
        <v>2.0528696892309801E-3</v>
      </c>
      <c r="V696" s="2">
        <v>3.8512240618474515E-3</v>
      </c>
      <c r="W696" s="2">
        <v>6.570452059419845E-3</v>
      </c>
      <c r="X696" s="2">
        <v>1.0450070372809013E-2</v>
      </c>
      <c r="Y696" s="2">
        <v>1.5706966875449247E-2</v>
      </c>
      <c r="Z696" s="2">
        <v>2.2494757262605542E-2</v>
      </c>
      <c r="AA696" s="2">
        <v>3.0855519448485486E-2</v>
      </c>
      <c r="AB696" s="2">
        <v>4.0672040891741278E-2</v>
      </c>
      <c r="AC696" s="2">
        <v>5.1634025479453206E-2</v>
      </c>
      <c r="AD696" s="2">
        <v>6.3235039414503647E-2</v>
      </c>
      <c r="AE696" s="2">
        <v>7.4814914717561173E-2</v>
      </c>
      <c r="AF696" s="2">
        <v>8.5651999976417301E-2</v>
      </c>
      <c r="AG696" s="2">
        <v>9.5091426155559447E-2</v>
      </c>
      <c r="AH696" s="2">
        <v>0.10267551599982447</v>
      </c>
      <c r="AI696" s="2">
        <v>0.10823180814448503</v>
      </c>
      <c r="AJ696" s="2">
        <v>0.11219079540318108</v>
      </c>
      <c r="AK696" s="2">
        <v>0.11418451932982511</v>
      </c>
      <c r="AL696" s="2">
        <v>0.11570061011096767</v>
      </c>
      <c r="AM696" s="2">
        <v>0.11581677538216341</v>
      </c>
      <c r="AN696" s="2">
        <v>0.11546932505601692</v>
      </c>
      <c r="AO696" s="2">
        <v>0.11512291708084887</v>
      </c>
      <c r="AP696" s="2">
        <v>0.11477754832960636</v>
      </c>
      <c r="AQ696" s="2">
        <v>0</v>
      </c>
      <c r="AR696" s="2">
        <v>1.5172511212420026</v>
      </c>
    </row>
    <row r="697" spans="1:44" x14ac:dyDescent="0.25">
      <c r="A697" t="s">
        <v>250</v>
      </c>
      <c r="B697" t="s">
        <v>367</v>
      </c>
      <c r="C697" t="s">
        <v>45</v>
      </c>
      <c r="D697" t="s">
        <v>358</v>
      </c>
      <c r="E697" t="s">
        <v>148</v>
      </c>
      <c r="F697" t="s">
        <v>368</v>
      </c>
      <c r="G697" t="s">
        <v>31</v>
      </c>
      <c r="H697" t="s">
        <v>288</v>
      </c>
      <c r="I697" t="s">
        <v>135</v>
      </c>
      <c r="J697" t="s">
        <v>39</v>
      </c>
      <c r="K697" t="s">
        <v>31</v>
      </c>
      <c r="L697">
        <v>0.60808625336927302</v>
      </c>
      <c r="M697">
        <v>1</v>
      </c>
      <c r="N697">
        <v>4.3950725886364177</v>
      </c>
      <c r="O697">
        <v>3.1585068309872635</v>
      </c>
      <c r="P697">
        <v>-0.82611371143425327</v>
      </c>
      <c r="Q697">
        <v>0.38925853621811146</v>
      </c>
      <c r="R697">
        <v>-0.67371772101320526</v>
      </c>
      <c r="S697" s="2">
        <v>0</v>
      </c>
      <c r="T697" s="2">
        <v>0</v>
      </c>
      <c r="U697" s="2">
        <v>3.9055407006118026E-4</v>
      </c>
      <c r="V697" s="2">
        <v>7.4097236624111925E-4</v>
      </c>
      <c r="W697" s="2">
        <v>1.2784862943438439E-3</v>
      </c>
      <c r="X697" s="2">
        <v>2.0565140622850341E-3</v>
      </c>
      <c r="Y697" s="2">
        <v>3.1262979287368553E-3</v>
      </c>
      <c r="Z697" s="2">
        <v>4.5285453209889049E-3</v>
      </c>
      <c r="AA697" s="2">
        <v>6.2829460325808184E-3</v>
      </c>
      <c r="AB697" s="2">
        <v>8.377087705464201E-3</v>
      </c>
      <c r="AC697" s="2">
        <v>1.0757544794707887E-2</v>
      </c>
      <c r="AD697" s="2">
        <v>1.3326876955602411E-2</v>
      </c>
      <c r="AE697" s="2">
        <v>1.5950173539971437E-2</v>
      </c>
      <c r="AF697" s="2">
        <v>1.8472874021793845E-2</v>
      </c>
      <c r="AG697" s="2">
        <v>2.0747751474720584E-2</v>
      </c>
      <c r="AH697" s="2">
        <v>2.2664291793410694E-2</v>
      </c>
      <c r="AI697" s="2">
        <v>2.4170659783724274E-2</v>
      </c>
      <c r="AJ697" s="2">
        <v>2.5349055691519583E-2</v>
      </c>
      <c r="AK697" s="2">
        <v>2.6103291426641983E-2</v>
      </c>
      <c r="AL697" s="2">
        <v>2.6762062576398307E-2</v>
      </c>
      <c r="AM697" s="2">
        <v>2.7105884213550521E-2</v>
      </c>
      <c r="AN697" s="2">
        <v>2.7345073057346306E-2</v>
      </c>
      <c r="AO697" s="2">
        <v>2.7587138594789559E-2</v>
      </c>
      <c r="AP697" s="2">
        <v>2.7832112502957754E-2</v>
      </c>
      <c r="AQ697" s="2">
        <v>0</v>
      </c>
      <c r="AR697" s="2">
        <v>0.34095619420783707</v>
      </c>
    </row>
    <row r="698" spans="1:44" x14ac:dyDescent="0.25">
      <c r="A698" t="s">
        <v>250</v>
      </c>
      <c r="B698" t="s">
        <v>367</v>
      </c>
      <c r="C698" t="s">
        <v>45</v>
      </c>
      <c r="D698" t="s">
        <v>358</v>
      </c>
      <c r="E698" t="s">
        <v>148</v>
      </c>
      <c r="F698" t="s">
        <v>368</v>
      </c>
      <c r="G698" t="s">
        <v>31</v>
      </c>
      <c r="H698" t="s">
        <v>288</v>
      </c>
      <c r="I698" t="s">
        <v>135</v>
      </c>
      <c r="J698" t="s">
        <v>39</v>
      </c>
      <c r="K698" t="s">
        <v>33</v>
      </c>
      <c r="L698">
        <v>0.60808625336927302</v>
      </c>
      <c r="M698">
        <v>1</v>
      </c>
      <c r="N698">
        <v>4.3950725886364177</v>
      </c>
      <c r="O698">
        <v>3.1585068309872635</v>
      </c>
      <c r="P698">
        <v>-0.82611371143425327</v>
      </c>
      <c r="Q698">
        <v>0.38925853621811146</v>
      </c>
      <c r="R698">
        <v>-0.67371772101320526</v>
      </c>
      <c r="S698" s="2">
        <v>0</v>
      </c>
      <c r="T698" s="2">
        <v>0</v>
      </c>
      <c r="U698" s="2">
        <v>3.673986416282005E-6</v>
      </c>
      <c r="V698" s="2">
        <v>6.970411057254425E-6</v>
      </c>
      <c r="W698" s="2">
        <v>1.2026865519763236E-5</v>
      </c>
      <c r="X698" s="2">
        <v>1.9345860941980663E-5</v>
      </c>
      <c r="Y698" s="2">
        <v>2.9409439060845589E-5</v>
      </c>
      <c r="Z698" s="2">
        <v>4.2600539260093386E-5</v>
      </c>
      <c r="AA698" s="2">
        <v>5.9104385659887565E-5</v>
      </c>
      <c r="AB698" s="2">
        <v>7.8804213800812151E-5</v>
      </c>
      <c r="AC698" s="2">
        <v>1.0119744352455493E-4</v>
      </c>
      <c r="AD698" s="2">
        <v>1.2536744246110167E-4</v>
      </c>
      <c r="AE698" s="2">
        <v>1.5004509084751285E-4</v>
      </c>
      <c r="AF698" s="2">
        <v>1.7377642029214261E-4</v>
      </c>
      <c r="AG698" s="2">
        <v>1.9517645040692227E-4</v>
      </c>
      <c r="AH698" s="2">
        <v>2.1320556247333042E-4</v>
      </c>
      <c r="AI698" s="2">
        <v>2.2737613694325093E-4</v>
      </c>
      <c r="AJ698" s="2">
        <v>2.3846144084897303E-4</v>
      </c>
      <c r="AK698" s="2">
        <v>2.4555662192102696E-4</v>
      </c>
      <c r="AL698" s="2">
        <v>2.5175375681522037E-4</v>
      </c>
      <c r="AM698" s="2">
        <v>2.5498812593681544E-4</v>
      </c>
      <c r="AN698" s="2">
        <v>2.5723820250853015E-4</v>
      </c>
      <c r="AO698" s="2">
        <v>2.5951534046353295E-4</v>
      </c>
      <c r="AP698" s="2">
        <v>2.6181983779168146E-4</v>
      </c>
      <c r="AQ698" s="2">
        <v>0</v>
      </c>
      <c r="AR698" s="2">
        <v>3.2074135749515149E-3</v>
      </c>
    </row>
    <row r="699" spans="1:44" x14ac:dyDescent="0.25">
      <c r="A699" t="s">
        <v>250</v>
      </c>
      <c r="B699" t="s">
        <v>367</v>
      </c>
      <c r="C699" t="s">
        <v>45</v>
      </c>
      <c r="D699" t="s">
        <v>358</v>
      </c>
      <c r="E699" t="s">
        <v>148</v>
      </c>
      <c r="F699" t="s">
        <v>368</v>
      </c>
      <c r="G699" t="s">
        <v>31</v>
      </c>
      <c r="H699" t="s">
        <v>289</v>
      </c>
      <c r="I699" t="s">
        <v>135</v>
      </c>
      <c r="J699" t="s">
        <v>39</v>
      </c>
      <c r="K699" t="s">
        <v>31</v>
      </c>
      <c r="L699">
        <v>0.60808625336927302</v>
      </c>
      <c r="M699">
        <v>1</v>
      </c>
      <c r="N699">
        <v>4.3950725886364177</v>
      </c>
      <c r="O699">
        <v>3.1585068309872635</v>
      </c>
      <c r="P699">
        <v>-0.82611371143425327</v>
      </c>
      <c r="Q699">
        <v>0.38925853621811146</v>
      </c>
      <c r="R699">
        <v>-0.67371772101320526</v>
      </c>
      <c r="S699" s="2">
        <v>0</v>
      </c>
      <c r="T699" s="2">
        <v>0</v>
      </c>
      <c r="U699" s="2">
        <v>3.712047137825381E-4</v>
      </c>
      <c r="V699" s="2">
        <v>7.042621143039516E-4</v>
      </c>
      <c r="W699" s="2">
        <v>1.2151458027116527E-3</v>
      </c>
      <c r="X699" s="2">
        <v>1.9546274700470941E-3</v>
      </c>
      <c r="Y699" s="2">
        <v>2.9714106619190845E-3</v>
      </c>
      <c r="Z699" s="2">
        <v>4.3041860233733898E-3</v>
      </c>
      <c r="AA699" s="2">
        <v>5.9716678496524768E-3</v>
      </c>
      <c r="AB699" s="2">
        <v>7.962058732484607E-3</v>
      </c>
      <c r="AC699" s="2">
        <v>1.0224580007313192E-2</v>
      </c>
      <c r="AD699" s="2">
        <v>1.2666618850354038E-2</v>
      </c>
      <c r="AE699" s="2">
        <v>1.5159948538647593E-2</v>
      </c>
      <c r="AF699" s="2">
        <v>1.7557665992129001E-2</v>
      </c>
      <c r="AG699" s="2">
        <v>1.9719838399324095E-2</v>
      </c>
      <c r="AH699" s="2">
        <v>2.1541426893692303E-2</v>
      </c>
      <c r="AI699" s="2">
        <v>2.2973164370164327E-2</v>
      </c>
      <c r="AJ699" s="2">
        <v>2.4093178599199308E-2</v>
      </c>
      <c r="AK699" s="2">
        <v>2.4810046970681527E-2</v>
      </c>
      <c r="AL699" s="2">
        <v>2.5436180391990183E-2</v>
      </c>
      <c r="AM699" s="2">
        <v>2.57629679540591E-2</v>
      </c>
      <c r="AN699" s="2">
        <v>2.5990306581684091E-2</v>
      </c>
      <c r="AO699" s="2">
        <v>2.6220379381922197E-2</v>
      </c>
      <c r="AP699" s="2">
        <v>2.6453216462461387E-2</v>
      </c>
      <c r="AQ699" s="2">
        <v>0</v>
      </c>
      <c r="AR699" s="2">
        <v>0.32406408276189719</v>
      </c>
    </row>
    <row r="700" spans="1:44" x14ac:dyDescent="0.25">
      <c r="A700" t="s">
        <v>250</v>
      </c>
      <c r="B700" t="s">
        <v>367</v>
      </c>
      <c r="C700" t="s">
        <v>45</v>
      </c>
      <c r="D700" t="s">
        <v>358</v>
      </c>
      <c r="E700" t="s">
        <v>148</v>
      </c>
      <c r="F700" t="s">
        <v>368</v>
      </c>
      <c r="G700" t="s">
        <v>31</v>
      </c>
      <c r="H700" t="s">
        <v>290</v>
      </c>
      <c r="I700" t="s">
        <v>135</v>
      </c>
      <c r="J700" t="s">
        <v>39</v>
      </c>
      <c r="K700" t="s">
        <v>31</v>
      </c>
      <c r="L700">
        <v>0.60808625336927302</v>
      </c>
      <c r="M700">
        <v>1</v>
      </c>
      <c r="N700">
        <v>4.3950725886364177</v>
      </c>
      <c r="O700">
        <v>3.1585068309872635</v>
      </c>
      <c r="P700">
        <v>-0.82611371143425327</v>
      </c>
      <c r="Q700">
        <v>0.38925853621811146</v>
      </c>
      <c r="R700">
        <v>-0.67371772101320526</v>
      </c>
      <c r="S700" s="2">
        <v>0</v>
      </c>
      <c r="T700" s="2">
        <v>0</v>
      </c>
      <c r="U700" s="2">
        <v>5.3752970819657562E-4</v>
      </c>
      <c r="V700" s="2">
        <v>1.0198195085892251E-3</v>
      </c>
      <c r="W700" s="2">
        <v>1.7596138855352757E-3</v>
      </c>
      <c r="X700" s="2">
        <v>2.8304337057070755E-3</v>
      </c>
      <c r="Y700" s="2">
        <v>4.3028050203297134E-3</v>
      </c>
      <c r="Z700" s="2">
        <v>6.2327545186376468E-3</v>
      </c>
      <c r="AA700" s="2">
        <v>8.6473817747666128E-3</v>
      </c>
      <c r="AB700" s="2">
        <v>1.1529603338021605E-2</v>
      </c>
      <c r="AC700" s="2">
        <v>1.4805888243605115E-2</v>
      </c>
      <c r="AD700" s="2">
        <v>1.8342126814846527E-2</v>
      </c>
      <c r="AE700" s="2">
        <v>2.195263802341773E-2</v>
      </c>
      <c r="AF700" s="2">
        <v>2.5424696203861057E-2</v>
      </c>
      <c r="AG700" s="2">
        <v>2.855566911438015E-2</v>
      </c>
      <c r="AH700" s="2">
        <v>3.1193453322060423E-2</v>
      </c>
      <c r="AI700" s="2">
        <v>3.3266706703193955E-2</v>
      </c>
      <c r="AJ700" s="2">
        <v>3.4888563590662044E-2</v>
      </c>
      <c r="AK700" s="2">
        <v>3.5926637818253983E-2</v>
      </c>
      <c r="AL700" s="2">
        <v>3.6833321658064883E-2</v>
      </c>
      <c r="AM700" s="2">
        <v>3.7306532305341235E-2</v>
      </c>
      <c r="AN700" s="2">
        <v>3.7635734122106974E-2</v>
      </c>
      <c r="AO700" s="2">
        <v>3.7968895207039714E-2</v>
      </c>
      <c r="AP700" s="2">
        <v>3.8306059158122879E-2</v>
      </c>
      <c r="AQ700" s="2">
        <v>0</v>
      </c>
      <c r="AR700" s="2">
        <v>0.46926686374474041</v>
      </c>
    </row>
    <row r="701" spans="1:44" x14ac:dyDescent="0.25">
      <c r="A701" t="s">
        <v>250</v>
      </c>
      <c r="B701" t="s">
        <v>366</v>
      </c>
      <c r="C701" t="s">
        <v>45</v>
      </c>
      <c r="D701" t="s">
        <v>358</v>
      </c>
      <c r="E701" t="s">
        <v>145</v>
      </c>
      <c r="F701" t="s">
        <v>359</v>
      </c>
      <c r="G701" t="s">
        <v>31</v>
      </c>
      <c r="H701" t="s">
        <v>254</v>
      </c>
      <c r="I701" t="s">
        <v>135</v>
      </c>
      <c r="J701" t="s">
        <v>39</v>
      </c>
      <c r="K701" t="s">
        <v>31</v>
      </c>
      <c r="L701">
        <v>0.87</v>
      </c>
      <c r="M701">
        <v>1</v>
      </c>
      <c r="N701">
        <v>2.5057109938538344</v>
      </c>
      <c r="O701">
        <v>3.1588853240212438</v>
      </c>
      <c r="P701">
        <v>-0.53252233435948138</v>
      </c>
      <c r="Q701">
        <v>0.68284991329288358</v>
      </c>
      <c r="R701">
        <v>-0.67371772101320504</v>
      </c>
      <c r="S701" s="2">
        <v>9.0538884935349815E-3</v>
      </c>
      <c r="T701" s="2">
        <v>1.7688998199188472E-2</v>
      </c>
      <c r="U701" s="2">
        <v>3.1044665691863191E-2</v>
      </c>
      <c r="V701" s="2">
        <v>4.9630033693731604E-2</v>
      </c>
      <c r="W701" s="2">
        <v>7.3131815999538496E-2</v>
      </c>
      <c r="X701" s="2">
        <v>0.10035804525054756</v>
      </c>
      <c r="Y701" s="2">
        <v>0.12944854771157646</v>
      </c>
      <c r="Z701" s="2">
        <v>0.15827599117189609</v>
      </c>
      <c r="AA701" s="2">
        <v>0.18489039781779004</v>
      </c>
      <c r="AB701" s="2">
        <v>0.20786255562696285</v>
      </c>
      <c r="AC701" s="2">
        <v>0.22644340018260342</v>
      </c>
      <c r="AD701" s="2">
        <v>0.24053646071865187</v>
      </c>
      <c r="AE701" s="2">
        <v>0.25054027818400199</v>
      </c>
      <c r="AF701" s="2">
        <v>0.25713949645400419</v>
      </c>
      <c r="AG701" s="2">
        <v>0.26111156862778678</v>
      </c>
      <c r="AH701" s="2">
        <v>0.26318726771793122</v>
      </c>
      <c r="AI701" s="2">
        <v>0.26397413446235407</v>
      </c>
      <c r="AJ701" s="2">
        <v>0.26420298660928954</v>
      </c>
      <c r="AK701" s="2">
        <v>0.26407389144180315</v>
      </c>
      <c r="AL701" s="2">
        <v>0.26288907991553423</v>
      </c>
      <c r="AM701" s="2">
        <v>0.2617095842436466</v>
      </c>
      <c r="AN701" s="2">
        <v>7.8471182178251997E-2</v>
      </c>
      <c r="AO701" s="2">
        <v>0</v>
      </c>
      <c r="AP701" s="2">
        <v>0</v>
      </c>
      <c r="AQ701" s="2">
        <v>0</v>
      </c>
      <c r="AR701" s="2">
        <v>3.8556642703924884</v>
      </c>
    </row>
    <row r="702" spans="1:44" x14ac:dyDescent="0.25">
      <c r="A702" t="s">
        <v>250</v>
      </c>
      <c r="B702" t="s">
        <v>366</v>
      </c>
      <c r="C702" t="s">
        <v>45</v>
      </c>
      <c r="D702" t="s">
        <v>358</v>
      </c>
      <c r="E702" t="s">
        <v>145</v>
      </c>
      <c r="F702" t="s">
        <v>359</v>
      </c>
      <c r="G702" t="s">
        <v>31</v>
      </c>
      <c r="H702" t="s">
        <v>255</v>
      </c>
      <c r="I702" t="s">
        <v>135</v>
      </c>
      <c r="J702" t="s">
        <v>39</v>
      </c>
      <c r="K702" t="s">
        <v>31</v>
      </c>
      <c r="L702">
        <v>0.87</v>
      </c>
      <c r="M702">
        <v>1</v>
      </c>
      <c r="N702">
        <v>2.5057109938538344</v>
      </c>
      <c r="O702">
        <v>3.1588853240212438</v>
      </c>
      <c r="P702">
        <v>-0.53252233435948138</v>
      </c>
      <c r="Q702">
        <v>0.68284991329288358</v>
      </c>
      <c r="R702">
        <v>-0.67371772101320504</v>
      </c>
      <c r="S702" s="2">
        <v>1.9939916813899931E-3</v>
      </c>
      <c r="T702" s="2">
        <v>3.878091144282799E-3</v>
      </c>
      <c r="U702" s="2">
        <v>6.7752969588134992E-3</v>
      </c>
      <c r="V702" s="2">
        <v>1.0782326806146271E-2</v>
      </c>
      <c r="W702" s="2">
        <v>1.581615280415951E-2</v>
      </c>
      <c r="X702" s="2">
        <v>2.1605944755206403E-2</v>
      </c>
      <c r="Y702" s="2">
        <v>2.7742450734322525E-2</v>
      </c>
      <c r="Z702" s="2">
        <v>3.3766749524289374E-2</v>
      </c>
      <c r="AA702" s="2">
        <v>3.9265862796263581E-2</v>
      </c>
      <c r="AB702" s="2">
        <v>4.3944408561189099E-2</v>
      </c>
      <c r="AC702" s="2">
        <v>4.7655562717461616E-2</v>
      </c>
      <c r="AD702" s="2">
        <v>5.0391980168755915E-2</v>
      </c>
      <c r="AE702" s="2">
        <v>5.2249800516370577E-2</v>
      </c>
      <c r="AF702" s="2">
        <v>5.3382934536651126E-2</v>
      </c>
      <c r="AG702" s="2">
        <v>5.3961789315756951E-2</v>
      </c>
      <c r="AH702" s="2">
        <v>5.4144167062331848E-2</v>
      </c>
      <c r="AI702" s="2">
        <v>5.4059839195322257E-2</v>
      </c>
      <c r="AJ702" s="2">
        <v>5.3861404135649223E-2</v>
      </c>
      <c r="AK702" s="2">
        <v>5.3591015560671064E-2</v>
      </c>
      <c r="AL702" s="2">
        <v>5.3108696420625032E-2</v>
      </c>
      <c r="AM702" s="2">
        <v>2.9443100141773607E-2</v>
      </c>
      <c r="AN702" s="2">
        <v>0</v>
      </c>
      <c r="AO702" s="2">
        <v>0</v>
      </c>
      <c r="AP702" s="2">
        <v>0</v>
      </c>
      <c r="AQ702" s="2">
        <v>0</v>
      </c>
      <c r="AR702" s="2">
        <v>0.76142156553743234</v>
      </c>
    </row>
    <row r="703" spans="1:44" x14ac:dyDescent="0.25">
      <c r="A703" t="s">
        <v>250</v>
      </c>
      <c r="B703" t="s">
        <v>366</v>
      </c>
      <c r="C703" t="s">
        <v>45</v>
      </c>
      <c r="D703" t="s">
        <v>358</v>
      </c>
      <c r="E703" t="s">
        <v>148</v>
      </c>
      <c r="F703" t="s">
        <v>359</v>
      </c>
      <c r="G703" t="s">
        <v>31</v>
      </c>
      <c r="H703" t="s">
        <v>254</v>
      </c>
      <c r="I703" t="s">
        <v>135</v>
      </c>
      <c r="J703" t="s">
        <v>39</v>
      </c>
      <c r="K703" t="s">
        <v>31</v>
      </c>
      <c r="L703">
        <v>0.87</v>
      </c>
      <c r="M703">
        <v>1</v>
      </c>
      <c r="N703">
        <v>2.5057109938538344</v>
      </c>
      <c r="O703">
        <v>3.1588853240212438</v>
      </c>
      <c r="P703">
        <v>-0.53252233435948138</v>
      </c>
      <c r="Q703">
        <v>0.68284991329288358</v>
      </c>
      <c r="R703">
        <v>-0.67371772101320504</v>
      </c>
      <c r="S703" s="2">
        <v>1.5402701671256703E-3</v>
      </c>
      <c r="T703" s="2">
        <v>4.2186940918619645E-3</v>
      </c>
      <c r="U703" s="2">
        <v>7.4875933706384469E-3</v>
      </c>
      <c r="V703" s="2">
        <v>1.2106030232916861E-2</v>
      </c>
      <c r="W703" s="2">
        <v>1.8042086816904768E-2</v>
      </c>
      <c r="X703" s="2">
        <v>2.5042459895060556E-2</v>
      </c>
      <c r="Y703" s="2">
        <v>3.2672876048860572E-2</v>
      </c>
      <c r="Z703" s="2">
        <v>4.0410243703706106E-2</v>
      </c>
      <c r="AA703" s="2">
        <v>4.7752678099332084E-2</v>
      </c>
      <c r="AB703" s="2">
        <v>5.4310917270666281E-2</v>
      </c>
      <c r="AC703" s="2">
        <v>5.9857481341078725E-2</v>
      </c>
      <c r="AD703" s="2">
        <v>6.4329152018499314E-2</v>
      </c>
      <c r="AE703" s="2">
        <v>6.7794223670287188E-2</v>
      </c>
      <c r="AF703" s="2">
        <v>7.040314886453794E-2</v>
      </c>
      <c r="AG703" s="2">
        <v>7.2339806430344766E-2</v>
      </c>
      <c r="AH703" s="2">
        <v>7.3784248158485971E-2</v>
      </c>
      <c r="AI703" s="2">
        <v>7.4890575652941285E-2</v>
      </c>
      <c r="AJ703" s="2">
        <v>7.5855981783219867E-2</v>
      </c>
      <c r="AK703" s="2">
        <v>7.6733151959261198E-2</v>
      </c>
      <c r="AL703" s="2">
        <v>7.7313363414950653E-2</v>
      </c>
      <c r="AM703" s="2">
        <v>7.790133914780048E-2</v>
      </c>
      <c r="AN703" s="2">
        <v>7.8497160586397982E-2</v>
      </c>
      <c r="AO703" s="2">
        <v>7.9100910097808078E-2</v>
      </c>
      <c r="AP703" s="2">
        <v>7.9712670997984597E-2</v>
      </c>
      <c r="AQ703" s="2">
        <v>8.0332527562307535E-2</v>
      </c>
      <c r="AR703" s="2">
        <v>1.3524295913829789</v>
      </c>
    </row>
    <row r="704" spans="1:44" x14ac:dyDescent="0.25">
      <c r="A704" t="s">
        <v>250</v>
      </c>
      <c r="B704" t="s">
        <v>366</v>
      </c>
      <c r="C704" t="s">
        <v>45</v>
      </c>
      <c r="D704" t="s">
        <v>358</v>
      </c>
      <c r="E704" t="s">
        <v>148</v>
      </c>
      <c r="F704" t="s">
        <v>359</v>
      </c>
      <c r="G704" t="s">
        <v>31</v>
      </c>
      <c r="H704" t="s">
        <v>255</v>
      </c>
      <c r="I704" t="s">
        <v>135</v>
      </c>
      <c r="J704" t="s">
        <v>39</v>
      </c>
      <c r="K704" t="s">
        <v>31</v>
      </c>
      <c r="L704">
        <v>0.87</v>
      </c>
      <c r="M704">
        <v>1</v>
      </c>
      <c r="N704">
        <v>2.5057109938538344</v>
      </c>
      <c r="O704">
        <v>3.1588853240212438</v>
      </c>
      <c r="P704">
        <v>-0.53252233435948138</v>
      </c>
      <c r="Q704">
        <v>0.68284991329288358</v>
      </c>
      <c r="R704">
        <v>-0.67371772101320504</v>
      </c>
      <c r="S704" s="2">
        <v>3.3922285463697108E-4</v>
      </c>
      <c r="T704" s="2">
        <v>1.1940392275935508E-3</v>
      </c>
      <c r="U704" s="2">
        <v>2.1097949515570202E-3</v>
      </c>
      <c r="V704" s="2">
        <v>3.3960909510446914E-3</v>
      </c>
      <c r="W704" s="2">
        <v>5.0392516244380861E-3</v>
      </c>
      <c r="X704" s="2">
        <v>6.9643431925303792E-3</v>
      </c>
      <c r="Y704" s="2">
        <v>9.0476678028886658E-3</v>
      </c>
      <c r="Z704" s="2">
        <v>1.114317803884341E-2</v>
      </c>
      <c r="AA704" s="2">
        <v>1.3113115031200552E-2</v>
      </c>
      <c r="AB704" s="2">
        <v>1.4852789666417386E-2</v>
      </c>
      <c r="AC704" s="2">
        <v>1.6303254014060502E-2</v>
      </c>
      <c r="AD704" s="2">
        <v>1.7451020862864427E-2</v>
      </c>
      <c r="AE704" s="2">
        <v>1.8318294055444259E-2</v>
      </c>
      <c r="AF704" s="2">
        <v>1.8948981866603317E-2</v>
      </c>
      <c r="AG704" s="2">
        <v>1.9395219655368414E-2</v>
      </c>
      <c r="AH704" s="2">
        <v>1.9707277821745774E-2</v>
      </c>
      <c r="AI704" s="2">
        <v>1.9927727844380311E-2</v>
      </c>
      <c r="AJ704" s="2">
        <v>2.0109905647518436E-2</v>
      </c>
      <c r="AK704" s="2">
        <v>2.0268178142788737E-2</v>
      </c>
      <c r="AL704" s="2">
        <v>2.0347897416058539E-2</v>
      </c>
      <c r="AM704" s="2">
        <v>2.0429838856001352E-2</v>
      </c>
      <c r="AN704" s="2">
        <v>2.0514015429161741E-2</v>
      </c>
      <c r="AO704" s="2">
        <v>2.0600440355077129E-2</v>
      </c>
      <c r="AP704" s="2">
        <v>2.068912710814624E-2</v>
      </c>
      <c r="AQ704" s="2">
        <v>2.0780089419528441E-2</v>
      </c>
      <c r="AR704" s="2">
        <v>0.36099076183589834</v>
      </c>
    </row>
    <row r="705" spans="1:44" x14ac:dyDescent="0.25">
      <c r="A705" t="s">
        <v>250</v>
      </c>
      <c r="B705" t="s">
        <v>375</v>
      </c>
      <c r="C705" t="s">
        <v>45</v>
      </c>
      <c r="D705" t="s">
        <v>358</v>
      </c>
      <c r="E705" t="s">
        <v>145</v>
      </c>
      <c r="F705" t="s">
        <v>368</v>
      </c>
      <c r="G705" t="s">
        <v>31</v>
      </c>
      <c r="H705" t="s">
        <v>254</v>
      </c>
      <c r="I705" t="s">
        <v>135</v>
      </c>
      <c r="J705" t="s">
        <v>39</v>
      </c>
      <c r="K705" t="s">
        <v>31</v>
      </c>
      <c r="L705">
        <v>0.56280323450134839</v>
      </c>
      <c r="M705">
        <v>1</v>
      </c>
      <c r="N705">
        <v>4.2704524277700431</v>
      </c>
      <c r="O705">
        <v>3.1588853240212429</v>
      </c>
      <c r="P705">
        <v>-0.81470637820874159</v>
      </c>
      <c r="Q705">
        <v>0.40066586944362315</v>
      </c>
      <c r="R705">
        <v>-0.67371772101320482</v>
      </c>
      <c r="S705" s="2">
        <v>0</v>
      </c>
      <c r="T705" s="2">
        <v>0</v>
      </c>
      <c r="U705" s="2">
        <v>7.7064128535368087E-4</v>
      </c>
      <c r="V705" s="2">
        <v>1.4435824659528773E-3</v>
      </c>
      <c r="W705" s="2">
        <v>2.4591781174947164E-3</v>
      </c>
      <c r="X705" s="2">
        <v>3.9054031542542981E-3</v>
      </c>
      <c r="Y705" s="2">
        <v>5.8612589410570997E-3</v>
      </c>
      <c r="Z705" s="2">
        <v>8.3816942468175476E-3</v>
      </c>
      <c r="AA705" s="2">
        <v>1.1479825538847971E-2</v>
      </c>
      <c r="AB705" s="2">
        <v>1.5109507697237965E-2</v>
      </c>
      <c r="AC705" s="2">
        <v>1.9153240247471854E-2</v>
      </c>
      <c r="AD705" s="2">
        <v>2.3421569161378691E-2</v>
      </c>
      <c r="AE705" s="2">
        <v>2.7669308291473228E-2</v>
      </c>
      <c r="AF705" s="2">
        <v>3.163002593881855E-2</v>
      </c>
      <c r="AG705" s="2">
        <v>3.5063504747414258E-2</v>
      </c>
      <c r="AH705" s="2">
        <v>3.7803566946124523E-2</v>
      </c>
      <c r="AI705" s="2">
        <v>3.978988849739986E-2</v>
      </c>
      <c r="AJ705" s="2">
        <v>4.1183851385853655E-2</v>
      </c>
      <c r="AK705" s="2">
        <v>4.1853220530399048E-2</v>
      </c>
      <c r="AL705" s="2">
        <v>4.234569114758046E-2</v>
      </c>
      <c r="AM705" s="2">
        <v>4.2325000147220536E-2</v>
      </c>
      <c r="AN705" s="2">
        <v>4.2135101979893341E-2</v>
      </c>
      <c r="AO705" s="2">
        <v>4.1946055822343557E-2</v>
      </c>
      <c r="AP705" s="2">
        <v>4.1757857851887306E-2</v>
      </c>
      <c r="AQ705" s="2">
        <v>0</v>
      </c>
      <c r="AR705" s="2">
        <v>0.55748897414227494</v>
      </c>
    </row>
    <row r="706" spans="1:44" x14ac:dyDescent="0.25">
      <c r="A706" t="s">
        <v>250</v>
      </c>
      <c r="B706" t="s">
        <v>375</v>
      </c>
      <c r="C706" t="s">
        <v>45</v>
      </c>
      <c r="D706" t="s">
        <v>358</v>
      </c>
      <c r="E706" t="s">
        <v>145</v>
      </c>
      <c r="F706" t="s">
        <v>368</v>
      </c>
      <c r="G706" t="s">
        <v>31</v>
      </c>
      <c r="H706" t="s">
        <v>255</v>
      </c>
      <c r="I706" t="s">
        <v>135</v>
      </c>
      <c r="J706" t="s">
        <v>39</v>
      </c>
      <c r="K706" t="s">
        <v>31</v>
      </c>
      <c r="L706">
        <v>0.56280323450134839</v>
      </c>
      <c r="M706">
        <v>1</v>
      </c>
      <c r="N706">
        <v>4.2704524277700431</v>
      </c>
      <c r="O706">
        <v>3.1588853240212429</v>
      </c>
      <c r="P706">
        <v>-0.81470637820874159</v>
      </c>
      <c r="Q706">
        <v>0.40066586944362315</v>
      </c>
      <c r="R706">
        <v>-0.67371772101320482</v>
      </c>
      <c r="S706" s="2">
        <v>0</v>
      </c>
      <c r="T706" s="2">
        <v>0</v>
      </c>
      <c r="U706" s="2">
        <v>1.6818746282590605E-4</v>
      </c>
      <c r="V706" s="2">
        <v>3.1362416587463177E-4</v>
      </c>
      <c r="W706" s="2">
        <v>5.3184426432385074E-4</v>
      </c>
      <c r="X706" s="2">
        <v>8.4078884345514663E-4</v>
      </c>
      <c r="Y706" s="2">
        <v>1.2561414576522302E-3</v>
      </c>
      <c r="Z706" s="2">
        <v>1.7881585711511233E-3</v>
      </c>
      <c r="AA706" s="2">
        <v>2.4380133303497863E-3</v>
      </c>
      <c r="AB706" s="2">
        <v>3.1943145190490886E-3</v>
      </c>
      <c r="AC706" s="2">
        <v>4.0308458587000493E-3</v>
      </c>
      <c r="AD706" s="2">
        <v>4.9067789771873828E-3</v>
      </c>
      <c r="AE706" s="2">
        <v>5.7703928850660535E-3</v>
      </c>
      <c r="AF706" s="2">
        <v>6.5664887244832847E-3</v>
      </c>
      <c r="AG706" s="2">
        <v>7.2462873468052873E-3</v>
      </c>
      <c r="AH706" s="2">
        <v>7.7771339853594272E-3</v>
      </c>
      <c r="AI706" s="2">
        <v>8.1486581181536254E-3</v>
      </c>
      <c r="AJ706" s="2">
        <v>8.3958932176506559E-3</v>
      </c>
      <c r="AK706" s="2">
        <v>8.4936703907478785E-3</v>
      </c>
      <c r="AL706" s="2">
        <v>8.5546514773492087E-3</v>
      </c>
      <c r="AM706" s="2">
        <v>8.5117064398123141E-3</v>
      </c>
      <c r="AN706" s="2">
        <v>8.4351010818540031E-3</v>
      </c>
      <c r="AO706" s="2">
        <v>8.3591851721173168E-3</v>
      </c>
      <c r="AP706" s="2">
        <v>8.2839525055682598E-3</v>
      </c>
      <c r="AQ706" s="2">
        <v>0</v>
      </c>
      <c r="AR706" s="2">
        <v>0.11401181879553653</v>
      </c>
    </row>
    <row r="707" spans="1:44" x14ac:dyDescent="0.25">
      <c r="A707" t="s">
        <v>250</v>
      </c>
      <c r="B707" t="s">
        <v>375</v>
      </c>
      <c r="C707" t="s">
        <v>45</v>
      </c>
      <c r="D707" t="s">
        <v>358</v>
      </c>
      <c r="E707" t="s">
        <v>148</v>
      </c>
      <c r="F707" t="s">
        <v>368</v>
      </c>
      <c r="G707" t="s">
        <v>31</v>
      </c>
      <c r="H707" t="s">
        <v>254</v>
      </c>
      <c r="I707" t="s">
        <v>135</v>
      </c>
      <c r="J707" t="s">
        <v>39</v>
      </c>
      <c r="K707" t="s">
        <v>31</v>
      </c>
      <c r="L707">
        <v>0.56280323450134839</v>
      </c>
      <c r="M707">
        <v>1</v>
      </c>
      <c r="N707">
        <v>4.2704524277700431</v>
      </c>
      <c r="O707">
        <v>3.1588853240212429</v>
      </c>
      <c r="P707">
        <v>-0.81470637820874159</v>
      </c>
      <c r="Q707">
        <v>0.40066586944362315</v>
      </c>
      <c r="R707">
        <v>-0.67371772101320482</v>
      </c>
      <c r="S707" s="2">
        <v>0</v>
      </c>
      <c r="T707" s="2">
        <v>0</v>
      </c>
      <c r="U707" s="2">
        <v>2.2304309422923745E-4</v>
      </c>
      <c r="V707" s="2">
        <v>4.2255187053176962E-4</v>
      </c>
      <c r="W707" s="2">
        <v>7.2803396695663249E-4</v>
      </c>
      <c r="X707" s="2">
        <v>1.169423756155784E-3</v>
      </c>
      <c r="Y707" s="2">
        <v>1.7752615097524956E-3</v>
      </c>
      <c r="Z707" s="2">
        <v>2.5679672930002035E-3</v>
      </c>
      <c r="AA707" s="2">
        <v>3.5579505700453532E-3</v>
      </c>
      <c r="AB707" s="2">
        <v>4.7374259595915841E-3</v>
      </c>
      <c r="AC707" s="2">
        <v>6.0755034757987471E-3</v>
      </c>
      <c r="AD707" s="2">
        <v>7.5166468081849114E-3</v>
      </c>
      <c r="AE707" s="2">
        <v>8.9845159686617448E-3</v>
      </c>
      <c r="AF707" s="2">
        <v>1.0392118467066376E-2</v>
      </c>
      <c r="AG707" s="2">
        <v>1.1657026884840193E-2</v>
      </c>
      <c r="AH707" s="2">
        <v>1.2717823878098267E-2</v>
      </c>
      <c r="AI707" s="2">
        <v>1.3546271088139158E-2</v>
      </c>
      <c r="AJ707" s="2">
        <v>1.4189278572121815E-2</v>
      </c>
      <c r="AK707" s="2">
        <v>1.4593776825459504E-2</v>
      </c>
      <c r="AL707" s="2">
        <v>1.4944193846935171E-2</v>
      </c>
      <c r="AM707" s="2">
        <v>1.5118319187713317E-2</v>
      </c>
      <c r="AN707" s="2">
        <v>1.5233950302481569E-2</v>
      </c>
      <c r="AO707" s="2">
        <v>1.535112001898164E-2</v>
      </c>
      <c r="AP707" s="2">
        <v>1.5469844506347436E-2</v>
      </c>
      <c r="AQ707" s="2">
        <v>0</v>
      </c>
      <c r="AR707" s="2">
        <v>0.19097204785109292</v>
      </c>
    </row>
    <row r="708" spans="1:44" x14ac:dyDescent="0.25">
      <c r="A708" t="s">
        <v>250</v>
      </c>
      <c r="B708" t="s">
        <v>375</v>
      </c>
      <c r="C708" t="s">
        <v>45</v>
      </c>
      <c r="D708" t="s">
        <v>358</v>
      </c>
      <c r="E708" t="s">
        <v>148</v>
      </c>
      <c r="F708" t="s">
        <v>368</v>
      </c>
      <c r="G708" t="s">
        <v>31</v>
      </c>
      <c r="H708" t="s">
        <v>255</v>
      </c>
      <c r="I708" t="s">
        <v>135</v>
      </c>
      <c r="J708" t="s">
        <v>39</v>
      </c>
      <c r="K708" t="s">
        <v>31</v>
      </c>
      <c r="L708">
        <v>0.56280323450134839</v>
      </c>
      <c r="M708">
        <v>1</v>
      </c>
      <c r="N708">
        <v>4.2704524277700431</v>
      </c>
      <c r="O708">
        <v>3.1588853240212429</v>
      </c>
      <c r="P708">
        <v>-0.81470637820874159</v>
      </c>
      <c r="Q708">
        <v>0.40066586944362315</v>
      </c>
      <c r="R708">
        <v>-0.67371772101320482</v>
      </c>
      <c r="S708" s="2">
        <v>0</v>
      </c>
      <c r="T708" s="2">
        <v>0</v>
      </c>
      <c r="U708" s="2">
        <v>6.2847322349233992E-5</v>
      </c>
      <c r="V708" s="2">
        <v>1.185379976962268E-4</v>
      </c>
      <c r="W708" s="2">
        <v>2.0334379209365259E-4</v>
      </c>
      <c r="X708" s="2">
        <v>3.2521838547391402E-4</v>
      </c>
      <c r="Y708" s="2">
        <v>4.9159971039817053E-4</v>
      </c>
      <c r="Z708" s="2">
        <v>7.0812037050901693E-4</v>
      </c>
      <c r="AA708" s="2">
        <v>9.7703033541448399E-4</v>
      </c>
      <c r="AB708" s="2">
        <v>1.2955772959489941E-3</v>
      </c>
      <c r="AC708" s="2">
        <v>1.6547718716203072E-3</v>
      </c>
      <c r="AD708" s="2">
        <v>2.0390935703722061E-3</v>
      </c>
      <c r="AE708" s="2">
        <v>2.427655286093539E-3</v>
      </c>
      <c r="AF708" s="2">
        <v>2.7970348992049543E-3</v>
      </c>
      <c r="AG708" s="2">
        <v>3.1253967644731093E-3</v>
      </c>
      <c r="AH708" s="2">
        <v>3.3968454610442391E-3</v>
      </c>
      <c r="AI708" s="2">
        <v>3.6045443795441399E-3</v>
      </c>
      <c r="AJ708" s="2">
        <v>3.7616684483391129E-3</v>
      </c>
      <c r="AK708" s="2">
        <v>3.8547780316851073E-3</v>
      </c>
      <c r="AL708" s="2">
        <v>3.9331224245293577E-3</v>
      </c>
      <c r="AM708" s="2">
        <v>3.964820478792719E-3</v>
      </c>
      <c r="AN708" s="2">
        <v>3.9811566331526878E-3</v>
      </c>
      <c r="AO708" s="2">
        <v>3.9979291255136254E-3</v>
      </c>
      <c r="AP708" s="2">
        <v>4.0151405708531828E-3</v>
      </c>
      <c r="AQ708" s="2">
        <v>0</v>
      </c>
      <c r="AR708" s="2">
        <v>5.0736233155101985E-2</v>
      </c>
    </row>
    <row r="709" spans="1:44" x14ac:dyDescent="0.25">
      <c r="A709" t="s">
        <v>250</v>
      </c>
      <c r="B709" t="s">
        <v>360</v>
      </c>
      <c r="C709" t="s">
        <v>45</v>
      </c>
      <c r="D709" t="s">
        <v>358</v>
      </c>
      <c r="E709" t="s">
        <v>145</v>
      </c>
      <c r="F709" t="s">
        <v>359</v>
      </c>
      <c r="G709" t="s">
        <v>31</v>
      </c>
      <c r="H709" t="s">
        <v>278</v>
      </c>
      <c r="I709" t="s">
        <v>135</v>
      </c>
      <c r="J709" t="s">
        <v>39</v>
      </c>
      <c r="K709" t="s">
        <v>31</v>
      </c>
      <c r="L709">
        <v>1.84</v>
      </c>
      <c r="M709">
        <v>1</v>
      </c>
      <c r="N709">
        <v>3.6426098018917625</v>
      </c>
      <c r="O709">
        <v>3.1588853240212424</v>
      </c>
      <c r="P709">
        <v>-0.7456473449187514</v>
      </c>
      <c r="Q709">
        <v>0.4697249027336135</v>
      </c>
      <c r="R709">
        <v>-0.67371772101320493</v>
      </c>
      <c r="S709" s="2">
        <v>1.6035266078060498E-2</v>
      </c>
      <c r="T709" s="2">
        <v>3.1186801807616033E-2</v>
      </c>
      <c r="U709" s="2">
        <v>5.4485527952009324E-2</v>
      </c>
      <c r="V709" s="2">
        <v>8.670922797262344E-2</v>
      </c>
      <c r="W709" s="2">
        <v>0.12719020892262034</v>
      </c>
      <c r="X709" s="2">
        <v>0.17375051072234074</v>
      </c>
      <c r="Y709" s="2">
        <v>0.22309901457173603</v>
      </c>
      <c r="Z709" s="2">
        <v>0.27154517156047353</v>
      </c>
      <c r="AA709" s="2">
        <v>0.31576789592411331</v>
      </c>
      <c r="AB709" s="2">
        <v>0.35339178718662173</v>
      </c>
      <c r="AC709" s="2">
        <v>0.38323611648244238</v>
      </c>
      <c r="AD709" s="2">
        <v>0.40524181607571469</v>
      </c>
      <c r="AE709" s="2">
        <v>0.42018202062986276</v>
      </c>
      <c r="AF709" s="2">
        <v>0.42929444857371191</v>
      </c>
      <c r="AG709" s="2">
        <v>0.43394947822611668</v>
      </c>
      <c r="AH709" s="2">
        <v>0.51756609347842608</v>
      </c>
      <c r="AI709" s="2">
        <v>0.57851868556196429</v>
      </c>
      <c r="AJ709" s="2">
        <v>0.57071120592079494</v>
      </c>
      <c r="AK709" s="2">
        <v>0.5591128969065946</v>
      </c>
      <c r="AL709" s="2">
        <v>0.54240443614496225</v>
      </c>
      <c r="AM709" s="2">
        <v>0.33701019707592722</v>
      </c>
      <c r="AN709" s="2">
        <v>8.389861338357861E-2</v>
      </c>
      <c r="AO709" s="2">
        <v>6.7481011925841591E-2</v>
      </c>
      <c r="AP709" s="2">
        <v>5.2090016806062053E-2</v>
      </c>
      <c r="AQ709" s="2">
        <v>3.8567597033840322E-2</v>
      </c>
      <c r="AR709" s="2">
        <v>7.072426046924055</v>
      </c>
    </row>
    <row r="710" spans="1:44" x14ac:dyDescent="0.25">
      <c r="A710" t="s">
        <v>250</v>
      </c>
      <c r="B710" t="s">
        <v>360</v>
      </c>
      <c r="C710" t="s">
        <v>45</v>
      </c>
      <c r="D710" t="s">
        <v>358</v>
      </c>
      <c r="E710" t="s">
        <v>148</v>
      </c>
      <c r="F710" t="s">
        <v>359</v>
      </c>
      <c r="G710" t="s">
        <v>31</v>
      </c>
      <c r="H710" t="s">
        <v>278</v>
      </c>
      <c r="I710" t="s">
        <v>135</v>
      </c>
      <c r="J710" t="s">
        <v>39</v>
      </c>
      <c r="K710" t="s">
        <v>31</v>
      </c>
      <c r="L710">
        <v>1.84</v>
      </c>
      <c r="M710">
        <v>1</v>
      </c>
      <c r="N710">
        <v>3.6426098018917625</v>
      </c>
      <c r="O710">
        <v>3.1588853240212424</v>
      </c>
      <c r="P710">
        <v>-0.7456473449187514</v>
      </c>
      <c r="Q710">
        <v>0.4697249027336135</v>
      </c>
      <c r="R710">
        <v>-0.67371772101320493</v>
      </c>
      <c r="S710" s="2">
        <v>2.7279595921238867E-3</v>
      </c>
      <c r="T710" s="2">
        <v>9.6022149444262225E-3</v>
      </c>
      <c r="U710" s="2">
        <v>1.6966531873785093E-2</v>
      </c>
      <c r="V710" s="2">
        <v>2.7310656575725272E-2</v>
      </c>
      <c r="W710" s="2">
        <v>4.0524612708431419E-2</v>
      </c>
      <c r="X710" s="2">
        <v>5.6005798416022413E-2</v>
      </c>
      <c r="Y710" s="2">
        <v>7.2759461315347662E-2</v>
      </c>
      <c r="Z710" s="2">
        <v>8.961111847943895E-2</v>
      </c>
      <c r="AA710" s="2">
        <v>0.10545294175497028</v>
      </c>
      <c r="AB710" s="2">
        <v>0.11944304308052306</v>
      </c>
      <c r="AC710" s="2">
        <v>0.13110737546880444</v>
      </c>
      <c r="AD710" s="2">
        <v>0.14033747757400239</v>
      </c>
      <c r="AE710" s="2">
        <v>0.14731190807698819</v>
      </c>
      <c r="AF710" s="2">
        <v>0.15238376818478808</v>
      </c>
      <c r="AG710" s="2">
        <v>0.15597231960338956</v>
      </c>
      <c r="AH710" s="2">
        <v>0.15848182642651013</v>
      </c>
      <c r="AI710" s="2">
        <v>0.16025463962470457</v>
      </c>
      <c r="AJ710" s="2">
        <v>0.16171967559958042</v>
      </c>
      <c r="AK710" s="2">
        <v>0.16299247006416318</v>
      </c>
      <c r="AL710" s="2">
        <v>0.16363355586725881</v>
      </c>
      <c r="AM710" s="2">
        <v>0.1642925118722226</v>
      </c>
      <c r="AN710" s="2">
        <v>0.16496944235330893</v>
      </c>
      <c r="AO710" s="2">
        <v>0.1656644536192878</v>
      </c>
      <c r="AP710" s="2">
        <v>0.16637765402846438</v>
      </c>
      <c r="AQ710" s="2">
        <v>0.16710915400396734</v>
      </c>
      <c r="AR710" s="2">
        <v>2.9030125711082353</v>
      </c>
    </row>
    <row r="711" spans="1:44" x14ac:dyDescent="0.25">
      <c r="A711" t="s">
        <v>250</v>
      </c>
      <c r="B711" t="s">
        <v>369</v>
      </c>
      <c r="C711" t="s">
        <v>45</v>
      </c>
      <c r="D711" t="s">
        <v>358</v>
      </c>
      <c r="E711" t="s">
        <v>145</v>
      </c>
      <c r="F711" t="s">
        <v>368</v>
      </c>
      <c r="G711" t="s">
        <v>31</v>
      </c>
      <c r="H711" t="s">
        <v>278</v>
      </c>
      <c r="I711" t="s">
        <v>135</v>
      </c>
      <c r="J711" t="s">
        <v>39</v>
      </c>
      <c r="K711" t="s">
        <v>31</v>
      </c>
      <c r="L711">
        <v>1.1902964959568747</v>
      </c>
      <c r="M711">
        <v>1</v>
      </c>
      <c r="N711">
        <v>5.0198246099953074</v>
      </c>
      <c r="O711">
        <v>3.1588853240212424</v>
      </c>
      <c r="P711">
        <v>-0.87451879801526411</v>
      </c>
      <c r="Q711">
        <v>0.34085344963710096</v>
      </c>
      <c r="R711">
        <v>-0.67371772101320515</v>
      </c>
      <c r="S711" s="2">
        <v>0</v>
      </c>
      <c r="T711" s="2">
        <v>0</v>
      </c>
      <c r="U711" s="2">
        <v>1.3525285699924814E-3</v>
      </c>
      <c r="V711" s="2">
        <v>2.5221002651344042E-3</v>
      </c>
      <c r="W711" s="2">
        <v>4.2769808771610848E-3</v>
      </c>
      <c r="X711" s="2">
        <v>6.7614488797012699E-3</v>
      </c>
      <c r="Y711" s="2">
        <v>1.0101628152778989E-2</v>
      </c>
      <c r="Z711" s="2">
        <v>1.4379999047029428E-2</v>
      </c>
      <c r="AA711" s="2">
        <v>1.9605995761609707E-2</v>
      </c>
      <c r="AB711" s="2">
        <v>2.568801250678128E-2</v>
      </c>
      <c r="AC711" s="2">
        <v>3.2415223427033846E-2</v>
      </c>
      <c r="AD711" s="2">
        <v>3.9459295251715897E-2</v>
      </c>
      <c r="AE711" s="2">
        <v>4.640429854876809E-2</v>
      </c>
      <c r="AF711" s="2">
        <v>5.2806335592269389E-2</v>
      </c>
      <c r="AG711" s="2">
        <v>5.827313462165825E-2</v>
      </c>
      <c r="AH711" s="2">
        <v>6.254209280002225E-2</v>
      </c>
      <c r="AI711" s="2">
        <v>6.5529812547991714E-2</v>
      </c>
      <c r="AJ711" s="2">
        <v>6.7518025759346248E-2</v>
      </c>
      <c r="AK711" s="2">
        <v>6.8304329434335301E-2</v>
      </c>
      <c r="AL711" s="2">
        <v>6.8794726640355686E-2</v>
      </c>
      <c r="AM711" s="2">
        <v>6.8449371586940241E-2</v>
      </c>
      <c r="AN711" s="2">
        <v>6.7833327242657795E-2</v>
      </c>
      <c r="AO711" s="2">
        <v>6.7222827297473864E-2</v>
      </c>
      <c r="AP711" s="2">
        <v>6.6617821851796599E-2</v>
      </c>
      <c r="AQ711" s="2">
        <v>0</v>
      </c>
      <c r="AR711" s="2">
        <v>0.9168593166625536</v>
      </c>
    </row>
    <row r="712" spans="1:44" x14ac:dyDescent="0.25">
      <c r="A712" t="s">
        <v>250</v>
      </c>
      <c r="B712" t="s">
        <v>369</v>
      </c>
      <c r="C712" t="s">
        <v>45</v>
      </c>
      <c r="D712" t="s">
        <v>358</v>
      </c>
      <c r="E712" t="s">
        <v>148</v>
      </c>
      <c r="F712" t="s">
        <v>368</v>
      </c>
      <c r="G712" t="s">
        <v>31</v>
      </c>
      <c r="H712" t="s">
        <v>278</v>
      </c>
      <c r="I712" t="s">
        <v>135</v>
      </c>
      <c r="J712" t="s">
        <v>39</v>
      </c>
      <c r="K712" t="s">
        <v>31</v>
      </c>
      <c r="L712">
        <v>1.1902964959568747</v>
      </c>
      <c r="M712">
        <v>1</v>
      </c>
      <c r="N712">
        <v>5.0198246099953074</v>
      </c>
      <c r="O712">
        <v>3.1588853240212424</v>
      </c>
      <c r="P712">
        <v>-0.87451879801526411</v>
      </c>
      <c r="Q712">
        <v>0.34085344963710096</v>
      </c>
      <c r="R712">
        <v>-0.67371772101320515</v>
      </c>
      <c r="S712" s="2">
        <v>0</v>
      </c>
      <c r="T712" s="2">
        <v>0</v>
      </c>
      <c r="U712" s="2">
        <v>5.054050854721207E-4</v>
      </c>
      <c r="V712" s="2">
        <v>9.5325790531608208E-4</v>
      </c>
      <c r="W712" s="2">
        <v>1.6352484526267208E-3</v>
      </c>
      <c r="X712" s="2">
        <v>2.6153385659643956E-3</v>
      </c>
      <c r="Y712" s="2">
        <v>3.9533425508761402E-3</v>
      </c>
      <c r="Z712" s="2">
        <v>5.6945566335018351E-3</v>
      </c>
      <c r="AA712" s="2">
        <v>7.8570746011270062E-3</v>
      </c>
      <c r="AB712" s="2">
        <v>1.0418762956299893E-2</v>
      </c>
      <c r="AC712" s="2">
        <v>1.3307330972125688E-2</v>
      </c>
      <c r="AD712" s="2">
        <v>1.6397966081878327E-2</v>
      </c>
      <c r="AE712" s="2">
        <v>1.9522698525594375E-2</v>
      </c>
      <c r="AF712" s="2">
        <v>2.2493172492629124E-2</v>
      </c>
      <c r="AG712" s="2">
        <v>2.5133790268823838E-2</v>
      </c>
      <c r="AH712" s="2">
        <v>2.7316724188100109E-2</v>
      </c>
      <c r="AI712" s="2">
        <v>2.8986995660822339E-2</v>
      </c>
      <c r="AJ712" s="2">
        <v>3.0250554718721279E-2</v>
      </c>
      <c r="AK712" s="2">
        <v>3.099932260842956E-2</v>
      </c>
      <c r="AL712" s="2">
        <v>3.1629351909306942E-2</v>
      </c>
      <c r="AM712" s="2">
        <v>3.1884261064151063E-2</v>
      </c>
      <c r="AN712" s="2">
        <v>3.2015633017353787E-2</v>
      </c>
      <c r="AO712" s="2">
        <v>3.2150513909942682E-2</v>
      </c>
      <c r="AP712" s="2">
        <v>3.2288924771022777E-2</v>
      </c>
      <c r="AQ712" s="2">
        <v>0</v>
      </c>
      <c r="AR712" s="2">
        <v>0.4080102269400861</v>
      </c>
    </row>
    <row r="713" spans="1:44" x14ac:dyDescent="0.25">
      <c r="A713" t="s">
        <v>250</v>
      </c>
      <c r="B713" t="s">
        <v>361</v>
      </c>
      <c r="C713" t="s">
        <v>45</v>
      </c>
      <c r="D713" t="s">
        <v>358</v>
      </c>
      <c r="E713" t="s">
        <v>145</v>
      </c>
      <c r="F713" t="s">
        <v>359</v>
      </c>
      <c r="G713" t="s">
        <v>31</v>
      </c>
      <c r="H713" t="s">
        <v>272</v>
      </c>
      <c r="I713" t="s">
        <v>135</v>
      </c>
      <c r="J713" t="s">
        <v>39</v>
      </c>
      <c r="K713" t="s">
        <v>31</v>
      </c>
      <c r="L713">
        <v>1.1100000000000001</v>
      </c>
      <c r="M713">
        <v>1</v>
      </c>
      <c r="N713">
        <v>2.8805169099386236</v>
      </c>
      <c r="O713">
        <v>3.1588853240212433</v>
      </c>
      <c r="P713">
        <v>-0.62137311888954427</v>
      </c>
      <c r="Q713">
        <v>0.59399912876282102</v>
      </c>
      <c r="R713">
        <v>-0.67371772101320537</v>
      </c>
      <c r="S713" s="2">
        <v>3.4782438481299983E-3</v>
      </c>
      <c r="T713" s="2">
        <v>6.7948312775203299E-3</v>
      </c>
      <c r="U713" s="2">
        <v>1.1923753308074164E-2</v>
      </c>
      <c r="V713" s="2">
        <v>1.9059922051101089E-2</v>
      </c>
      <c r="W713" s="2">
        <v>2.8082351005637479E-2</v>
      </c>
      <c r="X713" s="2">
        <v>3.8532736658313201E-2</v>
      </c>
      <c r="Y713" s="2">
        <v>4.9696453653571795E-2</v>
      </c>
      <c r="Z713" s="2">
        <v>6.0756649099766316E-2</v>
      </c>
      <c r="AA713" s="2">
        <v>7.0964914460430586E-2</v>
      </c>
      <c r="AB713" s="2">
        <v>7.9773040379685647E-2</v>
      </c>
      <c r="AC713" s="2">
        <v>8.6894063064842791E-2</v>
      </c>
      <c r="AD713" s="2">
        <v>9.2291543461758177E-2</v>
      </c>
      <c r="AE713" s="2">
        <v>9.6118968887275502E-2</v>
      </c>
      <c r="AF713" s="2">
        <v>9.8639506865991142E-2</v>
      </c>
      <c r="AG713" s="2">
        <v>0.10015180305674982</v>
      </c>
      <c r="AH713" s="2">
        <v>0.1187557906010098</v>
      </c>
      <c r="AI713" s="2">
        <v>0.12566837462298031</v>
      </c>
      <c r="AJ713" s="2">
        <v>0.12479086212803162</v>
      </c>
      <c r="AK713" s="2">
        <v>0.12321537159924979</v>
      </c>
      <c r="AL713" s="2">
        <v>0.12063414523366042</v>
      </c>
      <c r="AM713" s="2">
        <v>0.1176464912251507</v>
      </c>
      <c r="AN713" s="2">
        <v>4.280726835928849E-2</v>
      </c>
      <c r="AO713" s="2">
        <v>1.1766604212164713E-2</v>
      </c>
      <c r="AP713" s="2">
        <v>9.119860142217209E-3</v>
      </c>
      <c r="AQ713" s="2">
        <v>6.7795162349258845E-3</v>
      </c>
      <c r="AR713" s="2">
        <v>1.6443430654375271</v>
      </c>
    </row>
    <row r="714" spans="1:44" x14ac:dyDescent="0.25">
      <c r="A714" t="s">
        <v>250</v>
      </c>
      <c r="B714" t="s">
        <v>361</v>
      </c>
      <c r="C714" t="s">
        <v>45</v>
      </c>
      <c r="D714" t="s">
        <v>358</v>
      </c>
      <c r="E714" t="s">
        <v>145</v>
      </c>
      <c r="F714" t="s">
        <v>359</v>
      </c>
      <c r="G714" t="s">
        <v>31</v>
      </c>
      <c r="H714" t="s">
        <v>272</v>
      </c>
      <c r="I714" t="s">
        <v>135</v>
      </c>
      <c r="J714" t="s">
        <v>40</v>
      </c>
      <c r="K714" t="s">
        <v>31</v>
      </c>
      <c r="L714">
        <v>1.1100000000000001</v>
      </c>
      <c r="M714">
        <v>1</v>
      </c>
      <c r="N714">
        <v>2.8805169099386236</v>
      </c>
      <c r="O714">
        <v>1.9798085216903565</v>
      </c>
      <c r="P714">
        <v>-0.62137311888954427</v>
      </c>
      <c r="Q714">
        <v>0.4672931329656026</v>
      </c>
      <c r="R714">
        <v>-0.53071772101320513</v>
      </c>
      <c r="S714" s="2">
        <v>3.4405341802354138E-4</v>
      </c>
      <c r="T714" s="2">
        <v>6.7211645531436613E-4</v>
      </c>
      <c r="U714" s="2">
        <v>1.1794480951983844E-3</v>
      </c>
      <c r="V714" s="2">
        <v>1.8853282332315954E-3</v>
      </c>
      <c r="W714" s="2">
        <v>2.7777893878317009E-3</v>
      </c>
      <c r="X714" s="2">
        <v>3.811498081200136E-3</v>
      </c>
      <c r="Y714" s="2">
        <v>4.9157665447614818E-3</v>
      </c>
      <c r="Z714" s="2">
        <v>6.0097950871586649E-3</v>
      </c>
      <c r="AA714" s="2">
        <v>7.0195542480398446E-3</v>
      </c>
      <c r="AB714" s="2">
        <v>7.8908174375171176E-3</v>
      </c>
      <c r="AC714" s="2">
        <v>8.5951993904870589E-3</v>
      </c>
      <c r="AD714" s="2">
        <v>9.1290957072367226E-3</v>
      </c>
      <c r="AE714" s="2">
        <v>9.5076887149085181E-3</v>
      </c>
      <c r="AF714" s="2">
        <v>9.7570098507171778E-3</v>
      </c>
      <c r="AG714" s="2">
        <v>9.9065999013900896E-3</v>
      </c>
      <c r="AH714" s="2">
        <v>9.9842153658412126E-3</v>
      </c>
      <c r="AI714" s="2">
        <v>1.0012925730327899E-2</v>
      </c>
      <c r="AJ714" s="2">
        <v>1.0020465526702058E-2</v>
      </c>
      <c r="AK714" s="2">
        <v>1.0014429101685972E-2</v>
      </c>
      <c r="AL714" s="2">
        <v>9.9683627278182134E-3</v>
      </c>
      <c r="AM714" s="2">
        <v>9.9225082592702529E-3</v>
      </c>
      <c r="AN714" s="2">
        <v>2.7931828871676175E-3</v>
      </c>
      <c r="AO714" s="2">
        <v>0</v>
      </c>
      <c r="AP714" s="2">
        <v>0</v>
      </c>
      <c r="AQ714" s="2">
        <v>0</v>
      </c>
      <c r="AR714" s="2">
        <v>0.14611785015182963</v>
      </c>
    </row>
    <row r="715" spans="1:44" x14ac:dyDescent="0.25">
      <c r="A715" t="s">
        <v>250</v>
      </c>
      <c r="B715" t="s">
        <v>361</v>
      </c>
      <c r="C715" t="s">
        <v>45</v>
      </c>
      <c r="D715" t="s">
        <v>358</v>
      </c>
      <c r="E715" t="s">
        <v>145</v>
      </c>
      <c r="F715" t="s">
        <v>359</v>
      </c>
      <c r="G715" t="s">
        <v>31</v>
      </c>
      <c r="H715" t="s">
        <v>273</v>
      </c>
      <c r="I715" t="s">
        <v>135</v>
      </c>
      <c r="J715" t="s">
        <v>39</v>
      </c>
      <c r="K715" t="s">
        <v>31</v>
      </c>
      <c r="L715">
        <v>1.1100000000000001</v>
      </c>
      <c r="M715">
        <v>1</v>
      </c>
      <c r="N715">
        <v>2.8805169099386236</v>
      </c>
      <c r="O715">
        <v>3.1588853240212433</v>
      </c>
      <c r="P715">
        <v>-0.62137311888954427</v>
      </c>
      <c r="Q715">
        <v>0.59399912876282102</v>
      </c>
      <c r="R715">
        <v>-0.67371772101320537</v>
      </c>
      <c r="S715" s="2">
        <v>1.0461046110522582E-3</v>
      </c>
      <c r="T715" s="2">
        <v>2.0435899957266189E-3</v>
      </c>
      <c r="U715" s="2">
        <v>3.5861468779229207E-3</v>
      </c>
      <c r="V715" s="2">
        <v>5.7323963513004001E-3</v>
      </c>
      <c r="W715" s="2">
        <v>8.4459509335377183E-3</v>
      </c>
      <c r="X715" s="2">
        <v>1.1588972842256361E-2</v>
      </c>
      <c r="Y715" s="2">
        <v>1.4946533822778506E-2</v>
      </c>
      <c r="Z715" s="2">
        <v>1.8272960019614506E-2</v>
      </c>
      <c r="AA715" s="2">
        <v>2.1343162665233281E-2</v>
      </c>
      <c r="AB715" s="2">
        <v>2.3992264206465202E-2</v>
      </c>
      <c r="AC715" s="2">
        <v>2.6133958403769846E-2</v>
      </c>
      <c r="AD715" s="2">
        <v>2.7757285973029535E-2</v>
      </c>
      <c r="AE715" s="2">
        <v>2.8908409229739952E-2</v>
      </c>
      <c r="AF715" s="2">
        <v>2.9666477530007149E-2</v>
      </c>
      <c r="AG715" s="2">
        <v>3.0121310511104761E-2</v>
      </c>
      <c r="AH715" s="2">
        <v>3.5716581574251276E-2</v>
      </c>
      <c r="AI715" s="2">
        <v>3.7795586478854878E-2</v>
      </c>
      <c r="AJ715" s="2">
        <v>3.7531668850504685E-2</v>
      </c>
      <c r="AK715" s="2">
        <v>3.7057829758483193E-2</v>
      </c>
      <c r="AL715" s="2">
        <v>3.6281509028507693E-2</v>
      </c>
      <c r="AM715" s="2">
        <v>3.5382952523847731E-2</v>
      </c>
      <c r="AN715" s="2">
        <v>1.2874566238729476E-2</v>
      </c>
      <c r="AO715" s="2">
        <v>3.5388832583977529E-3</v>
      </c>
      <c r="AP715" s="2">
        <v>2.7428576498609619E-3</v>
      </c>
      <c r="AQ715" s="2">
        <v>2.0389838963914175E-3</v>
      </c>
      <c r="AR715" s="2">
        <v>0.494546943231368</v>
      </c>
    </row>
    <row r="716" spans="1:44" x14ac:dyDescent="0.25">
      <c r="A716" t="s">
        <v>250</v>
      </c>
      <c r="B716" t="s">
        <v>361</v>
      </c>
      <c r="C716" t="s">
        <v>45</v>
      </c>
      <c r="D716" t="s">
        <v>358</v>
      </c>
      <c r="E716" t="s">
        <v>145</v>
      </c>
      <c r="F716" t="s">
        <v>359</v>
      </c>
      <c r="G716" t="s">
        <v>31</v>
      </c>
      <c r="H716" t="s">
        <v>274</v>
      </c>
      <c r="I716" t="s">
        <v>135</v>
      </c>
      <c r="J716" t="s">
        <v>39</v>
      </c>
      <c r="K716" t="s">
        <v>31</v>
      </c>
      <c r="L716">
        <v>1.1100000000000001</v>
      </c>
      <c r="M716">
        <v>1</v>
      </c>
      <c r="N716">
        <v>2.8805169099386236</v>
      </c>
      <c r="O716">
        <v>3.1588853240212433</v>
      </c>
      <c r="P716">
        <v>-0.62137311888954427</v>
      </c>
      <c r="Q716">
        <v>0.59399912876282102</v>
      </c>
      <c r="R716">
        <v>-0.67371772101320537</v>
      </c>
      <c r="S716" s="2">
        <v>1.6467559842003904E-3</v>
      </c>
      <c r="T716" s="2">
        <v>3.2169765998161224E-3</v>
      </c>
      <c r="U716" s="2">
        <v>5.6452373587196703E-3</v>
      </c>
      <c r="V716" s="2">
        <v>9.0238183596352099E-3</v>
      </c>
      <c r="W716" s="2">
        <v>1.3295439189466796E-2</v>
      </c>
      <c r="X716" s="2">
        <v>1.8243118496079482E-2</v>
      </c>
      <c r="Y716" s="2">
        <v>2.3528520719315028E-2</v>
      </c>
      <c r="Z716" s="2">
        <v>2.8764911217709448E-2</v>
      </c>
      <c r="AA716" s="2">
        <v>3.359795996442607E-2</v>
      </c>
      <c r="AB716" s="2">
        <v>3.7768120166081297E-2</v>
      </c>
      <c r="AC716" s="2">
        <v>4.1139530346742961E-2</v>
      </c>
      <c r="AD716" s="2">
        <v>4.3694938630726064E-2</v>
      </c>
      <c r="AE716" s="2">
        <v>4.5507012768926582E-2</v>
      </c>
      <c r="AF716" s="2">
        <v>4.6700348021164823E-2</v>
      </c>
      <c r="AG716" s="2">
        <v>4.7416336580550653E-2</v>
      </c>
      <c r="AH716" s="2">
        <v>5.6224295181547139E-2</v>
      </c>
      <c r="AI716" s="2">
        <v>5.9497021189698712E-2</v>
      </c>
      <c r="AJ716" s="2">
        <v>5.908156758283184E-2</v>
      </c>
      <c r="AK716" s="2">
        <v>5.8335660001419216E-2</v>
      </c>
      <c r="AL716" s="2">
        <v>5.7113592156349813E-2</v>
      </c>
      <c r="AM716" s="2">
        <v>5.5699103313113854E-2</v>
      </c>
      <c r="AN716" s="2">
        <v>2.0266872713892548E-2</v>
      </c>
      <c r="AO716" s="2">
        <v>5.5708359580703727E-3</v>
      </c>
      <c r="AP716" s="2">
        <v>4.3177491055841361E-3</v>
      </c>
      <c r="AQ716" s="2">
        <v>3.209725774646332E-3</v>
      </c>
      <c r="AR716" s="2">
        <v>0.7785054473807147</v>
      </c>
    </row>
    <row r="717" spans="1:44" x14ac:dyDescent="0.25">
      <c r="A717" t="s">
        <v>250</v>
      </c>
      <c r="B717" t="s">
        <v>361</v>
      </c>
      <c r="C717" t="s">
        <v>45</v>
      </c>
      <c r="D717" t="s">
        <v>358</v>
      </c>
      <c r="E717" t="s">
        <v>145</v>
      </c>
      <c r="F717" t="s">
        <v>359</v>
      </c>
      <c r="G717" t="s">
        <v>31</v>
      </c>
      <c r="H717" t="s">
        <v>274</v>
      </c>
      <c r="I717" t="s">
        <v>135</v>
      </c>
      <c r="J717" t="s">
        <v>39</v>
      </c>
      <c r="K717" t="s">
        <v>33</v>
      </c>
      <c r="L717">
        <v>1.1100000000000001</v>
      </c>
      <c r="M717">
        <v>1</v>
      </c>
      <c r="N717">
        <v>2.8805169099386236</v>
      </c>
      <c r="O717">
        <v>3.1588853240212433</v>
      </c>
      <c r="P717">
        <v>-0.62137311888954427</v>
      </c>
      <c r="Q717">
        <v>0.59399912876282102</v>
      </c>
      <c r="R717">
        <v>-0.67371772101320537</v>
      </c>
      <c r="S717" s="2">
        <v>5.2984087645960079E-6</v>
      </c>
      <c r="T717" s="2">
        <v>1.0350566310674389E-5</v>
      </c>
      <c r="U717" s="2">
        <v>1.8163453108196111E-5</v>
      </c>
      <c r="V717" s="2">
        <v>2.9033978771317116E-5</v>
      </c>
      <c r="W717" s="2">
        <v>4.2777844566224364E-5</v>
      </c>
      <c r="X717" s="2">
        <v>5.8696916762762311E-5</v>
      </c>
      <c r="Y717" s="2">
        <v>7.5702606575150881E-5</v>
      </c>
      <c r="Z717" s="2">
        <v>9.2550602014506781E-5</v>
      </c>
      <c r="AA717" s="2">
        <v>1.0810085237643713E-4</v>
      </c>
      <c r="AB717" s="2">
        <v>1.2151827036319988E-4</v>
      </c>
      <c r="AC717" s="2">
        <v>1.3236572403675653E-4</v>
      </c>
      <c r="AD717" s="2">
        <v>1.4058770578686489E-4</v>
      </c>
      <c r="AE717" s="2">
        <v>1.4641802283933418E-4</v>
      </c>
      <c r="AF717" s="2">
        <v>1.5025755827762836E-4</v>
      </c>
      <c r="AG717" s="2">
        <v>1.5256123902620175E-4</v>
      </c>
      <c r="AH717" s="2">
        <v>1.8090069277494833E-4</v>
      </c>
      <c r="AI717" s="2">
        <v>1.9143063183822188E-4</v>
      </c>
      <c r="AJ717" s="2">
        <v>1.9009391707718539E-4</v>
      </c>
      <c r="AK717" s="2">
        <v>1.8769397239512349E-4</v>
      </c>
      <c r="AL717" s="2">
        <v>1.8376199033866153E-4</v>
      </c>
      <c r="AM717" s="2">
        <v>1.7921089706416973E-4</v>
      </c>
      <c r="AN717" s="2">
        <v>6.5208310793162408E-5</v>
      </c>
      <c r="AO717" s="2">
        <v>1.7924067894430007E-5</v>
      </c>
      <c r="AP717" s="2">
        <v>1.3892282720601084E-5</v>
      </c>
      <c r="AQ717" s="2">
        <v>1.0327236906683247E-5</v>
      </c>
      <c r="AR717" s="2">
        <v>2.5048277493830372E-3</v>
      </c>
    </row>
    <row r="718" spans="1:44" x14ac:dyDescent="0.25">
      <c r="A718" t="s">
        <v>250</v>
      </c>
      <c r="B718" t="s">
        <v>361</v>
      </c>
      <c r="C718" t="s">
        <v>45</v>
      </c>
      <c r="D718" t="s">
        <v>358</v>
      </c>
      <c r="E718" t="s">
        <v>145</v>
      </c>
      <c r="F718" t="s">
        <v>359</v>
      </c>
      <c r="G718" t="s">
        <v>31</v>
      </c>
      <c r="H718" t="s">
        <v>275</v>
      </c>
      <c r="I718" t="s">
        <v>135</v>
      </c>
      <c r="J718" t="s">
        <v>39</v>
      </c>
      <c r="K718" t="s">
        <v>31</v>
      </c>
      <c r="L718">
        <v>1.1100000000000001</v>
      </c>
      <c r="M718">
        <v>1</v>
      </c>
      <c r="N718">
        <v>2.8805169099386236</v>
      </c>
      <c r="O718">
        <v>3.1588853240212433</v>
      </c>
      <c r="P718">
        <v>-0.62137311888954427</v>
      </c>
      <c r="Q718">
        <v>0.59399912876282102</v>
      </c>
      <c r="R718">
        <v>-0.67371772101320537</v>
      </c>
      <c r="S718" s="2">
        <v>2.5157283662564913E-3</v>
      </c>
      <c r="T718" s="2">
        <v>4.9145346143499727E-3</v>
      </c>
      <c r="U718" s="2">
        <v>8.6241579771625405E-3</v>
      </c>
      <c r="V718" s="2">
        <v>1.378557359869167E-2</v>
      </c>
      <c r="W718" s="2">
        <v>2.0311274913642371E-2</v>
      </c>
      <c r="X718" s="2">
        <v>2.7869782244544596E-2</v>
      </c>
      <c r="Y718" s="2">
        <v>3.5944224619518086E-2</v>
      </c>
      <c r="Z718" s="2">
        <v>4.3943792400049531E-2</v>
      </c>
      <c r="AA718" s="2">
        <v>5.1327180069060618E-2</v>
      </c>
      <c r="AB718" s="2">
        <v>5.7697881260853776E-2</v>
      </c>
      <c r="AC718" s="2">
        <v>6.2848342110640706E-2</v>
      </c>
      <c r="AD718" s="2">
        <v>6.6752207145328701E-2</v>
      </c>
      <c r="AE718" s="2">
        <v>6.9520489972273697E-2</v>
      </c>
      <c r="AF718" s="2">
        <v>7.1343533199875686E-2</v>
      </c>
      <c r="AG718" s="2">
        <v>7.2437339899862688E-2</v>
      </c>
      <c r="AH718" s="2">
        <v>8.5893147265335312E-2</v>
      </c>
      <c r="AI718" s="2">
        <v>9.0892849548299667E-2</v>
      </c>
      <c r="AJ718" s="2">
        <v>9.0258166308228915E-2</v>
      </c>
      <c r="AK718" s="2">
        <v>8.9118652695301906E-2</v>
      </c>
      <c r="AL718" s="2">
        <v>8.7251715047691553E-2</v>
      </c>
      <c r="AM718" s="2">
        <v>8.5090818265883578E-2</v>
      </c>
      <c r="AN718" s="2">
        <v>3.0961446061728438E-2</v>
      </c>
      <c r="AO718" s="2">
        <v>8.5104958949242006E-3</v>
      </c>
      <c r="AP718" s="2">
        <v>6.5961709005545148E-3</v>
      </c>
      <c r="AQ718" s="2">
        <v>4.9034576201058408E-3</v>
      </c>
      <c r="AR718" s="2">
        <v>1.1893129620001652</v>
      </c>
    </row>
    <row r="719" spans="1:44" x14ac:dyDescent="0.25">
      <c r="A719" t="s">
        <v>250</v>
      </c>
      <c r="B719" t="s">
        <v>361</v>
      </c>
      <c r="C719" t="s">
        <v>45</v>
      </c>
      <c r="D719" t="s">
        <v>358</v>
      </c>
      <c r="E719" t="s">
        <v>148</v>
      </c>
      <c r="F719" t="s">
        <v>359</v>
      </c>
      <c r="G719" t="s">
        <v>31</v>
      </c>
      <c r="H719" t="s">
        <v>272</v>
      </c>
      <c r="I719" t="s">
        <v>135</v>
      </c>
      <c r="J719" t="s">
        <v>39</v>
      </c>
      <c r="K719" t="s">
        <v>31</v>
      </c>
      <c r="L719">
        <v>1.1100000000000001</v>
      </c>
      <c r="M719">
        <v>1</v>
      </c>
      <c r="N719">
        <v>2.8805169099386236</v>
      </c>
      <c r="O719">
        <v>3.1588853240212433</v>
      </c>
      <c r="P719">
        <v>-0.62137311888954427</v>
      </c>
      <c r="Q719">
        <v>0.59399912876282102</v>
      </c>
      <c r="R719">
        <v>-0.67371772101320537</v>
      </c>
      <c r="S719" s="2">
        <v>5.9172754746080174E-4</v>
      </c>
      <c r="T719" s="2">
        <v>1.6323056646400697E-3</v>
      </c>
      <c r="U719" s="2">
        <v>2.8967905266593622E-3</v>
      </c>
      <c r="V719" s="2">
        <v>4.6830471606820164E-3</v>
      </c>
      <c r="W719" s="2">
        <v>6.978563428670005E-3</v>
      </c>
      <c r="X719" s="2">
        <v>9.6852153109145724E-3</v>
      </c>
      <c r="Y719" s="2">
        <v>1.2634941455265017E-2</v>
      </c>
      <c r="Z719" s="2">
        <v>1.5625411268516739E-2</v>
      </c>
      <c r="AA719" s="2">
        <v>1.8462579575877294E-2</v>
      </c>
      <c r="AB719" s="2">
        <v>2.0996020286222283E-2</v>
      </c>
      <c r="AC719" s="2">
        <v>2.3137904301235301E-2</v>
      </c>
      <c r="AD719" s="2">
        <v>2.4863924521841552E-2</v>
      </c>
      <c r="AE719" s="2">
        <v>2.620060664184258E-2</v>
      </c>
      <c r="AF719" s="2">
        <v>2.7206211632253032E-2</v>
      </c>
      <c r="AG719" s="2">
        <v>2.7951890805681799E-2</v>
      </c>
      <c r="AH719" s="2">
        <v>2.8507287172348541E-2</v>
      </c>
      <c r="AI719" s="2">
        <v>2.8931990328292117E-2</v>
      </c>
      <c r="AJ719" s="2">
        <v>2.930221183767457E-2</v>
      </c>
      <c r="AK719" s="2">
        <v>2.963831793792724E-2</v>
      </c>
      <c r="AL719" s="2">
        <v>2.9859706863850085E-2</v>
      </c>
      <c r="AM719" s="2">
        <v>3.0084089042954884E-2</v>
      </c>
      <c r="AN719" s="2">
        <v>3.0311495694088097E-2</v>
      </c>
      <c r="AO719" s="2">
        <v>3.0541958396999042E-2</v>
      </c>
      <c r="AP719" s="2">
        <v>3.0775509096332847E-2</v>
      </c>
      <c r="AQ719" s="2">
        <v>3.1012180105677457E-2</v>
      </c>
      <c r="AR719" s="2">
        <v>0.52251188660390746</v>
      </c>
    </row>
    <row r="720" spans="1:44" x14ac:dyDescent="0.25">
      <c r="A720" t="s">
        <v>250</v>
      </c>
      <c r="B720" t="s">
        <v>361</v>
      </c>
      <c r="C720" t="s">
        <v>45</v>
      </c>
      <c r="D720" t="s">
        <v>358</v>
      </c>
      <c r="E720" t="s">
        <v>148</v>
      </c>
      <c r="F720" t="s">
        <v>359</v>
      </c>
      <c r="G720" t="s">
        <v>31</v>
      </c>
      <c r="H720" t="s">
        <v>272</v>
      </c>
      <c r="I720" t="s">
        <v>135</v>
      </c>
      <c r="J720" t="s">
        <v>40</v>
      </c>
      <c r="K720" t="s">
        <v>31</v>
      </c>
      <c r="L720">
        <v>1.1100000000000001</v>
      </c>
      <c r="M720">
        <v>1</v>
      </c>
      <c r="N720">
        <v>2.8805169099386236</v>
      </c>
      <c r="O720">
        <v>1.9798085216903565</v>
      </c>
      <c r="P720">
        <v>-0.62137311888954427</v>
      </c>
      <c r="Q720">
        <v>0.4672931329656026</v>
      </c>
      <c r="R720">
        <v>-0.53071772101320513</v>
      </c>
      <c r="S720" s="2">
        <v>5.8531228439325669E-5</v>
      </c>
      <c r="T720" s="2">
        <v>1.6146088879896562E-4</v>
      </c>
      <c r="U720" s="2">
        <v>2.8653847329628262E-4</v>
      </c>
      <c r="V720" s="2">
        <v>4.6322755181881496E-4</v>
      </c>
      <c r="W720" s="2">
        <v>6.9029047570049807E-4</v>
      </c>
      <c r="X720" s="2">
        <v>9.580212249367193E-4</v>
      </c>
      <c r="Y720" s="2">
        <v>1.2497958694150659E-3</v>
      </c>
      <c r="Z720" s="2">
        <v>1.545600708198463E-3</v>
      </c>
      <c r="AA720" s="2">
        <v>1.8262415994863043E-3</v>
      </c>
      <c r="AB720" s="2">
        <v>2.0768390198548153E-3</v>
      </c>
      <c r="AC720" s="2">
        <v>2.288705280114686E-3</v>
      </c>
      <c r="AD720" s="2">
        <v>2.4594360231006201E-3</v>
      </c>
      <c r="AE720" s="2">
        <v>2.5916550601426695E-3</v>
      </c>
      <c r="AF720" s="2">
        <v>2.6911253242296001E-3</v>
      </c>
      <c r="AG720" s="2">
        <v>2.764884807339176E-3</v>
      </c>
      <c r="AH720" s="2">
        <v>2.8198223064487987E-3</v>
      </c>
      <c r="AI720" s="2">
        <v>2.8618321766096344E-3</v>
      </c>
      <c r="AJ720" s="2">
        <v>2.8984529488413836E-3</v>
      </c>
      <c r="AK720" s="2">
        <v>2.9316991666626735E-3</v>
      </c>
      <c r="AL720" s="2">
        <v>2.9535980386228176E-3</v>
      </c>
      <c r="AM720" s="2">
        <v>2.9757929907409802E-3</v>
      </c>
      <c r="AN720" s="2">
        <v>2.9982871110556704E-3</v>
      </c>
      <c r="AO720" s="2">
        <v>3.0210835233043781E-3</v>
      </c>
      <c r="AP720" s="2">
        <v>3.044185387318531E-3</v>
      </c>
      <c r="AQ720" s="2">
        <v>3.067595899423885E-3</v>
      </c>
      <c r="AR720" s="2">
        <v>5.168470308390076E-2</v>
      </c>
    </row>
    <row r="721" spans="1:44" x14ac:dyDescent="0.25">
      <c r="A721" t="s">
        <v>250</v>
      </c>
      <c r="B721" t="s">
        <v>361</v>
      </c>
      <c r="C721" t="s">
        <v>45</v>
      </c>
      <c r="D721" t="s">
        <v>358</v>
      </c>
      <c r="E721" t="s">
        <v>148</v>
      </c>
      <c r="F721" t="s">
        <v>359</v>
      </c>
      <c r="G721" t="s">
        <v>31</v>
      </c>
      <c r="H721" t="s">
        <v>273</v>
      </c>
      <c r="I721" t="s">
        <v>135</v>
      </c>
      <c r="J721" t="s">
        <v>39</v>
      </c>
      <c r="K721" t="s">
        <v>31</v>
      </c>
      <c r="L721">
        <v>1.1100000000000001</v>
      </c>
      <c r="M721">
        <v>1</v>
      </c>
      <c r="N721">
        <v>2.8805169099386236</v>
      </c>
      <c r="O721">
        <v>3.1588853240212433</v>
      </c>
      <c r="P721">
        <v>-0.62137311888954427</v>
      </c>
      <c r="Q721">
        <v>0.59399912876282102</v>
      </c>
      <c r="R721">
        <v>-0.67371772101320537</v>
      </c>
      <c r="S721" s="2">
        <v>1.7796593422229011E-4</v>
      </c>
      <c r="T721" s="2">
        <v>4.9092661612691038E-4</v>
      </c>
      <c r="U721" s="2">
        <v>8.7122871756677676E-4</v>
      </c>
      <c r="V721" s="2">
        <v>1.408457095726202E-3</v>
      </c>
      <c r="W721" s="2">
        <v>2.0988486431672052E-3</v>
      </c>
      <c r="X721" s="2">
        <v>2.9128919184975557E-3</v>
      </c>
      <c r="Y721" s="2">
        <v>3.8000413696797544E-3</v>
      </c>
      <c r="Z721" s="2">
        <v>4.6994447460522283E-3</v>
      </c>
      <c r="AA721" s="2">
        <v>5.5527416907898107E-3</v>
      </c>
      <c r="AB721" s="2">
        <v>6.3146905720748358E-3</v>
      </c>
      <c r="AC721" s="2">
        <v>6.9588762135298068E-3</v>
      </c>
      <c r="AD721" s="2">
        <v>7.4779880959576174E-3</v>
      </c>
      <c r="AE721" s="2">
        <v>7.8800039954453529E-3</v>
      </c>
      <c r="AF721" s="2">
        <v>8.1824462804886682E-3</v>
      </c>
      <c r="AG721" s="2">
        <v>8.4067141742156376E-3</v>
      </c>
      <c r="AH721" s="2">
        <v>8.5737532679365635E-3</v>
      </c>
      <c r="AI721" s="2">
        <v>8.7014855228214234E-3</v>
      </c>
      <c r="AJ721" s="2">
        <v>8.8128320657855953E-3</v>
      </c>
      <c r="AK721" s="2">
        <v>8.9139181760839511E-3</v>
      </c>
      <c r="AL721" s="2">
        <v>8.9805023450946694E-3</v>
      </c>
      <c r="AM721" s="2">
        <v>9.0479867545978504E-3</v>
      </c>
      <c r="AN721" s="2">
        <v>9.1163807938664503E-3</v>
      </c>
      <c r="AO721" s="2">
        <v>9.1856939607164387E-3</v>
      </c>
      <c r="AP721" s="2">
        <v>9.2559358627093049E-3</v>
      </c>
      <c r="AQ721" s="2">
        <v>9.3271162183680319E-3</v>
      </c>
      <c r="AR721" s="2">
        <v>0.15714887103152095</v>
      </c>
    </row>
    <row r="722" spans="1:44" x14ac:dyDescent="0.25">
      <c r="A722" t="s">
        <v>250</v>
      </c>
      <c r="B722" t="s">
        <v>361</v>
      </c>
      <c r="C722" t="s">
        <v>45</v>
      </c>
      <c r="D722" t="s">
        <v>358</v>
      </c>
      <c r="E722" t="s">
        <v>148</v>
      </c>
      <c r="F722" t="s">
        <v>359</v>
      </c>
      <c r="G722" t="s">
        <v>31</v>
      </c>
      <c r="H722" t="s">
        <v>274</v>
      </c>
      <c r="I722" t="s">
        <v>135</v>
      </c>
      <c r="J722" t="s">
        <v>39</v>
      </c>
      <c r="K722" t="s">
        <v>31</v>
      </c>
      <c r="L722">
        <v>1.1100000000000001</v>
      </c>
      <c r="M722">
        <v>1</v>
      </c>
      <c r="N722">
        <v>2.8805169099386236</v>
      </c>
      <c r="O722">
        <v>3.1588853240212433</v>
      </c>
      <c r="P722">
        <v>-0.62137311888954427</v>
      </c>
      <c r="Q722">
        <v>0.59399912876282102</v>
      </c>
      <c r="R722">
        <v>-0.67371772101320537</v>
      </c>
      <c r="S722" s="2">
        <v>2.8015024890252512E-4</v>
      </c>
      <c r="T722" s="2">
        <v>7.7280640422476565E-4</v>
      </c>
      <c r="U722" s="2">
        <v>1.3714700127525298E-3</v>
      </c>
      <c r="V722" s="2">
        <v>2.2171636816929567E-3</v>
      </c>
      <c r="W722" s="2">
        <v>3.3039636060774738E-3</v>
      </c>
      <c r="X722" s="2">
        <v>4.5854134925279863E-3</v>
      </c>
      <c r="Y722" s="2">
        <v>5.9819455909237776E-3</v>
      </c>
      <c r="Z722" s="2">
        <v>7.3977675618849582E-3</v>
      </c>
      <c r="AA722" s="2">
        <v>8.7410097531538979E-3</v>
      </c>
      <c r="AB722" s="2">
        <v>9.9404537348116075E-3</v>
      </c>
      <c r="AC722" s="2">
        <v>1.095451728906246E-2</v>
      </c>
      <c r="AD722" s="2">
        <v>1.177169234959261E-2</v>
      </c>
      <c r="AE722" s="2">
        <v>1.2404537364547072E-2</v>
      </c>
      <c r="AF722" s="2">
        <v>1.2880635679675472E-2</v>
      </c>
      <c r="AG722" s="2">
        <v>1.3233673504150627E-2</v>
      </c>
      <c r="AH722" s="2">
        <v>1.349662294942963E-2</v>
      </c>
      <c r="AI722" s="2">
        <v>1.3697696391688637E-2</v>
      </c>
      <c r="AJ722" s="2">
        <v>1.3872975789187506E-2</v>
      </c>
      <c r="AK722" s="2">
        <v>1.4032103428330769E-2</v>
      </c>
      <c r="AL722" s="2">
        <v>1.4136918833609355E-2</v>
      </c>
      <c r="AM722" s="2">
        <v>1.4243151378629733E-2</v>
      </c>
      <c r="AN722" s="2">
        <v>1.4350815843788604E-2</v>
      </c>
      <c r="AO722" s="2">
        <v>1.4459927180349205E-2</v>
      </c>
      <c r="AP722" s="2">
        <v>1.4570500512333747E-2</v>
      </c>
      <c r="AQ722" s="2">
        <v>1.4682551138437503E-2</v>
      </c>
      <c r="AR722" s="2">
        <v>0.24738046371976544</v>
      </c>
    </row>
    <row r="723" spans="1:44" x14ac:dyDescent="0.25">
      <c r="A723" t="s">
        <v>250</v>
      </c>
      <c r="B723" t="s">
        <v>361</v>
      </c>
      <c r="C723" t="s">
        <v>45</v>
      </c>
      <c r="D723" t="s">
        <v>358</v>
      </c>
      <c r="E723" t="s">
        <v>148</v>
      </c>
      <c r="F723" t="s">
        <v>359</v>
      </c>
      <c r="G723" t="s">
        <v>31</v>
      </c>
      <c r="H723" t="s">
        <v>274</v>
      </c>
      <c r="I723" t="s">
        <v>135</v>
      </c>
      <c r="J723" t="s">
        <v>39</v>
      </c>
      <c r="K723" t="s">
        <v>33</v>
      </c>
      <c r="L723">
        <v>1.1100000000000001</v>
      </c>
      <c r="M723">
        <v>1</v>
      </c>
      <c r="N723">
        <v>2.8805169099386236</v>
      </c>
      <c r="O723">
        <v>3.1588853240212433</v>
      </c>
      <c r="P723">
        <v>-0.62137311888954427</v>
      </c>
      <c r="Q723">
        <v>0.59399912876282102</v>
      </c>
      <c r="R723">
        <v>-0.67371772101320537</v>
      </c>
      <c r="S723" s="2">
        <v>9.0137855786183347E-7</v>
      </c>
      <c r="T723" s="2">
        <v>2.4864911770571861E-6</v>
      </c>
      <c r="U723" s="2">
        <v>4.4126809349213031E-6</v>
      </c>
      <c r="V723" s="2">
        <v>7.1336856196882715E-6</v>
      </c>
      <c r="W723" s="2">
        <v>1.0630445491805597E-5</v>
      </c>
      <c r="X723" s="2">
        <v>1.4753488234569496E-5</v>
      </c>
      <c r="Y723" s="2">
        <v>1.9246805994560829E-5</v>
      </c>
      <c r="Z723" s="2">
        <v>2.3802188584344403E-5</v>
      </c>
      <c r="AA723" s="2">
        <v>2.8124046994137972E-5</v>
      </c>
      <c r="AB723" s="2">
        <v>3.1983237163191987E-5</v>
      </c>
      <c r="AC723" s="2">
        <v>3.5245969028295504E-5</v>
      </c>
      <c r="AD723" s="2">
        <v>3.7875215586051004E-5</v>
      </c>
      <c r="AE723" s="2">
        <v>3.9911383425145696E-5</v>
      </c>
      <c r="AF723" s="2">
        <v>4.1443221481231924E-5</v>
      </c>
      <c r="AG723" s="2">
        <v>4.2579114546979974E-5</v>
      </c>
      <c r="AH723" s="2">
        <v>4.3425149818069888E-5</v>
      </c>
      <c r="AI723" s="2">
        <v>4.4072100124620828E-5</v>
      </c>
      <c r="AJ723" s="2">
        <v>4.4636058540361473E-5</v>
      </c>
      <c r="AK723" s="2">
        <v>4.5148048954251286E-5</v>
      </c>
      <c r="AL723" s="2">
        <v>4.5485290699428229E-5</v>
      </c>
      <c r="AM723" s="2">
        <v>4.5827092067100072E-5</v>
      </c>
      <c r="AN723" s="2">
        <v>4.6173500612936277E-5</v>
      </c>
      <c r="AO723" s="2">
        <v>4.652456444236562E-5</v>
      </c>
      <c r="AP723" s="2">
        <v>4.6880332216667179E-5</v>
      </c>
      <c r="AQ723" s="2">
        <v>4.7240853159128504E-5</v>
      </c>
      <c r="AR723" s="2">
        <v>7.9594234345477233E-4</v>
      </c>
    </row>
    <row r="724" spans="1:44" x14ac:dyDescent="0.25">
      <c r="A724" t="s">
        <v>250</v>
      </c>
      <c r="B724" t="s">
        <v>361</v>
      </c>
      <c r="C724" t="s">
        <v>45</v>
      </c>
      <c r="D724" t="s">
        <v>358</v>
      </c>
      <c r="E724" t="s">
        <v>148</v>
      </c>
      <c r="F724" t="s">
        <v>359</v>
      </c>
      <c r="G724" t="s">
        <v>31</v>
      </c>
      <c r="H724" t="s">
        <v>275</v>
      </c>
      <c r="I724" t="s">
        <v>135</v>
      </c>
      <c r="J724" t="s">
        <v>39</v>
      </c>
      <c r="K724" t="s">
        <v>31</v>
      </c>
      <c r="L724">
        <v>1.1100000000000001</v>
      </c>
      <c r="M724">
        <v>1</v>
      </c>
      <c r="N724">
        <v>2.8805169099386236</v>
      </c>
      <c r="O724">
        <v>3.1588853240212433</v>
      </c>
      <c r="P724">
        <v>-0.62137311888954427</v>
      </c>
      <c r="Q724">
        <v>0.59399912876282102</v>
      </c>
      <c r="R724">
        <v>-0.67371772101320537</v>
      </c>
      <c r="S724" s="2">
        <v>4.2798200506926801E-4</v>
      </c>
      <c r="T724" s="2">
        <v>1.1806066055845695E-3</v>
      </c>
      <c r="U724" s="2">
        <v>2.095177456559856E-3</v>
      </c>
      <c r="V724" s="2">
        <v>3.3871330179966307E-3</v>
      </c>
      <c r="W724" s="2">
        <v>5.0474235676903215E-3</v>
      </c>
      <c r="X724" s="2">
        <v>7.0050784116441767E-3</v>
      </c>
      <c r="Y724" s="2">
        <v>9.138542900633366E-3</v>
      </c>
      <c r="Z724" s="2">
        <v>1.1301476284868562E-2</v>
      </c>
      <c r="AA724" s="2">
        <v>1.3353530454247335E-2</v>
      </c>
      <c r="AB724" s="2">
        <v>1.5185905910807073E-2</v>
      </c>
      <c r="AC724" s="2">
        <v>1.6735078024400232E-2</v>
      </c>
      <c r="AD724" s="2">
        <v>1.7983466067132369E-2</v>
      </c>
      <c r="AE724" s="2">
        <v>1.8950255421984908E-2</v>
      </c>
      <c r="AF724" s="2">
        <v>1.9677584818681801E-2</v>
      </c>
      <c r="AG724" s="2">
        <v>2.021691625449536E-2</v>
      </c>
      <c r="AH724" s="2">
        <v>2.0618620808616782E-2</v>
      </c>
      <c r="AI724" s="2">
        <v>2.0925798172625267E-2</v>
      </c>
      <c r="AJ724" s="2">
        <v>2.1193570299485237E-2</v>
      </c>
      <c r="AK724" s="2">
        <v>2.1436667588633367E-2</v>
      </c>
      <c r="AL724" s="2">
        <v>2.1596792762496254E-2</v>
      </c>
      <c r="AM724" s="2">
        <v>2.1759082882885715E-2</v>
      </c>
      <c r="AN724" s="2">
        <v>2.1923560529626258E-2</v>
      </c>
      <c r="AO724" s="2">
        <v>2.2090248543576246E-2</v>
      </c>
      <c r="AP724" s="2">
        <v>2.2259170029511631E-2</v>
      </c>
      <c r="AQ724" s="2">
        <v>2.2430348359058688E-2</v>
      </c>
      <c r="AR724" s="2">
        <v>0.37792001717831136</v>
      </c>
    </row>
    <row r="725" spans="1:44" x14ac:dyDescent="0.25">
      <c r="A725" t="s">
        <v>250</v>
      </c>
      <c r="B725" t="s">
        <v>370</v>
      </c>
      <c r="C725" t="s">
        <v>45</v>
      </c>
      <c r="D725" t="s">
        <v>358</v>
      </c>
      <c r="E725" t="s">
        <v>145</v>
      </c>
      <c r="F725" t="s">
        <v>368</v>
      </c>
      <c r="G725" t="s">
        <v>31</v>
      </c>
      <c r="H725" t="s">
        <v>272</v>
      </c>
      <c r="I725" t="s">
        <v>135</v>
      </c>
      <c r="J725" t="s">
        <v>39</v>
      </c>
      <c r="K725" t="s">
        <v>31</v>
      </c>
      <c r="L725">
        <v>0.71805929919137568</v>
      </c>
      <c r="M725">
        <v>1</v>
      </c>
      <c r="N725">
        <v>4.5538628518455466</v>
      </c>
      <c r="O725">
        <v>3.1588853240212424</v>
      </c>
      <c r="P725">
        <v>-0.83964188629624992</v>
      </c>
      <c r="Q725">
        <v>0.37573036135611498</v>
      </c>
      <c r="R725">
        <v>-0.67371772101320493</v>
      </c>
      <c r="S725" s="2">
        <v>0</v>
      </c>
      <c r="T725" s="2">
        <v>0</v>
      </c>
      <c r="U725" s="2">
        <v>2.9599083677628074E-4</v>
      </c>
      <c r="V725" s="2">
        <v>5.5439352399378448E-4</v>
      </c>
      <c r="W725" s="2">
        <v>9.4431544105653335E-4</v>
      </c>
      <c r="X725" s="2">
        <v>1.4994898606457809E-3</v>
      </c>
      <c r="Y725" s="2">
        <v>2.2501896580936153E-3</v>
      </c>
      <c r="Z725" s="2">
        <v>3.217440955162671E-3</v>
      </c>
      <c r="AA725" s="2">
        <v>4.4062041458089504E-3</v>
      </c>
      <c r="AB725" s="2">
        <v>5.7986940649958282E-3</v>
      </c>
      <c r="AC725" s="2">
        <v>7.3497521438814946E-3</v>
      </c>
      <c r="AD725" s="2">
        <v>8.9866324703610223E-3</v>
      </c>
      <c r="AE725" s="2">
        <v>1.061524079911544E-2</v>
      </c>
      <c r="AF725" s="2">
        <v>1.2133375867140092E-2</v>
      </c>
      <c r="AG725" s="2">
        <v>1.3448937710409593E-2</v>
      </c>
      <c r="AH725" s="2">
        <v>1.4498263661202498E-2</v>
      </c>
      <c r="AI725" s="2">
        <v>1.5258312011294012E-2</v>
      </c>
      <c r="AJ725" s="2">
        <v>1.5791059960401383E-2</v>
      </c>
      <c r="AK725" s="2">
        <v>1.6045888190512357E-2</v>
      </c>
      <c r="AL725" s="2">
        <v>1.6232845710629246E-2</v>
      </c>
      <c r="AM725" s="2">
        <v>1.6223066887911995E-2</v>
      </c>
      <c r="AN725" s="2">
        <v>1.6148440780227598E-2</v>
      </c>
      <c r="AO725" s="2">
        <v>1.607415795263855E-2</v>
      </c>
      <c r="AP725" s="2">
        <v>1.6000216826056412E-2</v>
      </c>
      <c r="AQ725" s="2">
        <v>0</v>
      </c>
      <c r="AR725" s="2">
        <v>0.21377290945831509</v>
      </c>
    </row>
    <row r="726" spans="1:44" x14ac:dyDescent="0.25">
      <c r="A726" t="s">
        <v>250</v>
      </c>
      <c r="B726" t="s">
        <v>370</v>
      </c>
      <c r="C726" t="s">
        <v>45</v>
      </c>
      <c r="D726" t="s">
        <v>358</v>
      </c>
      <c r="E726" t="s">
        <v>145</v>
      </c>
      <c r="F726" t="s">
        <v>368</v>
      </c>
      <c r="G726" t="s">
        <v>31</v>
      </c>
      <c r="H726" t="s">
        <v>272</v>
      </c>
      <c r="I726" t="s">
        <v>135</v>
      </c>
      <c r="J726" t="s">
        <v>40</v>
      </c>
      <c r="K726" t="s">
        <v>31</v>
      </c>
      <c r="L726">
        <v>0.71805929919137568</v>
      </c>
      <c r="M726">
        <v>1</v>
      </c>
      <c r="N726">
        <v>4.5538628518455466</v>
      </c>
      <c r="O726">
        <v>1.9798085216903565</v>
      </c>
      <c r="P726">
        <v>-0.83964188629624992</v>
      </c>
      <c r="Q726">
        <v>0.4672931329656026</v>
      </c>
      <c r="R726">
        <v>-0.53071772101320502</v>
      </c>
      <c r="S726" s="2">
        <v>0</v>
      </c>
      <c r="T726" s="2">
        <v>0</v>
      </c>
      <c r="U726" s="2">
        <v>2.9278182767800409E-5</v>
      </c>
      <c r="V726" s="2">
        <v>5.4838302082450443E-5</v>
      </c>
      <c r="W726" s="2">
        <v>9.340775672257163E-5</v>
      </c>
      <c r="X726" s="2">
        <v>1.483233017501603E-4</v>
      </c>
      <c r="Y726" s="2">
        <v>2.2257940411065657E-4</v>
      </c>
      <c r="Z726" s="2">
        <v>3.1825588033679216E-4</v>
      </c>
      <c r="AA726" s="2">
        <v>4.3584339197209985E-4</v>
      </c>
      <c r="AB726" s="2">
        <v>5.7358270444645202E-4</v>
      </c>
      <c r="AC726" s="2">
        <v>7.2700691991097258E-4</v>
      </c>
      <c r="AD726" s="2">
        <v>8.8892031523647567E-4</v>
      </c>
      <c r="AE726" s="2">
        <v>1.0500154789441073E-3</v>
      </c>
      <c r="AF726" s="2">
        <v>1.2001830870766129E-3</v>
      </c>
      <c r="AG726" s="2">
        <v>1.3303129941679643E-3</v>
      </c>
      <c r="AH726" s="2">
        <v>1.4341079538529216E-3</v>
      </c>
      <c r="AI726" s="2">
        <v>1.5092887761672411E-3</v>
      </c>
      <c r="AJ726" s="2">
        <v>1.5619859879898008E-3</v>
      </c>
      <c r="AK726" s="2">
        <v>1.5871925368709857E-3</v>
      </c>
      <c r="AL726" s="2">
        <v>1.6056855973434424E-3</v>
      </c>
      <c r="AM726" s="2">
        <v>1.6047183168631152E-3</v>
      </c>
      <c r="AN726" s="2">
        <v>1.597336612605545E-3</v>
      </c>
      <c r="AO726" s="2">
        <v>1.589988864187559E-3</v>
      </c>
      <c r="AP726" s="2">
        <v>1.5826749154122959E-3</v>
      </c>
      <c r="AQ726" s="2">
        <v>0</v>
      </c>
      <c r="AR726" s="2">
        <v>2.1145527280818026E-2</v>
      </c>
    </row>
    <row r="727" spans="1:44" x14ac:dyDescent="0.25">
      <c r="A727" t="s">
        <v>250</v>
      </c>
      <c r="B727" t="s">
        <v>370</v>
      </c>
      <c r="C727" t="s">
        <v>45</v>
      </c>
      <c r="D727" t="s">
        <v>358</v>
      </c>
      <c r="E727" t="s">
        <v>145</v>
      </c>
      <c r="F727" t="s">
        <v>368</v>
      </c>
      <c r="G727" t="s">
        <v>31</v>
      </c>
      <c r="H727" t="s">
        <v>273</v>
      </c>
      <c r="I727" t="s">
        <v>135</v>
      </c>
      <c r="J727" t="s">
        <v>39</v>
      </c>
      <c r="K727" t="s">
        <v>31</v>
      </c>
      <c r="L727">
        <v>0.71805929919137568</v>
      </c>
      <c r="M727">
        <v>1</v>
      </c>
      <c r="N727">
        <v>4.5538628518455466</v>
      </c>
      <c r="O727">
        <v>3.1588853240212424</v>
      </c>
      <c r="P727">
        <v>-0.83964188629624992</v>
      </c>
      <c r="Q727">
        <v>0.37573036135611498</v>
      </c>
      <c r="R727">
        <v>-0.67371772101320493</v>
      </c>
      <c r="S727" s="2">
        <v>0</v>
      </c>
      <c r="T727" s="2">
        <v>0</v>
      </c>
      <c r="U727" s="2">
        <v>8.9021182154135986E-5</v>
      </c>
      <c r="V727" s="2">
        <v>1.6673748222086505E-4</v>
      </c>
      <c r="W727" s="2">
        <v>2.8400905178289432E-4</v>
      </c>
      <c r="X727" s="2">
        <v>4.5098139346699194E-4</v>
      </c>
      <c r="Y727" s="2">
        <v>6.7675927274028704E-4</v>
      </c>
      <c r="Z727" s="2">
        <v>9.6766643339097366E-4</v>
      </c>
      <c r="AA727" s="2">
        <v>1.3251947463793939E-3</v>
      </c>
      <c r="AB727" s="2">
        <v>1.7439952068727942E-3</v>
      </c>
      <c r="AC727" s="2">
        <v>2.2104860796172362E-3</v>
      </c>
      <c r="AD727" s="2">
        <v>2.702788555244862E-3</v>
      </c>
      <c r="AE727" s="2">
        <v>3.1926031733959339E-3</v>
      </c>
      <c r="AF727" s="2">
        <v>3.6491922350612191E-3</v>
      </c>
      <c r="AG727" s="2">
        <v>4.0448560730375355E-3</v>
      </c>
      <c r="AH727" s="2">
        <v>4.3604477231777104E-3</v>
      </c>
      <c r="AI727" s="2">
        <v>4.589037240868038E-3</v>
      </c>
      <c r="AJ727" s="2">
        <v>4.7492646747178758E-3</v>
      </c>
      <c r="AK727" s="2">
        <v>4.8259059334061364E-3</v>
      </c>
      <c r="AL727" s="2">
        <v>4.8821346316816495E-3</v>
      </c>
      <c r="AM727" s="2">
        <v>4.8791935867228036E-3</v>
      </c>
      <c r="AN727" s="2">
        <v>4.8567492962238792E-3</v>
      </c>
      <c r="AO727" s="2">
        <v>4.8344082494612495E-3</v>
      </c>
      <c r="AP727" s="2">
        <v>4.8121699715137269E-3</v>
      </c>
      <c r="AQ727" s="2">
        <v>0</v>
      </c>
      <c r="AR727" s="2">
        <v>6.4293602193138191E-2</v>
      </c>
    </row>
    <row r="728" spans="1:44" x14ac:dyDescent="0.25">
      <c r="A728" t="s">
        <v>250</v>
      </c>
      <c r="B728" t="s">
        <v>370</v>
      </c>
      <c r="C728" t="s">
        <v>45</v>
      </c>
      <c r="D728" t="s">
        <v>358</v>
      </c>
      <c r="E728" t="s">
        <v>145</v>
      </c>
      <c r="F728" t="s">
        <v>368</v>
      </c>
      <c r="G728" t="s">
        <v>31</v>
      </c>
      <c r="H728" t="s">
        <v>274</v>
      </c>
      <c r="I728" t="s">
        <v>135</v>
      </c>
      <c r="J728" t="s">
        <v>39</v>
      </c>
      <c r="K728" t="s">
        <v>31</v>
      </c>
      <c r="L728">
        <v>0.71805929919137568</v>
      </c>
      <c r="M728">
        <v>1</v>
      </c>
      <c r="N728">
        <v>4.5538628518455466</v>
      </c>
      <c r="O728">
        <v>3.1588853240212424</v>
      </c>
      <c r="P728">
        <v>-0.83964188629624992</v>
      </c>
      <c r="Q728">
        <v>0.37573036135611498</v>
      </c>
      <c r="R728">
        <v>-0.67371772101320493</v>
      </c>
      <c r="S728" s="2">
        <v>0</v>
      </c>
      <c r="T728" s="2">
        <v>0</v>
      </c>
      <c r="U728" s="2">
        <v>1.4013528177211454E-4</v>
      </c>
      <c r="V728" s="2">
        <v>2.6247465476853665E-4</v>
      </c>
      <c r="W728" s="2">
        <v>4.4708110512973955E-4</v>
      </c>
      <c r="X728" s="2">
        <v>7.0992547074978966E-4</v>
      </c>
      <c r="Y728" s="2">
        <v>1.06534028286823E-3</v>
      </c>
      <c r="Z728" s="2">
        <v>1.5232802466032061E-3</v>
      </c>
      <c r="AA728" s="2">
        <v>2.0860938339962746E-3</v>
      </c>
      <c r="AB728" s="2">
        <v>2.7453607535920764E-3</v>
      </c>
      <c r="AC728" s="2">
        <v>3.4797009220137206E-3</v>
      </c>
      <c r="AD728" s="2">
        <v>4.2546731754683625E-3</v>
      </c>
      <c r="AE728" s="2">
        <v>5.0257290957531958E-3</v>
      </c>
      <c r="AF728" s="2">
        <v>5.7444820404146616E-3</v>
      </c>
      <c r="AG728" s="2">
        <v>6.3673277730835936E-3</v>
      </c>
      <c r="AH728" s="2">
        <v>6.8641255435372131E-3</v>
      </c>
      <c r="AI728" s="2">
        <v>7.2239663780053675E-3</v>
      </c>
      <c r="AJ728" s="2">
        <v>7.4761930508807344E-3</v>
      </c>
      <c r="AK728" s="2">
        <v>7.5968401162393208E-3</v>
      </c>
      <c r="AL728" s="2">
        <v>7.6853541562222454E-3</v>
      </c>
      <c r="AM728" s="2">
        <v>7.6807244248028343E-3</v>
      </c>
      <c r="AN728" s="2">
        <v>7.6453930924487408E-3</v>
      </c>
      <c r="AO728" s="2">
        <v>7.6102242842234777E-3</v>
      </c>
      <c r="AP728" s="2">
        <v>7.5752172525160493E-3</v>
      </c>
      <c r="AQ728" s="2">
        <v>0</v>
      </c>
      <c r="AR728" s="2">
        <v>0.10120964293508947</v>
      </c>
    </row>
    <row r="729" spans="1:44" x14ac:dyDescent="0.25">
      <c r="A729" t="s">
        <v>250</v>
      </c>
      <c r="B729" t="s">
        <v>370</v>
      </c>
      <c r="C729" t="s">
        <v>45</v>
      </c>
      <c r="D729" t="s">
        <v>358</v>
      </c>
      <c r="E729" t="s">
        <v>145</v>
      </c>
      <c r="F729" t="s">
        <v>368</v>
      </c>
      <c r="G729" t="s">
        <v>31</v>
      </c>
      <c r="H729" t="s">
        <v>274</v>
      </c>
      <c r="I729" t="s">
        <v>135</v>
      </c>
      <c r="J729" t="s">
        <v>39</v>
      </c>
      <c r="K729" t="s">
        <v>33</v>
      </c>
      <c r="L729">
        <v>0.71805929919137568</v>
      </c>
      <c r="M729">
        <v>1</v>
      </c>
      <c r="N729">
        <v>4.5538628518455466</v>
      </c>
      <c r="O729">
        <v>3.1588853240212424</v>
      </c>
      <c r="P729">
        <v>-0.83964188629624992</v>
      </c>
      <c r="Q729">
        <v>0.37573036135611498</v>
      </c>
      <c r="R729">
        <v>-0.67371772101320493</v>
      </c>
      <c r="S729" s="2">
        <v>0</v>
      </c>
      <c r="T729" s="2">
        <v>0</v>
      </c>
      <c r="U729" s="2">
        <v>4.5088283406544482E-7</v>
      </c>
      <c r="V729" s="2">
        <v>8.4450764087261048E-7</v>
      </c>
      <c r="W729" s="2">
        <v>1.4384756871279262E-6</v>
      </c>
      <c r="X729" s="2">
        <v>2.2841728662410661E-6</v>
      </c>
      <c r="Y729" s="2">
        <v>3.4277138484285229E-6</v>
      </c>
      <c r="Z729" s="2">
        <v>4.9011277244317324E-6</v>
      </c>
      <c r="AA729" s="2">
        <v>6.7119706622365813E-6</v>
      </c>
      <c r="AB729" s="2">
        <v>8.8331505203991893E-6</v>
      </c>
      <c r="AC729" s="2">
        <v>1.1195877252161698E-5</v>
      </c>
      <c r="AD729" s="2">
        <v>1.3689337011481531E-5</v>
      </c>
      <c r="AE729" s="2">
        <v>1.617019603687898E-5</v>
      </c>
      <c r="AF729" s="2">
        <v>1.8482771147041798E-5</v>
      </c>
      <c r="AG729" s="2">
        <v>2.0486766469133625E-5</v>
      </c>
      <c r="AH729" s="2">
        <v>2.2085204663048146E-5</v>
      </c>
      <c r="AI729" s="2">
        <v>2.3242986295237799E-5</v>
      </c>
      <c r="AJ729" s="2">
        <v>2.4054521232441422E-5</v>
      </c>
      <c r="AK729" s="2">
        <v>2.4442701068829936E-5</v>
      </c>
      <c r="AL729" s="2">
        <v>2.4727493454426198E-5</v>
      </c>
      <c r="AM729" s="2">
        <v>2.4712597374031958E-5</v>
      </c>
      <c r="AN729" s="2">
        <v>2.4598919426111411E-5</v>
      </c>
      <c r="AO729" s="2">
        <v>2.44857643967513E-5</v>
      </c>
      <c r="AP729" s="2">
        <v>2.4373129880526241E-5</v>
      </c>
      <c r="AQ729" s="2">
        <v>0</v>
      </c>
      <c r="AR729" s="2">
        <v>3.2564026749190512E-4</v>
      </c>
    </row>
    <row r="730" spans="1:44" x14ac:dyDescent="0.25">
      <c r="A730" t="s">
        <v>250</v>
      </c>
      <c r="B730" t="s">
        <v>370</v>
      </c>
      <c r="C730" t="s">
        <v>45</v>
      </c>
      <c r="D730" t="s">
        <v>358</v>
      </c>
      <c r="E730" t="s">
        <v>145</v>
      </c>
      <c r="F730" t="s">
        <v>368</v>
      </c>
      <c r="G730" t="s">
        <v>31</v>
      </c>
      <c r="H730" t="s">
        <v>275</v>
      </c>
      <c r="I730" t="s">
        <v>135</v>
      </c>
      <c r="J730" t="s">
        <v>39</v>
      </c>
      <c r="K730" t="s">
        <v>31</v>
      </c>
      <c r="L730">
        <v>0.71805929919137568</v>
      </c>
      <c r="M730">
        <v>1</v>
      </c>
      <c r="N730">
        <v>4.5538628518455466</v>
      </c>
      <c r="O730">
        <v>3.1588853240212424</v>
      </c>
      <c r="P730">
        <v>-0.83964188629624992</v>
      </c>
      <c r="Q730">
        <v>0.37573036135611498</v>
      </c>
      <c r="R730">
        <v>-0.67371772101320493</v>
      </c>
      <c r="S730" s="2">
        <v>0</v>
      </c>
      <c r="T730" s="2">
        <v>0</v>
      </c>
      <c r="U730" s="2">
        <v>2.1408290411565597E-4</v>
      </c>
      <c r="V730" s="2">
        <v>4.0097922264130333E-4</v>
      </c>
      <c r="W730" s="2">
        <v>6.8300017062838849E-4</v>
      </c>
      <c r="X730" s="2">
        <v>1.0845441958788147E-3</v>
      </c>
      <c r="Y730" s="2">
        <v>1.6275069257627079E-3</v>
      </c>
      <c r="Z730" s="2">
        <v>2.3270960378496135E-3</v>
      </c>
      <c r="AA730" s="2">
        <v>3.1868992632842689E-3</v>
      </c>
      <c r="AB730" s="2">
        <v>4.1940530289145943E-3</v>
      </c>
      <c r="AC730" s="2">
        <v>5.3158952507765854E-3</v>
      </c>
      <c r="AD730" s="2">
        <v>6.4998105969377423E-3</v>
      </c>
      <c r="AE730" s="2">
        <v>7.6777430102651766E-3</v>
      </c>
      <c r="AF730" s="2">
        <v>8.7757728268036753E-3</v>
      </c>
      <c r="AG730" s="2">
        <v>9.7272864041099624E-3</v>
      </c>
      <c r="AH730" s="2">
        <v>1.0486238097872899E-2</v>
      </c>
      <c r="AI730" s="2">
        <v>1.1035962406328054E-2</v>
      </c>
      <c r="AJ730" s="2">
        <v>1.1421285916166195E-2</v>
      </c>
      <c r="AK730" s="2">
        <v>1.1605596917638331E-2</v>
      </c>
      <c r="AL730" s="2">
        <v>1.1740818701152983E-2</v>
      </c>
      <c r="AM730" s="2">
        <v>1.1733745918802892E-2</v>
      </c>
      <c r="AN730" s="2">
        <v>1.1679770687576398E-2</v>
      </c>
      <c r="AO730" s="2">
        <v>1.1626043742413546E-2</v>
      </c>
      <c r="AP730" s="2">
        <v>1.1572563941198441E-2</v>
      </c>
      <c r="AQ730" s="2">
        <v>0</v>
      </c>
      <c r="AR730" s="2">
        <v>0.15461669616711821</v>
      </c>
    </row>
    <row r="731" spans="1:44" x14ac:dyDescent="0.25">
      <c r="A731" t="s">
        <v>250</v>
      </c>
      <c r="B731" t="s">
        <v>370</v>
      </c>
      <c r="C731" t="s">
        <v>45</v>
      </c>
      <c r="D731" t="s">
        <v>358</v>
      </c>
      <c r="E731" t="s">
        <v>148</v>
      </c>
      <c r="F731" t="s">
        <v>368</v>
      </c>
      <c r="G731" t="s">
        <v>31</v>
      </c>
      <c r="H731" t="s">
        <v>272</v>
      </c>
      <c r="I731" t="s">
        <v>135</v>
      </c>
      <c r="J731" t="s">
        <v>39</v>
      </c>
      <c r="K731" t="s">
        <v>31</v>
      </c>
      <c r="L731">
        <v>0.71805929919137568</v>
      </c>
      <c r="M731">
        <v>1</v>
      </c>
      <c r="N731">
        <v>4.5538628518455466</v>
      </c>
      <c r="O731">
        <v>3.1588853240212424</v>
      </c>
      <c r="P731">
        <v>-0.83964188629624992</v>
      </c>
      <c r="Q731">
        <v>0.37573036135611498</v>
      </c>
      <c r="R731">
        <v>-0.67371772101320493</v>
      </c>
      <c r="S731" s="2">
        <v>0</v>
      </c>
      <c r="T731" s="2">
        <v>0</v>
      </c>
      <c r="U731" s="2">
        <v>8.6290626429270736E-5</v>
      </c>
      <c r="V731" s="2">
        <v>1.6345823523173983E-4</v>
      </c>
      <c r="W731" s="2">
        <v>2.8159886759178746E-4</v>
      </c>
      <c r="X731" s="2">
        <v>4.5227668989104467E-4</v>
      </c>
      <c r="Y731" s="2">
        <v>6.8651211512463109E-4</v>
      </c>
      <c r="Z731" s="2">
        <v>9.9295479065739491E-4</v>
      </c>
      <c r="AA731" s="2">
        <v>1.3756075709483427E-3</v>
      </c>
      <c r="AB731" s="2">
        <v>1.8314382549709553E-3</v>
      </c>
      <c r="AC731" s="2">
        <v>2.3484853497900363E-3</v>
      </c>
      <c r="AD731" s="2">
        <v>2.905266633116901E-3</v>
      </c>
      <c r="AE731" s="2">
        <v>3.4722688161031405E-3</v>
      </c>
      <c r="AF731" s="2">
        <v>4.0158739897621833E-3</v>
      </c>
      <c r="AG731" s="2">
        <v>4.504241284052842E-3</v>
      </c>
      <c r="AH731" s="2">
        <v>4.9136593046466056E-3</v>
      </c>
      <c r="AI731" s="2">
        <v>5.2332430441275803E-3</v>
      </c>
      <c r="AJ731" s="2">
        <v>5.4811398754588949E-3</v>
      </c>
      <c r="AK731" s="2">
        <v>5.6368725436661687E-3</v>
      </c>
      <c r="AL731" s="2">
        <v>5.7716962226965493E-3</v>
      </c>
      <c r="AM731" s="2">
        <v>5.838421593241926E-3</v>
      </c>
      <c r="AN731" s="2">
        <v>5.8825544204160266E-3</v>
      </c>
      <c r="AO731" s="2">
        <v>5.9272803358057513E-3</v>
      </c>
      <c r="AP731" s="2">
        <v>5.9726055389109651E-3</v>
      </c>
      <c r="AQ731" s="2">
        <v>0</v>
      </c>
      <c r="AR731" s="2">
        <v>7.377374610264073E-2</v>
      </c>
    </row>
    <row r="732" spans="1:44" x14ac:dyDescent="0.25">
      <c r="A732" t="s">
        <v>250</v>
      </c>
      <c r="B732" t="s">
        <v>370</v>
      </c>
      <c r="C732" t="s">
        <v>45</v>
      </c>
      <c r="D732" t="s">
        <v>358</v>
      </c>
      <c r="E732" t="s">
        <v>148</v>
      </c>
      <c r="F732" t="s">
        <v>368</v>
      </c>
      <c r="G732" t="s">
        <v>31</v>
      </c>
      <c r="H732" t="s">
        <v>272</v>
      </c>
      <c r="I732" t="s">
        <v>135</v>
      </c>
      <c r="J732" t="s">
        <v>40</v>
      </c>
      <c r="K732" t="s">
        <v>31</v>
      </c>
      <c r="L732">
        <v>0.71805929919137568</v>
      </c>
      <c r="M732">
        <v>1</v>
      </c>
      <c r="N732">
        <v>4.5538628518455466</v>
      </c>
      <c r="O732">
        <v>1.9798085216903565</v>
      </c>
      <c r="P732">
        <v>-0.83964188629624992</v>
      </c>
      <c r="Q732">
        <v>0.4672931329656026</v>
      </c>
      <c r="R732">
        <v>-0.53071772101320502</v>
      </c>
      <c r="S732" s="2">
        <v>0</v>
      </c>
      <c r="T732" s="2">
        <v>0</v>
      </c>
      <c r="U732" s="2">
        <v>8.5355099477410798E-6</v>
      </c>
      <c r="V732" s="2">
        <v>1.6168608927695612E-5</v>
      </c>
      <c r="W732" s="2">
        <v>2.7854589021583649E-5</v>
      </c>
      <c r="X732" s="2">
        <v>4.4737329481096258E-5</v>
      </c>
      <c r="Y732" s="2">
        <v>6.7906923733994267E-5</v>
      </c>
      <c r="Z732" s="2">
        <v>9.8218958930148598E-5</v>
      </c>
      <c r="AA732" s="2">
        <v>1.3606938078774932E-4</v>
      </c>
      <c r="AB732" s="2">
        <v>1.8115825658991382E-4</v>
      </c>
      <c r="AC732" s="2">
        <v>2.3230240519447033E-4</v>
      </c>
      <c r="AD732" s="2">
        <v>2.8737689450123621E-4</v>
      </c>
      <c r="AE732" s="2">
        <v>3.4346239270116553E-4</v>
      </c>
      <c r="AF732" s="2">
        <v>3.9723355602924097E-4</v>
      </c>
      <c r="AG732" s="2">
        <v>4.4554081802352134E-4</v>
      </c>
      <c r="AH732" s="2">
        <v>4.8603874615511886E-4</v>
      </c>
      <c r="AI732" s="2">
        <v>5.1765064075309851E-4</v>
      </c>
      <c r="AJ732" s="2">
        <v>5.4217156448953946E-4</v>
      </c>
      <c r="AK732" s="2">
        <v>5.5757599245207141E-4</v>
      </c>
      <c r="AL732" s="2">
        <v>5.7091219015018805E-4</v>
      </c>
      <c r="AM732" s="2">
        <v>5.7751238634326377E-4</v>
      </c>
      <c r="AN732" s="2">
        <v>5.8187782209166716E-4</v>
      </c>
      <c r="AO732" s="2">
        <v>5.8630192366014968E-4</v>
      </c>
      <c r="AP732" s="2">
        <v>5.9078530427745157E-4</v>
      </c>
      <c r="AQ732" s="2">
        <v>0</v>
      </c>
      <c r="AR732" s="2">
        <v>7.2973921942421065E-3</v>
      </c>
    </row>
    <row r="733" spans="1:44" x14ac:dyDescent="0.25">
      <c r="A733" t="s">
        <v>250</v>
      </c>
      <c r="B733" t="s">
        <v>370</v>
      </c>
      <c r="C733" t="s">
        <v>45</v>
      </c>
      <c r="D733" t="s">
        <v>358</v>
      </c>
      <c r="E733" t="s">
        <v>148</v>
      </c>
      <c r="F733" t="s">
        <v>368</v>
      </c>
      <c r="G733" t="s">
        <v>31</v>
      </c>
      <c r="H733" t="s">
        <v>273</v>
      </c>
      <c r="I733" t="s">
        <v>135</v>
      </c>
      <c r="J733" t="s">
        <v>39</v>
      </c>
      <c r="K733" t="s">
        <v>31</v>
      </c>
      <c r="L733">
        <v>0.71805929919137568</v>
      </c>
      <c r="M733">
        <v>1</v>
      </c>
      <c r="N733">
        <v>4.5538628518455466</v>
      </c>
      <c r="O733">
        <v>3.1588853240212424</v>
      </c>
      <c r="P733">
        <v>-0.83964188629624992</v>
      </c>
      <c r="Q733">
        <v>0.37573036135611498</v>
      </c>
      <c r="R733">
        <v>-0.67371772101320493</v>
      </c>
      <c r="S733" s="2">
        <v>0</v>
      </c>
      <c r="T733" s="2">
        <v>0</v>
      </c>
      <c r="U733" s="2">
        <v>2.5952470884632859E-5</v>
      </c>
      <c r="V733" s="2">
        <v>4.9161134485243572E-5</v>
      </c>
      <c r="W733" s="2">
        <v>8.4692703190789175E-5</v>
      </c>
      <c r="X733" s="2">
        <v>1.3602517575668063E-4</v>
      </c>
      <c r="Y733" s="2">
        <v>2.0647301354711575E-4</v>
      </c>
      <c r="Z733" s="2">
        <v>2.9863765464044925E-4</v>
      </c>
      <c r="AA733" s="2">
        <v>4.1372298372384988E-4</v>
      </c>
      <c r="AB733" s="2">
        <v>5.5081704648529423E-4</v>
      </c>
      <c r="AC733" s="2">
        <v>7.0632234560692655E-4</v>
      </c>
      <c r="AD733" s="2">
        <v>8.737779620810219E-4</v>
      </c>
      <c r="AE733" s="2">
        <v>1.0443075810487735E-3</v>
      </c>
      <c r="AF733" s="2">
        <v>1.2078003962700022E-3</v>
      </c>
      <c r="AG733" s="2">
        <v>1.3546800576023023E-3</v>
      </c>
      <c r="AH733" s="2">
        <v>1.4778152079516175E-3</v>
      </c>
      <c r="AI733" s="2">
        <v>1.5739321100682172E-3</v>
      </c>
      <c r="AJ733" s="2">
        <v>1.6484887051903064E-3</v>
      </c>
      <c r="AK733" s="2">
        <v>1.6953263248099309E-3</v>
      </c>
      <c r="AL733" s="2">
        <v>1.7358754290335038E-3</v>
      </c>
      <c r="AM733" s="2">
        <v>1.7559435211079407E-3</v>
      </c>
      <c r="AN733" s="2">
        <v>1.769216757839314E-3</v>
      </c>
      <c r="AO733" s="2">
        <v>1.782668369734729E-3</v>
      </c>
      <c r="AP733" s="2">
        <v>1.7963002213344228E-3</v>
      </c>
      <c r="AQ733" s="2">
        <v>0</v>
      </c>
      <c r="AR733" s="2">
        <v>2.2187937172393063E-2</v>
      </c>
    </row>
    <row r="734" spans="1:44" x14ac:dyDescent="0.25">
      <c r="A734" t="s">
        <v>250</v>
      </c>
      <c r="B734" t="s">
        <v>370</v>
      </c>
      <c r="C734" t="s">
        <v>45</v>
      </c>
      <c r="D734" t="s">
        <v>358</v>
      </c>
      <c r="E734" t="s">
        <v>148</v>
      </c>
      <c r="F734" t="s">
        <v>368</v>
      </c>
      <c r="G734" t="s">
        <v>31</v>
      </c>
      <c r="H734" t="s">
        <v>274</v>
      </c>
      <c r="I734" t="s">
        <v>135</v>
      </c>
      <c r="J734" t="s">
        <v>39</v>
      </c>
      <c r="K734" t="s">
        <v>31</v>
      </c>
      <c r="L734">
        <v>0.71805929919137568</v>
      </c>
      <c r="M734">
        <v>1</v>
      </c>
      <c r="N734">
        <v>4.5538628518455466</v>
      </c>
      <c r="O734">
        <v>3.1588853240212424</v>
      </c>
      <c r="P734">
        <v>-0.83964188629624992</v>
      </c>
      <c r="Q734">
        <v>0.37573036135611498</v>
      </c>
      <c r="R734">
        <v>-0.67371772101320493</v>
      </c>
      <c r="S734" s="2">
        <v>0</v>
      </c>
      <c r="T734" s="2">
        <v>0</v>
      </c>
      <c r="U734" s="2">
        <v>4.0853836492572898E-5</v>
      </c>
      <c r="V734" s="2">
        <v>7.7388428985339884E-5</v>
      </c>
      <c r="W734" s="2">
        <v>1.3332148078121174E-4</v>
      </c>
      <c r="X734" s="2">
        <v>2.1412798472793647E-4</v>
      </c>
      <c r="Y734" s="2">
        <v>3.2502549653479229E-4</v>
      </c>
      <c r="Z734" s="2">
        <v>4.7010914557776243E-4</v>
      </c>
      <c r="AA734" s="2">
        <v>6.5127406193456845E-4</v>
      </c>
      <c r="AB734" s="2">
        <v>8.6708466621406987E-4</v>
      </c>
      <c r="AC734" s="2">
        <v>1.1118778534325315E-3</v>
      </c>
      <c r="AD734" s="2">
        <v>1.3754829801122602E-3</v>
      </c>
      <c r="AE734" s="2">
        <v>1.6439271371799797E-3</v>
      </c>
      <c r="AF734" s="2">
        <v>1.9012941050671299E-3</v>
      </c>
      <c r="AG734" s="2">
        <v>2.1325089938085688E-3</v>
      </c>
      <c r="AH734" s="2">
        <v>2.3263457703228477E-3</v>
      </c>
      <c r="AI734" s="2">
        <v>2.4776509859495573E-3</v>
      </c>
      <c r="AJ734" s="2">
        <v>2.5950164175533447E-3</v>
      </c>
      <c r="AK734" s="2">
        <v>2.6687472180674404E-3</v>
      </c>
      <c r="AL734" s="2">
        <v>2.7325787692609048E-3</v>
      </c>
      <c r="AM734" s="2">
        <v>2.7641695397879838E-3</v>
      </c>
      <c r="AN734" s="2">
        <v>2.7850639912473879E-3</v>
      </c>
      <c r="AO734" s="2">
        <v>2.8062392371567229E-3</v>
      </c>
      <c r="AP734" s="2">
        <v>2.8276982126362025E-3</v>
      </c>
      <c r="AQ734" s="2">
        <v>0</v>
      </c>
      <c r="AR734" s="2">
        <v>3.4927786312831118E-2</v>
      </c>
    </row>
    <row r="735" spans="1:44" x14ac:dyDescent="0.25">
      <c r="A735" t="s">
        <v>250</v>
      </c>
      <c r="B735" t="s">
        <v>370</v>
      </c>
      <c r="C735" t="s">
        <v>45</v>
      </c>
      <c r="D735" t="s">
        <v>358</v>
      </c>
      <c r="E735" t="s">
        <v>148</v>
      </c>
      <c r="F735" t="s">
        <v>368</v>
      </c>
      <c r="G735" t="s">
        <v>31</v>
      </c>
      <c r="H735" t="s">
        <v>274</v>
      </c>
      <c r="I735" t="s">
        <v>135</v>
      </c>
      <c r="J735" t="s">
        <v>39</v>
      </c>
      <c r="K735" t="s">
        <v>33</v>
      </c>
      <c r="L735">
        <v>0.71805929919137568</v>
      </c>
      <c r="M735">
        <v>1</v>
      </c>
      <c r="N735">
        <v>4.5538628518455466</v>
      </c>
      <c r="O735">
        <v>3.1588853240212424</v>
      </c>
      <c r="P735">
        <v>-0.83964188629624992</v>
      </c>
      <c r="Q735">
        <v>0.37573036135611498</v>
      </c>
      <c r="R735">
        <v>-0.67371772101320493</v>
      </c>
      <c r="S735" s="2">
        <v>0</v>
      </c>
      <c r="T735" s="2">
        <v>0</v>
      </c>
      <c r="U735" s="2">
        <v>1.3144650902527445E-7</v>
      </c>
      <c r="V735" s="2">
        <v>2.4899592553376428E-7</v>
      </c>
      <c r="W735" s="2">
        <v>4.2895954777603761E-7</v>
      </c>
      <c r="X735" s="2">
        <v>6.8895307010448544E-7</v>
      </c>
      <c r="Y735" s="2">
        <v>1.045763887351723E-6</v>
      </c>
      <c r="Z735" s="2">
        <v>1.5125680071267062E-6</v>
      </c>
      <c r="AA735" s="2">
        <v>2.0954629775240842E-6</v>
      </c>
      <c r="AB735" s="2">
        <v>2.7898298467979682E-6</v>
      </c>
      <c r="AC735" s="2">
        <v>3.5774476730671819E-6</v>
      </c>
      <c r="AD735" s="2">
        <v>4.4255925876705968E-6</v>
      </c>
      <c r="AE735" s="2">
        <v>5.2893069984628117E-6</v>
      </c>
      <c r="AF735" s="2">
        <v>6.1173807455474103E-6</v>
      </c>
      <c r="AG735" s="2">
        <v>6.8613106324076493E-6</v>
      </c>
      <c r="AH735" s="2">
        <v>7.4849770926713251E-6</v>
      </c>
      <c r="AI735" s="2">
        <v>7.9717989948215635E-6</v>
      </c>
      <c r="AJ735" s="2">
        <v>8.3494202316267496E-6</v>
      </c>
      <c r="AK735" s="2">
        <v>8.5866478011104431E-6</v>
      </c>
      <c r="AL735" s="2">
        <v>8.7920247079175237E-6</v>
      </c>
      <c r="AM735" s="2">
        <v>8.8936674631568996E-6</v>
      </c>
      <c r="AN735" s="2">
        <v>8.9608949976588049E-6</v>
      </c>
      <c r="AO735" s="2">
        <v>9.0290259834240689E-6</v>
      </c>
      <c r="AP735" s="2">
        <v>9.0980698641510532E-6</v>
      </c>
      <c r="AQ735" s="2">
        <v>0</v>
      </c>
      <c r="AR735" s="2">
        <v>1.1237954554493413E-4</v>
      </c>
    </row>
    <row r="736" spans="1:44" x14ac:dyDescent="0.25">
      <c r="A736" t="s">
        <v>250</v>
      </c>
      <c r="B736" t="s">
        <v>370</v>
      </c>
      <c r="C736" t="s">
        <v>45</v>
      </c>
      <c r="D736" t="s">
        <v>358</v>
      </c>
      <c r="E736" t="s">
        <v>148</v>
      </c>
      <c r="F736" t="s">
        <v>368</v>
      </c>
      <c r="G736" t="s">
        <v>31</v>
      </c>
      <c r="H736" t="s">
        <v>275</v>
      </c>
      <c r="I736" t="s">
        <v>135</v>
      </c>
      <c r="J736" t="s">
        <v>39</v>
      </c>
      <c r="K736" t="s">
        <v>31</v>
      </c>
      <c r="L736">
        <v>0.71805929919137568</v>
      </c>
      <c r="M736">
        <v>1</v>
      </c>
      <c r="N736">
        <v>4.5538628518455466</v>
      </c>
      <c r="O736">
        <v>3.1588853240212424</v>
      </c>
      <c r="P736">
        <v>-0.83964188629624992</v>
      </c>
      <c r="Q736">
        <v>0.37573036135611498</v>
      </c>
      <c r="R736">
        <v>-0.67371772101320493</v>
      </c>
      <c r="S736" s="2">
        <v>0</v>
      </c>
      <c r="T736" s="2">
        <v>0</v>
      </c>
      <c r="U736" s="2">
        <v>6.2411891209659438E-5</v>
      </c>
      <c r="V736" s="2">
        <v>1.1822532778769937E-4</v>
      </c>
      <c r="W736" s="2">
        <v>2.0367354620270031E-4</v>
      </c>
      <c r="X736" s="2">
        <v>3.2712062403767762E-4</v>
      </c>
      <c r="Y736" s="2">
        <v>4.9653735540315582E-4</v>
      </c>
      <c r="Z736" s="2">
        <v>7.181798178440156E-4</v>
      </c>
      <c r="AA736" s="2">
        <v>9.9494317769942709E-4</v>
      </c>
      <c r="AB736" s="2">
        <v>1.3246343184232902E-3</v>
      </c>
      <c r="AC736" s="2">
        <v>1.6986017858928932E-3</v>
      </c>
      <c r="AD736" s="2">
        <v>2.1013080162278438E-3</v>
      </c>
      <c r="AE736" s="2">
        <v>2.5114067723097659E-3</v>
      </c>
      <c r="AF736" s="2">
        <v>2.9045830460644457E-3</v>
      </c>
      <c r="AG736" s="2">
        <v>3.2578071180510903E-3</v>
      </c>
      <c r="AH736" s="2">
        <v>3.5539291189907148E-3</v>
      </c>
      <c r="AI736" s="2">
        <v>3.7850761903034714E-3</v>
      </c>
      <c r="AJ736" s="2">
        <v>3.964373881240383E-3</v>
      </c>
      <c r="AK736" s="2">
        <v>4.0770114961023503E-3</v>
      </c>
      <c r="AL736" s="2">
        <v>4.1745261525178799E-3</v>
      </c>
      <c r="AM736" s="2">
        <v>4.2227869745762097E-3</v>
      </c>
      <c r="AN736" s="2">
        <v>4.2547071647792258E-3</v>
      </c>
      <c r="AO736" s="2">
        <v>4.2870563211253147E-3</v>
      </c>
      <c r="AP736" s="2">
        <v>4.3198389275602147E-3</v>
      </c>
      <c r="AQ736" s="2">
        <v>0</v>
      </c>
      <c r="AR736" s="2">
        <v>5.3358739024349434E-2</v>
      </c>
    </row>
    <row r="737" spans="1:44" x14ac:dyDescent="0.25">
      <c r="A737" t="s">
        <v>250</v>
      </c>
      <c r="B737" t="s">
        <v>363</v>
      </c>
      <c r="C737" t="s">
        <v>45</v>
      </c>
      <c r="D737" t="s">
        <v>358</v>
      </c>
      <c r="E737" t="s">
        <v>145</v>
      </c>
      <c r="F737" t="s">
        <v>359</v>
      </c>
      <c r="G737" t="s">
        <v>31</v>
      </c>
      <c r="H737" t="s">
        <v>276</v>
      </c>
      <c r="I737" t="s">
        <v>135</v>
      </c>
      <c r="J737" t="s">
        <v>39</v>
      </c>
      <c r="K737" t="s">
        <v>31</v>
      </c>
      <c r="L737">
        <v>0.93</v>
      </c>
      <c r="M737">
        <v>1</v>
      </c>
      <c r="N737">
        <v>2.6259606356853955</v>
      </c>
      <c r="O737">
        <v>3.1597702595673303</v>
      </c>
      <c r="P737">
        <v>-0.56360929242142277</v>
      </c>
      <c r="Q737">
        <v>0.65176295523094208</v>
      </c>
      <c r="R737">
        <v>-0.67371772101320515</v>
      </c>
      <c r="S737" s="2">
        <v>1.3752881999950943E-2</v>
      </c>
      <c r="T737" s="2">
        <v>2.6934055737860663E-2</v>
      </c>
      <c r="U737" s="2">
        <v>4.7383315493111734E-2</v>
      </c>
      <c r="V737" s="2">
        <v>7.5931673197256411E-2</v>
      </c>
      <c r="W737" s="2">
        <v>0.11215656488091702</v>
      </c>
      <c r="X737" s="2">
        <v>0.15428030067185416</v>
      </c>
      <c r="Y737" s="2">
        <v>0.19947818447906249</v>
      </c>
      <c r="Z737" s="2">
        <v>0.24448555679815451</v>
      </c>
      <c r="AA737" s="2">
        <v>0.28628095969965722</v>
      </c>
      <c r="AB737" s="2">
        <v>0.32262224697224562</v>
      </c>
      <c r="AC737" s="2">
        <v>0.3523040680888474</v>
      </c>
      <c r="AD737" s="2">
        <v>0.37512745318225271</v>
      </c>
      <c r="AE737" s="2">
        <v>0.39166559985344251</v>
      </c>
      <c r="AF737" s="2">
        <v>0.40294577302570639</v>
      </c>
      <c r="AG737" s="2">
        <v>0.4101510904510185</v>
      </c>
      <c r="AH737" s="2">
        <v>0.41440269750093461</v>
      </c>
      <c r="AI737" s="2">
        <v>0.41663813100063901</v>
      </c>
      <c r="AJ737" s="2">
        <v>0.41799905890763095</v>
      </c>
      <c r="AK737" s="2">
        <v>0.41879644667060734</v>
      </c>
      <c r="AL737" s="2">
        <v>0.41791697413259909</v>
      </c>
      <c r="AM737" s="2">
        <v>0.41703934848692065</v>
      </c>
      <c r="AN737" s="2">
        <v>0.2849161794707763</v>
      </c>
      <c r="AO737" s="2">
        <v>0</v>
      </c>
      <c r="AP737" s="2">
        <v>0</v>
      </c>
      <c r="AQ737" s="2">
        <v>0</v>
      </c>
      <c r="AR737" s="2">
        <v>6.2032085607014462</v>
      </c>
    </row>
    <row r="738" spans="1:44" x14ac:dyDescent="0.25">
      <c r="A738" t="s">
        <v>250</v>
      </c>
      <c r="B738" t="s">
        <v>363</v>
      </c>
      <c r="C738" t="s">
        <v>45</v>
      </c>
      <c r="D738" t="s">
        <v>358</v>
      </c>
      <c r="E738" t="s">
        <v>148</v>
      </c>
      <c r="F738" t="s">
        <v>359</v>
      </c>
      <c r="G738" t="s">
        <v>31</v>
      </c>
      <c r="H738" t="s">
        <v>276</v>
      </c>
      <c r="I738" t="s">
        <v>135</v>
      </c>
      <c r="J738" t="s">
        <v>39</v>
      </c>
      <c r="K738" t="s">
        <v>31</v>
      </c>
      <c r="L738">
        <v>0.93</v>
      </c>
      <c r="M738">
        <v>1</v>
      </c>
      <c r="N738">
        <v>2.6259606356853955</v>
      </c>
      <c r="O738">
        <v>3.1597702595673303</v>
      </c>
      <c r="P738">
        <v>-0.56360929242142277</v>
      </c>
      <c r="Q738">
        <v>0.65176295523094208</v>
      </c>
      <c r="R738">
        <v>-0.67371772101320515</v>
      </c>
      <c r="S738" s="2">
        <v>2.3396747012789155E-3</v>
      </c>
      <c r="T738" s="2">
        <v>5.4419397916719682E-3</v>
      </c>
      <c r="U738" s="2">
        <v>9.6814257500385612E-3</v>
      </c>
      <c r="V738" s="2">
        <v>1.5689485576314902E-2</v>
      </c>
      <c r="W738" s="2">
        <v>2.343646841473699E-2</v>
      </c>
      <c r="X738" s="2">
        <v>3.260389355842596E-2</v>
      </c>
      <c r="Y738" s="2">
        <v>4.263395383275035E-2</v>
      </c>
      <c r="Z738" s="2">
        <v>5.2847473425764208E-2</v>
      </c>
      <c r="AA738" s="2">
        <v>6.2586954251061519E-2</v>
      </c>
      <c r="AB738" s="2">
        <v>7.1337095300237435E-2</v>
      </c>
      <c r="AC738" s="2">
        <v>7.8791226702103673E-2</v>
      </c>
      <c r="AD738" s="2">
        <v>8.485694550000214E-2</v>
      </c>
      <c r="AE738" s="2">
        <v>8.9615158730938643E-2</v>
      </c>
      <c r="AF738" s="2">
        <v>9.3256525387956021E-2</v>
      </c>
      <c r="AG738" s="2">
        <v>9.6017868199525055E-2</v>
      </c>
      <c r="AH738" s="2">
        <v>9.8133033934600614E-2</v>
      </c>
      <c r="AI738" s="2">
        <v>9.9803309790957431E-2</v>
      </c>
      <c r="AJ738" s="2">
        <v>0.10128922311217509</v>
      </c>
      <c r="AK738" s="2">
        <v>0.102660074375095</v>
      </c>
      <c r="AL738" s="2">
        <v>0.10363532336681321</v>
      </c>
      <c r="AM738" s="2">
        <v>0.10462187873375793</v>
      </c>
      <c r="AN738" s="2">
        <v>0.10561986649294883</v>
      </c>
      <c r="AO738" s="2">
        <v>0.10662941407621956</v>
      </c>
      <c r="AP738" s="2">
        <v>0.10765065034609353</v>
      </c>
      <c r="AQ738" s="2">
        <v>0.10868370561182775</v>
      </c>
      <c r="AR738" s="2">
        <v>1.799862568963295</v>
      </c>
    </row>
    <row r="739" spans="1:44" x14ac:dyDescent="0.25">
      <c r="A739" t="s">
        <v>250</v>
      </c>
      <c r="B739" t="s">
        <v>372</v>
      </c>
      <c r="C739" t="s">
        <v>45</v>
      </c>
      <c r="D739" t="s">
        <v>358</v>
      </c>
      <c r="E739" t="s">
        <v>145</v>
      </c>
      <c r="F739" t="s">
        <v>368</v>
      </c>
      <c r="G739" t="s">
        <v>31</v>
      </c>
      <c r="H739" t="s">
        <v>276</v>
      </c>
      <c r="I739" t="s">
        <v>135</v>
      </c>
      <c r="J739" t="s">
        <v>39</v>
      </c>
      <c r="K739" t="s">
        <v>31</v>
      </c>
      <c r="L739">
        <v>0.61808625336927292</v>
      </c>
      <c r="M739">
        <v>1</v>
      </c>
      <c r="N739">
        <v>4.3970333984141936</v>
      </c>
      <c r="O739">
        <v>3.1597702595673298</v>
      </c>
      <c r="P739">
        <v>-0.82613165992981141</v>
      </c>
      <c r="Q739">
        <v>0.38924058772255321</v>
      </c>
      <c r="R739">
        <v>-0.67371772101320504</v>
      </c>
      <c r="S739" s="2">
        <v>0</v>
      </c>
      <c r="T739" s="2">
        <v>0</v>
      </c>
      <c r="U739" s="2">
        <v>1.2084245342718681E-3</v>
      </c>
      <c r="V739" s="2">
        <v>2.26907474614988E-3</v>
      </c>
      <c r="W739" s="2">
        <v>3.8746915101133253E-3</v>
      </c>
      <c r="X739" s="2">
        <v>6.1681220653128288E-3</v>
      </c>
      <c r="Y739" s="2">
        <v>9.279358139616745E-3</v>
      </c>
      <c r="Z739" s="2">
        <v>1.3301443815581343E-2</v>
      </c>
      <c r="AA739" s="2">
        <v>1.826174186668917E-2</v>
      </c>
      <c r="AB739" s="2">
        <v>2.4093348767531896E-2</v>
      </c>
      <c r="AC739" s="2">
        <v>3.0614632528373081E-2</v>
      </c>
      <c r="AD739" s="2">
        <v>3.7526902949175628E-2</v>
      </c>
      <c r="AE739" s="2">
        <v>4.4439071879599445E-2</v>
      </c>
      <c r="AF739" s="2">
        <v>5.0922083808186615E-2</v>
      </c>
      <c r="AG739" s="2">
        <v>5.658507349632997E-2</v>
      </c>
      <c r="AH739" s="2">
        <v>6.115321327712659E-2</v>
      </c>
      <c r="AI739" s="2">
        <v>6.4520714185910419E-2</v>
      </c>
      <c r="AJ739" s="2">
        <v>6.6941176896514992E-2</v>
      </c>
      <c r="AK739" s="2">
        <v>6.8192279600553796E-2</v>
      </c>
      <c r="AL739" s="2">
        <v>6.9160081132794982E-2</v>
      </c>
      <c r="AM739" s="2">
        <v>6.9292013014474005E-2</v>
      </c>
      <c r="AN739" s="2">
        <v>6.9146499787143614E-2</v>
      </c>
      <c r="AO739" s="2">
        <v>6.9001292137590597E-2</v>
      </c>
      <c r="AP739" s="2">
        <v>6.8856389424101674E-2</v>
      </c>
      <c r="AQ739" s="2">
        <v>0</v>
      </c>
      <c r="AR739" s="2">
        <v>0.90480762956314253</v>
      </c>
    </row>
    <row r="740" spans="1:44" x14ac:dyDescent="0.25">
      <c r="A740" t="s">
        <v>250</v>
      </c>
      <c r="B740" t="s">
        <v>372</v>
      </c>
      <c r="C740" t="s">
        <v>45</v>
      </c>
      <c r="D740" t="s">
        <v>358</v>
      </c>
      <c r="E740" t="s">
        <v>148</v>
      </c>
      <c r="F740" t="s">
        <v>368</v>
      </c>
      <c r="G740" t="s">
        <v>31</v>
      </c>
      <c r="H740" t="s">
        <v>276</v>
      </c>
      <c r="I740" t="s">
        <v>135</v>
      </c>
      <c r="J740" t="s">
        <v>39</v>
      </c>
      <c r="K740" t="s">
        <v>31</v>
      </c>
      <c r="L740">
        <v>0.61808625336927292</v>
      </c>
      <c r="M740">
        <v>1</v>
      </c>
      <c r="N740">
        <v>4.3970333984141936</v>
      </c>
      <c r="O740">
        <v>3.1597702595673298</v>
      </c>
      <c r="P740">
        <v>-0.82613165992981141</v>
      </c>
      <c r="Q740">
        <v>0.38924058772255321</v>
      </c>
      <c r="R740">
        <v>-0.67371772101320504</v>
      </c>
      <c r="S740" s="2">
        <v>0</v>
      </c>
      <c r="T740" s="2">
        <v>0</v>
      </c>
      <c r="U740" s="2">
        <v>2.9628840315605468E-4</v>
      </c>
      <c r="V740" s="2">
        <v>5.6262079844570506E-4</v>
      </c>
      <c r="W740" s="2">
        <v>9.7159628906292922E-4</v>
      </c>
      <c r="X740" s="2">
        <v>1.5642032928150195E-3</v>
      </c>
      <c r="Y740" s="2">
        <v>2.3799037126097425E-3</v>
      </c>
      <c r="Z740" s="2">
        <v>3.4502538690999039E-3</v>
      </c>
      <c r="AA740" s="2">
        <v>4.790874547665025E-3</v>
      </c>
      <c r="AB740" s="2">
        <v>6.3929237363936943E-3</v>
      </c>
      <c r="AC740" s="2">
        <v>8.2161905141656822E-3</v>
      </c>
      <c r="AD740" s="2">
        <v>1.0186676548447468E-2</v>
      </c>
      <c r="AE740" s="2">
        <v>1.2201473344106026E-2</v>
      </c>
      <c r="AF740" s="2">
        <v>1.4142299791280817E-2</v>
      </c>
      <c r="AG740" s="2">
        <v>1.5896126833815832E-2</v>
      </c>
      <c r="AH740" s="2">
        <v>1.7377735395809578E-2</v>
      </c>
      <c r="AI740" s="2">
        <v>1.8546686959347074E-2</v>
      </c>
      <c r="AJ740" s="2">
        <v>1.946536383057557E-2</v>
      </c>
      <c r="AK740" s="2">
        <v>2.0059266169771325E-2</v>
      </c>
      <c r="AL740" s="2">
        <v>2.0580434342438909E-2</v>
      </c>
      <c r="AM740" s="2">
        <v>2.085978872483963E-2</v>
      </c>
      <c r="AN740" s="2">
        <v>2.1058770181286952E-2</v>
      </c>
      <c r="AO740" s="2">
        <v>2.1260056466235921E-2</v>
      </c>
      <c r="AP740" s="2">
        <v>2.1463673272639542E-2</v>
      </c>
      <c r="AQ740" s="2">
        <v>0</v>
      </c>
      <c r="AR740" s="2">
        <v>0.26172320702400842</v>
      </c>
    </row>
    <row r="741" spans="1:44" x14ac:dyDescent="0.25">
      <c r="A741" t="s">
        <v>250</v>
      </c>
      <c r="B741" t="s">
        <v>362</v>
      </c>
      <c r="C741" t="s">
        <v>45</v>
      </c>
      <c r="D741" t="s">
        <v>358</v>
      </c>
      <c r="E741" t="s">
        <v>145</v>
      </c>
      <c r="F741" t="s">
        <v>359</v>
      </c>
      <c r="G741" t="s">
        <v>31</v>
      </c>
      <c r="H741" t="s">
        <v>277</v>
      </c>
      <c r="I741" t="s">
        <v>135</v>
      </c>
      <c r="J741" t="s">
        <v>39</v>
      </c>
      <c r="K741" t="s">
        <v>31</v>
      </c>
      <c r="L741">
        <v>1.1100000000000001</v>
      </c>
      <c r="M741">
        <v>1</v>
      </c>
      <c r="N741">
        <v>2.8805169099386236</v>
      </c>
      <c r="O741">
        <v>3.1588853240212433</v>
      </c>
      <c r="P741">
        <v>-0.62137311888954427</v>
      </c>
      <c r="Q741">
        <v>0.59399912876282102</v>
      </c>
      <c r="R741">
        <v>-0.67371772101320537</v>
      </c>
      <c r="S741" s="2">
        <v>2.0657205197954505E-2</v>
      </c>
      <c r="T741" s="2">
        <v>4.0349471977299614E-2</v>
      </c>
      <c r="U741" s="2">
        <v>7.0797806370545543E-2</v>
      </c>
      <c r="V741" s="2">
        <v>0.1131554771018292</v>
      </c>
      <c r="W741" s="2">
        <v>0.16669998622582871</v>
      </c>
      <c r="X741" s="2">
        <v>0.22870707292236225</v>
      </c>
      <c r="Y741" s="2">
        <v>0.29493260070945648</v>
      </c>
      <c r="Z741" s="2">
        <v>0.36052786428658712</v>
      </c>
      <c r="AA741" s="2">
        <v>0.42105259360363528</v>
      </c>
      <c r="AB741" s="2">
        <v>0.47325634847569203</v>
      </c>
      <c r="AC741" s="2">
        <v>0.51543991816846091</v>
      </c>
      <c r="AD741" s="2">
        <v>0.54739080049923183</v>
      </c>
      <c r="AE741" s="2">
        <v>0.57002293400748183</v>
      </c>
      <c r="AF741" s="2">
        <v>0.5849001853566328</v>
      </c>
      <c r="AG741" s="2">
        <v>0.59379601632999313</v>
      </c>
      <c r="AH741" s="2">
        <v>0.59837609787839918</v>
      </c>
      <c r="AI741" s="2">
        <v>0.60002442909187703</v>
      </c>
      <c r="AJ741" s="2">
        <v>0.60040386113536826</v>
      </c>
      <c r="AK741" s="2">
        <v>0.59996983424780059</v>
      </c>
      <c r="AL741" s="2">
        <v>0.597137976630151</v>
      </c>
      <c r="AM741" s="2">
        <v>0.59431948538045687</v>
      </c>
      <c r="AN741" s="2">
        <v>0.15575093541881321</v>
      </c>
      <c r="AO741" s="2">
        <v>0</v>
      </c>
      <c r="AP741" s="2">
        <v>0</v>
      </c>
      <c r="AQ741" s="2">
        <v>0</v>
      </c>
      <c r="AR741" s="2">
        <v>8.7476689010158584</v>
      </c>
    </row>
    <row r="742" spans="1:44" x14ac:dyDescent="0.25">
      <c r="A742" t="s">
        <v>250</v>
      </c>
      <c r="B742" t="s">
        <v>362</v>
      </c>
      <c r="C742" t="s">
        <v>45</v>
      </c>
      <c r="D742" t="s">
        <v>358</v>
      </c>
      <c r="E742" t="s">
        <v>145</v>
      </c>
      <c r="F742" t="s">
        <v>359</v>
      </c>
      <c r="G742" t="s">
        <v>31</v>
      </c>
      <c r="H742" t="s">
        <v>277</v>
      </c>
      <c r="I742" t="s">
        <v>135</v>
      </c>
      <c r="J742" t="s">
        <v>40</v>
      </c>
      <c r="K742" t="s">
        <v>31</v>
      </c>
      <c r="L742">
        <v>1.1100000000000001</v>
      </c>
      <c r="M742">
        <v>1</v>
      </c>
      <c r="N742">
        <v>2.8805169099386236</v>
      </c>
      <c r="O742">
        <v>1.9798085216903565</v>
      </c>
      <c r="P742">
        <v>-0.62137311888954427</v>
      </c>
      <c r="Q742">
        <v>0.4672931329656026</v>
      </c>
      <c r="R742">
        <v>-0.53071772101320513</v>
      </c>
      <c r="S742" s="2">
        <v>3.2585788906992108E-3</v>
      </c>
      <c r="T742" s="2">
        <v>6.3649431942084458E-3</v>
      </c>
      <c r="U742" s="2">
        <v>1.1168027578566822E-2</v>
      </c>
      <c r="V742" s="2">
        <v>1.7849754868462558E-2</v>
      </c>
      <c r="W742" s="2">
        <v>2.6296154343721345E-2</v>
      </c>
      <c r="X742" s="2">
        <v>3.6077486418744142E-2</v>
      </c>
      <c r="Y742" s="2">
        <v>4.6524258128878872E-2</v>
      </c>
      <c r="Z742" s="2">
        <v>5.6871608565396511E-2</v>
      </c>
      <c r="AA742" s="2">
        <v>6.6419105597441561E-2</v>
      </c>
      <c r="AB742" s="2">
        <v>7.4654007270305092E-2</v>
      </c>
      <c r="AC742" s="2">
        <v>8.1308270923977202E-2</v>
      </c>
      <c r="AD742" s="2">
        <v>8.6348375318765935E-2</v>
      </c>
      <c r="AE742" s="2">
        <v>8.9918490046036678E-2</v>
      </c>
      <c r="AF742" s="2">
        <v>9.226530786255184E-2</v>
      </c>
      <c r="AG742" s="2">
        <v>9.3668584189007226E-2</v>
      </c>
      <c r="AH742" s="2">
        <v>9.4391070939189414E-2</v>
      </c>
      <c r="AI742" s="2">
        <v>9.4651087589343597E-2</v>
      </c>
      <c r="AJ742" s="2">
        <v>9.4710941245030669E-2</v>
      </c>
      <c r="AK742" s="2">
        <v>9.4642475504371631E-2</v>
      </c>
      <c r="AL742" s="2">
        <v>9.4195763019991011E-2</v>
      </c>
      <c r="AM742" s="2">
        <v>9.3751159018536631E-2</v>
      </c>
      <c r="AN742" s="2">
        <v>2.4568992053807095E-2</v>
      </c>
      <c r="AO742" s="2">
        <v>0</v>
      </c>
      <c r="AP742" s="2">
        <v>0</v>
      </c>
      <c r="AQ742" s="2">
        <v>0</v>
      </c>
      <c r="AR742" s="2">
        <v>1.3799044425670335</v>
      </c>
    </row>
    <row r="743" spans="1:44" x14ac:dyDescent="0.25">
      <c r="A743" t="s">
        <v>250</v>
      </c>
      <c r="B743" t="s">
        <v>362</v>
      </c>
      <c r="C743" t="s">
        <v>45</v>
      </c>
      <c r="D743" t="s">
        <v>358</v>
      </c>
      <c r="E743" t="s">
        <v>148</v>
      </c>
      <c r="F743" t="s">
        <v>359</v>
      </c>
      <c r="G743" t="s">
        <v>31</v>
      </c>
      <c r="H743" t="s">
        <v>277</v>
      </c>
      <c r="I743" t="s">
        <v>135</v>
      </c>
      <c r="J743" t="s">
        <v>39</v>
      </c>
      <c r="K743" t="s">
        <v>31</v>
      </c>
      <c r="L743">
        <v>1.1100000000000001</v>
      </c>
      <c r="M743">
        <v>1</v>
      </c>
      <c r="N743">
        <v>2.8805169099386236</v>
      </c>
      <c r="O743">
        <v>3.1588853240212433</v>
      </c>
      <c r="P743">
        <v>-0.62137311888954427</v>
      </c>
      <c r="Q743">
        <v>0.59399912876282102</v>
      </c>
      <c r="R743">
        <v>-0.67371772101320537</v>
      </c>
      <c r="S743" s="2">
        <v>3.5142554412198007E-3</v>
      </c>
      <c r="T743" s="2">
        <v>9.7671969294873453E-3</v>
      </c>
      <c r="U743" s="2">
        <v>1.7331416756882882E-2</v>
      </c>
      <c r="V743" s="2">
        <v>2.801525662604035E-2</v>
      </c>
      <c r="W743" s="2">
        <v>4.1742819906360418E-2</v>
      </c>
      <c r="X743" s="2">
        <v>5.7926233867877652E-2</v>
      </c>
      <c r="Y743" s="2">
        <v>7.5559675520362884E-2</v>
      </c>
      <c r="Z743" s="2">
        <v>9.343287657014257E-2</v>
      </c>
      <c r="AA743" s="2">
        <v>0.11038565259198091</v>
      </c>
      <c r="AB743" s="2">
        <v>0.12551909267468186</v>
      </c>
      <c r="AC743" s="2">
        <v>0.13830884543276209</v>
      </c>
      <c r="AD743" s="2">
        <v>0.14861043643565292</v>
      </c>
      <c r="AE743" s="2">
        <v>0.15658322671622635</v>
      </c>
      <c r="AF743" s="2">
        <v>0.16257613199154822</v>
      </c>
      <c r="AG743" s="2">
        <v>0.16701492736393239</v>
      </c>
      <c r="AH743" s="2">
        <v>0.17031618850329766</v>
      </c>
      <c r="AI743" s="2">
        <v>0.17283625428139446</v>
      </c>
      <c r="AJ743" s="2">
        <v>0.17503060168770343</v>
      </c>
      <c r="AK743" s="2">
        <v>0.17702097608451761</v>
      </c>
      <c r="AL743" s="2">
        <v>0.17832607922777749</v>
      </c>
      <c r="AM743" s="2">
        <v>0.17964902811535735</v>
      </c>
      <c r="AN743" s="2">
        <v>0.18099000772424501</v>
      </c>
      <c r="AO743" s="2">
        <v>0.18234920517733824</v>
      </c>
      <c r="AP743" s="2">
        <v>0.18372680976715902</v>
      </c>
      <c r="AQ743" s="2">
        <v>0.18512301297985331</v>
      </c>
      <c r="AR743" s="2">
        <v>3.1216562083738024</v>
      </c>
    </row>
    <row r="744" spans="1:44" x14ac:dyDescent="0.25">
      <c r="A744" t="s">
        <v>250</v>
      </c>
      <c r="B744" t="s">
        <v>362</v>
      </c>
      <c r="C744" t="s">
        <v>45</v>
      </c>
      <c r="D744" t="s">
        <v>358</v>
      </c>
      <c r="E744" t="s">
        <v>148</v>
      </c>
      <c r="F744" t="s">
        <v>359</v>
      </c>
      <c r="G744" t="s">
        <v>31</v>
      </c>
      <c r="H744" t="s">
        <v>277</v>
      </c>
      <c r="I744" t="s">
        <v>135</v>
      </c>
      <c r="J744" t="s">
        <v>40</v>
      </c>
      <c r="K744" t="s">
        <v>31</v>
      </c>
      <c r="L744">
        <v>1.1100000000000001</v>
      </c>
      <c r="M744">
        <v>1</v>
      </c>
      <c r="N744">
        <v>2.8805169099386236</v>
      </c>
      <c r="O744">
        <v>1.9798085216903565</v>
      </c>
      <c r="P744">
        <v>-0.62137311888954427</v>
      </c>
      <c r="Q744">
        <v>0.4672931329656026</v>
      </c>
      <c r="R744">
        <v>-0.53071772101320513</v>
      </c>
      <c r="S744" s="2">
        <v>5.543575952093279E-4</v>
      </c>
      <c r="T744" s="2">
        <v>1.5407302890558189E-3</v>
      </c>
      <c r="U744" s="2">
        <v>2.7339510959343695E-3</v>
      </c>
      <c r="V744" s="2">
        <v>4.4192775830186456E-3</v>
      </c>
      <c r="W744" s="2">
        <v>6.584737406713388E-3</v>
      </c>
      <c r="X744" s="2">
        <v>9.1375963539473571E-3</v>
      </c>
      <c r="Y744" s="2">
        <v>1.1919190484834653E-2</v>
      </c>
      <c r="Z744" s="2">
        <v>1.4738605555359325E-2</v>
      </c>
      <c r="AA744" s="2">
        <v>1.7412827820866443E-2</v>
      </c>
      <c r="AB744" s="2">
        <v>1.9800058229074203E-2</v>
      </c>
      <c r="AC744" s="2">
        <v>2.1817582766172551E-2</v>
      </c>
      <c r="AD744" s="2">
        <v>2.3442611256762277E-2</v>
      </c>
      <c r="AE744" s="2">
        <v>2.4700282169128385E-2</v>
      </c>
      <c r="AF744" s="2">
        <v>2.564563534914447E-2</v>
      </c>
      <c r="AG744" s="2">
        <v>2.6345834856384788E-2</v>
      </c>
      <c r="AH744" s="2">
        <v>2.6866593582376346E-2</v>
      </c>
      <c r="AI744" s="2">
        <v>2.7264122341421056E-2</v>
      </c>
      <c r="AJ744" s="2">
        <v>2.7610270528871574E-2</v>
      </c>
      <c r="AK744" s="2">
        <v>2.7924242914384716E-2</v>
      </c>
      <c r="AL744" s="2">
        <v>2.8130116918736542E-2</v>
      </c>
      <c r="AM744" s="2">
        <v>2.8338806006985632E-2</v>
      </c>
      <c r="AN744" s="2">
        <v>2.8550339358400151E-2</v>
      </c>
      <c r="AO744" s="2">
        <v>2.8764746490754566E-2</v>
      </c>
      <c r="AP744" s="2">
        <v>2.898205726407041E-2</v>
      </c>
      <c r="AQ744" s="2">
        <v>2.9202301884406277E-2</v>
      </c>
      <c r="AR744" s="2">
        <v>0.4924268761020133</v>
      </c>
    </row>
    <row r="745" spans="1:44" x14ac:dyDescent="0.25">
      <c r="A745" t="s">
        <v>250</v>
      </c>
      <c r="B745" t="s">
        <v>371</v>
      </c>
      <c r="C745" t="s">
        <v>45</v>
      </c>
      <c r="D745" t="s">
        <v>358</v>
      </c>
      <c r="E745" t="s">
        <v>145</v>
      </c>
      <c r="F745" t="s">
        <v>368</v>
      </c>
      <c r="G745" t="s">
        <v>31</v>
      </c>
      <c r="H745" t="s">
        <v>277</v>
      </c>
      <c r="I745" t="s">
        <v>135</v>
      </c>
      <c r="J745" t="s">
        <v>39</v>
      </c>
      <c r="K745" t="s">
        <v>31</v>
      </c>
      <c r="L745">
        <v>0.71805929919137568</v>
      </c>
      <c r="M745">
        <v>1</v>
      </c>
      <c r="N745">
        <v>4.5538628518455466</v>
      </c>
      <c r="O745">
        <v>3.1588853240212424</v>
      </c>
      <c r="P745">
        <v>-0.83964188629624992</v>
      </c>
      <c r="Q745">
        <v>0.37573036135611498</v>
      </c>
      <c r="R745">
        <v>-0.67371772101320493</v>
      </c>
      <c r="S745" s="2">
        <v>0</v>
      </c>
      <c r="T745" s="2">
        <v>0</v>
      </c>
      <c r="U745" s="2">
        <v>1.7574585290483047E-3</v>
      </c>
      <c r="V745" s="2">
        <v>3.2913389436478322E-3</v>
      </c>
      <c r="W745" s="2">
        <v>5.6055624041363291E-3</v>
      </c>
      <c r="X745" s="2">
        <v>8.9000669728208706E-3</v>
      </c>
      <c r="Y745" s="2">
        <v>1.3354157875677205E-2</v>
      </c>
      <c r="Z745" s="2">
        <v>1.9092183871566675E-2</v>
      </c>
      <c r="AA745" s="2">
        <v>2.6143111672098422E-2</v>
      </c>
      <c r="AB745" s="2">
        <v>3.4400955085402848E-2</v>
      </c>
      <c r="AC745" s="2">
        <v>4.3597404816641733E-2</v>
      </c>
      <c r="AD745" s="2">
        <v>5.3300657430023615E-2</v>
      </c>
      <c r="AE745" s="2">
        <v>6.2952513697936127E-2</v>
      </c>
      <c r="AF745" s="2">
        <v>7.194697154491525E-2</v>
      </c>
      <c r="AG745" s="2">
        <v>7.9738211320931562E-2</v>
      </c>
      <c r="AH745" s="2">
        <v>8.5949259898660535E-2</v>
      </c>
      <c r="AI745" s="2">
        <v>9.0444108010463597E-2</v>
      </c>
      <c r="AJ745" s="2">
        <v>9.3590703518649412E-2</v>
      </c>
      <c r="AK745" s="2">
        <v>9.5089558635500587E-2</v>
      </c>
      <c r="AL745" s="2">
        <v>9.6185890790883743E-2</v>
      </c>
      <c r="AM745" s="2">
        <v>9.6116358821637327E-2</v>
      </c>
      <c r="AN745" s="2">
        <v>9.5662689607999202E-2</v>
      </c>
      <c r="AO745" s="2">
        <v>9.5211161713049441E-2</v>
      </c>
      <c r="AP745" s="2">
        <v>9.476176502976387E-2</v>
      </c>
      <c r="AQ745" s="2">
        <v>0</v>
      </c>
      <c r="AR745" s="2">
        <v>1.2670920901914546</v>
      </c>
    </row>
    <row r="746" spans="1:44" x14ac:dyDescent="0.25">
      <c r="A746" t="s">
        <v>250</v>
      </c>
      <c r="B746" t="s">
        <v>371</v>
      </c>
      <c r="C746" t="s">
        <v>45</v>
      </c>
      <c r="D746" t="s">
        <v>358</v>
      </c>
      <c r="E746" t="s">
        <v>145</v>
      </c>
      <c r="F746" t="s">
        <v>368</v>
      </c>
      <c r="G746" t="s">
        <v>31</v>
      </c>
      <c r="H746" t="s">
        <v>277</v>
      </c>
      <c r="I746" t="s">
        <v>135</v>
      </c>
      <c r="J746" t="s">
        <v>40</v>
      </c>
      <c r="K746" t="s">
        <v>31</v>
      </c>
      <c r="L746">
        <v>0.71805929919137568</v>
      </c>
      <c r="M746">
        <v>1</v>
      </c>
      <c r="N746">
        <v>4.5538628518455466</v>
      </c>
      <c r="O746">
        <v>1.9798085216903565</v>
      </c>
      <c r="P746">
        <v>-0.83964188629624992</v>
      </c>
      <c r="Q746">
        <v>0.4672931329656026</v>
      </c>
      <c r="R746">
        <v>-0.53071772101320502</v>
      </c>
      <c r="S746" s="2">
        <v>0</v>
      </c>
      <c r="T746" s="2">
        <v>0</v>
      </c>
      <c r="U746" s="2">
        <v>2.7723098111080214E-4</v>
      </c>
      <c r="V746" s="2">
        <v>5.1919354535767844E-4</v>
      </c>
      <c r="W746" s="2">
        <v>8.8425162772863802E-4</v>
      </c>
      <c r="X746" s="2">
        <v>1.4039445358423935E-3</v>
      </c>
      <c r="Y746" s="2">
        <v>2.1065568425033265E-3</v>
      </c>
      <c r="Z746" s="2">
        <v>3.0117039911766743E-3</v>
      </c>
      <c r="AA746" s="2">
        <v>4.1239553470828463E-3</v>
      </c>
      <c r="AB746" s="2">
        <v>5.4265920770485169E-3</v>
      </c>
      <c r="AC746" s="2">
        <v>6.8772896267131145E-3</v>
      </c>
      <c r="AD746" s="2">
        <v>8.4079329946852299E-3</v>
      </c>
      <c r="AE746" s="2">
        <v>9.9304688260956186E-3</v>
      </c>
      <c r="AF746" s="2">
        <v>1.1349303087196545E-2</v>
      </c>
      <c r="AG746" s="2">
        <v>1.2578335244412892E-2</v>
      </c>
      <c r="AH746" s="2">
        <v>1.3558099524747349E-2</v>
      </c>
      <c r="AI746" s="2">
        <v>1.4267141093229756E-2</v>
      </c>
      <c r="AJ746" s="2">
        <v>1.4763502028907471E-2</v>
      </c>
      <c r="AK746" s="2">
        <v>1.4999939513900428E-2</v>
      </c>
      <c r="AL746" s="2">
        <v>1.5172880857344122E-2</v>
      </c>
      <c r="AM746" s="2">
        <v>1.5161912509736402E-2</v>
      </c>
      <c r="AN746" s="2">
        <v>1.5090348282690447E-2</v>
      </c>
      <c r="AO746" s="2">
        <v>1.501912183879615E-2</v>
      </c>
      <c r="AP746" s="2">
        <v>1.4948231583717034E-2</v>
      </c>
      <c r="AQ746" s="2">
        <v>0</v>
      </c>
      <c r="AR746" s="2">
        <v>0.19987793596002346</v>
      </c>
    </row>
    <row r="747" spans="1:44" x14ac:dyDescent="0.25">
      <c r="A747" t="s">
        <v>250</v>
      </c>
      <c r="B747" t="s">
        <v>371</v>
      </c>
      <c r="C747" t="s">
        <v>45</v>
      </c>
      <c r="D747" t="s">
        <v>358</v>
      </c>
      <c r="E747" t="s">
        <v>148</v>
      </c>
      <c r="F747" t="s">
        <v>368</v>
      </c>
      <c r="G747" t="s">
        <v>31</v>
      </c>
      <c r="H747" t="s">
        <v>277</v>
      </c>
      <c r="I747" t="s">
        <v>135</v>
      </c>
      <c r="J747" t="s">
        <v>39</v>
      </c>
      <c r="K747" t="s">
        <v>31</v>
      </c>
      <c r="L747">
        <v>0.71805929919137568</v>
      </c>
      <c r="M747">
        <v>1</v>
      </c>
      <c r="N747">
        <v>4.5538628518455466</v>
      </c>
      <c r="O747">
        <v>3.1588853240212424</v>
      </c>
      <c r="P747">
        <v>-0.83964188629624992</v>
      </c>
      <c r="Q747">
        <v>0.37573036135611498</v>
      </c>
      <c r="R747">
        <v>-0.67371772101320493</v>
      </c>
      <c r="S747" s="2">
        <v>0</v>
      </c>
      <c r="T747" s="2">
        <v>0</v>
      </c>
      <c r="U747" s="2">
        <v>5.1627440613832365E-4</v>
      </c>
      <c r="V747" s="2">
        <v>9.7785143957208258E-4</v>
      </c>
      <c r="W747" s="2">
        <v>1.6844055278522091E-3</v>
      </c>
      <c r="X747" s="2">
        <v>2.7050183677480161E-3</v>
      </c>
      <c r="Y747" s="2">
        <v>4.1054905432901436E-3</v>
      </c>
      <c r="Z747" s="2">
        <v>5.9374195533754351E-3</v>
      </c>
      <c r="AA747" s="2">
        <v>8.2246004035103557E-3</v>
      </c>
      <c r="AB747" s="2">
        <v>1.0948763857144201E-2</v>
      </c>
      <c r="AC747" s="2">
        <v>1.4038276458247553E-2</v>
      </c>
      <c r="AD747" s="2">
        <v>1.7364633725869466E-2</v>
      </c>
      <c r="AE747" s="2">
        <v>2.0751391854540852E-2</v>
      </c>
      <c r="AF747" s="2">
        <v>2.3997654235954145E-2</v>
      </c>
      <c r="AG747" s="2">
        <v>2.6913225159451302E-2</v>
      </c>
      <c r="AH747" s="2">
        <v>2.935655431930841E-2</v>
      </c>
      <c r="AI747" s="2">
        <v>3.1262768832280553E-2</v>
      </c>
      <c r="AJ747" s="2">
        <v>3.274043664862706E-2</v>
      </c>
      <c r="AK747" s="2">
        <v>3.3667385640225284E-2</v>
      </c>
      <c r="AL747" s="2">
        <v>3.4469325589170881E-2</v>
      </c>
      <c r="AM747" s="2">
        <v>3.4864501413223045E-2</v>
      </c>
      <c r="AN747" s="2">
        <v>3.512474543435487E-2</v>
      </c>
      <c r="AO747" s="2">
        <v>3.538852499398483E-2</v>
      </c>
      <c r="AP747" s="2">
        <v>3.5655876828127951E-2</v>
      </c>
      <c r="AQ747" s="2">
        <v>0</v>
      </c>
      <c r="AR747" s="2">
        <v>0.44069512523199694</v>
      </c>
    </row>
    <row r="748" spans="1:44" x14ac:dyDescent="0.25">
      <c r="A748" t="s">
        <v>250</v>
      </c>
      <c r="B748" t="s">
        <v>371</v>
      </c>
      <c r="C748" t="s">
        <v>45</v>
      </c>
      <c r="D748" t="s">
        <v>358</v>
      </c>
      <c r="E748" t="s">
        <v>148</v>
      </c>
      <c r="F748" t="s">
        <v>368</v>
      </c>
      <c r="G748" t="s">
        <v>31</v>
      </c>
      <c r="H748" t="s">
        <v>277</v>
      </c>
      <c r="I748" t="s">
        <v>135</v>
      </c>
      <c r="J748" t="s">
        <v>40</v>
      </c>
      <c r="K748" t="s">
        <v>31</v>
      </c>
      <c r="L748">
        <v>0.71805929919137568</v>
      </c>
      <c r="M748">
        <v>1</v>
      </c>
      <c r="N748">
        <v>4.5538628518455466</v>
      </c>
      <c r="O748">
        <v>1.9798085216903565</v>
      </c>
      <c r="P748">
        <v>-0.83964188629624992</v>
      </c>
      <c r="Q748">
        <v>0.4672931329656026</v>
      </c>
      <c r="R748">
        <v>-0.53071772101320502</v>
      </c>
      <c r="S748" s="2">
        <v>0</v>
      </c>
      <c r="T748" s="2">
        <v>0</v>
      </c>
      <c r="U748" s="2">
        <v>8.1439907554250844E-5</v>
      </c>
      <c r="V748" s="2">
        <v>1.5425155671808661E-4</v>
      </c>
      <c r="W748" s="2">
        <v>2.6570720694490604E-4</v>
      </c>
      <c r="X748" s="2">
        <v>4.2670417743490897E-4</v>
      </c>
      <c r="Y748" s="2">
        <v>6.4762220697963519E-4</v>
      </c>
      <c r="Z748" s="2">
        <v>9.36600563166678E-4</v>
      </c>
      <c r="AA748" s="2">
        <v>1.2973927984202404E-3</v>
      </c>
      <c r="AB748" s="2">
        <v>1.7271170248951751E-3</v>
      </c>
      <c r="AC748" s="2">
        <v>2.2144733951316529E-3</v>
      </c>
      <c r="AD748" s="2">
        <v>2.7391909196624992E-3</v>
      </c>
      <c r="AE748" s="2">
        <v>3.2734364015772018E-3</v>
      </c>
      <c r="AF748" s="2">
        <v>3.7855193270444308E-3</v>
      </c>
      <c r="AG748" s="2">
        <v>4.2454371995058401E-3</v>
      </c>
      <c r="AH748" s="2">
        <v>4.6308611107777516E-3</v>
      </c>
      <c r="AI748" s="2">
        <v>4.9315576625905654E-3</v>
      </c>
      <c r="AJ748" s="2">
        <v>5.1646529486019718E-3</v>
      </c>
      <c r="AK748" s="2">
        <v>5.3108748788112878E-3</v>
      </c>
      <c r="AL748" s="2">
        <v>5.4373772088313664E-3</v>
      </c>
      <c r="AM748" s="2">
        <v>5.4997143733233646E-3</v>
      </c>
      <c r="AN748" s="2">
        <v>5.5407666679375038E-3</v>
      </c>
      <c r="AO748" s="2">
        <v>5.5823766774510284E-3</v>
      </c>
      <c r="AP748" s="2">
        <v>5.6245501968007336E-3</v>
      </c>
      <c r="AQ748" s="2">
        <v>0</v>
      </c>
      <c r="AR748" s="2">
        <v>6.9517624410161086E-2</v>
      </c>
    </row>
    <row r="749" spans="1:44" x14ac:dyDescent="0.25">
      <c r="A749" t="s">
        <v>250</v>
      </c>
      <c r="B749" t="s">
        <v>382</v>
      </c>
      <c r="C749" t="s">
        <v>45</v>
      </c>
      <c r="D749" t="s">
        <v>377</v>
      </c>
      <c r="E749" t="s">
        <v>145</v>
      </c>
      <c r="F749" t="s">
        <v>377</v>
      </c>
      <c r="G749" t="s">
        <v>31</v>
      </c>
      <c r="H749" t="s">
        <v>253</v>
      </c>
      <c r="I749" t="s">
        <v>135</v>
      </c>
      <c r="J749" t="s">
        <v>39</v>
      </c>
      <c r="K749" t="s">
        <v>31</v>
      </c>
      <c r="L749">
        <v>0.34632732967893509</v>
      </c>
      <c r="M749">
        <v>1</v>
      </c>
      <c r="N749">
        <v>2.6703026842173858</v>
      </c>
      <c r="O749">
        <v>3.1590792310146663</v>
      </c>
      <c r="P749">
        <v>-0.57457239540926608</v>
      </c>
      <c r="Q749">
        <v>0.64079985224309877</v>
      </c>
      <c r="R749">
        <v>-0.67371772101320482</v>
      </c>
      <c r="S749" s="2">
        <v>7.9857240533569567E-4</v>
      </c>
      <c r="T749" s="2">
        <v>1.4964846866101838E-3</v>
      </c>
      <c r="U749" s="2">
        <v>2.5502885184468019E-3</v>
      </c>
      <c r="V749" s="2">
        <v>4.0516680240752431E-3</v>
      </c>
      <c r="W749" s="2">
        <v>6.0831362065165949E-3</v>
      </c>
      <c r="X749" s="2">
        <v>8.702361059194209E-3</v>
      </c>
      <c r="Y749" s="2">
        <v>1.192365009996829E-2</v>
      </c>
      <c r="Z749" s="2">
        <v>1.569975592113268E-2</v>
      </c>
      <c r="AA749" s="2">
        <v>1.9909185538157653E-2</v>
      </c>
      <c r="AB749" s="2">
        <v>2.4355434222497883E-2</v>
      </c>
      <c r="AC749" s="2">
        <v>2.8783714776217925E-2</v>
      </c>
      <c r="AD749" s="2">
        <v>3.2916734121477685E-2</v>
      </c>
      <c r="AE749" s="2">
        <v>3.6504059722315761E-2</v>
      </c>
      <c r="AF749" s="2">
        <v>3.937198160861085E-2</v>
      </c>
      <c r="AG749" s="2">
        <v>4.1456808693287793E-2</v>
      </c>
      <c r="AH749" s="2">
        <v>4.2925835274562132E-2</v>
      </c>
      <c r="AI749" s="2">
        <v>4.3640461003060106E-2</v>
      </c>
      <c r="AJ749" s="2">
        <v>4.4171111196424251E-2</v>
      </c>
      <c r="AK749" s="2">
        <v>4.4166676345902517E-2</v>
      </c>
      <c r="AL749" s="2">
        <v>4.3985592972884319E-2</v>
      </c>
      <c r="AM749" s="2">
        <v>4.3805252041695497E-2</v>
      </c>
      <c r="AN749" s="2">
        <v>4.3625650508324544E-2</v>
      </c>
      <c r="AO749" s="2">
        <v>4.3446785341240413E-2</v>
      </c>
      <c r="AP749" s="2">
        <v>2.1997580340618241E-2</v>
      </c>
      <c r="AQ749" s="2">
        <v>0</v>
      </c>
      <c r="AR749" s="2">
        <v>0.64636878062855729</v>
      </c>
    </row>
    <row r="750" spans="1:44" x14ac:dyDescent="0.25">
      <c r="A750" t="s">
        <v>250</v>
      </c>
      <c r="B750" t="s">
        <v>382</v>
      </c>
      <c r="C750" t="s">
        <v>45</v>
      </c>
      <c r="D750" t="s">
        <v>377</v>
      </c>
      <c r="E750" t="s">
        <v>145</v>
      </c>
      <c r="F750" t="s">
        <v>377</v>
      </c>
      <c r="G750" t="s">
        <v>31</v>
      </c>
      <c r="H750" t="s">
        <v>253</v>
      </c>
      <c r="I750" t="s">
        <v>135</v>
      </c>
      <c r="J750" t="s">
        <v>40</v>
      </c>
      <c r="K750" t="s">
        <v>31</v>
      </c>
      <c r="L750">
        <v>0.34632732967893509</v>
      </c>
      <c r="M750">
        <v>1</v>
      </c>
      <c r="N750">
        <v>2.6703026842173858</v>
      </c>
      <c r="O750">
        <v>1.979808521690356</v>
      </c>
      <c r="P750">
        <v>-0.57457239540926608</v>
      </c>
      <c r="Q750">
        <v>0.4672931329656026</v>
      </c>
      <c r="R750">
        <v>-0.53071772101320491</v>
      </c>
      <c r="S750" s="2">
        <v>4.2006568269013626E-4</v>
      </c>
      <c r="T750" s="2">
        <v>7.8718204800977052E-4</v>
      </c>
      <c r="U750" s="2">
        <v>1.3415047657548778E-3</v>
      </c>
      <c r="V750" s="2">
        <v>2.1312615903018922E-3</v>
      </c>
      <c r="W750" s="2">
        <v>3.1998560761854777E-3</v>
      </c>
      <c r="X750" s="2">
        <v>4.5776227865146225E-3</v>
      </c>
      <c r="Y750" s="2">
        <v>6.2720877730504318E-3</v>
      </c>
      <c r="Z750" s="2">
        <v>8.2583979173520266E-3</v>
      </c>
      <c r="AA750" s="2">
        <v>1.0472645384453472E-2</v>
      </c>
      <c r="AB750" s="2">
        <v>1.2811464602996798E-2</v>
      </c>
      <c r="AC750" s="2">
        <v>1.5140832211385305E-2</v>
      </c>
      <c r="AD750" s="2">
        <v>1.7314886287431493E-2</v>
      </c>
      <c r="AE750" s="2">
        <v>1.9201894112244065E-2</v>
      </c>
      <c r="AF750" s="2">
        <v>2.071048063116103E-2</v>
      </c>
      <c r="AG750" s="2">
        <v>2.1807143008628935E-2</v>
      </c>
      <c r="AH750" s="2">
        <v>2.2579881522544351E-2</v>
      </c>
      <c r="AI750" s="2">
        <v>2.2955789508474874E-2</v>
      </c>
      <c r="AJ750" s="2">
        <v>2.3234922539187929E-2</v>
      </c>
      <c r="AK750" s="2">
        <v>2.3232589715639813E-2</v>
      </c>
      <c r="AL750" s="2">
        <v>2.3137336097805696E-2</v>
      </c>
      <c r="AM750" s="2">
        <v>2.3042473019804693E-2</v>
      </c>
      <c r="AN750" s="2">
        <v>2.2947998880423495E-2</v>
      </c>
      <c r="AO750" s="2">
        <v>2.285391208501376E-2</v>
      </c>
      <c r="AP750" s="2">
        <v>1.157118445562701E-2</v>
      </c>
      <c r="AQ750" s="2">
        <v>0</v>
      </c>
      <c r="AR750" s="2">
        <v>0.34000341270268192</v>
      </c>
    </row>
    <row r="751" spans="1:44" x14ac:dyDescent="0.25">
      <c r="A751" t="s">
        <v>250</v>
      </c>
      <c r="B751" t="s">
        <v>382</v>
      </c>
      <c r="C751" t="s">
        <v>45</v>
      </c>
      <c r="D751" t="s">
        <v>377</v>
      </c>
      <c r="E751" t="s">
        <v>145</v>
      </c>
      <c r="F751" t="s">
        <v>377</v>
      </c>
      <c r="G751" t="s">
        <v>31</v>
      </c>
      <c r="H751" t="s">
        <v>253</v>
      </c>
      <c r="I751" t="s">
        <v>256</v>
      </c>
      <c r="J751" t="s">
        <v>39</v>
      </c>
      <c r="K751" t="s">
        <v>31</v>
      </c>
      <c r="L751">
        <v>0.34632732967893509</v>
      </c>
      <c r="M751">
        <v>1</v>
      </c>
      <c r="N751">
        <v>2.2425524627086975</v>
      </c>
      <c r="O751">
        <v>2.6530329131883188</v>
      </c>
      <c r="P751">
        <v>-0.30047011666954615</v>
      </c>
      <c r="Q751">
        <v>0.4672931329656026</v>
      </c>
      <c r="R751">
        <v>-0.39961544227348494</v>
      </c>
      <c r="S751" s="2">
        <v>4.1889986931928347E-4</v>
      </c>
      <c r="T751" s="2">
        <v>7.8499737214910966E-4</v>
      </c>
      <c r="U751" s="2">
        <v>1.3377816713498218E-3</v>
      </c>
      <c r="V751" s="2">
        <v>2.1253466742277042E-3</v>
      </c>
      <c r="W751" s="2">
        <v>3.1909754769074527E-3</v>
      </c>
      <c r="X751" s="2">
        <v>4.56491845461809E-3</v>
      </c>
      <c r="Y751" s="2">
        <v>6.2546807719782256E-3</v>
      </c>
      <c r="Z751" s="2">
        <v>8.2354782857072453E-3</v>
      </c>
      <c r="AA751" s="2">
        <v>1.0443580525026707E-2</v>
      </c>
      <c r="AB751" s="2">
        <v>1.2775908790299292E-2</v>
      </c>
      <c r="AC751" s="2">
        <v>1.5098811676585052E-2</v>
      </c>
      <c r="AD751" s="2">
        <v>1.7266832074053693E-2</v>
      </c>
      <c r="AE751" s="2">
        <v>1.9148602863222258E-2</v>
      </c>
      <c r="AF751" s="2">
        <v>2.0653002583723368E-2</v>
      </c>
      <c r="AG751" s="2">
        <v>2.1746621380828366E-2</v>
      </c>
      <c r="AH751" s="2">
        <v>2.2517215304198025E-2</v>
      </c>
      <c r="AI751" s="2">
        <v>2.2892080028147709E-2</v>
      </c>
      <c r="AJ751" s="2">
        <v>2.3170438377583858E-2</v>
      </c>
      <c r="AK751" s="2">
        <v>2.3168112028349151E-2</v>
      </c>
      <c r="AL751" s="2">
        <v>2.3073122769032922E-2</v>
      </c>
      <c r="AM751" s="2">
        <v>2.2978522965679888E-2</v>
      </c>
      <c r="AN751" s="2">
        <v>2.2884311021520595E-2</v>
      </c>
      <c r="AO751" s="2">
        <v>2.2790485346332361E-2</v>
      </c>
      <c r="AP751" s="2">
        <v>1.1539070807426499E-2</v>
      </c>
      <c r="AQ751" s="2">
        <v>0</v>
      </c>
      <c r="AR751" s="2">
        <v>0.33905979711826673</v>
      </c>
    </row>
    <row r="752" spans="1:44" x14ac:dyDescent="0.25">
      <c r="A752" t="s">
        <v>250</v>
      </c>
      <c r="B752" t="s">
        <v>382</v>
      </c>
      <c r="C752" t="s">
        <v>45</v>
      </c>
      <c r="D752" t="s">
        <v>377</v>
      </c>
      <c r="E752" t="s">
        <v>148</v>
      </c>
      <c r="F752" t="s">
        <v>377</v>
      </c>
      <c r="G752" t="s">
        <v>31</v>
      </c>
      <c r="H752" t="s">
        <v>253</v>
      </c>
      <c r="I752" t="s">
        <v>135</v>
      </c>
      <c r="J752" t="s">
        <v>39</v>
      </c>
      <c r="K752" t="s">
        <v>31</v>
      </c>
      <c r="L752">
        <v>0.34632732967893509</v>
      </c>
      <c r="M752">
        <v>1</v>
      </c>
      <c r="N752">
        <v>2.6703026842173858</v>
      </c>
      <c r="O752">
        <v>3.1590792310146663</v>
      </c>
      <c r="P752">
        <v>-0.57457239540926608</v>
      </c>
      <c r="Q752">
        <v>0.64079985224309877</v>
      </c>
      <c r="R752">
        <v>-0.67371772101320482</v>
      </c>
      <c r="S752" s="2">
        <v>1.3585513595696112E-4</v>
      </c>
      <c r="T752" s="2">
        <v>3.4804651866807688E-4</v>
      </c>
      <c r="U752" s="2">
        <v>5.9983517677393257E-4</v>
      </c>
      <c r="V752" s="2">
        <v>9.6377054598226349E-4</v>
      </c>
      <c r="W752" s="2">
        <v>1.4634704461466989E-3</v>
      </c>
      <c r="X752" s="2">
        <v>2.1175293122903459E-3</v>
      </c>
      <c r="Y752" s="2">
        <v>2.9346521174076884E-3</v>
      </c>
      <c r="Z752" s="2">
        <v>3.9085383960573011E-3</v>
      </c>
      <c r="AA752" s="2">
        <v>5.0138105435256894E-3</v>
      </c>
      <c r="AB752" s="2">
        <v>6.2047168072876923E-3</v>
      </c>
      <c r="AC752" s="2">
        <v>7.4182790409352732E-3</v>
      </c>
      <c r="AD752" s="2">
        <v>8.5826563687456531E-3</v>
      </c>
      <c r="AE752" s="2">
        <v>9.6297074564516746E-3</v>
      </c>
      <c r="AF752" s="2">
        <v>1.0508585852799967E-2</v>
      </c>
      <c r="AG752" s="2">
        <v>1.1195820633849435E-2</v>
      </c>
      <c r="AH752" s="2">
        <v>1.1730046106083448E-2</v>
      </c>
      <c r="AI752" s="2">
        <v>1.2067265957872185E-2</v>
      </c>
      <c r="AJ752" s="2">
        <v>1.2359873116359705E-2</v>
      </c>
      <c r="AK752" s="2">
        <v>1.2506734582923236E-2</v>
      </c>
      <c r="AL752" s="2">
        <v>1.2605220255685577E-2</v>
      </c>
      <c r="AM752" s="2">
        <v>1.2704981629542443E-2</v>
      </c>
      <c r="AN752" s="2">
        <v>1.2806032308472519E-2</v>
      </c>
      <c r="AO752" s="2">
        <v>1.2908386051892578E-2</v>
      </c>
      <c r="AP752" s="2">
        <v>1.3012056776387801E-2</v>
      </c>
      <c r="AQ752" s="2">
        <v>1.3117058557465117E-2</v>
      </c>
      <c r="AR752" s="2">
        <v>0.19684292969556327</v>
      </c>
    </row>
    <row r="753" spans="1:44" x14ac:dyDescent="0.25">
      <c r="A753" t="s">
        <v>250</v>
      </c>
      <c r="B753" t="s">
        <v>382</v>
      </c>
      <c r="C753" t="s">
        <v>45</v>
      </c>
      <c r="D753" t="s">
        <v>377</v>
      </c>
      <c r="E753" t="s">
        <v>148</v>
      </c>
      <c r="F753" t="s">
        <v>377</v>
      </c>
      <c r="G753" t="s">
        <v>31</v>
      </c>
      <c r="H753" t="s">
        <v>253</v>
      </c>
      <c r="I753" t="s">
        <v>135</v>
      </c>
      <c r="J753" t="s">
        <v>40</v>
      </c>
      <c r="K753" t="s">
        <v>31</v>
      </c>
      <c r="L753">
        <v>0.34632732967893509</v>
      </c>
      <c r="M753">
        <v>1</v>
      </c>
      <c r="N753">
        <v>2.6703026842173858</v>
      </c>
      <c r="O753">
        <v>1.979808521690356</v>
      </c>
      <c r="P753">
        <v>-0.57457239540926608</v>
      </c>
      <c r="Q753">
        <v>0.4672931329656026</v>
      </c>
      <c r="R753">
        <v>-0.53071772101320491</v>
      </c>
      <c r="S753" s="2">
        <v>7.1462625118798632E-5</v>
      </c>
      <c r="T753" s="2">
        <v>1.8307970259850393E-4</v>
      </c>
      <c r="U753" s="2">
        <v>3.1552576992336301E-4</v>
      </c>
      <c r="V753" s="2">
        <v>5.0696333813901649E-4</v>
      </c>
      <c r="W753" s="2">
        <v>7.6981587135988342E-4</v>
      </c>
      <c r="X753" s="2">
        <v>1.1138644288737982E-3</v>
      </c>
      <c r="Y753" s="2">
        <v>1.5436880073995437E-3</v>
      </c>
      <c r="Z753" s="2">
        <v>2.0559724311663623E-3</v>
      </c>
      <c r="AA753" s="2">
        <v>2.637368552648353E-3</v>
      </c>
      <c r="AB753" s="2">
        <v>3.2638099991154326E-3</v>
      </c>
      <c r="AC753" s="2">
        <v>3.9021689566225803E-3</v>
      </c>
      <c r="AD753" s="2">
        <v>4.5146556314031652E-3</v>
      </c>
      <c r="AE753" s="2">
        <v>5.0654262653869169E-3</v>
      </c>
      <c r="AF753" s="2">
        <v>5.5277345684249021E-3</v>
      </c>
      <c r="AG753" s="2">
        <v>5.8892343467055472E-3</v>
      </c>
      <c r="AH753" s="2">
        <v>6.1702480484126078E-3</v>
      </c>
      <c r="AI753" s="2">
        <v>6.3476326992117386E-3</v>
      </c>
      <c r="AJ753" s="2">
        <v>6.5015501461066659E-3</v>
      </c>
      <c r="AK753" s="2">
        <v>6.5788023298795663E-3</v>
      </c>
      <c r="AL753" s="2">
        <v>6.6306078406731415E-3</v>
      </c>
      <c r="AM753" s="2">
        <v>6.6830843967566082E-3</v>
      </c>
      <c r="AN753" s="2">
        <v>6.7362391541053827E-3</v>
      </c>
      <c r="AO753" s="2">
        <v>6.7900793504587368E-3</v>
      </c>
      <c r="AP753" s="2">
        <v>6.8446123062297082E-3</v>
      </c>
      <c r="AQ753" s="2">
        <v>6.8998454254274207E-3</v>
      </c>
      <c r="AR753" s="2">
        <v>0.10354347219214775</v>
      </c>
    </row>
    <row r="754" spans="1:44" x14ac:dyDescent="0.25">
      <c r="A754" t="s">
        <v>250</v>
      </c>
      <c r="B754" t="s">
        <v>382</v>
      </c>
      <c r="C754" t="s">
        <v>45</v>
      </c>
      <c r="D754" t="s">
        <v>377</v>
      </c>
      <c r="E754" t="s">
        <v>148</v>
      </c>
      <c r="F754" t="s">
        <v>377</v>
      </c>
      <c r="G754" t="s">
        <v>31</v>
      </c>
      <c r="H754" t="s">
        <v>253</v>
      </c>
      <c r="I754" t="s">
        <v>256</v>
      </c>
      <c r="J754" t="s">
        <v>39</v>
      </c>
      <c r="K754" t="s">
        <v>31</v>
      </c>
      <c r="L754">
        <v>0.34632732967893509</v>
      </c>
      <c r="M754">
        <v>1</v>
      </c>
      <c r="N754">
        <v>2.2425524627086975</v>
      </c>
      <c r="O754">
        <v>2.6530329131883188</v>
      </c>
      <c r="P754">
        <v>-0.30047011666954615</v>
      </c>
      <c r="Q754">
        <v>0.4672931329656026</v>
      </c>
      <c r="R754">
        <v>-0.39961544227348494</v>
      </c>
      <c r="S754" s="2">
        <v>7.1264294030797838E-5</v>
      </c>
      <c r="T754" s="2">
        <v>1.8257159928510293E-4</v>
      </c>
      <c r="U754" s="2">
        <v>3.1465008743706993E-4</v>
      </c>
      <c r="V754" s="2">
        <v>5.0555635665375785E-4</v>
      </c>
      <c r="W754" s="2">
        <v>7.6767939205936182E-4</v>
      </c>
      <c r="X754" s="2">
        <v>1.110773107449543E-3</v>
      </c>
      <c r="Y754" s="2">
        <v>1.5394037913980686E-3</v>
      </c>
      <c r="Z754" s="2">
        <v>2.050266466006321E-3</v>
      </c>
      <c r="AA754" s="2">
        <v>2.6300490317990397E-3</v>
      </c>
      <c r="AB754" s="2">
        <v>3.2547519077413957E-3</v>
      </c>
      <c r="AC754" s="2">
        <v>3.8913392199113957E-3</v>
      </c>
      <c r="AD754" s="2">
        <v>4.5021260530139304E-3</v>
      </c>
      <c r="AE754" s="2">
        <v>5.0513681265944082E-3</v>
      </c>
      <c r="AF754" s="2">
        <v>5.5123933798061847E-3</v>
      </c>
      <c r="AG754" s="2">
        <v>5.8728898833790219E-3</v>
      </c>
      <c r="AH754" s="2">
        <v>6.1531236843602108E-3</v>
      </c>
      <c r="AI754" s="2">
        <v>6.3300160373920156E-3</v>
      </c>
      <c r="AJ754" s="2">
        <v>6.4835063153346455E-3</v>
      </c>
      <c r="AK754" s="2">
        <v>6.5605441001873625E-3</v>
      </c>
      <c r="AL754" s="2">
        <v>6.6122058345201486E-3</v>
      </c>
      <c r="AM754" s="2">
        <v>6.6645367517826548E-3</v>
      </c>
      <c r="AN754" s="2">
        <v>6.7175439880903876E-3</v>
      </c>
      <c r="AO754" s="2">
        <v>6.7712347610953388E-3</v>
      </c>
      <c r="AP754" s="2">
        <v>6.8256163708945742E-3</v>
      </c>
      <c r="AQ754" s="2">
        <v>6.880696200948418E-3</v>
      </c>
      <c r="AR754" s="2">
        <v>0.10325610674117114</v>
      </c>
    </row>
    <row r="755" spans="1:44" x14ac:dyDescent="0.25">
      <c r="A755" t="s">
        <v>250</v>
      </c>
      <c r="B755" t="s">
        <v>376</v>
      </c>
      <c r="C755" t="s">
        <v>45</v>
      </c>
      <c r="D755" t="s">
        <v>377</v>
      </c>
      <c r="E755" t="s">
        <v>145</v>
      </c>
      <c r="F755" t="s">
        <v>377</v>
      </c>
      <c r="G755" t="s">
        <v>31</v>
      </c>
      <c r="H755" t="s">
        <v>288</v>
      </c>
      <c r="I755" t="s">
        <v>135</v>
      </c>
      <c r="J755" t="s">
        <v>39</v>
      </c>
      <c r="K755" t="s">
        <v>31</v>
      </c>
      <c r="L755">
        <v>0.44</v>
      </c>
      <c r="M755">
        <v>1</v>
      </c>
      <c r="N755">
        <v>2.9514343843691035</v>
      </c>
      <c r="O755">
        <v>3.1585068309872639</v>
      </c>
      <c r="P755">
        <v>-0.63571527425478014</v>
      </c>
      <c r="Q755">
        <v>0.57965697339758471</v>
      </c>
      <c r="R755">
        <v>-0.67371772101320537</v>
      </c>
      <c r="S755" s="2">
        <v>4.3430741487784147E-3</v>
      </c>
      <c r="T755" s="2">
        <v>8.1476928379359565E-3</v>
      </c>
      <c r="U755" s="2">
        <v>1.3900522100720378E-2</v>
      </c>
      <c r="V755" s="2">
        <v>2.2108286135815929E-2</v>
      </c>
      <c r="W755" s="2">
        <v>3.322983536185236E-2</v>
      </c>
      <c r="X755" s="2">
        <v>4.7590160867378474E-2</v>
      </c>
      <c r="Y755" s="2">
        <v>6.5278283159827449E-2</v>
      </c>
      <c r="Z755" s="2">
        <v>8.6046226071539542E-2</v>
      </c>
      <c r="AA755" s="2">
        <v>0.10923752366434178</v>
      </c>
      <c r="AB755" s="2">
        <v>0.1337807589146075</v>
      </c>
      <c r="AC755" s="2">
        <v>0.15827927303784273</v>
      </c>
      <c r="AD755" s="2">
        <v>0.18120633220908366</v>
      </c>
      <c r="AE755" s="2">
        <v>0.20117648814883649</v>
      </c>
      <c r="AF755" s="2">
        <v>0.21722147372070641</v>
      </c>
      <c r="AG755" s="2">
        <v>0.22897642772637233</v>
      </c>
      <c r="AH755" s="2">
        <v>0.2373521055927191</v>
      </c>
      <c r="AI755" s="2">
        <v>0.24157005030252299</v>
      </c>
      <c r="AJ755" s="2">
        <v>0.24477750897041733</v>
      </c>
      <c r="AK755" s="2">
        <v>0.24502326952159251</v>
      </c>
      <c r="AL755" s="2">
        <v>0.24428819971302773</v>
      </c>
      <c r="AM755" s="2">
        <v>0.24355533511388858</v>
      </c>
      <c r="AN755" s="2">
        <v>0.24282466910854697</v>
      </c>
      <c r="AO755" s="2">
        <v>0.2420961951012213</v>
      </c>
      <c r="AP755" s="2">
        <v>0.15767726041597283</v>
      </c>
      <c r="AQ755" s="2">
        <v>0</v>
      </c>
      <c r="AR755" s="2">
        <v>3.6096869519455499</v>
      </c>
    </row>
    <row r="756" spans="1:44" x14ac:dyDescent="0.25">
      <c r="A756" t="s">
        <v>250</v>
      </c>
      <c r="B756" t="s">
        <v>376</v>
      </c>
      <c r="C756" t="s">
        <v>45</v>
      </c>
      <c r="D756" t="s">
        <v>377</v>
      </c>
      <c r="E756" t="s">
        <v>145</v>
      </c>
      <c r="F756" t="s">
        <v>377</v>
      </c>
      <c r="G756" t="s">
        <v>31</v>
      </c>
      <c r="H756" t="s">
        <v>288</v>
      </c>
      <c r="I756" t="s">
        <v>135</v>
      </c>
      <c r="J756" t="s">
        <v>39</v>
      </c>
      <c r="K756" t="s">
        <v>33</v>
      </c>
      <c r="L756">
        <v>0.44</v>
      </c>
      <c r="M756">
        <v>1</v>
      </c>
      <c r="N756">
        <v>2.9514343843691035</v>
      </c>
      <c r="O756">
        <v>3.1585068309872639</v>
      </c>
      <c r="P756">
        <v>-0.63571527425478014</v>
      </c>
      <c r="Q756">
        <v>0.57965697339758471</v>
      </c>
      <c r="R756">
        <v>-0.67371772101320537</v>
      </c>
      <c r="S756" s="2">
        <v>4.0855790915244458E-5</v>
      </c>
      <c r="T756" s="2">
        <v>7.6646270274242546E-5</v>
      </c>
      <c r="U756" s="2">
        <v>1.3076378737846459E-4</v>
      </c>
      <c r="V756" s="2">
        <v>2.0797515421498223E-4</v>
      </c>
      <c r="W756" s="2">
        <v>3.1259682869418668E-4</v>
      </c>
      <c r="X756" s="2">
        <v>4.4768603883204509E-4</v>
      </c>
      <c r="Y756" s="2">
        <v>6.1408021063471521E-4</v>
      </c>
      <c r="Z756" s="2">
        <v>8.0944660417862891E-4</v>
      </c>
      <c r="AA756" s="2">
        <v>1.0276097699563182E-3</v>
      </c>
      <c r="AB756" s="2">
        <v>1.2584907665542126E-3</v>
      </c>
      <c r="AC756" s="2">
        <v>1.4889510664398569E-3</v>
      </c>
      <c r="AD756" s="2">
        <v>1.7046285114277874E-3</v>
      </c>
      <c r="AE756" s="2">
        <v>1.8924900324770782E-3</v>
      </c>
      <c r="AF756" s="2">
        <v>2.0434270308580093E-3</v>
      </c>
      <c r="AG756" s="2">
        <v>2.1540072159116973E-3</v>
      </c>
      <c r="AH756" s="2">
        <v>2.2327981671960897E-3</v>
      </c>
      <c r="AI756" s="2">
        <v>2.2724768512923038E-3</v>
      </c>
      <c r="AJ756" s="2">
        <v>2.3026497786280331E-3</v>
      </c>
      <c r="AK756" s="2">
        <v>2.304961675996134E-3</v>
      </c>
      <c r="AL756" s="2">
        <v>2.2980467909681458E-3</v>
      </c>
      <c r="AM756" s="2">
        <v>2.2911526505952407E-3</v>
      </c>
      <c r="AN756" s="2">
        <v>2.2842791926434552E-3</v>
      </c>
      <c r="AO756" s="2">
        <v>2.2774263550655251E-3</v>
      </c>
      <c r="AP756" s="2">
        <v>1.4832878654525115E-3</v>
      </c>
      <c r="AQ756" s="2">
        <v>0</v>
      </c>
      <c r="AR756" s="2">
        <v>3.3956734406584907E-2</v>
      </c>
    </row>
    <row r="757" spans="1:44" x14ac:dyDescent="0.25">
      <c r="A757" t="s">
        <v>250</v>
      </c>
      <c r="B757" t="s">
        <v>376</v>
      </c>
      <c r="C757" t="s">
        <v>45</v>
      </c>
      <c r="D757" t="s">
        <v>377</v>
      </c>
      <c r="E757" t="s">
        <v>145</v>
      </c>
      <c r="F757" t="s">
        <v>377</v>
      </c>
      <c r="G757" t="s">
        <v>31</v>
      </c>
      <c r="H757" t="s">
        <v>289</v>
      </c>
      <c r="I757" t="s">
        <v>135</v>
      </c>
      <c r="J757" t="s">
        <v>39</v>
      </c>
      <c r="K757" t="s">
        <v>31</v>
      </c>
      <c r="L757">
        <v>0.44</v>
      </c>
      <c r="M757">
        <v>1</v>
      </c>
      <c r="N757">
        <v>2.9514343843691035</v>
      </c>
      <c r="O757">
        <v>3.1585068309872639</v>
      </c>
      <c r="P757">
        <v>-0.63571527425478014</v>
      </c>
      <c r="Q757">
        <v>0.57965697339758471</v>
      </c>
      <c r="R757">
        <v>-0.67371772101320537</v>
      </c>
      <c r="S757" s="2">
        <v>4.1279037140262457E-3</v>
      </c>
      <c r="T757" s="2">
        <v>7.7440288547504692E-3</v>
      </c>
      <c r="U757" s="2">
        <v>1.3211843694312005E-2</v>
      </c>
      <c r="V757" s="2">
        <v>2.1012967617985219E-2</v>
      </c>
      <c r="W757" s="2">
        <v>3.1583518058344223E-2</v>
      </c>
      <c r="X757" s="2">
        <v>4.5232384957280408E-2</v>
      </c>
      <c r="Y757" s="2">
        <v>6.2044178448231416E-2</v>
      </c>
      <c r="Z757" s="2">
        <v>8.1783207933153815E-2</v>
      </c>
      <c r="AA757" s="2">
        <v>0.10382553099442206</v>
      </c>
      <c r="AB757" s="2">
        <v>0.12715281219506375</v>
      </c>
      <c r="AC757" s="2">
        <v>0.15043758790304276</v>
      </c>
      <c r="AD757" s="2">
        <v>0.17222876379887331</v>
      </c>
      <c r="AE757" s="2">
        <v>0.1912095313495667</v>
      </c>
      <c r="AF757" s="2">
        <v>0.20645959461460417</v>
      </c>
      <c r="AG757" s="2">
        <v>0.21763216884105258</v>
      </c>
      <c r="AH757" s="2">
        <v>0.22559288758257001</v>
      </c>
      <c r="AI757" s="2">
        <v>0.22960186118898526</v>
      </c>
      <c r="AJ757" s="2">
        <v>0.2326504116153027</v>
      </c>
      <c r="AK757" s="2">
        <v>0.2328839963659205</v>
      </c>
      <c r="AL757" s="2">
        <v>0.2321853443768227</v>
      </c>
      <c r="AM757" s="2">
        <v>0.23148878834369221</v>
      </c>
      <c r="AN757" s="2">
        <v>0.23079432197866118</v>
      </c>
      <c r="AO757" s="2">
        <v>0.23010193901272522</v>
      </c>
      <c r="AP757" s="2">
        <v>0.14986540100211007</v>
      </c>
      <c r="AQ757" s="2">
        <v>0</v>
      </c>
      <c r="AR757" s="2">
        <v>3.430850974441499</v>
      </c>
    </row>
    <row r="758" spans="1:44" x14ac:dyDescent="0.25">
      <c r="A758" t="s">
        <v>250</v>
      </c>
      <c r="B758" t="s">
        <v>376</v>
      </c>
      <c r="C758" t="s">
        <v>45</v>
      </c>
      <c r="D758" t="s">
        <v>377</v>
      </c>
      <c r="E758" t="s">
        <v>145</v>
      </c>
      <c r="F758" t="s">
        <v>377</v>
      </c>
      <c r="G758" t="s">
        <v>31</v>
      </c>
      <c r="H758" t="s">
        <v>290</v>
      </c>
      <c r="I758" t="s">
        <v>135</v>
      </c>
      <c r="J758" t="s">
        <v>39</v>
      </c>
      <c r="K758" t="s">
        <v>31</v>
      </c>
      <c r="L758">
        <v>0.44</v>
      </c>
      <c r="M758">
        <v>1</v>
      </c>
      <c r="N758">
        <v>2.9514343843691035</v>
      </c>
      <c r="O758">
        <v>3.1585068309872639</v>
      </c>
      <c r="P758">
        <v>-0.63571527425478014</v>
      </c>
      <c r="Q758">
        <v>0.57965697339758471</v>
      </c>
      <c r="R758">
        <v>-0.67371772101320537</v>
      </c>
      <c r="S758" s="2">
        <v>5.9774857281688198E-3</v>
      </c>
      <c r="T758" s="2">
        <v>1.1213881225114295E-2</v>
      </c>
      <c r="U758" s="2">
        <v>1.9131649523994963E-2</v>
      </c>
      <c r="V758" s="2">
        <v>3.0428208297637045E-2</v>
      </c>
      <c r="W758" s="2">
        <v>4.5735085292232781E-2</v>
      </c>
      <c r="X758" s="2">
        <v>6.5499574182040277E-2</v>
      </c>
      <c r="Y758" s="2">
        <v>8.9844196203047608E-2</v>
      </c>
      <c r="Z758" s="2">
        <v>0.11842765531647327</v>
      </c>
      <c r="AA758" s="2">
        <v>0.15034644040506837</v>
      </c>
      <c r="AB758" s="2">
        <v>0.18412593239758199</v>
      </c>
      <c r="AC758" s="2">
        <v>0.2178438735416838</v>
      </c>
      <c r="AD758" s="2">
        <v>0.24939898042916861</v>
      </c>
      <c r="AE758" s="2">
        <v>0.27688442461684243</v>
      </c>
      <c r="AF758" s="2">
        <v>0.29896755490175908</v>
      </c>
      <c r="AG758" s="2">
        <v>0.31514620334226806</v>
      </c>
      <c r="AH758" s="2">
        <v>0.32667386628210277</v>
      </c>
      <c r="AI758" s="2">
        <v>0.33247913311415772</v>
      </c>
      <c r="AJ758" s="2">
        <v>0.33689364176730197</v>
      </c>
      <c r="AK758" s="2">
        <v>0.33723188839558244</v>
      </c>
      <c r="AL758" s="2">
        <v>0.33622019273039566</v>
      </c>
      <c r="AM758" s="2">
        <v>0.33521153215220456</v>
      </c>
      <c r="AN758" s="2">
        <v>0.33420589755574787</v>
      </c>
      <c r="AO758" s="2">
        <v>0.33320327986308063</v>
      </c>
      <c r="AP758" s="2">
        <v>0.21701530793765744</v>
      </c>
      <c r="AQ758" s="2">
        <v>0</v>
      </c>
      <c r="AR758" s="2">
        <v>4.9681058852013118</v>
      </c>
    </row>
    <row r="759" spans="1:44" x14ac:dyDescent="0.25">
      <c r="A759" t="s">
        <v>250</v>
      </c>
      <c r="B759" t="s">
        <v>376</v>
      </c>
      <c r="C759" t="s">
        <v>45</v>
      </c>
      <c r="D759" t="s">
        <v>377</v>
      </c>
      <c r="E759" t="s">
        <v>148</v>
      </c>
      <c r="F759" t="s">
        <v>377</v>
      </c>
      <c r="G759" t="s">
        <v>31</v>
      </c>
      <c r="H759" t="s">
        <v>288</v>
      </c>
      <c r="I759" t="s">
        <v>135</v>
      </c>
      <c r="J759" t="s">
        <v>39</v>
      </c>
      <c r="K759" t="s">
        <v>31</v>
      </c>
      <c r="L759">
        <v>0.44</v>
      </c>
      <c r="M759">
        <v>1</v>
      </c>
      <c r="N759">
        <v>2.9514343843691035</v>
      </c>
      <c r="O759">
        <v>3.1585068309872639</v>
      </c>
      <c r="P759">
        <v>-0.63571527425478014</v>
      </c>
      <c r="Q759">
        <v>0.57965697339758471</v>
      </c>
      <c r="R759">
        <v>-0.67371772101320537</v>
      </c>
      <c r="S759" s="2">
        <v>7.3885464237325382E-4</v>
      </c>
      <c r="T759" s="2">
        <v>1.7580261506748029E-3</v>
      </c>
      <c r="U759" s="2">
        <v>3.0331295209891107E-3</v>
      </c>
      <c r="V759" s="2">
        <v>4.8786353681973113E-3</v>
      </c>
      <c r="W759" s="2">
        <v>7.4159889339903903E-3</v>
      </c>
      <c r="X759" s="2">
        <v>1.0741617884980775E-2</v>
      </c>
      <c r="Y759" s="2">
        <v>1.4902077462710935E-2</v>
      </c>
      <c r="Z759" s="2">
        <v>1.9867777711425366E-2</v>
      </c>
      <c r="AA759" s="2">
        <v>2.5511874594342589E-2</v>
      </c>
      <c r="AB759" s="2">
        <v>3.1603181832176815E-2</v>
      </c>
      <c r="AC759" s="2">
        <v>3.7821720692199405E-2</v>
      </c>
      <c r="AD759" s="2">
        <v>4.3800999622553856E-2</v>
      </c>
      <c r="AE759" s="2">
        <v>4.9192003134515959E-2</v>
      </c>
      <c r="AF759" s="2">
        <v>5.3732837332311052E-2</v>
      </c>
      <c r="AG759" s="2">
        <v>5.7300776819867408E-2</v>
      </c>
      <c r="AH759" s="2">
        <v>6.0090858034677105E-2</v>
      </c>
      <c r="AI759" s="2">
        <v>6.1875217565137523E-2</v>
      </c>
      <c r="AJ759" s="2">
        <v>6.343312788858288E-2</v>
      </c>
      <c r="AK759" s="2">
        <v>6.4244422921868688E-2</v>
      </c>
      <c r="AL759" s="2">
        <v>6.4807680707630377E-2</v>
      </c>
      <c r="AM759" s="2">
        <v>6.537772664036616E-2</v>
      </c>
      <c r="AN759" s="2">
        <v>6.5954635429686853E-2</v>
      </c>
      <c r="AO759" s="2">
        <v>6.6538482627267151E-2</v>
      </c>
      <c r="AP759" s="2">
        <v>6.7129344636270932E-2</v>
      </c>
      <c r="AQ759" s="2">
        <v>6.7727298720891907E-2</v>
      </c>
      <c r="AR759" s="2">
        <v>1.0094782968756886</v>
      </c>
    </row>
    <row r="760" spans="1:44" x14ac:dyDescent="0.25">
      <c r="A760" t="s">
        <v>250</v>
      </c>
      <c r="B760" t="s">
        <v>376</v>
      </c>
      <c r="C760" t="s">
        <v>45</v>
      </c>
      <c r="D760" t="s">
        <v>377</v>
      </c>
      <c r="E760" t="s">
        <v>148</v>
      </c>
      <c r="F760" t="s">
        <v>377</v>
      </c>
      <c r="G760" t="s">
        <v>31</v>
      </c>
      <c r="H760" t="s">
        <v>288</v>
      </c>
      <c r="I760" t="s">
        <v>135</v>
      </c>
      <c r="J760" t="s">
        <v>39</v>
      </c>
      <c r="K760" t="s">
        <v>33</v>
      </c>
      <c r="L760">
        <v>0.44</v>
      </c>
      <c r="M760">
        <v>1</v>
      </c>
      <c r="N760">
        <v>2.9514343843691035</v>
      </c>
      <c r="O760">
        <v>3.1585068309872639</v>
      </c>
      <c r="P760">
        <v>-0.63571527425478014</v>
      </c>
      <c r="Q760">
        <v>0.57965697339758471</v>
      </c>
      <c r="R760">
        <v>-0.67371772101320537</v>
      </c>
      <c r="S760" s="2">
        <v>6.9504893887317101E-6</v>
      </c>
      <c r="T760" s="2">
        <v>1.6537951316282142E-5</v>
      </c>
      <c r="U760" s="2">
        <v>2.8532993286159531E-5</v>
      </c>
      <c r="V760" s="2">
        <v>4.5893876025774961E-5</v>
      </c>
      <c r="W760" s="2">
        <v>6.9763048692618327E-5</v>
      </c>
      <c r="X760" s="2">
        <v>1.0104761727903442E-4</v>
      </c>
      <c r="Y760" s="2">
        <v>1.4018553222042802E-4</v>
      </c>
      <c r="Z760" s="2">
        <v>1.8689843744824433E-4</v>
      </c>
      <c r="AA760" s="2">
        <v>2.3999309672748115E-4</v>
      </c>
      <c r="AB760" s="2">
        <v>2.9729471451806882E-4</v>
      </c>
      <c r="AC760" s="2">
        <v>3.5579321460350676E-4</v>
      </c>
      <c r="AD760" s="2">
        <v>4.1204096940437607E-4</v>
      </c>
      <c r="AE760" s="2">
        <v>4.6275475064848728E-4</v>
      </c>
      <c r="AF760" s="2">
        <v>5.054708927659477E-4</v>
      </c>
      <c r="AG760" s="2">
        <v>5.3903490404188907E-4</v>
      </c>
      <c r="AH760" s="2">
        <v>5.6528151435612903E-4</v>
      </c>
      <c r="AI760" s="2">
        <v>5.82067186761601E-4</v>
      </c>
      <c r="AJ760" s="2">
        <v>5.9672262580294456E-4</v>
      </c>
      <c r="AK760" s="2">
        <v>6.043545701619323E-4</v>
      </c>
      <c r="AL760" s="2">
        <v>6.0965320001217223E-4</v>
      </c>
      <c r="AM760" s="2">
        <v>6.150156867305805E-4</v>
      </c>
      <c r="AN760" s="2">
        <v>6.2044273311897776E-4</v>
      </c>
      <c r="AO760" s="2">
        <v>6.2593504990051828E-4</v>
      </c>
      <c r="AP760" s="2">
        <v>6.3149335580842245E-4</v>
      </c>
      <c r="AQ760" s="2">
        <v>6.3711837767571784E-4</v>
      </c>
      <c r="AR760" s="2">
        <v>9.4962767886960266E-3</v>
      </c>
    </row>
    <row r="761" spans="1:44" x14ac:dyDescent="0.25">
      <c r="A761" t="s">
        <v>250</v>
      </c>
      <c r="B761" t="s">
        <v>376</v>
      </c>
      <c r="C761" t="s">
        <v>45</v>
      </c>
      <c r="D761" t="s">
        <v>377</v>
      </c>
      <c r="E761" t="s">
        <v>148</v>
      </c>
      <c r="F761" t="s">
        <v>377</v>
      </c>
      <c r="G761" t="s">
        <v>31</v>
      </c>
      <c r="H761" t="s">
        <v>289</v>
      </c>
      <c r="I761" t="s">
        <v>135</v>
      </c>
      <c r="J761" t="s">
        <v>39</v>
      </c>
      <c r="K761" t="s">
        <v>31</v>
      </c>
      <c r="L761">
        <v>0.44</v>
      </c>
      <c r="M761">
        <v>1</v>
      </c>
      <c r="N761">
        <v>2.9514343843691035</v>
      </c>
      <c r="O761">
        <v>3.1585068309872639</v>
      </c>
      <c r="P761">
        <v>-0.63571527425478014</v>
      </c>
      <c r="Q761">
        <v>0.57965697339758471</v>
      </c>
      <c r="R761">
        <v>-0.67371772101320537</v>
      </c>
      <c r="S761" s="2">
        <v>7.0224930956703699E-4</v>
      </c>
      <c r="T761" s="2">
        <v>1.6709276489711522E-3</v>
      </c>
      <c r="U761" s="2">
        <v>2.8828581290364112E-3</v>
      </c>
      <c r="V761" s="2">
        <v>4.6369314374763359E-3</v>
      </c>
      <c r="W761" s="2">
        <v>7.0485760120873658E-3</v>
      </c>
      <c r="X761" s="2">
        <v>1.0209442170020304E-2</v>
      </c>
      <c r="Y761" s="2">
        <v>1.4163778650275436E-2</v>
      </c>
      <c r="Z761" s="2">
        <v>1.8883461482578797E-2</v>
      </c>
      <c r="AA761" s="2">
        <v>2.424793090842799E-2</v>
      </c>
      <c r="AB761" s="2">
        <v>3.0037454390868027E-2</v>
      </c>
      <c r="AC761" s="2">
        <v>3.5947906014938101E-2</v>
      </c>
      <c r="AD761" s="2">
        <v>4.1630951447342447E-2</v>
      </c>
      <c r="AE761" s="2">
        <v>4.6754866595237581E-2</v>
      </c>
      <c r="AF761" s="2">
        <v>5.1070732663314321E-2</v>
      </c>
      <c r="AG761" s="2">
        <v>5.446190448253084E-2</v>
      </c>
      <c r="AH761" s="2">
        <v>5.7113755732247494E-2</v>
      </c>
      <c r="AI761" s="2">
        <v>5.8809712117198952E-2</v>
      </c>
      <c r="AJ761" s="2">
        <v>6.029043834704919E-2</v>
      </c>
      <c r="AK761" s="2">
        <v>6.1061539108018023E-2</v>
      </c>
      <c r="AL761" s="2">
        <v>6.1596891217180663E-2</v>
      </c>
      <c r="AM761" s="2">
        <v>6.2138695165789022E-2</v>
      </c>
      <c r="AN761" s="2">
        <v>6.2687021962087863E-2</v>
      </c>
      <c r="AO761" s="2">
        <v>6.3241943414671611E-2</v>
      </c>
      <c r="AP761" s="2">
        <v>6.3803532141433084E-2</v>
      </c>
      <c r="AQ761" s="2">
        <v>6.4371861578639708E-2</v>
      </c>
      <c r="AR761" s="2">
        <v>0.95946536212698763</v>
      </c>
    </row>
    <row r="762" spans="1:44" x14ac:dyDescent="0.25">
      <c r="A762" t="s">
        <v>250</v>
      </c>
      <c r="B762" t="s">
        <v>376</v>
      </c>
      <c r="C762" t="s">
        <v>45</v>
      </c>
      <c r="D762" t="s">
        <v>377</v>
      </c>
      <c r="E762" t="s">
        <v>148</v>
      </c>
      <c r="F762" t="s">
        <v>377</v>
      </c>
      <c r="G762" t="s">
        <v>31</v>
      </c>
      <c r="H762" t="s">
        <v>290</v>
      </c>
      <c r="I762" t="s">
        <v>135</v>
      </c>
      <c r="J762" t="s">
        <v>39</v>
      </c>
      <c r="K762" t="s">
        <v>31</v>
      </c>
      <c r="L762">
        <v>0.44</v>
      </c>
      <c r="M762">
        <v>1</v>
      </c>
      <c r="N762">
        <v>2.9514343843691035</v>
      </c>
      <c r="O762">
        <v>3.1585068309872639</v>
      </c>
      <c r="P762">
        <v>-0.63571527425478014</v>
      </c>
      <c r="Q762">
        <v>0.57965697339758471</v>
      </c>
      <c r="R762">
        <v>-0.67371772101320537</v>
      </c>
      <c r="S762" s="2">
        <v>1.0169048302386546E-3</v>
      </c>
      <c r="T762" s="2">
        <v>2.4196170420811109E-3</v>
      </c>
      <c r="U762" s="2">
        <v>4.1745749214296872E-3</v>
      </c>
      <c r="V762" s="2">
        <v>6.7145925414470549E-3</v>
      </c>
      <c r="W762" s="2">
        <v>1.0206818141857909E-2</v>
      </c>
      <c r="X762" s="2">
        <v>1.4783967624171583E-2</v>
      </c>
      <c r="Y762" s="2">
        <v>2.0510116176228325E-2</v>
      </c>
      <c r="Z762" s="2">
        <v>2.7344538373557367E-2</v>
      </c>
      <c r="AA762" s="2">
        <v>3.5112655474557719E-2</v>
      </c>
      <c r="AB762" s="2">
        <v>4.3496279799804076E-2</v>
      </c>
      <c r="AC762" s="2">
        <v>5.2055016310509135E-2</v>
      </c>
      <c r="AD762" s="2">
        <v>6.0284453167115767E-2</v>
      </c>
      <c r="AE762" s="2">
        <v>6.7704231289560796E-2</v>
      </c>
      <c r="AF762" s="2">
        <v>7.3953899308453738E-2</v>
      </c>
      <c r="AG762" s="2">
        <v>7.8864547074352934E-2</v>
      </c>
      <c r="AH762" s="2">
        <v>8.2704608300720281E-2</v>
      </c>
      <c r="AI762" s="2">
        <v>8.5160468657202004E-2</v>
      </c>
      <c r="AJ762" s="2">
        <v>8.7304661089833077E-2</v>
      </c>
      <c r="AK762" s="2">
        <v>8.842126751115352E-2</v>
      </c>
      <c r="AL762" s="2">
        <v>8.9196493827889939E-2</v>
      </c>
      <c r="AM762" s="2">
        <v>8.9981062847575288E-2</v>
      </c>
      <c r="AN762" s="2">
        <v>9.0775077394987233E-2</v>
      </c>
      <c r="AO762" s="2">
        <v>9.1578641453858634E-2</v>
      </c>
      <c r="AP762" s="2">
        <v>9.2391860179845894E-2</v>
      </c>
      <c r="AQ762" s="2">
        <v>9.3214839913665734E-2</v>
      </c>
      <c r="AR762" s="2">
        <v>1.3893711932520976</v>
      </c>
    </row>
    <row r="763" spans="1:44" x14ac:dyDescent="0.25">
      <c r="A763" t="s">
        <v>250</v>
      </c>
      <c r="B763" t="s">
        <v>378</v>
      </c>
      <c r="C763" t="s">
        <v>45</v>
      </c>
      <c r="D763" t="s">
        <v>377</v>
      </c>
      <c r="E763" t="s">
        <v>145</v>
      </c>
      <c r="F763" t="s">
        <v>377</v>
      </c>
      <c r="G763" t="s">
        <v>31</v>
      </c>
      <c r="H763" t="s">
        <v>278</v>
      </c>
      <c r="I763" t="s">
        <v>135</v>
      </c>
      <c r="J763" t="s">
        <v>39</v>
      </c>
      <c r="K763" t="s">
        <v>31</v>
      </c>
      <c r="L763">
        <v>0.15</v>
      </c>
      <c r="M763">
        <v>1</v>
      </c>
      <c r="N763">
        <v>1.4949741446569866</v>
      </c>
      <c r="O763">
        <v>3.1588853240212433</v>
      </c>
      <c r="P763">
        <v>-7.0854437090028394E-2</v>
      </c>
      <c r="Q763">
        <v>1.1445178105623359</v>
      </c>
      <c r="R763">
        <v>-0.6737177210132046</v>
      </c>
      <c r="S763" s="2">
        <v>6.9421698318031754E-4</v>
      </c>
      <c r="T763" s="2">
        <v>1.2945270630029041E-3</v>
      </c>
      <c r="U763" s="2">
        <v>2.1952606603194945E-3</v>
      </c>
      <c r="V763" s="2">
        <v>3.4704720826860208E-3</v>
      </c>
      <c r="W763" s="2">
        <v>5.1848973670630656E-3</v>
      </c>
      <c r="X763" s="2">
        <v>7.3808714862267973E-3</v>
      </c>
      <c r="Y763" s="2">
        <v>1.0063236763971974E-2</v>
      </c>
      <c r="Z763" s="2">
        <v>1.3184974382060625E-2</v>
      </c>
      <c r="AA763" s="2">
        <v>1.6637873029740492E-2</v>
      </c>
      <c r="AB763" s="2">
        <v>2.0253407961814754E-2</v>
      </c>
      <c r="AC763" s="2">
        <v>2.3818093650549391E-2</v>
      </c>
      <c r="AD763" s="2">
        <v>2.7104089185987737E-2</v>
      </c>
      <c r="AE763" s="2">
        <v>2.9910051894676784E-2</v>
      </c>
      <c r="AF763" s="2">
        <v>3.2101194716837853E-2</v>
      </c>
      <c r="AG763" s="2">
        <v>3.3634711890552817E-2</v>
      </c>
      <c r="AH763" s="2">
        <v>3.4655208912300374E-2</v>
      </c>
      <c r="AI763" s="2">
        <v>3.5058797699424875E-2</v>
      </c>
      <c r="AJ763" s="2">
        <v>3.5310505557193395E-2</v>
      </c>
      <c r="AK763" s="2">
        <v>3.5133243983111094E-2</v>
      </c>
      <c r="AL763" s="2">
        <v>3.4817044787263086E-2</v>
      </c>
      <c r="AM763" s="2">
        <v>3.450369138417772E-2</v>
      </c>
      <c r="AN763" s="2">
        <v>3.4193158161720125E-2</v>
      </c>
      <c r="AO763" s="2">
        <v>2.8573873925758449E-2</v>
      </c>
      <c r="AP763" s="2">
        <v>0</v>
      </c>
      <c r="AQ763" s="2">
        <v>0</v>
      </c>
      <c r="AR763" s="2">
        <v>0.49917340352962009</v>
      </c>
    </row>
    <row r="764" spans="1:44" x14ac:dyDescent="0.25">
      <c r="A764" t="s">
        <v>250</v>
      </c>
      <c r="B764" t="s">
        <v>378</v>
      </c>
      <c r="C764" t="s">
        <v>45</v>
      </c>
      <c r="D764" t="s">
        <v>377</v>
      </c>
      <c r="E764" t="s">
        <v>148</v>
      </c>
      <c r="F764" t="s">
        <v>377</v>
      </c>
      <c r="G764" t="s">
        <v>31</v>
      </c>
      <c r="H764" t="s">
        <v>278</v>
      </c>
      <c r="I764" t="s">
        <v>135</v>
      </c>
      <c r="J764" t="s">
        <v>39</v>
      </c>
      <c r="K764" t="s">
        <v>31</v>
      </c>
      <c r="L764">
        <v>0.15</v>
      </c>
      <c r="M764">
        <v>1</v>
      </c>
      <c r="N764">
        <v>1.4949741446569866</v>
      </c>
      <c r="O764">
        <v>3.1588853240212433</v>
      </c>
      <c r="P764">
        <v>-7.0854437090028394E-2</v>
      </c>
      <c r="Q764">
        <v>1.1445178105623359</v>
      </c>
      <c r="R764">
        <v>-0.6737177210132046</v>
      </c>
      <c r="S764" s="2">
        <v>1.1810193039909402E-4</v>
      </c>
      <c r="T764" s="2">
        <v>3.9857652564089142E-4</v>
      </c>
      <c r="U764" s="2">
        <v>6.8359363237488198E-4</v>
      </c>
      <c r="V764" s="2">
        <v>1.0930886299184322E-3</v>
      </c>
      <c r="W764" s="2">
        <v>1.6519821731012824E-3</v>
      </c>
      <c r="X764" s="2">
        <v>2.3791101325323165E-3</v>
      </c>
      <c r="Y764" s="2">
        <v>3.2819315111764897E-3</v>
      </c>
      <c r="Z764" s="2">
        <v>4.3511003885998972E-3</v>
      </c>
      <c r="AA764" s="2">
        <v>5.5563364046149486E-3</v>
      </c>
      <c r="AB764" s="2">
        <v>6.8454581216199472E-3</v>
      </c>
      <c r="AC764" s="2">
        <v>8.1483127839199632E-3</v>
      </c>
      <c r="AD764" s="2">
        <v>9.3862956817655618E-3</v>
      </c>
      <c r="AE764" s="2">
        <v>1.048618598359281E-2</v>
      </c>
      <c r="AF764" s="2">
        <v>1.1394745565514657E-2</v>
      </c>
      <c r="AG764" s="2">
        <v>1.2089158521876758E-2</v>
      </c>
      <c r="AH764" s="2">
        <v>1.2613728626005207E-2</v>
      </c>
      <c r="AI764" s="2">
        <v>1.2923497174697035E-2</v>
      </c>
      <c r="AJ764" s="2">
        <v>1.3183669206487534E-2</v>
      </c>
      <c r="AK764" s="2">
        <v>1.3287429624795909E-2</v>
      </c>
      <c r="AL764" s="2">
        <v>1.3339692054396097E-2</v>
      </c>
      <c r="AM764" s="2">
        <v>1.3393411293931189E-2</v>
      </c>
      <c r="AN764" s="2">
        <v>1.3448595844019751E-2</v>
      </c>
      <c r="AO764" s="2">
        <v>1.3505254371137591E-2</v>
      </c>
      <c r="AP764" s="2">
        <v>1.3563395708842204E-2</v>
      </c>
      <c r="AQ764" s="2">
        <v>1.3623028859019077E-2</v>
      </c>
      <c r="AR764" s="2">
        <v>0.21074568074997951</v>
      </c>
    </row>
    <row r="765" spans="1:44" x14ac:dyDescent="0.25">
      <c r="A765" t="s">
        <v>250</v>
      </c>
      <c r="B765" t="s">
        <v>379</v>
      </c>
      <c r="C765" t="s">
        <v>45</v>
      </c>
      <c r="D765" t="s">
        <v>377</v>
      </c>
      <c r="E765" t="s">
        <v>145</v>
      </c>
      <c r="F765" t="s">
        <v>377</v>
      </c>
      <c r="G765" t="s">
        <v>31</v>
      </c>
      <c r="H765" t="s">
        <v>272</v>
      </c>
      <c r="I765" t="s">
        <v>135</v>
      </c>
      <c r="J765" t="s">
        <v>39</v>
      </c>
      <c r="K765" t="s">
        <v>31</v>
      </c>
      <c r="L765">
        <v>0.9</v>
      </c>
      <c r="M765">
        <v>1</v>
      </c>
      <c r="N765">
        <v>3.925396992140191</v>
      </c>
      <c r="O765">
        <v>3.1588853240212433</v>
      </c>
      <c r="P765">
        <v>-0.77948651728774332</v>
      </c>
      <c r="Q765">
        <v>0.43588573036462142</v>
      </c>
      <c r="R765">
        <v>-0.67371772101320515</v>
      </c>
      <c r="S765" s="2">
        <v>1.4977012199195003E-3</v>
      </c>
      <c r="T765" s="2">
        <v>2.8052079795583031E-3</v>
      </c>
      <c r="U765" s="2">
        <v>4.7781965261585639E-3</v>
      </c>
      <c r="V765" s="2">
        <v>7.5873558046783219E-3</v>
      </c>
      <c r="W765" s="2">
        <v>1.1385865294621565E-2</v>
      </c>
      <c r="X765" s="2">
        <v>1.628011629024945E-2</v>
      </c>
      <c r="Y765" s="2">
        <v>2.2295208176935203E-2</v>
      </c>
      <c r="Z765" s="2">
        <v>2.9341148765522098E-2</v>
      </c>
      <c r="AA765" s="2">
        <v>3.718943759166865E-2</v>
      </c>
      <c r="AB765" s="2">
        <v>4.5471983391164407E-2</v>
      </c>
      <c r="AC765" s="2">
        <v>5.3712673229107437E-2</v>
      </c>
      <c r="AD765" s="2">
        <v>6.1394373001123159E-2</v>
      </c>
      <c r="AE765" s="2">
        <v>6.8051060752012893E-2</v>
      </c>
      <c r="AF765" s="2">
        <v>7.3360606053185798E-2</v>
      </c>
      <c r="AG765" s="2">
        <v>7.7206418827417855E-2</v>
      </c>
      <c r="AH765" s="2">
        <v>7.9902101105889176E-2</v>
      </c>
      <c r="AI765" s="2">
        <v>8.1191521262485467E-2</v>
      </c>
      <c r="AJ765" s="2">
        <v>8.2137518473080942E-2</v>
      </c>
      <c r="AK765" s="2">
        <v>8.2088038040265793E-2</v>
      </c>
      <c r="AL765" s="2">
        <v>8.1710433065280599E-2</v>
      </c>
      <c r="AM765" s="2">
        <v>8.1334565073180307E-2</v>
      </c>
      <c r="AN765" s="2">
        <v>8.0960426073843669E-2</v>
      </c>
      <c r="AO765" s="2">
        <v>8.0588008113903958E-2</v>
      </c>
      <c r="AP765" s="2">
        <v>3.5454591111363044E-2</v>
      </c>
      <c r="AQ765" s="2">
        <v>0</v>
      </c>
      <c r="AR765" s="2">
        <v>1.1977245552226161</v>
      </c>
    </row>
    <row r="766" spans="1:44" x14ac:dyDescent="0.25">
      <c r="A766" t="s">
        <v>250</v>
      </c>
      <c r="B766" t="s">
        <v>379</v>
      </c>
      <c r="C766" t="s">
        <v>45</v>
      </c>
      <c r="D766" t="s">
        <v>377</v>
      </c>
      <c r="E766" t="s">
        <v>145</v>
      </c>
      <c r="F766" t="s">
        <v>377</v>
      </c>
      <c r="G766" t="s">
        <v>31</v>
      </c>
      <c r="H766" t="s">
        <v>272</v>
      </c>
      <c r="I766" t="s">
        <v>135</v>
      </c>
      <c r="J766" t="s">
        <v>40</v>
      </c>
      <c r="K766" t="s">
        <v>31</v>
      </c>
      <c r="L766">
        <v>0.9</v>
      </c>
      <c r="M766">
        <v>1</v>
      </c>
      <c r="N766">
        <v>3.925396992140191</v>
      </c>
      <c r="O766">
        <v>1.9798085216903567</v>
      </c>
      <c r="P766">
        <v>-0.77948651728774332</v>
      </c>
      <c r="Q766">
        <v>0.4672931329656026</v>
      </c>
      <c r="R766">
        <v>-0.53071772101320502</v>
      </c>
      <c r="S766" s="2">
        <v>1.481463768471453E-4</v>
      </c>
      <c r="T766" s="2">
        <v>2.7747950856086E-4</v>
      </c>
      <c r="U766" s="2">
        <v>4.7263933139618758E-4</v>
      </c>
      <c r="V766" s="2">
        <v>7.5050968601979632E-4</v>
      </c>
      <c r="W766" s="2">
        <v>1.1262424495845052E-3</v>
      </c>
      <c r="X766" s="2">
        <v>1.6103614065162328E-3</v>
      </c>
      <c r="Y766" s="2">
        <v>2.2053492836463929E-3</v>
      </c>
      <c r="Z766" s="2">
        <v>2.9023044278342937E-3</v>
      </c>
      <c r="AA766" s="2">
        <v>3.6786245233110422E-3</v>
      </c>
      <c r="AB766" s="2">
        <v>4.4978995128391874E-3</v>
      </c>
      <c r="AC766" s="2">
        <v>5.3130342846984006E-3</v>
      </c>
      <c r="AD766" s="2">
        <v>6.0728760836607039E-3</v>
      </c>
      <c r="AE766" s="2">
        <v>6.731327955757125E-3</v>
      </c>
      <c r="AF766" s="2">
        <v>7.256526098492715E-3</v>
      </c>
      <c r="AG766" s="2">
        <v>7.6369379062400386E-3</v>
      </c>
      <c r="AH766" s="2">
        <v>7.903583587885437E-3</v>
      </c>
      <c r="AI766" s="2">
        <v>8.0311276680349406E-3</v>
      </c>
      <c r="AJ766" s="2">
        <v>8.124701778407073E-3</v>
      </c>
      <c r="AK766" s="2">
        <v>8.1198073797453824E-3</v>
      </c>
      <c r="AL766" s="2">
        <v>8.0824562657985516E-3</v>
      </c>
      <c r="AM766" s="2">
        <v>8.0452769669758784E-3</v>
      </c>
      <c r="AN766" s="2">
        <v>8.0082686929277887E-3</v>
      </c>
      <c r="AO766" s="2">
        <v>7.9714306569403197E-3</v>
      </c>
      <c r="AP766" s="2">
        <v>3.5070207234175368E-3</v>
      </c>
      <c r="AQ766" s="2">
        <v>0</v>
      </c>
      <c r="AR766" s="2">
        <v>0.11847393255553755</v>
      </c>
    </row>
    <row r="767" spans="1:44" x14ac:dyDescent="0.25">
      <c r="A767" t="s">
        <v>250</v>
      </c>
      <c r="B767" t="s">
        <v>379</v>
      </c>
      <c r="C767" t="s">
        <v>45</v>
      </c>
      <c r="D767" t="s">
        <v>377</v>
      </c>
      <c r="E767" t="s">
        <v>145</v>
      </c>
      <c r="F767" t="s">
        <v>377</v>
      </c>
      <c r="G767" t="s">
        <v>31</v>
      </c>
      <c r="H767" t="s">
        <v>273</v>
      </c>
      <c r="I767" t="s">
        <v>135</v>
      </c>
      <c r="J767" t="s">
        <v>39</v>
      </c>
      <c r="K767" t="s">
        <v>31</v>
      </c>
      <c r="L767">
        <v>0.9</v>
      </c>
      <c r="M767">
        <v>1</v>
      </c>
      <c r="N767">
        <v>3.925396992140191</v>
      </c>
      <c r="O767">
        <v>3.1588853240212433</v>
      </c>
      <c r="P767">
        <v>-0.77948651728774332</v>
      </c>
      <c r="Q767">
        <v>0.43588573036462142</v>
      </c>
      <c r="R767">
        <v>-0.67371772101320515</v>
      </c>
      <c r="S767" s="2">
        <v>4.504434480574764E-4</v>
      </c>
      <c r="T767" s="2">
        <v>8.4368466689137387E-4</v>
      </c>
      <c r="U767" s="2">
        <v>1.4370738903816895E-3</v>
      </c>
      <c r="V767" s="2">
        <v>2.2819469363067669E-3</v>
      </c>
      <c r="W767" s="2">
        <v>3.4243735360667948E-3</v>
      </c>
      <c r="X767" s="2">
        <v>4.896351568005536E-3</v>
      </c>
      <c r="Y767" s="2">
        <v>6.7054298366116816E-3</v>
      </c>
      <c r="Z767" s="2">
        <v>8.824542601774411E-3</v>
      </c>
      <c r="AA767" s="2">
        <v>1.1184966852741124E-2</v>
      </c>
      <c r="AB767" s="2">
        <v>1.3675996731730847E-2</v>
      </c>
      <c r="AC767" s="2">
        <v>1.6154438156232572E-2</v>
      </c>
      <c r="AD767" s="2">
        <v>1.8464759658431164E-2</v>
      </c>
      <c r="AE767" s="2">
        <v>2.0466802084031857E-2</v>
      </c>
      <c r="AF767" s="2">
        <v>2.2063682597493837E-2</v>
      </c>
      <c r="AG767" s="2">
        <v>2.3220335969720965E-2</v>
      </c>
      <c r="AH767" s="2">
        <v>2.4031080064893243E-2</v>
      </c>
      <c r="AI767" s="2">
        <v>2.4418881619440464E-2</v>
      </c>
      <c r="AJ767" s="2">
        <v>2.4703396474423534E-2</v>
      </c>
      <c r="AK767" s="2">
        <v>2.468851491028232E-2</v>
      </c>
      <c r="AL767" s="2">
        <v>2.4574947741695021E-2</v>
      </c>
      <c r="AM767" s="2">
        <v>2.4461902982083217E-2</v>
      </c>
      <c r="AN767" s="2">
        <v>2.4349378228365633E-2</v>
      </c>
      <c r="AO767" s="2">
        <v>2.4237371088515151E-2</v>
      </c>
      <c r="AP767" s="2">
        <v>1.066320041491902E-2</v>
      </c>
      <c r="AQ767" s="2">
        <v>0</v>
      </c>
      <c r="AR767" s="2">
        <v>0.3602235020590957</v>
      </c>
    </row>
    <row r="768" spans="1:44" x14ac:dyDescent="0.25">
      <c r="A768" t="s">
        <v>250</v>
      </c>
      <c r="B768" t="s">
        <v>379</v>
      </c>
      <c r="C768" t="s">
        <v>45</v>
      </c>
      <c r="D768" t="s">
        <v>377</v>
      </c>
      <c r="E768" t="s">
        <v>145</v>
      </c>
      <c r="F768" t="s">
        <v>377</v>
      </c>
      <c r="G768" t="s">
        <v>31</v>
      </c>
      <c r="H768" t="s">
        <v>274</v>
      </c>
      <c r="I768" t="s">
        <v>135</v>
      </c>
      <c r="J768" t="s">
        <v>39</v>
      </c>
      <c r="K768" t="s">
        <v>31</v>
      </c>
      <c r="L768">
        <v>0.9</v>
      </c>
      <c r="M768">
        <v>1</v>
      </c>
      <c r="N768">
        <v>3.925396992140191</v>
      </c>
      <c r="O768">
        <v>3.1588853240212433</v>
      </c>
      <c r="P768">
        <v>-0.77948651728774332</v>
      </c>
      <c r="Q768">
        <v>0.43588573036462142</v>
      </c>
      <c r="R768">
        <v>-0.67371772101320515</v>
      </c>
      <c r="S768" s="2">
        <v>7.0907864834509552E-4</v>
      </c>
      <c r="T768" s="2">
        <v>1.3281107446644063E-3</v>
      </c>
      <c r="U768" s="2">
        <v>2.2622116409024835E-3</v>
      </c>
      <c r="V768" s="2">
        <v>3.5921931069694845E-3</v>
      </c>
      <c r="W768" s="2">
        <v>5.39057714981599E-3</v>
      </c>
      <c r="X768" s="2">
        <v>7.7077341598289677E-3</v>
      </c>
      <c r="Y768" s="2">
        <v>1.0555547307041283E-2</v>
      </c>
      <c r="Z768" s="2">
        <v>1.3891410269844761E-2</v>
      </c>
      <c r="AA768" s="2">
        <v>1.7607140723055609E-2</v>
      </c>
      <c r="AB768" s="2">
        <v>2.152846782238084E-2</v>
      </c>
      <c r="AC768" s="2">
        <v>2.5429978440121997E-2</v>
      </c>
      <c r="AD768" s="2">
        <v>2.906683819485098E-2</v>
      </c>
      <c r="AE768" s="2">
        <v>3.2218411479347571E-2</v>
      </c>
      <c r="AF768" s="2">
        <v>3.4732187361619392E-2</v>
      </c>
      <c r="AG768" s="2">
        <v>3.6552966891923389E-2</v>
      </c>
      <c r="AH768" s="2">
        <v>3.7829223278019568E-2</v>
      </c>
      <c r="AI768" s="2">
        <v>3.8439692368668593E-2</v>
      </c>
      <c r="AJ768" s="2">
        <v>3.8887569698609827E-2</v>
      </c>
      <c r="AK768" s="2">
        <v>3.8864143451803432E-2</v>
      </c>
      <c r="AL768" s="2">
        <v>3.8685368391925129E-2</v>
      </c>
      <c r="AM768" s="2">
        <v>3.8507415697322273E-2</v>
      </c>
      <c r="AN768" s="2">
        <v>3.8330281585114583E-2</v>
      </c>
      <c r="AO768" s="2">
        <v>3.8153962289823054E-2</v>
      </c>
      <c r="AP768" s="2">
        <v>1.6785786916982386E-2</v>
      </c>
      <c r="AQ768" s="2">
        <v>0</v>
      </c>
      <c r="AR768" s="2">
        <v>0.56705629761898113</v>
      </c>
    </row>
    <row r="769" spans="1:44" x14ac:dyDescent="0.25">
      <c r="A769" t="s">
        <v>250</v>
      </c>
      <c r="B769" t="s">
        <v>379</v>
      </c>
      <c r="C769" t="s">
        <v>45</v>
      </c>
      <c r="D769" t="s">
        <v>377</v>
      </c>
      <c r="E769" t="s">
        <v>145</v>
      </c>
      <c r="F769" t="s">
        <v>377</v>
      </c>
      <c r="G769" t="s">
        <v>31</v>
      </c>
      <c r="H769" t="s">
        <v>274</v>
      </c>
      <c r="I769" t="s">
        <v>135</v>
      </c>
      <c r="J769" t="s">
        <v>39</v>
      </c>
      <c r="K769" t="s">
        <v>33</v>
      </c>
      <c r="L769">
        <v>0.9</v>
      </c>
      <c r="M769">
        <v>1</v>
      </c>
      <c r="N769">
        <v>3.925396992140191</v>
      </c>
      <c r="O769">
        <v>3.1588853240212433</v>
      </c>
      <c r="P769">
        <v>-0.77948651728774332</v>
      </c>
      <c r="Q769">
        <v>0.43588573036462142</v>
      </c>
      <c r="R769">
        <v>-0.67371772101320515</v>
      </c>
      <c r="S769" s="2">
        <v>2.2814482298686236E-6</v>
      </c>
      <c r="T769" s="2">
        <v>4.2731732432725248E-6</v>
      </c>
      <c r="U769" s="2">
        <v>7.2786266456768912E-6</v>
      </c>
      <c r="V769" s="2">
        <v>1.1557818902556E-5</v>
      </c>
      <c r="W769" s="2">
        <v>1.7344088311107313E-5</v>
      </c>
      <c r="X769" s="2">
        <v>2.4799500727148575E-5</v>
      </c>
      <c r="Y769" s="2">
        <v>3.3962290043774715E-5</v>
      </c>
      <c r="Z769" s="2">
        <v>4.4695371161552703E-5</v>
      </c>
      <c r="AA769" s="2">
        <v>5.6650669329015086E-5</v>
      </c>
      <c r="AB769" s="2">
        <v>6.9267471132836194E-5</v>
      </c>
      <c r="AC769" s="2">
        <v>8.1820513751498143E-5</v>
      </c>
      <c r="AD769" s="2">
        <v>9.3522046817078077E-5</v>
      </c>
      <c r="AE769" s="2">
        <v>1.0366217909718119E-4</v>
      </c>
      <c r="AF769" s="2">
        <v>1.1175020931820167E-4</v>
      </c>
      <c r="AG769" s="2">
        <v>1.1760853581849622E-4</v>
      </c>
      <c r="AH769" s="2">
        <v>1.2171486856411365E-4</v>
      </c>
      <c r="AI769" s="2">
        <v>1.2367904225556704E-4</v>
      </c>
      <c r="AJ769" s="2">
        <v>1.2512007978219048E-4</v>
      </c>
      <c r="AK769" s="2">
        <v>1.2504470624015302E-4</v>
      </c>
      <c r="AL769" s="2">
        <v>1.244695005914483E-4</v>
      </c>
      <c r="AM769" s="2">
        <v>1.2389694088872763E-4</v>
      </c>
      <c r="AN769" s="2">
        <v>1.2332701496063948E-4</v>
      </c>
      <c r="AO769" s="2">
        <v>1.2275971069182053E-4</v>
      </c>
      <c r="AP769" s="2">
        <v>5.4007977730086035E-5</v>
      </c>
      <c r="AQ769" s="2">
        <v>0</v>
      </c>
      <c r="AR769" s="2">
        <v>1.8244937842340104E-3</v>
      </c>
    </row>
    <row r="770" spans="1:44" x14ac:dyDescent="0.25">
      <c r="A770" t="s">
        <v>250</v>
      </c>
      <c r="B770" t="s">
        <v>379</v>
      </c>
      <c r="C770" t="s">
        <v>45</v>
      </c>
      <c r="D770" t="s">
        <v>377</v>
      </c>
      <c r="E770" t="s">
        <v>145</v>
      </c>
      <c r="F770" t="s">
        <v>377</v>
      </c>
      <c r="G770" t="s">
        <v>31</v>
      </c>
      <c r="H770" t="s">
        <v>275</v>
      </c>
      <c r="I770" t="s">
        <v>135</v>
      </c>
      <c r="J770" t="s">
        <v>39</v>
      </c>
      <c r="K770" t="s">
        <v>31</v>
      </c>
      <c r="L770">
        <v>0.9</v>
      </c>
      <c r="M770">
        <v>1</v>
      </c>
      <c r="N770">
        <v>3.925396992140191</v>
      </c>
      <c r="O770">
        <v>3.1588853240212433</v>
      </c>
      <c r="P770">
        <v>-0.77948651728774332</v>
      </c>
      <c r="Q770">
        <v>0.43588573036462142</v>
      </c>
      <c r="R770">
        <v>-0.67371772101320515</v>
      </c>
      <c r="S770" s="2">
        <v>1.0832505159619902E-3</v>
      </c>
      <c r="T770" s="2">
        <v>2.0289380490726662E-3</v>
      </c>
      <c r="U770" s="2">
        <v>3.4559522176307342E-3</v>
      </c>
      <c r="V770" s="2">
        <v>5.4877481442171449E-3</v>
      </c>
      <c r="W770" s="2">
        <v>8.2351167849989814E-3</v>
      </c>
      <c r="X770" s="2">
        <v>1.1775008350652075E-2</v>
      </c>
      <c r="Y770" s="2">
        <v>1.6125576610295574E-2</v>
      </c>
      <c r="Z770" s="2">
        <v>2.1221732423291787E-2</v>
      </c>
      <c r="AA770" s="2">
        <v>2.6898207014665186E-2</v>
      </c>
      <c r="AB770" s="2">
        <v>3.2888769011579923E-2</v>
      </c>
      <c r="AC770" s="2">
        <v>3.8849057619286545E-2</v>
      </c>
      <c r="AD770" s="2">
        <v>4.4405042438440526E-2</v>
      </c>
      <c r="AE770" s="2">
        <v>4.9219661232125386E-2</v>
      </c>
      <c r="AF770" s="2">
        <v>5.3059924971329803E-2</v>
      </c>
      <c r="AG770" s="2">
        <v>5.5841506916094463E-2</v>
      </c>
      <c r="AH770" s="2">
        <v>5.7791227715000296E-2</v>
      </c>
      <c r="AI770" s="2">
        <v>5.8723833652251103E-2</v>
      </c>
      <c r="AJ770" s="2">
        <v>5.9408050205490739E-2</v>
      </c>
      <c r="AK770" s="2">
        <v>5.9372262223439255E-2</v>
      </c>
      <c r="AL770" s="2">
        <v>5.909914981721142E-2</v>
      </c>
      <c r="AM770" s="2">
        <v>5.8827293728052253E-2</v>
      </c>
      <c r="AN770" s="2">
        <v>5.8556688176903196E-2</v>
      </c>
      <c r="AO770" s="2">
        <v>5.8287327411289454E-2</v>
      </c>
      <c r="AP770" s="2">
        <v>2.564343515502366E-2</v>
      </c>
      <c r="AQ770" s="2">
        <v>0</v>
      </c>
      <c r="AR770" s="2">
        <v>0.86628476038430424</v>
      </c>
    </row>
    <row r="771" spans="1:44" x14ac:dyDescent="0.25">
      <c r="A771" t="s">
        <v>250</v>
      </c>
      <c r="B771" t="s">
        <v>379</v>
      </c>
      <c r="C771" t="s">
        <v>45</v>
      </c>
      <c r="D771" t="s">
        <v>377</v>
      </c>
      <c r="E771" t="s">
        <v>148</v>
      </c>
      <c r="F771" t="s">
        <v>377</v>
      </c>
      <c r="G771" t="s">
        <v>31</v>
      </c>
      <c r="H771" t="s">
        <v>272</v>
      </c>
      <c r="I771" t="s">
        <v>135</v>
      </c>
      <c r="J771" t="s">
        <v>39</v>
      </c>
      <c r="K771" t="s">
        <v>31</v>
      </c>
      <c r="L771">
        <v>0.9</v>
      </c>
      <c r="M771">
        <v>1</v>
      </c>
      <c r="N771">
        <v>3.925396992140191</v>
      </c>
      <c r="O771">
        <v>3.1588853240212433</v>
      </c>
      <c r="P771">
        <v>-0.77948651728774332</v>
      </c>
      <c r="Q771">
        <v>0.43588573036462142</v>
      </c>
      <c r="R771">
        <v>-0.67371772101320515</v>
      </c>
      <c r="S771" s="2">
        <v>2.5479267940586734E-4</v>
      </c>
      <c r="T771" s="2">
        <v>6.7388823776615733E-4</v>
      </c>
      <c r="U771" s="2">
        <v>1.1608286479828525E-3</v>
      </c>
      <c r="V771" s="2">
        <v>1.8642229995967032E-3</v>
      </c>
      <c r="W771" s="2">
        <v>2.8294277474438744E-3</v>
      </c>
      <c r="X771" s="2">
        <v>4.0920122792206604E-3</v>
      </c>
      <c r="Y771" s="2">
        <v>5.6683853542590923E-3</v>
      </c>
      <c r="Z771" s="2">
        <v>7.5459644885810268E-3</v>
      </c>
      <c r="AA771" s="2">
        <v>9.6753861558045596E-3</v>
      </c>
      <c r="AB771" s="2">
        <v>1.1968086977649841E-2</v>
      </c>
      <c r="AC771" s="2">
        <v>1.4302458063345479E-2</v>
      </c>
      <c r="AD771" s="2">
        <v>1.6540031720221841E-2</v>
      </c>
      <c r="AE771" s="2">
        <v>1.8549710790329313E-2</v>
      </c>
      <c r="AF771" s="2">
        <v>2.0233922868905265E-2</v>
      </c>
      <c r="AG771" s="2">
        <v>2.1547943448795199E-2</v>
      </c>
      <c r="AH771" s="2">
        <v>2.256659324490921E-2</v>
      </c>
      <c r="AI771" s="2">
        <v>2.3205655796795469E-2</v>
      </c>
      <c r="AJ771" s="2">
        <v>2.3758550138655056E-2</v>
      </c>
      <c r="AK771" s="2">
        <v>2.4031068598319379E-2</v>
      </c>
      <c r="AL771" s="2">
        <v>2.421057313285142E-2</v>
      </c>
      <c r="AM771" s="2">
        <v>2.4392504629422877E-2</v>
      </c>
      <c r="AN771" s="2">
        <v>2.4576888400611972E-2</v>
      </c>
      <c r="AO771" s="2">
        <v>2.4763750051620844E-2</v>
      </c>
      <c r="AP771" s="2">
        <v>2.4953115483513116E-2</v>
      </c>
      <c r="AQ771" s="2">
        <v>2.5145010896495235E-2</v>
      </c>
      <c r="AR771" s="2">
        <v>0.37851077283250234</v>
      </c>
    </row>
    <row r="772" spans="1:44" x14ac:dyDescent="0.25">
      <c r="A772" t="s">
        <v>250</v>
      </c>
      <c r="B772" t="s">
        <v>379</v>
      </c>
      <c r="C772" t="s">
        <v>45</v>
      </c>
      <c r="D772" t="s">
        <v>377</v>
      </c>
      <c r="E772" t="s">
        <v>148</v>
      </c>
      <c r="F772" t="s">
        <v>377</v>
      </c>
      <c r="G772" t="s">
        <v>31</v>
      </c>
      <c r="H772" t="s">
        <v>272</v>
      </c>
      <c r="I772" t="s">
        <v>135</v>
      </c>
      <c r="J772" t="s">
        <v>40</v>
      </c>
      <c r="K772" t="s">
        <v>31</v>
      </c>
      <c r="L772">
        <v>0.9</v>
      </c>
      <c r="M772">
        <v>1</v>
      </c>
      <c r="N772">
        <v>3.925396992140191</v>
      </c>
      <c r="O772">
        <v>1.9798085216903567</v>
      </c>
      <c r="P772">
        <v>-0.77948651728774332</v>
      </c>
      <c r="Q772">
        <v>0.4672931329656026</v>
      </c>
      <c r="R772">
        <v>-0.53071772101320502</v>
      </c>
      <c r="S772" s="2">
        <v>2.5203032353264913E-5</v>
      </c>
      <c r="T772" s="2">
        <v>6.6658222279026861E-5</v>
      </c>
      <c r="U772" s="2">
        <v>1.1482434283406093E-4</v>
      </c>
      <c r="V772" s="2">
        <v>1.8440118720088741E-4</v>
      </c>
      <c r="W772" s="2">
        <v>2.798752272880687E-4</v>
      </c>
      <c r="X772" s="2">
        <v>4.0476483901986563E-4</v>
      </c>
      <c r="Y772" s="2">
        <v>5.6069310863754028E-4</v>
      </c>
      <c r="Z772" s="2">
        <v>7.4641542914719169E-4</v>
      </c>
      <c r="AA772" s="2">
        <v>9.5704896578540798E-4</v>
      </c>
      <c r="AB772" s="2">
        <v>1.1838333974419901E-3</v>
      </c>
      <c r="AC772" s="2">
        <v>1.414739678322986E-3</v>
      </c>
      <c r="AD772" s="2">
        <v>1.6360711600538437E-3</v>
      </c>
      <c r="AE772" s="2">
        <v>1.834860256905836E-3</v>
      </c>
      <c r="AF772" s="2">
        <v>2.0014555123311021E-3</v>
      </c>
      <c r="AG772" s="2">
        <v>2.1314329640579168E-3</v>
      </c>
      <c r="AH772" s="2">
        <v>2.2321935660814182E-3</v>
      </c>
      <c r="AI772" s="2">
        <v>2.2954069763273508E-3</v>
      </c>
      <c r="AJ772" s="2">
        <v>2.3500969855470679E-3</v>
      </c>
      <c r="AK772" s="2">
        <v>2.3770533783751407E-3</v>
      </c>
      <c r="AL772" s="2">
        <v>2.394809220504987E-3</v>
      </c>
      <c r="AM772" s="2">
        <v>2.4128051276278216E-3</v>
      </c>
      <c r="AN772" s="2">
        <v>2.4310436035586513E-3</v>
      </c>
      <c r="AO772" s="2">
        <v>2.4495271810576033E-3</v>
      </c>
      <c r="AP772" s="2">
        <v>2.4682584221501604E-3</v>
      </c>
      <c r="AQ772" s="2">
        <v>2.4872399184517986E-3</v>
      </c>
      <c r="AR772" s="2">
        <v>3.7440711703340984E-2</v>
      </c>
    </row>
    <row r="773" spans="1:44" x14ac:dyDescent="0.25">
      <c r="A773" t="s">
        <v>250</v>
      </c>
      <c r="B773" t="s">
        <v>379</v>
      </c>
      <c r="C773" t="s">
        <v>45</v>
      </c>
      <c r="D773" t="s">
        <v>377</v>
      </c>
      <c r="E773" t="s">
        <v>148</v>
      </c>
      <c r="F773" t="s">
        <v>377</v>
      </c>
      <c r="G773" t="s">
        <v>31</v>
      </c>
      <c r="H773" t="s">
        <v>273</v>
      </c>
      <c r="I773" t="s">
        <v>135</v>
      </c>
      <c r="J773" t="s">
        <v>39</v>
      </c>
      <c r="K773" t="s">
        <v>31</v>
      </c>
      <c r="L773">
        <v>0.9</v>
      </c>
      <c r="M773">
        <v>1</v>
      </c>
      <c r="N773">
        <v>3.925396992140191</v>
      </c>
      <c r="O773">
        <v>3.1588853240212433</v>
      </c>
      <c r="P773">
        <v>-0.77948651728774332</v>
      </c>
      <c r="Q773">
        <v>0.43588573036462142</v>
      </c>
      <c r="R773">
        <v>-0.67371772101320515</v>
      </c>
      <c r="S773" s="2">
        <v>7.663056658093041E-5</v>
      </c>
      <c r="T773" s="2">
        <v>2.0267629977698803E-4</v>
      </c>
      <c r="U773" s="2">
        <v>3.4912681638157053E-4</v>
      </c>
      <c r="V773" s="2">
        <v>5.6067727308891139E-4</v>
      </c>
      <c r="W773" s="2">
        <v>8.509689206613691E-4</v>
      </c>
      <c r="X773" s="2">
        <v>1.2306994853384487E-3</v>
      </c>
      <c r="Y773" s="2">
        <v>1.7048040089252302E-3</v>
      </c>
      <c r="Z773" s="2">
        <v>2.2694982269817108E-3</v>
      </c>
      <c r="AA773" s="2">
        <v>2.9099357357420443E-3</v>
      </c>
      <c r="AB773" s="2">
        <v>3.5994805193215445E-3</v>
      </c>
      <c r="AC773" s="2">
        <v>4.3015579075892678E-3</v>
      </c>
      <c r="AD773" s="2">
        <v>4.9745228353604851E-3</v>
      </c>
      <c r="AE773" s="2">
        <v>5.5789469740259072E-3</v>
      </c>
      <c r="AF773" s="2">
        <v>6.0854847840003234E-3</v>
      </c>
      <c r="AG773" s="2">
        <v>6.4806850769237286E-3</v>
      </c>
      <c r="AH773" s="2">
        <v>6.7870506726928192E-3</v>
      </c>
      <c r="AI773" s="2">
        <v>6.979252919420996E-3</v>
      </c>
      <c r="AJ773" s="2">
        <v>7.1455395127991298E-3</v>
      </c>
      <c r="AK773" s="2">
        <v>7.2275012238518519E-3</v>
      </c>
      <c r="AL773" s="2">
        <v>7.2814883879145954E-3</v>
      </c>
      <c r="AM773" s="2">
        <v>7.3362054767009584E-3</v>
      </c>
      <c r="AN773" s="2">
        <v>7.3916601031349602E-3</v>
      </c>
      <c r="AO773" s="2">
        <v>7.4478599681484636E-3</v>
      </c>
      <c r="AP773" s="2">
        <v>7.504812861656193E-3</v>
      </c>
      <c r="AQ773" s="2">
        <v>7.5625266635416461E-3</v>
      </c>
      <c r="AR773" s="2">
        <v>0.1138395932205601</v>
      </c>
    </row>
    <row r="774" spans="1:44" x14ac:dyDescent="0.25">
      <c r="A774" t="s">
        <v>250</v>
      </c>
      <c r="B774" t="s">
        <v>379</v>
      </c>
      <c r="C774" t="s">
        <v>45</v>
      </c>
      <c r="D774" t="s">
        <v>377</v>
      </c>
      <c r="E774" t="s">
        <v>148</v>
      </c>
      <c r="F774" t="s">
        <v>377</v>
      </c>
      <c r="G774" t="s">
        <v>31</v>
      </c>
      <c r="H774" t="s">
        <v>274</v>
      </c>
      <c r="I774" t="s">
        <v>135</v>
      </c>
      <c r="J774" t="s">
        <v>39</v>
      </c>
      <c r="K774" t="s">
        <v>31</v>
      </c>
      <c r="L774">
        <v>0.9</v>
      </c>
      <c r="M774">
        <v>1</v>
      </c>
      <c r="N774">
        <v>3.925396992140191</v>
      </c>
      <c r="O774">
        <v>3.1588853240212433</v>
      </c>
      <c r="P774">
        <v>-0.77948651728774332</v>
      </c>
      <c r="Q774">
        <v>0.43588573036462142</v>
      </c>
      <c r="R774">
        <v>-0.67371772101320515</v>
      </c>
      <c r="S774" s="2">
        <v>1.2063023406701122E-4</v>
      </c>
      <c r="T774" s="2">
        <v>3.1904878918144496E-4</v>
      </c>
      <c r="U774" s="2">
        <v>5.4958812727426301E-4</v>
      </c>
      <c r="V774" s="2">
        <v>8.8260642856318404E-4</v>
      </c>
      <c r="W774" s="2">
        <v>1.3395774644928548E-3</v>
      </c>
      <c r="X774" s="2">
        <v>1.9373413718106363E-3</v>
      </c>
      <c r="Y774" s="2">
        <v>2.6836667900378398E-3</v>
      </c>
      <c r="Z774" s="2">
        <v>3.572596609296136E-3</v>
      </c>
      <c r="AA774" s="2">
        <v>4.5807599315058995E-3</v>
      </c>
      <c r="AB774" s="2">
        <v>5.6662268979420453E-3</v>
      </c>
      <c r="AC774" s="2">
        <v>6.7714224283762841E-3</v>
      </c>
      <c r="AD774" s="2">
        <v>7.8307897328081886E-3</v>
      </c>
      <c r="AE774" s="2">
        <v>8.7822615615590158E-3</v>
      </c>
      <c r="AF774" s="2">
        <v>9.5796427804027678E-3</v>
      </c>
      <c r="AG774" s="2">
        <v>1.0201758810151505E-2</v>
      </c>
      <c r="AH774" s="2">
        <v>1.0684033118911239E-2</v>
      </c>
      <c r="AI774" s="2">
        <v>1.0986593873000839E-2</v>
      </c>
      <c r="AJ774" s="2">
        <v>1.1248358747989868E-2</v>
      </c>
      <c r="AK774" s="2">
        <v>1.1377381158106027E-2</v>
      </c>
      <c r="AL774" s="2">
        <v>1.1462366621845422E-2</v>
      </c>
      <c r="AM774" s="2">
        <v>1.1548501117807891E-2</v>
      </c>
      <c r="AN774" s="2">
        <v>1.1635796630098868E-2</v>
      </c>
      <c r="AO774" s="2">
        <v>1.1724265281364219E-2</v>
      </c>
      <c r="AP774" s="2">
        <v>1.1813919334324659E-2</v>
      </c>
      <c r="AQ774" s="2">
        <v>1.1904771193327704E-2</v>
      </c>
      <c r="AR774" s="2">
        <v>0.1792039050342458</v>
      </c>
    </row>
    <row r="775" spans="1:44" x14ac:dyDescent="0.25">
      <c r="A775" t="s">
        <v>250</v>
      </c>
      <c r="B775" t="s">
        <v>379</v>
      </c>
      <c r="C775" t="s">
        <v>45</v>
      </c>
      <c r="D775" t="s">
        <v>377</v>
      </c>
      <c r="E775" t="s">
        <v>148</v>
      </c>
      <c r="F775" t="s">
        <v>377</v>
      </c>
      <c r="G775" t="s">
        <v>31</v>
      </c>
      <c r="H775" t="s">
        <v>274</v>
      </c>
      <c r="I775" t="s">
        <v>135</v>
      </c>
      <c r="J775" t="s">
        <v>39</v>
      </c>
      <c r="K775" t="s">
        <v>33</v>
      </c>
      <c r="L775">
        <v>0.9</v>
      </c>
      <c r="M775">
        <v>1</v>
      </c>
      <c r="N775">
        <v>3.925396992140191</v>
      </c>
      <c r="O775">
        <v>3.1588853240212433</v>
      </c>
      <c r="P775">
        <v>-0.77948651728774332</v>
      </c>
      <c r="Q775">
        <v>0.43588573036462142</v>
      </c>
      <c r="R775">
        <v>-0.67371772101320515</v>
      </c>
      <c r="S775" s="2">
        <v>3.8812568200034159E-7</v>
      </c>
      <c r="T775" s="2">
        <v>1.0265339352955355E-6</v>
      </c>
      <c r="U775" s="2">
        <v>1.7682902496825076E-6</v>
      </c>
      <c r="V775" s="2">
        <v>2.8397708474450571E-6</v>
      </c>
      <c r="W775" s="2">
        <v>4.3100672150710506E-6</v>
      </c>
      <c r="X775" s="2">
        <v>6.2333621999256377E-6</v>
      </c>
      <c r="Y775" s="2">
        <v>8.634651264677855E-6</v>
      </c>
      <c r="Z775" s="2">
        <v>1.1494767511807151E-5</v>
      </c>
      <c r="AA775" s="2">
        <v>1.4738515482842509E-5</v>
      </c>
      <c r="AB775" s="2">
        <v>1.8230986585922946E-5</v>
      </c>
      <c r="AC775" s="2">
        <v>2.1786934000857488E-5</v>
      </c>
      <c r="AD775" s="2">
        <v>2.5195429894955522E-5</v>
      </c>
      <c r="AE775" s="2">
        <v>2.8256773970876658E-5</v>
      </c>
      <c r="AF775" s="2">
        <v>3.0822334186950544E-5</v>
      </c>
      <c r="AG775" s="2">
        <v>3.282398170257586E-5</v>
      </c>
      <c r="AH775" s="2">
        <v>3.4375690910854708E-5</v>
      </c>
      <c r="AI775" s="2">
        <v>3.5349174879743915E-5</v>
      </c>
      <c r="AJ775" s="2">
        <v>3.6191398816509304E-5</v>
      </c>
      <c r="AK775" s="2">
        <v>3.6606526179122661E-5</v>
      </c>
      <c r="AL775" s="2">
        <v>3.6879965431968836E-5</v>
      </c>
      <c r="AM775" s="2">
        <v>3.7157101676027085E-5</v>
      </c>
      <c r="AN775" s="2">
        <v>3.7437973469948329E-5</v>
      </c>
      <c r="AO775" s="2">
        <v>3.7722619818134286E-5</v>
      </c>
      <c r="AP775" s="2">
        <v>3.8011080175676088E-5</v>
      </c>
      <c r="AQ775" s="2">
        <v>3.8303394453347429E-5</v>
      </c>
      <c r="AR775" s="2">
        <v>5.7658545054221943E-4</v>
      </c>
    </row>
    <row r="776" spans="1:44" x14ac:dyDescent="0.25">
      <c r="A776" t="s">
        <v>250</v>
      </c>
      <c r="B776" t="s">
        <v>379</v>
      </c>
      <c r="C776" t="s">
        <v>45</v>
      </c>
      <c r="D776" t="s">
        <v>377</v>
      </c>
      <c r="E776" t="s">
        <v>148</v>
      </c>
      <c r="F776" t="s">
        <v>377</v>
      </c>
      <c r="G776" t="s">
        <v>31</v>
      </c>
      <c r="H776" t="s">
        <v>275</v>
      </c>
      <c r="I776" t="s">
        <v>135</v>
      </c>
      <c r="J776" t="s">
        <v>39</v>
      </c>
      <c r="K776" t="s">
        <v>31</v>
      </c>
      <c r="L776">
        <v>0.9</v>
      </c>
      <c r="M776">
        <v>1</v>
      </c>
      <c r="N776">
        <v>3.925396992140191</v>
      </c>
      <c r="O776">
        <v>3.1588853240212433</v>
      </c>
      <c r="P776">
        <v>-0.77948651728774332</v>
      </c>
      <c r="Q776">
        <v>0.43588573036462142</v>
      </c>
      <c r="R776">
        <v>-0.67371772101320515</v>
      </c>
      <c r="S776" s="2">
        <v>1.8428528852008186E-4</v>
      </c>
      <c r="T776" s="2">
        <v>4.8740681489205207E-4</v>
      </c>
      <c r="U776" s="2">
        <v>8.3959885666545764E-4</v>
      </c>
      <c r="V776" s="2">
        <v>1.3483467191740001E-3</v>
      </c>
      <c r="W776" s="2">
        <v>2.0464556124621951E-3</v>
      </c>
      <c r="X776" s="2">
        <v>2.9596520012361727E-3</v>
      </c>
      <c r="Y776" s="2">
        <v>4.0998039381997331E-3</v>
      </c>
      <c r="Z776" s="2">
        <v>5.4578108216574422E-3</v>
      </c>
      <c r="AA776" s="2">
        <v>6.9979692251102973E-3</v>
      </c>
      <c r="AB776" s="2">
        <v>8.6562234317428648E-3</v>
      </c>
      <c r="AC776" s="2">
        <v>1.0344616716995415E-2</v>
      </c>
      <c r="AD776" s="2">
        <v>1.1962998798866692E-2</v>
      </c>
      <c r="AE776" s="2">
        <v>1.3416550322132882E-2</v>
      </c>
      <c r="AF776" s="2">
        <v>1.4634699562343156E-2</v>
      </c>
      <c r="AG776" s="2">
        <v>1.5585098381693132E-2</v>
      </c>
      <c r="AH776" s="2">
        <v>1.6321862766036865E-2</v>
      </c>
      <c r="AI776" s="2">
        <v>1.6784081017485217E-2</v>
      </c>
      <c r="AJ776" s="2">
        <v>1.7183975918501543E-2</v>
      </c>
      <c r="AK776" s="2">
        <v>1.738108182862165E-2</v>
      </c>
      <c r="AL776" s="2">
        <v>1.7510913050672636E-2</v>
      </c>
      <c r="AM776" s="2">
        <v>1.7642499634772199E-2</v>
      </c>
      <c r="AN776" s="2">
        <v>1.7775859888886154E-2</v>
      </c>
      <c r="AO776" s="2">
        <v>1.791101233262939E-2</v>
      </c>
      <c r="AP776" s="2">
        <v>1.8047975699604021E-2</v>
      </c>
      <c r="AQ776" s="2">
        <v>1.8186768939777311E-2</v>
      </c>
      <c r="AR776" s="2">
        <v>0.27376754756867855</v>
      </c>
    </row>
    <row r="777" spans="1:44" x14ac:dyDescent="0.25">
      <c r="A777" t="s">
        <v>250</v>
      </c>
      <c r="B777" t="s">
        <v>381</v>
      </c>
      <c r="C777" t="s">
        <v>45</v>
      </c>
      <c r="D777" t="s">
        <v>377</v>
      </c>
      <c r="E777" t="s">
        <v>145</v>
      </c>
      <c r="F777" t="s">
        <v>377</v>
      </c>
      <c r="G777" t="s">
        <v>31</v>
      </c>
      <c r="H777" t="s">
        <v>276</v>
      </c>
      <c r="I777" t="s">
        <v>135</v>
      </c>
      <c r="J777" t="s">
        <v>39</v>
      </c>
      <c r="K777" t="s">
        <v>31</v>
      </c>
      <c r="L777">
        <v>0.28000000000000003</v>
      </c>
      <c r="M777">
        <v>1</v>
      </c>
      <c r="N777">
        <v>2.2977958968393288</v>
      </c>
      <c r="O777">
        <v>3.1597702595673303</v>
      </c>
      <c r="P777">
        <v>-0.47052634267505622</v>
      </c>
      <c r="Q777">
        <v>0.74484590497730885</v>
      </c>
      <c r="R777">
        <v>-0.67371772101320537</v>
      </c>
      <c r="S777" s="2">
        <v>2.1989453028680777E-3</v>
      </c>
      <c r="T777" s="2">
        <v>4.128988706695951E-3</v>
      </c>
      <c r="U777" s="2">
        <v>7.0506965512417011E-3</v>
      </c>
      <c r="V777" s="2">
        <v>1.1224005023374629E-2</v>
      </c>
      <c r="W777" s="2">
        <v>1.6885457400147665E-2</v>
      </c>
      <c r="X777" s="2">
        <v>2.4204364087377795E-2</v>
      </c>
      <c r="Y777" s="2">
        <v>3.3230516561914808E-2</v>
      </c>
      <c r="Z777" s="2">
        <v>4.3842171852832797E-2</v>
      </c>
      <c r="AA777" s="2">
        <v>5.5708817959295762E-2</v>
      </c>
      <c r="AB777" s="2">
        <v>6.8286934459666424E-2</v>
      </c>
      <c r="AC777" s="2">
        <v>8.086486628007962E-2</v>
      </c>
      <c r="AD777" s="2">
        <v>9.266186991952842E-2</v>
      </c>
      <c r="AE777" s="2">
        <v>0.10296669593204931</v>
      </c>
      <c r="AF777" s="2">
        <v>0.11127924605739101</v>
      </c>
      <c r="AG777" s="2">
        <v>0.11740701828955279</v>
      </c>
      <c r="AH777" s="2">
        <v>0.12181148456551948</v>
      </c>
      <c r="AI777" s="2">
        <v>0.12408809045726381</v>
      </c>
      <c r="AJ777" s="2">
        <v>0.12584917902595341</v>
      </c>
      <c r="AK777" s="2">
        <v>0.12608925276104307</v>
      </c>
      <c r="AL777" s="2">
        <v>0.12582446533024488</v>
      </c>
      <c r="AM777" s="2">
        <v>0.12556023395305138</v>
      </c>
      <c r="AN777" s="2">
        <v>0.12529655746174997</v>
      </c>
      <c r="AO777" s="2">
        <v>0.1250334346910803</v>
      </c>
      <c r="AP777" s="2">
        <v>9.6139392312448335E-2</v>
      </c>
      <c r="AQ777" s="2">
        <v>0</v>
      </c>
      <c r="AR777" s="2">
        <v>1.8676326849423712</v>
      </c>
    </row>
    <row r="778" spans="1:44" x14ac:dyDescent="0.25">
      <c r="A778" t="s">
        <v>250</v>
      </c>
      <c r="B778" t="s">
        <v>381</v>
      </c>
      <c r="C778" t="s">
        <v>45</v>
      </c>
      <c r="D778" t="s">
        <v>377</v>
      </c>
      <c r="E778" t="s">
        <v>148</v>
      </c>
      <c r="F778" t="s">
        <v>377</v>
      </c>
      <c r="G778" t="s">
        <v>31</v>
      </c>
      <c r="H778" t="s">
        <v>276</v>
      </c>
      <c r="I778" t="s">
        <v>135</v>
      </c>
      <c r="J778" t="s">
        <v>39</v>
      </c>
      <c r="K778" t="s">
        <v>31</v>
      </c>
      <c r="L778">
        <v>0.28000000000000003</v>
      </c>
      <c r="M778">
        <v>1</v>
      </c>
      <c r="N778">
        <v>2.2977958968393288</v>
      </c>
      <c r="O778">
        <v>3.1597702595673303</v>
      </c>
      <c r="P778">
        <v>-0.47052634267505622</v>
      </c>
      <c r="Q778">
        <v>0.74484590497730885</v>
      </c>
      <c r="R778">
        <v>-0.67371772101320537</v>
      </c>
      <c r="S778" s="2">
        <v>3.7409007760227242E-4</v>
      </c>
      <c r="T778" s="2">
        <v>8.3424895830848291E-4</v>
      </c>
      <c r="U778" s="2">
        <v>1.4406082486317945E-3</v>
      </c>
      <c r="V778" s="2">
        <v>2.3191753520991165E-3</v>
      </c>
      <c r="W778" s="2">
        <v>3.5284201994517442E-3</v>
      </c>
      <c r="X778" s="2">
        <v>5.1150827870937747E-3</v>
      </c>
      <c r="Y778" s="2">
        <v>7.1022719233131259E-3</v>
      </c>
      <c r="Z778" s="2">
        <v>9.4768298064871938E-3</v>
      </c>
      <c r="AA778" s="2">
        <v>1.2179102810948601E-2</v>
      </c>
      <c r="AB778" s="2">
        <v>1.5099366509989517E-2</v>
      </c>
      <c r="AC778" s="2">
        <v>1.8085065113986252E-2</v>
      </c>
      <c r="AD778" s="2">
        <v>2.0960884571328699E-2</v>
      </c>
      <c r="AE778" s="2">
        <v>2.3559324085147351E-2</v>
      </c>
      <c r="AF778" s="2">
        <v>2.5754125070426393E-2</v>
      </c>
      <c r="AG778" s="2">
        <v>2.7485411767232116E-2</v>
      </c>
      <c r="AH778" s="2">
        <v>2.8845687107201427E-2</v>
      </c>
      <c r="AI778" s="2">
        <v>2.9724600826935964E-2</v>
      </c>
      <c r="AJ778" s="2">
        <v>3.0495680076783899E-2</v>
      </c>
      <c r="AK778" s="2">
        <v>3.0908409489275913E-2</v>
      </c>
      <c r="AL778" s="2">
        <v>3.120203284162118E-2</v>
      </c>
      <c r="AM778" s="2">
        <v>3.1499060263927119E-2</v>
      </c>
      <c r="AN778" s="2">
        <v>3.1799529696801797E-2</v>
      </c>
      <c r="AO778" s="2">
        <v>3.2103479506818799E-2</v>
      </c>
      <c r="AP778" s="2">
        <v>3.2410948491296977E-2</v>
      </c>
      <c r="AQ778" s="2">
        <v>3.2721975883130937E-2</v>
      </c>
      <c r="AR778" s="2">
        <v>0.48502541146584038</v>
      </c>
    </row>
    <row r="779" spans="1:44" x14ac:dyDescent="0.25">
      <c r="A779" t="s">
        <v>250</v>
      </c>
      <c r="B779" t="s">
        <v>380</v>
      </c>
      <c r="C779" t="s">
        <v>45</v>
      </c>
      <c r="D779" t="s">
        <v>377</v>
      </c>
      <c r="E779" t="s">
        <v>145</v>
      </c>
      <c r="F779" t="s">
        <v>377</v>
      </c>
      <c r="G779" t="s">
        <v>31</v>
      </c>
      <c r="H779" t="s">
        <v>277</v>
      </c>
      <c r="I779" t="s">
        <v>135</v>
      </c>
      <c r="J779" t="s">
        <v>39</v>
      </c>
      <c r="K779" t="s">
        <v>31</v>
      </c>
      <c r="L779">
        <v>0.9</v>
      </c>
      <c r="M779">
        <v>1</v>
      </c>
      <c r="N779">
        <v>3.925396992140191</v>
      </c>
      <c r="O779">
        <v>3.1588853240212433</v>
      </c>
      <c r="P779">
        <v>-0.77948651728774332</v>
      </c>
      <c r="Q779">
        <v>0.43588573036462142</v>
      </c>
      <c r="R779">
        <v>-0.67371772101320515</v>
      </c>
      <c r="S779" s="2">
        <v>8.8948109379212211E-3</v>
      </c>
      <c r="T779" s="2">
        <v>1.6658053178767302E-2</v>
      </c>
      <c r="U779" s="2">
        <v>2.8370750695615052E-2</v>
      </c>
      <c r="V779" s="2">
        <v>4.5044825667065642E-2</v>
      </c>
      <c r="W779" s="2">
        <v>6.7587773808593571E-2</v>
      </c>
      <c r="X779" s="2">
        <v>9.6628946357884049E-2</v>
      </c>
      <c r="Y779" s="2">
        <v>0.13231494900662066</v>
      </c>
      <c r="Z779" s="2">
        <v>0.17410936674237026</v>
      </c>
      <c r="AA779" s="2">
        <v>0.22065423838936318</v>
      </c>
      <c r="AB779" s="2">
        <v>0.26976412977647857</v>
      </c>
      <c r="AC779" s="2">
        <v>0.31861389509615412</v>
      </c>
      <c r="AD779" s="2">
        <v>0.36413644980548482</v>
      </c>
      <c r="AE779" s="2">
        <v>0.40356930334610558</v>
      </c>
      <c r="AF779" s="2">
        <v>0.43500452751327884</v>
      </c>
      <c r="AG779" s="2">
        <v>0.45775375515554395</v>
      </c>
      <c r="AH779" s="2">
        <v>0.47367923600235595</v>
      </c>
      <c r="AI779" s="2">
        <v>0.48126520896693364</v>
      </c>
      <c r="AJ779" s="2">
        <v>0.4868139414611094</v>
      </c>
      <c r="AK779" s="2">
        <v>0.48646202776848696</v>
      </c>
      <c r="AL779" s="2">
        <v>0.48416592699741973</v>
      </c>
      <c r="AM779" s="2">
        <v>0.48188066382199196</v>
      </c>
      <c r="AN779" s="2">
        <v>0.47960618708875208</v>
      </c>
      <c r="AO779" s="2">
        <v>0.47734244588569319</v>
      </c>
      <c r="AP779" s="2">
        <v>0.20238310086719399</v>
      </c>
      <c r="AQ779" s="2">
        <v>0</v>
      </c>
      <c r="AR779" s="2">
        <v>7.0927045143371821</v>
      </c>
    </row>
    <row r="780" spans="1:44" x14ac:dyDescent="0.25">
      <c r="A780" t="s">
        <v>250</v>
      </c>
      <c r="B780" t="s">
        <v>380</v>
      </c>
      <c r="C780" t="s">
        <v>45</v>
      </c>
      <c r="D780" t="s">
        <v>377</v>
      </c>
      <c r="E780" t="s">
        <v>145</v>
      </c>
      <c r="F780" t="s">
        <v>377</v>
      </c>
      <c r="G780" t="s">
        <v>31</v>
      </c>
      <c r="H780" t="s">
        <v>277</v>
      </c>
      <c r="I780" t="s">
        <v>135</v>
      </c>
      <c r="J780" t="s">
        <v>40</v>
      </c>
      <c r="K780" t="s">
        <v>31</v>
      </c>
      <c r="L780">
        <v>0.9</v>
      </c>
      <c r="M780">
        <v>1</v>
      </c>
      <c r="N780">
        <v>3.925396992140191</v>
      </c>
      <c r="O780">
        <v>1.9798085216903567</v>
      </c>
      <c r="P780">
        <v>-0.77948651728774332</v>
      </c>
      <c r="Q780">
        <v>0.4672931329656026</v>
      </c>
      <c r="R780">
        <v>-0.53071772101320502</v>
      </c>
      <c r="S780" s="2">
        <v>1.4031154205671828E-3</v>
      </c>
      <c r="T780" s="2">
        <v>2.6277310956784724E-3</v>
      </c>
      <c r="U780" s="2">
        <v>4.4753551336739143E-3</v>
      </c>
      <c r="V780" s="2">
        <v>7.1056135932880474E-3</v>
      </c>
      <c r="W780" s="2">
        <v>1.0661659740100965E-2</v>
      </c>
      <c r="X780" s="2">
        <v>1.5242770830561645E-2</v>
      </c>
      <c r="Y780" s="2">
        <v>2.0872073236684031E-2</v>
      </c>
      <c r="Z780" s="2">
        <v>2.7464949963118653E-2</v>
      </c>
      <c r="AA780" s="2">
        <v>3.4807188894560047E-2</v>
      </c>
      <c r="AB780" s="2">
        <v>4.255404786531914E-2</v>
      </c>
      <c r="AC780" s="2">
        <v>5.0259873148115239E-2</v>
      </c>
      <c r="AD780" s="2">
        <v>5.744084629549983E-2</v>
      </c>
      <c r="AE780" s="2">
        <v>6.3661197156913776E-2</v>
      </c>
      <c r="AF780" s="2">
        <v>6.8619958853568225E-2</v>
      </c>
      <c r="AG780" s="2">
        <v>7.2208544640678315E-2</v>
      </c>
      <c r="AH780" s="2">
        <v>7.4720715828133763E-2</v>
      </c>
      <c r="AI780" s="2">
        <v>7.5917368092121337E-2</v>
      </c>
      <c r="AJ780" s="2">
        <v>7.679265506353837E-2</v>
      </c>
      <c r="AK780" s="2">
        <v>7.673714230084186E-2</v>
      </c>
      <c r="AL780" s="2">
        <v>7.637494298918189E-2</v>
      </c>
      <c r="AM780" s="2">
        <v>7.601445325827294E-2</v>
      </c>
      <c r="AN780" s="2">
        <v>7.5655665038893927E-2</v>
      </c>
      <c r="AO780" s="2">
        <v>7.5298570299910328E-2</v>
      </c>
      <c r="AP780" s="2">
        <v>3.1925001179994333E-2</v>
      </c>
      <c r="AQ780" s="2">
        <v>0</v>
      </c>
      <c r="AR780" s="2">
        <v>1.1188414399192161</v>
      </c>
    </row>
    <row r="781" spans="1:44" x14ac:dyDescent="0.25">
      <c r="A781" t="s">
        <v>250</v>
      </c>
      <c r="B781" t="s">
        <v>380</v>
      </c>
      <c r="C781" t="s">
        <v>45</v>
      </c>
      <c r="D781" t="s">
        <v>377</v>
      </c>
      <c r="E781" t="s">
        <v>148</v>
      </c>
      <c r="F781" t="s">
        <v>377</v>
      </c>
      <c r="G781" t="s">
        <v>31</v>
      </c>
      <c r="H781" t="s">
        <v>277</v>
      </c>
      <c r="I781" t="s">
        <v>135</v>
      </c>
      <c r="J781" t="s">
        <v>39</v>
      </c>
      <c r="K781" t="s">
        <v>31</v>
      </c>
      <c r="L781">
        <v>0.9</v>
      </c>
      <c r="M781">
        <v>1</v>
      </c>
      <c r="N781">
        <v>3.925396992140191</v>
      </c>
      <c r="O781">
        <v>3.1588853240212433</v>
      </c>
      <c r="P781">
        <v>-0.77948651728774332</v>
      </c>
      <c r="Q781">
        <v>0.43588573036462142</v>
      </c>
      <c r="R781">
        <v>-0.67371772101320515</v>
      </c>
      <c r="S781" s="2">
        <v>1.5132074952862601E-3</v>
      </c>
      <c r="T781" s="2">
        <v>4.0323324664676757E-3</v>
      </c>
      <c r="U781" s="2">
        <v>6.9452053561916095E-3</v>
      </c>
      <c r="V781" s="2">
        <v>1.1152286951187211E-2</v>
      </c>
      <c r="W781" s="2">
        <v>1.6924442130078647E-2</v>
      </c>
      <c r="X781" s="2">
        <v>2.4473886502991943E-2</v>
      </c>
      <c r="Y781" s="2">
        <v>3.3898167206284913E-2</v>
      </c>
      <c r="Z781" s="2">
        <v>4.512144714455231E-2</v>
      </c>
      <c r="AA781" s="2">
        <v>5.7848027709159047E-2</v>
      </c>
      <c r="AB781" s="2">
        <v>7.1548007575133243E-2</v>
      </c>
      <c r="AC781" s="2">
        <v>8.5494193244035524E-2</v>
      </c>
      <c r="AD781" s="2">
        <v>9.8858944429407306E-2</v>
      </c>
      <c r="AE781" s="2">
        <v>0.11085901978940967</v>
      </c>
      <c r="AF781" s="2">
        <v>0.1209118329117963</v>
      </c>
      <c r="AG781" s="2">
        <v>0.12875079667995543</v>
      </c>
      <c r="AH781" s="2">
        <v>0.13482363739981798</v>
      </c>
      <c r="AI781" s="2">
        <v>0.13862781580358066</v>
      </c>
      <c r="AJ781" s="2">
        <v>0.1419167040711109</v>
      </c>
      <c r="AK781" s="2">
        <v>0.14353052114960888</v>
      </c>
      <c r="AL781" s="2">
        <v>0.14458871288738714</v>
      </c>
      <c r="AM781" s="2">
        <v>0.14566137414758704</v>
      </c>
      <c r="AN781" s="2">
        <v>0.14674865491155001</v>
      </c>
      <c r="AO781" s="2">
        <v>0.14785070690054453</v>
      </c>
      <c r="AP781" s="2">
        <v>0.14896768359499379</v>
      </c>
      <c r="AQ781" s="2">
        <v>0.15009974025393513</v>
      </c>
      <c r="AR781" s="2">
        <v>2.2611473487120528</v>
      </c>
    </row>
    <row r="782" spans="1:44" x14ac:dyDescent="0.25">
      <c r="A782" t="s">
        <v>250</v>
      </c>
      <c r="B782" t="s">
        <v>380</v>
      </c>
      <c r="C782" t="s">
        <v>45</v>
      </c>
      <c r="D782" t="s">
        <v>377</v>
      </c>
      <c r="E782" t="s">
        <v>148</v>
      </c>
      <c r="F782" t="s">
        <v>377</v>
      </c>
      <c r="G782" t="s">
        <v>31</v>
      </c>
      <c r="H782" t="s">
        <v>277</v>
      </c>
      <c r="I782" t="s">
        <v>135</v>
      </c>
      <c r="J782" t="s">
        <v>40</v>
      </c>
      <c r="K782" t="s">
        <v>31</v>
      </c>
      <c r="L782">
        <v>0.9</v>
      </c>
      <c r="M782">
        <v>1</v>
      </c>
      <c r="N782">
        <v>3.925396992140191</v>
      </c>
      <c r="O782">
        <v>1.9798085216903567</v>
      </c>
      <c r="P782">
        <v>-0.77948651728774332</v>
      </c>
      <c r="Q782">
        <v>0.4672931329656026</v>
      </c>
      <c r="R782">
        <v>-0.53071772101320502</v>
      </c>
      <c r="S782" s="2">
        <v>2.3870150652692827E-4</v>
      </c>
      <c r="T782" s="2">
        <v>6.360818576180788E-4</v>
      </c>
      <c r="U782" s="2">
        <v>1.0955741276897394E-3</v>
      </c>
      <c r="V782" s="2">
        <v>1.7592218547433272E-3</v>
      </c>
      <c r="W782" s="2">
        <v>2.6697527247004247E-3</v>
      </c>
      <c r="X782" s="2">
        <v>3.8606427717489422E-3</v>
      </c>
      <c r="Y782" s="2">
        <v>5.3472796069591261E-3</v>
      </c>
      <c r="Z782" s="2">
        <v>7.1177002781381438E-3</v>
      </c>
      <c r="AA782" s="2">
        <v>9.1252596929383371E-3</v>
      </c>
      <c r="AB782" s="2">
        <v>1.1286368360178807E-2</v>
      </c>
      <c r="AC782" s="2">
        <v>1.3486314857827997E-2</v>
      </c>
      <c r="AD782" s="2">
        <v>1.559454274610063E-2</v>
      </c>
      <c r="AE782" s="2">
        <v>1.748749931404784E-2</v>
      </c>
      <c r="AF782" s="2">
        <v>1.907328424084918E-2</v>
      </c>
      <c r="AG782" s="2">
        <v>2.0309844637818934E-2</v>
      </c>
      <c r="AH782" s="2">
        <v>2.1267807265710682E-2</v>
      </c>
      <c r="AI782" s="2">
        <v>2.1867898871722254E-2</v>
      </c>
      <c r="AJ782" s="2">
        <v>2.2386705834220196E-2</v>
      </c>
      <c r="AK782" s="2">
        <v>2.2641278038690309E-2</v>
      </c>
      <c r="AL782" s="2">
        <v>2.2808202907083686E-2</v>
      </c>
      <c r="AM782" s="2">
        <v>2.2977410275934296E-2</v>
      </c>
      <c r="AN782" s="2">
        <v>2.3148923804108233E-2</v>
      </c>
      <c r="AO782" s="2">
        <v>2.3322767424936129E-2</v>
      </c>
      <c r="AP782" s="2">
        <v>2.3498965349246278E-2</v>
      </c>
      <c r="AQ782" s="2">
        <v>2.3677542068437519E-2</v>
      </c>
      <c r="AR782" s="2">
        <v>0.35668557041797611</v>
      </c>
    </row>
    <row r="783" spans="1:44" x14ac:dyDescent="0.25">
      <c r="A783" t="s">
        <v>250</v>
      </c>
      <c r="B783" t="s">
        <v>343</v>
      </c>
      <c r="C783" t="s">
        <v>44</v>
      </c>
      <c r="D783" t="s">
        <v>163</v>
      </c>
      <c r="E783" t="s">
        <v>134</v>
      </c>
      <c r="F783" t="s">
        <v>163</v>
      </c>
      <c r="G783" t="s">
        <v>31</v>
      </c>
      <c r="H783" t="s">
        <v>254</v>
      </c>
      <c r="I783" t="s">
        <v>135</v>
      </c>
      <c r="J783" t="s">
        <v>39</v>
      </c>
      <c r="K783" t="s">
        <v>31</v>
      </c>
      <c r="L783">
        <v>47.918798887095448</v>
      </c>
      <c r="M783">
        <v>1</v>
      </c>
      <c r="N783">
        <v>1.7886448088486833</v>
      </c>
      <c r="O783">
        <v>6.0587378786000636</v>
      </c>
      <c r="P783">
        <v>-0.92006591684998851</v>
      </c>
      <c r="Q783">
        <v>1.8347649468629108</v>
      </c>
      <c r="R783">
        <v>-2.2131763370737381</v>
      </c>
      <c r="S783" s="2">
        <v>5.3655742317033794E-2</v>
      </c>
      <c r="T783" s="2">
        <v>0.10677309517467284</v>
      </c>
      <c r="U783" s="2">
        <v>0.1887298812777724</v>
      </c>
      <c r="V783" s="2">
        <v>0.30561763511716067</v>
      </c>
      <c r="W783" s="2">
        <v>0.46180358695082896</v>
      </c>
      <c r="X783" s="2">
        <v>0.65843392594954264</v>
      </c>
      <c r="Y783" s="2">
        <v>0.89163247226030629</v>
      </c>
      <c r="Z783" s="2">
        <v>1.1506916809379522</v>
      </c>
      <c r="AA783" s="2">
        <v>1.4168218331711422</v>
      </c>
      <c r="AB783" s="2">
        <v>1.6632733235227046</v>
      </c>
      <c r="AC783" s="2">
        <v>1.85771207717303</v>
      </c>
      <c r="AD783" s="2">
        <v>1.9673890821931088</v>
      </c>
      <c r="AE783" s="2">
        <v>1.9667388010059657</v>
      </c>
      <c r="AF783" s="2">
        <v>1.8456647999416289</v>
      </c>
      <c r="AG783" s="2">
        <v>1.6154714060648521</v>
      </c>
      <c r="AH783" s="2">
        <v>1.3299829196791402</v>
      </c>
      <c r="AI783" s="2">
        <v>1.0124826167882555</v>
      </c>
      <c r="AJ783" s="2">
        <v>0.2899487585535947</v>
      </c>
      <c r="AK783" s="2">
        <v>0</v>
      </c>
      <c r="AL783" s="2">
        <v>0</v>
      </c>
      <c r="AM783" s="2">
        <v>0</v>
      </c>
      <c r="AN783" s="2">
        <v>0</v>
      </c>
      <c r="AO783" s="2">
        <v>0</v>
      </c>
      <c r="AP783" s="2">
        <v>0</v>
      </c>
      <c r="AQ783" s="2">
        <v>0</v>
      </c>
      <c r="AR783" s="2">
        <v>18.782823638078693</v>
      </c>
    </row>
    <row r="784" spans="1:44" x14ac:dyDescent="0.25">
      <c r="A784" t="s">
        <v>250</v>
      </c>
      <c r="B784" t="s">
        <v>343</v>
      </c>
      <c r="C784" t="s">
        <v>44</v>
      </c>
      <c r="D784" t="s">
        <v>163</v>
      </c>
      <c r="E784" t="s">
        <v>134</v>
      </c>
      <c r="F784" t="s">
        <v>163</v>
      </c>
      <c r="G784" t="s">
        <v>31</v>
      </c>
      <c r="H784" t="s">
        <v>272</v>
      </c>
      <c r="I784" t="s">
        <v>135</v>
      </c>
      <c r="J784" t="s">
        <v>39</v>
      </c>
      <c r="K784" t="s">
        <v>31</v>
      </c>
      <c r="L784">
        <v>47.918798887095448</v>
      </c>
      <c r="M784">
        <v>1</v>
      </c>
      <c r="N784">
        <v>1.7886448088486833</v>
      </c>
      <c r="O784">
        <v>6.0587378786000636</v>
      </c>
      <c r="P784">
        <v>-0.92006591684998851</v>
      </c>
      <c r="Q784">
        <v>1.8347649468629108</v>
      </c>
      <c r="R784">
        <v>-2.2131763370737381</v>
      </c>
      <c r="S784" s="2">
        <v>6.5382881669989415E-2</v>
      </c>
      <c r="T784" s="2">
        <v>0.13009488984868103</v>
      </c>
      <c r="U784" s="2">
        <v>0.22992681709608415</v>
      </c>
      <c r="V784" s="2">
        <v>0.37228704762923043</v>
      </c>
      <c r="W784" s="2">
        <v>0.56248037331608225</v>
      </c>
      <c r="X784" s="2">
        <v>0.80188636049415674</v>
      </c>
      <c r="Y784" s="2">
        <v>1.0857680516419932</v>
      </c>
      <c r="Z784" s="2">
        <v>1.4010728279570828</v>
      </c>
      <c r="AA784" s="2">
        <v>1.7249143422103632</v>
      </c>
      <c r="AB784" s="2">
        <v>2.0247269800466463</v>
      </c>
      <c r="AC784" s="2">
        <v>2.2611626735982644</v>
      </c>
      <c r="AD784" s="2">
        <v>2.3943862810275123</v>
      </c>
      <c r="AE784" s="2">
        <v>2.3933223677537829</v>
      </c>
      <c r="AF784" s="2">
        <v>2.2457318513933866</v>
      </c>
      <c r="AG784" s="2">
        <v>1.9654178672605664</v>
      </c>
      <c r="AH784" s="2">
        <v>1.6179021171951591</v>
      </c>
      <c r="AI784" s="2">
        <v>1.2315280574663998</v>
      </c>
      <c r="AJ784" s="2">
        <v>0.31760064161299667</v>
      </c>
      <c r="AK784" s="2">
        <v>0</v>
      </c>
      <c r="AL784" s="2">
        <v>0</v>
      </c>
      <c r="AM784" s="2">
        <v>0</v>
      </c>
      <c r="AN784" s="2">
        <v>0</v>
      </c>
      <c r="AO784" s="2">
        <v>0</v>
      </c>
      <c r="AP784" s="2">
        <v>0</v>
      </c>
      <c r="AQ784" s="2">
        <v>0</v>
      </c>
      <c r="AR784" s="2">
        <v>22.825592429218371</v>
      </c>
    </row>
    <row r="785" spans="1:44" x14ac:dyDescent="0.25">
      <c r="A785" t="s">
        <v>250</v>
      </c>
      <c r="B785" t="s">
        <v>343</v>
      </c>
      <c r="C785" t="s">
        <v>44</v>
      </c>
      <c r="D785" t="s">
        <v>163</v>
      </c>
      <c r="E785" t="s">
        <v>134</v>
      </c>
      <c r="F785" t="s">
        <v>163</v>
      </c>
      <c r="G785" t="s">
        <v>31</v>
      </c>
      <c r="H785" t="s">
        <v>272</v>
      </c>
      <c r="I785" t="s">
        <v>135</v>
      </c>
      <c r="J785" t="s">
        <v>40</v>
      </c>
      <c r="K785" t="s">
        <v>31</v>
      </c>
      <c r="L785">
        <v>47.918798887095448</v>
      </c>
      <c r="M785">
        <v>1</v>
      </c>
      <c r="N785">
        <v>1.7886448088486833</v>
      </c>
      <c r="O785">
        <v>4.8219496658113297</v>
      </c>
      <c r="P785">
        <v>-0.92006591684998851</v>
      </c>
      <c r="Q785">
        <v>0.4672931329656026</v>
      </c>
      <c r="R785">
        <v>-2.0701763370737374</v>
      </c>
      <c r="S785" s="2">
        <v>6.4674027759389708E-3</v>
      </c>
      <c r="T785" s="2">
        <v>1.2868445535783478E-2</v>
      </c>
      <c r="U785" s="2">
        <v>2.2743404652238966E-2</v>
      </c>
      <c r="V785" s="2">
        <v>3.6825086686085161E-2</v>
      </c>
      <c r="W785" s="2">
        <v>5.5638219590210508E-2</v>
      </c>
      <c r="X785" s="2">
        <v>7.9319264330130076E-2</v>
      </c>
      <c r="Y785" s="2">
        <v>0.10739966076531011</v>
      </c>
      <c r="Z785" s="2">
        <v>0.13858829811995604</v>
      </c>
      <c r="AA785" s="2">
        <v>0.17062135409349358</v>
      </c>
      <c r="AB785" s="2">
        <v>0.20027757353011649</v>
      </c>
      <c r="AC785" s="2">
        <v>0.22366480917575274</v>
      </c>
      <c r="AD785" s="2">
        <v>0.23684273444459261</v>
      </c>
      <c r="AE785" s="2">
        <v>0.23673749656758064</v>
      </c>
      <c r="AF785" s="2">
        <v>0.22213845640857793</v>
      </c>
      <c r="AG785" s="2">
        <v>0.19441096271587902</v>
      </c>
      <c r="AH785" s="2">
        <v>0.16003614977937403</v>
      </c>
      <c r="AI785" s="2">
        <v>0.12181763443382679</v>
      </c>
      <c r="AJ785" s="2">
        <v>3.1415734803114263E-2</v>
      </c>
      <c r="AK785" s="2">
        <v>0</v>
      </c>
      <c r="AL785" s="2">
        <v>0</v>
      </c>
      <c r="AM785" s="2">
        <v>0</v>
      </c>
      <c r="AN785" s="2">
        <v>0</v>
      </c>
      <c r="AO785" s="2">
        <v>0</v>
      </c>
      <c r="AP785" s="2">
        <v>0</v>
      </c>
      <c r="AQ785" s="2">
        <v>0</v>
      </c>
      <c r="AR785" s="2">
        <v>2.2578126884079617</v>
      </c>
    </row>
    <row r="786" spans="1:44" x14ac:dyDescent="0.25">
      <c r="A786" t="s">
        <v>250</v>
      </c>
      <c r="B786" t="s">
        <v>343</v>
      </c>
      <c r="C786" t="s">
        <v>44</v>
      </c>
      <c r="D786" t="s">
        <v>163</v>
      </c>
      <c r="E786" t="s">
        <v>134</v>
      </c>
      <c r="F786" t="s">
        <v>163</v>
      </c>
      <c r="G786" t="s">
        <v>31</v>
      </c>
      <c r="H786" t="s">
        <v>253</v>
      </c>
      <c r="I786" t="s">
        <v>135</v>
      </c>
      <c r="J786" t="s">
        <v>39</v>
      </c>
      <c r="K786" t="s">
        <v>31</v>
      </c>
      <c r="L786">
        <v>47.918798887095448</v>
      </c>
      <c r="M786">
        <v>1</v>
      </c>
      <c r="N786">
        <v>1.7886448088486833</v>
      </c>
      <c r="O786">
        <v>6.0587378786000636</v>
      </c>
      <c r="P786">
        <v>-0.92006591684998851</v>
      </c>
      <c r="Q786">
        <v>1.8347649468629108</v>
      </c>
      <c r="R786">
        <v>-2.2131763370737381</v>
      </c>
      <c r="S786" s="2">
        <v>3.743695828139632E-3</v>
      </c>
      <c r="T786" s="2">
        <v>7.4527204544947295E-3</v>
      </c>
      <c r="U786" s="2">
        <v>1.3178388823708097E-2</v>
      </c>
      <c r="V786" s="2">
        <v>2.134856619899091E-2</v>
      </c>
      <c r="W786" s="2">
        <v>3.2271284706247842E-2</v>
      </c>
      <c r="X786" s="2">
        <v>4.6029875913138431E-2</v>
      </c>
      <c r="Y786" s="2">
        <v>6.2356557631354698E-2</v>
      </c>
      <c r="Z786" s="2">
        <v>8.0505190146181224E-2</v>
      </c>
      <c r="AA786" s="2">
        <v>9.916280401434413E-2</v>
      </c>
      <c r="AB786" s="2">
        <v>0.1164570625416651</v>
      </c>
      <c r="AC786" s="2">
        <v>0.13012156114283305</v>
      </c>
      <c r="AD786" s="2">
        <v>0.13785730016194084</v>
      </c>
      <c r="AE786" s="2">
        <v>0.13786526154666764</v>
      </c>
      <c r="AF786" s="2">
        <v>0.12942841834609151</v>
      </c>
      <c r="AG786" s="2">
        <v>0.11332996147053921</v>
      </c>
      <c r="AH786" s="2">
        <v>9.3338363165646879E-2</v>
      </c>
      <c r="AI786" s="2">
        <v>7.1083752140981185E-2</v>
      </c>
      <c r="AJ786" s="2">
        <v>2.7265193834888339E-2</v>
      </c>
      <c r="AK786" s="2">
        <v>0</v>
      </c>
      <c r="AL786" s="2">
        <v>0</v>
      </c>
      <c r="AM786" s="2">
        <v>0</v>
      </c>
      <c r="AN786" s="2">
        <v>0</v>
      </c>
      <c r="AO786" s="2">
        <v>0</v>
      </c>
      <c r="AP786" s="2">
        <v>0</v>
      </c>
      <c r="AQ786" s="2">
        <v>0</v>
      </c>
      <c r="AR786" s="2">
        <v>1.3227959580678534</v>
      </c>
    </row>
    <row r="787" spans="1:44" x14ac:dyDescent="0.25">
      <c r="A787" t="s">
        <v>250</v>
      </c>
      <c r="B787" t="s">
        <v>343</v>
      </c>
      <c r="C787" t="s">
        <v>44</v>
      </c>
      <c r="D787" t="s">
        <v>163</v>
      </c>
      <c r="E787" t="s">
        <v>134</v>
      </c>
      <c r="F787" t="s">
        <v>163</v>
      </c>
      <c r="G787" t="s">
        <v>31</v>
      </c>
      <c r="H787" t="s">
        <v>253</v>
      </c>
      <c r="I787" t="s">
        <v>135</v>
      </c>
      <c r="J787" t="s">
        <v>40</v>
      </c>
      <c r="K787" t="s">
        <v>31</v>
      </c>
      <c r="L787">
        <v>47.918798887095448</v>
      </c>
      <c r="M787">
        <v>1</v>
      </c>
      <c r="N787">
        <v>1.7886448088486833</v>
      </c>
      <c r="O787">
        <v>4.8219496658113297</v>
      </c>
      <c r="P787">
        <v>-0.92006591684998851</v>
      </c>
      <c r="Q787">
        <v>0.4672931329656026</v>
      </c>
      <c r="R787">
        <v>-2.0701763370737374</v>
      </c>
      <c r="S787" s="2">
        <v>1.9692618143631159E-3</v>
      </c>
      <c r="T787" s="2">
        <v>3.9202858559832746E-3</v>
      </c>
      <c r="U787" s="2">
        <v>6.9321064201560085E-3</v>
      </c>
      <c r="V787" s="2">
        <v>1.1229789528057746E-2</v>
      </c>
      <c r="W787" s="2">
        <v>1.6975366480036575E-2</v>
      </c>
      <c r="X787" s="2">
        <v>2.4212671412639986E-2</v>
      </c>
      <c r="Y787" s="2">
        <v>3.2800845329248172E-2</v>
      </c>
      <c r="Z787" s="2">
        <v>4.2347403232195331E-2</v>
      </c>
      <c r="AA787" s="2">
        <v>5.2161695905636983E-2</v>
      </c>
      <c r="AB787" s="2">
        <v>6.1258835333895742E-2</v>
      </c>
      <c r="AC787" s="2">
        <v>6.8446645600273665E-2</v>
      </c>
      <c r="AD787" s="2">
        <v>7.2515805103485237E-2</v>
      </c>
      <c r="AE787" s="2">
        <v>7.2519992957320492E-2</v>
      </c>
      <c r="AF787" s="2">
        <v>6.808203808294705E-2</v>
      </c>
      <c r="AG787" s="2">
        <v>5.961391517699232E-2</v>
      </c>
      <c r="AH787" s="2">
        <v>4.9097918964374133E-2</v>
      </c>
      <c r="AI787" s="2">
        <v>3.7391531026827206E-2</v>
      </c>
      <c r="AJ787" s="2">
        <v>1.4342058635393224E-2</v>
      </c>
      <c r="AK787" s="2">
        <v>0</v>
      </c>
      <c r="AL787" s="2">
        <v>0</v>
      </c>
      <c r="AM787" s="2">
        <v>0</v>
      </c>
      <c r="AN787" s="2">
        <v>0</v>
      </c>
      <c r="AO787" s="2">
        <v>0</v>
      </c>
      <c r="AP787" s="2">
        <v>0</v>
      </c>
      <c r="AQ787" s="2">
        <v>0</v>
      </c>
      <c r="AR787" s="2">
        <v>0.69581816685982634</v>
      </c>
    </row>
    <row r="788" spans="1:44" x14ac:dyDescent="0.25">
      <c r="A788" t="s">
        <v>250</v>
      </c>
      <c r="B788" t="s">
        <v>343</v>
      </c>
      <c r="C788" t="s">
        <v>44</v>
      </c>
      <c r="D788" t="s">
        <v>163</v>
      </c>
      <c r="E788" t="s">
        <v>134</v>
      </c>
      <c r="F788" t="s">
        <v>163</v>
      </c>
      <c r="G788" t="s">
        <v>31</v>
      </c>
      <c r="H788" t="s">
        <v>253</v>
      </c>
      <c r="I788" t="s">
        <v>256</v>
      </c>
      <c r="J788" t="s">
        <v>39</v>
      </c>
      <c r="K788" t="s">
        <v>31</v>
      </c>
      <c r="L788">
        <v>47.918798887095448</v>
      </c>
      <c r="M788">
        <v>0</v>
      </c>
      <c r="N788">
        <v>0.99130182829403091</v>
      </c>
      <c r="O788">
        <v>3.357870666382619</v>
      </c>
      <c r="P788">
        <v>0.54287103449888297</v>
      </c>
      <c r="Q788">
        <v>0.4672931329656026</v>
      </c>
      <c r="R788">
        <v>-0.75023938572486626</v>
      </c>
      <c r="S788" s="2">
        <v>1.9637964982268585E-3</v>
      </c>
      <c r="T788" s="2">
        <v>3.9094058392220828E-3</v>
      </c>
      <c r="U788" s="2">
        <v>6.9128676613480107E-3</v>
      </c>
      <c r="V788" s="2">
        <v>1.1198623357329801E-2</v>
      </c>
      <c r="W788" s="2">
        <v>1.692825454008753E-2</v>
      </c>
      <c r="X788" s="2">
        <v>2.414547369275926E-2</v>
      </c>
      <c r="Y788" s="2">
        <v>3.27098127464025E-2</v>
      </c>
      <c r="Z788" s="2">
        <v>4.2229875971713536E-2</v>
      </c>
      <c r="AA788" s="2">
        <v>5.201693091997163E-2</v>
      </c>
      <c r="AB788" s="2">
        <v>6.1088822947123811E-2</v>
      </c>
      <c r="AC788" s="2">
        <v>6.8256684796715969E-2</v>
      </c>
      <c r="AD788" s="2">
        <v>7.2314551112332204E-2</v>
      </c>
      <c r="AE788" s="2">
        <v>7.2318727343566078E-2</v>
      </c>
      <c r="AF788" s="2">
        <v>6.7893089179042992E-2</v>
      </c>
      <c r="AG788" s="2">
        <v>5.9448467957031001E-2</v>
      </c>
      <c r="AH788" s="2">
        <v>4.8961656915917438E-2</v>
      </c>
      <c r="AI788" s="2">
        <v>3.728775785842988E-2</v>
      </c>
      <c r="AJ788" s="2">
        <v>1.4302254946561312E-2</v>
      </c>
      <c r="AK788" s="2">
        <v>0</v>
      </c>
      <c r="AL788" s="2">
        <v>0</v>
      </c>
      <c r="AM788" s="2">
        <v>0</v>
      </c>
      <c r="AN788" s="2">
        <v>0</v>
      </c>
      <c r="AO788" s="2">
        <v>0</v>
      </c>
      <c r="AP788" s="2">
        <v>0</v>
      </c>
      <c r="AQ788" s="2">
        <v>0</v>
      </c>
      <c r="AR788" s="2">
        <v>0.69388705428378183</v>
      </c>
    </row>
    <row r="789" spans="1:44" x14ac:dyDescent="0.25">
      <c r="A789" t="s">
        <v>250</v>
      </c>
      <c r="B789" t="s">
        <v>343</v>
      </c>
      <c r="C789" t="s">
        <v>44</v>
      </c>
      <c r="D789" t="s">
        <v>163</v>
      </c>
      <c r="E789" t="s">
        <v>134</v>
      </c>
      <c r="F789" t="s">
        <v>163</v>
      </c>
      <c r="G789" t="s">
        <v>31</v>
      </c>
      <c r="H789" t="s">
        <v>288</v>
      </c>
      <c r="I789" t="s">
        <v>135</v>
      </c>
      <c r="J789" t="s">
        <v>39</v>
      </c>
      <c r="K789" t="s">
        <v>31</v>
      </c>
      <c r="L789">
        <v>47.918798887095448</v>
      </c>
      <c r="M789">
        <v>1</v>
      </c>
      <c r="N789">
        <v>1.7886448088486833</v>
      </c>
      <c r="O789">
        <v>6.0587378786000636</v>
      </c>
      <c r="P789">
        <v>-0.92006591684998851</v>
      </c>
      <c r="Q789">
        <v>1.8347649468629108</v>
      </c>
      <c r="R789">
        <v>-2.2131763370737381</v>
      </c>
      <c r="S789" s="2">
        <v>0.1216966238223767</v>
      </c>
      <c r="T789" s="2">
        <v>0.2425337780027991</v>
      </c>
      <c r="U789" s="2">
        <v>0.42933781671264482</v>
      </c>
      <c r="V789" s="2">
        <v>0.69628167401573837</v>
      </c>
      <c r="W789" s="2">
        <v>1.0536877549176529</v>
      </c>
      <c r="X789" s="2">
        <v>1.5045786965365493</v>
      </c>
      <c r="Y789" s="2">
        <v>2.0405002966659542</v>
      </c>
      <c r="Z789" s="2">
        <v>2.6372896850898417</v>
      </c>
      <c r="AA789" s="2">
        <v>3.2520871903537527</v>
      </c>
      <c r="AB789" s="2">
        <v>3.8234783854449215</v>
      </c>
      <c r="AC789" s="2">
        <v>4.2768251864927702</v>
      </c>
      <c r="AD789" s="2">
        <v>4.5360875555621263</v>
      </c>
      <c r="AE789" s="2">
        <v>4.5413600463865551</v>
      </c>
      <c r="AF789" s="2">
        <v>4.2681547352915201</v>
      </c>
      <c r="AG789" s="2">
        <v>3.7414046249969726</v>
      </c>
      <c r="AH789" s="2">
        <v>3.0848179845293697</v>
      </c>
      <c r="AI789" s="2">
        <v>2.3519015233814788</v>
      </c>
      <c r="AJ789" s="2">
        <v>1.5526884270361714</v>
      </c>
      <c r="AK789" s="2">
        <v>0</v>
      </c>
      <c r="AL789" s="2">
        <v>0</v>
      </c>
      <c r="AM789" s="2">
        <v>0</v>
      </c>
      <c r="AN789" s="2">
        <v>0</v>
      </c>
      <c r="AO789" s="2">
        <v>0</v>
      </c>
      <c r="AP789" s="2">
        <v>0</v>
      </c>
      <c r="AQ789" s="2">
        <v>0</v>
      </c>
      <c r="AR789" s="2">
        <v>44.154711985239196</v>
      </c>
    </row>
    <row r="790" spans="1:44" x14ac:dyDescent="0.25">
      <c r="A790" t="s">
        <v>250</v>
      </c>
      <c r="B790" t="s">
        <v>343</v>
      </c>
      <c r="C790" t="s">
        <v>44</v>
      </c>
      <c r="D790" t="s">
        <v>163</v>
      </c>
      <c r="E790" t="s">
        <v>134</v>
      </c>
      <c r="F790" t="s">
        <v>163</v>
      </c>
      <c r="G790" t="s">
        <v>31</v>
      </c>
      <c r="H790" t="s">
        <v>288</v>
      </c>
      <c r="I790" t="s">
        <v>135</v>
      </c>
      <c r="J790" t="s">
        <v>39</v>
      </c>
      <c r="K790" t="s">
        <v>33</v>
      </c>
      <c r="L790">
        <v>47.918798887095448</v>
      </c>
      <c r="M790">
        <v>1</v>
      </c>
      <c r="N790">
        <v>1.7886448088486833</v>
      </c>
      <c r="O790">
        <v>6.0587378786000636</v>
      </c>
      <c r="P790">
        <v>-0.92006591684998851</v>
      </c>
      <c r="Q790">
        <v>1.8347649468629108</v>
      </c>
      <c r="R790">
        <v>-2.2131763370737381</v>
      </c>
      <c r="S790" s="2">
        <v>1.1448139376981784E-3</v>
      </c>
      <c r="T790" s="2">
        <v>2.281542747031795E-3</v>
      </c>
      <c r="U790" s="2">
        <v>4.0388295181543561E-3</v>
      </c>
      <c r="V790" s="2">
        <v>6.5500006486660604E-3</v>
      </c>
      <c r="W790" s="2">
        <v>9.9121601727609268E-3</v>
      </c>
      <c r="X790" s="2">
        <v>1.4153742380502144E-2</v>
      </c>
      <c r="Y790" s="2">
        <v>1.9195217633235007E-2</v>
      </c>
      <c r="Z790" s="2">
        <v>2.4809283071362747E-2</v>
      </c>
      <c r="AA790" s="2">
        <v>3.05927529062817E-2</v>
      </c>
      <c r="AB790" s="2">
        <v>3.5967894660198715E-2</v>
      </c>
      <c r="AC790" s="2">
        <v>4.0232579416022075E-2</v>
      </c>
      <c r="AD790" s="2">
        <v>4.2671489915827372E-2</v>
      </c>
      <c r="AE790" s="2">
        <v>4.272108883478342E-2</v>
      </c>
      <c r="AF790" s="2">
        <v>4.0151015498556208E-2</v>
      </c>
      <c r="AG790" s="2">
        <v>3.519581749052101E-2</v>
      </c>
      <c r="AH790" s="2">
        <v>2.9019232522881806E-2</v>
      </c>
      <c r="AI790" s="2">
        <v>2.2124604278180648E-2</v>
      </c>
      <c r="AJ790" s="2">
        <v>1.4606316069771103E-2</v>
      </c>
      <c r="AK790" s="2">
        <v>0</v>
      </c>
      <c r="AL790" s="2">
        <v>0</v>
      </c>
      <c r="AM790" s="2">
        <v>0</v>
      </c>
      <c r="AN790" s="2">
        <v>0</v>
      </c>
      <c r="AO790" s="2">
        <v>0</v>
      </c>
      <c r="AP790" s="2">
        <v>0</v>
      </c>
      <c r="AQ790" s="2">
        <v>0</v>
      </c>
      <c r="AR790" s="2">
        <v>0.41536838170243529</v>
      </c>
    </row>
    <row r="791" spans="1:44" x14ac:dyDescent="0.25">
      <c r="A791" t="s">
        <v>250</v>
      </c>
      <c r="B791" t="s">
        <v>343</v>
      </c>
      <c r="C791" t="s">
        <v>44</v>
      </c>
      <c r="D791" t="s">
        <v>163</v>
      </c>
      <c r="E791" t="s">
        <v>134</v>
      </c>
      <c r="F791" t="s">
        <v>163</v>
      </c>
      <c r="G791" t="s">
        <v>31</v>
      </c>
      <c r="H791" t="s">
        <v>273</v>
      </c>
      <c r="I791" t="s">
        <v>135</v>
      </c>
      <c r="J791" t="s">
        <v>39</v>
      </c>
      <c r="K791" t="s">
        <v>31</v>
      </c>
      <c r="L791">
        <v>47.918798887095448</v>
      </c>
      <c r="M791">
        <v>1</v>
      </c>
      <c r="N791">
        <v>1.7886448088486833</v>
      </c>
      <c r="O791">
        <v>6.0587378786000636</v>
      </c>
      <c r="P791">
        <v>-0.92006591684998851</v>
      </c>
      <c r="Q791">
        <v>1.8347649468629108</v>
      </c>
      <c r="R791">
        <v>-2.2131763370737381</v>
      </c>
      <c r="S791" s="2">
        <v>1.9664329755267853E-2</v>
      </c>
      <c r="T791" s="2">
        <v>3.9126889915498071E-2</v>
      </c>
      <c r="U791" s="2">
        <v>6.9151995682561793E-2</v>
      </c>
      <c r="V791" s="2">
        <v>0.11196776711596841</v>
      </c>
      <c r="W791" s="2">
        <v>0.16916965510301896</v>
      </c>
      <c r="X791" s="2">
        <v>0.24117257325240249</v>
      </c>
      <c r="Y791" s="2">
        <v>0.32655185057441211</v>
      </c>
      <c r="Z791" s="2">
        <v>0.42138182650245071</v>
      </c>
      <c r="AA791" s="2">
        <v>0.51877928225950931</v>
      </c>
      <c r="AB791" s="2">
        <v>0.60894989610560157</v>
      </c>
      <c r="AC791" s="2">
        <v>0.6800594789988943</v>
      </c>
      <c r="AD791" s="2">
        <v>0.72012735121195925</v>
      </c>
      <c r="AE791" s="2">
        <v>0.71980737232893599</v>
      </c>
      <c r="AF791" s="2">
        <v>0.67541855818779906</v>
      </c>
      <c r="AG791" s="2">
        <v>0.59111229211004113</v>
      </c>
      <c r="AH791" s="2">
        <v>0.48659465492593323</v>
      </c>
      <c r="AI791" s="2">
        <v>0.37039012668662119</v>
      </c>
      <c r="AJ791" s="2">
        <v>9.5520472448508476E-2</v>
      </c>
      <c r="AK791" s="2">
        <v>0</v>
      </c>
      <c r="AL791" s="2">
        <v>0</v>
      </c>
      <c r="AM791" s="2">
        <v>0</v>
      </c>
      <c r="AN791" s="2">
        <v>0</v>
      </c>
      <c r="AO791" s="2">
        <v>0</v>
      </c>
      <c r="AP791" s="2">
        <v>0</v>
      </c>
      <c r="AQ791" s="2">
        <v>0</v>
      </c>
      <c r="AR791" s="2">
        <v>6.8649463731653819</v>
      </c>
    </row>
    <row r="792" spans="1:44" x14ac:dyDescent="0.25">
      <c r="A792" t="s">
        <v>250</v>
      </c>
      <c r="B792" t="s">
        <v>343</v>
      </c>
      <c r="C792" t="s">
        <v>44</v>
      </c>
      <c r="D792" t="s">
        <v>163</v>
      </c>
      <c r="E792" t="s">
        <v>134</v>
      </c>
      <c r="F792" t="s">
        <v>163</v>
      </c>
      <c r="G792" t="s">
        <v>31</v>
      </c>
      <c r="H792" t="s">
        <v>252</v>
      </c>
      <c r="I792" t="s">
        <v>135</v>
      </c>
      <c r="J792" t="s">
        <v>39</v>
      </c>
      <c r="K792" t="s">
        <v>31</v>
      </c>
      <c r="L792">
        <v>47.918798887095448</v>
      </c>
      <c r="M792">
        <v>1</v>
      </c>
      <c r="N792">
        <v>1.7886448088486833</v>
      </c>
      <c r="O792">
        <v>6.0587378786000636</v>
      </c>
      <c r="P792">
        <v>-0.92006591684998851</v>
      </c>
      <c r="Q792">
        <v>1.8347649468629108</v>
      </c>
      <c r="R792">
        <v>-2.2131763370737381</v>
      </c>
      <c r="S792" s="2">
        <v>0</v>
      </c>
      <c r="T792" s="2">
        <v>0</v>
      </c>
      <c r="U792" s="2">
        <v>0</v>
      </c>
      <c r="V792" s="2">
        <v>0</v>
      </c>
      <c r="W792" s="2">
        <v>0</v>
      </c>
      <c r="X792" s="2">
        <v>0</v>
      </c>
      <c r="Y792" s="2">
        <v>0</v>
      </c>
      <c r="Z792" s="2">
        <v>0</v>
      </c>
      <c r="AA792" s="2">
        <v>0</v>
      </c>
      <c r="AB792" s="2">
        <v>0</v>
      </c>
      <c r="AC792" s="2">
        <v>0</v>
      </c>
      <c r="AD792" s="2">
        <v>0</v>
      </c>
      <c r="AE792" s="2">
        <v>0</v>
      </c>
      <c r="AF792" s="2">
        <v>0</v>
      </c>
      <c r="AG792" s="2">
        <v>0</v>
      </c>
      <c r="AH792" s="2">
        <v>0</v>
      </c>
      <c r="AI792" s="2">
        <v>0</v>
      </c>
      <c r="AJ792" s="2">
        <v>0</v>
      </c>
      <c r="AK792" s="2">
        <v>0</v>
      </c>
      <c r="AL792" s="2">
        <v>0</v>
      </c>
      <c r="AM792" s="2">
        <v>0</v>
      </c>
      <c r="AN792" s="2">
        <v>0</v>
      </c>
      <c r="AO792" s="2">
        <v>0</v>
      </c>
      <c r="AP792" s="2">
        <v>0</v>
      </c>
      <c r="AQ792" s="2">
        <v>0</v>
      </c>
      <c r="AR792" s="2">
        <v>0</v>
      </c>
    </row>
    <row r="793" spans="1:44" x14ac:dyDescent="0.25">
      <c r="A793" t="s">
        <v>250</v>
      </c>
      <c r="B793" t="s">
        <v>343</v>
      </c>
      <c r="C793" t="s">
        <v>44</v>
      </c>
      <c r="D793" t="s">
        <v>163</v>
      </c>
      <c r="E793" t="s">
        <v>134</v>
      </c>
      <c r="F793" t="s">
        <v>163</v>
      </c>
      <c r="G793" t="s">
        <v>31</v>
      </c>
      <c r="H793" t="s">
        <v>289</v>
      </c>
      <c r="I793" t="s">
        <v>135</v>
      </c>
      <c r="J793" t="s">
        <v>39</v>
      </c>
      <c r="K793" t="s">
        <v>31</v>
      </c>
      <c r="L793">
        <v>47.918798887095448</v>
      </c>
      <c r="M793">
        <v>1</v>
      </c>
      <c r="N793">
        <v>1.7886448088486833</v>
      </c>
      <c r="O793">
        <v>6.0587378786000636</v>
      </c>
      <c r="P793">
        <v>-0.92006591684998851</v>
      </c>
      <c r="Q793">
        <v>1.8347649468629108</v>
      </c>
      <c r="R793">
        <v>-2.2131763370737381</v>
      </c>
      <c r="S793" s="2">
        <v>0.11566736561523852</v>
      </c>
      <c r="T793" s="2">
        <v>0.23051784259224975</v>
      </c>
      <c r="U793" s="2">
        <v>0.40806698376967271</v>
      </c>
      <c r="V793" s="2">
        <v>0.66178554860418537</v>
      </c>
      <c r="W793" s="2">
        <v>1.0014845355960489</v>
      </c>
      <c r="X793" s="2">
        <v>1.4300368303002386</v>
      </c>
      <c r="Y793" s="2">
        <v>1.9394070799938337</v>
      </c>
      <c r="Z793" s="2">
        <v>2.5066295239531033</v>
      </c>
      <c r="AA793" s="2">
        <v>3.0909679023496106</v>
      </c>
      <c r="AB793" s="2">
        <v>3.6340504645117488</v>
      </c>
      <c r="AC793" s="2">
        <v>4.064936947146105</v>
      </c>
      <c r="AD793" s="2">
        <v>4.3113545903930355</v>
      </c>
      <c r="AE793" s="2">
        <v>4.3163658643687386</v>
      </c>
      <c r="AF793" s="2">
        <v>4.0566960591276517</v>
      </c>
      <c r="AG793" s="2">
        <v>3.5560429129546378</v>
      </c>
      <c r="AH793" s="2">
        <v>2.9319857730302425</v>
      </c>
      <c r="AI793" s="2">
        <v>2.2353804473085277</v>
      </c>
      <c r="AJ793" s="2">
        <v>1.4757630436705576</v>
      </c>
      <c r="AK793" s="2">
        <v>0</v>
      </c>
      <c r="AL793" s="2">
        <v>0</v>
      </c>
      <c r="AM793" s="2">
        <v>0</v>
      </c>
      <c r="AN793" s="2">
        <v>0</v>
      </c>
      <c r="AO793" s="2">
        <v>0</v>
      </c>
      <c r="AP793" s="2">
        <v>0</v>
      </c>
      <c r="AQ793" s="2">
        <v>0</v>
      </c>
      <c r="AR793" s="2">
        <v>41.967139715285427</v>
      </c>
    </row>
    <row r="794" spans="1:44" x14ac:dyDescent="0.25">
      <c r="A794" t="s">
        <v>250</v>
      </c>
      <c r="B794" t="s">
        <v>343</v>
      </c>
      <c r="C794" t="s">
        <v>44</v>
      </c>
      <c r="D794" t="s">
        <v>163</v>
      </c>
      <c r="E794" t="s">
        <v>134</v>
      </c>
      <c r="F794" t="s">
        <v>163</v>
      </c>
      <c r="G794" t="s">
        <v>31</v>
      </c>
      <c r="H794" t="s">
        <v>274</v>
      </c>
      <c r="I794" t="s">
        <v>135</v>
      </c>
      <c r="J794" t="s">
        <v>39</v>
      </c>
      <c r="K794" t="s">
        <v>31</v>
      </c>
      <c r="L794">
        <v>47.918798887095448</v>
      </c>
      <c r="M794">
        <v>1</v>
      </c>
      <c r="N794">
        <v>1.7886448088486833</v>
      </c>
      <c r="O794">
        <v>6.0587378786000636</v>
      </c>
      <c r="P794">
        <v>-0.92006591684998851</v>
      </c>
      <c r="Q794">
        <v>1.8347649468629108</v>
      </c>
      <c r="R794">
        <v>-2.2131763370737381</v>
      </c>
      <c r="S794" s="2">
        <v>3.0955176334806808E-2</v>
      </c>
      <c r="T794" s="2">
        <v>6.1592731196055926E-2</v>
      </c>
      <c r="U794" s="2">
        <v>0.10885762428206096</v>
      </c>
      <c r="V794" s="2">
        <v>0.17625731555691029</v>
      </c>
      <c r="W794" s="2">
        <v>0.26630333041529447</v>
      </c>
      <c r="X794" s="2">
        <v>0.37964881717604937</v>
      </c>
      <c r="Y794" s="2">
        <v>0.5140510885849271</v>
      </c>
      <c r="Z794" s="2">
        <v>0.6633304519403721</v>
      </c>
      <c r="AA794" s="2">
        <v>0.81665148830641565</v>
      </c>
      <c r="AB794" s="2">
        <v>0.95859618139089853</v>
      </c>
      <c r="AC794" s="2">
        <v>1.070535398488637</v>
      </c>
      <c r="AD794" s="2">
        <v>1.1336094043231693</v>
      </c>
      <c r="AE794" s="2">
        <v>1.1331057002625335</v>
      </c>
      <c r="AF794" s="2">
        <v>1.0632297580802805</v>
      </c>
      <c r="AG794" s="2">
        <v>0.93051659851444135</v>
      </c>
      <c r="AH794" s="2">
        <v>0.76598712156826154</v>
      </c>
      <c r="AI794" s="2">
        <v>0.58306038532456583</v>
      </c>
      <c r="AJ794" s="2">
        <v>0.1503663285261776</v>
      </c>
      <c r="AK794" s="2">
        <v>0</v>
      </c>
      <c r="AL794" s="2">
        <v>0</v>
      </c>
      <c r="AM794" s="2">
        <v>0</v>
      </c>
      <c r="AN794" s="2">
        <v>0</v>
      </c>
      <c r="AO794" s="2">
        <v>0</v>
      </c>
      <c r="AP794" s="2">
        <v>0</v>
      </c>
      <c r="AQ794" s="2">
        <v>0</v>
      </c>
      <c r="AR794" s="2">
        <v>10.806654900271857</v>
      </c>
    </row>
    <row r="795" spans="1:44" x14ac:dyDescent="0.25">
      <c r="A795" t="s">
        <v>250</v>
      </c>
      <c r="B795" t="s">
        <v>343</v>
      </c>
      <c r="C795" t="s">
        <v>44</v>
      </c>
      <c r="D795" t="s">
        <v>163</v>
      </c>
      <c r="E795" t="s">
        <v>134</v>
      </c>
      <c r="F795" t="s">
        <v>163</v>
      </c>
      <c r="G795" t="s">
        <v>31</v>
      </c>
      <c r="H795" t="s">
        <v>274</v>
      </c>
      <c r="I795" t="s">
        <v>135</v>
      </c>
      <c r="J795" t="s">
        <v>39</v>
      </c>
      <c r="K795" t="s">
        <v>33</v>
      </c>
      <c r="L795">
        <v>47.918798887095448</v>
      </c>
      <c r="M795">
        <v>1</v>
      </c>
      <c r="N795">
        <v>1.7886448088486833</v>
      </c>
      <c r="O795">
        <v>6.0587378786000636</v>
      </c>
      <c r="P795">
        <v>-0.92006591684998851</v>
      </c>
      <c r="Q795">
        <v>1.8347649468629108</v>
      </c>
      <c r="R795">
        <v>-2.2131763370737381</v>
      </c>
      <c r="S795" s="2">
        <v>9.9597741970006962E-5</v>
      </c>
      <c r="T795" s="2">
        <v>1.9817354236793624E-4</v>
      </c>
      <c r="U795" s="2">
        <v>3.5024751458196898E-4</v>
      </c>
      <c r="V795" s="2">
        <v>5.6710485009979191E-4</v>
      </c>
      <c r="W795" s="2">
        <v>8.5682633823773815E-4</v>
      </c>
      <c r="X795" s="2">
        <v>1.2215134723623433E-3</v>
      </c>
      <c r="Y795" s="2">
        <v>1.6539504452027308E-3</v>
      </c>
      <c r="Z795" s="2">
        <v>2.1342542028719991E-3</v>
      </c>
      <c r="AA795" s="2">
        <v>2.6275619732234403E-3</v>
      </c>
      <c r="AB795" s="2">
        <v>3.0842665567455099E-3</v>
      </c>
      <c r="AC795" s="2">
        <v>3.4444290426651593E-3</v>
      </c>
      <c r="AD795" s="2">
        <v>3.6473685604432823E-3</v>
      </c>
      <c r="AE795" s="2">
        <v>3.6457479013807127E-3</v>
      </c>
      <c r="AF795" s="2">
        <v>3.4209232715964612E-3</v>
      </c>
      <c r="AG795" s="2">
        <v>2.9939209867604934E-3</v>
      </c>
      <c r="AH795" s="2">
        <v>2.4645502536039805E-3</v>
      </c>
      <c r="AI795" s="2">
        <v>1.8759866583344836E-3</v>
      </c>
      <c r="AJ795" s="2">
        <v>4.8380104921863921E-4</v>
      </c>
      <c r="AK795" s="2">
        <v>0</v>
      </c>
      <c r="AL795" s="2">
        <v>0</v>
      </c>
      <c r="AM795" s="2">
        <v>0</v>
      </c>
      <c r="AN795" s="2">
        <v>0</v>
      </c>
      <c r="AO795" s="2">
        <v>0</v>
      </c>
      <c r="AP795" s="2">
        <v>0</v>
      </c>
      <c r="AQ795" s="2">
        <v>0</v>
      </c>
      <c r="AR795" s="2">
        <v>3.4770224361666678E-2</v>
      </c>
    </row>
    <row r="796" spans="1:44" x14ac:dyDescent="0.25">
      <c r="A796" t="s">
        <v>250</v>
      </c>
      <c r="B796" t="s">
        <v>343</v>
      </c>
      <c r="C796" t="s">
        <v>44</v>
      </c>
      <c r="D796" t="s">
        <v>163</v>
      </c>
      <c r="E796" t="s">
        <v>134</v>
      </c>
      <c r="F796" t="s">
        <v>163</v>
      </c>
      <c r="G796" t="s">
        <v>31</v>
      </c>
      <c r="H796" t="s">
        <v>255</v>
      </c>
      <c r="I796" t="s">
        <v>135</v>
      </c>
      <c r="J796" t="s">
        <v>39</v>
      </c>
      <c r="K796" t="s">
        <v>31</v>
      </c>
      <c r="L796">
        <v>47.918798887095448</v>
      </c>
      <c r="M796">
        <v>1</v>
      </c>
      <c r="N796">
        <v>1.7886448088486833</v>
      </c>
      <c r="O796">
        <v>6.0587378786000636</v>
      </c>
      <c r="P796">
        <v>-0.92006591684998851</v>
      </c>
      <c r="Q796">
        <v>1.8347649468629108</v>
      </c>
      <c r="R796">
        <v>-2.2131763370737381</v>
      </c>
      <c r="S796" s="2">
        <v>1.1248321588682499E-2</v>
      </c>
      <c r="T796" s="2">
        <v>2.2282295143549562E-2</v>
      </c>
      <c r="U796" s="2">
        <v>3.9207155050177266E-2</v>
      </c>
      <c r="V796" s="2">
        <v>6.3201829164667406E-2</v>
      </c>
      <c r="W796" s="2">
        <v>9.5068165186267456E-2</v>
      </c>
      <c r="X796" s="2">
        <v>0.13493250515179495</v>
      </c>
      <c r="Y796" s="2">
        <v>0.1818933550448999</v>
      </c>
      <c r="Z796" s="2">
        <v>0.23367728803109092</v>
      </c>
      <c r="AA796" s="2">
        <v>0.28641736469144619</v>
      </c>
      <c r="AB796" s="2">
        <v>0.33471432482472291</v>
      </c>
      <c r="AC796" s="2">
        <v>0.37214797064908733</v>
      </c>
      <c r="AD796" s="2">
        <v>0.39233231509249761</v>
      </c>
      <c r="AE796" s="2">
        <v>0.39042451841298581</v>
      </c>
      <c r="AF796" s="2">
        <v>0.3647285837856914</v>
      </c>
      <c r="AG796" s="2">
        <v>0.31779189707153604</v>
      </c>
      <c r="AH796" s="2">
        <v>0.26044509404759603</v>
      </c>
      <c r="AI796" s="2">
        <v>3.0262959538928921E-2</v>
      </c>
      <c r="AJ796" s="2">
        <v>0</v>
      </c>
      <c r="AK796" s="2">
        <v>0</v>
      </c>
      <c r="AL796" s="2">
        <v>0</v>
      </c>
      <c r="AM796" s="2">
        <v>0</v>
      </c>
      <c r="AN796" s="2">
        <v>0</v>
      </c>
      <c r="AO796" s="2">
        <v>0</v>
      </c>
      <c r="AP796" s="2">
        <v>0</v>
      </c>
      <c r="AQ796" s="2">
        <v>0</v>
      </c>
      <c r="AR796" s="2">
        <v>3.5307759424756222</v>
      </c>
    </row>
    <row r="797" spans="1:44" x14ac:dyDescent="0.25">
      <c r="A797" t="s">
        <v>250</v>
      </c>
      <c r="B797" t="s">
        <v>343</v>
      </c>
      <c r="C797" t="s">
        <v>44</v>
      </c>
      <c r="D797" t="s">
        <v>163</v>
      </c>
      <c r="E797" t="s">
        <v>134</v>
      </c>
      <c r="F797" t="s">
        <v>163</v>
      </c>
      <c r="G797" t="s">
        <v>31</v>
      </c>
      <c r="H797" t="s">
        <v>278</v>
      </c>
      <c r="I797" t="s">
        <v>135</v>
      </c>
      <c r="J797" t="s">
        <v>39</v>
      </c>
      <c r="K797" t="s">
        <v>31</v>
      </c>
      <c r="L797">
        <v>47.918798887095448</v>
      </c>
      <c r="M797">
        <v>1</v>
      </c>
      <c r="N797">
        <v>1.7886448088486833</v>
      </c>
      <c r="O797">
        <v>6.0587378786000636</v>
      </c>
      <c r="P797">
        <v>-0.92006591684998851</v>
      </c>
      <c r="Q797">
        <v>1.8347649468629108</v>
      </c>
      <c r="R797">
        <v>-2.2131763370737381</v>
      </c>
      <c r="S797" s="2">
        <v>4.8746380151926887E-2</v>
      </c>
      <c r="T797" s="2">
        <v>9.6563849207313091E-2</v>
      </c>
      <c r="U797" s="2">
        <v>0.16991040571550176</v>
      </c>
      <c r="V797" s="2">
        <v>0.27389511994907967</v>
      </c>
      <c r="W797" s="2">
        <v>0.41199292569823948</v>
      </c>
      <c r="X797" s="2">
        <v>0.58475134615631441</v>
      </c>
      <c r="Y797" s="2">
        <v>0.78826361446220272</v>
      </c>
      <c r="Z797" s="2">
        <v>1.0126774759619113</v>
      </c>
      <c r="AA797" s="2">
        <v>1.2412349372558826</v>
      </c>
      <c r="AB797" s="2">
        <v>1.4505374505488835</v>
      </c>
      <c r="AC797" s="2">
        <v>1.6127620736129173</v>
      </c>
      <c r="AD797" s="2">
        <v>1.700234121740158</v>
      </c>
      <c r="AE797" s="2">
        <v>1.6919663831749987</v>
      </c>
      <c r="AF797" s="2">
        <v>1.5806089875115032</v>
      </c>
      <c r="AG797" s="2">
        <v>1.3772014341621943</v>
      </c>
      <c r="AH797" s="2">
        <v>1.1286799957713065</v>
      </c>
      <c r="AI797" s="2">
        <v>0.13114932024092146</v>
      </c>
      <c r="AJ797" s="2">
        <v>0</v>
      </c>
      <c r="AK797" s="2">
        <v>0</v>
      </c>
      <c r="AL797" s="2">
        <v>0</v>
      </c>
      <c r="AM797" s="2">
        <v>0</v>
      </c>
      <c r="AN797" s="2">
        <v>0</v>
      </c>
      <c r="AO797" s="2">
        <v>0</v>
      </c>
      <c r="AP797" s="2">
        <v>0</v>
      </c>
      <c r="AQ797" s="2">
        <v>0</v>
      </c>
      <c r="AR797" s="2">
        <v>15.301175821321259</v>
      </c>
    </row>
    <row r="798" spans="1:44" x14ac:dyDescent="0.25">
      <c r="A798" t="s">
        <v>250</v>
      </c>
      <c r="B798" t="s">
        <v>343</v>
      </c>
      <c r="C798" t="s">
        <v>44</v>
      </c>
      <c r="D798" t="s">
        <v>163</v>
      </c>
      <c r="E798" t="s">
        <v>134</v>
      </c>
      <c r="F798" t="s">
        <v>163</v>
      </c>
      <c r="G798" t="s">
        <v>31</v>
      </c>
      <c r="H798" t="s">
        <v>276</v>
      </c>
      <c r="I798" t="s">
        <v>135</v>
      </c>
      <c r="J798" t="s">
        <v>39</v>
      </c>
      <c r="K798" t="s">
        <v>31</v>
      </c>
      <c r="L798">
        <v>47.918798887095448</v>
      </c>
      <c r="M798">
        <v>1</v>
      </c>
      <c r="N798">
        <v>1.7886448088486833</v>
      </c>
      <c r="O798">
        <v>6.0587378786000636</v>
      </c>
      <c r="P798">
        <v>-0.92006591684998851</v>
      </c>
      <c r="Q798">
        <v>1.8347649468629108</v>
      </c>
      <c r="R798">
        <v>-2.2131763370737381</v>
      </c>
      <c r="S798" s="2">
        <v>6.6831092894499539E-2</v>
      </c>
      <c r="T798" s="2">
        <v>0.13331043007881999</v>
      </c>
      <c r="U798" s="2">
        <v>0.23620163820052784</v>
      </c>
      <c r="V798" s="2">
        <v>0.38340748849630474</v>
      </c>
      <c r="W798" s="2">
        <v>0.58073690220563912</v>
      </c>
      <c r="X798" s="2">
        <v>0.82999268186085018</v>
      </c>
      <c r="Y798" s="2">
        <v>1.1266470436090983</v>
      </c>
      <c r="Z798" s="2">
        <v>1.4574743475931304</v>
      </c>
      <c r="AA798" s="2">
        <v>1.7988590215354812</v>
      </c>
      <c r="AB798" s="2">
        <v>2.1168274155306559</v>
      </c>
      <c r="AC798" s="2">
        <v>2.3699554125596594</v>
      </c>
      <c r="AD798" s="2">
        <v>2.5158918569031719</v>
      </c>
      <c r="AE798" s="2">
        <v>2.5210899426968392</v>
      </c>
      <c r="AF798" s="2">
        <v>2.3715616840098428</v>
      </c>
      <c r="AG798" s="2">
        <v>2.0807543558264432</v>
      </c>
      <c r="AH798" s="2">
        <v>1.7171472638108465</v>
      </c>
      <c r="AI798" s="2">
        <v>1.3103550770140566</v>
      </c>
      <c r="AJ798" s="2">
        <v>0.90526384478238031</v>
      </c>
      <c r="AK798" s="2">
        <v>0.25658166529371645</v>
      </c>
      <c r="AL798" s="2">
        <v>0</v>
      </c>
      <c r="AM798" s="2">
        <v>0</v>
      </c>
      <c r="AN798" s="2">
        <v>0</v>
      </c>
      <c r="AO798" s="2">
        <v>0</v>
      </c>
      <c r="AP798" s="2">
        <v>0</v>
      </c>
      <c r="AQ798" s="2">
        <v>0</v>
      </c>
      <c r="AR798" s="2">
        <v>24.778889164901965</v>
      </c>
    </row>
    <row r="799" spans="1:44" x14ac:dyDescent="0.25">
      <c r="A799" t="s">
        <v>250</v>
      </c>
      <c r="B799" t="s">
        <v>343</v>
      </c>
      <c r="C799" t="s">
        <v>44</v>
      </c>
      <c r="D799" t="s">
        <v>163</v>
      </c>
      <c r="E799" t="s">
        <v>134</v>
      </c>
      <c r="F799" t="s">
        <v>163</v>
      </c>
      <c r="G799" t="s">
        <v>31</v>
      </c>
      <c r="H799" t="s">
        <v>290</v>
      </c>
      <c r="I799" t="s">
        <v>135</v>
      </c>
      <c r="J799" t="s">
        <v>39</v>
      </c>
      <c r="K799" t="s">
        <v>31</v>
      </c>
      <c r="L799">
        <v>47.918798887095448</v>
      </c>
      <c r="M799">
        <v>1</v>
      </c>
      <c r="N799">
        <v>1.7886448088486833</v>
      </c>
      <c r="O799">
        <v>6.0587378786000636</v>
      </c>
      <c r="P799">
        <v>-0.92006591684998851</v>
      </c>
      <c r="Q799">
        <v>1.8347649468629108</v>
      </c>
      <c r="R799">
        <v>-2.2131763370737381</v>
      </c>
      <c r="S799" s="2">
        <v>0.16749422347974308</v>
      </c>
      <c r="T799" s="2">
        <v>0.33380553657329776</v>
      </c>
      <c r="U799" s="2">
        <v>0.59090878581588158</v>
      </c>
      <c r="V799" s="2">
        <v>0.95831054839006835</v>
      </c>
      <c r="W799" s="2">
        <v>1.4502178183483423</v>
      </c>
      <c r="X799" s="2">
        <v>2.0707907296456636</v>
      </c>
      <c r="Y799" s="2">
        <v>2.8083935442538275</v>
      </c>
      <c r="Z799" s="2">
        <v>3.6297702764539377</v>
      </c>
      <c r="AA799" s="2">
        <v>4.4759320474802236</v>
      </c>
      <c r="AB799" s="2">
        <v>5.2623525866781247</v>
      </c>
      <c r="AC799" s="2">
        <v>5.886305561079153</v>
      </c>
      <c r="AD799" s="2">
        <v>6.2431350919309825</v>
      </c>
      <c r="AE799" s="2">
        <v>6.2503917579641408</v>
      </c>
      <c r="AF799" s="2">
        <v>5.8743721939440707</v>
      </c>
      <c r="AG799" s="2">
        <v>5.1493923389529614</v>
      </c>
      <c r="AH799" s="2">
        <v>4.2457150960015992</v>
      </c>
      <c r="AI799" s="2">
        <v>3.236983138780984</v>
      </c>
      <c r="AJ799" s="2">
        <v>2.1370054010042803</v>
      </c>
      <c r="AK799" s="2">
        <v>0</v>
      </c>
      <c r="AL799" s="2">
        <v>0</v>
      </c>
      <c r="AM799" s="2">
        <v>0</v>
      </c>
      <c r="AN799" s="2">
        <v>0</v>
      </c>
      <c r="AO799" s="2">
        <v>0</v>
      </c>
      <c r="AP799" s="2">
        <v>0</v>
      </c>
      <c r="AQ799" s="2">
        <v>0</v>
      </c>
      <c r="AR799" s="2">
        <v>60.771276676777291</v>
      </c>
    </row>
    <row r="800" spans="1:44" x14ac:dyDescent="0.25">
      <c r="A800" t="s">
        <v>250</v>
      </c>
      <c r="B800" t="s">
        <v>343</v>
      </c>
      <c r="C800" t="s">
        <v>44</v>
      </c>
      <c r="D800" t="s">
        <v>163</v>
      </c>
      <c r="E800" t="s">
        <v>134</v>
      </c>
      <c r="F800" t="s">
        <v>163</v>
      </c>
      <c r="G800" t="s">
        <v>31</v>
      </c>
      <c r="H800" t="s">
        <v>275</v>
      </c>
      <c r="I800" t="s">
        <v>135</v>
      </c>
      <c r="J800" t="s">
        <v>39</v>
      </c>
      <c r="K800" t="s">
        <v>31</v>
      </c>
      <c r="L800">
        <v>47.918798887095448</v>
      </c>
      <c r="M800">
        <v>1</v>
      </c>
      <c r="N800">
        <v>1.7886448088486833</v>
      </c>
      <c r="O800">
        <v>6.0587378786000636</v>
      </c>
      <c r="P800">
        <v>-0.92006591684998851</v>
      </c>
      <c r="Q800">
        <v>1.8347649468629108</v>
      </c>
      <c r="R800">
        <v>-2.2131763370737381</v>
      </c>
      <c r="S800" s="2">
        <v>4.7289832819862827E-2</v>
      </c>
      <c r="T800" s="2">
        <v>9.4094439316926376E-2</v>
      </c>
      <c r="U800" s="2">
        <v>0.16630042089851432</v>
      </c>
      <c r="V800" s="2">
        <v>0.26926607995418844</v>
      </c>
      <c r="W800" s="2">
        <v>0.40682824218163394</v>
      </c>
      <c r="X800" s="2">
        <v>0.57998471403720031</v>
      </c>
      <c r="Y800" s="2">
        <v>0.7853093704627222</v>
      </c>
      <c r="Z800" s="2">
        <v>1.0133615727884695</v>
      </c>
      <c r="AA800" s="2">
        <v>1.2475881880433026</v>
      </c>
      <c r="AB800" s="2">
        <v>1.4644353070204341</v>
      </c>
      <c r="AC800" s="2">
        <v>1.6354434384322434</v>
      </c>
      <c r="AD800" s="2">
        <v>1.7318008023487979</v>
      </c>
      <c r="AE800" s="2">
        <v>1.7310313000025506</v>
      </c>
      <c r="AF800" s="2">
        <v>1.6242827036389247</v>
      </c>
      <c r="AG800" s="2">
        <v>1.4215384820914794</v>
      </c>
      <c r="AH800" s="2">
        <v>1.1701888734001653</v>
      </c>
      <c r="AI800" s="2">
        <v>0.89073400350428311</v>
      </c>
      <c r="AJ800" s="2">
        <v>0.22971274532020769</v>
      </c>
      <c r="AK800" s="2">
        <v>0</v>
      </c>
      <c r="AL800" s="2">
        <v>0</v>
      </c>
      <c r="AM800" s="2">
        <v>0</v>
      </c>
      <c r="AN800" s="2">
        <v>0</v>
      </c>
      <c r="AO800" s="2">
        <v>0</v>
      </c>
      <c r="AP800" s="2">
        <v>0</v>
      </c>
      <c r="AQ800" s="2">
        <v>0</v>
      </c>
      <c r="AR800" s="2">
        <v>16.509190516261906</v>
      </c>
    </row>
    <row r="801" spans="1:44" x14ac:dyDescent="0.25">
      <c r="A801" t="s">
        <v>250</v>
      </c>
      <c r="B801" t="s">
        <v>343</v>
      </c>
      <c r="C801" t="s">
        <v>44</v>
      </c>
      <c r="D801" t="s">
        <v>163</v>
      </c>
      <c r="E801" t="s">
        <v>134</v>
      </c>
      <c r="F801" t="s">
        <v>163</v>
      </c>
      <c r="G801" t="s">
        <v>31</v>
      </c>
      <c r="H801" t="s">
        <v>277</v>
      </c>
      <c r="I801" t="s">
        <v>135</v>
      </c>
      <c r="J801" t="s">
        <v>39</v>
      </c>
      <c r="K801" t="s">
        <v>31</v>
      </c>
      <c r="L801">
        <v>47.918798887095448</v>
      </c>
      <c r="M801">
        <v>1</v>
      </c>
      <c r="N801">
        <v>1.7886448088486833</v>
      </c>
      <c r="O801">
        <v>6.0587378786000636</v>
      </c>
      <c r="P801">
        <v>-0.92006591684998851</v>
      </c>
      <c r="Q801">
        <v>1.8347649468629108</v>
      </c>
      <c r="R801">
        <v>-2.2131763370737381</v>
      </c>
      <c r="S801" s="2">
        <v>0.15596697738465817</v>
      </c>
      <c r="T801" s="2">
        <v>0.31029621380656253</v>
      </c>
      <c r="U801" s="2">
        <v>0.54834451887632485</v>
      </c>
      <c r="V801" s="2">
        <v>0.88774747721795078</v>
      </c>
      <c r="W801" s="2">
        <v>1.3411165867891333</v>
      </c>
      <c r="X801" s="2">
        <v>1.911699505692249</v>
      </c>
      <c r="Y801" s="2">
        <v>2.5881622625571592</v>
      </c>
      <c r="Z801" s="2">
        <v>3.3393565592175913</v>
      </c>
      <c r="AA801" s="2">
        <v>4.110713947962811</v>
      </c>
      <c r="AB801" s="2">
        <v>4.8246280117594207</v>
      </c>
      <c r="AC801" s="2">
        <v>5.3873701094937827</v>
      </c>
      <c r="AD801" s="2">
        <v>5.7040964565613121</v>
      </c>
      <c r="AE801" s="2">
        <v>5.7008745689409022</v>
      </c>
      <c r="AF801" s="2">
        <v>5.3486702655513279</v>
      </c>
      <c r="AG801" s="2">
        <v>4.6804807907852783</v>
      </c>
      <c r="AH801" s="2">
        <v>3.8524361666216356</v>
      </c>
      <c r="AI801" s="2">
        <v>2.9320755695821976</v>
      </c>
      <c r="AJ801" s="2">
        <v>0.6677379790404242</v>
      </c>
      <c r="AK801" s="2">
        <v>0</v>
      </c>
      <c r="AL801" s="2">
        <v>0</v>
      </c>
      <c r="AM801" s="2">
        <v>0</v>
      </c>
      <c r="AN801" s="2">
        <v>0</v>
      </c>
      <c r="AO801" s="2">
        <v>0</v>
      </c>
      <c r="AP801" s="2">
        <v>0</v>
      </c>
      <c r="AQ801" s="2">
        <v>0</v>
      </c>
      <c r="AR801" s="2">
        <v>54.291773967840719</v>
      </c>
    </row>
    <row r="802" spans="1:44" x14ac:dyDescent="0.25">
      <c r="A802" t="s">
        <v>250</v>
      </c>
      <c r="B802" t="s">
        <v>343</v>
      </c>
      <c r="C802" t="s">
        <v>44</v>
      </c>
      <c r="D802" t="s">
        <v>163</v>
      </c>
      <c r="E802" t="s">
        <v>134</v>
      </c>
      <c r="F802" t="s">
        <v>163</v>
      </c>
      <c r="G802" t="s">
        <v>31</v>
      </c>
      <c r="H802" t="s">
        <v>277</v>
      </c>
      <c r="I802" t="s">
        <v>135</v>
      </c>
      <c r="J802" t="s">
        <v>40</v>
      </c>
      <c r="K802" t="s">
        <v>31</v>
      </c>
      <c r="L802">
        <v>47.918798887095448</v>
      </c>
      <c r="M802">
        <v>1</v>
      </c>
      <c r="N802">
        <v>1.7886448088486833</v>
      </c>
      <c r="O802">
        <v>4.8219496658113297</v>
      </c>
      <c r="P802">
        <v>-0.92006591684998851</v>
      </c>
      <c r="Q802">
        <v>0.4672931329656026</v>
      </c>
      <c r="R802">
        <v>-2.0701763370737374</v>
      </c>
      <c r="S802" s="2">
        <v>2.4603071677969952E-2</v>
      </c>
      <c r="T802" s="2">
        <v>4.894779726901663E-2</v>
      </c>
      <c r="U802" s="2">
        <v>8.6498819996130918E-2</v>
      </c>
      <c r="V802" s="2">
        <v>0.14003807203407842</v>
      </c>
      <c r="W802" s="2">
        <v>0.21155495904694691</v>
      </c>
      <c r="X802" s="2">
        <v>0.3015617841287514</v>
      </c>
      <c r="Y802" s="2">
        <v>0.40827066554522012</v>
      </c>
      <c r="Z802" s="2">
        <v>0.52676810285361808</v>
      </c>
      <c r="AA802" s="2">
        <v>0.64844617498696389</v>
      </c>
      <c r="AB802" s="2">
        <v>0.76106282742217723</v>
      </c>
      <c r="AC802" s="2">
        <v>0.84983279911062981</v>
      </c>
      <c r="AD802" s="2">
        <v>0.89979492025878594</v>
      </c>
      <c r="AE802" s="2">
        <v>0.89928668233949993</v>
      </c>
      <c r="AF802" s="2">
        <v>0.84372807713416786</v>
      </c>
      <c r="AG802" s="2">
        <v>0.73832426782913962</v>
      </c>
      <c r="AH802" s="2">
        <v>0.60770404563549107</v>
      </c>
      <c r="AI802" s="2">
        <v>0.46252140429536404</v>
      </c>
      <c r="AJ802" s="2">
        <v>0.10533258793570024</v>
      </c>
      <c r="AK802" s="2">
        <v>0</v>
      </c>
      <c r="AL802" s="2">
        <v>0</v>
      </c>
      <c r="AM802" s="2">
        <v>0</v>
      </c>
      <c r="AN802" s="2">
        <v>0</v>
      </c>
      <c r="AO802" s="2">
        <v>0</v>
      </c>
      <c r="AP802" s="2">
        <v>0</v>
      </c>
      <c r="AQ802" s="2">
        <v>0</v>
      </c>
      <c r="AR802" s="2">
        <v>8.564277059499652</v>
      </c>
    </row>
    <row r="803" spans="1:44" x14ac:dyDescent="0.25">
      <c r="A803" t="s">
        <v>250</v>
      </c>
      <c r="B803" t="s">
        <v>383</v>
      </c>
      <c r="C803" t="s">
        <v>45</v>
      </c>
      <c r="D803" t="s">
        <v>189</v>
      </c>
      <c r="E803" t="s">
        <v>134</v>
      </c>
      <c r="F803" t="s">
        <v>189</v>
      </c>
      <c r="G803" t="s">
        <v>31</v>
      </c>
      <c r="H803" t="s">
        <v>254</v>
      </c>
      <c r="I803" t="s">
        <v>135</v>
      </c>
      <c r="J803" t="s">
        <v>39</v>
      </c>
      <c r="K803" t="s">
        <v>31</v>
      </c>
      <c r="L803">
        <v>2.9543406024031427</v>
      </c>
      <c r="M803">
        <v>1</v>
      </c>
      <c r="N803">
        <v>2.1184513426101939</v>
      </c>
      <c r="O803">
        <v>3.1588853240212438</v>
      </c>
      <c r="P803">
        <v>-1.6498768461339095</v>
      </c>
      <c r="Q803">
        <v>-0.22061295249342769</v>
      </c>
      <c r="R803">
        <v>-0.67371772101320548</v>
      </c>
      <c r="S803" s="2">
        <v>1.3623411828940908E-4</v>
      </c>
      <c r="T803" s="2">
        <v>2.7110124378122393E-4</v>
      </c>
      <c r="U803" s="2">
        <v>4.7919286660543886E-4</v>
      </c>
      <c r="V803" s="2">
        <v>7.7597564129986741E-4</v>
      </c>
      <c r="W803" s="2">
        <v>1.1725381436230708E-3</v>
      </c>
      <c r="X803" s="2">
        <v>1.6717905946311564E-3</v>
      </c>
      <c r="Y803" s="2">
        <v>2.2638912155731397E-3</v>
      </c>
      <c r="Z803" s="2">
        <v>2.9216531130867068E-3</v>
      </c>
      <c r="AA803" s="2">
        <v>3.5973684247021971E-3</v>
      </c>
      <c r="AB803" s="2">
        <v>4.2231188111337518E-3</v>
      </c>
      <c r="AC803" s="2">
        <v>4.7168067375504249E-3</v>
      </c>
      <c r="AD803" s="2">
        <v>4.9952811268757589E-3</v>
      </c>
      <c r="AE803" s="2">
        <v>4.9936300364174973E-3</v>
      </c>
      <c r="AF803" s="2">
        <v>4.6862182092674617E-3</v>
      </c>
      <c r="AG803" s="2">
        <v>4.1017477929315461E-3</v>
      </c>
      <c r="AH803" s="2">
        <v>3.3768808813020661E-3</v>
      </c>
      <c r="AI803" s="2">
        <v>2.5707346618464777E-3</v>
      </c>
      <c r="AJ803" s="2">
        <v>7.3619172459229467E-4</v>
      </c>
      <c r="AK803" s="2">
        <v>0</v>
      </c>
      <c r="AL803" s="2">
        <v>0</v>
      </c>
      <c r="AM803" s="2">
        <v>0</v>
      </c>
      <c r="AN803" s="2">
        <v>0</v>
      </c>
      <c r="AO803" s="2">
        <v>0</v>
      </c>
      <c r="AP803" s="2">
        <v>0</v>
      </c>
      <c r="AQ803" s="2">
        <v>0</v>
      </c>
      <c r="AR803" s="2">
        <v>4.7690355343509488E-2</v>
      </c>
    </row>
    <row r="804" spans="1:44" x14ac:dyDescent="0.25">
      <c r="A804" t="s">
        <v>250</v>
      </c>
      <c r="B804" t="s">
        <v>383</v>
      </c>
      <c r="C804" t="s">
        <v>45</v>
      </c>
      <c r="D804" t="s">
        <v>189</v>
      </c>
      <c r="E804" t="s">
        <v>134</v>
      </c>
      <c r="F804" t="s">
        <v>189</v>
      </c>
      <c r="G804" t="s">
        <v>31</v>
      </c>
      <c r="H804" t="s">
        <v>253</v>
      </c>
      <c r="I804" t="s">
        <v>135</v>
      </c>
      <c r="J804" t="s">
        <v>39</v>
      </c>
      <c r="K804" t="s">
        <v>31</v>
      </c>
      <c r="L804">
        <v>2.9543406024031427</v>
      </c>
      <c r="M804">
        <v>1</v>
      </c>
      <c r="N804">
        <v>2.1184513426101939</v>
      </c>
      <c r="O804">
        <v>3.1588853240212438</v>
      </c>
      <c r="P804">
        <v>-1.6498768461339095</v>
      </c>
      <c r="Q804">
        <v>-0.22061295249342769</v>
      </c>
      <c r="R804">
        <v>-0.67371772101320548</v>
      </c>
      <c r="S804" s="2">
        <v>5.6238236281348222E-4</v>
      </c>
      <c r="T804" s="2">
        <v>1.1195563771723147E-3</v>
      </c>
      <c r="U804" s="2">
        <v>1.9796729715711612E-3</v>
      </c>
      <c r="V804" s="2">
        <v>3.2070065659246571E-3</v>
      </c>
      <c r="W804" s="2">
        <v>4.847830106204167E-3</v>
      </c>
      <c r="X804" s="2">
        <v>6.9146617578987445E-3</v>
      </c>
      <c r="Y804" s="2">
        <v>9.3672749677056154E-3</v>
      </c>
      <c r="Z804" s="2">
        <v>1.2093583755616324E-2</v>
      </c>
      <c r="AA804" s="2">
        <v>1.4896352317306131E-2</v>
      </c>
      <c r="AB804" s="2">
        <v>1.7494316046249125E-2</v>
      </c>
      <c r="AC804" s="2">
        <v>1.9547012996739655E-2</v>
      </c>
      <c r="AD804" s="2">
        <v>2.0709084753471076E-2</v>
      </c>
      <c r="AE804" s="2">
        <v>2.0710280721989747E-2</v>
      </c>
      <c r="AF804" s="2">
        <v>1.9442888275690313E-2</v>
      </c>
      <c r="AG804" s="2">
        <v>1.7024559268490214E-2</v>
      </c>
      <c r="AH804" s="2">
        <v>1.4021398005597142E-2</v>
      </c>
      <c r="AI804" s="2">
        <v>1.0678284327003794E-2</v>
      </c>
      <c r="AJ804" s="2">
        <v>4.0958092845518514E-3</v>
      </c>
      <c r="AK804" s="2">
        <v>0</v>
      </c>
      <c r="AL804" s="2">
        <v>0</v>
      </c>
      <c r="AM804" s="2">
        <v>0</v>
      </c>
      <c r="AN804" s="2">
        <v>0</v>
      </c>
      <c r="AO804" s="2">
        <v>0</v>
      </c>
      <c r="AP804" s="2">
        <v>0</v>
      </c>
      <c r="AQ804" s="2">
        <v>0</v>
      </c>
      <c r="AR804" s="2">
        <v>0.19871195486199553</v>
      </c>
    </row>
    <row r="805" spans="1:44" x14ac:dyDescent="0.25">
      <c r="A805" t="s">
        <v>250</v>
      </c>
      <c r="B805" t="s">
        <v>383</v>
      </c>
      <c r="C805" t="s">
        <v>45</v>
      </c>
      <c r="D805" t="s">
        <v>189</v>
      </c>
      <c r="E805" t="s">
        <v>134</v>
      </c>
      <c r="F805" t="s">
        <v>189</v>
      </c>
      <c r="G805" t="s">
        <v>31</v>
      </c>
      <c r="H805" t="s">
        <v>253</v>
      </c>
      <c r="I805" t="s">
        <v>135</v>
      </c>
      <c r="J805" t="s">
        <v>40</v>
      </c>
      <c r="K805" t="s">
        <v>31</v>
      </c>
      <c r="L805">
        <v>2.9543406024031427</v>
      </c>
      <c r="M805">
        <v>1</v>
      </c>
      <c r="N805">
        <v>2.1184513426101939</v>
      </c>
      <c r="O805">
        <v>1.9798085216903567</v>
      </c>
      <c r="P805">
        <v>-1.6498768461339095</v>
      </c>
      <c r="Q805">
        <v>0.4672931329656026</v>
      </c>
      <c r="R805">
        <v>-0.53071772101320525</v>
      </c>
      <c r="S805" s="2">
        <v>2.9582481136300991E-4</v>
      </c>
      <c r="T805" s="2">
        <v>5.8890992318885531E-4</v>
      </c>
      <c r="U805" s="2">
        <v>1.0413491284571423E-3</v>
      </c>
      <c r="V805" s="2">
        <v>1.6869521079188651E-3</v>
      </c>
      <c r="W805" s="2">
        <v>2.5500593928892454E-3</v>
      </c>
      <c r="X805" s="2">
        <v>3.6372557985923661E-3</v>
      </c>
      <c r="Y805" s="2">
        <v>4.9273813219245692E-3</v>
      </c>
      <c r="Z805" s="2">
        <v>6.3614764078127536E-3</v>
      </c>
      <c r="AA805" s="2">
        <v>7.8357909238443435E-3</v>
      </c>
      <c r="AB805" s="2">
        <v>9.2023738411990894E-3</v>
      </c>
      <c r="AC805" s="2">
        <v>1.0282135100294056E-2</v>
      </c>
      <c r="AD805" s="2">
        <v>1.0893408996768236E-2</v>
      </c>
      <c r="AE805" s="2">
        <v>1.0894038101065999E-2</v>
      </c>
      <c r="AF805" s="2">
        <v>1.0227363332899805E-2</v>
      </c>
      <c r="AG805" s="2">
        <v>8.955272012699694E-3</v>
      </c>
      <c r="AH805" s="2">
        <v>7.3755467708846506E-3</v>
      </c>
      <c r="AI805" s="2">
        <v>5.6169994928595458E-3</v>
      </c>
      <c r="AJ805" s="2">
        <v>2.1544808107421152E-3</v>
      </c>
      <c r="AK805" s="2">
        <v>0</v>
      </c>
      <c r="AL805" s="2">
        <v>0</v>
      </c>
      <c r="AM805" s="2">
        <v>0</v>
      </c>
      <c r="AN805" s="2">
        <v>0</v>
      </c>
      <c r="AO805" s="2">
        <v>0</v>
      </c>
      <c r="AP805" s="2">
        <v>0</v>
      </c>
      <c r="AQ805" s="2">
        <v>0</v>
      </c>
      <c r="AR805" s="2">
        <v>0.10452661827540437</v>
      </c>
    </row>
    <row r="806" spans="1:44" x14ac:dyDescent="0.25">
      <c r="A806" t="s">
        <v>250</v>
      </c>
      <c r="B806" t="s">
        <v>383</v>
      </c>
      <c r="C806" t="s">
        <v>45</v>
      </c>
      <c r="D806" t="s">
        <v>189</v>
      </c>
      <c r="E806" t="s">
        <v>134</v>
      </c>
      <c r="F806" t="s">
        <v>189</v>
      </c>
      <c r="G806" t="s">
        <v>31</v>
      </c>
      <c r="H806" t="s">
        <v>253</v>
      </c>
      <c r="I806" t="s">
        <v>256</v>
      </c>
      <c r="J806" t="s">
        <v>39</v>
      </c>
      <c r="K806" t="s">
        <v>31</v>
      </c>
      <c r="L806">
        <v>2.9543406024031427</v>
      </c>
      <c r="M806">
        <v>1</v>
      </c>
      <c r="N806">
        <v>1.9755634848316397</v>
      </c>
      <c r="O806">
        <v>2.6528390061948972</v>
      </c>
      <c r="P806">
        <v>-1.3757745673941897</v>
      </c>
      <c r="Q806">
        <v>0.4672931329656026</v>
      </c>
      <c r="R806">
        <v>-0.39961544227348567</v>
      </c>
      <c r="S806" s="2">
        <v>2.9500380518533698E-4</v>
      </c>
      <c r="T806" s="2">
        <v>5.8727551435477801E-4</v>
      </c>
      <c r="U806" s="2">
        <v>1.0384590596233673E-3</v>
      </c>
      <c r="V806" s="2">
        <v>1.6822702893261033E-3</v>
      </c>
      <c r="W806" s="2">
        <v>2.5429821822071917E-3</v>
      </c>
      <c r="X806" s="2">
        <v>3.627161278573366E-3</v>
      </c>
      <c r="Y806" s="2">
        <v>4.9137063009335605E-3</v>
      </c>
      <c r="Z806" s="2">
        <v>6.3438213253811252E-3</v>
      </c>
      <c r="AA806" s="2">
        <v>7.8140441585010691E-3</v>
      </c>
      <c r="AB806" s="2">
        <v>9.1768343817532436E-3</v>
      </c>
      <c r="AC806" s="2">
        <v>1.0253598966363591E-2</v>
      </c>
      <c r="AD806" s="2">
        <v>1.0863176386998092E-2</v>
      </c>
      <c r="AE806" s="2">
        <v>1.0863803745335085E-2</v>
      </c>
      <c r="AF806" s="2">
        <v>1.019897920771798E-2</v>
      </c>
      <c r="AG806" s="2">
        <v>8.9304183379477573E-3</v>
      </c>
      <c r="AH806" s="2">
        <v>7.3550773267068176E-3</v>
      </c>
      <c r="AI806" s="2">
        <v>5.6014105662161844E-3</v>
      </c>
      <c r="AJ806" s="2">
        <v>2.1485014540844577E-3</v>
      </c>
      <c r="AK806" s="2">
        <v>0</v>
      </c>
      <c r="AL806" s="2">
        <v>0</v>
      </c>
      <c r="AM806" s="2">
        <v>0</v>
      </c>
      <c r="AN806" s="2">
        <v>0</v>
      </c>
      <c r="AO806" s="2">
        <v>0</v>
      </c>
      <c r="AP806" s="2">
        <v>0</v>
      </c>
      <c r="AQ806" s="2">
        <v>0</v>
      </c>
      <c r="AR806" s="2">
        <v>0.1042365242872091</v>
      </c>
    </row>
    <row r="807" spans="1:44" x14ac:dyDescent="0.25">
      <c r="A807" t="s">
        <v>250</v>
      </c>
      <c r="B807" t="s">
        <v>383</v>
      </c>
      <c r="C807" t="s">
        <v>45</v>
      </c>
      <c r="D807" t="s">
        <v>189</v>
      </c>
      <c r="E807" t="s">
        <v>134</v>
      </c>
      <c r="F807" t="s">
        <v>189</v>
      </c>
      <c r="G807" t="s">
        <v>31</v>
      </c>
      <c r="H807" t="s">
        <v>288</v>
      </c>
      <c r="I807" t="s">
        <v>135</v>
      </c>
      <c r="J807" t="s">
        <v>39</v>
      </c>
      <c r="K807" t="s">
        <v>31</v>
      </c>
      <c r="L807">
        <v>2.9543406024031427</v>
      </c>
      <c r="M807">
        <v>1</v>
      </c>
      <c r="N807">
        <v>2.1184513426101939</v>
      </c>
      <c r="O807">
        <v>3.1588853240212438</v>
      </c>
      <c r="P807">
        <v>-1.6498768461339095</v>
      </c>
      <c r="Q807">
        <v>-0.22061295249342769</v>
      </c>
      <c r="R807">
        <v>-0.67371772101320548</v>
      </c>
      <c r="S807" s="2">
        <v>5.3451988962328217E-4</v>
      </c>
      <c r="T807" s="2">
        <v>1.0652647885876409E-3</v>
      </c>
      <c r="U807" s="2">
        <v>1.8857515943523405E-3</v>
      </c>
      <c r="V807" s="2">
        <v>3.0582311312499495E-3</v>
      </c>
      <c r="W807" s="2">
        <v>4.6280418040030085E-3</v>
      </c>
      <c r="X807" s="2">
        <v>6.6084597381770808E-3</v>
      </c>
      <c r="Y807" s="2">
        <v>8.9623521104585709E-3</v>
      </c>
      <c r="Z807" s="2">
        <v>1.1583589972359122E-2</v>
      </c>
      <c r="AA807" s="2">
        <v>1.4283923673760541E-2</v>
      </c>
      <c r="AB807" s="2">
        <v>1.6793606760594777E-2</v>
      </c>
      <c r="AC807" s="2">
        <v>1.8784811400838937E-2</v>
      </c>
      <c r="AD807" s="2">
        <v>1.9923552053995347E-2</v>
      </c>
      <c r="AE807" s="2">
        <v>1.9946710060561139E-2</v>
      </c>
      <c r="AF807" s="2">
        <v>1.8746728761620934E-2</v>
      </c>
      <c r="AG807" s="2">
        <v>1.6433119706823783E-2</v>
      </c>
      <c r="AH807" s="2">
        <v>1.354923839962245E-2</v>
      </c>
      <c r="AI807" s="2">
        <v>1.0330098758676855E-2</v>
      </c>
      <c r="AJ807" s="2">
        <v>6.8197688692668264E-3</v>
      </c>
      <c r="AK807" s="2">
        <v>0</v>
      </c>
      <c r="AL807" s="2">
        <v>0</v>
      </c>
      <c r="AM807" s="2">
        <v>0</v>
      </c>
      <c r="AN807" s="2">
        <v>0</v>
      </c>
      <c r="AO807" s="2">
        <v>0</v>
      </c>
      <c r="AP807" s="2">
        <v>0</v>
      </c>
      <c r="AQ807" s="2">
        <v>0</v>
      </c>
      <c r="AR807" s="2">
        <v>0.19393776947457259</v>
      </c>
    </row>
    <row r="808" spans="1:44" x14ac:dyDescent="0.25">
      <c r="A808" t="s">
        <v>250</v>
      </c>
      <c r="B808" t="s">
        <v>383</v>
      </c>
      <c r="C808" t="s">
        <v>45</v>
      </c>
      <c r="D808" t="s">
        <v>189</v>
      </c>
      <c r="E808" t="s">
        <v>134</v>
      </c>
      <c r="F808" t="s">
        <v>189</v>
      </c>
      <c r="G808" t="s">
        <v>31</v>
      </c>
      <c r="H808" t="s">
        <v>288</v>
      </c>
      <c r="I808" t="s">
        <v>135</v>
      </c>
      <c r="J808" t="s">
        <v>39</v>
      </c>
      <c r="K808" t="s">
        <v>33</v>
      </c>
      <c r="L808">
        <v>2.9543406024031427</v>
      </c>
      <c r="M808">
        <v>1</v>
      </c>
      <c r="N808">
        <v>2.1184513426101939</v>
      </c>
      <c r="O808">
        <v>3.1588853240212438</v>
      </c>
      <c r="P808">
        <v>-1.6498768461339095</v>
      </c>
      <c r="Q808">
        <v>-0.22061295249342769</v>
      </c>
      <c r="R808">
        <v>-0.67371772101320548</v>
      </c>
      <c r="S808" s="2">
        <v>5.0282892030823033E-6</v>
      </c>
      <c r="T808" s="2">
        <v>1.0021066641045112E-5</v>
      </c>
      <c r="U808" s="2">
        <v>1.7739479045877772E-5</v>
      </c>
      <c r="V808" s="2">
        <v>2.8769126979787672E-5</v>
      </c>
      <c r="W808" s="2">
        <v>4.3536513956258681E-5</v>
      </c>
      <c r="X808" s="2">
        <v>6.2166529993671834E-5</v>
      </c>
      <c r="Y808" s="2">
        <v>8.4309862413168096E-5</v>
      </c>
      <c r="Z808" s="2">
        <v>1.0896814416390762E-4</v>
      </c>
      <c r="AA808" s="2">
        <v>1.3437048944435281E-4</v>
      </c>
      <c r="AB808" s="2">
        <v>1.5797936277847839E-4</v>
      </c>
      <c r="AC808" s="2">
        <v>1.7671085058283963E-4</v>
      </c>
      <c r="AD808" s="2">
        <v>1.8742311301223738E-4</v>
      </c>
      <c r="AE808" s="2">
        <v>1.8764096300554956E-4</v>
      </c>
      <c r="AF808" s="2">
        <v>1.7635260287808221E-4</v>
      </c>
      <c r="AG808" s="2">
        <v>1.5458822019329759E-4</v>
      </c>
      <c r="AH808" s="2">
        <v>1.2745922177531294E-4</v>
      </c>
      <c r="AI808" s="2">
        <v>9.7176410201754758E-5</v>
      </c>
      <c r="AJ808" s="2">
        <v>6.4154338947086404E-5</v>
      </c>
      <c r="AK808" s="2">
        <v>0</v>
      </c>
      <c r="AL808" s="2">
        <v>0</v>
      </c>
      <c r="AM808" s="2">
        <v>0</v>
      </c>
      <c r="AN808" s="2">
        <v>0</v>
      </c>
      <c r="AO808" s="2">
        <v>0</v>
      </c>
      <c r="AP808" s="2">
        <v>0</v>
      </c>
      <c r="AQ808" s="2">
        <v>0</v>
      </c>
      <c r="AR808" s="2">
        <v>1.824394585215791E-3</v>
      </c>
    </row>
    <row r="809" spans="1:44" x14ac:dyDescent="0.25">
      <c r="A809" t="s">
        <v>250</v>
      </c>
      <c r="B809" t="s">
        <v>383</v>
      </c>
      <c r="C809" t="s">
        <v>45</v>
      </c>
      <c r="D809" t="s">
        <v>189</v>
      </c>
      <c r="E809" t="s">
        <v>134</v>
      </c>
      <c r="F809" t="s">
        <v>189</v>
      </c>
      <c r="G809" t="s">
        <v>31</v>
      </c>
      <c r="H809" t="s">
        <v>252</v>
      </c>
      <c r="I809" t="s">
        <v>135</v>
      </c>
      <c r="J809" t="s">
        <v>39</v>
      </c>
      <c r="K809" t="s">
        <v>31</v>
      </c>
      <c r="L809">
        <v>2.9543406024031427</v>
      </c>
      <c r="M809">
        <v>1</v>
      </c>
      <c r="N809">
        <v>2.1184513426101939</v>
      </c>
      <c r="O809">
        <v>3.1588853240212438</v>
      </c>
      <c r="P809">
        <v>-1.6498768461339095</v>
      </c>
      <c r="Q809">
        <v>-0.22061295249342769</v>
      </c>
      <c r="R809">
        <v>-0.67371772101320548</v>
      </c>
      <c r="S809" s="2">
        <v>6.3042525620518415E-3</v>
      </c>
      <c r="T809" s="2">
        <v>1.2555160750432545E-2</v>
      </c>
      <c r="U809" s="2">
        <v>2.2209775115853782E-2</v>
      </c>
      <c r="V809" s="2">
        <v>3.5993572523526272E-2</v>
      </c>
      <c r="W809" s="2">
        <v>5.4431072887985016E-2</v>
      </c>
      <c r="X809" s="2">
        <v>7.7668486449909896E-2</v>
      </c>
      <c r="Y809" s="2">
        <v>0.1052595642844123</v>
      </c>
      <c r="Z809" s="2">
        <v>0.1359495310583036</v>
      </c>
      <c r="AA809" s="2">
        <v>0.16752399857020267</v>
      </c>
      <c r="AB809" s="2">
        <v>0.19681965270029761</v>
      </c>
      <c r="AC809" s="2">
        <v>0.22000182968789483</v>
      </c>
      <c r="AD809" s="2">
        <v>0.23317457531547922</v>
      </c>
      <c r="AE809" s="2">
        <v>0.23328170057906103</v>
      </c>
      <c r="AF809" s="2">
        <v>0.21909368777616939</v>
      </c>
      <c r="AG809" s="2">
        <v>0.19191961357368087</v>
      </c>
      <c r="AH809" s="2">
        <v>0.15812815288982696</v>
      </c>
      <c r="AI809" s="2">
        <v>0.12047411902433822</v>
      </c>
      <c r="AJ809" s="2">
        <v>5.8325198160899462E-2</v>
      </c>
      <c r="AK809" s="2">
        <v>0</v>
      </c>
      <c r="AL809" s="2">
        <v>0</v>
      </c>
      <c r="AM809" s="2">
        <v>0</v>
      </c>
      <c r="AN809" s="2">
        <v>0</v>
      </c>
      <c r="AO809" s="2">
        <v>0</v>
      </c>
      <c r="AP809" s="2">
        <v>0</v>
      </c>
      <c r="AQ809" s="2">
        <v>0</v>
      </c>
      <c r="AR809" s="2">
        <v>2.2491139439103258</v>
      </c>
    </row>
    <row r="810" spans="1:44" x14ac:dyDescent="0.25">
      <c r="A810" t="s">
        <v>250</v>
      </c>
      <c r="B810" t="s">
        <v>383</v>
      </c>
      <c r="C810" t="s">
        <v>45</v>
      </c>
      <c r="D810" t="s">
        <v>189</v>
      </c>
      <c r="E810" t="s">
        <v>134</v>
      </c>
      <c r="F810" t="s">
        <v>189</v>
      </c>
      <c r="G810" t="s">
        <v>31</v>
      </c>
      <c r="H810" t="s">
        <v>289</v>
      </c>
      <c r="I810" t="s">
        <v>135</v>
      </c>
      <c r="J810" t="s">
        <v>39</v>
      </c>
      <c r="K810" t="s">
        <v>31</v>
      </c>
      <c r="L810">
        <v>2.9543406024031427</v>
      </c>
      <c r="M810">
        <v>1</v>
      </c>
      <c r="N810">
        <v>2.1184513426101939</v>
      </c>
      <c r="O810">
        <v>3.1588853240212438</v>
      </c>
      <c r="P810">
        <v>-1.6498768461339095</v>
      </c>
      <c r="Q810">
        <v>-0.22061295249342769</v>
      </c>
      <c r="R810">
        <v>-0.67371772101320548</v>
      </c>
      <c r="S810" s="2">
        <v>5.0803798461913387E-4</v>
      </c>
      <c r="T810" s="2">
        <v>1.0124880042559597E-3</v>
      </c>
      <c r="U810" s="2">
        <v>1.792325146520333E-3</v>
      </c>
      <c r="V810" s="2">
        <v>2.906716121480025E-3</v>
      </c>
      <c r="W810" s="2">
        <v>4.3987531174861936E-3</v>
      </c>
      <c r="X810" s="2">
        <v>6.2810545163929418E-3</v>
      </c>
      <c r="Y810" s="2">
        <v>8.5183271792812366E-3</v>
      </c>
      <c r="Z810" s="2">
        <v>1.1009700141110345E-2</v>
      </c>
      <c r="AA810" s="2">
        <v>1.3576250269723835E-2</v>
      </c>
      <c r="AB810" s="2">
        <v>1.596159525354959E-2</v>
      </c>
      <c r="AC810" s="2">
        <v>1.7854148948991802E-2</v>
      </c>
      <c r="AD810" s="2">
        <v>1.8936472577474911E-2</v>
      </c>
      <c r="AE810" s="2">
        <v>1.895848325885811E-2</v>
      </c>
      <c r="AF810" s="2">
        <v>1.7817953051228436E-2</v>
      </c>
      <c r="AG810" s="2">
        <v>1.5618967935400253E-2</v>
      </c>
      <c r="AH810" s="2">
        <v>1.2877963763929768E-2</v>
      </c>
      <c r="AI810" s="2">
        <v>9.8183110790760978E-3</v>
      </c>
      <c r="AJ810" s="2">
        <v>6.481894685626181E-3</v>
      </c>
      <c r="AK810" s="2">
        <v>0</v>
      </c>
      <c r="AL810" s="2">
        <v>0</v>
      </c>
      <c r="AM810" s="2">
        <v>0</v>
      </c>
      <c r="AN810" s="2">
        <v>0</v>
      </c>
      <c r="AO810" s="2">
        <v>0</v>
      </c>
      <c r="AP810" s="2">
        <v>0</v>
      </c>
      <c r="AQ810" s="2">
        <v>0</v>
      </c>
      <c r="AR810" s="2">
        <v>0.18432944303500517</v>
      </c>
    </row>
    <row r="811" spans="1:44" x14ac:dyDescent="0.25">
      <c r="A811" t="s">
        <v>250</v>
      </c>
      <c r="B811" t="s">
        <v>383</v>
      </c>
      <c r="C811" t="s">
        <v>45</v>
      </c>
      <c r="D811" t="s">
        <v>189</v>
      </c>
      <c r="E811" t="s">
        <v>134</v>
      </c>
      <c r="F811" t="s">
        <v>189</v>
      </c>
      <c r="G811" t="s">
        <v>31</v>
      </c>
      <c r="H811" t="s">
        <v>255</v>
      </c>
      <c r="I811" t="s">
        <v>135</v>
      </c>
      <c r="J811" t="s">
        <v>39</v>
      </c>
      <c r="K811" t="s">
        <v>31</v>
      </c>
      <c r="L811">
        <v>2.9543406024031427</v>
      </c>
      <c r="M811">
        <v>1</v>
      </c>
      <c r="N811">
        <v>2.1184513426101939</v>
      </c>
      <c r="O811">
        <v>3.1588853240212438</v>
      </c>
      <c r="P811">
        <v>-1.6498768461339095</v>
      </c>
      <c r="Q811">
        <v>-0.22061295249342769</v>
      </c>
      <c r="R811">
        <v>-0.67371772101320548</v>
      </c>
      <c r="S811" s="2">
        <v>3.000364967876027E-5</v>
      </c>
      <c r="T811" s="2">
        <v>5.9435549762238672E-5</v>
      </c>
      <c r="U811" s="2">
        <v>1.0458073551257172E-4</v>
      </c>
      <c r="V811" s="2">
        <v>1.6858386616732952E-4</v>
      </c>
      <c r="W811" s="2">
        <v>2.5358378148800586E-4</v>
      </c>
      <c r="X811" s="2">
        <v>3.5991748483839005E-4</v>
      </c>
      <c r="Y811" s="2">
        <v>4.8518034096327447E-4</v>
      </c>
      <c r="Z811" s="2">
        <v>6.2330823605024786E-4</v>
      </c>
      <c r="AA811" s="2">
        <v>7.6398653829050269E-4</v>
      </c>
      <c r="AB811" s="2">
        <v>8.928133202208738E-4</v>
      </c>
      <c r="AC811" s="2">
        <v>9.926634166693136E-4</v>
      </c>
      <c r="AD811" s="2">
        <v>1.046502915735987E-3</v>
      </c>
      <c r="AE811" s="2">
        <v>1.0414140797901899E-3</v>
      </c>
      <c r="AF811" s="2">
        <v>9.7287302549624278E-4</v>
      </c>
      <c r="AG811" s="2">
        <v>8.476746219699626E-4</v>
      </c>
      <c r="AH811" s="2">
        <v>6.9470838833574989E-4</v>
      </c>
      <c r="AI811" s="2">
        <v>8.0723086470264034E-5</v>
      </c>
      <c r="AJ811" s="2">
        <v>0</v>
      </c>
      <c r="AK811" s="2">
        <v>0</v>
      </c>
      <c r="AL811" s="2">
        <v>0</v>
      </c>
      <c r="AM811" s="2">
        <v>0</v>
      </c>
      <c r="AN811" s="2">
        <v>0</v>
      </c>
      <c r="AO811" s="2">
        <v>0</v>
      </c>
      <c r="AP811" s="2">
        <v>0</v>
      </c>
      <c r="AQ811" s="2">
        <v>0</v>
      </c>
      <c r="AR811" s="2">
        <v>9.4179530374399033E-3</v>
      </c>
    </row>
    <row r="812" spans="1:44" x14ac:dyDescent="0.25">
      <c r="A812" t="s">
        <v>250</v>
      </c>
      <c r="B812" t="s">
        <v>383</v>
      </c>
      <c r="C812" t="s">
        <v>45</v>
      </c>
      <c r="D812" t="s">
        <v>189</v>
      </c>
      <c r="E812" t="s">
        <v>134</v>
      </c>
      <c r="F812" t="s">
        <v>189</v>
      </c>
      <c r="G812" t="s">
        <v>31</v>
      </c>
      <c r="H812" t="s">
        <v>276</v>
      </c>
      <c r="I812" t="s">
        <v>135</v>
      </c>
      <c r="J812" t="s">
        <v>39</v>
      </c>
      <c r="K812" t="s">
        <v>31</v>
      </c>
      <c r="L812">
        <v>2.9543406024031427</v>
      </c>
      <c r="M812">
        <v>1</v>
      </c>
      <c r="N812">
        <v>2.1184513426101939</v>
      </c>
      <c r="O812">
        <v>3.1588853240212438</v>
      </c>
      <c r="P812">
        <v>-1.6498768461339095</v>
      </c>
      <c r="Q812">
        <v>-0.22061295249342769</v>
      </c>
      <c r="R812">
        <v>-0.67371772101320548</v>
      </c>
      <c r="S812" s="2">
        <v>3.8013512554702544E-4</v>
      </c>
      <c r="T812" s="2">
        <v>7.5826946530319322E-4</v>
      </c>
      <c r="U812" s="2">
        <v>1.3435144556667978E-3</v>
      </c>
      <c r="V812" s="2">
        <v>2.1808210439606328E-3</v>
      </c>
      <c r="W812" s="2">
        <v>3.3032303628226412E-3</v>
      </c>
      <c r="X812" s="2">
        <v>4.7209967495272596E-3</v>
      </c>
      <c r="Y812" s="2">
        <v>6.4083661783836945E-3</v>
      </c>
      <c r="Z812" s="2">
        <v>8.290111235776056E-3</v>
      </c>
      <c r="AA812" s="2">
        <v>1.0231906592822904E-2</v>
      </c>
      <c r="AB812" s="2">
        <v>1.2040510195372844E-2</v>
      </c>
      <c r="AC812" s="2">
        <v>1.3480301746918855E-2</v>
      </c>
      <c r="AD812" s="2">
        <v>1.4310387956641359E-2</v>
      </c>
      <c r="AE812" s="2">
        <v>1.4339954658459324E-2</v>
      </c>
      <c r="AF812" s="2">
        <v>1.3489438215782863E-2</v>
      </c>
      <c r="AG812" s="2">
        <v>1.1835326702396407E-2</v>
      </c>
      <c r="AH812" s="2">
        <v>9.7671302748543135E-3</v>
      </c>
      <c r="AI812" s="2">
        <v>7.453297112741326E-3</v>
      </c>
      <c r="AJ812" s="2">
        <v>5.1491389768647013E-3</v>
      </c>
      <c r="AK812" s="2">
        <v>1.4594360098743801E-3</v>
      </c>
      <c r="AL812" s="2">
        <v>0</v>
      </c>
      <c r="AM812" s="2">
        <v>0</v>
      </c>
      <c r="AN812" s="2">
        <v>0</v>
      </c>
      <c r="AO812" s="2">
        <v>0</v>
      </c>
      <c r="AP812" s="2">
        <v>0</v>
      </c>
      <c r="AQ812" s="2">
        <v>0</v>
      </c>
      <c r="AR812" s="2">
        <v>0.1409422730597166</v>
      </c>
    </row>
    <row r="813" spans="1:44" x14ac:dyDescent="0.25">
      <c r="A813" t="s">
        <v>250</v>
      </c>
      <c r="B813" t="s">
        <v>383</v>
      </c>
      <c r="C813" t="s">
        <v>45</v>
      </c>
      <c r="D813" t="s">
        <v>189</v>
      </c>
      <c r="E813" t="s">
        <v>134</v>
      </c>
      <c r="F813" t="s">
        <v>189</v>
      </c>
      <c r="G813" t="s">
        <v>31</v>
      </c>
      <c r="H813" t="s">
        <v>290</v>
      </c>
      <c r="I813" t="s">
        <v>135</v>
      </c>
      <c r="J813" t="s">
        <v>39</v>
      </c>
      <c r="K813" t="s">
        <v>31</v>
      </c>
      <c r="L813">
        <v>2.9543406024031427</v>
      </c>
      <c r="M813">
        <v>1</v>
      </c>
      <c r="N813">
        <v>2.1184513426101939</v>
      </c>
      <c r="O813">
        <v>3.1588853240212438</v>
      </c>
      <c r="P813">
        <v>-1.6498768461339095</v>
      </c>
      <c r="Q813">
        <v>-0.22061295249342769</v>
      </c>
      <c r="R813">
        <v>-0.67371772101320548</v>
      </c>
      <c r="S813" s="2">
        <v>7.3567360404017763E-4</v>
      </c>
      <c r="T813" s="2">
        <v>1.4661515904107766E-3</v>
      </c>
      <c r="U813" s="2">
        <v>2.5954088868787167E-3</v>
      </c>
      <c r="V813" s="2">
        <v>4.2091229194486509E-3</v>
      </c>
      <c r="W813" s="2">
        <v>6.3696941118488145E-3</v>
      </c>
      <c r="X813" s="2">
        <v>9.0953947404380769E-3</v>
      </c>
      <c r="Y813" s="2">
        <v>1.2335117936256794E-2</v>
      </c>
      <c r="Z813" s="2">
        <v>1.5942795671635403E-2</v>
      </c>
      <c r="AA813" s="2">
        <v>1.9659335064811628E-2</v>
      </c>
      <c r="AB813" s="2">
        <v>2.3113477066508251E-2</v>
      </c>
      <c r="AC813" s="2">
        <v>2.5854023718761651E-2</v>
      </c>
      <c r="AD813" s="2">
        <v>2.7421302049536328E-2</v>
      </c>
      <c r="AE813" s="2">
        <v>2.7453175015319971E-2</v>
      </c>
      <c r="AF813" s="2">
        <v>2.580160959350877E-2</v>
      </c>
      <c r="AG813" s="2">
        <v>2.2617329373586213E-2</v>
      </c>
      <c r="AH813" s="2">
        <v>1.864816864434158E-2</v>
      </c>
      <c r="AI813" s="2">
        <v>1.4217583164665367E-2</v>
      </c>
      <c r="AJ813" s="2">
        <v>9.3862249846502158E-3</v>
      </c>
      <c r="AK813" s="2">
        <v>0</v>
      </c>
      <c r="AL813" s="2">
        <v>0</v>
      </c>
      <c r="AM813" s="2">
        <v>0</v>
      </c>
      <c r="AN813" s="2">
        <v>0</v>
      </c>
      <c r="AO813" s="2">
        <v>0</v>
      </c>
      <c r="AP813" s="2">
        <v>0</v>
      </c>
      <c r="AQ813" s="2">
        <v>0</v>
      </c>
      <c r="AR813" s="2">
        <v>0.2669215881366474</v>
      </c>
    </row>
    <row r="814" spans="1:44" x14ac:dyDescent="0.25">
      <c r="A814" t="s">
        <v>250</v>
      </c>
      <c r="B814" t="s">
        <v>268</v>
      </c>
      <c r="C814" t="s">
        <v>43</v>
      </c>
      <c r="D814" t="s">
        <v>269</v>
      </c>
      <c r="E814" t="s">
        <v>134</v>
      </c>
      <c r="F814" t="s">
        <v>269</v>
      </c>
      <c r="G814" t="s">
        <v>31</v>
      </c>
      <c r="H814" t="s">
        <v>254</v>
      </c>
      <c r="I814" t="s">
        <v>135</v>
      </c>
      <c r="J814" t="s">
        <v>39</v>
      </c>
      <c r="K814" t="s">
        <v>31</v>
      </c>
      <c r="L814">
        <v>351.82</v>
      </c>
      <c r="M814">
        <v>1</v>
      </c>
      <c r="N814">
        <v>2.8100909379967898</v>
      </c>
      <c r="O814">
        <v>3.1014175434194655</v>
      </c>
      <c r="P814">
        <v>-0.58986680859649776</v>
      </c>
      <c r="Q814">
        <v>0.59780871454245266</v>
      </c>
      <c r="R814">
        <v>-0.64602099649979083</v>
      </c>
      <c r="S814" s="2">
        <v>1.1244187999320266E-2</v>
      </c>
      <c r="T814" s="2">
        <v>1.2994167333406983E-2</v>
      </c>
      <c r="U814" s="2">
        <v>1.4754994233245219E-2</v>
      </c>
      <c r="V814" s="2">
        <v>1.7172965227943419E-2</v>
      </c>
      <c r="W814" s="2">
        <v>1.8754485186605767E-2</v>
      </c>
      <c r="X814" s="2">
        <v>1.9073071190264759E-2</v>
      </c>
      <c r="Y814" s="2">
        <v>1.7893436911974987E-2</v>
      </c>
      <c r="Z814" s="2">
        <v>1.5311915570549572E-2</v>
      </c>
      <c r="AA814" s="2">
        <v>1.1795844198000428E-2</v>
      </c>
      <c r="AB814" s="2">
        <v>2.9322434297850753E-3</v>
      </c>
      <c r="AC814" s="2">
        <v>0</v>
      </c>
      <c r="AD814" s="2">
        <v>0</v>
      </c>
      <c r="AE814" s="2">
        <v>0</v>
      </c>
      <c r="AF814" s="2">
        <v>0</v>
      </c>
      <c r="AG814" s="2">
        <v>0</v>
      </c>
      <c r="AH814" s="2">
        <v>0</v>
      </c>
      <c r="AI814" s="2">
        <v>0</v>
      </c>
      <c r="AJ814" s="2">
        <v>0</v>
      </c>
      <c r="AK814" s="2">
        <v>0</v>
      </c>
      <c r="AL814" s="2">
        <v>0</v>
      </c>
      <c r="AM814" s="2">
        <v>0</v>
      </c>
      <c r="AN814" s="2">
        <v>0</v>
      </c>
      <c r="AO814" s="2">
        <v>0</v>
      </c>
      <c r="AP814" s="2">
        <v>0</v>
      </c>
      <c r="AQ814" s="2">
        <v>0</v>
      </c>
      <c r="AR814" s="2">
        <v>0.14192731128109648</v>
      </c>
    </row>
    <row r="815" spans="1:44" x14ac:dyDescent="0.25">
      <c r="A815" t="s">
        <v>250</v>
      </c>
      <c r="B815" t="s">
        <v>268</v>
      </c>
      <c r="C815" t="s">
        <v>43</v>
      </c>
      <c r="D815" t="s">
        <v>269</v>
      </c>
      <c r="E815" t="s">
        <v>134</v>
      </c>
      <c r="F815" t="s">
        <v>269</v>
      </c>
      <c r="G815" t="s">
        <v>31</v>
      </c>
      <c r="H815" t="s">
        <v>253</v>
      </c>
      <c r="I815" t="s">
        <v>135</v>
      </c>
      <c r="J815" t="s">
        <v>39</v>
      </c>
      <c r="K815" t="s">
        <v>31</v>
      </c>
      <c r="L815">
        <v>351.82</v>
      </c>
      <c r="M815">
        <v>1</v>
      </c>
      <c r="N815">
        <v>2.8100909379967898</v>
      </c>
      <c r="O815">
        <v>3.1014175434194655</v>
      </c>
      <c r="P815">
        <v>-0.58986680859649776</v>
      </c>
      <c r="Q815">
        <v>0.59780871454245266</v>
      </c>
      <c r="R815">
        <v>-0.64602099649979083</v>
      </c>
      <c r="S815" s="2">
        <v>2.9585103797016062E-2</v>
      </c>
      <c r="T815" s="2">
        <v>3.4202835012041161E-2</v>
      </c>
      <c r="U815" s="2">
        <v>3.8852712612110443E-2</v>
      </c>
      <c r="V815" s="2">
        <v>4.523725493733937E-2</v>
      </c>
      <c r="W815" s="2">
        <v>4.9422504696740102E-2</v>
      </c>
      <c r="X815" s="2">
        <v>5.0281576426243806E-2</v>
      </c>
      <c r="Y815" s="2">
        <v>4.7190075603501393E-2</v>
      </c>
      <c r="Z815" s="2">
        <v>4.0397555263991199E-2</v>
      </c>
      <c r="AA815" s="2">
        <v>3.1133162389830233E-2</v>
      </c>
      <c r="AB815" s="2">
        <v>1.0625397210462141E-2</v>
      </c>
      <c r="AC815" s="2">
        <v>0</v>
      </c>
      <c r="AD815" s="2">
        <v>0</v>
      </c>
      <c r="AE815" s="2">
        <v>0</v>
      </c>
      <c r="AF815" s="2">
        <v>0</v>
      </c>
      <c r="AG815" s="2">
        <v>0</v>
      </c>
      <c r="AH815" s="2">
        <v>0</v>
      </c>
      <c r="AI815" s="2">
        <v>0</v>
      </c>
      <c r="AJ815" s="2">
        <v>0</v>
      </c>
      <c r="AK815" s="2">
        <v>0</v>
      </c>
      <c r="AL815" s="2">
        <v>0</v>
      </c>
      <c r="AM815" s="2">
        <v>0</v>
      </c>
      <c r="AN815" s="2">
        <v>0</v>
      </c>
      <c r="AO815" s="2">
        <v>0</v>
      </c>
      <c r="AP815" s="2">
        <v>0</v>
      </c>
      <c r="AQ815" s="2">
        <v>0</v>
      </c>
      <c r="AR815" s="2">
        <v>0.37692817794927591</v>
      </c>
    </row>
    <row r="816" spans="1:44" x14ac:dyDescent="0.25">
      <c r="A816" t="s">
        <v>250</v>
      </c>
      <c r="B816" t="s">
        <v>268</v>
      </c>
      <c r="C816" t="s">
        <v>43</v>
      </c>
      <c r="D816" t="s">
        <v>269</v>
      </c>
      <c r="E816" t="s">
        <v>134</v>
      </c>
      <c r="F816" t="s">
        <v>269</v>
      </c>
      <c r="G816" t="s">
        <v>31</v>
      </c>
      <c r="H816" t="s">
        <v>253</v>
      </c>
      <c r="I816" t="s">
        <v>135</v>
      </c>
      <c r="J816" t="s">
        <v>40</v>
      </c>
      <c r="K816" t="s">
        <v>31</v>
      </c>
      <c r="L816">
        <v>351.82</v>
      </c>
      <c r="M816">
        <v>1</v>
      </c>
      <c r="N816">
        <v>2.8100909379967898</v>
      </c>
      <c r="O816">
        <v>1.9286749611803653</v>
      </c>
      <c r="P816">
        <v>-0.58986680859649776</v>
      </c>
      <c r="Q816">
        <v>0.4672931329656026</v>
      </c>
      <c r="R816">
        <v>-0.50302099649979048</v>
      </c>
      <c r="S816" s="2">
        <v>1.5562379492349062E-2</v>
      </c>
      <c r="T816" s="2">
        <v>1.7991402086115819E-2</v>
      </c>
      <c r="U816" s="2">
        <v>2.0437334346544458E-2</v>
      </c>
      <c r="V816" s="2">
        <v>2.3795736305580302E-2</v>
      </c>
      <c r="W816" s="2">
        <v>2.5997264665018598E-2</v>
      </c>
      <c r="X816" s="2">
        <v>2.6449154249635624E-2</v>
      </c>
      <c r="Y816" s="2">
        <v>2.4822960563295436E-2</v>
      </c>
      <c r="Z816" s="2">
        <v>2.1249953689355752E-2</v>
      </c>
      <c r="AA816" s="2">
        <v>1.6376690486931265E-2</v>
      </c>
      <c r="AB816" s="2">
        <v>5.5891797703558604E-3</v>
      </c>
      <c r="AC816" s="2">
        <v>0</v>
      </c>
      <c r="AD816" s="2">
        <v>0</v>
      </c>
      <c r="AE816" s="2">
        <v>0</v>
      </c>
      <c r="AF816" s="2">
        <v>0</v>
      </c>
      <c r="AG816" s="2">
        <v>0</v>
      </c>
      <c r="AH816" s="2">
        <v>0</v>
      </c>
      <c r="AI816" s="2">
        <v>0</v>
      </c>
      <c r="AJ816" s="2">
        <v>0</v>
      </c>
      <c r="AK816" s="2">
        <v>0</v>
      </c>
      <c r="AL816" s="2">
        <v>0</v>
      </c>
      <c r="AM816" s="2">
        <v>0</v>
      </c>
      <c r="AN816" s="2">
        <v>0</v>
      </c>
      <c r="AO816" s="2">
        <v>0</v>
      </c>
      <c r="AP816" s="2">
        <v>0</v>
      </c>
      <c r="AQ816" s="2">
        <v>0</v>
      </c>
      <c r="AR816" s="2">
        <v>0.19827205565518216</v>
      </c>
    </row>
    <row r="817" spans="1:44" x14ac:dyDescent="0.25">
      <c r="A817" t="s">
        <v>250</v>
      </c>
      <c r="B817" t="s">
        <v>268</v>
      </c>
      <c r="C817" t="s">
        <v>43</v>
      </c>
      <c r="D817" t="s">
        <v>269</v>
      </c>
      <c r="E817" t="s">
        <v>134</v>
      </c>
      <c r="F817" t="s">
        <v>269</v>
      </c>
      <c r="G817" t="s">
        <v>31</v>
      </c>
      <c r="H817" t="s">
        <v>253</v>
      </c>
      <c r="I817" t="s">
        <v>256</v>
      </c>
      <c r="J817" t="s">
        <v>39</v>
      </c>
      <c r="K817" t="s">
        <v>31</v>
      </c>
      <c r="L817">
        <v>351.82</v>
      </c>
      <c r="M817">
        <v>1</v>
      </c>
      <c r="N817">
        <v>2.3979096695873836</v>
      </c>
      <c r="O817">
        <v>2.6465047861031112</v>
      </c>
      <c r="P817">
        <v>-0.3434612543701927</v>
      </c>
      <c r="Q817">
        <v>0.4672931329656026</v>
      </c>
      <c r="R817">
        <v>-0.39961544227348578</v>
      </c>
      <c r="S817" s="2">
        <v>1.5519189032280349E-2</v>
      </c>
      <c r="T817" s="2">
        <v>1.7941470330257881E-2</v>
      </c>
      <c r="U817" s="2">
        <v>2.0380614365294848E-2</v>
      </c>
      <c r="V817" s="2">
        <v>2.3729695710745999E-2</v>
      </c>
      <c r="W817" s="2">
        <v>2.5925114141895692E-2</v>
      </c>
      <c r="X817" s="2">
        <v>2.6375749591881856E-2</v>
      </c>
      <c r="Y817" s="2">
        <v>2.4754069100552008E-2</v>
      </c>
      <c r="Z817" s="2">
        <v>2.1190978435813496E-2</v>
      </c>
      <c r="AA817" s="2">
        <v>1.633124005970828E-2</v>
      </c>
      <c r="AB817" s="2">
        <v>5.5736680521248135E-3</v>
      </c>
      <c r="AC817" s="2">
        <v>0</v>
      </c>
      <c r="AD817" s="2">
        <v>0</v>
      </c>
      <c r="AE817" s="2">
        <v>0</v>
      </c>
      <c r="AF817" s="2">
        <v>0</v>
      </c>
      <c r="AG817" s="2">
        <v>0</v>
      </c>
      <c r="AH817" s="2">
        <v>0</v>
      </c>
      <c r="AI817" s="2">
        <v>0</v>
      </c>
      <c r="AJ817" s="2">
        <v>0</v>
      </c>
      <c r="AK817" s="2">
        <v>0</v>
      </c>
      <c r="AL817" s="2">
        <v>0</v>
      </c>
      <c r="AM817" s="2">
        <v>0</v>
      </c>
      <c r="AN817" s="2">
        <v>0</v>
      </c>
      <c r="AO817" s="2">
        <v>0</v>
      </c>
      <c r="AP817" s="2">
        <v>0</v>
      </c>
      <c r="AQ817" s="2">
        <v>0</v>
      </c>
      <c r="AR817" s="2">
        <v>0.19772178882055524</v>
      </c>
    </row>
    <row r="818" spans="1:44" x14ac:dyDescent="0.25">
      <c r="A818" t="s">
        <v>250</v>
      </c>
      <c r="B818" t="s">
        <v>268</v>
      </c>
      <c r="C818" t="s">
        <v>43</v>
      </c>
      <c r="D818" t="s">
        <v>269</v>
      </c>
      <c r="E818" t="s">
        <v>134</v>
      </c>
      <c r="F818" t="s">
        <v>269</v>
      </c>
      <c r="G818" t="s">
        <v>31</v>
      </c>
      <c r="H818" t="s">
        <v>252</v>
      </c>
      <c r="I818" t="s">
        <v>135</v>
      </c>
      <c r="J818" t="s">
        <v>39</v>
      </c>
      <c r="K818" t="s">
        <v>31</v>
      </c>
      <c r="L818">
        <v>351.82</v>
      </c>
      <c r="M818">
        <v>1</v>
      </c>
      <c r="N818">
        <v>2.8100909379967898</v>
      </c>
      <c r="O818">
        <v>3.1014175434194655</v>
      </c>
      <c r="P818">
        <v>-0.58986680859649776</v>
      </c>
      <c r="Q818">
        <v>0.59780871454245266</v>
      </c>
      <c r="R818">
        <v>-0.64602099649979083</v>
      </c>
      <c r="S818" s="2">
        <v>0.47095290139636559</v>
      </c>
      <c r="T818" s="2">
        <v>0.54467931533952563</v>
      </c>
      <c r="U818" s="2">
        <v>0.61897701327267851</v>
      </c>
      <c r="V818" s="2">
        <v>0.72098099476885835</v>
      </c>
      <c r="W818" s="2">
        <v>0.78800091655489612</v>
      </c>
      <c r="X818" s="2">
        <v>0.80202010342710606</v>
      </c>
      <c r="Y818" s="2">
        <v>0.7530112078480854</v>
      </c>
      <c r="Z818" s="2">
        <v>0.64488199081884012</v>
      </c>
      <c r="AA818" s="2">
        <v>0.49719047500948543</v>
      </c>
      <c r="AB818" s="2">
        <v>0.21757383515740039</v>
      </c>
      <c r="AC818" s="2">
        <v>0</v>
      </c>
      <c r="AD818" s="2">
        <v>0</v>
      </c>
      <c r="AE818" s="2">
        <v>0</v>
      </c>
      <c r="AF818" s="2">
        <v>0</v>
      </c>
      <c r="AG818" s="2">
        <v>0</v>
      </c>
      <c r="AH818" s="2">
        <v>0</v>
      </c>
      <c r="AI818" s="2">
        <v>0</v>
      </c>
      <c r="AJ818" s="2">
        <v>0</v>
      </c>
      <c r="AK818" s="2">
        <v>0</v>
      </c>
      <c r="AL818" s="2">
        <v>0</v>
      </c>
      <c r="AM818" s="2">
        <v>0</v>
      </c>
      <c r="AN818" s="2">
        <v>0</v>
      </c>
      <c r="AO818" s="2">
        <v>0</v>
      </c>
      <c r="AP818" s="2">
        <v>0</v>
      </c>
      <c r="AQ818" s="2">
        <v>0</v>
      </c>
      <c r="AR818" s="2">
        <v>6.0582687535932411</v>
      </c>
    </row>
    <row r="819" spans="1:44" x14ac:dyDescent="0.25">
      <c r="A819" t="s">
        <v>250</v>
      </c>
      <c r="B819" t="s">
        <v>268</v>
      </c>
      <c r="C819" t="s">
        <v>43</v>
      </c>
      <c r="D819" t="s">
        <v>269</v>
      </c>
      <c r="E819" t="s">
        <v>134</v>
      </c>
      <c r="F819" t="s">
        <v>269</v>
      </c>
      <c r="G819" t="s">
        <v>31</v>
      </c>
      <c r="H819" t="s">
        <v>255</v>
      </c>
      <c r="I819" t="s">
        <v>135</v>
      </c>
      <c r="J819" t="s">
        <v>39</v>
      </c>
      <c r="K819" t="s">
        <v>31</v>
      </c>
      <c r="L819">
        <v>351.82</v>
      </c>
      <c r="M819">
        <v>1</v>
      </c>
      <c r="N819">
        <v>2.8100909379967898</v>
      </c>
      <c r="O819">
        <v>3.1014175434194655</v>
      </c>
      <c r="P819">
        <v>-0.58986680859649776</v>
      </c>
      <c r="Q819">
        <v>0.59780871454245266</v>
      </c>
      <c r="R819">
        <v>-0.64602099649979083</v>
      </c>
      <c r="S819" s="2">
        <v>2.8949165067647538E-3</v>
      </c>
      <c r="T819" s="2">
        <v>3.3302970515089337E-3</v>
      </c>
      <c r="U819" s="2">
        <v>3.7644378829323477E-3</v>
      </c>
      <c r="V819" s="2">
        <v>4.3614706579865213E-3</v>
      </c>
      <c r="W819" s="2">
        <v>4.7415396339148029E-3</v>
      </c>
      <c r="X819" s="2">
        <v>4.8002233049571595E-3</v>
      </c>
      <c r="Y819" s="2">
        <v>4.4829216763241555E-3</v>
      </c>
      <c r="Z819" s="2">
        <v>3.8187698393531721E-3</v>
      </c>
      <c r="AA819" s="2">
        <v>5.7053728397078816E-4</v>
      </c>
      <c r="AB819" s="2">
        <v>0</v>
      </c>
      <c r="AC819" s="2">
        <v>0</v>
      </c>
      <c r="AD819" s="2">
        <v>0</v>
      </c>
      <c r="AE819" s="2">
        <v>0</v>
      </c>
      <c r="AF819" s="2">
        <v>0</v>
      </c>
      <c r="AG819" s="2">
        <v>0</v>
      </c>
      <c r="AH819" s="2">
        <v>0</v>
      </c>
      <c r="AI819" s="2">
        <v>0</v>
      </c>
      <c r="AJ819" s="2">
        <v>0</v>
      </c>
      <c r="AK819" s="2">
        <v>0</v>
      </c>
      <c r="AL819" s="2">
        <v>0</v>
      </c>
      <c r="AM819" s="2">
        <v>0</v>
      </c>
      <c r="AN819" s="2">
        <v>0</v>
      </c>
      <c r="AO819" s="2">
        <v>0</v>
      </c>
      <c r="AP819" s="2">
        <v>0</v>
      </c>
      <c r="AQ819" s="2">
        <v>0</v>
      </c>
      <c r="AR819" s="2">
        <v>3.2765113837712634E-2</v>
      </c>
    </row>
    <row r="820" spans="1:44" x14ac:dyDescent="0.25">
      <c r="A820" t="s">
        <v>250</v>
      </c>
      <c r="B820" t="s">
        <v>388</v>
      </c>
      <c r="C820" t="s">
        <v>44</v>
      </c>
      <c r="D820" t="s">
        <v>212</v>
      </c>
      <c r="E820" t="s">
        <v>134</v>
      </c>
      <c r="F820" t="s">
        <v>212</v>
      </c>
      <c r="G820" t="s">
        <v>31</v>
      </c>
      <c r="H820" t="s">
        <v>254</v>
      </c>
      <c r="I820" t="s">
        <v>135</v>
      </c>
      <c r="J820" t="s">
        <v>39</v>
      </c>
      <c r="K820" t="s">
        <v>31</v>
      </c>
      <c r="L820">
        <v>0.19</v>
      </c>
      <c r="M820">
        <v>1</v>
      </c>
      <c r="N820">
        <v>4.850758436844905</v>
      </c>
      <c r="O820">
        <v>6.9281219368152529</v>
      </c>
      <c r="P820">
        <v>-2.4521156710348886</v>
      </c>
      <c r="Q820">
        <v>0.77362100319819394</v>
      </c>
      <c r="R820">
        <v>-2.6840821475939207</v>
      </c>
      <c r="S820" s="2">
        <v>1.9740794258589706E-3</v>
      </c>
      <c r="T820" s="2">
        <v>3.9283506539557946E-3</v>
      </c>
      <c r="U820" s="2">
        <v>6.9436701383027849E-3</v>
      </c>
      <c r="V820" s="2">
        <v>1.1244155044947173E-2</v>
      </c>
      <c r="W820" s="2">
        <v>1.6990482666346285E-2</v>
      </c>
      <c r="X820" s="2">
        <v>2.4224823110720446E-2</v>
      </c>
      <c r="Y820" s="2">
        <v>3.28045656048645E-2</v>
      </c>
      <c r="Z820" s="2">
        <v>4.2335762674287833E-2</v>
      </c>
      <c r="AA820" s="2">
        <v>5.212711091470671E-2</v>
      </c>
      <c r="AB820" s="2">
        <v>6.1194450132579174E-2</v>
      </c>
      <c r="AC820" s="2">
        <v>6.8348158693776612E-2</v>
      </c>
      <c r="AD820" s="2">
        <v>7.238334877316599E-2</v>
      </c>
      <c r="AE820" s="2">
        <v>7.2359423902180586E-2</v>
      </c>
      <c r="AF820" s="2">
        <v>6.7904920354446507E-2</v>
      </c>
      <c r="AG820" s="2">
        <v>5.9435742160325516E-2</v>
      </c>
      <c r="AH820" s="2">
        <v>4.8932170259974837E-2</v>
      </c>
      <c r="AI820" s="2">
        <v>3.7250833117390747E-2</v>
      </c>
      <c r="AJ820" s="2">
        <v>1.0667672351488145E-2</v>
      </c>
      <c r="AK820" s="2">
        <v>0</v>
      </c>
      <c r="AL820" s="2">
        <v>0</v>
      </c>
      <c r="AM820" s="2">
        <v>0</v>
      </c>
      <c r="AN820" s="2">
        <v>0</v>
      </c>
      <c r="AO820" s="2">
        <v>0</v>
      </c>
      <c r="AP820" s="2">
        <v>0</v>
      </c>
      <c r="AQ820" s="2">
        <v>0</v>
      </c>
      <c r="AR820" s="2">
        <v>0.69104971997931863</v>
      </c>
    </row>
    <row r="821" spans="1:44" x14ac:dyDescent="0.25">
      <c r="A821" t="s">
        <v>250</v>
      </c>
      <c r="B821" t="s">
        <v>388</v>
      </c>
      <c r="C821" t="s">
        <v>44</v>
      </c>
      <c r="D821" t="s">
        <v>212</v>
      </c>
      <c r="E821" t="s">
        <v>134</v>
      </c>
      <c r="F821" t="s">
        <v>212</v>
      </c>
      <c r="G821" t="s">
        <v>31</v>
      </c>
      <c r="H821" t="s">
        <v>272</v>
      </c>
      <c r="I821" t="s">
        <v>135</v>
      </c>
      <c r="J821" t="s">
        <v>39</v>
      </c>
      <c r="K821" t="s">
        <v>31</v>
      </c>
      <c r="L821">
        <v>0.19</v>
      </c>
      <c r="M821">
        <v>1</v>
      </c>
      <c r="N821">
        <v>4.850758436844905</v>
      </c>
      <c r="O821">
        <v>6.9281219368152529</v>
      </c>
      <c r="P821">
        <v>-2.4521156710348886</v>
      </c>
      <c r="Q821">
        <v>0.77362100319819394</v>
      </c>
      <c r="R821">
        <v>-2.6840821475939207</v>
      </c>
      <c r="S821" s="2">
        <v>1.909896070247382E-3</v>
      </c>
      <c r="T821" s="2">
        <v>3.8001952886592967E-3</v>
      </c>
      <c r="U821" s="2">
        <v>6.7163806978220459E-3</v>
      </c>
      <c r="V821" s="2">
        <v>1.0874858236745904E-2</v>
      </c>
      <c r="W821" s="2">
        <v>1.6430585914061321E-2</v>
      </c>
      <c r="X821" s="2">
        <v>2.3423862172714992E-2</v>
      </c>
      <c r="Y821" s="2">
        <v>3.1716315984632183E-2</v>
      </c>
      <c r="Z821" s="2">
        <v>4.0926667958011587E-2</v>
      </c>
      <c r="AA821" s="2">
        <v>5.0386386154237787E-2</v>
      </c>
      <c r="AB821" s="2">
        <v>5.9144198049164494E-2</v>
      </c>
      <c r="AC821" s="2">
        <v>6.6050709209985917E-2</v>
      </c>
      <c r="AD821" s="2">
        <v>6.9942297310638418E-2</v>
      </c>
      <c r="AE821" s="2">
        <v>6.9911219393472945E-2</v>
      </c>
      <c r="AF821" s="2">
        <v>6.5599960238129126E-2</v>
      </c>
      <c r="AG821" s="2">
        <v>5.7411722536510751E-2</v>
      </c>
      <c r="AH821" s="2">
        <v>4.7260457427869371E-2</v>
      </c>
      <c r="AI821" s="2">
        <v>3.5974104188712656E-2</v>
      </c>
      <c r="AJ821" s="2">
        <v>9.2774163792036148E-3</v>
      </c>
      <c r="AK821" s="2">
        <v>0</v>
      </c>
      <c r="AL821" s="2">
        <v>0</v>
      </c>
      <c r="AM821" s="2">
        <v>0</v>
      </c>
      <c r="AN821" s="2">
        <v>0</v>
      </c>
      <c r="AO821" s="2">
        <v>0</v>
      </c>
      <c r="AP821" s="2">
        <v>0</v>
      </c>
      <c r="AQ821" s="2">
        <v>0</v>
      </c>
      <c r="AR821" s="2">
        <v>0.6667572332108197</v>
      </c>
    </row>
    <row r="822" spans="1:44" x14ac:dyDescent="0.25">
      <c r="A822" t="s">
        <v>250</v>
      </c>
      <c r="B822" t="s">
        <v>388</v>
      </c>
      <c r="C822" t="s">
        <v>44</v>
      </c>
      <c r="D822" t="s">
        <v>212</v>
      </c>
      <c r="E822" t="s">
        <v>134</v>
      </c>
      <c r="F822" t="s">
        <v>212</v>
      </c>
      <c r="G822" t="s">
        <v>31</v>
      </c>
      <c r="H822" t="s">
        <v>272</v>
      </c>
      <c r="I822" t="s">
        <v>135</v>
      </c>
      <c r="J822" t="s">
        <v>40</v>
      </c>
      <c r="K822" t="s">
        <v>31</v>
      </c>
      <c r="L822">
        <v>0.19</v>
      </c>
      <c r="M822">
        <v>1</v>
      </c>
      <c r="N822">
        <v>4.850758436844905</v>
      </c>
      <c r="O822">
        <v>5.6913337240265207</v>
      </c>
      <c r="P822">
        <v>-2.4521156710348886</v>
      </c>
      <c r="Q822">
        <v>0.4672931329656026</v>
      </c>
      <c r="R822">
        <v>-2.5410821475939209</v>
      </c>
      <c r="S822" s="2">
        <v>1.8891897742926225E-4</v>
      </c>
      <c r="T822" s="2">
        <v>3.758995157637156E-4</v>
      </c>
      <c r="U822" s="2">
        <v>6.6435645018832147E-4</v>
      </c>
      <c r="V822" s="2">
        <v>1.0756957563183625E-3</v>
      </c>
      <c r="W822" s="2">
        <v>1.6252452360122653E-3</v>
      </c>
      <c r="X822" s="2">
        <v>2.3169910436750163E-3</v>
      </c>
      <c r="Y822" s="2">
        <v>3.1372460925918224E-3</v>
      </c>
      <c r="Z822" s="2">
        <v>4.0482958107835821E-3</v>
      </c>
      <c r="AA822" s="2">
        <v>4.984011798810385E-3</v>
      </c>
      <c r="AB822" s="2">
        <v>5.8502981342197658E-3</v>
      </c>
      <c r="AC822" s="2">
        <v>6.5334614991965669E-3</v>
      </c>
      <c r="AD822" s="2">
        <v>6.9184012118878062E-3</v>
      </c>
      <c r="AE822" s="2">
        <v>6.9153271135517797E-3</v>
      </c>
      <c r="AF822" s="2">
        <v>6.4888752852307737E-3</v>
      </c>
      <c r="AG822" s="2">
        <v>5.678928860587306E-3</v>
      </c>
      <c r="AH822" s="2">
        <v>4.67480792761451E-3</v>
      </c>
      <c r="AI822" s="2">
        <v>3.558408796759839E-3</v>
      </c>
      <c r="AJ822" s="2">
        <v>9.176834503448109E-4</v>
      </c>
      <c r="AK822" s="2">
        <v>0</v>
      </c>
      <c r="AL822" s="2">
        <v>0</v>
      </c>
      <c r="AM822" s="2">
        <v>0</v>
      </c>
      <c r="AN822" s="2">
        <v>0</v>
      </c>
      <c r="AO822" s="2">
        <v>0</v>
      </c>
      <c r="AP822" s="2">
        <v>0</v>
      </c>
      <c r="AQ822" s="2">
        <v>0</v>
      </c>
      <c r="AR822" s="2">
        <v>6.5952852960965883E-2</v>
      </c>
    </row>
    <row r="823" spans="1:44" x14ac:dyDescent="0.25">
      <c r="A823" t="s">
        <v>250</v>
      </c>
      <c r="B823" t="s">
        <v>388</v>
      </c>
      <c r="C823" t="s">
        <v>44</v>
      </c>
      <c r="D823" t="s">
        <v>212</v>
      </c>
      <c r="E823" t="s">
        <v>134</v>
      </c>
      <c r="F823" t="s">
        <v>212</v>
      </c>
      <c r="G823" t="s">
        <v>31</v>
      </c>
      <c r="H823" t="s">
        <v>253</v>
      </c>
      <c r="I823" t="s">
        <v>135</v>
      </c>
      <c r="J823" t="s">
        <v>39</v>
      </c>
      <c r="K823" t="s">
        <v>31</v>
      </c>
      <c r="L823">
        <v>0.19</v>
      </c>
      <c r="M823">
        <v>1</v>
      </c>
      <c r="N823">
        <v>4.850758436844905</v>
      </c>
      <c r="O823">
        <v>6.9281219368152529</v>
      </c>
      <c r="P823">
        <v>-2.4521156710348886</v>
      </c>
      <c r="Q823">
        <v>0.77362100319819394</v>
      </c>
      <c r="R823">
        <v>-2.6840821475939207</v>
      </c>
      <c r="S823" s="2">
        <v>3.079410689090028E-4</v>
      </c>
      <c r="T823" s="2">
        <v>6.1303022691818355E-4</v>
      </c>
      <c r="U823" s="2">
        <v>1.0840002305656778E-3</v>
      </c>
      <c r="V823" s="2">
        <v>1.7560455220686981E-3</v>
      </c>
      <c r="W823" s="2">
        <v>2.6545035611098421E-3</v>
      </c>
      <c r="X823" s="2">
        <v>3.7862288607684214E-3</v>
      </c>
      <c r="Y823" s="2">
        <v>5.1291947561956149E-3</v>
      </c>
      <c r="Z823" s="2">
        <v>6.6220268537834116E-3</v>
      </c>
      <c r="AA823" s="2">
        <v>8.1567256705696624E-3</v>
      </c>
      <c r="AB823" s="2">
        <v>9.5792804670522414E-3</v>
      </c>
      <c r="AC823" s="2">
        <v>1.0703266094762881E-2</v>
      </c>
      <c r="AD823" s="2">
        <v>1.1339576268372502E-2</v>
      </c>
      <c r="AE823" s="2">
        <v>1.1340231139236838E-2</v>
      </c>
      <c r="AF823" s="2">
        <v>1.0646251010329264E-2</v>
      </c>
      <c r="AG823" s="2">
        <v>9.3220579546913693E-3</v>
      </c>
      <c r="AH823" s="2">
        <v>7.6776310477470622E-3</v>
      </c>
      <c r="AI823" s="2">
        <v>5.8470579932862867E-3</v>
      </c>
      <c r="AJ823" s="2">
        <v>2.2427230520218121E-3</v>
      </c>
      <c r="AK823" s="2">
        <v>0</v>
      </c>
      <c r="AL823" s="2">
        <v>0</v>
      </c>
      <c r="AM823" s="2">
        <v>0</v>
      </c>
      <c r="AN823" s="2">
        <v>0</v>
      </c>
      <c r="AO823" s="2">
        <v>0</v>
      </c>
      <c r="AP823" s="2">
        <v>0</v>
      </c>
      <c r="AQ823" s="2">
        <v>0</v>
      </c>
      <c r="AR823" s="2">
        <v>0.10880777177838878</v>
      </c>
    </row>
    <row r="824" spans="1:44" x14ac:dyDescent="0.25">
      <c r="A824" t="s">
        <v>250</v>
      </c>
      <c r="B824" t="s">
        <v>388</v>
      </c>
      <c r="C824" t="s">
        <v>44</v>
      </c>
      <c r="D824" t="s">
        <v>212</v>
      </c>
      <c r="E824" t="s">
        <v>134</v>
      </c>
      <c r="F824" t="s">
        <v>212</v>
      </c>
      <c r="G824" t="s">
        <v>31</v>
      </c>
      <c r="H824" t="s">
        <v>253</v>
      </c>
      <c r="I824" t="s">
        <v>135</v>
      </c>
      <c r="J824" t="s">
        <v>40</v>
      </c>
      <c r="K824" t="s">
        <v>31</v>
      </c>
      <c r="L824">
        <v>0.19</v>
      </c>
      <c r="M824">
        <v>1</v>
      </c>
      <c r="N824">
        <v>4.850758436844905</v>
      </c>
      <c r="O824">
        <v>5.6913337240265207</v>
      </c>
      <c r="P824">
        <v>-2.4521156710348886</v>
      </c>
      <c r="Q824">
        <v>0.4672931329656026</v>
      </c>
      <c r="R824">
        <v>-2.5410821475939209</v>
      </c>
      <c r="S824" s="2">
        <v>1.6198340247583866E-4</v>
      </c>
      <c r="T824" s="2">
        <v>3.2246664054441659E-4</v>
      </c>
      <c r="U824" s="2">
        <v>5.7020665107683076E-4</v>
      </c>
      <c r="V824" s="2">
        <v>9.2371644215862524E-4</v>
      </c>
      <c r="W824" s="2">
        <v>1.3963240441951707E-3</v>
      </c>
      <c r="X824" s="2">
        <v>1.9916350735299953E-3</v>
      </c>
      <c r="Y824" s="2">
        <v>2.6980630466516674E-3</v>
      </c>
      <c r="Z824" s="2">
        <v>3.4833237569204586E-3</v>
      </c>
      <c r="AA824" s="2">
        <v>4.2906072316431527E-3</v>
      </c>
      <c r="AB824" s="2">
        <v>5.0389006208911603E-3</v>
      </c>
      <c r="AC824" s="2">
        <v>5.6301404219204678E-3</v>
      </c>
      <c r="AD824" s="2">
        <v>5.9648527982736734E-3</v>
      </c>
      <c r="AE824" s="2">
        <v>5.9651972739591108E-3</v>
      </c>
      <c r="AF824" s="2">
        <v>5.6001493025101068E-3</v>
      </c>
      <c r="AG824" s="2">
        <v>4.9035962332912427E-3</v>
      </c>
      <c r="AH824" s="2">
        <v>4.0385935025630103E-3</v>
      </c>
      <c r="AI824" s="2">
        <v>3.0756740293901483E-3</v>
      </c>
      <c r="AJ824" s="2">
        <v>1.1797189379921772E-3</v>
      </c>
      <c r="AK824" s="2">
        <v>0</v>
      </c>
      <c r="AL824" s="2">
        <v>0</v>
      </c>
      <c r="AM824" s="2">
        <v>0</v>
      </c>
      <c r="AN824" s="2">
        <v>0</v>
      </c>
      <c r="AO824" s="2">
        <v>0</v>
      </c>
      <c r="AP824" s="2">
        <v>0</v>
      </c>
      <c r="AQ824" s="2">
        <v>0</v>
      </c>
      <c r="AR824" s="2">
        <v>5.7235149409987252E-2</v>
      </c>
    </row>
    <row r="825" spans="1:44" x14ac:dyDescent="0.25">
      <c r="A825" t="s">
        <v>250</v>
      </c>
      <c r="B825" t="s">
        <v>388</v>
      </c>
      <c r="C825" t="s">
        <v>44</v>
      </c>
      <c r="D825" t="s">
        <v>212</v>
      </c>
      <c r="E825" t="s">
        <v>134</v>
      </c>
      <c r="F825" t="s">
        <v>212</v>
      </c>
      <c r="G825" t="s">
        <v>31</v>
      </c>
      <c r="H825" t="s">
        <v>253</v>
      </c>
      <c r="I825" t="s">
        <v>256</v>
      </c>
      <c r="J825" t="s">
        <v>39</v>
      </c>
      <c r="K825" t="s">
        <v>31</v>
      </c>
      <c r="L825">
        <v>0.19</v>
      </c>
      <c r="M825">
        <v>1</v>
      </c>
      <c r="N825">
        <v>2.9597330571033966</v>
      </c>
      <c r="O825">
        <v>4.2272547245978105</v>
      </c>
      <c r="P825">
        <v>-0.98917871968601667</v>
      </c>
      <c r="Q825">
        <v>0.4672931329656026</v>
      </c>
      <c r="R825">
        <v>-1.2211451962450488</v>
      </c>
      <c r="S825" s="2">
        <v>1.6153384797937709E-4</v>
      </c>
      <c r="T825" s="2">
        <v>3.2157169497592093E-4</v>
      </c>
      <c r="U825" s="2">
        <v>5.6862414966010624E-4</v>
      </c>
      <c r="V825" s="2">
        <v>9.2115284074217874E-4</v>
      </c>
      <c r="W825" s="2">
        <v>1.3924488091834912E-3</v>
      </c>
      <c r="X825" s="2">
        <v>1.9861076646169149E-3</v>
      </c>
      <c r="Y825" s="2">
        <v>2.6905750796388734E-3</v>
      </c>
      <c r="Z825" s="2">
        <v>3.4736564463588807E-3</v>
      </c>
      <c r="AA825" s="2">
        <v>4.2786994574881849E-3</v>
      </c>
      <c r="AB825" s="2">
        <v>5.0249160990406437E-3</v>
      </c>
      <c r="AC825" s="2">
        <v>5.6145150250977152E-3</v>
      </c>
      <c r="AD825" s="2">
        <v>5.9482984701436934E-3</v>
      </c>
      <c r="AE825" s="2">
        <v>5.9486419898015933E-3</v>
      </c>
      <c r="AF825" s="2">
        <v>5.5846071404038657E-3</v>
      </c>
      <c r="AG825" s="2">
        <v>4.8899872233444525E-3</v>
      </c>
      <c r="AH825" s="2">
        <v>4.0273851451590563E-3</v>
      </c>
      <c r="AI825" s="2">
        <v>3.0671380740488669E-3</v>
      </c>
      <c r="AJ825" s="2">
        <v>1.1764448497520448E-3</v>
      </c>
      <c r="AK825" s="2">
        <v>0</v>
      </c>
      <c r="AL825" s="2">
        <v>0</v>
      </c>
      <c r="AM825" s="2">
        <v>0</v>
      </c>
      <c r="AN825" s="2">
        <v>0</v>
      </c>
      <c r="AO825" s="2">
        <v>0</v>
      </c>
      <c r="AP825" s="2">
        <v>0</v>
      </c>
      <c r="AQ825" s="2">
        <v>0</v>
      </c>
      <c r="AR825" s="2">
        <v>5.7076304007435859E-2</v>
      </c>
    </row>
    <row r="826" spans="1:44" x14ac:dyDescent="0.25">
      <c r="A826" t="s">
        <v>250</v>
      </c>
      <c r="B826" t="s">
        <v>388</v>
      </c>
      <c r="C826" t="s">
        <v>44</v>
      </c>
      <c r="D826" t="s">
        <v>212</v>
      </c>
      <c r="E826" t="s">
        <v>134</v>
      </c>
      <c r="F826" t="s">
        <v>212</v>
      </c>
      <c r="G826" t="s">
        <v>31</v>
      </c>
      <c r="H826" t="s">
        <v>288</v>
      </c>
      <c r="I826" t="s">
        <v>135</v>
      </c>
      <c r="J826" t="s">
        <v>39</v>
      </c>
      <c r="K826" t="s">
        <v>31</v>
      </c>
      <c r="L826">
        <v>0.19</v>
      </c>
      <c r="M826">
        <v>1</v>
      </c>
      <c r="N826">
        <v>4.850758436844905</v>
      </c>
      <c r="O826">
        <v>6.9281219368152529</v>
      </c>
      <c r="P826">
        <v>-2.4521156710348886</v>
      </c>
      <c r="Q826">
        <v>0.77362100319819394</v>
      </c>
      <c r="R826">
        <v>-2.6840821475939207</v>
      </c>
      <c r="S826" s="2">
        <v>3.42149263382492E-3</v>
      </c>
      <c r="T826" s="2">
        <v>6.8188213347766093E-3</v>
      </c>
      <c r="U826" s="2">
        <v>1.2070804687637382E-2</v>
      </c>
      <c r="V826" s="2">
        <v>1.957591380833433E-2</v>
      </c>
      <c r="W826" s="2">
        <v>2.9624362439702876E-2</v>
      </c>
      <c r="X826" s="2">
        <v>4.2301131826987824E-2</v>
      </c>
      <c r="Y826" s="2">
        <v>5.7368532627085168E-2</v>
      </c>
      <c r="Z826" s="2">
        <v>7.414722732133977E-2</v>
      </c>
      <c r="AA826" s="2">
        <v>9.1432219044895111E-2</v>
      </c>
      <c r="AB826" s="2">
        <v>0.10749684519171659</v>
      </c>
      <c r="AC826" s="2">
        <v>0.1202426609065162</v>
      </c>
      <c r="AD826" s="2">
        <v>0.12753180548700616</v>
      </c>
      <c r="AE826" s="2">
        <v>0.12768004122232138</v>
      </c>
      <c r="AF826" s="2">
        <v>0.11999889173704185</v>
      </c>
      <c r="AG826" s="2">
        <v>0.10518934677489251</v>
      </c>
      <c r="AH826" s="2">
        <v>8.6729456243281211E-2</v>
      </c>
      <c r="AI826" s="2">
        <v>6.6123557786421622E-2</v>
      </c>
      <c r="AJ826" s="2">
        <v>4.3653733759149958E-2</v>
      </c>
      <c r="AK826" s="2">
        <v>0</v>
      </c>
      <c r="AL826" s="2">
        <v>0</v>
      </c>
      <c r="AM826" s="2">
        <v>0</v>
      </c>
      <c r="AN826" s="2">
        <v>0</v>
      </c>
      <c r="AO826" s="2">
        <v>0</v>
      </c>
      <c r="AP826" s="2">
        <v>0</v>
      </c>
      <c r="AQ826" s="2">
        <v>0</v>
      </c>
      <c r="AR826" s="2">
        <v>1.2414068448329314</v>
      </c>
    </row>
    <row r="827" spans="1:44" x14ac:dyDescent="0.25">
      <c r="A827" t="s">
        <v>250</v>
      </c>
      <c r="B827" t="s">
        <v>388</v>
      </c>
      <c r="C827" t="s">
        <v>44</v>
      </c>
      <c r="D827" t="s">
        <v>212</v>
      </c>
      <c r="E827" t="s">
        <v>134</v>
      </c>
      <c r="F827" t="s">
        <v>212</v>
      </c>
      <c r="G827" t="s">
        <v>31</v>
      </c>
      <c r="H827" t="s">
        <v>288</v>
      </c>
      <c r="I827" t="s">
        <v>135</v>
      </c>
      <c r="J827" t="s">
        <v>39</v>
      </c>
      <c r="K827" t="s">
        <v>33</v>
      </c>
      <c r="L827">
        <v>0.19</v>
      </c>
      <c r="M827">
        <v>1</v>
      </c>
      <c r="N827">
        <v>4.850758436844905</v>
      </c>
      <c r="O827">
        <v>6.9281219368152529</v>
      </c>
      <c r="P827">
        <v>-2.4521156710348886</v>
      </c>
      <c r="Q827">
        <v>0.77362100319819394</v>
      </c>
      <c r="R827">
        <v>-2.6840821475939207</v>
      </c>
      <c r="S827" s="2">
        <v>3.2186369119421653E-5</v>
      </c>
      <c r="T827" s="2">
        <v>6.4145425382709732E-5</v>
      </c>
      <c r="U827" s="2">
        <v>1.1355142822868416E-4</v>
      </c>
      <c r="V827" s="2">
        <v>1.8415284062168571E-4</v>
      </c>
      <c r="W827" s="2">
        <v>2.7867973614366056E-4</v>
      </c>
      <c r="X827" s="2">
        <v>3.9793154300340816E-4</v>
      </c>
      <c r="Y827" s="2">
        <v>5.3967229060222863E-4</v>
      </c>
      <c r="Z827" s="2">
        <v>6.975113738819838E-4</v>
      </c>
      <c r="AA827" s="2">
        <v>8.6011325071798958E-4</v>
      </c>
      <c r="AB827" s="2">
        <v>1.0112350102142479E-3</v>
      </c>
      <c r="AC827" s="2">
        <v>1.1311363437050792E-3</v>
      </c>
      <c r="AD827" s="2">
        <v>1.1997061531832918E-3</v>
      </c>
      <c r="AE827" s="2">
        <v>1.2011006235516854E-3</v>
      </c>
      <c r="AF827" s="2">
        <v>1.1288431794904115E-3</v>
      </c>
      <c r="AG827" s="2">
        <v>9.8952811099367187E-4</v>
      </c>
      <c r="AH827" s="2">
        <v>8.1587382786568394E-4</v>
      </c>
      <c r="AI827" s="2">
        <v>6.2203180488041936E-4</v>
      </c>
      <c r="AJ827" s="2">
        <v>4.1065562273101639E-4</v>
      </c>
      <c r="AK827" s="2">
        <v>0</v>
      </c>
      <c r="AL827" s="2">
        <v>0</v>
      </c>
      <c r="AM827" s="2">
        <v>0</v>
      </c>
      <c r="AN827" s="2">
        <v>0</v>
      </c>
      <c r="AO827" s="2">
        <v>0</v>
      </c>
      <c r="AP827" s="2">
        <v>0</v>
      </c>
      <c r="AQ827" s="2">
        <v>0</v>
      </c>
      <c r="AR827" s="2">
        <v>1.167805493431728E-2</v>
      </c>
    </row>
    <row r="828" spans="1:44" x14ac:dyDescent="0.25">
      <c r="A828" t="s">
        <v>250</v>
      </c>
      <c r="B828" t="s">
        <v>388</v>
      </c>
      <c r="C828" t="s">
        <v>44</v>
      </c>
      <c r="D828" t="s">
        <v>212</v>
      </c>
      <c r="E828" t="s">
        <v>134</v>
      </c>
      <c r="F828" t="s">
        <v>212</v>
      </c>
      <c r="G828" t="s">
        <v>31</v>
      </c>
      <c r="H828" t="s">
        <v>273</v>
      </c>
      <c r="I828" t="s">
        <v>135</v>
      </c>
      <c r="J828" t="s">
        <v>39</v>
      </c>
      <c r="K828" t="s">
        <v>31</v>
      </c>
      <c r="L828">
        <v>0.19</v>
      </c>
      <c r="M828">
        <v>1</v>
      </c>
      <c r="N828">
        <v>4.850758436844905</v>
      </c>
      <c r="O828">
        <v>6.9281219368152529</v>
      </c>
      <c r="P828">
        <v>-2.4521156710348886</v>
      </c>
      <c r="Q828">
        <v>0.77362100319819394</v>
      </c>
      <c r="R828">
        <v>-2.6840821475939207</v>
      </c>
      <c r="S828" s="2">
        <v>5.7441374813054836E-4</v>
      </c>
      <c r="T828" s="2">
        <v>1.1429336147616115E-3</v>
      </c>
      <c r="U828" s="2">
        <v>2.0199954702288686E-3</v>
      </c>
      <c r="V828" s="2">
        <v>3.2706848176029132E-3</v>
      </c>
      <c r="W828" s="2">
        <v>4.9416062925635995E-3</v>
      </c>
      <c r="X828" s="2">
        <v>7.0448799156803358E-3</v>
      </c>
      <c r="Y828" s="2">
        <v>9.5388896942783102E-3</v>
      </c>
      <c r="Z828" s="2">
        <v>1.2308963354854608E-2</v>
      </c>
      <c r="AA828" s="2">
        <v>1.515403553967209E-2</v>
      </c>
      <c r="AB828" s="2">
        <v>1.7788004808657255E-2</v>
      </c>
      <c r="AC828" s="2">
        <v>1.9865183260508328E-2</v>
      </c>
      <c r="AD828" s="2">
        <v>2.1035603861869378E-2</v>
      </c>
      <c r="AE828" s="2">
        <v>2.1026256974799866E-2</v>
      </c>
      <c r="AF828" s="2">
        <v>1.9729617555953149E-2</v>
      </c>
      <c r="AG828" s="2">
        <v>1.7266951454880296E-2</v>
      </c>
      <c r="AH828" s="2">
        <v>1.4213892008265335E-2</v>
      </c>
      <c r="AI828" s="2">
        <v>1.0819447374432656E-2</v>
      </c>
      <c r="AJ828" s="2">
        <v>2.7902437197306214E-3</v>
      </c>
      <c r="AK828" s="2">
        <v>0</v>
      </c>
      <c r="AL828" s="2">
        <v>0</v>
      </c>
      <c r="AM828" s="2">
        <v>0</v>
      </c>
      <c r="AN828" s="2">
        <v>0</v>
      </c>
      <c r="AO828" s="2">
        <v>0</v>
      </c>
      <c r="AP828" s="2">
        <v>0</v>
      </c>
      <c r="AQ828" s="2">
        <v>0</v>
      </c>
      <c r="AR828" s="2">
        <v>0.20053160346686974</v>
      </c>
    </row>
    <row r="829" spans="1:44" x14ac:dyDescent="0.25">
      <c r="A829" t="s">
        <v>250</v>
      </c>
      <c r="B829" t="s">
        <v>388</v>
      </c>
      <c r="C829" t="s">
        <v>44</v>
      </c>
      <c r="D829" t="s">
        <v>212</v>
      </c>
      <c r="E829" t="s">
        <v>134</v>
      </c>
      <c r="F829" t="s">
        <v>212</v>
      </c>
      <c r="G829" t="s">
        <v>31</v>
      </c>
      <c r="H829" t="s">
        <v>252</v>
      </c>
      <c r="I829" t="s">
        <v>135</v>
      </c>
      <c r="J829" t="s">
        <v>39</v>
      </c>
      <c r="K829" t="s">
        <v>31</v>
      </c>
      <c r="L829">
        <v>0.19</v>
      </c>
      <c r="M829">
        <v>1</v>
      </c>
      <c r="N829">
        <v>4.850758436844905</v>
      </c>
      <c r="O829">
        <v>6.9281219368152529</v>
      </c>
      <c r="P829">
        <v>-2.4521156710348886</v>
      </c>
      <c r="Q829">
        <v>0.77362100319819394</v>
      </c>
      <c r="R829">
        <v>-2.6840821475939207</v>
      </c>
      <c r="S829" s="2">
        <v>2.3285213257839425E-4</v>
      </c>
      <c r="T829" s="2">
        <v>4.6373395209459384E-4</v>
      </c>
      <c r="U829" s="2">
        <v>8.2033412349994902E-4</v>
      </c>
      <c r="V829" s="2">
        <v>1.3294486600470788E-3</v>
      </c>
      <c r="W829" s="2">
        <v>2.010451084525109E-3</v>
      </c>
      <c r="X829" s="2">
        <v>2.868741778027914E-3</v>
      </c>
      <c r="Y829" s="2">
        <v>3.8878382134361618E-3</v>
      </c>
      <c r="Z829" s="2">
        <v>5.0213943553770821E-3</v>
      </c>
      <c r="AA829" s="2">
        <v>6.1876201724436518E-3</v>
      </c>
      <c r="AB829" s="2">
        <v>7.2696763674212593E-3</v>
      </c>
      <c r="AC829" s="2">
        <v>8.1259268580606923E-3</v>
      </c>
      <c r="AD829" s="2">
        <v>8.6124717547165202E-3</v>
      </c>
      <c r="AE829" s="2">
        <v>8.6164285038842475E-3</v>
      </c>
      <c r="AF829" s="2">
        <v>8.0923839790678683E-3</v>
      </c>
      <c r="AG829" s="2">
        <v>7.0886898747134011E-3</v>
      </c>
      <c r="AH829" s="2">
        <v>5.8405778097657037E-3</v>
      </c>
      <c r="AI829" s="2">
        <v>4.449798807900261E-3</v>
      </c>
      <c r="AJ829" s="2">
        <v>2.1542834207775694E-3</v>
      </c>
      <c r="AK829" s="2">
        <v>0</v>
      </c>
      <c r="AL829" s="2">
        <v>0</v>
      </c>
      <c r="AM829" s="2">
        <v>0</v>
      </c>
      <c r="AN829" s="2">
        <v>0</v>
      </c>
      <c r="AO829" s="2">
        <v>0</v>
      </c>
      <c r="AP829" s="2">
        <v>0</v>
      </c>
      <c r="AQ829" s="2">
        <v>0</v>
      </c>
      <c r="AR829" s="2">
        <v>8.3072651848337453E-2</v>
      </c>
    </row>
    <row r="830" spans="1:44" x14ac:dyDescent="0.25">
      <c r="A830" t="s">
        <v>250</v>
      </c>
      <c r="B830" t="s">
        <v>388</v>
      </c>
      <c r="C830" t="s">
        <v>44</v>
      </c>
      <c r="D830" t="s">
        <v>212</v>
      </c>
      <c r="E830" t="s">
        <v>134</v>
      </c>
      <c r="F830" t="s">
        <v>212</v>
      </c>
      <c r="G830" t="s">
        <v>31</v>
      </c>
      <c r="H830" t="s">
        <v>289</v>
      </c>
      <c r="I830" t="s">
        <v>135</v>
      </c>
      <c r="J830" t="s">
        <v>39</v>
      </c>
      <c r="K830" t="s">
        <v>31</v>
      </c>
      <c r="L830">
        <v>0.19</v>
      </c>
      <c r="M830">
        <v>1</v>
      </c>
      <c r="N830">
        <v>4.850758436844905</v>
      </c>
      <c r="O830">
        <v>6.9281219368152529</v>
      </c>
      <c r="P830">
        <v>-2.4521156710348886</v>
      </c>
      <c r="Q830">
        <v>0.77362100319819394</v>
      </c>
      <c r="R830">
        <v>-2.6840821475939207</v>
      </c>
      <c r="S830" s="2">
        <v>3.2519804329502189E-3</v>
      </c>
      <c r="T830" s="2">
        <v>6.4809940951670976E-3</v>
      </c>
      <c r="U830" s="2">
        <v>1.1472776608108051E-2</v>
      </c>
      <c r="V830" s="2">
        <v>1.8606057494461582E-2</v>
      </c>
      <c r="W830" s="2">
        <v>2.8156672336553341E-2</v>
      </c>
      <c r="X830" s="2">
        <v>4.0205392124205666E-2</v>
      </c>
      <c r="Y830" s="2">
        <v>5.4526303440200118E-2</v>
      </c>
      <c r="Z830" s="2">
        <v>7.0473725421104416E-2</v>
      </c>
      <c r="AA830" s="2">
        <v>8.690236078130105E-2</v>
      </c>
      <c r="AB830" s="2">
        <v>0.10217109156144664</v>
      </c>
      <c r="AC830" s="2">
        <v>0.11428543689036857</v>
      </c>
      <c r="AD830" s="2">
        <v>0.12121345284292651</v>
      </c>
      <c r="AE830" s="2">
        <v>0.12135434448359336</v>
      </c>
      <c r="AF830" s="2">
        <v>0.11405374486173456</v>
      </c>
      <c r="AG830" s="2">
        <v>9.99779143421268E-2</v>
      </c>
      <c r="AH830" s="2">
        <v>8.2432588594605463E-2</v>
      </c>
      <c r="AI830" s="2">
        <v>6.2847575339687142E-2</v>
      </c>
      <c r="AJ830" s="2">
        <v>4.1490981627885358E-2</v>
      </c>
      <c r="AK830" s="2">
        <v>0</v>
      </c>
      <c r="AL830" s="2">
        <v>0</v>
      </c>
      <c r="AM830" s="2">
        <v>0</v>
      </c>
      <c r="AN830" s="2">
        <v>0</v>
      </c>
      <c r="AO830" s="2">
        <v>0</v>
      </c>
      <c r="AP830" s="2">
        <v>0</v>
      </c>
      <c r="AQ830" s="2">
        <v>0</v>
      </c>
      <c r="AR830" s="2">
        <v>1.1799033932784257</v>
      </c>
    </row>
    <row r="831" spans="1:44" x14ac:dyDescent="0.25">
      <c r="A831" t="s">
        <v>250</v>
      </c>
      <c r="B831" t="s">
        <v>388</v>
      </c>
      <c r="C831" t="s">
        <v>44</v>
      </c>
      <c r="D831" t="s">
        <v>212</v>
      </c>
      <c r="E831" t="s">
        <v>134</v>
      </c>
      <c r="F831" t="s">
        <v>212</v>
      </c>
      <c r="G831" t="s">
        <v>31</v>
      </c>
      <c r="H831" t="s">
        <v>274</v>
      </c>
      <c r="I831" t="s">
        <v>135</v>
      </c>
      <c r="J831" t="s">
        <v>39</v>
      </c>
      <c r="K831" t="s">
        <v>31</v>
      </c>
      <c r="L831">
        <v>0.19</v>
      </c>
      <c r="M831">
        <v>1</v>
      </c>
      <c r="N831">
        <v>4.850758436844905</v>
      </c>
      <c r="O831">
        <v>6.9281219368152529</v>
      </c>
      <c r="P831">
        <v>-2.4521156710348886</v>
      </c>
      <c r="Q831">
        <v>0.77362100319819394</v>
      </c>
      <c r="R831">
        <v>-2.6840821475939207</v>
      </c>
      <c r="S831" s="2">
        <v>9.0423010007524281E-4</v>
      </c>
      <c r="T831" s="2">
        <v>1.7991821752503924E-3</v>
      </c>
      <c r="U831" s="2">
        <v>3.1798345916008003E-3</v>
      </c>
      <c r="V831" s="2">
        <v>5.1486435858487042E-3</v>
      </c>
      <c r="W831" s="2">
        <v>7.7789732000664137E-3</v>
      </c>
      <c r="X831" s="2">
        <v>1.1089902516967497E-2</v>
      </c>
      <c r="Y831" s="2">
        <v>1.5015920511888017E-2</v>
      </c>
      <c r="Z831" s="2">
        <v>1.9376512491920912E-2</v>
      </c>
      <c r="AA831" s="2">
        <v>2.3855165579127521E-2</v>
      </c>
      <c r="AB831" s="2">
        <v>2.8001504874523842E-2</v>
      </c>
      <c r="AC831" s="2">
        <v>3.1271355718979189E-2</v>
      </c>
      <c r="AD831" s="2">
        <v>3.3113807333243643E-2</v>
      </c>
      <c r="AE831" s="2">
        <v>3.3099093659245134E-2</v>
      </c>
      <c r="AF831" s="2">
        <v>3.1057951024200114E-2</v>
      </c>
      <c r="AG831" s="2">
        <v>2.7181273590429992E-2</v>
      </c>
      <c r="AH831" s="2">
        <v>2.2375211308785434E-2</v>
      </c>
      <c r="AI831" s="2">
        <v>1.7031747610467357E-2</v>
      </c>
      <c r="AJ831" s="2">
        <v>4.392343265003049E-3</v>
      </c>
      <c r="AK831" s="2">
        <v>0</v>
      </c>
      <c r="AL831" s="2">
        <v>0</v>
      </c>
      <c r="AM831" s="2">
        <v>0</v>
      </c>
      <c r="AN831" s="2">
        <v>0</v>
      </c>
      <c r="AO831" s="2">
        <v>0</v>
      </c>
      <c r="AP831" s="2">
        <v>0</v>
      </c>
      <c r="AQ831" s="2">
        <v>0</v>
      </c>
      <c r="AR831" s="2">
        <v>0.31567265313762327</v>
      </c>
    </row>
    <row r="832" spans="1:44" x14ac:dyDescent="0.25">
      <c r="A832" t="s">
        <v>250</v>
      </c>
      <c r="B832" t="s">
        <v>388</v>
      </c>
      <c r="C832" t="s">
        <v>44</v>
      </c>
      <c r="D832" t="s">
        <v>212</v>
      </c>
      <c r="E832" t="s">
        <v>134</v>
      </c>
      <c r="F832" t="s">
        <v>212</v>
      </c>
      <c r="G832" t="s">
        <v>31</v>
      </c>
      <c r="H832" t="s">
        <v>274</v>
      </c>
      <c r="I832" t="s">
        <v>135</v>
      </c>
      <c r="J832" t="s">
        <v>39</v>
      </c>
      <c r="K832" t="s">
        <v>33</v>
      </c>
      <c r="L832">
        <v>0.19</v>
      </c>
      <c r="M832">
        <v>1</v>
      </c>
      <c r="N832">
        <v>4.850758436844905</v>
      </c>
      <c r="O832">
        <v>6.9281219368152529</v>
      </c>
      <c r="P832">
        <v>-2.4521156710348886</v>
      </c>
      <c r="Q832">
        <v>0.77362100319819394</v>
      </c>
      <c r="R832">
        <v>-2.6840821475939207</v>
      </c>
      <c r="S832" s="2">
        <v>2.9093446347951375E-6</v>
      </c>
      <c r="T832" s="2">
        <v>5.7888373856922088E-6</v>
      </c>
      <c r="U832" s="2">
        <v>1.0231062544633232E-5</v>
      </c>
      <c r="V832" s="2">
        <v>1.6565671272959031E-5</v>
      </c>
      <c r="W832" s="2">
        <v>2.5028711101239773E-5</v>
      </c>
      <c r="X832" s="2">
        <v>3.5681568646581983E-5</v>
      </c>
      <c r="Y832" s="2">
        <v>4.8313463325470387E-5</v>
      </c>
      <c r="Z832" s="2">
        <v>6.234359225015862E-5</v>
      </c>
      <c r="AA832" s="2">
        <v>7.6753580735710011E-5</v>
      </c>
      <c r="AB832" s="2">
        <v>9.0094355370504557E-5</v>
      </c>
      <c r="AC832" s="2">
        <v>1.0061504364454552E-4</v>
      </c>
      <c r="AD832" s="2">
        <v>1.0654309969840159E-4</v>
      </c>
      <c r="AE832" s="2">
        <v>1.0649575870798098E-4</v>
      </c>
      <c r="AF832" s="2">
        <v>9.9928417747283403E-5</v>
      </c>
      <c r="AG832" s="2">
        <v>8.7455275466538762E-5</v>
      </c>
      <c r="AH832" s="2">
        <v>7.1991853587052138E-5</v>
      </c>
      <c r="AI832" s="2">
        <v>5.4799351987480695E-5</v>
      </c>
      <c r="AJ832" s="2">
        <v>1.4132288132359393E-5</v>
      </c>
      <c r="AK832" s="2">
        <v>0</v>
      </c>
      <c r="AL832" s="2">
        <v>0</v>
      </c>
      <c r="AM832" s="2">
        <v>0</v>
      </c>
      <c r="AN832" s="2">
        <v>0</v>
      </c>
      <c r="AO832" s="2">
        <v>0</v>
      </c>
      <c r="AP832" s="2">
        <v>0</v>
      </c>
      <c r="AQ832" s="2">
        <v>0</v>
      </c>
      <c r="AR832" s="2">
        <v>1.0156712762393874E-3</v>
      </c>
    </row>
    <row r="833" spans="1:44" x14ac:dyDescent="0.25">
      <c r="A833" t="s">
        <v>250</v>
      </c>
      <c r="B833" t="s">
        <v>388</v>
      </c>
      <c r="C833" t="s">
        <v>44</v>
      </c>
      <c r="D833" t="s">
        <v>212</v>
      </c>
      <c r="E833" t="s">
        <v>134</v>
      </c>
      <c r="F833" t="s">
        <v>212</v>
      </c>
      <c r="G833" t="s">
        <v>31</v>
      </c>
      <c r="H833" t="s">
        <v>255</v>
      </c>
      <c r="I833" t="s">
        <v>135</v>
      </c>
      <c r="J833" t="s">
        <v>39</v>
      </c>
      <c r="K833" t="s">
        <v>31</v>
      </c>
      <c r="L833">
        <v>0.19</v>
      </c>
      <c r="M833">
        <v>1</v>
      </c>
      <c r="N833">
        <v>4.850758436844905</v>
      </c>
      <c r="O833">
        <v>6.9281219368152529</v>
      </c>
      <c r="P833">
        <v>-2.4521156710348886</v>
      </c>
      <c r="Q833">
        <v>0.77362100319819394</v>
      </c>
      <c r="R833">
        <v>-2.6840821475939207</v>
      </c>
      <c r="S833" s="2">
        <v>4.1384350052341162E-4</v>
      </c>
      <c r="T833" s="2">
        <v>8.1980079865252614E-4</v>
      </c>
      <c r="U833" s="2">
        <v>1.4424931011800843E-3</v>
      </c>
      <c r="V833" s="2">
        <v>2.3252950242198911E-3</v>
      </c>
      <c r="W833" s="2">
        <v>3.4977078099018935E-3</v>
      </c>
      <c r="X833" s="2">
        <v>4.9643797811218734E-3</v>
      </c>
      <c r="Y833" s="2">
        <v>6.6921435505068972E-3</v>
      </c>
      <c r="Z833" s="2">
        <v>8.597356157464835E-3</v>
      </c>
      <c r="AA833" s="2">
        <v>1.0537746798941061E-2</v>
      </c>
      <c r="AB833" s="2">
        <v>1.2314668172375585E-2</v>
      </c>
      <c r="AC833" s="2">
        <v>1.3691911070631224E-2</v>
      </c>
      <c r="AD833" s="2">
        <v>1.4434524952566795E-2</v>
      </c>
      <c r="AE833" s="2">
        <v>1.4364334102322032E-2</v>
      </c>
      <c r="AF833" s="2">
        <v>1.3418940120514141E-2</v>
      </c>
      <c r="AG833" s="2">
        <v>1.1692065352610928E-2</v>
      </c>
      <c r="AH833" s="2">
        <v>9.5821859790399845E-3</v>
      </c>
      <c r="AI833" s="2">
        <v>1.1134220348385179E-3</v>
      </c>
      <c r="AJ833" s="2">
        <v>0</v>
      </c>
      <c r="AK833" s="2">
        <v>0</v>
      </c>
      <c r="AL833" s="2">
        <v>0</v>
      </c>
      <c r="AM833" s="2">
        <v>0</v>
      </c>
      <c r="AN833" s="2">
        <v>0</v>
      </c>
      <c r="AO833" s="2">
        <v>0</v>
      </c>
      <c r="AP833" s="2">
        <v>0</v>
      </c>
      <c r="AQ833" s="2">
        <v>0</v>
      </c>
      <c r="AR833" s="2">
        <v>0.12990281830741168</v>
      </c>
    </row>
    <row r="834" spans="1:44" x14ac:dyDescent="0.25">
      <c r="A834" t="s">
        <v>250</v>
      </c>
      <c r="B834" t="s">
        <v>388</v>
      </c>
      <c r="C834" t="s">
        <v>44</v>
      </c>
      <c r="D834" t="s">
        <v>212</v>
      </c>
      <c r="E834" t="s">
        <v>134</v>
      </c>
      <c r="F834" t="s">
        <v>212</v>
      </c>
      <c r="G834" t="s">
        <v>31</v>
      </c>
      <c r="H834" t="s">
        <v>278</v>
      </c>
      <c r="I834" t="s">
        <v>135</v>
      </c>
      <c r="J834" t="s">
        <v>39</v>
      </c>
      <c r="K834" t="s">
        <v>31</v>
      </c>
      <c r="L834">
        <v>0.19</v>
      </c>
      <c r="M834">
        <v>1</v>
      </c>
      <c r="N834">
        <v>4.850758436844905</v>
      </c>
      <c r="O834">
        <v>6.9281219368152529</v>
      </c>
      <c r="P834">
        <v>-2.4521156710348886</v>
      </c>
      <c r="Q834">
        <v>0.77362100319819394</v>
      </c>
      <c r="R834">
        <v>-2.6840821475939207</v>
      </c>
      <c r="S834" s="2">
        <v>1.0187231550778408E-3</v>
      </c>
      <c r="T834" s="2">
        <v>2.0180335201165976E-3</v>
      </c>
      <c r="U834" s="2">
        <v>3.5508619112143416E-3</v>
      </c>
      <c r="V834" s="2">
        <v>5.7239799116431548E-3</v>
      </c>
      <c r="W834" s="2">
        <v>8.610008206331822E-3</v>
      </c>
      <c r="X834" s="2">
        <v>1.2220389174247805E-2</v>
      </c>
      <c r="Y834" s="2">
        <v>1.6473477494231035E-2</v>
      </c>
      <c r="Z834" s="2">
        <v>2.1163376442987086E-2</v>
      </c>
      <c r="AA834" s="2">
        <v>2.593987015103881E-2</v>
      </c>
      <c r="AB834" s="2">
        <v>3.0313965541158536E-2</v>
      </c>
      <c r="AC834" s="2">
        <v>3.3704206607757491E-2</v>
      </c>
      <c r="AD834" s="2">
        <v>3.553223569569338E-2</v>
      </c>
      <c r="AE834" s="2">
        <v>3.5359452882072998E-2</v>
      </c>
      <c r="AF834" s="2">
        <v>3.3032257363185165E-2</v>
      </c>
      <c r="AG834" s="2">
        <v>2.8781357422126033E-2</v>
      </c>
      <c r="AH834" s="2">
        <v>2.3587647796242343E-2</v>
      </c>
      <c r="AI834" s="2">
        <v>2.7408158079787965E-3</v>
      </c>
      <c r="AJ834" s="2">
        <v>0</v>
      </c>
      <c r="AK834" s="2">
        <v>0</v>
      </c>
      <c r="AL834" s="2">
        <v>0</v>
      </c>
      <c r="AM834" s="2">
        <v>0</v>
      </c>
      <c r="AN834" s="2">
        <v>0</v>
      </c>
      <c r="AO834" s="2">
        <v>0</v>
      </c>
      <c r="AP834" s="2">
        <v>0</v>
      </c>
      <c r="AQ834" s="2">
        <v>0</v>
      </c>
      <c r="AR834" s="2">
        <v>0.31977065908310326</v>
      </c>
    </row>
    <row r="835" spans="1:44" x14ac:dyDescent="0.25">
      <c r="A835" t="s">
        <v>250</v>
      </c>
      <c r="B835" t="s">
        <v>388</v>
      </c>
      <c r="C835" t="s">
        <v>44</v>
      </c>
      <c r="D835" t="s">
        <v>212</v>
      </c>
      <c r="E835" t="s">
        <v>134</v>
      </c>
      <c r="F835" t="s">
        <v>212</v>
      </c>
      <c r="G835" t="s">
        <v>31</v>
      </c>
      <c r="H835" t="s">
        <v>276</v>
      </c>
      <c r="I835" t="s">
        <v>135</v>
      </c>
      <c r="J835" t="s">
        <v>39</v>
      </c>
      <c r="K835" t="s">
        <v>31</v>
      </c>
      <c r="L835">
        <v>0.19</v>
      </c>
      <c r="M835">
        <v>1</v>
      </c>
      <c r="N835">
        <v>4.850758436844905</v>
      </c>
      <c r="O835">
        <v>6.9281219368152529</v>
      </c>
      <c r="P835">
        <v>-2.4521156710348886</v>
      </c>
      <c r="Q835">
        <v>0.77362100319819394</v>
      </c>
      <c r="R835">
        <v>-2.6840821475939207</v>
      </c>
      <c r="S835" s="2">
        <v>6.5814197124980656E-3</v>
      </c>
      <c r="T835" s="2">
        <v>1.3128199082235153E-2</v>
      </c>
      <c r="U835" s="2">
        <v>2.3260761577418933E-2</v>
      </c>
      <c r="V835" s="2">
        <v>3.7757359537608857E-2</v>
      </c>
      <c r="W835" s="2">
        <v>5.7190046285564011E-2</v>
      </c>
      <c r="X835" s="2">
        <v>8.1736358946745927E-2</v>
      </c>
      <c r="Y835" s="2">
        <v>0.11095040857018318</v>
      </c>
      <c r="Z835" s="2">
        <v>0.14352975518224945</v>
      </c>
      <c r="AA835" s="2">
        <v>0.17714877479301264</v>
      </c>
      <c r="AB835" s="2">
        <v>0.2084617964054937</v>
      </c>
      <c r="AC835" s="2">
        <v>0.23338943887367397</v>
      </c>
      <c r="AD835" s="2">
        <v>0.24776102775507208</v>
      </c>
      <c r="AE835" s="2">
        <v>0.24827292697485154</v>
      </c>
      <c r="AF835" s="2">
        <v>0.23354762193081105</v>
      </c>
      <c r="AG835" s="2">
        <v>0.20490937887130478</v>
      </c>
      <c r="AH835" s="2">
        <v>0.16910193088039358</v>
      </c>
      <c r="AI835" s="2">
        <v>0.12904168345482836</v>
      </c>
      <c r="AJ835" s="2">
        <v>8.9148943328935304E-2</v>
      </c>
      <c r="AK835" s="2">
        <v>2.5267754224749982E-2</v>
      </c>
      <c r="AL835" s="2">
        <v>0</v>
      </c>
      <c r="AM835" s="2">
        <v>0</v>
      </c>
      <c r="AN835" s="2">
        <v>0</v>
      </c>
      <c r="AO835" s="2">
        <v>0</v>
      </c>
      <c r="AP835" s="2">
        <v>0</v>
      </c>
      <c r="AQ835" s="2">
        <v>0</v>
      </c>
      <c r="AR835" s="2">
        <v>2.4401855863876305</v>
      </c>
    </row>
    <row r="836" spans="1:44" x14ac:dyDescent="0.25">
      <c r="A836" t="s">
        <v>250</v>
      </c>
      <c r="B836" t="s">
        <v>388</v>
      </c>
      <c r="C836" t="s">
        <v>44</v>
      </c>
      <c r="D836" t="s">
        <v>212</v>
      </c>
      <c r="E836" t="s">
        <v>134</v>
      </c>
      <c r="F836" t="s">
        <v>212</v>
      </c>
      <c r="G836" t="s">
        <v>31</v>
      </c>
      <c r="H836" t="s">
        <v>290</v>
      </c>
      <c r="I836" t="s">
        <v>135</v>
      </c>
      <c r="J836" t="s">
        <v>39</v>
      </c>
      <c r="K836" t="s">
        <v>31</v>
      </c>
      <c r="L836">
        <v>0.19</v>
      </c>
      <c r="M836">
        <v>1</v>
      </c>
      <c r="N836">
        <v>4.850758436844905</v>
      </c>
      <c r="O836">
        <v>6.9281219368152529</v>
      </c>
      <c r="P836">
        <v>-2.4521156710348886</v>
      </c>
      <c r="Q836">
        <v>0.77362100319819394</v>
      </c>
      <c r="R836">
        <v>-2.6840821475939207</v>
      </c>
      <c r="S836" s="2">
        <v>4.7090891583040943E-3</v>
      </c>
      <c r="T836" s="2">
        <v>9.3849208683265874E-3</v>
      </c>
      <c r="U836" s="2">
        <v>1.6613361935844551E-2</v>
      </c>
      <c r="V836" s="2">
        <v>2.6942838504862825E-2</v>
      </c>
      <c r="W836" s="2">
        <v>4.0772779285666083E-2</v>
      </c>
      <c r="X836" s="2">
        <v>5.8220146172804473E-2</v>
      </c>
      <c r="Y836" s="2">
        <v>7.8957801151251977E-2</v>
      </c>
      <c r="Z836" s="2">
        <v>0.10205075435363253</v>
      </c>
      <c r="AA836" s="2">
        <v>0.12584053730452446</v>
      </c>
      <c r="AB836" s="2">
        <v>0.14795069942275652</v>
      </c>
      <c r="AC836" s="2">
        <v>0.16549309656338876</v>
      </c>
      <c r="AD836" s="2">
        <v>0.17552533552773919</v>
      </c>
      <c r="AE836" s="2">
        <v>0.17572935621951127</v>
      </c>
      <c r="AF836" s="2">
        <v>0.16515759072545352</v>
      </c>
      <c r="AG836" s="2">
        <v>0.14477482943255204</v>
      </c>
      <c r="AH836" s="2">
        <v>0.11936800274337334</v>
      </c>
      <c r="AI836" s="2">
        <v>9.1007569620991893E-2</v>
      </c>
      <c r="AJ836" s="2">
        <v>6.0081767335239698E-2</v>
      </c>
      <c r="AK836" s="2">
        <v>0</v>
      </c>
      <c r="AL836" s="2">
        <v>0</v>
      </c>
      <c r="AM836" s="2">
        <v>0</v>
      </c>
      <c r="AN836" s="2">
        <v>0</v>
      </c>
      <c r="AO836" s="2">
        <v>0</v>
      </c>
      <c r="AP836" s="2">
        <v>0</v>
      </c>
      <c r="AQ836" s="2">
        <v>0</v>
      </c>
      <c r="AR836" s="2">
        <v>1.7085804763262236</v>
      </c>
    </row>
    <row r="837" spans="1:44" x14ac:dyDescent="0.25">
      <c r="A837" t="s">
        <v>250</v>
      </c>
      <c r="B837" t="s">
        <v>388</v>
      </c>
      <c r="C837" t="s">
        <v>44</v>
      </c>
      <c r="D837" t="s">
        <v>212</v>
      </c>
      <c r="E837" t="s">
        <v>134</v>
      </c>
      <c r="F837" t="s">
        <v>212</v>
      </c>
      <c r="G837" t="s">
        <v>31</v>
      </c>
      <c r="H837" t="s">
        <v>275</v>
      </c>
      <c r="I837" t="s">
        <v>135</v>
      </c>
      <c r="J837" t="s">
        <v>39</v>
      </c>
      <c r="K837" t="s">
        <v>31</v>
      </c>
      <c r="L837">
        <v>0.19</v>
      </c>
      <c r="M837">
        <v>1</v>
      </c>
      <c r="N837">
        <v>4.850758436844905</v>
      </c>
      <c r="O837">
        <v>6.9281219368152529</v>
      </c>
      <c r="P837">
        <v>-2.4521156710348886</v>
      </c>
      <c r="Q837">
        <v>0.77362100319819394</v>
      </c>
      <c r="R837">
        <v>-2.6840821475939207</v>
      </c>
      <c r="S837" s="2">
        <v>1.3813809296626298E-3</v>
      </c>
      <c r="T837" s="2">
        <v>2.7485879375979717E-3</v>
      </c>
      <c r="U837" s="2">
        <v>4.8577932364266439E-3</v>
      </c>
      <c r="V837" s="2">
        <v>7.8655179279360343E-3</v>
      </c>
      <c r="W837" s="2">
        <v>1.1883839334738197E-2</v>
      </c>
      <c r="X837" s="2">
        <v>1.6941904331078714E-2</v>
      </c>
      <c r="Y837" s="2">
        <v>2.2939632550084292E-2</v>
      </c>
      <c r="Z837" s="2">
        <v>2.9601253970070213E-2</v>
      </c>
      <c r="AA837" s="2">
        <v>3.6443235855794953E-2</v>
      </c>
      <c r="AB837" s="2">
        <v>4.2777546149264101E-2</v>
      </c>
      <c r="AC837" s="2">
        <v>4.7772856080879958E-2</v>
      </c>
      <c r="AD837" s="2">
        <v>5.0587546195220622E-2</v>
      </c>
      <c r="AE837" s="2">
        <v>5.0565068300860404E-2</v>
      </c>
      <c r="AF837" s="2">
        <v>4.7446840417782979E-2</v>
      </c>
      <c r="AG837" s="2">
        <v>4.1524489152305437E-2</v>
      </c>
      <c r="AH837" s="2">
        <v>3.4182328365927918E-2</v>
      </c>
      <c r="AI837" s="2">
        <v>2.6019186207104725E-2</v>
      </c>
      <c r="AJ837" s="2">
        <v>6.7101274579363171E-3</v>
      </c>
      <c r="AK837" s="2">
        <v>0</v>
      </c>
      <c r="AL837" s="2">
        <v>0</v>
      </c>
      <c r="AM837" s="2">
        <v>0</v>
      </c>
      <c r="AN837" s="2">
        <v>0</v>
      </c>
      <c r="AO837" s="2">
        <v>0</v>
      </c>
      <c r="AP837" s="2">
        <v>0</v>
      </c>
      <c r="AQ837" s="2">
        <v>0</v>
      </c>
      <c r="AR837" s="2">
        <v>0.48224913440067213</v>
      </c>
    </row>
    <row r="838" spans="1:44" x14ac:dyDescent="0.25">
      <c r="A838" t="s">
        <v>250</v>
      </c>
      <c r="B838" t="s">
        <v>388</v>
      </c>
      <c r="C838" t="s">
        <v>44</v>
      </c>
      <c r="D838" t="s">
        <v>212</v>
      </c>
      <c r="E838" t="s">
        <v>134</v>
      </c>
      <c r="F838" t="s">
        <v>212</v>
      </c>
      <c r="G838" t="s">
        <v>31</v>
      </c>
      <c r="H838" t="s">
        <v>277</v>
      </c>
      <c r="I838" t="s">
        <v>135</v>
      </c>
      <c r="J838" t="s">
        <v>39</v>
      </c>
      <c r="K838" t="s">
        <v>31</v>
      </c>
      <c r="L838">
        <v>0.19</v>
      </c>
      <c r="M838">
        <v>1</v>
      </c>
      <c r="N838">
        <v>4.850758436844905</v>
      </c>
      <c r="O838">
        <v>6.9281219368152529</v>
      </c>
      <c r="P838">
        <v>-2.4521156710348886</v>
      </c>
      <c r="Q838">
        <v>0.77362100319819394</v>
      </c>
      <c r="R838">
        <v>-2.6840821475939207</v>
      </c>
      <c r="S838" s="2">
        <v>3.7966093761399125E-3</v>
      </c>
      <c r="T838" s="2">
        <v>7.553352218997304E-3</v>
      </c>
      <c r="U838" s="2">
        <v>1.3348017488255606E-2</v>
      </c>
      <c r="V838" s="2">
        <v>2.1609897506302257E-2</v>
      </c>
      <c r="W838" s="2">
        <v>3.2645986306080899E-2</v>
      </c>
      <c r="X838" s="2">
        <v>4.6535339655733851E-2</v>
      </c>
      <c r="Y838" s="2">
        <v>6.3002061575904905E-2</v>
      </c>
      <c r="Z838" s="2">
        <v>8.1287927967801529E-2</v>
      </c>
      <c r="AA838" s="2">
        <v>0.10006461226067141</v>
      </c>
      <c r="AB838" s="2">
        <v>0.11744298859275625</v>
      </c>
      <c r="AC838" s="2">
        <v>0.13114147759621811</v>
      </c>
      <c r="AD838" s="2">
        <v>0.1388513546426999</v>
      </c>
      <c r="AE838" s="2">
        <v>0.13877292618974382</v>
      </c>
      <c r="AF838" s="2">
        <v>0.13019943080637289</v>
      </c>
      <c r="AG838" s="2">
        <v>0.11393410036608234</v>
      </c>
      <c r="AH838" s="2">
        <v>9.3777513140515092E-2</v>
      </c>
      <c r="AI838" s="2">
        <v>7.1373734271787892E-2</v>
      </c>
      <c r="AJ838" s="2">
        <v>1.6254339954137793E-2</v>
      </c>
      <c r="AK838" s="2">
        <v>0</v>
      </c>
      <c r="AL838" s="2">
        <v>0</v>
      </c>
      <c r="AM838" s="2">
        <v>0</v>
      </c>
      <c r="AN838" s="2">
        <v>0</v>
      </c>
      <c r="AO838" s="2">
        <v>0</v>
      </c>
      <c r="AP838" s="2">
        <v>0</v>
      </c>
      <c r="AQ838" s="2">
        <v>0</v>
      </c>
      <c r="AR838" s="2">
        <v>1.3215916699162016</v>
      </c>
    </row>
    <row r="839" spans="1:44" x14ac:dyDescent="0.25">
      <c r="A839" t="s">
        <v>250</v>
      </c>
      <c r="B839" t="s">
        <v>388</v>
      </c>
      <c r="C839" t="s">
        <v>44</v>
      </c>
      <c r="D839" t="s">
        <v>212</v>
      </c>
      <c r="E839" t="s">
        <v>134</v>
      </c>
      <c r="F839" t="s">
        <v>212</v>
      </c>
      <c r="G839" t="s">
        <v>31</v>
      </c>
      <c r="H839" t="s">
        <v>277</v>
      </c>
      <c r="I839" t="s">
        <v>135</v>
      </c>
      <c r="J839" t="s">
        <v>40</v>
      </c>
      <c r="K839" t="s">
        <v>31</v>
      </c>
      <c r="L839">
        <v>0.19</v>
      </c>
      <c r="M839">
        <v>1</v>
      </c>
      <c r="N839">
        <v>4.850758436844905</v>
      </c>
      <c r="O839">
        <v>5.6913337240265207</v>
      </c>
      <c r="P839">
        <v>-2.4521156710348886</v>
      </c>
      <c r="Q839">
        <v>0.4672931329656026</v>
      </c>
      <c r="R839">
        <v>-2.5410821475939209</v>
      </c>
      <c r="S839" s="2">
        <v>5.9889762679731992E-4</v>
      </c>
      <c r="T839" s="2">
        <v>1.1915064917531961E-3</v>
      </c>
      <c r="U839" s="2">
        <v>2.1055882246946251E-3</v>
      </c>
      <c r="V839" s="2">
        <v>3.4088617104497199E-3</v>
      </c>
      <c r="W839" s="2">
        <v>5.1497538424793527E-3</v>
      </c>
      <c r="X839" s="2">
        <v>7.3407353037625656E-3</v>
      </c>
      <c r="Y839" s="2">
        <v>9.938284775430524E-3</v>
      </c>
      <c r="Z839" s="2">
        <v>1.2822795901295743E-2</v>
      </c>
      <c r="AA839" s="2">
        <v>1.5784731288379358E-2</v>
      </c>
      <c r="AB839" s="2">
        <v>1.8526090040819208E-2</v>
      </c>
      <c r="AC839" s="2">
        <v>2.0686963531371356E-2</v>
      </c>
      <c r="AD839" s="2">
        <v>2.190316109308409E-2</v>
      </c>
      <c r="AE839" s="2">
        <v>2.1890789366183779E-2</v>
      </c>
      <c r="AF839" s="2">
        <v>2.0538359993089002E-2</v>
      </c>
      <c r="AG839" s="2">
        <v>1.7972579098961747E-2</v>
      </c>
      <c r="AH839" s="2">
        <v>1.4792970385568382E-2</v>
      </c>
      <c r="AI839" s="2">
        <v>1.1258877549972382E-2</v>
      </c>
      <c r="AJ839" s="2">
        <v>2.5640471956026867E-3</v>
      </c>
      <c r="AK839" s="2">
        <v>0</v>
      </c>
      <c r="AL839" s="2">
        <v>0</v>
      </c>
      <c r="AM839" s="2">
        <v>0</v>
      </c>
      <c r="AN839" s="2">
        <v>0</v>
      </c>
      <c r="AO839" s="2">
        <v>0</v>
      </c>
      <c r="AP839" s="2">
        <v>0</v>
      </c>
      <c r="AQ839" s="2">
        <v>0</v>
      </c>
      <c r="AR839" s="2">
        <v>0.20847499341969497</v>
      </c>
    </row>
    <row r="840" spans="1:44" x14ac:dyDescent="0.25">
      <c r="A840" t="s">
        <v>250</v>
      </c>
      <c r="B840" t="s">
        <v>404</v>
      </c>
      <c r="C840" t="s">
        <v>44</v>
      </c>
      <c r="D840" t="s">
        <v>219</v>
      </c>
      <c r="E840" t="s">
        <v>134</v>
      </c>
      <c r="F840" t="s">
        <v>399</v>
      </c>
      <c r="G840" t="s">
        <v>31</v>
      </c>
      <c r="H840" t="s">
        <v>253</v>
      </c>
      <c r="I840" t="s">
        <v>135</v>
      </c>
      <c r="J840" t="s">
        <v>39</v>
      </c>
      <c r="K840" t="s">
        <v>31</v>
      </c>
      <c r="L840">
        <v>0.47068074581430608</v>
      </c>
      <c r="M840">
        <v>0</v>
      </c>
      <c r="N840">
        <v>0.58605863060095531</v>
      </c>
      <c r="O840">
        <v>6.0314982584435839</v>
      </c>
      <c r="P840">
        <v>2.8150631036590616</v>
      </c>
      <c r="Q840">
        <v>5.5745076746880287</v>
      </c>
      <c r="R840">
        <v>-2.217790044389806</v>
      </c>
      <c r="S840" s="2">
        <v>2.4020156061730948E-2</v>
      </c>
      <c r="T840" s="2">
        <v>3.8911880553366987E-2</v>
      </c>
      <c r="U840" s="2">
        <v>5.8820642289905647E-2</v>
      </c>
      <c r="V840" s="2">
        <v>8.3898329130085006E-2</v>
      </c>
      <c r="W840" s="2">
        <v>0.11365685637404117</v>
      </c>
      <c r="X840" s="2">
        <v>0.14673624044327491</v>
      </c>
      <c r="Y840" s="2">
        <v>0.18074334122380009</v>
      </c>
      <c r="Z840" s="2">
        <v>0.21226546387136086</v>
      </c>
      <c r="AA840" s="2">
        <v>0.23717164878486718</v>
      </c>
      <c r="AB840" s="2">
        <v>0.25127152555868876</v>
      </c>
      <c r="AC840" s="2">
        <v>0.25128603671829736</v>
      </c>
      <c r="AD840" s="2">
        <v>0.23590826231376508</v>
      </c>
      <c r="AE840" s="2">
        <v>0.20656571887566616</v>
      </c>
      <c r="AF840" s="2">
        <v>0.17012717410128064</v>
      </c>
      <c r="AG840" s="2">
        <v>0.12956385205512058</v>
      </c>
      <c r="AH840" s="2">
        <v>3.2896823698203487E-2</v>
      </c>
      <c r="AI840" s="2">
        <v>0</v>
      </c>
      <c r="AJ840" s="2">
        <v>0</v>
      </c>
      <c r="AK840" s="2">
        <v>0</v>
      </c>
      <c r="AL840" s="2">
        <v>0</v>
      </c>
      <c r="AM840" s="2">
        <v>0</v>
      </c>
      <c r="AN840" s="2">
        <v>0</v>
      </c>
      <c r="AO840" s="2">
        <v>0</v>
      </c>
      <c r="AP840" s="2">
        <v>0</v>
      </c>
      <c r="AQ840" s="2">
        <v>0</v>
      </c>
      <c r="AR840" s="2">
        <v>2.3738439520534551</v>
      </c>
    </row>
    <row r="841" spans="1:44" x14ac:dyDescent="0.25">
      <c r="A841" t="s">
        <v>250</v>
      </c>
      <c r="B841" t="s">
        <v>404</v>
      </c>
      <c r="C841" t="s">
        <v>44</v>
      </c>
      <c r="D841" t="s">
        <v>219</v>
      </c>
      <c r="E841" t="s">
        <v>134</v>
      </c>
      <c r="F841" t="s">
        <v>399</v>
      </c>
      <c r="G841" t="s">
        <v>31</v>
      </c>
      <c r="H841" t="s">
        <v>253</v>
      </c>
      <c r="I841" t="s">
        <v>135</v>
      </c>
      <c r="J841" t="s">
        <v>40</v>
      </c>
      <c r="K841" t="s">
        <v>31</v>
      </c>
      <c r="L841">
        <v>0.47068074581430608</v>
      </c>
      <c r="M841">
        <v>0</v>
      </c>
      <c r="N841">
        <v>0.58605863060095531</v>
      </c>
      <c r="O841">
        <v>4.8304674702220103</v>
      </c>
      <c r="P841">
        <v>2.8150631036590616</v>
      </c>
      <c r="Q841">
        <v>0.4672931329656026</v>
      </c>
      <c r="R841">
        <v>-2.0747900443898062</v>
      </c>
      <c r="S841" s="2">
        <v>1.263510132203113E-2</v>
      </c>
      <c r="T841" s="2">
        <v>2.0468457913388537E-2</v>
      </c>
      <c r="U841" s="2">
        <v>3.094088036938214E-2</v>
      </c>
      <c r="V841" s="2">
        <v>4.4132264860536841E-2</v>
      </c>
      <c r="W841" s="2">
        <v>5.9785868690399445E-2</v>
      </c>
      <c r="X841" s="2">
        <v>7.7186312230857923E-2</v>
      </c>
      <c r="Y841" s="2">
        <v>9.5074754043067186E-2</v>
      </c>
      <c r="Z841" s="2">
        <v>0.11165604570969263</v>
      </c>
      <c r="AA841" s="2">
        <v>0.12475721662293099</v>
      </c>
      <c r="AB841" s="2">
        <v>0.13217404485699993</v>
      </c>
      <c r="AC841" s="2">
        <v>0.13218167802855318</v>
      </c>
      <c r="AD841" s="2">
        <v>0.12409264908097856</v>
      </c>
      <c r="AE841" s="2">
        <v>0.10865786137878063</v>
      </c>
      <c r="AF841" s="2">
        <v>8.9490429490806836E-2</v>
      </c>
      <c r="AG841" s="2">
        <v>6.8153279028742866E-2</v>
      </c>
      <c r="AH841" s="2">
        <v>1.7304412990972934E-2</v>
      </c>
      <c r="AI841" s="2">
        <v>0</v>
      </c>
      <c r="AJ841" s="2">
        <v>0</v>
      </c>
      <c r="AK841" s="2">
        <v>0</v>
      </c>
      <c r="AL841" s="2">
        <v>0</v>
      </c>
      <c r="AM841" s="2">
        <v>0</v>
      </c>
      <c r="AN841" s="2">
        <v>0</v>
      </c>
      <c r="AO841" s="2">
        <v>0</v>
      </c>
      <c r="AP841" s="2">
        <v>0</v>
      </c>
      <c r="AQ841" s="2">
        <v>0</v>
      </c>
      <c r="AR841" s="2">
        <v>1.2486912566181219</v>
      </c>
    </row>
    <row r="842" spans="1:44" x14ac:dyDescent="0.25">
      <c r="A842" t="s">
        <v>250</v>
      </c>
      <c r="B842" t="s">
        <v>404</v>
      </c>
      <c r="C842" t="s">
        <v>44</v>
      </c>
      <c r="D842" t="s">
        <v>219</v>
      </c>
      <c r="E842" t="s">
        <v>134</v>
      </c>
      <c r="F842" t="s">
        <v>399</v>
      </c>
      <c r="G842" t="s">
        <v>31</v>
      </c>
      <c r="H842" t="s">
        <v>253</v>
      </c>
      <c r="I842" t="s">
        <v>256</v>
      </c>
      <c r="J842" t="s">
        <v>39</v>
      </c>
      <c r="K842" t="s">
        <v>31</v>
      </c>
      <c r="L842">
        <v>0.47068074581430608</v>
      </c>
      <c r="M842">
        <v>0</v>
      </c>
      <c r="N842">
        <v>0.32362523975792612</v>
      </c>
      <c r="O842">
        <v>3.3306310462261401</v>
      </c>
      <c r="P842">
        <v>4.2780000550079311</v>
      </c>
      <c r="Q842">
        <v>0.4672931329656026</v>
      </c>
      <c r="R842">
        <v>-0.75485309304093695</v>
      </c>
      <c r="S842" s="2">
        <v>1.2600034972480812E-2</v>
      </c>
      <c r="T842" s="2">
        <v>2.0411651554527351E-2</v>
      </c>
      <c r="U842" s="2">
        <v>3.0855009769790255E-2</v>
      </c>
      <c r="V842" s="2">
        <v>4.4009784051985794E-2</v>
      </c>
      <c r="W842" s="2">
        <v>5.961994424577223E-2</v>
      </c>
      <c r="X842" s="2">
        <v>7.6972096124773542E-2</v>
      </c>
      <c r="Y842" s="2">
        <v>9.4810891928018615E-2</v>
      </c>
      <c r="Z842" s="2">
        <v>0.11134616533529193</v>
      </c>
      <c r="AA842" s="2">
        <v>0.12441097641040527</v>
      </c>
      <c r="AB842" s="2">
        <v>0.13180722063135225</v>
      </c>
      <c r="AC842" s="2">
        <v>0.13181483261847213</v>
      </c>
      <c r="AD842" s="2">
        <v>0.1237482532507915</v>
      </c>
      <c r="AE842" s="2">
        <v>0.10835630190162361</v>
      </c>
      <c r="AF842" s="2">
        <v>8.9242065619243666E-2</v>
      </c>
      <c r="AG842" s="2">
        <v>6.7964132408980096E-2</v>
      </c>
      <c r="AH842" s="2">
        <v>1.7256387844260476E-2</v>
      </c>
      <c r="AI842" s="2">
        <v>0</v>
      </c>
      <c r="AJ842" s="2">
        <v>0</v>
      </c>
      <c r="AK842" s="2">
        <v>0</v>
      </c>
      <c r="AL842" s="2">
        <v>0</v>
      </c>
      <c r="AM842" s="2">
        <v>0</v>
      </c>
      <c r="AN842" s="2">
        <v>0</v>
      </c>
      <c r="AO842" s="2">
        <v>0</v>
      </c>
      <c r="AP842" s="2">
        <v>0</v>
      </c>
      <c r="AQ842" s="2">
        <v>0</v>
      </c>
      <c r="AR842" s="2">
        <v>1.2452257486677694</v>
      </c>
    </row>
    <row r="843" spans="1:44" x14ac:dyDescent="0.25">
      <c r="A843" t="s">
        <v>250</v>
      </c>
      <c r="B843" t="s">
        <v>413</v>
      </c>
      <c r="C843" t="s">
        <v>44</v>
      </c>
      <c r="D843" t="s">
        <v>219</v>
      </c>
      <c r="E843" t="s">
        <v>134</v>
      </c>
      <c r="F843" t="s">
        <v>408</v>
      </c>
      <c r="G843" t="s">
        <v>31</v>
      </c>
      <c r="H843" t="s">
        <v>253</v>
      </c>
      <c r="I843" t="s">
        <v>135</v>
      </c>
      <c r="J843" t="s">
        <v>39</v>
      </c>
      <c r="K843" t="s">
        <v>31</v>
      </c>
      <c r="L843">
        <v>0.31387313296220043</v>
      </c>
      <c r="M843">
        <v>0</v>
      </c>
      <c r="N843">
        <v>0.58446794376671085</v>
      </c>
      <c r="O843">
        <v>6.0314982584435723</v>
      </c>
      <c r="P843">
        <v>2.830234673049798</v>
      </c>
      <c r="Q843">
        <v>5.5896792440787584</v>
      </c>
      <c r="R843">
        <v>-2.2177900443898002</v>
      </c>
      <c r="S843" s="2">
        <v>0</v>
      </c>
      <c r="T843" s="2">
        <v>0</v>
      </c>
      <c r="U843" s="2">
        <v>1.8425195122605084E-2</v>
      </c>
      <c r="V843" s="2">
        <v>2.6280622320706014E-2</v>
      </c>
      <c r="W843" s="2">
        <v>3.5602293245835429E-2</v>
      </c>
      <c r="X843" s="2">
        <v>4.5964201621593218E-2</v>
      </c>
      <c r="Y843" s="2">
        <v>5.6616711404588287E-2</v>
      </c>
      <c r="Z843" s="2">
        <v>6.649081746411474E-2</v>
      </c>
      <c r="AA843" s="2">
        <v>7.4292522765618887E-2</v>
      </c>
      <c r="AB843" s="2">
        <v>7.8709220214822614E-2</v>
      </c>
      <c r="AC843" s="2">
        <v>7.8713765744025194E-2</v>
      </c>
      <c r="AD843" s="2">
        <v>7.3896774923720362E-2</v>
      </c>
      <c r="AE843" s="2">
        <v>6.4705408301508754E-2</v>
      </c>
      <c r="AF843" s="2">
        <v>5.3291264026395085E-2</v>
      </c>
      <c r="AG843" s="2">
        <v>4.0585059292384061E-2</v>
      </c>
      <c r="AH843" s="2">
        <v>2.7982149611043658E-2</v>
      </c>
      <c r="AI843" s="2">
        <v>2.0356363380984554E-3</v>
      </c>
      <c r="AJ843" s="2">
        <v>0</v>
      </c>
      <c r="AK843" s="2">
        <v>0</v>
      </c>
      <c r="AL843" s="2">
        <v>0</v>
      </c>
      <c r="AM843" s="2">
        <v>0</v>
      </c>
      <c r="AN843" s="2">
        <v>0</v>
      </c>
      <c r="AO843" s="2">
        <v>0</v>
      </c>
      <c r="AP843" s="2">
        <v>0</v>
      </c>
      <c r="AQ843" s="2">
        <v>0</v>
      </c>
      <c r="AR843" s="2">
        <v>0.74359164239705999</v>
      </c>
    </row>
    <row r="844" spans="1:44" x14ac:dyDescent="0.25">
      <c r="A844" t="s">
        <v>250</v>
      </c>
      <c r="B844" t="s">
        <v>413</v>
      </c>
      <c r="C844" t="s">
        <v>44</v>
      </c>
      <c r="D844" t="s">
        <v>219</v>
      </c>
      <c r="E844" t="s">
        <v>134</v>
      </c>
      <c r="F844" t="s">
        <v>408</v>
      </c>
      <c r="G844" t="s">
        <v>31</v>
      </c>
      <c r="H844" t="s">
        <v>253</v>
      </c>
      <c r="I844" t="s">
        <v>135</v>
      </c>
      <c r="J844" t="s">
        <v>40</v>
      </c>
      <c r="K844" t="s">
        <v>31</v>
      </c>
      <c r="L844">
        <v>0.31387313296220043</v>
      </c>
      <c r="M844">
        <v>0</v>
      </c>
      <c r="N844">
        <v>0.58446794376671085</v>
      </c>
      <c r="O844">
        <v>4.8304674702219987</v>
      </c>
      <c r="P844">
        <v>2.830234673049798</v>
      </c>
      <c r="Q844">
        <v>0.4672931329656026</v>
      </c>
      <c r="R844">
        <v>-2.0747900443897995</v>
      </c>
      <c r="S844" s="2">
        <v>0</v>
      </c>
      <c r="T844" s="2">
        <v>0</v>
      </c>
      <c r="U844" s="2">
        <v>9.6920355827002265E-3</v>
      </c>
      <c r="V844" s="2">
        <v>1.3824153555654471E-2</v>
      </c>
      <c r="W844" s="2">
        <v>1.8727546203352128E-2</v>
      </c>
      <c r="X844" s="2">
        <v>2.4178125370316456E-2</v>
      </c>
      <c r="Y844" s="2">
        <v>2.9781566917330742E-2</v>
      </c>
      <c r="Z844" s="2">
        <v>3.4975551927501722E-2</v>
      </c>
      <c r="AA844" s="2">
        <v>3.9079411066293222E-2</v>
      </c>
      <c r="AB844" s="2">
        <v>4.1402685720963547E-2</v>
      </c>
      <c r="AC844" s="2">
        <v>4.1405076763798142E-2</v>
      </c>
      <c r="AD844" s="2">
        <v>3.8871239476253892E-2</v>
      </c>
      <c r="AE844" s="2">
        <v>3.403638960012826E-2</v>
      </c>
      <c r="AF844" s="2">
        <v>2.8032312480491508E-2</v>
      </c>
      <c r="AG844" s="2">
        <v>2.1348584705363487E-2</v>
      </c>
      <c r="AH844" s="2">
        <v>1.4719192274818729E-2</v>
      </c>
      <c r="AI844" s="2">
        <v>1.0707870223901164E-3</v>
      </c>
      <c r="AJ844" s="2">
        <v>0</v>
      </c>
      <c r="AK844" s="2">
        <v>0</v>
      </c>
      <c r="AL844" s="2">
        <v>0</v>
      </c>
      <c r="AM844" s="2">
        <v>0</v>
      </c>
      <c r="AN844" s="2">
        <v>0</v>
      </c>
      <c r="AO844" s="2">
        <v>0</v>
      </c>
      <c r="AP844" s="2">
        <v>0</v>
      </c>
      <c r="AQ844" s="2">
        <v>0</v>
      </c>
      <c r="AR844" s="2">
        <v>0.39114465866735665</v>
      </c>
    </row>
    <row r="845" spans="1:44" x14ac:dyDescent="0.25">
      <c r="A845" t="s">
        <v>250</v>
      </c>
      <c r="B845" t="s">
        <v>413</v>
      </c>
      <c r="C845" t="s">
        <v>44</v>
      </c>
      <c r="D845" t="s">
        <v>219</v>
      </c>
      <c r="E845" t="s">
        <v>134</v>
      </c>
      <c r="F845" t="s">
        <v>408</v>
      </c>
      <c r="G845" t="s">
        <v>31</v>
      </c>
      <c r="H845" t="s">
        <v>253</v>
      </c>
      <c r="I845" t="s">
        <v>256</v>
      </c>
      <c r="J845" t="s">
        <v>39</v>
      </c>
      <c r="K845" t="s">
        <v>31</v>
      </c>
      <c r="L845">
        <v>0.31387313296220043</v>
      </c>
      <c r="M845">
        <v>0</v>
      </c>
      <c r="N845">
        <v>0.32274685254334923</v>
      </c>
      <c r="O845">
        <v>3.3306310462261299</v>
      </c>
      <c r="P845">
        <v>4.2931716243986662</v>
      </c>
      <c r="Q845">
        <v>0.4672931329656026</v>
      </c>
      <c r="R845">
        <v>-0.7548530930409314</v>
      </c>
      <c r="S845" s="2">
        <v>0</v>
      </c>
      <c r="T845" s="2">
        <v>0</v>
      </c>
      <c r="U845" s="2">
        <v>9.6651371590995867E-3</v>
      </c>
      <c r="V845" s="2">
        <v>1.37857872150558E-2</v>
      </c>
      <c r="W845" s="2">
        <v>1.8675571417820232E-2</v>
      </c>
      <c r="X845" s="2">
        <v>2.4111023526484896E-2</v>
      </c>
      <c r="Y845" s="2">
        <v>2.9698913774386951E-2</v>
      </c>
      <c r="Z845" s="2">
        <v>3.4878483855125743E-2</v>
      </c>
      <c r="AA845" s="2">
        <v>3.8970953504003508E-2</v>
      </c>
      <c r="AB845" s="2">
        <v>4.1287780346419244E-2</v>
      </c>
      <c r="AC845" s="2">
        <v>4.1290164753363737E-2</v>
      </c>
      <c r="AD845" s="2">
        <v>3.8763359655096349E-2</v>
      </c>
      <c r="AE845" s="2">
        <v>3.39419279963208E-2</v>
      </c>
      <c r="AF845" s="2">
        <v>2.795451406454761E-2</v>
      </c>
      <c r="AG845" s="2">
        <v>2.128933571996932E-2</v>
      </c>
      <c r="AH845" s="2">
        <v>1.4678341922435157E-2</v>
      </c>
      <c r="AI845" s="2">
        <v>1.0678152542129879E-3</v>
      </c>
      <c r="AJ845" s="2">
        <v>0</v>
      </c>
      <c r="AK845" s="2">
        <v>0</v>
      </c>
      <c r="AL845" s="2">
        <v>0</v>
      </c>
      <c r="AM845" s="2">
        <v>0</v>
      </c>
      <c r="AN845" s="2">
        <v>0</v>
      </c>
      <c r="AO845" s="2">
        <v>0</v>
      </c>
      <c r="AP845" s="2">
        <v>0</v>
      </c>
      <c r="AQ845" s="2">
        <v>0</v>
      </c>
      <c r="AR845" s="2">
        <v>0.39005911016434192</v>
      </c>
    </row>
    <row r="846" spans="1:44" x14ac:dyDescent="0.25">
      <c r="A846" t="s">
        <v>250</v>
      </c>
      <c r="B846" t="s">
        <v>405</v>
      </c>
      <c r="C846" t="s">
        <v>44</v>
      </c>
      <c r="D846" t="s">
        <v>219</v>
      </c>
      <c r="E846" t="s">
        <v>134</v>
      </c>
      <c r="F846" t="s">
        <v>399</v>
      </c>
      <c r="G846" t="s">
        <v>31</v>
      </c>
      <c r="H846" t="s">
        <v>252</v>
      </c>
      <c r="I846" t="s">
        <v>135</v>
      </c>
      <c r="J846" t="s">
        <v>39</v>
      </c>
      <c r="K846" t="s">
        <v>31</v>
      </c>
      <c r="L846">
        <v>0.5338193843886696</v>
      </c>
      <c r="M846">
        <v>0</v>
      </c>
      <c r="N846">
        <v>0.79194349609584402</v>
      </c>
      <c r="O846">
        <v>7.236633810211182</v>
      </c>
      <c r="P846">
        <v>1.5733259870010581</v>
      </c>
      <c r="Q846">
        <v>4.9495393045774785</v>
      </c>
      <c r="R846">
        <v>-2.8345587909372605</v>
      </c>
      <c r="S846" s="2">
        <v>2.0266236126226345E-2</v>
      </c>
      <c r="T846" s="2">
        <v>3.2843837273594766E-2</v>
      </c>
      <c r="U846" s="2">
        <v>4.9667903884552042E-2</v>
      </c>
      <c r="V846" s="2">
        <v>7.0871851594611485E-2</v>
      </c>
      <c r="W846" s="2">
        <v>9.6048481950133241E-2</v>
      </c>
      <c r="X846" s="2">
        <v>0.12405282283613106</v>
      </c>
      <c r="Y846" s="2">
        <v>0.15286426333105257</v>
      </c>
      <c r="Z846" s="2">
        <v>0.179596305460059</v>
      </c>
      <c r="AA846" s="2">
        <v>0.2007498502528314</v>
      </c>
      <c r="AB846" s="2">
        <v>0.21276987170405173</v>
      </c>
      <c r="AC846" s="2">
        <v>0.21286762262118206</v>
      </c>
      <c r="AD846" s="2">
        <v>0.19992117826839453</v>
      </c>
      <c r="AE846" s="2">
        <v>0.17512506027861285</v>
      </c>
      <c r="AF846" s="2">
        <v>0.14429063184803262</v>
      </c>
      <c r="AG846" s="2">
        <v>0.10993163733132548</v>
      </c>
      <c r="AH846" s="2">
        <v>4.0383129308203779E-2</v>
      </c>
      <c r="AI846" s="2">
        <v>0</v>
      </c>
      <c r="AJ846" s="2">
        <v>0</v>
      </c>
      <c r="AK846" s="2">
        <v>0</v>
      </c>
      <c r="AL846" s="2">
        <v>0</v>
      </c>
      <c r="AM846" s="2">
        <v>0</v>
      </c>
      <c r="AN846" s="2">
        <v>0</v>
      </c>
      <c r="AO846" s="2">
        <v>0</v>
      </c>
      <c r="AP846" s="2">
        <v>0</v>
      </c>
      <c r="AQ846" s="2">
        <v>0</v>
      </c>
      <c r="AR846" s="2">
        <v>2.0222506840689944</v>
      </c>
    </row>
    <row r="847" spans="1:44" x14ac:dyDescent="0.25">
      <c r="A847" t="s">
        <v>250</v>
      </c>
      <c r="B847" t="s">
        <v>414</v>
      </c>
      <c r="C847" t="s">
        <v>44</v>
      </c>
      <c r="D847" t="s">
        <v>219</v>
      </c>
      <c r="E847" t="s">
        <v>134</v>
      </c>
      <c r="F847" t="s">
        <v>408</v>
      </c>
      <c r="G847" t="s">
        <v>31</v>
      </c>
      <c r="H847" t="s">
        <v>252</v>
      </c>
      <c r="I847" t="s">
        <v>135</v>
      </c>
      <c r="J847" t="s">
        <v>39</v>
      </c>
      <c r="K847" t="s">
        <v>31</v>
      </c>
      <c r="L847">
        <v>0.35597709084986917</v>
      </c>
      <c r="M847">
        <v>0</v>
      </c>
      <c r="N847">
        <v>0.7898088797270012</v>
      </c>
      <c r="O847">
        <v>7.236633810211182</v>
      </c>
      <c r="P847">
        <v>1.5867031063130539</v>
      </c>
      <c r="Q847">
        <v>4.9629164238894754</v>
      </c>
      <c r="R847">
        <v>-2.8345587909372609</v>
      </c>
      <c r="S847" s="2">
        <v>0</v>
      </c>
      <c r="T847" s="2">
        <v>0</v>
      </c>
      <c r="U847" s="2">
        <v>1.5558157557907317E-2</v>
      </c>
      <c r="V847" s="2">
        <v>2.2200160411290037E-2</v>
      </c>
      <c r="W847" s="2">
        <v>3.0086581041378842E-2</v>
      </c>
      <c r="X847" s="2">
        <v>3.8858764156302128E-2</v>
      </c>
      <c r="Y847" s="2">
        <v>4.7883766132068573E-2</v>
      </c>
      <c r="Z847" s="2">
        <v>5.6257409687762383E-2</v>
      </c>
      <c r="AA847" s="2">
        <v>6.2883624145275735E-2</v>
      </c>
      <c r="AB847" s="2">
        <v>6.664882003560757E-2</v>
      </c>
      <c r="AC847" s="2">
        <v>6.6679439893729223E-2</v>
      </c>
      <c r="AD847" s="2">
        <v>6.2624047873894154E-2</v>
      </c>
      <c r="AE847" s="2">
        <v>5.4856820341880816E-2</v>
      </c>
      <c r="AF847" s="2">
        <v>4.5198130157449827E-2</v>
      </c>
      <c r="AG847" s="2">
        <v>3.4435391881545541E-2</v>
      </c>
      <c r="AH847" s="2">
        <v>2.375167910648111E-2</v>
      </c>
      <c r="AI847" s="2">
        <v>5.5344768324899042E-3</v>
      </c>
      <c r="AJ847" s="2">
        <v>0</v>
      </c>
      <c r="AK847" s="2">
        <v>0</v>
      </c>
      <c r="AL847" s="2">
        <v>0</v>
      </c>
      <c r="AM847" s="2">
        <v>0</v>
      </c>
      <c r="AN847" s="2">
        <v>0</v>
      </c>
      <c r="AO847" s="2">
        <v>0</v>
      </c>
      <c r="AP847" s="2">
        <v>0</v>
      </c>
      <c r="AQ847" s="2">
        <v>0</v>
      </c>
      <c r="AR847" s="2">
        <v>0.63345726925506307</v>
      </c>
    </row>
    <row r="848" spans="1:44" x14ac:dyDescent="0.25">
      <c r="A848" t="s">
        <v>250</v>
      </c>
      <c r="B848" t="s">
        <v>398</v>
      </c>
      <c r="C848" t="s">
        <v>44</v>
      </c>
      <c r="D848" t="s">
        <v>219</v>
      </c>
      <c r="E848" t="s">
        <v>134</v>
      </c>
      <c r="F848" t="s">
        <v>399</v>
      </c>
      <c r="G848" t="s">
        <v>31</v>
      </c>
      <c r="H848" t="s">
        <v>288</v>
      </c>
      <c r="I848" t="s">
        <v>135</v>
      </c>
      <c r="J848" t="s">
        <v>39</v>
      </c>
      <c r="K848" t="s">
        <v>31</v>
      </c>
      <c r="L848">
        <v>0.10766666351552968</v>
      </c>
      <c r="M848">
        <v>0</v>
      </c>
      <c r="N848">
        <v>0.18208355552246425</v>
      </c>
      <c r="O848">
        <v>7.8628457168505888</v>
      </c>
      <c r="P848">
        <v>19.6928546862563</v>
      </c>
      <c r="Q848">
        <v>23.390063768125486</v>
      </c>
      <c r="R848">
        <v>-3.1555545552300264</v>
      </c>
      <c r="S848" s="2">
        <v>5.598962922347378E-2</v>
      </c>
      <c r="T848" s="2">
        <v>9.0801581518576355E-2</v>
      </c>
      <c r="U848" s="2">
        <v>0.13741064592649088</v>
      </c>
      <c r="V848" s="2">
        <v>0.19621100233292776</v>
      </c>
      <c r="W848" s="2">
        <v>0.26610014443982766</v>
      </c>
      <c r="X848" s="2">
        <v>0.34392701009587828</v>
      </c>
      <c r="Y848" s="2">
        <v>0.42410230103765395</v>
      </c>
      <c r="Z848" s="2">
        <v>0.49861700696239269</v>
      </c>
      <c r="AA848" s="2">
        <v>0.55773763019252742</v>
      </c>
      <c r="AB848" s="2">
        <v>0.59154784525100734</v>
      </c>
      <c r="AC848" s="2">
        <v>0.59223542690548214</v>
      </c>
      <c r="AD848" s="2">
        <v>0.55660692302194748</v>
      </c>
      <c r="AE848" s="2">
        <v>0.48791382816570061</v>
      </c>
      <c r="AF848" s="2">
        <v>0.40228884680638993</v>
      </c>
      <c r="AG848" s="2">
        <v>0.30670974961515401</v>
      </c>
      <c r="AH848" s="2">
        <v>0.17365555332973001</v>
      </c>
      <c r="AI848" s="2">
        <v>0</v>
      </c>
      <c r="AJ848" s="2">
        <v>0</v>
      </c>
      <c r="AK848" s="2">
        <v>0</v>
      </c>
      <c r="AL848" s="2">
        <v>0</v>
      </c>
      <c r="AM848" s="2">
        <v>0</v>
      </c>
      <c r="AN848" s="2">
        <v>0</v>
      </c>
      <c r="AO848" s="2">
        <v>0</v>
      </c>
      <c r="AP848" s="2">
        <v>0</v>
      </c>
      <c r="AQ848" s="2">
        <v>0</v>
      </c>
      <c r="AR848" s="2">
        <v>5.6818551248251605</v>
      </c>
    </row>
    <row r="849" spans="1:44" x14ac:dyDescent="0.25">
      <c r="A849" t="s">
        <v>250</v>
      </c>
      <c r="B849" t="s">
        <v>398</v>
      </c>
      <c r="C849" t="s">
        <v>44</v>
      </c>
      <c r="D849" t="s">
        <v>219</v>
      </c>
      <c r="E849" t="s">
        <v>134</v>
      </c>
      <c r="F849" t="s">
        <v>399</v>
      </c>
      <c r="G849" t="s">
        <v>31</v>
      </c>
      <c r="H849" t="s">
        <v>288</v>
      </c>
      <c r="I849" t="s">
        <v>135</v>
      </c>
      <c r="J849" t="s">
        <v>39</v>
      </c>
      <c r="K849" t="s">
        <v>33</v>
      </c>
      <c r="L849">
        <v>0.10766666351552968</v>
      </c>
      <c r="M849">
        <v>0</v>
      </c>
      <c r="N849">
        <v>0.18208355552246425</v>
      </c>
      <c r="O849">
        <v>7.8628457168505888</v>
      </c>
      <c r="P849">
        <v>19.6928546862563</v>
      </c>
      <c r="Q849">
        <v>23.390063768125486</v>
      </c>
      <c r="R849">
        <v>-3.1555545552300264</v>
      </c>
      <c r="S849" s="2">
        <v>5.2670078995075765E-4</v>
      </c>
      <c r="T849" s="2">
        <v>8.5418077200913952E-4</v>
      </c>
      <c r="U849" s="2">
        <v>1.2926375252148221E-3</v>
      </c>
      <c r="V849" s="2">
        <v>1.8457791444429787E-3</v>
      </c>
      <c r="W849" s="2">
        <v>2.5032342279506935E-3</v>
      </c>
      <c r="X849" s="2">
        <v>3.2353603768277015E-3</v>
      </c>
      <c r="Y849" s="2">
        <v>3.9895784286211348E-3</v>
      </c>
      <c r="Z849" s="2">
        <v>4.6905467153883192E-3</v>
      </c>
      <c r="AA849" s="2">
        <v>5.2467011209373759E-3</v>
      </c>
      <c r="AB849" s="2">
        <v>5.5647576472385068E-3</v>
      </c>
      <c r="AC849" s="2">
        <v>5.5712258058169834E-3</v>
      </c>
      <c r="AD849" s="2">
        <v>5.2360644303893721E-3</v>
      </c>
      <c r="AE849" s="2">
        <v>4.5898606989708633E-3</v>
      </c>
      <c r="AF849" s="2">
        <v>3.7843767915589511E-3</v>
      </c>
      <c r="AG849" s="2">
        <v>2.8852533879644439E-3</v>
      </c>
      <c r="AH849" s="2">
        <v>1.6335974784372678E-3</v>
      </c>
      <c r="AI849" s="2">
        <v>0</v>
      </c>
      <c r="AJ849" s="2">
        <v>0</v>
      </c>
      <c r="AK849" s="2">
        <v>0</v>
      </c>
      <c r="AL849" s="2">
        <v>0</v>
      </c>
      <c r="AM849" s="2">
        <v>0</v>
      </c>
      <c r="AN849" s="2">
        <v>0</v>
      </c>
      <c r="AO849" s="2">
        <v>0</v>
      </c>
      <c r="AP849" s="2">
        <v>0</v>
      </c>
      <c r="AQ849" s="2">
        <v>0</v>
      </c>
      <c r="AR849" s="2">
        <v>5.3449855341719317E-2</v>
      </c>
    </row>
    <row r="850" spans="1:44" x14ac:dyDescent="0.25">
      <c r="A850" t="s">
        <v>250</v>
      </c>
      <c r="B850" t="s">
        <v>398</v>
      </c>
      <c r="C850" t="s">
        <v>44</v>
      </c>
      <c r="D850" t="s">
        <v>219</v>
      </c>
      <c r="E850" t="s">
        <v>134</v>
      </c>
      <c r="F850" t="s">
        <v>399</v>
      </c>
      <c r="G850" t="s">
        <v>31</v>
      </c>
      <c r="H850" t="s">
        <v>289</v>
      </c>
      <c r="I850" t="s">
        <v>135</v>
      </c>
      <c r="J850" t="s">
        <v>39</v>
      </c>
      <c r="K850" t="s">
        <v>31</v>
      </c>
      <c r="L850">
        <v>0.10766666351552968</v>
      </c>
      <c r="M850">
        <v>0</v>
      </c>
      <c r="N850">
        <v>0.18208355552246425</v>
      </c>
      <c r="O850">
        <v>7.8628457168505888</v>
      </c>
      <c r="P850">
        <v>19.6928546862563</v>
      </c>
      <c r="Q850">
        <v>23.390063768125486</v>
      </c>
      <c r="R850">
        <v>-3.1555545552300264</v>
      </c>
      <c r="S850" s="2">
        <v>5.3215715528029235E-2</v>
      </c>
      <c r="T850" s="2">
        <v>8.6302967149528148E-2</v>
      </c>
      <c r="U850" s="2">
        <v>0.13060286245084021</v>
      </c>
      <c r="V850" s="2">
        <v>0.1864900523263501</v>
      </c>
      <c r="W850" s="2">
        <v>0.25291665233140087</v>
      </c>
      <c r="X850" s="2">
        <v>0.32688771448399967</v>
      </c>
      <c r="Y850" s="2">
        <v>0.40309085307070314</v>
      </c>
      <c r="Z850" s="2">
        <v>0.47391385097480715</v>
      </c>
      <c r="AA850" s="2">
        <v>0.53010544058325615</v>
      </c>
      <c r="AB850" s="2">
        <v>0.56224058438483759</v>
      </c>
      <c r="AC850" s="2">
        <v>0.5628941009419981</v>
      </c>
      <c r="AD850" s="2">
        <v>0.5290307524317247</v>
      </c>
      <c r="AE850" s="2">
        <v>0.46374094349194067</v>
      </c>
      <c r="AF850" s="2">
        <v>0.38235811039756612</v>
      </c>
      <c r="AG850" s="2">
        <v>0.29151432169781483</v>
      </c>
      <c r="AH850" s="2">
        <v>0.16505207578661771</v>
      </c>
      <c r="AI850" s="2">
        <v>0</v>
      </c>
      <c r="AJ850" s="2">
        <v>0</v>
      </c>
      <c r="AK850" s="2">
        <v>0</v>
      </c>
      <c r="AL850" s="2">
        <v>0</v>
      </c>
      <c r="AM850" s="2">
        <v>0</v>
      </c>
      <c r="AN850" s="2">
        <v>0</v>
      </c>
      <c r="AO850" s="2">
        <v>0</v>
      </c>
      <c r="AP850" s="2">
        <v>0</v>
      </c>
      <c r="AQ850" s="2">
        <v>0</v>
      </c>
      <c r="AR850" s="2">
        <v>5.4003569980314152</v>
      </c>
    </row>
    <row r="851" spans="1:44" x14ac:dyDescent="0.25">
      <c r="A851" t="s">
        <v>250</v>
      </c>
      <c r="B851" t="s">
        <v>398</v>
      </c>
      <c r="C851" t="s">
        <v>44</v>
      </c>
      <c r="D851" t="s">
        <v>219</v>
      </c>
      <c r="E851" t="s">
        <v>134</v>
      </c>
      <c r="F851" t="s">
        <v>399</v>
      </c>
      <c r="G851" t="s">
        <v>31</v>
      </c>
      <c r="H851" t="s">
        <v>290</v>
      </c>
      <c r="I851" t="s">
        <v>135</v>
      </c>
      <c r="J851" t="s">
        <v>39</v>
      </c>
      <c r="K851" t="s">
        <v>31</v>
      </c>
      <c r="L851">
        <v>0.10766666351552968</v>
      </c>
      <c r="M851">
        <v>0</v>
      </c>
      <c r="N851">
        <v>0.18208355552246425</v>
      </c>
      <c r="O851">
        <v>7.8628457168505888</v>
      </c>
      <c r="P851">
        <v>19.6928546862563</v>
      </c>
      <c r="Q851">
        <v>23.390063768125486</v>
      </c>
      <c r="R851">
        <v>-3.1555545552300264</v>
      </c>
      <c r="S851" s="2">
        <v>7.7059980590686861E-2</v>
      </c>
      <c r="T851" s="2">
        <v>0.12497257450120049</v>
      </c>
      <c r="U851" s="2">
        <v>0.18912184014981351</v>
      </c>
      <c r="V851" s="2">
        <v>0.2700502975489526</v>
      </c>
      <c r="W851" s="2">
        <v>0.36624053865166584</v>
      </c>
      <c r="X851" s="2">
        <v>0.47335567479503687</v>
      </c>
      <c r="Y851" s="2">
        <v>0.58370300964103439</v>
      </c>
      <c r="Z851" s="2">
        <v>0.68625953433889242</v>
      </c>
      <c r="AA851" s="2">
        <v>0.76762878328389972</v>
      </c>
      <c r="AB851" s="2">
        <v>0.81416266022340078</v>
      </c>
      <c r="AC851" s="2">
        <v>0.81510899670898196</v>
      </c>
      <c r="AD851" s="2">
        <v>0.76607256164380144</v>
      </c>
      <c r="AE851" s="2">
        <v>0.67152847143008576</v>
      </c>
      <c r="AF851" s="2">
        <v>0.55368058614957261</v>
      </c>
      <c r="AG851" s="2">
        <v>0.42213259276968279</v>
      </c>
      <c r="AH851" s="2">
        <v>0.23900664738539568</v>
      </c>
      <c r="AI851" s="2">
        <v>0</v>
      </c>
      <c r="AJ851" s="2">
        <v>0</v>
      </c>
      <c r="AK851" s="2">
        <v>0</v>
      </c>
      <c r="AL851" s="2">
        <v>0</v>
      </c>
      <c r="AM851" s="2">
        <v>0</v>
      </c>
      <c r="AN851" s="2">
        <v>0</v>
      </c>
      <c r="AO851" s="2">
        <v>0</v>
      </c>
      <c r="AP851" s="2">
        <v>0</v>
      </c>
      <c r="AQ851" s="2">
        <v>0</v>
      </c>
      <c r="AR851" s="2">
        <v>7.8200847498121036</v>
      </c>
    </row>
    <row r="852" spans="1:44" x14ac:dyDescent="0.25">
      <c r="A852" t="s">
        <v>250</v>
      </c>
      <c r="B852" t="s">
        <v>407</v>
      </c>
      <c r="C852" t="s">
        <v>44</v>
      </c>
      <c r="D852" t="s">
        <v>219</v>
      </c>
      <c r="E852" t="s">
        <v>134</v>
      </c>
      <c r="F852" t="s">
        <v>408</v>
      </c>
      <c r="G852" t="s">
        <v>31</v>
      </c>
      <c r="H852" t="s">
        <v>288</v>
      </c>
      <c r="I852" t="s">
        <v>135</v>
      </c>
      <c r="J852" t="s">
        <v>39</v>
      </c>
      <c r="K852" t="s">
        <v>31</v>
      </c>
      <c r="L852">
        <v>7.1797440821041114E-2</v>
      </c>
      <c r="M852">
        <v>0</v>
      </c>
      <c r="N852">
        <v>0.18156870013161905</v>
      </c>
      <c r="O852">
        <v>7.8628457168505852</v>
      </c>
      <c r="P852">
        <v>19.75917944605521</v>
      </c>
      <c r="Q852">
        <v>23.4563885279244</v>
      </c>
      <c r="R852">
        <v>-3.1555545552300255</v>
      </c>
      <c r="S852" s="2">
        <v>0</v>
      </c>
      <c r="T852" s="2">
        <v>0</v>
      </c>
      <c r="U852" s="2">
        <v>4.30430179704663E-2</v>
      </c>
      <c r="V852" s="2">
        <v>6.1461858668049804E-2</v>
      </c>
      <c r="W852" s="2">
        <v>8.3354191531815322E-2</v>
      </c>
      <c r="X852" s="2">
        <v>0.10773296622159094</v>
      </c>
      <c r="Y852" s="2">
        <v>0.13284737031689192</v>
      </c>
      <c r="Z852" s="2">
        <v>0.1561886318658576</v>
      </c>
      <c r="AA852" s="2">
        <v>0.17470779412553569</v>
      </c>
      <c r="AB852" s="2">
        <v>0.18529863069816926</v>
      </c>
      <c r="AC852" s="2">
        <v>0.18551401131376988</v>
      </c>
      <c r="AD852" s="2">
        <v>0.1743536072375077</v>
      </c>
      <c r="AE852" s="2">
        <v>0.1528359286296499</v>
      </c>
      <c r="AF852" s="2">
        <v>0.12601444339086229</v>
      </c>
      <c r="AG852" s="2">
        <v>9.6074894164056804E-2</v>
      </c>
      <c r="AH852" s="2">
        <v>6.631384810262167E-2</v>
      </c>
      <c r="AI852" s="2">
        <v>3.4064079178923061E-2</v>
      </c>
      <c r="AJ852" s="2">
        <v>0</v>
      </c>
      <c r="AK852" s="2">
        <v>0</v>
      </c>
      <c r="AL852" s="2">
        <v>0</v>
      </c>
      <c r="AM852" s="2">
        <v>0</v>
      </c>
      <c r="AN852" s="2">
        <v>0</v>
      </c>
      <c r="AO852" s="2">
        <v>0</v>
      </c>
      <c r="AP852" s="2">
        <v>0</v>
      </c>
      <c r="AQ852" s="2">
        <v>0</v>
      </c>
      <c r="AR852" s="2">
        <v>1.7798052734157683</v>
      </c>
    </row>
    <row r="853" spans="1:44" x14ac:dyDescent="0.25">
      <c r="A853" t="s">
        <v>250</v>
      </c>
      <c r="B853" t="s">
        <v>407</v>
      </c>
      <c r="C853" t="s">
        <v>44</v>
      </c>
      <c r="D853" t="s">
        <v>219</v>
      </c>
      <c r="E853" t="s">
        <v>134</v>
      </c>
      <c r="F853" t="s">
        <v>408</v>
      </c>
      <c r="G853" t="s">
        <v>31</v>
      </c>
      <c r="H853" t="s">
        <v>288</v>
      </c>
      <c r="I853" t="s">
        <v>135</v>
      </c>
      <c r="J853" t="s">
        <v>39</v>
      </c>
      <c r="K853" t="s">
        <v>33</v>
      </c>
      <c r="L853">
        <v>7.1797440821041114E-2</v>
      </c>
      <c r="M853">
        <v>0</v>
      </c>
      <c r="N853">
        <v>0.18156870013161905</v>
      </c>
      <c r="O853">
        <v>7.8628457168505852</v>
      </c>
      <c r="P853">
        <v>19.75917944605521</v>
      </c>
      <c r="Q853">
        <v>23.4563885279244</v>
      </c>
      <c r="R853">
        <v>-3.1555545552300255</v>
      </c>
      <c r="S853" s="2">
        <v>0</v>
      </c>
      <c r="T853" s="2">
        <v>0</v>
      </c>
      <c r="U853" s="2">
        <v>4.0491055006673421E-4</v>
      </c>
      <c r="V853" s="2">
        <v>5.781786727519821E-4</v>
      </c>
      <c r="W853" s="2">
        <v>7.8412233005300169E-4</v>
      </c>
      <c r="X853" s="2">
        <v>1.0134562275125876E-3</v>
      </c>
      <c r="Y853" s="2">
        <v>1.2497102741922141E-3</v>
      </c>
      <c r="Z853" s="2">
        <v>1.4692841679077532E-3</v>
      </c>
      <c r="AA853" s="2">
        <v>1.6434960269016202E-3</v>
      </c>
      <c r="AB853" s="2">
        <v>1.743125227280515E-3</v>
      </c>
      <c r="AC853" s="2">
        <v>1.7451513371503293E-3</v>
      </c>
      <c r="AD853" s="2">
        <v>1.6401641506898683E-3</v>
      </c>
      <c r="AE853" s="2">
        <v>1.4377449084507414E-3</v>
      </c>
      <c r="AF853" s="2">
        <v>1.1854321559133607E-3</v>
      </c>
      <c r="AG853" s="2">
        <v>9.0378742192900353E-4</v>
      </c>
      <c r="AH853" s="2">
        <v>6.238218874591501E-4</v>
      </c>
      <c r="AI853" s="2">
        <v>3.2044465486407955E-4</v>
      </c>
      <c r="AJ853" s="2">
        <v>0</v>
      </c>
      <c r="AK853" s="2">
        <v>0</v>
      </c>
      <c r="AL853" s="2">
        <v>0</v>
      </c>
      <c r="AM853" s="2">
        <v>0</v>
      </c>
      <c r="AN853" s="2">
        <v>0</v>
      </c>
      <c r="AO853" s="2">
        <v>0</v>
      </c>
      <c r="AP853" s="2">
        <v>0</v>
      </c>
      <c r="AQ853" s="2">
        <v>0</v>
      </c>
      <c r="AR853" s="2">
        <v>1.6742829993122939E-2</v>
      </c>
    </row>
    <row r="854" spans="1:44" x14ac:dyDescent="0.25">
      <c r="A854" t="s">
        <v>250</v>
      </c>
      <c r="B854" t="s">
        <v>407</v>
      </c>
      <c r="C854" t="s">
        <v>44</v>
      </c>
      <c r="D854" t="s">
        <v>219</v>
      </c>
      <c r="E854" t="s">
        <v>134</v>
      </c>
      <c r="F854" t="s">
        <v>408</v>
      </c>
      <c r="G854" t="s">
        <v>31</v>
      </c>
      <c r="H854" t="s">
        <v>289</v>
      </c>
      <c r="I854" t="s">
        <v>135</v>
      </c>
      <c r="J854" t="s">
        <v>39</v>
      </c>
      <c r="K854" t="s">
        <v>31</v>
      </c>
      <c r="L854">
        <v>7.1797440821041114E-2</v>
      </c>
      <c r="M854">
        <v>0</v>
      </c>
      <c r="N854">
        <v>0.18156870013161905</v>
      </c>
      <c r="O854">
        <v>7.8628457168505852</v>
      </c>
      <c r="P854">
        <v>19.75917944605521</v>
      </c>
      <c r="Q854">
        <v>23.4563885279244</v>
      </c>
      <c r="R854">
        <v>-3.1555545552300255</v>
      </c>
      <c r="S854" s="2">
        <v>0</v>
      </c>
      <c r="T854" s="2">
        <v>0</v>
      </c>
      <c r="U854" s="2">
        <v>4.0910522744163139E-2</v>
      </c>
      <c r="V854" s="2">
        <v>5.8416832403876885E-2</v>
      </c>
      <c r="W854" s="2">
        <v>7.9224545797960885E-2</v>
      </c>
      <c r="X854" s="2">
        <v>0.10239551436492379</v>
      </c>
      <c r="Y854" s="2">
        <v>0.12626566679363799</v>
      </c>
      <c r="Z854" s="2">
        <v>0.14845052409457402</v>
      </c>
      <c r="AA854" s="2">
        <v>0.16605218505030098</v>
      </c>
      <c r="AB854" s="2">
        <v>0.17611831611903156</v>
      </c>
      <c r="AC854" s="2">
        <v>0.17632302605780081</v>
      </c>
      <c r="AD854" s="2">
        <v>0.16571554576658956</v>
      </c>
      <c r="AE854" s="2">
        <v>0.14526392500216334</v>
      </c>
      <c r="AF854" s="2">
        <v>0.11977126594543665</v>
      </c>
      <c r="AG854" s="2">
        <v>9.1315022230517892E-2</v>
      </c>
      <c r="AH854" s="2">
        <v>6.3028438036495174E-2</v>
      </c>
      <c r="AI854" s="2">
        <v>3.2376430643513837E-2</v>
      </c>
      <c r="AJ854" s="2">
        <v>0</v>
      </c>
      <c r="AK854" s="2">
        <v>0</v>
      </c>
      <c r="AL854" s="2">
        <v>0</v>
      </c>
      <c r="AM854" s="2">
        <v>0</v>
      </c>
      <c r="AN854" s="2">
        <v>0</v>
      </c>
      <c r="AO854" s="2">
        <v>0</v>
      </c>
      <c r="AP854" s="2">
        <v>0</v>
      </c>
      <c r="AQ854" s="2">
        <v>0</v>
      </c>
      <c r="AR854" s="2">
        <v>1.6916277610509867</v>
      </c>
    </row>
    <row r="855" spans="1:44" x14ac:dyDescent="0.25">
      <c r="A855" t="s">
        <v>250</v>
      </c>
      <c r="B855" t="s">
        <v>407</v>
      </c>
      <c r="C855" t="s">
        <v>44</v>
      </c>
      <c r="D855" t="s">
        <v>219</v>
      </c>
      <c r="E855" t="s">
        <v>134</v>
      </c>
      <c r="F855" t="s">
        <v>408</v>
      </c>
      <c r="G855" t="s">
        <v>31</v>
      </c>
      <c r="H855" t="s">
        <v>290</v>
      </c>
      <c r="I855" t="s">
        <v>135</v>
      </c>
      <c r="J855" t="s">
        <v>39</v>
      </c>
      <c r="K855" t="s">
        <v>31</v>
      </c>
      <c r="L855">
        <v>7.1797440821041114E-2</v>
      </c>
      <c r="M855">
        <v>0</v>
      </c>
      <c r="N855">
        <v>0.18156870013161905</v>
      </c>
      <c r="O855">
        <v>7.8628457168505852</v>
      </c>
      <c r="P855">
        <v>19.75917944605521</v>
      </c>
      <c r="Q855">
        <v>23.4563885279244</v>
      </c>
      <c r="R855">
        <v>-3.1555545552300255</v>
      </c>
      <c r="S855" s="2">
        <v>0</v>
      </c>
      <c r="T855" s="2">
        <v>0</v>
      </c>
      <c r="U855" s="2">
        <v>5.924122333673365E-2</v>
      </c>
      <c r="V855" s="2">
        <v>8.4591552073393139E-2</v>
      </c>
      <c r="W855" s="2">
        <v>0.11472253827501881</v>
      </c>
      <c r="X855" s="2">
        <v>0.14827567892755986</v>
      </c>
      <c r="Y855" s="2">
        <v>0.18284128543311565</v>
      </c>
      <c r="Z855" s="2">
        <v>0.2149664698087132</v>
      </c>
      <c r="AA855" s="2">
        <v>0.24045487371634733</v>
      </c>
      <c r="AB855" s="2">
        <v>0.25503131710497606</v>
      </c>
      <c r="AC855" s="2">
        <v>0.25532775103904531</v>
      </c>
      <c r="AD855" s="2">
        <v>0.23996739710513459</v>
      </c>
      <c r="AE855" s="2">
        <v>0.21035205728461345</v>
      </c>
      <c r="AF855" s="2">
        <v>0.17343695067326562</v>
      </c>
      <c r="AG855" s="2">
        <v>0.13223037162801146</v>
      </c>
      <c r="AH855" s="2">
        <v>9.1269471124472853E-2</v>
      </c>
      <c r="AI855" s="2">
        <v>4.688327672059011E-2</v>
      </c>
      <c r="AJ855" s="2">
        <v>0</v>
      </c>
      <c r="AK855" s="2">
        <v>0</v>
      </c>
      <c r="AL855" s="2">
        <v>0</v>
      </c>
      <c r="AM855" s="2">
        <v>0</v>
      </c>
      <c r="AN855" s="2">
        <v>0</v>
      </c>
      <c r="AO855" s="2">
        <v>0</v>
      </c>
      <c r="AP855" s="2">
        <v>0</v>
      </c>
      <c r="AQ855" s="2">
        <v>0</v>
      </c>
      <c r="AR855" s="2">
        <v>2.4495922142509907</v>
      </c>
    </row>
    <row r="856" spans="1:44" x14ac:dyDescent="0.25">
      <c r="A856" t="s">
        <v>250</v>
      </c>
      <c r="B856" t="s">
        <v>406</v>
      </c>
      <c r="C856" t="s">
        <v>44</v>
      </c>
      <c r="D856" t="s">
        <v>219</v>
      </c>
      <c r="E856" t="s">
        <v>134</v>
      </c>
      <c r="F856" t="s">
        <v>399</v>
      </c>
      <c r="G856" t="s">
        <v>31</v>
      </c>
      <c r="H856" t="s">
        <v>254</v>
      </c>
      <c r="I856" t="s">
        <v>135</v>
      </c>
      <c r="J856" t="s">
        <v>39</v>
      </c>
      <c r="K856" t="s">
        <v>31</v>
      </c>
      <c r="L856">
        <v>0.34049656601539446</v>
      </c>
      <c r="M856">
        <v>0</v>
      </c>
      <c r="N856">
        <v>0.45525969255882226</v>
      </c>
      <c r="O856">
        <v>6.3833710076388037</v>
      </c>
      <c r="P856">
        <v>4.6640762916573406</v>
      </c>
      <c r="Q856">
        <v>7.594746159211109</v>
      </c>
      <c r="R856">
        <v>-2.3890153409146069</v>
      </c>
      <c r="S856" s="2">
        <v>6.6444099863645453E-2</v>
      </c>
      <c r="T856" s="2">
        <v>0.10759551444812664</v>
      </c>
      <c r="U856" s="2">
        <v>0.16258222302164069</v>
      </c>
      <c r="V856" s="2">
        <v>0.23180775208041249</v>
      </c>
      <c r="W856" s="2">
        <v>0.31390745666468173</v>
      </c>
      <c r="X856" s="2">
        <v>0.40511164656527554</v>
      </c>
      <c r="Y856" s="2">
        <v>0.49880522752866191</v>
      </c>
      <c r="Z856" s="2">
        <v>0.58557075361068378</v>
      </c>
      <c r="AA856" s="2">
        <v>0.65402471478226087</v>
      </c>
      <c r="AB856" s="2">
        <v>0.69263751856808042</v>
      </c>
      <c r="AC856" s="2">
        <v>0.69240858106308423</v>
      </c>
      <c r="AD856" s="2">
        <v>0.64978335943339549</v>
      </c>
      <c r="AE856" s="2">
        <v>0.56874164655175097</v>
      </c>
      <c r="AF856" s="2">
        <v>0.46823278504605964</v>
      </c>
      <c r="AG856" s="2">
        <v>0.35645386753076391</v>
      </c>
      <c r="AH856" s="2">
        <v>5.1459546411969523E-2</v>
      </c>
      <c r="AI856" s="2">
        <v>0</v>
      </c>
      <c r="AJ856" s="2">
        <v>0</v>
      </c>
      <c r="AK856" s="2">
        <v>0</v>
      </c>
      <c r="AL856" s="2">
        <v>0</v>
      </c>
      <c r="AM856" s="2">
        <v>0</v>
      </c>
      <c r="AN856" s="2">
        <v>0</v>
      </c>
      <c r="AO856" s="2">
        <v>0</v>
      </c>
      <c r="AP856" s="2">
        <v>0</v>
      </c>
      <c r="AQ856" s="2">
        <v>0</v>
      </c>
      <c r="AR856" s="2">
        <v>6.5055666931704943</v>
      </c>
    </row>
    <row r="857" spans="1:44" x14ac:dyDescent="0.25">
      <c r="A857" t="s">
        <v>250</v>
      </c>
      <c r="B857" t="s">
        <v>406</v>
      </c>
      <c r="C857" t="s">
        <v>44</v>
      </c>
      <c r="D857" t="s">
        <v>219</v>
      </c>
      <c r="E857" t="s">
        <v>134</v>
      </c>
      <c r="F857" t="s">
        <v>399</v>
      </c>
      <c r="G857" t="s">
        <v>31</v>
      </c>
      <c r="H857" t="s">
        <v>255</v>
      </c>
      <c r="I857" t="s">
        <v>135</v>
      </c>
      <c r="J857" t="s">
        <v>39</v>
      </c>
      <c r="K857" t="s">
        <v>31</v>
      </c>
      <c r="L857">
        <v>0.34049656601539446</v>
      </c>
      <c r="M857">
        <v>0</v>
      </c>
      <c r="N857">
        <v>0.45525969255882226</v>
      </c>
      <c r="O857">
        <v>6.3833710076388037</v>
      </c>
      <c r="P857">
        <v>4.6640762916573406</v>
      </c>
      <c r="Q857">
        <v>7.594746159211109</v>
      </c>
      <c r="R857">
        <v>-2.3890153409146069</v>
      </c>
      <c r="S857" s="2">
        <v>1.3929256602597612E-2</v>
      </c>
      <c r="T857" s="2">
        <v>2.2453924419191165E-2</v>
      </c>
      <c r="U857" s="2">
        <v>3.3775183787829295E-2</v>
      </c>
      <c r="V857" s="2">
        <v>4.7937920664870529E-2</v>
      </c>
      <c r="W857" s="2">
        <v>6.4621858267585486E-2</v>
      </c>
      <c r="X857" s="2">
        <v>8.3019308670024536E-2</v>
      </c>
      <c r="Y857" s="2">
        <v>0.10175645142120295</v>
      </c>
      <c r="Z857" s="2">
        <v>0.11891507336051139</v>
      </c>
      <c r="AA857" s="2">
        <v>0.13221424943158849</v>
      </c>
      <c r="AB857" s="2">
        <v>0.13938520873092194</v>
      </c>
      <c r="AC857" s="2">
        <v>0.13870741944831544</v>
      </c>
      <c r="AD857" s="2">
        <v>0.12957833914118566</v>
      </c>
      <c r="AE857" s="2">
        <v>0.11290298607156145</v>
      </c>
      <c r="AF857" s="2">
        <v>8.3712581316382498E-2</v>
      </c>
      <c r="AG857" s="2">
        <v>0</v>
      </c>
      <c r="AH857" s="2">
        <v>0</v>
      </c>
      <c r="AI857" s="2">
        <v>0</v>
      </c>
      <c r="AJ857" s="2">
        <v>0</v>
      </c>
      <c r="AK857" s="2">
        <v>0</v>
      </c>
      <c r="AL857" s="2">
        <v>0</v>
      </c>
      <c r="AM857" s="2">
        <v>0</v>
      </c>
      <c r="AN857" s="2">
        <v>0</v>
      </c>
      <c r="AO857" s="2">
        <v>0</v>
      </c>
      <c r="AP857" s="2">
        <v>0</v>
      </c>
      <c r="AQ857" s="2">
        <v>0</v>
      </c>
      <c r="AR857" s="2">
        <v>1.2229097613337685</v>
      </c>
    </row>
    <row r="858" spans="1:44" x14ac:dyDescent="0.25">
      <c r="A858" t="s">
        <v>250</v>
      </c>
      <c r="B858" t="s">
        <v>415</v>
      </c>
      <c r="C858" t="s">
        <v>44</v>
      </c>
      <c r="D858" t="s">
        <v>219</v>
      </c>
      <c r="E858" t="s">
        <v>134</v>
      </c>
      <c r="F858" t="s">
        <v>408</v>
      </c>
      <c r="G858" t="s">
        <v>31</v>
      </c>
      <c r="H858" t="s">
        <v>254</v>
      </c>
      <c r="I858" t="s">
        <v>135</v>
      </c>
      <c r="J858" t="s">
        <v>39</v>
      </c>
      <c r="K858" t="s">
        <v>31</v>
      </c>
      <c r="L858">
        <v>0.2270599018305397</v>
      </c>
      <c r="M858">
        <v>0</v>
      </c>
      <c r="N858">
        <v>0.45400599572292305</v>
      </c>
      <c r="O858">
        <v>6.3833710076388037</v>
      </c>
      <c r="P858">
        <v>4.6850485019782608</v>
      </c>
      <c r="Q858">
        <v>7.615718369532031</v>
      </c>
      <c r="R858">
        <v>-2.3890153409146082</v>
      </c>
      <c r="S858" s="2">
        <v>0</v>
      </c>
      <c r="T858" s="2">
        <v>0</v>
      </c>
      <c r="U858" s="2">
        <v>5.0927855698622328E-2</v>
      </c>
      <c r="V858" s="2">
        <v>7.261231596151746E-2</v>
      </c>
      <c r="W858" s="2">
        <v>9.8329530490012695E-2</v>
      </c>
      <c r="X858" s="2">
        <v>0.12689866760747556</v>
      </c>
      <c r="Y858" s="2">
        <v>0.15624759077083644</v>
      </c>
      <c r="Z858" s="2">
        <v>0.1834263444487961</v>
      </c>
      <c r="AA858" s="2">
        <v>0.20486911593852489</v>
      </c>
      <c r="AB858" s="2">
        <v>0.21696433313248395</v>
      </c>
      <c r="AC858" s="2">
        <v>0.2168926199033144</v>
      </c>
      <c r="AD858" s="2">
        <v>0.20354053813242096</v>
      </c>
      <c r="AE858" s="2">
        <v>0.17815473283034805</v>
      </c>
      <c r="AF858" s="2">
        <v>0.14667096603185037</v>
      </c>
      <c r="AG858" s="2">
        <v>0.11165692528639039</v>
      </c>
      <c r="AH858" s="2">
        <v>7.0636189517291531E-2</v>
      </c>
      <c r="AI858" s="2">
        <v>0</v>
      </c>
      <c r="AJ858" s="2">
        <v>0</v>
      </c>
      <c r="AK858" s="2">
        <v>0</v>
      </c>
      <c r="AL858" s="2">
        <v>0</v>
      </c>
      <c r="AM858" s="2">
        <v>0</v>
      </c>
      <c r="AN858" s="2">
        <v>0</v>
      </c>
      <c r="AO858" s="2">
        <v>0</v>
      </c>
      <c r="AP858" s="2">
        <v>0</v>
      </c>
      <c r="AQ858" s="2">
        <v>0</v>
      </c>
      <c r="AR858" s="2">
        <v>2.0378277257498847</v>
      </c>
    </row>
    <row r="859" spans="1:44" x14ac:dyDescent="0.25">
      <c r="A859" t="s">
        <v>250</v>
      </c>
      <c r="B859" t="s">
        <v>415</v>
      </c>
      <c r="C859" t="s">
        <v>44</v>
      </c>
      <c r="D859" t="s">
        <v>219</v>
      </c>
      <c r="E859" t="s">
        <v>134</v>
      </c>
      <c r="F859" t="s">
        <v>408</v>
      </c>
      <c r="G859" t="s">
        <v>31</v>
      </c>
      <c r="H859" t="s">
        <v>255</v>
      </c>
      <c r="I859" t="s">
        <v>135</v>
      </c>
      <c r="J859" t="s">
        <v>39</v>
      </c>
      <c r="K859" t="s">
        <v>31</v>
      </c>
      <c r="L859">
        <v>0.2270599018305397</v>
      </c>
      <c r="M859">
        <v>0</v>
      </c>
      <c r="N859">
        <v>0.45400599572292305</v>
      </c>
      <c r="O859">
        <v>6.3833710076388037</v>
      </c>
      <c r="P859">
        <v>4.6850485019782608</v>
      </c>
      <c r="Q859">
        <v>7.615718369532031</v>
      </c>
      <c r="R859">
        <v>-2.3890153409146082</v>
      </c>
      <c r="S859" s="2">
        <v>0</v>
      </c>
      <c r="T859" s="2">
        <v>0</v>
      </c>
      <c r="U859" s="2">
        <v>1.0579863248099784E-2</v>
      </c>
      <c r="V859" s="2">
        <v>1.5016251228079043E-2</v>
      </c>
      <c r="W859" s="2">
        <v>2.0242389430179943E-2</v>
      </c>
      <c r="X859" s="2">
        <v>2.6005274706962418E-2</v>
      </c>
      <c r="Y859" s="2">
        <v>3.1874566469011267E-2</v>
      </c>
      <c r="Z859" s="2">
        <v>3.7249396544966125E-2</v>
      </c>
      <c r="AA859" s="2">
        <v>4.1415279550319248E-2</v>
      </c>
      <c r="AB859" s="2">
        <v>4.3661537312267441E-2</v>
      </c>
      <c r="AC859" s="2">
        <v>4.3449224095378609E-2</v>
      </c>
      <c r="AD859" s="2">
        <v>4.0589597280700628E-2</v>
      </c>
      <c r="AE859" s="2">
        <v>3.5366148129434193E-2</v>
      </c>
      <c r="AF859" s="2">
        <v>2.8984187012163768E-2</v>
      </c>
      <c r="AG859" s="2">
        <v>8.6350529065836474E-3</v>
      </c>
      <c r="AH859" s="2">
        <v>0</v>
      </c>
      <c r="AI859" s="2">
        <v>0</v>
      </c>
      <c r="AJ859" s="2">
        <v>0</v>
      </c>
      <c r="AK859" s="2">
        <v>0</v>
      </c>
      <c r="AL859" s="2">
        <v>0</v>
      </c>
      <c r="AM859" s="2">
        <v>0</v>
      </c>
      <c r="AN859" s="2">
        <v>0</v>
      </c>
      <c r="AO859" s="2">
        <v>0</v>
      </c>
      <c r="AP859" s="2">
        <v>0</v>
      </c>
      <c r="AQ859" s="2">
        <v>0</v>
      </c>
      <c r="AR859" s="2">
        <v>0.38306876791414607</v>
      </c>
    </row>
    <row r="860" spans="1:44" x14ac:dyDescent="0.25">
      <c r="A860" t="s">
        <v>250</v>
      </c>
      <c r="B860" t="s">
        <v>400</v>
      </c>
      <c r="C860" t="s">
        <v>44</v>
      </c>
      <c r="D860" t="s">
        <v>219</v>
      </c>
      <c r="E860" t="s">
        <v>134</v>
      </c>
      <c r="F860" t="s">
        <v>399</v>
      </c>
      <c r="G860" t="s">
        <v>31</v>
      </c>
      <c r="H860" t="s">
        <v>278</v>
      </c>
      <c r="I860" t="s">
        <v>135</v>
      </c>
      <c r="J860" t="s">
        <v>39</v>
      </c>
      <c r="K860" t="s">
        <v>31</v>
      </c>
      <c r="L860">
        <v>7.2585339506172852E-2</v>
      </c>
      <c r="M860">
        <v>0</v>
      </c>
      <c r="N860">
        <v>0.20247185081751548</v>
      </c>
      <c r="O860">
        <v>12.916489671181214</v>
      </c>
      <c r="P860">
        <v>28.114302665753623</v>
      </c>
      <c r="Q860">
        <v>34.554309996350511</v>
      </c>
      <c r="R860">
        <v>-5.8983528039577262</v>
      </c>
      <c r="S860" s="2">
        <v>1.1289416001356939E-2</v>
      </c>
      <c r="T860" s="2">
        <v>1.8198508424635055E-2</v>
      </c>
      <c r="U860" s="2">
        <v>2.7374188815789631E-2</v>
      </c>
      <c r="V860" s="2">
        <v>3.8852836448202421E-2</v>
      </c>
      <c r="W860" s="2">
        <v>5.2374872656696554E-2</v>
      </c>
      <c r="X860" s="2">
        <v>6.7285680669145212E-2</v>
      </c>
      <c r="Y860" s="2">
        <v>8.247180331946781E-2</v>
      </c>
      <c r="Z860" s="2">
        <v>9.6378562783338853E-2</v>
      </c>
      <c r="AA860" s="2">
        <v>0.10715730966303109</v>
      </c>
      <c r="AB860" s="2">
        <v>0.11296924528663628</v>
      </c>
      <c r="AC860" s="2">
        <v>0.1124199090664119</v>
      </c>
      <c r="AD860" s="2">
        <v>0.10502095101449657</v>
      </c>
      <c r="AE860" s="2">
        <v>9.1505872418171166E-2</v>
      </c>
      <c r="AF860" s="2">
        <v>6.7847565881714977E-2</v>
      </c>
      <c r="AG860" s="2">
        <v>0</v>
      </c>
      <c r="AH860" s="2">
        <v>0</v>
      </c>
      <c r="AI860" s="2">
        <v>0</v>
      </c>
      <c r="AJ860" s="2">
        <v>0</v>
      </c>
      <c r="AK860" s="2">
        <v>0</v>
      </c>
      <c r="AL860" s="2">
        <v>0</v>
      </c>
      <c r="AM860" s="2">
        <v>0</v>
      </c>
      <c r="AN860" s="2">
        <v>0</v>
      </c>
      <c r="AO860" s="2">
        <v>0</v>
      </c>
      <c r="AP860" s="2">
        <v>0</v>
      </c>
      <c r="AQ860" s="2">
        <v>0</v>
      </c>
      <c r="AR860" s="2">
        <v>0.99114672244909441</v>
      </c>
    </row>
    <row r="861" spans="1:44" x14ac:dyDescent="0.25">
      <c r="A861" t="s">
        <v>250</v>
      </c>
      <c r="B861" t="s">
        <v>409</v>
      </c>
      <c r="C861" t="s">
        <v>44</v>
      </c>
      <c r="D861" t="s">
        <v>219</v>
      </c>
      <c r="E861" t="s">
        <v>134</v>
      </c>
      <c r="F861" t="s">
        <v>408</v>
      </c>
      <c r="G861" t="s">
        <v>31</v>
      </c>
      <c r="H861" t="s">
        <v>278</v>
      </c>
      <c r="I861" t="s">
        <v>135</v>
      </c>
      <c r="J861" t="s">
        <v>39</v>
      </c>
      <c r="K861" t="s">
        <v>31</v>
      </c>
      <c r="L861">
        <v>4.8403483933705527E-2</v>
      </c>
      <c r="M861">
        <v>0</v>
      </c>
      <c r="N861">
        <v>0.20189702571664056</v>
      </c>
      <c r="O861">
        <v>12.9164896711812</v>
      </c>
      <c r="P861">
        <v>28.212682939850325</v>
      </c>
      <c r="Q861">
        <v>34.652690270447202</v>
      </c>
      <c r="R861">
        <v>-5.8983528039577227</v>
      </c>
      <c r="S861" s="2">
        <v>0</v>
      </c>
      <c r="T861" s="2">
        <v>0</v>
      </c>
      <c r="U861" s="2">
        <v>8.5747919542951221E-3</v>
      </c>
      <c r="V861" s="2">
        <v>1.2170405911185362E-2</v>
      </c>
      <c r="W861" s="2">
        <v>1.6406098448653463E-2</v>
      </c>
      <c r="X861" s="2">
        <v>2.107681499253275E-2</v>
      </c>
      <c r="Y861" s="2">
        <v>2.5833772109881727E-2</v>
      </c>
      <c r="Z861" s="2">
        <v>3.0189976780039339E-2</v>
      </c>
      <c r="AA861" s="2">
        <v>3.3566351241519521E-2</v>
      </c>
      <c r="AB861" s="2">
        <v>3.5386903410554935E-2</v>
      </c>
      <c r="AC861" s="2">
        <v>3.5214827305100956E-2</v>
      </c>
      <c r="AD861" s="2">
        <v>3.2897150372254824E-2</v>
      </c>
      <c r="AE861" s="2">
        <v>2.8663637262905921E-2</v>
      </c>
      <c r="AF861" s="2">
        <v>2.3491170704718269E-2</v>
      </c>
      <c r="AG861" s="2">
        <v>6.9985575854759861E-3</v>
      </c>
      <c r="AH861" s="2">
        <v>0</v>
      </c>
      <c r="AI861" s="2">
        <v>0</v>
      </c>
      <c r="AJ861" s="2">
        <v>0</v>
      </c>
      <c r="AK861" s="2">
        <v>0</v>
      </c>
      <c r="AL861" s="2">
        <v>0</v>
      </c>
      <c r="AM861" s="2">
        <v>0</v>
      </c>
      <c r="AN861" s="2">
        <v>0</v>
      </c>
      <c r="AO861" s="2">
        <v>0</v>
      </c>
      <c r="AP861" s="2">
        <v>0</v>
      </c>
      <c r="AQ861" s="2">
        <v>0</v>
      </c>
      <c r="AR861" s="2">
        <v>0.31047045807911816</v>
      </c>
    </row>
    <row r="862" spans="1:44" x14ac:dyDescent="0.25">
      <c r="A862" t="s">
        <v>250</v>
      </c>
      <c r="B862" t="s">
        <v>401</v>
      </c>
      <c r="C862" t="s">
        <v>44</v>
      </c>
      <c r="D862" t="s">
        <v>219</v>
      </c>
      <c r="E862" t="s">
        <v>134</v>
      </c>
      <c r="F862" t="s">
        <v>399</v>
      </c>
      <c r="G862" t="s">
        <v>31</v>
      </c>
      <c r="H862" t="s">
        <v>272</v>
      </c>
      <c r="I862" t="s">
        <v>135</v>
      </c>
      <c r="J862" t="s">
        <v>39</v>
      </c>
      <c r="K862" t="s">
        <v>31</v>
      </c>
      <c r="L862">
        <v>0.1335515021459226</v>
      </c>
      <c r="M862">
        <v>0</v>
      </c>
      <c r="N862">
        <v>0.3139909125706512</v>
      </c>
      <c r="O862">
        <v>10.9636146902543</v>
      </c>
      <c r="P862">
        <v>13.531684575414111</v>
      </c>
      <c r="Q862">
        <v>18.912940749416155</v>
      </c>
      <c r="R862">
        <v>-4.8396016473628842</v>
      </c>
      <c r="S862" s="2">
        <v>2.818033220106482E-2</v>
      </c>
      <c r="T862" s="2">
        <v>4.5628312559822887E-2</v>
      </c>
      <c r="U862" s="2">
        <v>6.8938821390295807E-2</v>
      </c>
      <c r="V862" s="2">
        <v>9.8280941351808065E-2</v>
      </c>
      <c r="W862" s="2">
        <v>0.13307410059866123</v>
      </c>
      <c r="X862" s="2">
        <v>0.17171854170110357</v>
      </c>
      <c r="Y862" s="2">
        <v>0.21140926402489266</v>
      </c>
      <c r="Z862" s="2">
        <v>0.24815495484517355</v>
      </c>
      <c r="AA862" s="2">
        <v>0.27713302914126325</v>
      </c>
      <c r="AB862" s="2">
        <v>0.29346120504434448</v>
      </c>
      <c r="AC862" s="2">
        <v>0.29333080951299473</v>
      </c>
      <c r="AD862" s="2">
        <v>0.27524179391537257</v>
      </c>
      <c r="AE862" s="2">
        <v>0.24088590062187371</v>
      </c>
      <c r="AF862" s="2">
        <v>0.19829361232062301</v>
      </c>
      <c r="AG862" s="2">
        <v>0.15093876483243093</v>
      </c>
      <c r="AH862" s="2">
        <v>1.6947650312590788E-2</v>
      </c>
      <c r="AI862" s="2">
        <v>0</v>
      </c>
      <c r="AJ862" s="2">
        <v>0</v>
      </c>
      <c r="AK862" s="2">
        <v>0</v>
      </c>
      <c r="AL862" s="2">
        <v>0</v>
      </c>
      <c r="AM862" s="2">
        <v>0</v>
      </c>
      <c r="AN862" s="2">
        <v>0</v>
      </c>
      <c r="AO862" s="2">
        <v>0</v>
      </c>
      <c r="AP862" s="2">
        <v>0</v>
      </c>
      <c r="AQ862" s="2">
        <v>0</v>
      </c>
      <c r="AR862" s="2">
        <v>2.7516180343743164</v>
      </c>
    </row>
    <row r="863" spans="1:44" x14ac:dyDescent="0.25">
      <c r="A863" t="s">
        <v>250</v>
      </c>
      <c r="B863" t="s">
        <v>401</v>
      </c>
      <c r="C863" t="s">
        <v>44</v>
      </c>
      <c r="D863" t="s">
        <v>219</v>
      </c>
      <c r="E863" t="s">
        <v>134</v>
      </c>
      <c r="F863" t="s">
        <v>399</v>
      </c>
      <c r="G863" t="s">
        <v>31</v>
      </c>
      <c r="H863" t="s">
        <v>272</v>
      </c>
      <c r="I863" t="s">
        <v>135</v>
      </c>
      <c r="J863" t="s">
        <v>40</v>
      </c>
      <c r="K863" t="s">
        <v>31</v>
      </c>
      <c r="L863">
        <v>0.1335515021459226</v>
      </c>
      <c r="M863">
        <v>0</v>
      </c>
      <c r="N863">
        <v>0.3139909125706512</v>
      </c>
      <c r="O863">
        <v>9.6708435291849266</v>
      </c>
      <c r="P863">
        <v>13.531684575414111</v>
      </c>
      <c r="Q863">
        <v>0.4672931329656026</v>
      </c>
      <c r="R863">
        <v>-4.6966016473628844</v>
      </c>
      <c r="S863" s="2">
        <v>2.7874812802523344E-3</v>
      </c>
      <c r="T863" s="2">
        <v>4.5133629441459471E-3</v>
      </c>
      <c r="U863" s="2">
        <v>6.81914154655876E-3</v>
      </c>
      <c r="V863" s="2">
        <v>9.7215420410619209E-3</v>
      </c>
      <c r="W863" s="2">
        <v>1.3163136674846145E-2</v>
      </c>
      <c r="X863" s="2">
        <v>1.6985684095163697E-2</v>
      </c>
      <c r="Y863" s="2">
        <v>2.0911725303190163E-2</v>
      </c>
      <c r="Z863" s="2">
        <v>2.4546456241088855E-2</v>
      </c>
      <c r="AA863" s="2">
        <v>2.7412846852164025E-2</v>
      </c>
      <c r="AB863" s="2">
        <v>2.9027962115737334E-2</v>
      </c>
      <c r="AC863" s="2">
        <v>2.9015063931994406E-2</v>
      </c>
      <c r="AD863" s="2">
        <v>2.7225773727861936E-2</v>
      </c>
      <c r="AE863" s="2">
        <v>2.382743162391909E-2</v>
      </c>
      <c r="AF863" s="2">
        <v>1.9614379574860535E-2</v>
      </c>
      <c r="AG863" s="2">
        <v>1.4930234974977072E-2</v>
      </c>
      <c r="AH863" s="2">
        <v>1.6763910962278802E-3</v>
      </c>
      <c r="AI863" s="2">
        <v>0</v>
      </c>
      <c r="AJ863" s="2">
        <v>0</v>
      </c>
      <c r="AK863" s="2">
        <v>0</v>
      </c>
      <c r="AL863" s="2">
        <v>0</v>
      </c>
      <c r="AM863" s="2">
        <v>0</v>
      </c>
      <c r="AN863" s="2">
        <v>0</v>
      </c>
      <c r="AO863" s="2">
        <v>0</v>
      </c>
      <c r="AP863" s="2">
        <v>0</v>
      </c>
      <c r="AQ863" s="2">
        <v>0</v>
      </c>
      <c r="AR863" s="2">
        <v>0.27217861402405008</v>
      </c>
    </row>
    <row r="864" spans="1:44" x14ac:dyDescent="0.25">
      <c r="A864" t="s">
        <v>250</v>
      </c>
      <c r="B864" t="s">
        <v>401</v>
      </c>
      <c r="C864" t="s">
        <v>44</v>
      </c>
      <c r="D864" t="s">
        <v>219</v>
      </c>
      <c r="E864" t="s">
        <v>134</v>
      </c>
      <c r="F864" t="s">
        <v>399</v>
      </c>
      <c r="G864" t="s">
        <v>31</v>
      </c>
      <c r="H864" t="s">
        <v>273</v>
      </c>
      <c r="I864" t="s">
        <v>135</v>
      </c>
      <c r="J864" t="s">
        <v>39</v>
      </c>
      <c r="K864" t="s">
        <v>31</v>
      </c>
      <c r="L864">
        <v>0.1335515021459226</v>
      </c>
      <c r="M864">
        <v>0</v>
      </c>
      <c r="N864">
        <v>0.3139909125706512</v>
      </c>
      <c r="O864">
        <v>10.9636146902543</v>
      </c>
      <c r="P864">
        <v>13.531684575414111</v>
      </c>
      <c r="Q864">
        <v>18.912940749416155</v>
      </c>
      <c r="R864">
        <v>-4.8396016473628842</v>
      </c>
      <c r="S864" s="2">
        <v>8.475419419592272E-3</v>
      </c>
      <c r="T864" s="2">
        <v>1.3723013752766767E-2</v>
      </c>
      <c r="U864" s="2">
        <v>2.0733801908589221E-2</v>
      </c>
      <c r="V864" s="2">
        <v>2.9558636603916569E-2</v>
      </c>
      <c r="W864" s="2">
        <v>4.0022907054873241E-2</v>
      </c>
      <c r="X864" s="2">
        <v>5.1645475740083879E-2</v>
      </c>
      <c r="Y864" s="2">
        <v>6.3582720353118516E-2</v>
      </c>
      <c r="Z864" s="2">
        <v>7.4634227458942271E-2</v>
      </c>
      <c r="AA864" s="2">
        <v>8.3349573036812563E-2</v>
      </c>
      <c r="AB864" s="2">
        <v>8.826037884804655E-2</v>
      </c>
      <c r="AC864" s="2">
        <v>8.8221161538231146E-2</v>
      </c>
      <c r="AD864" s="2">
        <v>8.278077165980377E-2</v>
      </c>
      <c r="AE864" s="2">
        <v>7.244801180730788E-2</v>
      </c>
      <c r="AF864" s="2">
        <v>5.9638102228610532E-2</v>
      </c>
      <c r="AG864" s="2">
        <v>4.5395821791686219E-2</v>
      </c>
      <c r="AH864" s="2">
        <v>5.0971167958892916E-3</v>
      </c>
      <c r="AI864" s="2">
        <v>0</v>
      </c>
      <c r="AJ864" s="2">
        <v>0</v>
      </c>
      <c r="AK864" s="2">
        <v>0</v>
      </c>
      <c r="AL864" s="2">
        <v>0</v>
      </c>
      <c r="AM864" s="2">
        <v>0</v>
      </c>
      <c r="AN864" s="2">
        <v>0</v>
      </c>
      <c r="AO864" s="2">
        <v>0</v>
      </c>
      <c r="AP864" s="2">
        <v>0</v>
      </c>
      <c r="AQ864" s="2">
        <v>0</v>
      </c>
      <c r="AR864" s="2">
        <v>0.82756713999827058</v>
      </c>
    </row>
    <row r="865" spans="1:44" x14ac:dyDescent="0.25">
      <c r="A865" t="s">
        <v>250</v>
      </c>
      <c r="B865" t="s">
        <v>401</v>
      </c>
      <c r="C865" t="s">
        <v>44</v>
      </c>
      <c r="D865" t="s">
        <v>219</v>
      </c>
      <c r="E865" t="s">
        <v>134</v>
      </c>
      <c r="F865" t="s">
        <v>399</v>
      </c>
      <c r="G865" t="s">
        <v>31</v>
      </c>
      <c r="H865" t="s">
        <v>274</v>
      </c>
      <c r="I865" t="s">
        <v>135</v>
      </c>
      <c r="J865" t="s">
        <v>39</v>
      </c>
      <c r="K865" t="s">
        <v>31</v>
      </c>
      <c r="L865">
        <v>0.1335515021459226</v>
      </c>
      <c r="M865">
        <v>0</v>
      </c>
      <c r="N865">
        <v>0.3139909125706512</v>
      </c>
      <c r="O865">
        <v>10.9636146902543</v>
      </c>
      <c r="P865">
        <v>13.531684575414111</v>
      </c>
      <c r="Q865">
        <v>18.912940749416155</v>
      </c>
      <c r="R865">
        <v>-4.8396016473628842</v>
      </c>
      <c r="S865" s="2">
        <v>1.3341827863451176E-2</v>
      </c>
      <c r="T865" s="2">
        <v>2.1602481032849619E-2</v>
      </c>
      <c r="U865" s="2">
        <v>3.2638717014974658E-2</v>
      </c>
      <c r="V865" s="2">
        <v>4.6530587092377063E-2</v>
      </c>
      <c r="W865" s="2">
        <v>6.3003222623608246E-2</v>
      </c>
      <c r="X865" s="2">
        <v>8.1299226992519888E-2</v>
      </c>
      <c r="Y865" s="2">
        <v>0.10009058762098061</v>
      </c>
      <c r="Z865" s="2">
        <v>0.11748763880369383</v>
      </c>
      <c r="AA865" s="2">
        <v>0.13120715340395533</v>
      </c>
      <c r="AB865" s="2">
        <v>0.13893764113095344</v>
      </c>
      <c r="AC865" s="2">
        <v>0.13887590606264344</v>
      </c>
      <c r="AD865" s="2">
        <v>0.13031175818103549</v>
      </c>
      <c r="AE865" s="2">
        <v>0.11404614388144113</v>
      </c>
      <c r="AF865" s="2">
        <v>9.3881052328535275E-2</v>
      </c>
      <c r="AG865" s="2">
        <v>7.1461152549512463E-2</v>
      </c>
      <c r="AH865" s="2">
        <v>8.0237745796341662E-3</v>
      </c>
      <c r="AI865" s="2">
        <v>0</v>
      </c>
      <c r="AJ865" s="2">
        <v>0</v>
      </c>
      <c r="AK865" s="2">
        <v>0</v>
      </c>
      <c r="AL865" s="2">
        <v>0</v>
      </c>
      <c r="AM865" s="2">
        <v>0</v>
      </c>
      <c r="AN865" s="2">
        <v>0</v>
      </c>
      <c r="AO865" s="2">
        <v>0</v>
      </c>
      <c r="AP865" s="2">
        <v>0</v>
      </c>
      <c r="AQ865" s="2">
        <v>0</v>
      </c>
      <c r="AR865" s="2">
        <v>1.3027388711621657</v>
      </c>
    </row>
    <row r="866" spans="1:44" x14ac:dyDescent="0.25">
      <c r="A866" t="s">
        <v>250</v>
      </c>
      <c r="B866" t="s">
        <v>401</v>
      </c>
      <c r="C866" t="s">
        <v>44</v>
      </c>
      <c r="D866" t="s">
        <v>219</v>
      </c>
      <c r="E866" t="s">
        <v>134</v>
      </c>
      <c r="F866" t="s">
        <v>399</v>
      </c>
      <c r="G866" t="s">
        <v>31</v>
      </c>
      <c r="H866" t="s">
        <v>274</v>
      </c>
      <c r="I866" t="s">
        <v>135</v>
      </c>
      <c r="J866" t="s">
        <v>39</v>
      </c>
      <c r="K866" t="s">
        <v>33</v>
      </c>
      <c r="L866">
        <v>0.1335515021459226</v>
      </c>
      <c r="M866">
        <v>0</v>
      </c>
      <c r="N866">
        <v>0.3139909125706512</v>
      </c>
      <c r="O866">
        <v>10.9636146902543</v>
      </c>
      <c r="P866">
        <v>13.531684575414111</v>
      </c>
      <c r="Q866">
        <v>18.912940749416155</v>
      </c>
      <c r="R866">
        <v>-4.8396016473628842</v>
      </c>
      <c r="S866" s="2">
        <v>4.2927099318704381E-5</v>
      </c>
      <c r="T866" s="2">
        <v>6.9505607351441823E-5</v>
      </c>
      <c r="U866" s="2">
        <v>1.050145048546954E-4</v>
      </c>
      <c r="V866" s="2">
        <v>1.4971135543907505E-4</v>
      </c>
      <c r="W866" s="2">
        <v>2.0271177402692711E-4</v>
      </c>
      <c r="X866" s="2">
        <v>2.6157885016656469E-4</v>
      </c>
      <c r="Y866" s="2">
        <v>3.2203972646382972E-4</v>
      </c>
      <c r="Z866" s="2">
        <v>3.7801443634737742E-4</v>
      </c>
      <c r="AA866" s="2">
        <v>4.2215673617896119E-4</v>
      </c>
      <c r="AB866" s="2">
        <v>4.4702944611310305E-4</v>
      </c>
      <c r="AC866" s="2">
        <v>4.4683081460354434E-4</v>
      </c>
      <c r="AD866" s="2">
        <v>4.1927581760789571E-4</v>
      </c>
      <c r="AE866" s="2">
        <v>3.6694148623556692E-4</v>
      </c>
      <c r="AF866" s="2">
        <v>3.0206065455929608E-4</v>
      </c>
      <c r="AG866" s="2">
        <v>2.2992501659577661E-4</v>
      </c>
      <c r="AH866" s="2">
        <v>2.5816355286251297E-5</v>
      </c>
      <c r="AI866" s="2">
        <v>0</v>
      </c>
      <c r="AJ866" s="2">
        <v>0</v>
      </c>
      <c r="AK866" s="2">
        <v>0</v>
      </c>
      <c r="AL866" s="2">
        <v>0</v>
      </c>
      <c r="AM866" s="2">
        <v>0</v>
      </c>
      <c r="AN866" s="2">
        <v>0</v>
      </c>
      <c r="AO866" s="2">
        <v>0</v>
      </c>
      <c r="AP866" s="2">
        <v>0</v>
      </c>
      <c r="AQ866" s="2">
        <v>0</v>
      </c>
      <c r="AR866" s="2">
        <v>4.1915396811490107E-3</v>
      </c>
    </row>
    <row r="867" spans="1:44" x14ac:dyDescent="0.25">
      <c r="A867" t="s">
        <v>250</v>
      </c>
      <c r="B867" t="s">
        <v>401</v>
      </c>
      <c r="C867" t="s">
        <v>44</v>
      </c>
      <c r="D867" t="s">
        <v>219</v>
      </c>
      <c r="E867" t="s">
        <v>134</v>
      </c>
      <c r="F867" t="s">
        <v>399</v>
      </c>
      <c r="G867" t="s">
        <v>31</v>
      </c>
      <c r="H867" t="s">
        <v>275</v>
      </c>
      <c r="I867" t="s">
        <v>135</v>
      </c>
      <c r="J867" t="s">
        <v>39</v>
      </c>
      <c r="K867" t="s">
        <v>31</v>
      </c>
      <c r="L867">
        <v>0.1335515021459226</v>
      </c>
      <c r="M867">
        <v>0</v>
      </c>
      <c r="N867">
        <v>0.3139909125706512</v>
      </c>
      <c r="O867">
        <v>10.9636146902543</v>
      </c>
      <c r="P867">
        <v>13.531684575414111</v>
      </c>
      <c r="Q867">
        <v>18.912940749416155</v>
      </c>
      <c r="R867">
        <v>-4.8396016473628842</v>
      </c>
      <c r="S867" s="2">
        <v>2.0382142306343654E-2</v>
      </c>
      <c r="T867" s="2">
        <v>3.3001838060571068E-2</v>
      </c>
      <c r="U867" s="2">
        <v>4.9861756702624084E-2</v>
      </c>
      <c r="V867" s="2">
        <v>7.1084191568127633E-2</v>
      </c>
      <c r="W867" s="2">
        <v>9.62492292971662E-2</v>
      </c>
      <c r="X867" s="2">
        <v>0.12419980462322053</v>
      </c>
      <c r="Y867" s="2">
        <v>0.15290712946499338</v>
      </c>
      <c r="Z867" s="2">
        <v>0.17948438533622019</v>
      </c>
      <c r="AA867" s="2">
        <v>0.20044351491115051</v>
      </c>
      <c r="AB867" s="2">
        <v>0.21225328359964879</v>
      </c>
      <c r="AC867" s="2">
        <v>0.21215897171371639</v>
      </c>
      <c r="AD867" s="2">
        <v>0.19907563091198974</v>
      </c>
      <c r="AE867" s="2">
        <v>0.17422685690984396</v>
      </c>
      <c r="AF867" s="2">
        <v>0.14342090064520815</v>
      </c>
      <c r="AG867" s="2">
        <v>0.10917030226641898</v>
      </c>
      <c r="AH867" s="2">
        <v>1.2257819317556823E-2</v>
      </c>
      <c r="AI867" s="2">
        <v>0</v>
      </c>
      <c r="AJ867" s="2">
        <v>0</v>
      </c>
      <c r="AK867" s="2">
        <v>0</v>
      </c>
      <c r="AL867" s="2">
        <v>0</v>
      </c>
      <c r="AM867" s="2">
        <v>0</v>
      </c>
      <c r="AN867" s="2">
        <v>0</v>
      </c>
      <c r="AO867" s="2">
        <v>0</v>
      </c>
      <c r="AP867" s="2">
        <v>0</v>
      </c>
      <c r="AQ867" s="2">
        <v>0</v>
      </c>
      <c r="AR867" s="2">
        <v>1.9901777576347996</v>
      </c>
    </row>
    <row r="868" spans="1:44" x14ac:dyDescent="0.25">
      <c r="A868" t="s">
        <v>250</v>
      </c>
      <c r="B868" t="s">
        <v>410</v>
      </c>
      <c r="C868" t="s">
        <v>44</v>
      </c>
      <c r="D868" t="s">
        <v>219</v>
      </c>
      <c r="E868" t="s">
        <v>134</v>
      </c>
      <c r="F868" t="s">
        <v>408</v>
      </c>
      <c r="G868" t="s">
        <v>31</v>
      </c>
      <c r="H868" t="s">
        <v>272</v>
      </c>
      <c r="I868" t="s">
        <v>135</v>
      </c>
      <c r="J868" t="s">
        <v>39</v>
      </c>
      <c r="K868" t="s">
        <v>31</v>
      </c>
      <c r="L868">
        <v>8.9058727732376886E-2</v>
      </c>
      <c r="M868">
        <v>0</v>
      </c>
      <c r="N868">
        <v>0.31310571523809327</v>
      </c>
      <c r="O868">
        <v>10.963614690254312</v>
      </c>
      <c r="P868">
        <v>13.585154326643281</v>
      </c>
      <c r="Q868">
        <v>18.966410500645331</v>
      </c>
      <c r="R868">
        <v>-4.8396016473628896</v>
      </c>
      <c r="S868" s="2">
        <v>0</v>
      </c>
      <c r="T868" s="2">
        <v>0</v>
      </c>
      <c r="U868" s="2">
        <v>2.1594650894463184E-2</v>
      </c>
      <c r="V868" s="2">
        <v>3.0785884865305493E-2</v>
      </c>
      <c r="W868" s="2">
        <v>4.1684622503965221E-2</v>
      </c>
      <c r="X868" s="2">
        <v>5.3789749887769835E-2</v>
      </c>
      <c r="Y868" s="2">
        <v>6.6222618263612906E-2</v>
      </c>
      <c r="Z868" s="2">
        <v>7.7732974099947894E-2</v>
      </c>
      <c r="AA868" s="2">
        <v>8.6810173062707677E-2</v>
      </c>
      <c r="AB868" s="2">
        <v>9.1924871156749299E-2</v>
      </c>
      <c r="AC868" s="2">
        <v>9.1884025579164599E-2</v>
      </c>
      <c r="AD868" s="2">
        <v>8.6217755559205508E-2</v>
      </c>
      <c r="AE868" s="2">
        <v>7.5455988721906911E-2</v>
      </c>
      <c r="AF868" s="2">
        <v>6.211422310838411E-2</v>
      </c>
      <c r="AG868" s="2">
        <v>4.7280615874536004E-2</v>
      </c>
      <c r="AH868" s="2">
        <v>2.8428836888449376E-2</v>
      </c>
      <c r="AI868" s="2">
        <v>0</v>
      </c>
      <c r="AJ868" s="2">
        <v>0</v>
      </c>
      <c r="AK868" s="2">
        <v>0</v>
      </c>
      <c r="AL868" s="2">
        <v>0</v>
      </c>
      <c r="AM868" s="2">
        <v>0</v>
      </c>
      <c r="AN868" s="2">
        <v>0</v>
      </c>
      <c r="AO868" s="2">
        <v>0</v>
      </c>
      <c r="AP868" s="2">
        <v>0</v>
      </c>
      <c r="AQ868" s="2">
        <v>0</v>
      </c>
      <c r="AR868" s="2">
        <v>0.86192699046616794</v>
      </c>
    </row>
    <row r="869" spans="1:44" x14ac:dyDescent="0.25">
      <c r="A869" t="s">
        <v>250</v>
      </c>
      <c r="B869" t="s">
        <v>410</v>
      </c>
      <c r="C869" t="s">
        <v>44</v>
      </c>
      <c r="D869" t="s">
        <v>219</v>
      </c>
      <c r="E869" t="s">
        <v>134</v>
      </c>
      <c r="F869" t="s">
        <v>408</v>
      </c>
      <c r="G869" t="s">
        <v>31</v>
      </c>
      <c r="H869" t="s">
        <v>272</v>
      </c>
      <c r="I869" t="s">
        <v>135</v>
      </c>
      <c r="J869" t="s">
        <v>40</v>
      </c>
      <c r="K869" t="s">
        <v>31</v>
      </c>
      <c r="L869">
        <v>8.9058727732376886E-2</v>
      </c>
      <c r="M869">
        <v>0</v>
      </c>
      <c r="N869">
        <v>0.31310571523809327</v>
      </c>
      <c r="O869">
        <v>9.6708435291849373</v>
      </c>
      <c r="P869">
        <v>13.585154326643281</v>
      </c>
      <c r="Q869">
        <v>0.4672931329656026</v>
      </c>
      <c r="R869">
        <v>-4.6966016473628898</v>
      </c>
      <c r="S869" s="2">
        <v>0</v>
      </c>
      <c r="T869" s="2">
        <v>0</v>
      </c>
      <c r="U869" s="2">
        <v>2.1360530703618159E-3</v>
      </c>
      <c r="V869" s="2">
        <v>3.0452117152401817E-3</v>
      </c>
      <c r="W869" s="2">
        <v>4.1232695226991588E-3</v>
      </c>
      <c r="X869" s="2">
        <v>5.3206583872686935E-3</v>
      </c>
      <c r="Y869" s="2">
        <v>6.5504660279392408E-3</v>
      </c>
      <c r="Z869" s="2">
        <v>7.6890225642463131E-3</v>
      </c>
      <c r="AA869" s="2">
        <v>8.5869013403120798E-3</v>
      </c>
      <c r="AB869" s="2">
        <v>9.0928260075431033E-3</v>
      </c>
      <c r="AC869" s="2">
        <v>9.0887857328548517E-3</v>
      </c>
      <c r="AD869" s="2">
        <v>8.5283018642901588E-3</v>
      </c>
      <c r="AE869" s="2">
        <v>7.4637926389419648E-3</v>
      </c>
      <c r="AF869" s="2">
        <v>6.1440806629488708E-3</v>
      </c>
      <c r="AG869" s="2">
        <v>4.6768019173347624E-3</v>
      </c>
      <c r="AH869" s="2">
        <v>2.8120623305819205E-3</v>
      </c>
      <c r="AI869" s="2">
        <v>0</v>
      </c>
      <c r="AJ869" s="2">
        <v>0</v>
      </c>
      <c r="AK869" s="2">
        <v>0</v>
      </c>
      <c r="AL869" s="2">
        <v>0</v>
      </c>
      <c r="AM869" s="2">
        <v>0</v>
      </c>
      <c r="AN869" s="2">
        <v>0</v>
      </c>
      <c r="AO869" s="2">
        <v>0</v>
      </c>
      <c r="AP869" s="2">
        <v>0</v>
      </c>
      <c r="AQ869" s="2">
        <v>0</v>
      </c>
      <c r="AR869" s="2">
        <v>8.5258233782563114E-2</v>
      </c>
    </row>
    <row r="870" spans="1:44" x14ac:dyDescent="0.25">
      <c r="A870" t="s">
        <v>250</v>
      </c>
      <c r="B870" t="s">
        <v>410</v>
      </c>
      <c r="C870" t="s">
        <v>44</v>
      </c>
      <c r="D870" t="s">
        <v>219</v>
      </c>
      <c r="E870" t="s">
        <v>134</v>
      </c>
      <c r="F870" t="s">
        <v>408</v>
      </c>
      <c r="G870" t="s">
        <v>31</v>
      </c>
      <c r="H870" t="s">
        <v>273</v>
      </c>
      <c r="I870" t="s">
        <v>135</v>
      </c>
      <c r="J870" t="s">
        <v>39</v>
      </c>
      <c r="K870" t="s">
        <v>31</v>
      </c>
      <c r="L870">
        <v>8.9058727732376886E-2</v>
      </c>
      <c r="M870">
        <v>0</v>
      </c>
      <c r="N870">
        <v>0.31310571523809327</v>
      </c>
      <c r="O870">
        <v>10.963614690254312</v>
      </c>
      <c r="P870">
        <v>13.585154326643281</v>
      </c>
      <c r="Q870">
        <v>18.966410500645331</v>
      </c>
      <c r="R870">
        <v>-4.8396016473628896</v>
      </c>
      <c r="S870" s="2">
        <v>0</v>
      </c>
      <c r="T870" s="2">
        <v>0</v>
      </c>
      <c r="U870" s="2">
        <v>6.4947326470244067E-3</v>
      </c>
      <c r="V870" s="2">
        <v>9.2590564431629628E-3</v>
      </c>
      <c r="W870" s="2">
        <v>1.253692314724133E-2</v>
      </c>
      <c r="X870" s="2">
        <v>1.6177619465983062E-2</v>
      </c>
      <c r="Y870" s="2">
        <v>1.9916886033957495E-2</v>
      </c>
      <c r="Z870" s="2">
        <v>2.3378700915543768E-2</v>
      </c>
      <c r="AA870" s="2">
        <v>2.6108727936359717E-2</v>
      </c>
      <c r="AB870" s="2">
        <v>2.7647006876519064E-2</v>
      </c>
      <c r="AC870" s="2">
        <v>2.763472230162492E-2</v>
      </c>
      <c r="AD870" s="2">
        <v>2.5930554493340516E-2</v>
      </c>
      <c r="AE870" s="2">
        <v>2.2693882654584895E-2</v>
      </c>
      <c r="AF870" s="2">
        <v>1.8681259291393075E-2</v>
      </c>
      <c r="AG870" s="2">
        <v>1.421995479308733E-2</v>
      </c>
      <c r="AH870" s="2">
        <v>8.5501588314022027E-3</v>
      </c>
      <c r="AI870" s="2">
        <v>0</v>
      </c>
      <c r="AJ870" s="2">
        <v>0</v>
      </c>
      <c r="AK870" s="2">
        <v>0</v>
      </c>
      <c r="AL870" s="2">
        <v>0</v>
      </c>
      <c r="AM870" s="2">
        <v>0</v>
      </c>
      <c r="AN870" s="2">
        <v>0</v>
      </c>
      <c r="AO870" s="2">
        <v>0</v>
      </c>
      <c r="AP870" s="2">
        <v>0</v>
      </c>
      <c r="AQ870" s="2">
        <v>0</v>
      </c>
      <c r="AR870" s="2">
        <v>0.25923018583122476</v>
      </c>
    </row>
    <row r="871" spans="1:44" x14ac:dyDescent="0.25">
      <c r="A871" t="s">
        <v>250</v>
      </c>
      <c r="B871" t="s">
        <v>410</v>
      </c>
      <c r="C871" t="s">
        <v>44</v>
      </c>
      <c r="D871" t="s">
        <v>219</v>
      </c>
      <c r="E871" t="s">
        <v>134</v>
      </c>
      <c r="F871" t="s">
        <v>408</v>
      </c>
      <c r="G871" t="s">
        <v>31</v>
      </c>
      <c r="H871" t="s">
        <v>274</v>
      </c>
      <c r="I871" t="s">
        <v>135</v>
      </c>
      <c r="J871" t="s">
        <v>39</v>
      </c>
      <c r="K871" t="s">
        <v>31</v>
      </c>
      <c r="L871">
        <v>8.9058727732376886E-2</v>
      </c>
      <c r="M871">
        <v>0</v>
      </c>
      <c r="N871">
        <v>0.31310571523809327</v>
      </c>
      <c r="O871">
        <v>10.963614690254312</v>
      </c>
      <c r="P871">
        <v>13.585154326643281</v>
      </c>
      <c r="Q871">
        <v>18.966410500645331</v>
      </c>
      <c r="R871">
        <v>-4.8396016473628896</v>
      </c>
      <c r="S871" s="2">
        <v>0</v>
      </c>
      <c r="T871" s="2">
        <v>0</v>
      </c>
      <c r="U871" s="2">
        <v>1.0223872200994253E-2</v>
      </c>
      <c r="V871" s="2">
        <v>1.4575412864771433E-2</v>
      </c>
      <c r="W871" s="2">
        <v>1.9735362025996E-2</v>
      </c>
      <c r="X871" s="2">
        <v>2.5466469972756402E-2</v>
      </c>
      <c r="Y871" s="2">
        <v>3.1352745142826127E-2</v>
      </c>
      <c r="Z871" s="2">
        <v>3.6802261675127665E-2</v>
      </c>
      <c r="AA871" s="2">
        <v>4.1099813073008716E-2</v>
      </c>
      <c r="AB871" s="2">
        <v>4.3521339585093154E-2</v>
      </c>
      <c r="AC871" s="2">
        <v>4.3502001464405651E-2</v>
      </c>
      <c r="AD871" s="2">
        <v>4.081933616810117E-2</v>
      </c>
      <c r="AE871" s="2">
        <v>3.5724235101676903E-2</v>
      </c>
      <c r="AF871" s="2">
        <v>2.9407647385815718E-2</v>
      </c>
      <c r="AG871" s="2">
        <v>2.2384755217760732E-2</v>
      </c>
      <c r="AH871" s="2">
        <v>1.3459481081258745E-2</v>
      </c>
      <c r="AI871" s="2">
        <v>0</v>
      </c>
      <c r="AJ871" s="2">
        <v>0</v>
      </c>
      <c r="AK871" s="2">
        <v>0</v>
      </c>
      <c r="AL871" s="2">
        <v>0</v>
      </c>
      <c r="AM871" s="2">
        <v>0</v>
      </c>
      <c r="AN871" s="2">
        <v>0</v>
      </c>
      <c r="AO871" s="2">
        <v>0</v>
      </c>
      <c r="AP871" s="2">
        <v>0</v>
      </c>
      <c r="AQ871" s="2">
        <v>0</v>
      </c>
      <c r="AR871" s="2">
        <v>0.40807473295959268</v>
      </c>
    </row>
    <row r="872" spans="1:44" x14ac:dyDescent="0.25">
      <c r="A872" t="s">
        <v>250</v>
      </c>
      <c r="B872" t="s">
        <v>410</v>
      </c>
      <c r="C872" t="s">
        <v>44</v>
      </c>
      <c r="D872" t="s">
        <v>219</v>
      </c>
      <c r="E872" t="s">
        <v>134</v>
      </c>
      <c r="F872" t="s">
        <v>408</v>
      </c>
      <c r="G872" t="s">
        <v>31</v>
      </c>
      <c r="H872" t="s">
        <v>274</v>
      </c>
      <c r="I872" t="s">
        <v>135</v>
      </c>
      <c r="J872" t="s">
        <v>39</v>
      </c>
      <c r="K872" t="s">
        <v>33</v>
      </c>
      <c r="L872">
        <v>8.9058727732376886E-2</v>
      </c>
      <c r="M872">
        <v>0</v>
      </c>
      <c r="N872">
        <v>0.31310571523809327</v>
      </c>
      <c r="O872">
        <v>10.963614690254312</v>
      </c>
      <c r="P872">
        <v>13.585154326643281</v>
      </c>
      <c r="Q872">
        <v>18.966410500645331</v>
      </c>
      <c r="R872">
        <v>-4.8396016473628896</v>
      </c>
      <c r="S872" s="2">
        <v>0</v>
      </c>
      <c r="T872" s="2">
        <v>0</v>
      </c>
      <c r="U872" s="2">
        <v>3.2895131153363129E-5</v>
      </c>
      <c r="V872" s="2">
        <v>4.6896137625277202E-5</v>
      </c>
      <c r="W872" s="2">
        <v>6.3498184390558765E-5</v>
      </c>
      <c r="X872" s="2">
        <v>8.1937924623660567E-5</v>
      </c>
      <c r="Y872" s="2">
        <v>1.008769127015239E-4</v>
      </c>
      <c r="Z872" s="2">
        <v>1.1841063745162852E-4</v>
      </c>
      <c r="AA872" s="2">
        <v>1.3223793439865689E-4</v>
      </c>
      <c r="AB872" s="2">
        <v>1.4002915387405468E-4</v>
      </c>
      <c r="AC872" s="2">
        <v>1.3996693380676804E-4</v>
      </c>
      <c r="AD872" s="2">
        <v>1.3133550483077498E-4</v>
      </c>
      <c r="AE872" s="2">
        <v>1.1494210568369183E-4</v>
      </c>
      <c r="AF872" s="2">
        <v>9.4618594466995535E-5</v>
      </c>
      <c r="AG872" s="2">
        <v>7.2022560948342107E-5</v>
      </c>
      <c r="AH872" s="2">
        <v>4.330564650262002E-5</v>
      </c>
      <c r="AI872" s="2">
        <v>0</v>
      </c>
      <c r="AJ872" s="2">
        <v>0</v>
      </c>
      <c r="AK872" s="2">
        <v>0</v>
      </c>
      <c r="AL872" s="2">
        <v>0</v>
      </c>
      <c r="AM872" s="2">
        <v>0</v>
      </c>
      <c r="AN872" s="2">
        <v>0</v>
      </c>
      <c r="AO872" s="2">
        <v>0</v>
      </c>
      <c r="AP872" s="2">
        <v>0</v>
      </c>
      <c r="AQ872" s="2">
        <v>0</v>
      </c>
      <c r="AR872" s="2">
        <v>1.3129733624579164E-3</v>
      </c>
    </row>
    <row r="873" spans="1:44" x14ac:dyDescent="0.25">
      <c r="A873" t="s">
        <v>250</v>
      </c>
      <c r="B873" t="s">
        <v>410</v>
      </c>
      <c r="C873" t="s">
        <v>44</v>
      </c>
      <c r="D873" t="s">
        <v>219</v>
      </c>
      <c r="E873" t="s">
        <v>134</v>
      </c>
      <c r="F873" t="s">
        <v>408</v>
      </c>
      <c r="G873" t="s">
        <v>31</v>
      </c>
      <c r="H873" t="s">
        <v>275</v>
      </c>
      <c r="I873" t="s">
        <v>135</v>
      </c>
      <c r="J873" t="s">
        <v>39</v>
      </c>
      <c r="K873" t="s">
        <v>31</v>
      </c>
      <c r="L873">
        <v>8.9058727732376886E-2</v>
      </c>
      <c r="M873">
        <v>0</v>
      </c>
      <c r="N873">
        <v>0.31310571523809327</v>
      </c>
      <c r="O873">
        <v>10.963614690254312</v>
      </c>
      <c r="P873">
        <v>13.585154326643281</v>
      </c>
      <c r="Q873">
        <v>18.966410500645331</v>
      </c>
      <c r="R873">
        <v>-4.8396016473628896</v>
      </c>
      <c r="S873" s="2">
        <v>0</v>
      </c>
      <c r="T873" s="2">
        <v>0</v>
      </c>
      <c r="U873" s="2">
        <v>1.5618880730232437E-2</v>
      </c>
      <c r="V873" s="2">
        <v>2.2266674568430317E-2</v>
      </c>
      <c r="W873" s="2">
        <v>3.0149463881406279E-2</v>
      </c>
      <c r="X873" s="2">
        <v>3.8904805273861573E-2</v>
      </c>
      <c r="Y873" s="2">
        <v>4.7897193678101101E-2</v>
      </c>
      <c r="Z873" s="2">
        <v>5.6222351415026864E-2</v>
      </c>
      <c r="AA873" s="2">
        <v>6.2787666532035102E-2</v>
      </c>
      <c r="AB873" s="2">
        <v>6.6487002070840531E-2</v>
      </c>
      <c r="AC873" s="2">
        <v>6.6457459467546262E-2</v>
      </c>
      <c r="AD873" s="2">
        <v>6.2359185498703146E-2</v>
      </c>
      <c r="AE873" s="2">
        <v>5.4575463803001441E-2</v>
      </c>
      <c r="AF873" s="2">
        <v>4.4925692344933647E-2</v>
      </c>
      <c r="AG873" s="2">
        <v>3.4196908475406476E-2</v>
      </c>
      <c r="AH873" s="2">
        <v>2.0561879644637973E-2</v>
      </c>
      <c r="AI873" s="2">
        <v>0</v>
      </c>
      <c r="AJ873" s="2">
        <v>0</v>
      </c>
      <c r="AK873" s="2">
        <v>0</v>
      </c>
      <c r="AL873" s="2">
        <v>0</v>
      </c>
      <c r="AM873" s="2">
        <v>0</v>
      </c>
      <c r="AN873" s="2">
        <v>0</v>
      </c>
      <c r="AO873" s="2">
        <v>0</v>
      </c>
      <c r="AP873" s="2">
        <v>0</v>
      </c>
      <c r="AQ873" s="2">
        <v>0</v>
      </c>
      <c r="AR873" s="2">
        <v>0.6234106273841632</v>
      </c>
    </row>
    <row r="874" spans="1:44" x14ac:dyDescent="0.25">
      <c r="A874" t="s">
        <v>250</v>
      </c>
      <c r="B874" t="s">
        <v>403</v>
      </c>
      <c r="C874" t="s">
        <v>44</v>
      </c>
      <c r="D874" t="s">
        <v>219</v>
      </c>
      <c r="E874" t="s">
        <v>134</v>
      </c>
      <c r="F874" t="s">
        <v>399</v>
      </c>
      <c r="G874" t="s">
        <v>31</v>
      </c>
      <c r="H874" t="s">
        <v>276</v>
      </c>
      <c r="I874" t="s">
        <v>135</v>
      </c>
      <c r="J874" t="s">
        <v>39</v>
      </c>
      <c r="K874" t="s">
        <v>31</v>
      </c>
      <c r="L874">
        <v>0.26223026548672568</v>
      </c>
      <c r="M874">
        <v>0</v>
      </c>
      <c r="N874">
        <v>0.36041011491017527</v>
      </c>
      <c r="O874">
        <v>6.504014493684382</v>
      </c>
      <c r="P874">
        <v>6.8072244786385783</v>
      </c>
      <c r="Q874">
        <v>9.7747780822102239</v>
      </c>
      <c r="R874">
        <v>-2.4258990769324864</v>
      </c>
      <c r="S874" s="2">
        <v>0.12227063460749464</v>
      </c>
      <c r="T874" s="2">
        <v>0.19847227685994989</v>
      </c>
      <c r="U874" s="2">
        <v>0.30062056348818061</v>
      </c>
      <c r="V874" s="2">
        <v>0.42964872176096436</v>
      </c>
      <c r="W874" s="2">
        <v>0.58321292794672208</v>
      </c>
      <c r="X874" s="2">
        <v>0.75446688161012954</v>
      </c>
      <c r="Y874" s="2">
        <v>0.9311858961191094</v>
      </c>
      <c r="Z874" s="2">
        <v>1.0957833883935262</v>
      </c>
      <c r="AA874" s="2">
        <v>1.2268160140325761</v>
      </c>
      <c r="AB874" s="2">
        <v>1.3023605436902996</v>
      </c>
      <c r="AC874" s="2">
        <v>1.3050513516524205</v>
      </c>
      <c r="AD874" s="2">
        <v>1.2276475062739598</v>
      </c>
      <c r="AE874" s="2">
        <v>1.0771100382175052</v>
      </c>
      <c r="AF874" s="2">
        <v>0.88888750840258135</v>
      </c>
      <c r="AG874" s="2">
        <v>0.67831005766200991</v>
      </c>
      <c r="AH874" s="2">
        <v>0.46861311222063667</v>
      </c>
      <c r="AI874" s="2">
        <v>8.9257056794127931E-2</v>
      </c>
      <c r="AJ874" s="2">
        <v>0</v>
      </c>
      <c r="AK874" s="2">
        <v>0</v>
      </c>
      <c r="AL874" s="2">
        <v>0</v>
      </c>
      <c r="AM874" s="2">
        <v>0</v>
      </c>
      <c r="AN874" s="2">
        <v>0</v>
      </c>
      <c r="AO874" s="2">
        <v>0</v>
      </c>
      <c r="AP874" s="2">
        <v>0</v>
      </c>
      <c r="AQ874" s="2">
        <v>0</v>
      </c>
      <c r="AR874" s="2">
        <v>12.679714479732194</v>
      </c>
    </row>
    <row r="875" spans="1:44" x14ac:dyDescent="0.25">
      <c r="A875" t="s">
        <v>250</v>
      </c>
      <c r="B875" t="s">
        <v>412</v>
      </c>
      <c r="C875" t="s">
        <v>44</v>
      </c>
      <c r="D875" t="s">
        <v>219</v>
      </c>
      <c r="E875" t="s">
        <v>134</v>
      </c>
      <c r="F875" t="s">
        <v>408</v>
      </c>
      <c r="G875" t="s">
        <v>31</v>
      </c>
      <c r="H875" t="s">
        <v>276</v>
      </c>
      <c r="I875" t="s">
        <v>135</v>
      </c>
      <c r="J875" t="s">
        <v>39</v>
      </c>
      <c r="K875" t="s">
        <v>31</v>
      </c>
      <c r="L875">
        <v>0.17486807293005224</v>
      </c>
      <c r="M875">
        <v>0</v>
      </c>
      <c r="N875">
        <v>0.35940883392867401</v>
      </c>
      <c r="O875">
        <v>6.504014493684382</v>
      </c>
      <c r="P875">
        <v>6.8344561392661927</v>
      </c>
      <c r="Q875">
        <v>9.8020097428378392</v>
      </c>
      <c r="R875">
        <v>-2.4258990769324864</v>
      </c>
      <c r="S875" s="2">
        <v>0</v>
      </c>
      <c r="T875" s="2">
        <v>0</v>
      </c>
      <c r="U875" s="2">
        <v>9.4167495023897985E-2</v>
      </c>
      <c r="V875" s="2">
        <v>0.13458475161843153</v>
      </c>
      <c r="W875" s="2">
        <v>0.18268777043409123</v>
      </c>
      <c r="X875" s="2">
        <v>0.23633199104994351</v>
      </c>
      <c r="Y875" s="2">
        <v>0.29168810749889951</v>
      </c>
      <c r="Z875" s="2">
        <v>0.34324723357746734</v>
      </c>
      <c r="AA875" s="2">
        <v>0.38429237692914181</v>
      </c>
      <c r="AB875" s="2">
        <v>0.40795622426573985</v>
      </c>
      <c r="AC875" s="2">
        <v>0.40879910288469778</v>
      </c>
      <c r="AD875" s="2">
        <v>0.38455283662822021</v>
      </c>
      <c r="AE875" s="2">
        <v>0.33739792443714611</v>
      </c>
      <c r="AF875" s="2">
        <v>0.27843840438944589</v>
      </c>
      <c r="AG875" s="2">
        <v>0.21247634638958612</v>
      </c>
      <c r="AH875" s="2">
        <v>0.14679010111996246</v>
      </c>
      <c r="AI875" s="2">
        <v>9.3585621218751205E-2</v>
      </c>
      <c r="AJ875" s="2">
        <v>3.484428232172232E-2</v>
      </c>
      <c r="AK875" s="2">
        <v>0</v>
      </c>
      <c r="AL875" s="2">
        <v>0</v>
      </c>
      <c r="AM875" s="2">
        <v>0</v>
      </c>
      <c r="AN875" s="2">
        <v>0</v>
      </c>
      <c r="AO875" s="2">
        <v>0</v>
      </c>
      <c r="AP875" s="2">
        <v>0</v>
      </c>
      <c r="AQ875" s="2">
        <v>0</v>
      </c>
      <c r="AR875" s="2">
        <v>3.9718405697871457</v>
      </c>
    </row>
    <row r="876" spans="1:44" x14ac:dyDescent="0.25">
      <c r="A876" t="s">
        <v>250</v>
      </c>
      <c r="B876" t="s">
        <v>402</v>
      </c>
      <c r="C876" t="s">
        <v>44</v>
      </c>
      <c r="D876" t="s">
        <v>219</v>
      </c>
      <c r="E876" t="s">
        <v>134</v>
      </c>
      <c r="F876" t="s">
        <v>399</v>
      </c>
      <c r="G876" t="s">
        <v>31</v>
      </c>
      <c r="H876" t="s">
        <v>277</v>
      </c>
      <c r="I876" t="s">
        <v>135</v>
      </c>
      <c r="J876" t="s">
        <v>39</v>
      </c>
      <c r="K876" t="s">
        <v>31</v>
      </c>
      <c r="L876">
        <v>3.1195595054096081E-2</v>
      </c>
      <c r="M876">
        <v>0</v>
      </c>
      <c r="N876">
        <v>5.9157197014019343E-2</v>
      </c>
      <c r="O876">
        <v>8.738875658880076</v>
      </c>
      <c r="P876">
        <v>75.838878444344346</v>
      </c>
      <c r="Q876">
        <v>80.014804576481396</v>
      </c>
      <c r="R876">
        <v>-3.6342716054978919</v>
      </c>
      <c r="S876" s="2">
        <v>1.0103809087345124E-2</v>
      </c>
      <c r="T876" s="2">
        <v>1.6357656033406033E-2</v>
      </c>
      <c r="U876" s="2">
        <v>2.4711445980269784E-2</v>
      </c>
      <c r="V876" s="2">
        <v>3.5225020353021885E-2</v>
      </c>
      <c r="W876" s="2">
        <v>4.7689539126854606E-2</v>
      </c>
      <c r="X876" s="2">
        <v>6.1531063022293331E-2</v>
      </c>
      <c r="Y876" s="2">
        <v>7.5744112529864988E-2</v>
      </c>
      <c r="Z876" s="2">
        <v>8.8898709971913209E-2</v>
      </c>
      <c r="AA876" s="2">
        <v>9.9267809188171657E-2</v>
      </c>
      <c r="AB876" s="2">
        <v>0.10510381635800768</v>
      </c>
      <c r="AC876" s="2">
        <v>0.10504444978043305</v>
      </c>
      <c r="AD876" s="2">
        <v>9.8554724947435779E-2</v>
      </c>
      <c r="AE876" s="2">
        <v>8.6242649865433757E-2</v>
      </c>
      <c r="AF876" s="2">
        <v>7.0985080015923005E-2</v>
      </c>
      <c r="AG876" s="2">
        <v>5.4026493864542453E-2</v>
      </c>
      <c r="AH876" s="2">
        <v>4.231457256217569E-3</v>
      </c>
      <c r="AI876" s="2">
        <v>0</v>
      </c>
      <c r="AJ876" s="2">
        <v>0</v>
      </c>
      <c r="AK876" s="2">
        <v>0</v>
      </c>
      <c r="AL876" s="2">
        <v>0</v>
      </c>
      <c r="AM876" s="2">
        <v>0</v>
      </c>
      <c r="AN876" s="2">
        <v>0</v>
      </c>
      <c r="AO876" s="2">
        <v>0</v>
      </c>
      <c r="AP876" s="2">
        <v>0</v>
      </c>
      <c r="AQ876" s="2">
        <v>0</v>
      </c>
      <c r="AR876" s="2">
        <v>0.98371783738113383</v>
      </c>
    </row>
    <row r="877" spans="1:44" x14ac:dyDescent="0.25">
      <c r="A877" t="s">
        <v>250</v>
      </c>
      <c r="B877" t="s">
        <v>402</v>
      </c>
      <c r="C877" t="s">
        <v>44</v>
      </c>
      <c r="D877" t="s">
        <v>219</v>
      </c>
      <c r="E877" t="s">
        <v>134</v>
      </c>
      <c r="F877" t="s">
        <v>399</v>
      </c>
      <c r="G877" t="s">
        <v>31</v>
      </c>
      <c r="H877" t="s">
        <v>277</v>
      </c>
      <c r="I877" t="s">
        <v>135</v>
      </c>
      <c r="J877" t="s">
        <v>40</v>
      </c>
      <c r="K877" t="s">
        <v>31</v>
      </c>
      <c r="L877">
        <v>3.1195595054096081E-2</v>
      </c>
      <c r="M877">
        <v>0</v>
      </c>
      <c r="N877">
        <v>5.9157197014019343E-2</v>
      </c>
      <c r="O877">
        <v>7.4455689628598076</v>
      </c>
      <c r="P877">
        <v>75.838878444344346</v>
      </c>
      <c r="Q877">
        <v>0.4672931329656026</v>
      </c>
      <c r="R877">
        <v>-3.4912716054978921</v>
      </c>
      <c r="S877" s="2">
        <v>1.5938293051829613E-3</v>
      </c>
      <c r="T877" s="2">
        <v>2.580344830822204E-3</v>
      </c>
      <c r="U877" s="2">
        <v>3.8981166841453737E-3</v>
      </c>
      <c r="V877" s="2">
        <v>5.5565845740920029E-3</v>
      </c>
      <c r="W877" s="2">
        <v>7.5228049494967643E-3</v>
      </c>
      <c r="X877" s="2">
        <v>9.7062415348704544E-3</v>
      </c>
      <c r="Y877" s="2">
        <v>1.194828457283291E-2</v>
      </c>
      <c r="Z877" s="2">
        <v>1.4023361676900636E-2</v>
      </c>
      <c r="AA877" s="2">
        <v>1.5659039276937799E-2</v>
      </c>
      <c r="AB877" s="2">
        <v>1.6579642504110082E-2</v>
      </c>
      <c r="AC877" s="2">
        <v>1.6570277700176345E-2</v>
      </c>
      <c r="AD877" s="2">
        <v>1.5546553525264942E-2</v>
      </c>
      <c r="AE877" s="2">
        <v>1.3604380439484288E-2</v>
      </c>
      <c r="AF877" s="2">
        <v>1.1197569132797576E-2</v>
      </c>
      <c r="AG877" s="2">
        <v>8.5224303461399996E-3</v>
      </c>
      <c r="AH877" s="2">
        <v>6.6749287524005816E-4</v>
      </c>
      <c r="AI877" s="2">
        <v>0</v>
      </c>
      <c r="AJ877" s="2">
        <v>0</v>
      </c>
      <c r="AK877" s="2">
        <v>0</v>
      </c>
      <c r="AL877" s="2">
        <v>0</v>
      </c>
      <c r="AM877" s="2">
        <v>0</v>
      </c>
      <c r="AN877" s="2">
        <v>0</v>
      </c>
      <c r="AO877" s="2">
        <v>0</v>
      </c>
      <c r="AP877" s="2">
        <v>0</v>
      </c>
      <c r="AQ877" s="2">
        <v>0</v>
      </c>
      <c r="AR877" s="2">
        <v>0.15517695392849437</v>
      </c>
    </row>
    <row r="878" spans="1:44" x14ac:dyDescent="0.25">
      <c r="A878" t="s">
        <v>250</v>
      </c>
      <c r="B878" t="s">
        <v>411</v>
      </c>
      <c r="C878" t="s">
        <v>44</v>
      </c>
      <c r="D878" t="s">
        <v>219</v>
      </c>
      <c r="E878" t="s">
        <v>134</v>
      </c>
      <c r="F878" t="s">
        <v>408</v>
      </c>
      <c r="G878" t="s">
        <v>31</v>
      </c>
      <c r="H878" t="s">
        <v>277</v>
      </c>
      <c r="I878" t="s">
        <v>135</v>
      </c>
      <c r="J878" t="s">
        <v>39</v>
      </c>
      <c r="K878" t="s">
        <v>31</v>
      </c>
      <c r="L878">
        <v>2.0802761194977929E-2</v>
      </c>
      <c r="M878">
        <v>0</v>
      </c>
      <c r="N878">
        <v>5.8988440621383323E-2</v>
      </c>
      <c r="O878">
        <v>8.7388756588801648</v>
      </c>
      <c r="P878">
        <v>76.067787865166579</v>
      </c>
      <c r="Q878">
        <v>80.243713997303686</v>
      </c>
      <c r="R878">
        <v>-3.6342716054979398</v>
      </c>
      <c r="S878" s="2">
        <v>0</v>
      </c>
      <c r="T878" s="2">
        <v>0</v>
      </c>
      <c r="U878" s="2">
        <v>7.7407045591937817E-3</v>
      </c>
      <c r="V878" s="2">
        <v>1.1034015405736829E-2</v>
      </c>
      <c r="W878" s="2">
        <v>1.4938447278230195E-2</v>
      </c>
      <c r="X878" s="2">
        <v>1.9274217318120131E-2</v>
      </c>
      <c r="Y878" s="2">
        <v>2.3726365412211767E-2</v>
      </c>
      <c r="Z878" s="2">
        <v>2.7846960074107387E-2</v>
      </c>
      <c r="AA878" s="2">
        <v>3.1095014989311831E-2</v>
      </c>
      <c r="AB878" s="2">
        <v>3.2923107418346781E-2</v>
      </c>
      <c r="AC878" s="2">
        <v>3.2904511212440306E-2</v>
      </c>
      <c r="AD878" s="2">
        <v>3.0871645849450062E-2</v>
      </c>
      <c r="AE878" s="2">
        <v>2.7014966001719487E-2</v>
      </c>
      <c r="AF878" s="2">
        <v>2.2235628499955213E-2</v>
      </c>
      <c r="AG878" s="2">
        <v>1.6923458372627084E-2</v>
      </c>
      <c r="AH878" s="2">
        <v>9.6143643058394235E-3</v>
      </c>
      <c r="AI878" s="2">
        <v>0</v>
      </c>
      <c r="AJ878" s="2">
        <v>0</v>
      </c>
      <c r="AK878" s="2">
        <v>0</v>
      </c>
      <c r="AL878" s="2">
        <v>0</v>
      </c>
      <c r="AM878" s="2">
        <v>0</v>
      </c>
      <c r="AN878" s="2">
        <v>0</v>
      </c>
      <c r="AO878" s="2">
        <v>0</v>
      </c>
      <c r="AP878" s="2">
        <v>0</v>
      </c>
      <c r="AQ878" s="2">
        <v>0</v>
      </c>
      <c r="AR878" s="2">
        <v>0.30814340669729029</v>
      </c>
    </row>
    <row r="879" spans="1:44" x14ac:dyDescent="0.25">
      <c r="A879" t="s">
        <v>250</v>
      </c>
      <c r="B879" t="s">
        <v>411</v>
      </c>
      <c r="C879" t="s">
        <v>44</v>
      </c>
      <c r="D879" t="s">
        <v>219</v>
      </c>
      <c r="E879" t="s">
        <v>134</v>
      </c>
      <c r="F879" t="s">
        <v>408</v>
      </c>
      <c r="G879" t="s">
        <v>31</v>
      </c>
      <c r="H879" t="s">
        <v>277</v>
      </c>
      <c r="I879" t="s">
        <v>135</v>
      </c>
      <c r="J879" t="s">
        <v>40</v>
      </c>
      <c r="K879" t="s">
        <v>31</v>
      </c>
      <c r="L879">
        <v>2.0802761194977929E-2</v>
      </c>
      <c r="M879">
        <v>0</v>
      </c>
      <c r="N879">
        <v>5.8988440621383323E-2</v>
      </c>
      <c r="O879">
        <v>7.4455689628598973</v>
      </c>
      <c r="P879">
        <v>76.067787865166579</v>
      </c>
      <c r="Q879">
        <v>0.4672931329656026</v>
      </c>
      <c r="R879">
        <v>-3.4912716054979405</v>
      </c>
      <c r="S879" s="2">
        <v>0</v>
      </c>
      <c r="T879" s="2">
        <v>0</v>
      </c>
      <c r="U879" s="2">
        <v>1.2210604597288732E-3</v>
      </c>
      <c r="V879" s="2">
        <v>1.7405650636778411E-3</v>
      </c>
      <c r="W879" s="2">
        <v>2.356471192215495E-3</v>
      </c>
      <c r="X879" s="2">
        <v>3.0404189282001496E-3</v>
      </c>
      <c r="Y879" s="2">
        <v>3.7427247657347601E-3</v>
      </c>
      <c r="Z879" s="2">
        <v>4.3927295777947441E-3</v>
      </c>
      <c r="AA879" s="2">
        <v>4.9050952672039299E-3</v>
      </c>
      <c r="AB879" s="2">
        <v>5.1934684204168443E-3</v>
      </c>
      <c r="AC879" s="2">
        <v>5.1905349546632132E-3</v>
      </c>
      <c r="AD879" s="2">
        <v>4.8698598151177353E-3</v>
      </c>
      <c r="AE879" s="2">
        <v>4.2614863483505889E-3</v>
      </c>
      <c r="AF879" s="2">
        <v>3.5075678900918562E-3</v>
      </c>
      <c r="AG879" s="2">
        <v>2.6695975414975344E-3</v>
      </c>
      <c r="AH879" s="2">
        <v>1.516621647230505E-3</v>
      </c>
      <c r="AI879" s="2">
        <v>0</v>
      </c>
      <c r="AJ879" s="2">
        <v>0</v>
      </c>
      <c r="AK879" s="2">
        <v>0</v>
      </c>
      <c r="AL879" s="2">
        <v>0</v>
      </c>
      <c r="AM879" s="2">
        <v>0</v>
      </c>
      <c r="AN879" s="2">
        <v>0</v>
      </c>
      <c r="AO879" s="2">
        <v>0</v>
      </c>
      <c r="AP879" s="2">
        <v>0</v>
      </c>
      <c r="AQ879" s="2">
        <v>0</v>
      </c>
      <c r="AR879" s="2">
        <v>4.8608201871924078E-2</v>
      </c>
    </row>
    <row r="880" spans="1:44" x14ac:dyDescent="0.25">
      <c r="A880" t="s">
        <v>435</v>
      </c>
      <c r="B880" t="s">
        <v>479</v>
      </c>
      <c r="C880" t="s">
        <v>44</v>
      </c>
      <c r="D880" t="s">
        <v>191</v>
      </c>
      <c r="E880" t="s">
        <v>134</v>
      </c>
      <c r="F880" t="s">
        <v>191</v>
      </c>
      <c r="G880" t="s">
        <v>33</v>
      </c>
      <c r="H880" t="s">
        <v>450</v>
      </c>
      <c r="I880" t="s">
        <v>135</v>
      </c>
      <c r="J880" t="s">
        <v>39</v>
      </c>
      <c r="K880" t="s">
        <v>31</v>
      </c>
      <c r="L880">
        <v>9.2342432105322225E-2</v>
      </c>
      <c r="M880">
        <v>1</v>
      </c>
      <c r="N880">
        <v>4.0443999858966739</v>
      </c>
      <c r="O880">
        <v>5.3471683850504288</v>
      </c>
      <c r="P880">
        <v>-1.6880764755566879</v>
      </c>
      <c r="Q880">
        <v>0.71613044470482479</v>
      </c>
      <c r="R880">
        <v>-1.8625523936223527</v>
      </c>
      <c r="S880" s="2">
        <v>1.3670662849031864E-2</v>
      </c>
      <c r="T880" s="2">
        <v>2.7116108173707267E-2</v>
      </c>
      <c r="U880" s="2">
        <v>4.7774742220160128E-2</v>
      </c>
      <c r="V880" s="2">
        <v>7.7113116759858311E-2</v>
      </c>
      <c r="W880" s="2">
        <v>0.11614467636722822</v>
      </c>
      <c r="X880" s="2">
        <v>0.16506172007981612</v>
      </c>
      <c r="Y880" s="2">
        <v>0.22279846969393632</v>
      </c>
      <c r="Z880" s="2">
        <v>0.2866008410583028</v>
      </c>
      <c r="AA880" s="2">
        <v>0.35174334411716585</v>
      </c>
      <c r="AB880" s="2">
        <v>0.41159153092397777</v>
      </c>
      <c r="AC880" s="2">
        <v>0.45821929483536772</v>
      </c>
      <c r="AD880" s="2">
        <v>0.48370144571948426</v>
      </c>
      <c r="AE880" s="2">
        <v>0.48197662322206164</v>
      </c>
      <c r="AF880" s="2">
        <v>0.45084190750099912</v>
      </c>
      <c r="AG880" s="2">
        <v>0.39333526440631833</v>
      </c>
      <c r="AH880" s="2">
        <v>0.32277644440762032</v>
      </c>
      <c r="AI880" s="2">
        <v>0.11690661308754144</v>
      </c>
      <c r="AJ880" s="2">
        <v>0</v>
      </c>
      <c r="AK880" s="2">
        <v>0</v>
      </c>
      <c r="AL880" s="2">
        <v>0</v>
      </c>
      <c r="AM880" s="2">
        <v>0</v>
      </c>
      <c r="AN880" s="2">
        <v>0</v>
      </c>
      <c r="AO880" s="2">
        <v>0</v>
      </c>
      <c r="AP880" s="2">
        <v>0</v>
      </c>
      <c r="AQ880" s="2">
        <v>0</v>
      </c>
      <c r="AR880" s="2">
        <v>4.4273728054225767</v>
      </c>
    </row>
    <row r="881" spans="1:44" x14ac:dyDescent="0.25">
      <c r="A881" t="s">
        <v>435</v>
      </c>
      <c r="B881" t="s">
        <v>479</v>
      </c>
      <c r="C881" t="s">
        <v>44</v>
      </c>
      <c r="D881" t="s">
        <v>191</v>
      </c>
      <c r="E881" t="s">
        <v>134</v>
      </c>
      <c r="F881" t="s">
        <v>191</v>
      </c>
      <c r="G881" t="s">
        <v>33</v>
      </c>
      <c r="H881" t="s">
        <v>450</v>
      </c>
      <c r="I881" t="s">
        <v>135</v>
      </c>
      <c r="J881" t="s">
        <v>39</v>
      </c>
      <c r="K881" t="s">
        <v>33</v>
      </c>
      <c r="L881">
        <v>9.2342432105322225E-2</v>
      </c>
      <c r="M881">
        <v>1</v>
      </c>
      <c r="N881">
        <v>4.0443999858966739</v>
      </c>
      <c r="O881">
        <v>5.3471683850504288</v>
      </c>
      <c r="P881">
        <v>-1.6880764755566879</v>
      </c>
      <c r="Q881">
        <v>0.71613044470482479</v>
      </c>
      <c r="R881">
        <v>-1.8625523936223527</v>
      </c>
      <c r="S881" s="2">
        <v>8.4222250599652066E-3</v>
      </c>
      <c r="T881" s="2">
        <v>1.6694052991968602E-2</v>
      </c>
      <c r="U881" s="2">
        <v>2.9392054384935817E-2</v>
      </c>
      <c r="V881" s="2">
        <v>4.7408586524360835E-2</v>
      </c>
      <c r="W881" s="2">
        <v>7.1355132786315958E-2</v>
      </c>
      <c r="X881" s="2">
        <v>0.10133732526149657</v>
      </c>
      <c r="Y881" s="2">
        <v>0.13668864374184367</v>
      </c>
      <c r="Z881" s="2">
        <v>0.17570934165121185</v>
      </c>
      <c r="AA881" s="2">
        <v>0.21549660839386736</v>
      </c>
      <c r="AB881" s="2">
        <v>0.25198700299569926</v>
      </c>
      <c r="AC881" s="2">
        <v>0.28033817653217502</v>
      </c>
      <c r="AD881" s="2">
        <v>0.29572185181890176</v>
      </c>
      <c r="AE881" s="2">
        <v>0.29446193827476819</v>
      </c>
      <c r="AF881" s="2">
        <v>0.27524829065427542</v>
      </c>
      <c r="AG881" s="2">
        <v>0.23997190377168579</v>
      </c>
      <c r="AH881" s="2">
        <v>0.19678704557431315</v>
      </c>
      <c r="AI881" s="2">
        <v>4.5328348913564874E-2</v>
      </c>
      <c r="AJ881" s="2">
        <v>0</v>
      </c>
      <c r="AK881" s="2">
        <v>0</v>
      </c>
      <c r="AL881" s="2">
        <v>0</v>
      </c>
      <c r="AM881" s="2">
        <v>0</v>
      </c>
      <c r="AN881" s="2">
        <v>0</v>
      </c>
      <c r="AO881" s="2">
        <v>0</v>
      </c>
      <c r="AP881" s="2">
        <v>0</v>
      </c>
      <c r="AQ881" s="2">
        <v>0</v>
      </c>
      <c r="AR881" s="2">
        <v>2.6823485293313492</v>
      </c>
    </row>
    <row r="882" spans="1:44" x14ac:dyDescent="0.25">
      <c r="A882" t="s">
        <v>435</v>
      </c>
      <c r="B882" t="s">
        <v>479</v>
      </c>
      <c r="C882" t="s">
        <v>44</v>
      </c>
      <c r="D882" t="s">
        <v>191</v>
      </c>
      <c r="E882" t="s">
        <v>134</v>
      </c>
      <c r="F882" t="s">
        <v>191</v>
      </c>
      <c r="G882" t="s">
        <v>33</v>
      </c>
      <c r="H882" t="s">
        <v>450</v>
      </c>
      <c r="I882" t="s">
        <v>256</v>
      </c>
      <c r="J882" t="s">
        <v>40</v>
      </c>
      <c r="K882" t="s">
        <v>33</v>
      </c>
      <c r="L882">
        <v>9.2342432105322225E-2</v>
      </c>
      <c r="M882">
        <v>1</v>
      </c>
      <c r="N882">
        <v>2.0015641280358047</v>
      </c>
      <c r="O882">
        <v>1.4737622038640092</v>
      </c>
      <c r="P882">
        <v>-0.22513952420782057</v>
      </c>
      <c r="Q882">
        <v>1.3498045353129324</v>
      </c>
      <c r="R882">
        <v>-0.25661544227348515</v>
      </c>
      <c r="S882" s="2">
        <v>0.22000539954761955</v>
      </c>
      <c r="T882" s="2">
        <v>0.4363863170947429</v>
      </c>
      <c r="U882" s="2">
        <v>0.76885088649342326</v>
      </c>
      <c r="V882" s="2">
        <v>1.2410006925389376</v>
      </c>
      <c r="W882" s="2">
        <v>1.8691453524735713</v>
      </c>
      <c r="X882" s="2">
        <v>2.6563795828487589</v>
      </c>
      <c r="Y882" s="2">
        <v>3.585551548225328</v>
      </c>
      <c r="Z882" s="2">
        <v>4.6123390828983171</v>
      </c>
      <c r="AA882" s="2">
        <v>5.6606936924198399</v>
      </c>
      <c r="AB882" s="2">
        <v>6.6238455451162643</v>
      </c>
      <c r="AC882" s="2">
        <v>7.3742378225517289</v>
      </c>
      <c r="AD882" s="2">
        <v>7.7843284559396926</v>
      </c>
      <c r="AE882" s="2">
        <v>7.7565704556960506</v>
      </c>
      <c r="AF882" s="2">
        <v>7.2555116813222114</v>
      </c>
      <c r="AG882" s="2">
        <v>6.3300428777679185</v>
      </c>
      <c r="AH882" s="2">
        <v>5.1945221238111019</v>
      </c>
      <c r="AI882" s="2">
        <v>1.8814073908570643</v>
      </c>
      <c r="AJ882" s="2">
        <v>0</v>
      </c>
      <c r="AK882" s="2">
        <v>0</v>
      </c>
      <c r="AL882" s="2">
        <v>0</v>
      </c>
      <c r="AM882" s="2">
        <v>0</v>
      </c>
      <c r="AN882" s="2">
        <v>0</v>
      </c>
      <c r="AO882" s="2">
        <v>0</v>
      </c>
      <c r="AP882" s="2">
        <v>0</v>
      </c>
      <c r="AQ882" s="2">
        <v>0</v>
      </c>
      <c r="AR882" s="2">
        <v>71.250818907602579</v>
      </c>
    </row>
    <row r="883" spans="1:44" x14ac:dyDescent="0.25">
      <c r="A883" t="s">
        <v>435</v>
      </c>
      <c r="B883" t="s">
        <v>479</v>
      </c>
      <c r="C883" t="s">
        <v>44</v>
      </c>
      <c r="D883" t="s">
        <v>191</v>
      </c>
      <c r="E883" t="s">
        <v>134</v>
      </c>
      <c r="F883" t="s">
        <v>191</v>
      </c>
      <c r="G883" t="s">
        <v>33</v>
      </c>
      <c r="H883" t="s">
        <v>451</v>
      </c>
      <c r="I883" t="s">
        <v>135</v>
      </c>
      <c r="J883" t="s">
        <v>39</v>
      </c>
      <c r="K883" t="s">
        <v>31</v>
      </c>
      <c r="L883">
        <v>9.2342432105322225E-2</v>
      </c>
      <c r="M883">
        <v>1</v>
      </c>
      <c r="N883">
        <v>4.0443999858966739</v>
      </c>
      <c r="O883">
        <v>5.3471683850504288</v>
      </c>
      <c r="P883">
        <v>-1.6880764755566879</v>
      </c>
      <c r="Q883">
        <v>0.71613044470482479</v>
      </c>
      <c r="R883">
        <v>-1.8625523936223527</v>
      </c>
      <c r="S883" s="2">
        <v>3.5760104404412548E-3</v>
      </c>
      <c r="T883" s="2">
        <v>7.0931078473768913E-3</v>
      </c>
      <c r="U883" s="2">
        <v>1.2497051449175421E-2</v>
      </c>
      <c r="V883" s="2">
        <v>2.017146598328607E-2</v>
      </c>
      <c r="W883" s="2">
        <v>3.0381451132070914E-2</v>
      </c>
      <c r="X883" s="2">
        <v>4.3177309018663707E-2</v>
      </c>
      <c r="Y883" s="2">
        <v>5.8280250382758449E-2</v>
      </c>
      <c r="Z883" s="2">
        <v>7.496985414546424E-2</v>
      </c>
      <c r="AA883" s="2">
        <v>9.2010013326294895E-2</v>
      </c>
      <c r="AB883" s="2">
        <v>0.1076652703702351</v>
      </c>
      <c r="AC883" s="2">
        <v>0.1198622920072195</v>
      </c>
      <c r="AD883" s="2">
        <v>0.12652798471084387</v>
      </c>
      <c r="AE883" s="2">
        <v>0.12607680079044398</v>
      </c>
      <c r="AF883" s="2">
        <v>0.11793249427742258</v>
      </c>
      <c r="AG883" s="2">
        <v>0.10288974482391886</v>
      </c>
      <c r="AH883" s="2">
        <v>8.4432770223127784E-2</v>
      </c>
      <c r="AI883" s="2">
        <v>3.0580760682520927E-2</v>
      </c>
      <c r="AJ883" s="2">
        <v>0</v>
      </c>
      <c r="AK883" s="2">
        <v>0</v>
      </c>
      <c r="AL883" s="2">
        <v>0</v>
      </c>
      <c r="AM883" s="2">
        <v>0</v>
      </c>
      <c r="AN883" s="2">
        <v>0</v>
      </c>
      <c r="AO883" s="2">
        <v>0</v>
      </c>
      <c r="AP883" s="2">
        <v>0</v>
      </c>
      <c r="AQ883" s="2">
        <v>0</v>
      </c>
      <c r="AR883" s="2">
        <v>1.1581246316112646</v>
      </c>
    </row>
    <row r="884" spans="1:44" x14ac:dyDescent="0.25">
      <c r="A884" t="s">
        <v>435</v>
      </c>
      <c r="B884" t="s">
        <v>479</v>
      </c>
      <c r="C884" t="s">
        <v>44</v>
      </c>
      <c r="D884" t="s">
        <v>191</v>
      </c>
      <c r="E884" t="s">
        <v>134</v>
      </c>
      <c r="F884" t="s">
        <v>191</v>
      </c>
      <c r="G884" t="s">
        <v>33</v>
      </c>
      <c r="H884" t="s">
        <v>451</v>
      </c>
      <c r="I884" t="s">
        <v>135</v>
      </c>
      <c r="J884" t="s">
        <v>39</v>
      </c>
      <c r="K884" t="s">
        <v>33</v>
      </c>
      <c r="L884">
        <v>9.2342432105322225E-2</v>
      </c>
      <c r="M884">
        <v>1</v>
      </c>
      <c r="N884">
        <v>4.0443999858966739</v>
      </c>
      <c r="O884">
        <v>5.3471683850504288</v>
      </c>
      <c r="P884">
        <v>-1.6880764755566879</v>
      </c>
      <c r="Q884">
        <v>0.71613044470482479</v>
      </c>
      <c r="R884">
        <v>-1.8625523936223527</v>
      </c>
      <c r="S884" s="2">
        <v>1.6109257006511595E-2</v>
      </c>
      <c r="T884" s="2">
        <v>3.1953121835460604E-2</v>
      </c>
      <c r="U884" s="2">
        <v>5.629687523885521E-2</v>
      </c>
      <c r="V884" s="2">
        <v>9.0868674780145528E-2</v>
      </c>
      <c r="W884" s="2">
        <v>0.13686274485734204</v>
      </c>
      <c r="X884" s="2">
        <v>0.19450568711018579</v>
      </c>
      <c r="Y884" s="2">
        <v>0.262541608157009</v>
      </c>
      <c r="Z884" s="2">
        <v>0.33772514602081216</v>
      </c>
      <c r="AA884" s="2">
        <v>0.41448787036062068</v>
      </c>
      <c r="AB884" s="2">
        <v>0.4850118700592107</v>
      </c>
      <c r="AC884" s="2">
        <v>0.53995716720994247</v>
      </c>
      <c r="AD884" s="2">
        <v>0.56998486390645009</v>
      </c>
      <c r="AE884" s="2">
        <v>0.56795236488219347</v>
      </c>
      <c r="AF884" s="2">
        <v>0.53126379001833535</v>
      </c>
      <c r="AG884" s="2">
        <v>0.46349902225072437</v>
      </c>
      <c r="AH884" s="2">
        <v>0.38035380990897533</v>
      </c>
      <c r="AI884" s="2">
        <v>0.13776059703801369</v>
      </c>
      <c r="AJ884" s="2">
        <v>0</v>
      </c>
      <c r="AK884" s="2">
        <v>0</v>
      </c>
      <c r="AL884" s="2">
        <v>0</v>
      </c>
      <c r="AM884" s="2">
        <v>0</v>
      </c>
      <c r="AN884" s="2">
        <v>0</v>
      </c>
      <c r="AO884" s="2">
        <v>0</v>
      </c>
      <c r="AP884" s="2">
        <v>0</v>
      </c>
      <c r="AQ884" s="2">
        <v>0</v>
      </c>
      <c r="AR884" s="2">
        <v>5.2171344706407883</v>
      </c>
    </row>
    <row r="885" spans="1:44" x14ac:dyDescent="0.25">
      <c r="A885" t="s">
        <v>435</v>
      </c>
      <c r="B885" t="s">
        <v>479</v>
      </c>
      <c r="C885" t="s">
        <v>44</v>
      </c>
      <c r="D885" t="s">
        <v>191</v>
      </c>
      <c r="E885" t="s">
        <v>134</v>
      </c>
      <c r="F885" t="s">
        <v>191</v>
      </c>
      <c r="G885" t="s">
        <v>33</v>
      </c>
      <c r="H885" t="s">
        <v>452</v>
      </c>
      <c r="I885" t="s">
        <v>135</v>
      </c>
      <c r="J885" t="s">
        <v>39</v>
      </c>
      <c r="K885" t="s">
        <v>31</v>
      </c>
      <c r="L885">
        <v>9.2342432105322225E-2</v>
      </c>
      <c r="M885">
        <v>1</v>
      </c>
      <c r="N885">
        <v>4.0443999858966739</v>
      </c>
      <c r="O885">
        <v>5.3471683850504288</v>
      </c>
      <c r="P885">
        <v>-1.6880764755566879</v>
      </c>
      <c r="Q885">
        <v>0.71613044470482479</v>
      </c>
      <c r="R885">
        <v>-1.8625523936223527</v>
      </c>
      <c r="S885" s="2">
        <v>8.0994191413129066E-2</v>
      </c>
      <c r="T885" s="2">
        <v>0.1606540428985779</v>
      </c>
      <c r="U885" s="2">
        <v>0.2830496705846694</v>
      </c>
      <c r="V885" s="2">
        <v>0.45686991247489134</v>
      </c>
      <c r="W885" s="2">
        <v>0.68811909511537728</v>
      </c>
      <c r="X885" s="2">
        <v>0.97793652720151258</v>
      </c>
      <c r="Y885" s="2">
        <v>1.3200078226068506</v>
      </c>
      <c r="Z885" s="2">
        <v>1.6980159364755207</v>
      </c>
      <c r="AA885" s="2">
        <v>2.083963890875812</v>
      </c>
      <c r="AB885" s="2">
        <v>2.4385447587890976</v>
      </c>
      <c r="AC885" s="2">
        <v>2.7147989592701491</v>
      </c>
      <c r="AD885" s="2">
        <v>2.8657723414037393</v>
      </c>
      <c r="AE885" s="2">
        <v>2.8555533340993642</v>
      </c>
      <c r="AF885" s="2">
        <v>2.6710903601709508</v>
      </c>
      <c r="AG885" s="2">
        <v>2.3303823703848563</v>
      </c>
      <c r="AH885" s="2">
        <v>1.9123445154564265</v>
      </c>
      <c r="AI885" s="2">
        <v>0.69263332015708556</v>
      </c>
      <c r="AJ885" s="2">
        <v>0</v>
      </c>
      <c r="AK885" s="2">
        <v>0</v>
      </c>
      <c r="AL885" s="2">
        <v>0</v>
      </c>
      <c r="AM885" s="2">
        <v>0</v>
      </c>
      <c r="AN885" s="2">
        <v>0</v>
      </c>
      <c r="AO885" s="2">
        <v>0</v>
      </c>
      <c r="AP885" s="2">
        <v>0</v>
      </c>
      <c r="AQ885" s="2">
        <v>0</v>
      </c>
      <c r="AR885" s="2">
        <v>26.230731049378008</v>
      </c>
    </row>
    <row r="886" spans="1:44" x14ac:dyDescent="0.25">
      <c r="A886" t="s">
        <v>435</v>
      </c>
      <c r="B886" t="s">
        <v>479</v>
      </c>
      <c r="C886" t="s">
        <v>44</v>
      </c>
      <c r="D886" t="s">
        <v>191</v>
      </c>
      <c r="E886" t="s">
        <v>134</v>
      </c>
      <c r="F886" t="s">
        <v>191</v>
      </c>
      <c r="G886" t="s">
        <v>33</v>
      </c>
      <c r="H886" t="s">
        <v>452</v>
      </c>
      <c r="I886" t="s">
        <v>135</v>
      </c>
      <c r="J886" t="s">
        <v>39</v>
      </c>
      <c r="K886" t="s">
        <v>33</v>
      </c>
      <c r="L886">
        <v>9.2342432105322225E-2</v>
      </c>
      <c r="M886">
        <v>1</v>
      </c>
      <c r="N886">
        <v>4.0443999858966739</v>
      </c>
      <c r="O886">
        <v>5.3471683850504288</v>
      </c>
      <c r="P886">
        <v>-1.6880764755566879</v>
      </c>
      <c r="Q886">
        <v>0.71613044470482479</v>
      </c>
      <c r="R886">
        <v>-1.8625523936223527</v>
      </c>
      <c r="S886" s="2">
        <v>0.16016332658671695</v>
      </c>
      <c r="T886" s="2">
        <v>0.31768804023235703</v>
      </c>
      <c r="U886" s="2">
        <v>0.55972133358153953</v>
      </c>
      <c r="V886" s="2">
        <v>0.90344509553927643</v>
      </c>
      <c r="W886" s="2">
        <v>1.3607326826606876</v>
      </c>
      <c r="X886" s="2">
        <v>1.9338370400950291</v>
      </c>
      <c r="Y886" s="2">
        <v>2.6102716787531475</v>
      </c>
      <c r="Z886" s="2">
        <v>3.3577701837405414</v>
      </c>
      <c r="AA886" s="2">
        <v>4.1209694599798636</v>
      </c>
      <c r="AB886" s="2">
        <v>4.8221413632750334</v>
      </c>
      <c r="AC886" s="2">
        <v>5.3684248801622321</v>
      </c>
      <c r="AD886" s="2">
        <v>5.6669697348818255</v>
      </c>
      <c r="AE886" s="2">
        <v>5.6467619869467374</v>
      </c>
      <c r="AF886" s="2">
        <v>5.2819925754495998</v>
      </c>
      <c r="AG886" s="2">
        <v>4.6082538284267063</v>
      </c>
      <c r="AH886" s="2">
        <v>3.7815978384558067</v>
      </c>
      <c r="AI886" s="2">
        <v>1.3696594129240049</v>
      </c>
      <c r="AJ886" s="2">
        <v>0</v>
      </c>
      <c r="AK886" s="2">
        <v>0</v>
      </c>
      <c r="AL886" s="2">
        <v>0</v>
      </c>
      <c r="AM886" s="2">
        <v>0</v>
      </c>
      <c r="AN886" s="2">
        <v>0</v>
      </c>
      <c r="AO886" s="2">
        <v>0</v>
      </c>
      <c r="AP886" s="2">
        <v>0</v>
      </c>
      <c r="AQ886" s="2">
        <v>0</v>
      </c>
      <c r="AR886" s="2">
        <v>51.870400461691105</v>
      </c>
    </row>
    <row r="887" spans="1:44" x14ac:dyDescent="0.25">
      <c r="A887" t="s">
        <v>435</v>
      </c>
      <c r="B887" t="s">
        <v>479</v>
      </c>
      <c r="C887" t="s">
        <v>44</v>
      </c>
      <c r="D887" t="s">
        <v>191</v>
      </c>
      <c r="E887" t="s">
        <v>134</v>
      </c>
      <c r="F887" t="s">
        <v>191</v>
      </c>
      <c r="G887" t="s">
        <v>33</v>
      </c>
      <c r="H887" t="s">
        <v>452</v>
      </c>
      <c r="I887" t="s">
        <v>135</v>
      </c>
      <c r="J887" t="s">
        <v>40</v>
      </c>
      <c r="K887" t="s">
        <v>33</v>
      </c>
      <c r="L887">
        <v>9.2342432105322225E-2</v>
      </c>
      <c r="M887">
        <v>1</v>
      </c>
      <c r="N887">
        <v>4.0443999858966739</v>
      </c>
      <c r="O887">
        <v>4.1746294160814523</v>
      </c>
      <c r="P887">
        <v>-1.6880764755566879</v>
      </c>
      <c r="Q887">
        <v>1.3498045353129324</v>
      </c>
      <c r="R887">
        <v>-1.7195523936223525</v>
      </c>
      <c r="S887" s="2">
        <v>1.172757811057926E-2</v>
      </c>
      <c r="T887" s="2">
        <v>2.3261950073224832E-2</v>
      </c>
      <c r="U887" s="2">
        <v>4.0984261501218651E-2</v>
      </c>
      <c r="V887" s="2">
        <v>6.615261528562251E-2</v>
      </c>
      <c r="W887" s="2">
        <v>9.9636409680096794E-2</v>
      </c>
      <c r="X887" s="2">
        <v>0.14160061122710679</v>
      </c>
      <c r="Y887" s="2">
        <v>0.19113092650355321</v>
      </c>
      <c r="Z887" s="2">
        <v>0.24586472413127994</v>
      </c>
      <c r="AA887" s="2">
        <v>0.30174817333766341</v>
      </c>
      <c r="AB887" s="2">
        <v>0.35308981589767513</v>
      </c>
      <c r="AC887" s="2">
        <v>0.39309012527778692</v>
      </c>
      <c r="AD887" s="2">
        <v>0.41495036118728462</v>
      </c>
      <c r="AE887" s="2">
        <v>0.41347069697576905</v>
      </c>
      <c r="AF887" s="2">
        <v>0.38676132563059695</v>
      </c>
      <c r="AG887" s="2">
        <v>0.33742841059803619</v>
      </c>
      <c r="AH887" s="2">
        <v>0.27689849467054095</v>
      </c>
      <c r="AI887" s="2">
        <v>0.10029004824184473</v>
      </c>
      <c r="AJ887" s="2">
        <v>0</v>
      </c>
      <c r="AK887" s="2">
        <v>0</v>
      </c>
      <c r="AL887" s="2">
        <v>0</v>
      </c>
      <c r="AM887" s="2">
        <v>0</v>
      </c>
      <c r="AN887" s="2">
        <v>0</v>
      </c>
      <c r="AO887" s="2">
        <v>0</v>
      </c>
      <c r="AP887" s="2">
        <v>0</v>
      </c>
      <c r="AQ887" s="2">
        <v>0</v>
      </c>
      <c r="AR887" s="2">
        <v>3.7980865283298808</v>
      </c>
    </row>
    <row r="888" spans="1:44" x14ac:dyDescent="0.25">
      <c r="A888" t="s">
        <v>435</v>
      </c>
      <c r="B888" t="s">
        <v>479</v>
      </c>
      <c r="C888" t="s">
        <v>44</v>
      </c>
      <c r="D888" t="s">
        <v>191</v>
      </c>
      <c r="E888" t="s">
        <v>134</v>
      </c>
      <c r="F888" t="s">
        <v>191</v>
      </c>
      <c r="G888" t="s">
        <v>33</v>
      </c>
      <c r="H888" t="s">
        <v>452</v>
      </c>
      <c r="I888" t="s">
        <v>256</v>
      </c>
      <c r="J888" t="s">
        <v>40</v>
      </c>
      <c r="K888" t="s">
        <v>33</v>
      </c>
      <c r="L888">
        <v>9.2342432105322225E-2</v>
      </c>
      <c r="M888">
        <v>1</v>
      </c>
      <c r="N888">
        <v>2.0015641280358047</v>
      </c>
      <c r="O888">
        <v>1.4737622038640092</v>
      </c>
      <c r="P888">
        <v>-0.22513952420782057</v>
      </c>
      <c r="Q888">
        <v>1.3498045353129324</v>
      </c>
      <c r="R888">
        <v>-0.25661544227348515</v>
      </c>
      <c r="S888" s="2">
        <v>7.0718614967552704E-2</v>
      </c>
      <c r="T888" s="2">
        <v>0.140272175133828</v>
      </c>
      <c r="U888" s="2">
        <v>0.2471397062126254</v>
      </c>
      <c r="V888" s="2">
        <v>0.39890771013159426</v>
      </c>
      <c r="W888" s="2">
        <v>0.60081875613856617</v>
      </c>
      <c r="X888" s="2">
        <v>0.85386761103783226</v>
      </c>
      <c r="Y888" s="2">
        <v>1.1525409826606368</v>
      </c>
      <c r="Z888" s="2">
        <v>1.482591938079596</v>
      </c>
      <c r="AA888" s="2">
        <v>1.819575421815252</v>
      </c>
      <c r="AB888" s="2">
        <v>2.1291713006717647</v>
      </c>
      <c r="AC888" s="2">
        <v>2.3703776649323722</v>
      </c>
      <c r="AD888" s="2">
        <v>2.5021973460129088</v>
      </c>
      <c r="AE888" s="2">
        <v>2.4932748044046771</v>
      </c>
      <c r="AF888" s="2">
        <v>2.3322142912812796</v>
      </c>
      <c r="AG888" s="2">
        <v>2.0347312653300391</v>
      </c>
      <c r="AH888" s="2">
        <v>1.6697290646937946</v>
      </c>
      <c r="AI888" s="2">
        <v>0.60476027017841893</v>
      </c>
      <c r="AJ888" s="2">
        <v>0</v>
      </c>
      <c r="AK888" s="2">
        <v>0</v>
      </c>
      <c r="AL888" s="2">
        <v>0</v>
      </c>
      <c r="AM888" s="2">
        <v>0</v>
      </c>
      <c r="AN888" s="2">
        <v>0</v>
      </c>
      <c r="AO888" s="2">
        <v>0</v>
      </c>
      <c r="AP888" s="2">
        <v>0</v>
      </c>
      <c r="AQ888" s="2">
        <v>0</v>
      </c>
      <c r="AR888" s="2">
        <v>22.902888923682738</v>
      </c>
    </row>
    <row r="889" spans="1:44" x14ac:dyDescent="0.25">
      <c r="A889" t="s">
        <v>435</v>
      </c>
      <c r="B889" t="s">
        <v>479</v>
      </c>
      <c r="C889" t="s">
        <v>44</v>
      </c>
      <c r="D889" t="s">
        <v>191</v>
      </c>
      <c r="E889" t="s">
        <v>134</v>
      </c>
      <c r="F889" t="s">
        <v>191</v>
      </c>
      <c r="G889" t="s">
        <v>33</v>
      </c>
      <c r="H889" t="s">
        <v>453</v>
      </c>
      <c r="I889" t="s">
        <v>135</v>
      </c>
      <c r="J889" t="s">
        <v>39</v>
      </c>
      <c r="K889" t="s">
        <v>31</v>
      </c>
      <c r="L889">
        <v>9.2342432105322225E-2</v>
      </c>
      <c r="M889">
        <v>1</v>
      </c>
      <c r="N889">
        <v>4.0443999858966739</v>
      </c>
      <c r="O889">
        <v>5.3471683850504288</v>
      </c>
      <c r="P889">
        <v>-1.6880764755566879</v>
      </c>
      <c r="Q889">
        <v>0.71613044470482479</v>
      </c>
      <c r="R889">
        <v>-1.8625523936223527</v>
      </c>
      <c r="S889" s="2">
        <v>2.4770443746249444E-2</v>
      </c>
      <c r="T889" s="2">
        <v>4.9132806474091184E-2</v>
      </c>
      <c r="U889" s="2">
        <v>8.6565046459312803E-2</v>
      </c>
      <c r="V889" s="2">
        <v>0.13972446997574137</v>
      </c>
      <c r="W889" s="2">
        <v>0.21044737948346925</v>
      </c>
      <c r="X889" s="2">
        <v>0.29908220962276238</v>
      </c>
      <c r="Y889" s="2">
        <v>0.40369783244964935</v>
      </c>
      <c r="Z889" s="2">
        <v>0.51930400811290756</v>
      </c>
      <c r="AA889" s="2">
        <v>0.63733842424392362</v>
      </c>
      <c r="AB889" s="2">
        <v>0.74577984811519904</v>
      </c>
      <c r="AC889" s="2">
        <v>0.83026663677609269</v>
      </c>
      <c r="AD889" s="2">
        <v>0.87643880794138107</v>
      </c>
      <c r="AE889" s="2">
        <v>0.87331353017566571</v>
      </c>
      <c r="AF889" s="2">
        <v>0.81689924120951929</v>
      </c>
      <c r="AG889" s="2">
        <v>0.71270055797498144</v>
      </c>
      <c r="AH889" s="2">
        <v>0.58485209145360395</v>
      </c>
      <c r="AI889" s="2">
        <v>0.21182796438101065</v>
      </c>
      <c r="AJ889" s="2">
        <v>0</v>
      </c>
      <c r="AK889" s="2">
        <v>0</v>
      </c>
      <c r="AL889" s="2">
        <v>0</v>
      </c>
      <c r="AM889" s="2">
        <v>0</v>
      </c>
      <c r="AN889" s="2">
        <v>0</v>
      </c>
      <c r="AO889" s="2">
        <v>0</v>
      </c>
      <c r="AP889" s="2">
        <v>0</v>
      </c>
      <c r="AQ889" s="2">
        <v>0</v>
      </c>
      <c r="AR889" s="2">
        <v>8.0221412985955602</v>
      </c>
    </row>
    <row r="890" spans="1:44" x14ac:dyDescent="0.25">
      <c r="A890" t="s">
        <v>435</v>
      </c>
      <c r="B890" t="s">
        <v>479</v>
      </c>
      <c r="C890" t="s">
        <v>44</v>
      </c>
      <c r="D890" t="s">
        <v>191</v>
      </c>
      <c r="E890" t="s">
        <v>134</v>
      </c>
      <c r="F890" t="s">
        <v>191</v>
      </c>
      <c r="G890" t="s">
        <v>33</v>
      </c>
      <c r="H890" t="s">
        <v>453</v>
      </c>
      <c r="I890" t="s">
        <v>135</v>
      </c>
      <c r="J890" t="s">
        <v>39</v>
      </c>
      <c r="K890" t="s">
        <v>33</v>
      </c>
      <c r="L890">
        <v>9.2342432105322225E-2</v>
      </c>
      <c r="M890">
        <v>1</v>
      </c>
      <c r="N890">
        <v>4.0443999858966739</v>
      </c>
      <c r="O890">
        <v>5.3471683850504288</v>
      </c>
      <c r="P890">
        <v>-1.6880764755566879</v>
      </c>
      <c r="Q890">
        <v>0.71613044470482479</v>
      </c>
      <c r="R890">
        <v>-1.8625523936223527</v>
      </c>
      <c r="S890" s="2">
        <v>2.2538228549967364E-2</v>
      </c>
      <c r="T890" s="2">
        <v>4.4705150741679897E-2</v>
      </c>
      <c r="U890" s="2">
        <v>7.8764144135849173E-2</v>
      </c>
      <c r="V890" s="2">
        <v>0.12713304899162867</v>
      </c>
      <c r="W890" s="2">
        <v>0.19148268739668062</v>
      </c>
      <c r="X890" s="2">
        <v>0.27213009442867597</v>
      </c>
      <c r="Y890" s="2">
        <v>0.36731816781660509</v>
      </c>
      <c r="Z890" s="2">
        <v>0.47250636854396194</v>
      </c>
      <c r="AA890" s="2">
        <v>0.57990398623603878</v>
      </c>
      <c r="AB890" s="2">
        <v>0.67857309448989322</v>
      </c>
      <c r="AC890" s="2">
        <v>0.7554462652654601</v>
      </c>
      <c r="AD890" s="2">
        <v>0.79745758153544211</v>
      </c>
      <c r="AE890" s="2">
        <v>0.79461394153902554</v>
      </c>
      <c r="AF890" s="2">
        <v>0.74328348693643365</v>
      </c>
      <c r="AG890" s="2">
        <v>0.64847478018077631</v>
      </c>
      <c r="AH890" s="2">
        <v>0.53214751581120101</v>
      </c>
      <c r="AI890" s="2">
        <v>0.19273885940038549</v>
      </c>
      <c r="AJ890" s="2">
        <v>0</v>
      </c>
      <c r="AK890" s="2">
        <v>0</v>
      </c>
      <c r="AL890" s="2">
        <v>0</v>
      </c>
      <c r="AM890" s="2">
        <v>0</v>
      </c>
      <c r="AN890" s="2">
        <v>0</v>
      </c>
      <c r="AO890" s="2">
        <v>0</v>
      </c>
      <c r="AP890" s="2">
        <v>0</v>
      </c>
      <c r="AQ890" s="2">
        <v>0</v>
      </c>
      <c r="AR890" s="2">
        <v>7.2992174019997051</v>
      </c>
    </row>
    <row r="891" spans="1:44" x14ac:dyDescent="0.25">
      <c r="A891" t="s">
        <v>435</v>
      </c>
      <c r="B891" t="s">
        <v>479</v>
      </c>
      <c r="C891" t="s">
        <v>44</v>
      </c>
      <c r="D891" t="s">
        <v>191</v>
      </c>
      <c r="E891" t="s">
        <v>134</v>
      </c>
      <c r="F891" t="s">
        <v>191</v>
      </c>
      <c r="G891" t="s">
        <v>33</v>
      </c>
      <c r="H891" t="s">
        <v>453</v>
      </c>
      <c r="I891" t="s">
        <v>135</v>
      </c>
      <c r="J891" t="s">
        <v>40</v>
      </c>
      <c r="K891" t="s">
        <v>33</v>
      </c>
      <c r="L891">
        <v>9.2342432105322225E-2</v>
      </c>
      <c r="M891">
        <v>1</v>
      </c>
      <c r="N891">
        <v>4.0443999858966739</v>
      </c>
      <c r="O891">
        <v>4.1746294160814523</v>
      </c>
      <c r="P891">
        <v>-1.6880764755566879</v>
      </c>
      <c r="Q891">
        <v>1.3498045353129324</v>
      </c>
      <c r="R891">
        <v>-1.7195523936223525</v>
      </c>
      <c r="S891" s="2">
        <v>0.45898237675765624</v>
      </c>
      <c r="T891" s="2">
        <v>0.91040324199548717</v>
      </c>
      <c r="U891" s="2">
        <v>1.6040015744186344</v>
      </c>
      <c r="V891" s="2">
        <v>2.5890157632068989</v>
      </c>
      <c r="W891" s="2">
        <v>3.899471459100055</v>
      </c>
      <c r="X891" s="2">
        <v>5.5418249598121143</v>
      </c>
      <c r="Y891" s="2">
        <v>7.480293551774154</v>
      </c>
      <c r="Z891" s="2">
        <v>9.6224109000683065</v>
      </c>
      <c r="AA891" s="2">
        <v>11.809522177120781</v>
      </c>
      <c r="AB891" s="2">
        <v>13.818880708493827</v>
      </c>
      <c r="AC891" s="2">
        <v>15.384373335975328</v>
      </c>
      <c r="AD891" s="2">
        <v>16.239917672548394</v>
      </c>
      <c r="AE891" s="2">
        <v>16.182008035093748</v>
      </c>
      <c r="AF891" s="2">
        <v>15.136683022024666</v>
      </c>
      <c r="AG891" s="2">
        <v>13.205940085970173</v>
      </c>
      <c r="AH891" s="2">
        <v>10.836979980534501</v>
      </c>
      <c r="AI891" s="2">
        <v>3.925052919976594</v>
      </c>
      <c r="AJ891" s="2">
        <v>0</v>
      </c>
      <c r="AK891" s="2">
        <v>0</v>
      </c>
      <c r="AL891" s="2">
        <v>0</v>
      </c>
      <c r="AM891" s="2">
        <v>0</v>
      </c>
      <c r="AN891" s="2">
        <v>0</v>
      </c>
      <c r="AO891" s="2">
        <v>0</v>
      </c>
      <c r="AP891" s="2">
        <v>0</v>
      </c>
      <c r="AQ891" s="2">
        <v>0</v>
      </c>
      <c r="AR891" s="2">
        <v>148.64576176487131</v>
      </c>
    </row>
    <row r="892" spans="1:44" x14ac:dyDescent="0.25">
      <c r="A892" t="s">
        <v>435</v>
      </c>
      <c r="B892" t="s">
        <v>479</v>
      </c>
      <c r="C892" t="s">
        <v>44</v>
      </c>
      <c r="D892" t="s">
        <v>191</v>
      </c>
      <c r="E892" t="s">
        <v>134</v>
      </c>
      <c r="F892" t="s">
        <v>191</v>
      </c>
      <c r="G892" t="s">
        <v>33</v>
      </c>
      <c r="H892" t="s">
        <v>453</v>
      </c>
      <c r="I892" t="s">
        <v>256</v>
      </c>
      <c r="J892" t="s">
        <v>40</v>
      </c>
      <c r="K892" t="s">
        <v>33</v>
      </c>
      <c r="L892">
        <v>9.2342432105322225E-2</v>
      </c>
      <c r="M892">
        <v>1</v>
      </c>
      <c r="N892">
        <v>2.0015641280358047</v>
      </c>
      <c r="O892">
        <v>1.4737622038640092</v>
      </c>
      <c r="P892">
        <v>-0.22513952420782057</v>
      </c>
      <c r="Q892">
        <v>1.3498045353129324</v>
      </c>
      <c r="R892">
        <v>-0.25661544227348515</v>
      </c>
      <c r="S892" s="2">
        <v>0.23628286127682854</v>
      </c>
      <c r="T892" s="2">
        <v>0.46867307728456564</v>
      </c>
      <c r="U892" s="2">
        <v>0.82573558526035629</v>
      </c>
      <c r="V892" s="2">
        <v>1.332818172111079</v>
      </c>
      <c r="W892" s="2">
        <v>2.0074371489648288</v>
      </c>
      <c r="X892" s="2">
        <v>2.8529162000726176</v>
      </c>
      <c r="Y892" s="2">
        <v>3.8508344832094354</v>
      </c>
      <c r="Z892" s="2">
        <v>4.9535905842632255</v>
      </c>
      <c r="AA892" s="2">
        <v>6.0795094357088812</v>
      </c>
      <c r="AB892" s="2">
        <v>7.1139216640775356</v>
      </c>
      <c r="AC892" s="2">
        <v>7.9198329496962785</v>
      </c>
      <c r="AD892" s="2">
        <v>8.3602648138186044</v>
      </c>
      <c r="AE892" s="2">
        <v>8.3304530922227844</v>
      </c>
      <c r="AF892" s="2">
        <v>7.7923226594227177</v>
      </c>
      <c r="AG892" s="2">
        <v>6.798381522632936</v>
      </c>
      <c r="AH892" s="2">
        <v>5.5788473960349902</v>
      </c>
      <c r="AI892" s="2">
        <v>2.0206064144478244</v>
      </c>
      <c r="AJ892" s="2">
        <v>0</v>
      </c>
      <c r="AK892" s="2">
        <v>0</v>
      </c>
      <c r="AL892" s="2">
        <v>0</v>
      </c>
      <c r="AM892" s="2">
        <v>0</v>
      </c>
      <c r="AN892" s="2">
        <v>0</v>
      </c>
      <c r="AO892" s="2">
        <v>0</v>
      </c>
      <c r="AP892" s="2">
        <v>0</v>
      </c>
      <c r="AQ892" s="2">
        <v>0</v>
      </c>
      <c r="AR892" s="2">
        <v>76.52242806050549</v>
      </c>
    </row>
    <row r="893" spans="1:44" x14ac:dyDescent="0.25">
      <c r="A893" t="s">
        <v>435</v>
      </c>
      <c r="B893" t="s">
        <v>479</v>
      </c>
      <c r="C893" t="s">
        <v>44</v>
      </c>
      <c r="D893" t="s">
        <v>191</v>
      </c>
      <c r="E893" t="s">
        <v>134</v>
      </c>
      <c r="F893" t="s">
        <v>191</v>
      </c>
      <c r="G893" t="s">
        <v>33</v>
      </c>
      <c r="H893" t="s">
        <v>454</v>
      </c>
      <c r="I893" t="s">
        <v>135</v>
      </c>
      <c r="J893" t="s">
        <v>39</v>
      </c>
      <c r="K893" t="s">
        <v>31</v>
      </c>
      <c r="L893">
        <v>9.2342432105322225E-2</v>
      </c>
      <c r="M893">
        <v>1</v>
      </c>
      <c r="N893">
        <v>4.0443999858966739</v>
      </c>
      <c r="O893">
        <v>5.3471683850504288</v>
      </c>
      <c r="P893">
        <v>-1.6880764755566879</v>
      </c>
      <c r="Q893">
        <v>0.71613044470482479</v>
      </c>
      <c r="R893">
        <v>-1.8625523936223527</v>
      </c>
      <c r="S893" s="2">
        <v>1.3639623922928547E-3</v>
      </c>
      <c r="T893" s="2">
        <v>2.7054541672718413E-3</v>
      </c>
      <c r="U893" s="2">
        <v>4.7666270764916722E-3</v>
      </c>
      <c r="V893" s="2">
        <v>7.6938033198868062E-3</v>
      </c>
      <c r="W893" s="2">
        <v>1.1588097254636257E-2</v>
      </c>
      <c r="X893" s="2">
        <v>1.6468695123439715E-2</v>
      </c>
      <c r="Y893" s="2">
        <v>2.2229261088422603E-2</v>
      </c>
      <c r="Z893" s="2">
        <v>2.8595012042939141E-2</v>
      </c>
      <c r="AA893" s="2">
        <v>3.5094471893081222E-2</v>
      </c>
      <c r="AB893" s="2">
        <v>4.1065702180366793E-2</v>
      </c>
      <c r="AC893" s="2">
        <v>4.5717891844772846E-2</v>
      </c>
      <c r="AD893" s="2">
        <v>4.8260321269336451E-2</v>
      </c>
      <c r="AE893" s="2">
        <v>4.8088230636581818E-2</v>
      </c>
      <c r="AF893" s="2">
        <v>4.4981828130190867E-2</v>
      </c>
      <c r="AG893" s="2">
        <v>3.9244220571995024E-2</v>
      </c>
      <c r="AH893" s="2">
        <v>3.2204358790194114E-2</v>
      </c>
      <c r="AI893" s="2">
        <v>1.166411793068471E-2</v>
      </c>
      <c r="AJ893" s="2">
        <v>0</v>
      </c>
      <c r="AK893" s="2">
        <v>0</v>
      </c>
      <c r="AL893" s="2">
        <v>0</v>
      </c>
      <c r="AM893" s="2">
        <v>0</v>
      </c>
      <c r="AN893" s="2">
        <v>0</v>
      </c>
      <c r="AO893" s="2">
        <v>0</v>
      </c>
      <c r="AP893" s="2">
        <v>0</v>
      </c>
      <c r="AQ893" s="2">
        <v>0</v>
      </c>
      <c r="AR893" s="2">
        <v>0.44173205571258473</v>
      </c>
    </row>
    <row r="894" spans="1:44" x14ac:dyDescent="0.25">
      <c r="A894" t="s">
        <v>435</v>
      </c>
      <c r="B894" t="s">
        <v>479</v>
      </c>
      <c r="C894" t="s">
        <v>44</v>
      </c>
      <c r="D894" t="s">
        <v>191</v>
      </c>
      <c r="E894" t="s">
        <v>134</v>
      </c>
      <c r="F894" t="s">
        <v>191</v>
      </c>
      <c r="G894" t="s">
        <v>33</v>
      </c>
      <c r="H894" t="s">
        <v>454</v>
      </c>
      <c r="I894" t="s">
        <v>135</v>
      </c>
      <c r="J894" t="s">
        <v>39</v>
      </c>
      <c r="K894" t="s">
        <v>33</v>
      </c>
      <c r="L894">
        <v>9.2342432105322225E-2</v>
      </c>
      <c r="M894">
        <v>1</v>
      </c>
      <c r="N894">
        <v>4.0443999858966739</v>
      </c>
      <c r="O894">
        <v>5.3471683850504288</v>
      </c>
      <c r="P894">
        <v>-1.6880764755566879</v>
      </c>
      <c r="Q894">
        <v>0.71613044470482479</v>
      </c>
      <c r="R894">
        <v>-1.8625523936223527</v>
      </c>
      <c r="S894" s="2">
        <v>1.0945803905833591E-2</v>
      </c>
      <c r="T894" s="2">
        <v>2.1711281013692078E-2</v>
      </c>
      <c r="U894" s="2">
        <v>3.8252202235435497E-2</v>
      </c>
      <c r="V894" s="2">
        <v>6.1742803837842766E-2</v>
      </c>
      <c r="W894" s="2">
        <v>9.2994528960401959E-2</v>
      </c>
      <c r="X894" s="2">
        <v>0.13216134728106563</v>
      </c>
      <c r="Y894" s="2">
        <v>0.17838991325591366</v>
      </c>
      <c r="Z894" s="2">
        <v>0.22947509130424687</v>
      </c>
      <c r="AA894" s="2">
        <v>0.28163328379949787</v>
      </c>
      <c r="AB894" s="2">
        <v>0.32955243184237804</v>
      </c>
      <c r="AC894" s="2">
        <v>0.36688627336694779</v>
      </c>
      <c r="AD894" s="2">
        <v>0.38728928013820735</v>
      </c>
      <c r="AE894" s="2">
        <v>0.38590825209021512</v>
      </c>
      <c r="AF894" s="2">
        <v>0.36097935897727002</v>
      </c>
      <c r="AG894" s="2">
        <v>0.31493503431296066</v>
      </c>
      <c r="AH894" s="2">
        <v>0.25844011405476325</v>
      </c>
      <c r="AI894" s="2">
        <v>9.3604595203809607E-2</v>
      </c>
      <c r="AJ894" s="2">
        <v>0</v>
      </c>
      <c r="AK894" s="2">
        <v>0</v>
      </c>
      <c r="AL894" s="2">
        <v>0</v>
      </c>
      <c r="AM894" s="2">
        <v>0</v>
      </c>
      <c r="AN894" s="2">
        <v>0</v>
      </c>
      <c r="AO894" s="2">
        <v>0</v>
      </c>
      <c r="AP894" s="2">
        <v>0</v>
      </c>
      <c r="AQ894" s="2">
        <v>0</v>
      </c>
      <c r="AR894" s="2">
        <v>3.5449015955804821</v>
      </c>
    </row>
    <row r="895" spans="1:44" x14ac:dyDescent="0.25">
      <c r="A895" t="s">
        <v>435</v>
      </c>
      <c r="B895" t="s">
        <v>479</v>
      </c>
      <c r="C895" t="s">
        <v>44</v>
      </c>
      <c r="D895" t="s">
        <v>191</v>
      </c>
      <c r="E895" t="s">
        <v>134</v>
      </c>
      <c r="F895" t="s">
        <v>191</v>
      </c>
      <c r="G895" t="s">
        <v>33</v>
      </c>
      <c r="H895" t="s">
        <v>455</v>
      </c>
      <c r="I895" t="s">
        <v>135</v>
      </c>
      <c r="J895" t="s">
        <v>39</v>
      </c>
      <c r="K895" t="s">
        <v>31</v>
      </c>
      <c r="L895">
        <v>9.2342432105322225E-2</v>
      </c>
      <c r="M895">
        <v>1</v>
      </c>
      <c r="N895">
        <v>4.0443999858966739</v>
      </c>
      <c r="O895">
        <v>5.3471683850504288</v>
      </c>
      <c r="P895">
        <v>-1.6880764755566879</v>
      </c>
      <c r="Q895">
        <v>0.71613044470482479</v>
      </c>
      <c r="R895">
        <v>-1.8625523936223527</v>
      </c>
      <c r="S895" s="2">
        <v>3.213697567825089E-4</v>
      </c>
      <c r="T895" s="2">
        <v>6.3744510305801594E-4</v>
      </c>
      <c r="U895" s="2">
        <v>1.1230879919423382E-3</v>
      </c>
      <c r="V895" s="2">
        <v>1.8127741025821501E-3</v>
      </c>
      <c r="W895" s="2">
        <v>2.7303274762834691E-3</v>
      </c>
      <c r="X895" s="2">
        <v>3.8802686762119732E-3</v>
      </c>
      <c r="Y895" s="2">
        <v>5.2375434028150399E-3</v>
      </c>
      <c r="Z895" s="2">
        <v>6.7374086832294299E-3</v>
      </c>
      <c r="AA895" s="2">
        <v>8.2687777613362195E-3</v>
      </c>
      <c r="AB895" s="2">
        <v>9.6756881248188046E-3</v>
      </c>
      <c r="AC895" s="2">
        <v>1.0771812966239849E-2</v>
      </c>
      <c r="AD895" s="2">
        <v>1.1370847023502382E-2</v>
      </c>
      <c r="AE895" s="2">
        <v>1.1330299919633973E-2</v>
      </c>
      <c r="AF895" s="2">
        <v>1.0598385444873957E-2</v>
      </c>
      <c r="AG895" s="2">
        <v>9.246520059207973E-3</v>
      </c>
      <c r="AH895" s="2">
        <v>7.5878242759637648E-3</v>
      </c>
      <c r="AI895" s="2">
        <v>2.7482390743672406E-3</v>
      </c>
      <c r="AJ895" s="2">
        <v>0</v>
      </c>
      <c r="AK895" s="2">
        <v>0</v>
      </c>
      <c r="AL895" s="2">
        <v>0</v>
      </c>
      <c r="AM895" s="2">
        <v>0</v>
      </c>
      <c r="AN895" s="2">
        <v>0</v>
      </c>
      <c r="AO895" s="2">
        <v>0</v>
      </c>
      <c r="AP895" s="2">
        <v>0</v>
      </c>
      <c r="AQ895" s="2">
        <v>0</v>
      </c>
      <c r="AR895" s="2">
        <v>0.10407861984284907</v>
      </c>
    </row>
    <row r="896" spans="1:44" x14ac:dyDescent="0.25">
      <c r="A896" t="s">
        <v>435</v>
      </c>
      <c r="B896" t="s">
        <v>479</v>
      </c>
      <c r="C896" t="s">
        <v>44</v>
      </c>
      <c r="D896" t="s">
        <v>191</v>
      </c>
      <c r="E896" t="s">
        <v>134</v>
      </c>
      <c r="F896" t="s">
        <v>191</v>
      </c>
      <c r="G896" t="s">
        <v>33</v>
      </c>
      <c r="H896" t="s">
        <v>455</v>
      </c>
      <c r="I896" t="s">
        <v>135</v>
      </c>
      <c r="J896" t="s">
        <v>39</v>
      </c>
      <c r="K896" t="s">
        <v>33</v>
      </c>
      <c r="L896">
        <v>9.2342432105322225E-2</v>
      </c>
      <c r="M896">
        <v>1</v>
      </c>
      <c r="N896">
        <v>4.0443999858966739</v>
      </c>
      <c r="O896">
        <v>5.3471683850504288</v>
      </c>
      <c r="P896">
        <v>-1.6880764755566879</v>
      </c>
      <c r="Q896">
        <v>0.71613044470482479</v>
      </c>
      <c r="R896">
        <v>-1.8625523936223527</v>
      </c>
      <c r="S896" s="2">
        <v>8.1710761170885916E-3</v>
      </c>
      <c r="T896" s="2">
        <v>1.6207537727569755E-2</v>
      </c>
      <c r="U896" s="2">
        <v>2.8555386045736618E-2</v>
      </c>
      <c r="V896" s="2">
        <v>4.6091192038677543E-2</v>
      </c>
      <c r="W896" s="2">
        <v>6.9420700493571977E-2</v>
      </c>
      <c r="X896" s="2">
        <v>9.8658850246260241E-2</v>
      </c>
      <c r="Y896" s="2">
        <v>0.13316861623640544</v>
      </c>
      <c r="Z896" s="2">
        <v>0.17130385800384551</v>
      </c>
      <c r="AA896" s="2">
        <v>0.21024010834004209</v>
      </c>
      <c r="AB896" s="2">
        <v>0.24601189901827022</v>
      </c>
      <c r="AC896" s="2">
        <v>0.27388172598255561</v>
      </c>
      <c r="AD896" s="2">
        <v>0.28911263298396689</v>
      </c>
      <c r="AE896" s="2">
        <v>0.28808169131928352</v>
      </c>
      <c r="AF896" s="2">
        <v>0.26947219631160479</v>
      </c>
      <c r="AG896" s="2">
        <v>0.23509996702367666</v>
      </c>
      <c r="AH896" s="2">
        <v>0.19292633613919158</v>
      </c>
      <c r="AI896" s="2">
        <v>6.9876116811481634E-2</v>
      </c>
      <c r="AJ896" s="2">
        <v>0</v>
      </c>
      <c r="AK896" s="2">
        <v>0</v>
      </c>
      <c r="AL896" s="2">
        <v>0</v>
      </c>
      <c r="AM896" s="2">
        <v>0</v>
      </c>
      <c r="AN896" s="2">
        <v>0</v>
      </c>
      <c r="AO896" s="2">
        <v>0</v>
      </c>
      <c r="AP896" s="2">
        <v>0</v>
      </c>
      <c r="AQ896" s="2">
        <v>0</v>
      </c>
      <c r="AR896" s="2">
        <v>2.6462798908392284</v>
      </c>
    </row>
    <row r="897" spans="1:44" x14ac:dyDescent="0.25">
      <c r="A897" t="s">
        <v>435</v>
      </c>
      <c r="B897" t="s">
        <v>479</v>
      </c>
      <c r="C897" t="s">
        <v>44</v>
      </c>
      <c r="D897" t="s">
        <v>191</v>
      </c>
      <c r="E897" t="s">
        <v>134</v>
      </c>
      <c r="F897" t="s">
        <v>191</v>
      </c>
      <c r="G897" t="s">
        <v>33</v>
      </c>
      <c r="H897" t="s">
        <v>456</v>
      </c>
      <c r="I897" t="s">
        <v>135</v>
      </c>
      <c r="J897" t="s">
        <v>39</v>
      </c>
      <c r="K897" t="s">
        <v>31</v>
      </c>
      <c r="L897">
        <v>9.2342432105322225E-2</v>
      </c>
      <c r="M897">
        <v>1</v>
      </c>
      <c r="N897">
        <v>4.0443999858966739</v>
      </c>
      <c r="O897">
        <v>5.3471683850504288</v>
      </c>
      <c r="P897">
        <v>-1.6880764755566879</v>
      </c>
      <c r="Q897">
        <v>0.71613044470482479</v>
      </c>
      <c r="R897">
        <v>-1.8625523936223527</v>
      </c>
      <c r="S897" s="2">
        <v>5.7927659684505098E-2</v>
      </c>
      <c r="T897" s="2">
        <v>0.11490098933761515</v>
      </c>
      <c r="U897" s="2">
        <v>0.20243927009291893</v>
      </c>
      <c r="V897" s="2">
        <v>0.32675682475725193</v>
      </c>
      <c r="W897" s="2">
        <v>0.49214799319290103</v>
      </c>
      <c r="X897" s="2">
        <v>0.69942761761546723</v>
      </c>
      <c r="Y897" s="2">
        <v>0.94407960120038104</v>
      </c>
      <c r="Z897" s="2">
        <v>1.2144338697734791</v>
      </c>
      <c r="AA897" s="2">
        <v>1.4904667724836713</v>
      </c>
      <c r="AB897" s="2">
        <v>1.7440656971565307</v>
      </c>
      <c r="AC897" s="2">
        <v>1.9416447955174942</v>
      </c>
      <c r="AD897" s="2">
        <v>2.0496221028906225</v>
      </c>
      <c r="AE897" s="2">
        <v>2.0423133914001661</v>
      </c>
      <c r="AF897" s="2">
        <v>1.9103840741036573</v>
      </c>
      <c r="AG897" s="2">
        <v>1.666707137032323</v>
      </c>
      <c r="AH897" s="2">
        <v>1.3677232942032032</v>
      </c>
      <c r="AI897" s="2">
        <v>0.49537660116333171</v>
      </c>
      <c r="AJ897" s="2">
        <v>0</v>
      </c>
      <c r="AK897" s="2">
        <v>0</v>
      </c>
      <c r="AL897" s="2">
        <v>0</v>
      </c>
      <c r="AM897" s="2">
        <v>0</v>
      </c>
      <c r="AN897" s="2">
        <v>0</v>
      </c>
      <c r="AO897" s="2">
        <v>0</v>
      </c>
      <c r="AP897" s="2">
        <v>0</v>
      </c>
      <c r="AQ897" s="2">
        <v>0</v>
      </c>
      <c r="AR897" s="2">
        <v>18.760417691605518</v>
      </c>
    </row>
    <row r="898" spans="1:44" x14ac:dyDescent="0.25">
      <c r="A898" t="s">
        <v>435</v>
      </c>
      <c r="B898" t="s">
        <v>479</v>
      </c>
      <c r="C898" t="s">
        <v>44</v>
      </c>
      <c r="D898" t="s">
        <v>191</v>
      </c>
      <c r="E898" t="s">
        <v>134</v>
      </c>
      <c r="F898" t="s">
        <v>191</v>
      </c>
      <c r="G898" t="s">
        <v>33</v>
      </c>
      <c r="H898" t="s">
        <v>456</v>
      </c>
      <c r="I898" t="s">
        <v>135</v>
      </c>
      <c r="J898" t="s">
        <v>39</v>
      </c>
      <c r="K898" t="s">
        <v>33</v>
      </c>
      <c r="L898">
        <v>9.2342432105322225E-2</v>
      </c>
      <c r="M898">
        <v>1</v>
      </c>
      <c r="N898">
        <v>4.0443999858966739</v>
      </c>
      <c r="O898">
        <v>5.3471683850504288</v>
      </c>
      <c r="P898">
        <v>-1.6880764755566879</v>
      </c>
      <c r="Q898">
        <v>0.71613044470482479</v>
      </c>
      <c r="R898">
        <v>-1.8625523936223527</v>
      </c>
      <c r="S898" s="2">
        <v>5.3484592335651289E-2</v>
      </c>
      <c r="T898" s="2">
        <v>0.1060880520144539</v>
      </c>
      <c r="U898" s="2">
        <v>0.18691212268226251</v>
      </c>
      <c r="V898" s="2">
        <v>0.30169448688617045</v>
      </c>
      <c r="W898" s="2">
        <v>0.45440010744594395</v>
      </c>
      <c r="X898" s="2">
        <v>0.64578132795627785</v>
      </c>
      <c r="Y898" s="2">
        <v>0.87166843745481115</v>
      </c>
      <c r="Z898" s="2">
        <v>1.1212864596498822</v>
      </c>
      <c r="AA898" s="2">
        <v>1.3761475631898579</v>
      </c>
      <c r="AB898" s="2">
        <v>1.6102953809466924</v>
      </c>
      <c r="AC898" s="2">
        <v>1.7927201083987556</v>
      </c>
      <c r="AD898" s="2">
        <v>1.8924155267499623</v>
      </c>
      <c r="AE898" s="2">
        <v>1.8856673954307455</v>
      </c>
      <c r="AF898" s="2">
        <v>1.7638570928713961</v>
      </c>
      <c r="AG898" s="2">
        <v>1.5388702435520436</v>
      </c>
      <c r="AH898" s="2">
        <v>1.2628185432804497</v>
      </c>
      <c r="AI898" s="2">
        <v>0.45738108030158148</v>
      </c>
      <c r="AJ898" s="2">
        <v>0</v>
      </c>
      <c r="AK898" s="2">
        <v>0</v>
      </c>
      <c r="AL898" s="2">
        <v>0</v>
      </c>
      <c r="AM898" s="2">
        <v>0</v>
      </c>
      <c r="AN898" s="2">
        <v>0</v>
      </c>
      <c r="AO898" s="2">
        <v>0</v>
      </c>
      <c r="AP898" s="2">
        <v>0</v>
      </c>
      <c r="AQ898" s="2">
        <v>0</v>
      </c>
      <c r="AR898" s="2">
        <v>17.321488521146939</v>
      </c>
    </row>
    <row r="899" spans="1:44" x14ac:dyDescent="0.25">
      <c r="A899" t="s">
        <v>435</v>
      </c>
      <c r="B899" t="s">
        <v>479</v>
      </c>
      <c r="C899" t="s">
        <v>44</v>
      </c>
      <c r="D899" t="s">
        <v>191</v>
      </c>
      <c r="E899" t="s">
        <v>134</v>
      </c>
      <c r="F899" t="s">
        <v>191</v>
      </c>
      <c r="G899" t="s">
        <v>33</v>
      </c>
      <c r="H899" t="s">
        <v>456</v>
      </c>
      <c r="I899" t="s">
        <v>135</v>
      </c>
      <c r="J899" t="s">
        <v>40</v>
      </c>
      <c r="K899" t="s">
        <v>33</v>
      </c>
      <c r="L899">
        <v>9.2342432105322225E-2</v>
      </c>
      <c r="M899">
        <v>1</v>
      </c>
      <c r="N899">
        <v>4.0443999858966739</v>
      </c>
      <c r="O899">
        <v>4.1746294160814523</v>
      </c>
      <c r="P899">
        <v>-1.6880764755566879</v>
      </c>
      <c r="Q899">
        <v>1.3498045353129324</v>
      </c>
      <c r="R899">
        <v>-1.7195523936223525</v>
      </c>
      <c r="S899" s="2">
        <v>0.19744980627211214</v>
      </c>
      <c r="T899" s="2">
        <v>0.39164672297739428</v>
      </c>
      <c r="U899" s="2">
        <v>0.69002605800776906</v>
      </c>
      <c r="V899" s="2">
        <v>1.1137696930585241</v>
      </c>
      <c r="W899" s="2">
        <v>1.6775151359884819</v>
      </c>
      <c r="X899" s="2">
        <v>2.3840398240096583</v>
      </c>
      <c r="Y899" s="2">
        <v>3.2179503777248217</v>
      </c>
      <c r="Z899" s="2">
        <v>4.1394686687334881</v>
      </c>
      <c r="AA899" s="2">
        <v>5.0803429153662245</v>
      </c>
      <c r="AB899" s="2">
        <v>5.9447496395492481</v>
      </c>
      <c r="AC899" s="2">
        <v>6.6182095187721286</v>
      </c>
      <c r="AD899" s="2">
        <v>6.9862564679968226</v>
      </c>
      <c r="AE899" s="2">
        <v>6.9613442986506238</v>
      </c>
      <c r="AF899" s="2">
        <v>6.5116555267637182</v>
      </c>
      <c r="AG899" s="2">
        <v>5.6810684759530572</v>
      </c>
      <c r="AH899" s="2">
        <v>4.6619646114671918</v>
      </c>
      <c r="AI899" s="2">
        <v>1.688520034542347</v>
      </c>
      <c r="AJ899" s="2">
        <v>0</v>
      </c>
      <c r="AK899" s="2">
        <v>0</v>
      </c>
      <c r="AL899" s="2">
        <v>0</v>
      </c>
      <c r="AM899" s="2">
        <v>0</v>
      </c>
      <c r="AN899" s="2">
        <v>0</v>
      </c>
      <c r="AO899" s="2">
        <v>0</v>
      </c>
      <c r="AP899" s="2">
        <v>0</v>
      </c>
      <c r="AQ899" s="2">
        <v>0</v>
      </c>
      <c r="AR899" s="2">
        <v>63.945977775833619</v>
      </c>
    </row>
    <row r="900" spans="1:44" x14ac:dyDescent="0.25">
      <c r="A900" t="s">
        <v>435</v>
      </c>
      <c r="B900" t="s">
        <v>479</v>
      </c>
      <c r="C900" t="s">
        <v>44</v>
      </c>
      <c r="D900" t="s">
        <v>191</v>
      </c>
      <c r="E900" t="s">
        <v>134</v>
      </c>
      <c r="F900" t="s">
        <v>191</v>
      </c>
      <c r="G900" t="s">
        <v>33</v>
      </c>
      <c r="H900" t="s">
        <v>456</v>
      </c>
      <c r="I900" t="s">
        <v>256</v>
      </c>
      <c r="J900" t="s">
        <v>40</v>
      </c>
      <c r="K900" t="s">
        <v>33</v>
      </c>
      <c r="L900">
        <v>9.2342432105322225E-2</v>
      </c>
      <c r="M900">
        <v>1</v>
      </c>
      <c r="N900">
        <v>2.0015641280358047</v>
      </c>
      <c r="O900">
        <v>1.4737622038640092</v>
      </c>
      <c r="P900">
        <v>-0.22513952420782057</v>
      </c>
      <c r="Q900">
        <v>1.3498045353129324</v>
      </c>
      <c r="R900">
        <v>-0.25661544227348515</v>
      </c>
      <c r="S900" s="2">
        <v>0.29650644188140313</v>
      </c>
      <c r="T900" s="2">
        <v>0.58812808428133856</v>
      </c>
      <c r="U900" s="2">
        <v>1.0361983894953644</v>
      </c>
      <c r="V900" s="2">
        <v>1.6725257674297789</v>
      </c>
      <c r="W900" s="2">
        <v>2.5190910721313533</v>
      </c>
      <c r="X900" s="2">
        <v>3.5800651257489262</v>
      </c>
      <c r="Y900" s="2">
        <v>4.8323319969996223</v>
      </c>
      <c r="Z900" s="2">
        <v>6.2161576626427451</v>
      </c>
      <c r="AA900" s="2">
        <v>7.6290497813741913</v>
      </c>
      <c r="AB900" s="2">
        <v>8.9271121444876265</v>
      </c>
      <c r="AC900" s="2">
        <v>9.9384334332158772</v>
      </c>
      <c r="AD900" s="2">
        <v>10.49112220724043</v>
      </c>
      <c r="AE900" s="2">
        <v>10.453712098657148</v>
      </c>
      <c r="AF900" s="2">
        <v>9.7784234254312548</v>
      </c>
      <c r="AG900" s="2">
        <v>8.5311473923049501</v>
      </c>
      <c r="AH900" s="2">
        <v>7.0007794143801689</v>
      </c>
      <c r="AI900" s="2">
        <v>2.5356169091279761</v>
      </c>
      <c r="AJ900" s="2">
        <v>0</v>
      </c>
      <c r="AK900" s="2">
        <v>0</v>
      </c>
      <c r="AL900" s="2">
        <v>0</v>
      </c>
      <c r="AM900" s="2">
        <v>0</v>
      </c>
      <c r="AN900" s="2">
        <v>0</v>
      </c>
      <c r="AO900" s="2">
        <v>0</v>
      </c>
      <c r="AP900" s="2">
        <v>0</v>
      </c>
      <c r="AQ900" s="2">
        <v>0</v>
      </c>
      <c r="AR900" s="2">
        <v>96.026401346830141</v>
      </c>
    </row>
    <row r="901" spans="1:44" x14ac:dyDescent="0.25">
      <c r="A901" t="s">
        <v>435</v>
      </c>
      <c r="B901" t="s">
        <v>479</v>
      </c>
      <c r="C901" t="s">
        <v>44</v>
      </c>
      <c r="D901" t="s">
        <v>191</v>
      </c>
      <c r="E901" t="s">
        <v>134</v>
      </c>
      <c r="F901" t="s">
        <v>191</v>
      </c>
      <c r="G901" t="s">
        <v>33</v>
      </c>
      <c r="H901" t="s">
        <v>457</v>
      </c>
      <c r="I901" t="s">
        <v>135</v>
      </c>
      <c r="J901" t="s">
        <v>39</v>
      </c>
      <c r="K901" t="s">
        <v>31</v>
      </c>
      <c r="L901">
        <v>9.2342432105322225E-2</v>
      </c>
      <c r="M901">
        <v>1</v>
      </c>
      <c r="N901">
        <v>4.0443999858966739</v>
      </c>
      <c r="O901">
        <v>5.3471683850504288</v>
      </c>
      <c r="P901">
        <v>-1.6880764755566879</v>
      </c>
      <c r="Q901">
        <v>0.71613044470482479</v>
      </c>
      <c r="R901">
        <v>-1.8625523936223527</v>
      </c>
      <c r="S901" s="2">
        <v>2.1415793577047999E-2</v>
      </c>
      <c r="T901" s="2">
        <v>4.2478772366340976E-2</v>
      </c>
      <c r="U901" s="2">
        <v>7.4841580754519604E-2</v>
      </c>
      <c r="V901" s="2">
        <v>0.12080164720973122</v>
      </c>
      <c r="W901" s="2">
        <v>0.18194658456738652</v>
      </c>
      <c r="X901" s="2">
        <v>0.2585776391195368</v>
      </c>
      <c r="Y901" s="2">
        <v>0.3490252147199599</v>
      </c>
      <c r="Z901" s="2">
        <v>0.4489748974789195</v>
      </c>
      <c r="AA901" s="2">
        <v>0.55102396518009722</v>
      </c>
      <c r="AB901" s="2">
        <v>0.64477921529264481</v>
      </c>
      <c r="AC901" s="2">
        <v>0.71782399577718226</v>
      </c>
      <c r="AD901" s="2">
        <v>0.75774309035657039</v>
      </c>
      <c r="AE901" s="2">
        <v>0.75504106756734868</v>
      </c>
      <c r="AF901" s="2">
        <v>0.70626694064126716</v>
      </c>
      <c r="AG901" s="2">
        <v>0.6161798386898153</v>
      </c>
      <c r="AH901" s="2">
        <v>0.50564583307360556</v>
      </c>
      <c r="AI901" s="2">
        <v>0.18314019746686358</v>
      </c>
      <c r="AJ901" s="2">
        <v>0</v>
      </c>
      <c r="AK901" s="2">
        <v>0</v>
      </c>
      <c r="AL901" s="2">
        <v>0</v>
      </c>
      <c r="AM901" s="2">
        <v>0</v>
      </c>
      <c r="AN901" s="2">
        <v>0</v>
      </c>
      <c r="AO901" s="2">
        <v>0</v>
      </c>
      <c r="AP901" s="2">
        <v>0</v>
      </c>
      <c r="AQ901" s="2">
        <v>0</v>
      </c>
      <c r="AR901" s="2">
        <v>6.9357062738388366</v>
      </c>
    </row>
    <row r="902" spans="1:44" x14ac:dyDescent="0.25">
      <c r="A902" t="s">
        <v>435</v>
      </c>
      <c r="B902" t="s">
        <v>479</v>
      </c>
      <c r="C902" t="s">
        <v>44</v>
      </c>
      <c r="D902" t="s">
        <v>191</v>
      </c>
      <c r="E902" t="s">
        <v>134</v>
      </c>
      <c r="F902" t="s">
        <v>191</v>
      </c>
      <c r="G902" t="s">
        <v>33</v>
      </c>
      <c r="H902" t="s">
        <v>457</v>
      </c>
      <c r="I902" t="s">
        <v>135</v>
      </c>
      <c r="J902" t="s">
        <v>39</v>
      </c>
      <c r="K902" t="s">
        <v>33</v>
      </c>
      <c r="L902">
        <v>9.2342432105322225E-2</v>
      </c>
      <c r="M902">
        <v>1</v>
      </c>
      <c r="N902">
        <v>4.0443999858966739</v>
      </c>
      <c r="O902">
        <v>5.3471683850504288</v>
      </c>
      <c r="P902">
        <v>-1.6880764755566879</v>
      </c>
      <c r="Q902">
        <v>0.71613044470482479</v>
      </c>
      <c r="R902">
        <v>-1.8625523936223527</v>
      </c>
      <c r="S902" s="2">
        <v>6.2661449248045025E-3</v>
      </c>
      <c r="T902" s="2">
        <v>1.2429058158299816E-2</v>
      </c>
      <c r="U902" s="2">
        <v>2.1898240180643493E-2</v>
      </c>
      <c r="V902" s="2">
        <v>3.5345906087857537E-2</v>
      </c>
      <c r="W902" s="2">
        <v>5.3236582775729041E-2</v>
      </c>
      <c r="X902" s="2">
        <v>7.5658413273712546E-2</v>
      </c>
      <c r="Y902" s="2">
        <v>0.10212288281440118</v>
      </c>
      <c r="Z902" s="2">
        <v>0.13136761731852437</v>
      </c>
      <c r="AA902" s="2">
        <v>0.16122662045824884</v>
      </c>
      <c r="AB902" s="2">
        <v>0.18865889760235338</v>
      </c>
      <c r="AC902" s="2">
        <v>0.21003140377962556</v>
      </c>
      <c r="AD902" s="2">
        <v>0.22171151411508869</v>
      </c>
      <c r="AE902" s="2">
        <v>0.22092091691744228</v>
      </c>
      <c r="AF902" s="2">
        <v>0.2066498721952339</v>
      </c>
      <c r="AG902" s="2">
        <v>0.18029087528706292</v>
      </c>
      <c r="AH902" s="2">
        <v>0.14794922538189051</v>
      </c>
      <c r="AI902" s="2">
        <v>5.3585827429462676E-2</v>
      </c>
      <c r="AJ902" s="2">
        <v>0</v>
      </c>
      <c r="AK902" s="2">
        <v>0</v>
      </c>
      <c r="AL902" s="2">
        <v>0</v>
      </c>
      <c r="AM902" s="2">
        <v>0</v>
      </c>
      <c r="AN902" s="2">
        <v>0</v>
      </c>
      <c r="AO902" s="2">
        <v>0</v>
      </c>
      <c r="AP902" s="2">
        <v>0</v>
      </c>
      <c r="AQ902" s="2">
        <v>0</v>
      </c>
      <c r="AR902" s="2">
        <v>2.0293499987003809</v>
      </c>
    </row>
    <row r="903" spans="1:44" x14ac:dyDescent="0.25">
      <c r="A903" t="s">
        <v>435</v>
      </c>
      <c r="B903" t="s">
        <v>479</v>
      </c>
      <c r="C903" t="s">
        <v>44</v>
      </c>
      <c r="D903" t="s">
        <v>191</v>
      </c>
      <c r="E903" t="s">
        <v>134</v>
      </c>
      <c r="F903" t="s">
        <v>191</v>
      </c>
      <c r="G903" t="s">
        <v>33</v>
      </c>
      <c r="H903" t="s">
        <v>457</v>
      </c>
      <c r="I903" t="s">
        <v>256</v>
      </c>
      <c r="J903" t="s">
        <v>39</v>
      </c>
      <c r="K903" t="s">
        <v>33</v>
      </c>
      <c r="L903">
        <v>9.2342432105322225E-2</v>
      </c>
      <c r="M903">
        <v>1</v>
      </c>
      <c r="N903">
        <v>2.0015641280358047</v>
      </c>
      <c r="O903">
        <v>2.6463011728329868</v>
      </c>
      <c r="P903">
        <v>-0.22513952420782057</v>
      </c>
      <c r="Q903">
        <v>1.3498045353129324</v>
      </c>
      <c r="R903">
        <v>-0.39961544227348522</v>
      </c>
      <c r="S903" s="2">
        <v>1.7232318995467309E-2</v>
      </c>
      <c r="T903" s="2">
        <v>3.4180743913087848E-2</v>
      </c>
      <c r="U903" s="2">
        <v>6.0221629847474589E-2</v>
      </c>
      <c r="V903" s="2">
        <v>9.7203613417669893E-2</v>
      </c>
      <c r="W903" s="2">
        <v>0.14640417475639295</v>
      </c>
      <c r="X903" s="2">
        <v>0.20806571310895572</v>
      </c>
      <c r="Y903" s="2">
        <v>0.28084478008612157</v>
      </c>
      <c r="Z903" s="2">
        <v>0.36126976226581831</v>
      </c>
      <c r="AA903" s="2">
        <v>0.44338402441024921</v>
      </c>
      <c r="AB903" s="2">
        <v>0.51882462723576162</v>
      </c>
      <c r="AC903" s="2">
        <v>0.57760045329772258</v>
      </c>
      <c r="AD903" s="2">
        <v>0.60972154044433613</v>
      </c>
      <c r="AE903" s="2">
        <v>0.60754734510250252</v>
      </c>
      <c r="AF903" s="2">
        <v>0.56830101454315174</v>
      </c>
      <c r="AG903" s="2">
        <v>0.49581200438252104</v>
      </c>
      <c r="AH903" s="2">
        <v>0.40687029704991506</v>
      </c>
      <c r="AI903" s="2">
        <v>0.14736462098813707</v>
      </c>
      <c r="AJ903" s="2">
        <v>0</v>
      </c>
      <c r="AK903" s="2">
        <v>0</v>
      </c>
      <c r="AL903" s="2">
        <v>0</v>
      </c>
      <c r="AM903" s="2">
        <v>0</v>
      </c>
      <c r="AN903" s="2">
        <v>0</v>
      </c>
      <c r="AO903" s="2">
        <v>0</v>
      </c>
      <c r="AP903" s="2">
        <v>0</v>
      </c>
      <c r="AQ903" s="2">
        <v>0</v>
      </c>
      <c r="AR903" s="2">
        <v>5.5808486638452859</v>
      </c>
    </row>
    <row r="904" spans="1:44" x14ac:dyDescent="0.25">
      <c r="A904" t="s">
        <v>435</v>
      </c>
      <c r="B904" t="s">
        <v>479</v>
      </c>
      <c r="C904" t="s">
        <v>44</v>
      </c>
      <c r="D904" t="s">
        <v>191</v>
      </c>
      <c r="E904" t="s">
        <v>134</v>
      </c>
      <c r="F904" t="s">
        <v>191</v>
      </c>
      <c r="G904" t="s">
        <v>33</v>
      </c>
      <c r="H904" t="s">
        <v>457</v>
      </c>
      <c r="I904" t="s">
        <v>256</v>
      </c>
      <c r="J904" t="s">
        <v>40</v>
      </c>
      <c r="K904" t="s">
        <v>33</v>
      </c>
      <c r="L904">
        <v>9.2342432105322225E-2</v>
      </c>
      <c r="M904">
        <v>1</v>
      </c>
      <c r="N904">
        <v>2.0015641280358047</v>
      </c>
      <c r="O904">
        <v>1.4737622038640092</v>
      </c>
      <c r="P904">
        <v>-0.22513952420782057</v>
      </c>
      <c r="Q904">
        <v>1.3498045353129324</v>
      </c>
      <c r="R904">
        <v>-0.25661544227348515</v>
      </c>
      <c r="S904" s="2">
        <v>0.15768232937873219</v>
      </c>
      <c r="T904" s="2">
        <v>0.31276691903923604</v>
      </c>
      <c r="U904" s="2">
        <v>0.55105101500449949</v>
      </c>
      <c r="V904" s="2">
        <v>0.88945035150286955</v>
      </c>
      <c r="W904" s="2">
        <v>1.3396543618088352</v>
      </c>
      <c r="X904" s="2">
        <v>1.9038810920049043</v>
      </c>
      <c r="Y904" s="2">
        <v>2.5698374739630645</v>
      </c>
      <c r="Z904" s="2">
        <v>3.3057569131095494</v>
      </c>
      <c r="AA904" s="2">
        <v>4.0571339119659111</v>
      </c>
      <c r="AB904" s="2">
        <v>4.7474443679406129</v>
      </c>
      <c r="AC904" s="2">
        <v>5.2852657236761349</v>
      </c>
      <c r="AD904" s="2">
        <v>5.5791859931876004</v>
      </c>
      <c r="AE904" s="2">
        <v>5.5592912717566119</v>
      </c>
      <c r="AF904" s="2">
        <v>5.2001722916707678</v>
      </c>
      <c r="AG904" s="2">
        <v>4.5368700408539508</v>
      </c>
      <c r="AH904" s="2">
        <v>3.7230192994177176</v>
      </c>
      <c r="AI904" s="2">
        <v>1.3484428132705564</v>
      </c>
      <c r="AJ904" s="2">
        <v>0</v>
      </c>
      <c r="AK904" s="2">
        <v>0</v>
      </c>
      <c r="AL904" s="2">
        <v>0</v>
      </c>
      <c r="AM904" s="2">
        <v>0</v>
      </c>
      <c r="AN904" s="2">
        <v>0</v>
      </c>
      <c r="AO904" s="2">
        <v>0</v>
      </c>
      <c r="AP904" s="2">
        <v>0</v>
      </c>
      <c r="AQ904" s="2">
        <v>0</v>
      </c>
      <c r="AR904" s="2">
        <v>51.066906169551544</v>
      </c>
    </row>
    <row r="905" spans="1:44" x14ac:dyDescent="0.25">
      <c r="A905" t="s">
        <v>435</v>
      </c>
      <c r="B905" t="s">
        <v>446</v>
      </c>
      <c r="C905" t="s">
        <v>44</v>
      </c>
      <c r="D905" t="s">
        <v>447</v>
      </c>
      <c r="E905" t="s">
        <v>134</v>
      </c>
      <c r="F905" t="s">
        <v>447</v>
      </c>
      <c r="G905" t="s">
        <v>33</v>
      </c>
      <c r="H905" t="s">
        <v>437</v>
      </c>
      <c r="I905" t="s">
        <v>135</v>
      </c>
      <c r="J905" t="s">
        <v>39</v>
      </c>
      <c r="K905" t="s">
        <v>31</v>
      </c>
      <c r="L905">
        <v>5.6376249945884194E-2</v>
      </c>
      <c r="M905">
        <v>1</v>
      </c>
      <c r="N905">
        <v>5.4427509606693079</v>
      </c>
      <c r="O905">
        <v>5.3471683850504297</v>
      </c>
      <c r="P905">
        <v>-1.8720646301964523</v>
      </c>
      <c r="Q905">
        <v>0.5321422900650602</v>
      </c>
      <c r="R905">
        <v>-1.8625523936223525</v>
      </c>
      <c r="S905" s="2">
        <v>1.6066292119279346E-2</v>
      </c>
      <c r="T905" s="2">
        <v>2.5932570277044344E-2</v>
      </c>
      <c r="U905" s="2">
        <v>3.9058594811792059E-2</v>
      </c>
      <c r="V905" s="2">
        <v>5.5509034466207412E-2</v>
      </c>
      <c r="W905" s="2">
        <v>7.4925475920635753E-2</v>
      </c>
      <c r="X905" s="2">
        <v>9.6381741064230683E-2</v>
      </c>
      <c r="Y905" s="2">
        <v>0.11828868257532682</v>
      </c>
      <c r="Z905" s="2">
        <v>0.13841518472611575</v>
      </c>
      <c r="AA905" s="2">
        <v>0.15409575653154686</v>
      </c>
      <c r="AB905" s="2">
        <v>0.16266521522260827</v>
      </c>
      <c r="AC905" s="2">
        <v>0.16208517018605331</v>
      </c>
      <c r="AD905" s="2">
        <v>0.15161479578779596</v>
      </c>
      <c r="AE905" s="2">
        <v>0.13227573745231413</v>
      </c>
      <c r="AF905" s="2">
        <v>0.10854732865281334</v>
      </c>
      <c r="AG905" s="2">
        <v>1.9450779592519261E-2</v>
      </c>
      <c r="AH905" s="2">
        <v>0</v>
      </c>
      <c r="AI905" s="2">
        <v>0</v>
      </c>
      <c r="AJ905" s="2">
        <v>0</v>
      </c>
      <c r="AK905" s="2">
        <v>0</v>
      </c>
      <c r="AL905" s="2">
        <v>0</v>
      </c>
      <c r="AM905" s="2">
        <v>0</v>
      </c>
      <c r="AN905" s="2">
        <v>0</v>
      </c>
      <c r="AO905" s="2">
        <v>0</v>
      </c>
      <c r="AP905" s="2">
        <v>0</v>
      </c>
      <c r="AQ905" s="2">
        <v>0</v>
      </c>
      <c r="AR905" s="2">
        <v>1.4553123593862833</v>
      </c>
    </row>
    <row r="906" spans="1:44" x14ac:dyDescent="0.25">
      <c r="A906" t="s">
        <v>435</v>
      </c>
      <c r="B906" t="s">
        <v>438</v>
      </c>
      <c r="C906" t="s">
        <v>44</v>
      </c>
      <c r="D906" t="s">
        <v>439</v>
      </c>
      <c r="E906" t="s">
        <v>134</v>
      </c>
      <c r="F906" t="s">
        <v>439</v>
      </c>
      <c r="G906" t="s">
        <v>33</v>
      </c>
      <c r="H906" t="s">
        <v>437</v>
      </c>
      <c r="I906" t="s">
        <v>135</v>
      </c>
      <c r="J906" t="s">
        <v>39</v>
      </c>
      <c r="K906" t="s">
        <v>31</v>
      </c>
      <c r="L906">
        <v>6.2148735157237955E-2</v>
      </c>
      <c r="M906">
        <v>1</v>
      </c>
      <c r="N906">
        <v>6.9402413781539831</v>
      </c>
      <c r="O906">
        <v>5.3471683850504297</v>
      </c>
      <c r="P906">
        <v>-1.9868845531200463</v>
      </c>
      <c r="Q906">
        <v>0.41732236714146631</v>
      </c>
      <c r="R906">
        <v>-1.8625523936223525</v>
      </c>
      <c r="S906" s="2">
        <v>2.6567031369726858E-2</v>
      </c>
      <c r="T906" s="2">
        <v>4.2881792695724133E-2</v>
      </c>
      <c r="U906" s="2">
        <v>6.4586832227277749E-2</v>
      </c>
      <c r="V906" s="2">
        <v>9.1789085435422149E-2</v>
      </c>
      <c r="W906" s="2">
        <v>0.12389588427728214</v>
      </c>
      <c r="X906" s="2">
        <v>0.159375711540166</v>
      </c>
      <c r="Y906" s="2">
        <v>0.19560077193488312</v>
      </c>
      <c r="Z906" s="2">
        <v>0.22888171877894364</v>
      </c>
      <c r="AA906" s="2">
        <v>0.25481092758190355</v>
      </c>
      <c r="AB906" s="2">
        <v>0.2689812835157292</v>
      </c>
      <c r="AC906" s="2">
        <v>0.26802212787685481</v>
      </c>
      <c r="AD906" s="2">
        <v>0.25070844012450211</v>
      </c>
      <c r="AE906" s="2">
        <v>0.21872960109647321</v>
      </c>
      <c r="AF906" s="2">
        <v>0.17949258385255193</v>
      </c>
      <c r="AG906" s="2">
        <v>3.2163579982465225E-2</v>
      </c>
      <c r="AH906" s="2">
        <v>0</v>
      </c>
      <c r="AI906" s="2">
        <v>0</v>
      </c>
      <c r="AJ906" s="2">
        <v>0</v>
      </c>
      <c r="AK906" s="2">
        <v>0</v>
      </c>
      <c r="AL906" s="2">
        <v>0</v>
      </c>
      <c r="AM906" s="2">
        <v>0</v>
      </c>
      <c r="AN906" s="2">
        <v>0</v>
      </c>
      <c r="AO906" s="2">
        <v>0</v>
      </c>
      <c r="AP906" s="2">
        <v>0</v>
      </c>
      <c r="AQ906" s="2">
        <v>0</v>
      </c>
      <c r="AR906" s="2">
        <v>2.4064873722899063</v>
      </c>
    </row>
    <row r="907" spans="1:44" x14ac:dyDescent="0.25">
      <c r="A907" t="s">
        <v>435</v>
      </c>
      <c r="B907" t="s">
        <v>448</v>
      </c>
      <c r="C907" t="s">
        <v>44</v>
      </c>
      <c r="D907" t="s">
        <v>449</v>
      </c>
      <c r="E907" t="s">
        <v>134</v>
      </c>
      <c r="F907" t="s">
        <v>449</v>
      </c>
      <c r="G907" t="s">
        <v>33</v>
      </c>
      <c r="H907" t="s">
        <v>450</v>
      </c>
      <c r="I907" t="s">
        <v>135</v>
      </c>
      <c r="J907" t="s">
        <v>39</v>
      </c>
      <c r="K907" t="s">
        <v>31</v>
      </c>
      <c r="L907">
        <v>0.11418742367164304</v>
      </c>
      <c r="M907">
        <v>1</v>
      </c>
      <c r="N907">
        <v>3.2114265275821117</v>
      </c>
      <c r="O907">
        <v>5.3471683850504297</v>
      </c>
      <c r="P907">
        <v>-1.5023279778075442</v>
      </c>
      <c r="Q907">
        <v>0.9018789424539676</v>
      </c>
      <c r="R907">
        <v>-1.862552393622352</v>
      </c>
      <c r="S907" s="2">
        <v>9.0560699009778877E-3</v>
      </c>
      <c r="T907" s="2">
        <v>1.7962945453004239E-2</v>
      </c>
      <c r="U907" s="2">
        <v>3.1648165844248691E-2</v>
      </c>
      <c r="V907" s="2">
        <v>5.1083241783627352E-2</v>
      </c>
      <c r="W907" s="2">
        <v>7.6939525129358408E-2</v>
      </c>
      <c r="X907" s="2">
        <v>0.10934440352497761</v>
      </c>
      <c r="Y907" s="2">
        <v>0.14759185693194682</v>
      </c>
      <c r="Z907" s="2">
        <v>0.18985745453351235</v>
      </c>
      <c r="AA907" s="2">
        <v>0.23301081642536156</v>
      </c>
      <c r="AB907" s="2">
        <v>0.27265698202498018</v>
      </c>
      <c r="AC907" s="2">
        <v>0.30354533718163929</v>
      </c>
      <c r="AD907" s="2">
        <v>0.3204258748835962</v>
      </c>
      <c r="AE907" s="2">
        <v>0.3192832738790996</v>
      </c>
      <c r="AF907" s="2">
        <v>0.29865821970061951</v>
      </c>
      <c r="AG907" s="2">
        <v>0.26056319933568539</v>
      </c>
      <c r="AH907" s="2">
        <v>0.21382182233771654</v>
      </c>
      <c r="AI907" s="2">
        <v>7.744426672641759E-2</v>
      </c>
      <c r="AJ907" s="2">
        <v>0</v>
      </c>
      <c r="AK907" s="2">
        <v>0</v>
      </c>
      <c r="AL907" s="2">
        <v>0</v>
      </c>
      <c r="AM907" s="2">
        <v>0</v>
      </c>
      <c r="AN907" s="2">
        <v>0</v>
      </c>
      <c r="AO907" s="2">
        <v>0</v>
      </c>
      <c r="AP907" s="2">
        <v>0</v>
      </c>
      <c r="AQ907" s="2">
        <v>0</v>
      </c>
      <c r="AR907" s="2">
        <v>2.9328934555967687</v>
      </c>
    </row>
    <row r="908" spans="1:44" x14ac:dyDescent="0.25">
      <c r="A908" t="s">
        <v>435</v>
      </c>
      <c r="B908" t="s">
        <v>448</v>
      </c>
      <c r="C908" t="s">
        <v>44</v>
      </c>
      <c r="D908" t="s">
        <v>449</v>
      </c>
      <c r="E908" t="s">
        <v>134</v>
      </c>
      <c r="F908" t="s">
        <v>449</v>
      </c>
      <c r="G908" t="s">
        <v>33</v>
      </c>
      <c r="H908" t="s">
        <v>450</v>
      </c>
      <c r="I908" t="s">
        <v>135</v>
      </c>
      <c r="J908" t="s">
        <v>39</v>
      </c>
      <c r="K908" t="s">
        <v>33</v>
      </c>
      <c r="L908">
        <v>0.11418742367164304</v>
      </c>
      <c r="M908">
        <v>1</v>
      </c>
      <c r="N908">
        <v>3.2114265275821117</v>
      </c>
      <c r="O908">
        <v>5.3471683850504297</v>
      </c>
      <c r="P908">
        <v>-1.5023279778075442</v>
      </c>
      <c r="Q908">
        <v>0.9018789424539676</v>
      </c>
      <c r="R908">
        <v>-1.862552393622352</v>
      </c>
      <c r="S908" s="2">
        <v>5.5792655928321782E-3</v>
      </c>
      <c r="T908" s="2">
        <v>1.1058901276071134E-2</v>
      </c>
      <c r="U908" s="2">
        <v>1.9470635914495736E-2</v>
      </c>
      <c r="V908" s="2">
        <v>3.1405607629448273E-2</v>
      </c>
      <c r="W908" s="2">
        <v>4.7268890868170252E-2</v>
      </c>
      <c r="X908" s="2">
        <v>6.7130461140092912E-2</v>
      </c>
      <c r="Y908" s="2">
        <v>9.05487850930113E-2</v>
      </c>
      <c r="Z908" s="2">
        <v>0.11639787315513156</v>
      </c>
      <c r="AA908" s="2">
        <v>0.14275477133698222</v>
      </c>
      <c r="AB908" s="2">
        <v>0.16692767120861196</v>
      </c>
      <c r="AC908" s="2">
        <v>0.18570878022698414</v>
      </c>
      <c r="AD908" s="2">
        <v>0.1958996276108336</v>
      </c>
      <c r="AE908" s="2">
        <v>0.19506500347805647</v>
      </c>
      <c r="AF908" s="2">
        <v>0.1823370079283555</v>
      </c>
      <c r="AG908" s="2">
        <v>0.15896832207964434</v>
      </c>
      <c r="AH908" s="2">
        <v>0.13036070452531923</v>
      </c>
      <c r="AI908" s="2">
        <v>3.0027563461286533E-2</v>
      </c>
      <c r="AJ908" s="2">
        <v>0</v>
      </c>
      <c r="AK908" s="2">
        <v>0</v>
      </c>
      <c r="AL908" s="2">
        <v>0</v>
      </c>
      <c r="AM908" s="2">
        <v>0</v>
      </c>
      <c r="AN908" s="2">
        <v>0</v>
      </c>
      <c r="AO908" s="2">
        <v>0</v>
      </c>
      <c r="AP908" s="2">
        <v>0</v>
      </c>
      <c r="AQ908" s="2">
        <v>0</v>
      </c>
      <c r="AR908" s="2">
        <v>1.7769098725253274</v>
      </c>
    </row>
    <row r="909" spans="1:44" x14ac:dyDescent="0.25">
      <c r="A909" t="s">
        <v>435</v>
      </c>
      <c r="B909" t="s">
        <v>448</v>
      </c>
      <c r="C909" t="s">
        <v>44</v>
      </c>
      <c r="D909" t="s">
        <v>449</v>
      </c>
      <c r="E909" t="s">
        <v>134</v>
      </c>
      <c r="F909" t="s">
        <v>449</v>
      </c>
      <c r="G909" t="s">
        <v>33</v>
      </c>
      <c r="H909" t="s">
        <v>450</v>
      </c>
      <c r="I909" t="s">
        <v>256</v>
      </c>
      <c r="J909" t="s">
        <v>40</v>
      </c>
      <c r="K909" t="s">
        <v>33</v>
      </c>
      <c r="L909">
        <v>0.11418742367164304</v>
      </c>
      <c r="M909">
        <v>1</v>
      </c>
      <c r="N909">
        <v>1.5893275046597133</v>
      </c>
      <c r="O909">
        <v>1.4737622038640086</v>
      </c>
      <c r="P909">
        <v>-3.9391026458677245E-2</v>
      </c>
      <c r="Q909">
        <v>1.3498045353129324</v>
      </c>
      <c r="R909">
        <v>-0.25661544227348476</v>
      </c>
      <c r="S909" s="2">
        <v>0.14574160001589898</v>
      </c>
      <c r="T909" s="2">
        <v>0.28908217802475944</v>
      </c>
      <c r="U909" s="2">
        <v>0.50932185574354583</v>
      </c>
      <c r="V909" s="2">
        <v>0.82209539821915001</v>
      </c>
      <c r="W909" s="2">
        <v>1.2382070389723181</v>
      </c>
      <c r="X909" s="2">
        <v>1.7597068592407337</v>
      </c>
      <c r="Y909" s="2">
        <v>2.375232701798919</v>
      </c>
      <c r="Z909" s="2">
        <v>3.0554235447842579</v>
      </c>
      <c r="AA909" s="2">
        <v>3.7499014007363303</v>
      </c>
      <c r="AB909" s="2">
        <v>4.3879370687648844</v>
      </c>
      <c r="AC909" s="2">
        <v>4.8850311009017986</v>
      </c>
      <c r="AD909" s="2">
        <v>5.1566938200186483</v>
      </c>
      <c r="AE909" s="2">
        <v>5.1383056560141807</v>
      </c>
      <c r="AF909" s="2">
        <v>4.8063814958371811</v>
      </c>
      <c r="AG909" s="2">
        <v>4.1933087963846027</v>
      </c>
      <c r="AH909" s="2">
        <v>3.4410881151048875</v>
      </c>
      <c r="AI909" s="2">
        <v>1.2463299718509746</v>
      </c>
      <c r="AJ909" s="2">
        <v>0</v>
      </c>
      <c r="AK909" s="2">
        <v>0</v>
      </c>
      <c r="AL909" s="2">
        <v>0</v>
      </c>
      <c r="AM909" s="2">
        <v>0</v>
      </c>
      <c r="AN909" s="2">
        <v>0</v>
      </c>
      <c r="AO909" s="2">
        <v>0</v>
      </c>
      <c r="AP909" s="2">
        <v>0</v>
      </c>
      <c r="AQ909" s="2">
        <v>0</v>
      </c>
      <c r="AR909" s="2">
        <v>47.199788602413072</v>
      </c>
    </row>
    <row r="910" spans="1:44" x14ac:dyDescent="0.25">
      <c r="A910" t="s">
        <v>435</v>
      </c>
      <c r="B910" t="s">
        <v>448</v>
      </c>
      <c r="C910" t="s">
        <v>44</v>
      </c>
      <c r="D910" t="s">
        <v>449</v>
      </c>
      <c r="E910" t="s">
        <v>134</v>
      </c>
      <c r="F910" t="s">
        <v>449</v>
      </c>
      <c r="G910" t="s">
        <v>33</v>
      </c>
      <c r="H910" t="s">
        <v>451</v>
      </c>
      <c r="I910" t="s">
        <v>135</v>
      </c>
      <c r="J910" t="s">
        <v>39</v>
      </c>
      <c r="K910" t="s">
        <v>31</v>
      </c>
      <c r="L910">
        <v>0.11418742367164304</v>
      </c>
      <c r="M910">
        <v>1</v>
      </c>
      <c r="N910">
        <v>3.2114265275821117</v>
      </c>
      <c r="O910">
        <v>5.3471683850504297</v>
      </c>
      <c r="P910">
        <v>-1.5023279778075442</v>
      </c>
      <c r="Q910">
        <v>0.9018789424539676</v>
      </c>
      <c r="R910">
        <v>-1.862552393622352</v>
      </c>
      <c r="S910" s="2">
        <v>2.3689122373138013E-3</v>
      </c>
      <c r="T910" s="2">
        <v>4.6987977971798935E-3</v>
      </c>
      <c r="U910" s="2">
        <v>8.2786162404600936E-3</v>
      </c>
      <c r="V910" s="2">
        <v>1.3362498071026093E-2</v>
      </c>
      <c r="W910" s="2">
        <v>2.0126057396307066E-2</v>
      </c>
      <c r="X910" s="2">
        <v>2.8602616634410879E-2</v>
      </c>
      <c r="Y910" s="2">
        <v>3.8607493077786728E-2</v>
      </c>
      <c r="Z910" s="2">
        <v>4.9663446981689126E-2</v>
      </c>
      <c r="AA910" s="2">
        <v>6.0951624765718151E-2</v>
      </c>
      <c r="AB910" s="2">
        <v>7.1322380278698971E-2</v>
      </c>
      <c r="AC910" s="2">
        <v>7.9402243102328809E-2</v>
      </c>
      <c r="AD910" s="2">
        <v>8.3817901635428793E-2</v>
      </c>
      <c r="AE910" s="2">
        <v>8.3519016850802E-2</v>
      </c>
      <c r="AF910" s="2">
        <v>7.8123857165320124E-2</v>
      </c>
      <c r="AG910" s="2">
        <v>6.8158854585838452E-2</v>
      </c>
      <c r="AH910" s="2">
        <v>5.5932113718099599E-2</v>
      </c>
      <c r="AI910" s="2">
        <v>2.0258089122986347E-2</v>
      </c>
      <c r="AJ910" s="2">
        <v>0</v>
      </c>
      <c r="AK910" s="2">
        <v>0</v>
      </c>
      <c r="AL910" s="2">
        <v>0</v>
      </c>
      <c r="AM910" s="2">
        <v>0</v>
      </c>
      <c r="AN910" s="2">
        <v>0</v>
      </c>
      <c r="AO910" s="2">
        <v>0</v>
      </c>
      <c r="AP910" s="2">
        <v>0</v>
      </c>
      <c r="AQ910" s="2">
        <v>0</v>
      </c>
      <c r="AR910" s="2">
        <v>0.76719451966139518</v>
      </c>
    </row>
    <row r="911" spans="1:44" x14ac:dyDescent="0.25">
      <c r="A911" t="s">
        <v>435</v>
      </c>
      <c r="B911" t="s">
        <v>448</v>
      </c>
      <c r="C911" t="s">
        <v>44</v>
      </c>
      <c r="D911" t="s">
        <v>449</v>
      </c>
      <c r="E911" t="s">
        <v>134</v>
      </c>
      <c r="F911" t="s">
        <v>449</v>
      </c>
      <c r="G911" t="s">
        <v>33</v>
      </c>
      <c r="H911" t="s">
        <v>451</v>
      </c>
      <c r="I911" t="s">
        <v>135</v>
      </c>
      <c r="J911" t="s">
        <v>39</v>
      </c>
      <c r="K911" t="s">
        <v>33</v>
      </c>
      <c r="L911">
        <v>0.11418742367164304</v>
      </c>
      <c r="M911">
        <v>1</v>
      </c>
      <c r="N911">
        <v>3.2114265275821117</v>
      </c>
      <c r="O911">
        <v>5.3471683850504297</v>
      </c>
      <c r="P911">
        <v>-1.5023279778075442</v>
      </c>
      <c r="Q911">
        <v>0.9018789424539676</v>
      </c>
      <c r="R911">
        <v>-1.862552393622352</v>
      </c>
      <c r="S911" s="2">
        <v>1.067150577223973E-2</v>
      </c>
      <c r="T911" s="2">
        <v>2.1167203674903507E-2</v>
      </c>
      <c r="U911" s="2">
        <v>3.7293615020709055E-2</v>
      </c>
      <c r="V911" s="2">
        <v>6.0195550113833866E-2</v>
      </c>
      <c r="W911" s="2">
        <v>9.0664117603892688E-2</v>
      </c>
      <c r="X911" s="2">
        <v>0.12884942874092753</v>
      </c>
      <c r="Y911" s="2">
        <v>0.17391952253093551</v>
      </c>
      <c r="Z911" s="2">
        <v>0.2237245233429947</v>
      </c>
      <c r="AA911" s="2">
        <v>0.27457564922384636</v>
      </c>
      <c r="AB911" s="2">
        <v>0.32129395966862528</v>
      </c>
      <c r="AC911" s="2">
        <v>0.35769222778641935</v>
      </c>
      <c r="AD911" s="2">
        <v>0.37758394212770252</v>
      </c>
      <c r="AE911" s="2">
        <v>0.37623752217421508</v>
      </c>
      <c r="AF911" s="2">
        <v>0.35193333866800791</v>
      </c>
      <c r="AG911" s="2">
        <v>0.3070428691637821</v>
      </c>
      <c r="AH911" s="2">
        <v>0.25196369244691541</v>
      </c>
      <c r="AI911" s="2">
        <v>9.125889579414459E-2</v>
      </c>
      <c r="AJ911" s="2">
        <v>0</v>
      </c>
      <c r="AK911" s="2">
        <v>0</v>
      </c>
      <c r="AL911" s="2">
        <v>0</v>
      </c>
      <c r="AM911" s="2">
        <v>0</v>
      </c>
      <c r="AN911" s="2">
        <v>0</v>
      </c>
      <c r="AO911" s="2">
        <v>0</v>
      </c>
      <c r="AP911" s="2">
        <v>0</v>
      </c>
      <c r="AQ911" s="2">
        <v>0</v>
      </c>
      <c r="AR911" s="2">
        <v>3.4560675638540954</v>
      </c>
    </row>
    <row r="912" spans="1:44" x14ac:dyDescent="0.25">
      <c r="A912" t="s">
        <v>435</v>
      </c>
      <c r="B912" t="s">
        <v>448</v>
      </c>
      <c r="C912" t="s">
        <v>44</v>
      </c>
      <c r="D912" t="s">
        <v>449</v>
      </c>
      <c r="E912" t="s">
        <v>134</v>
      </c>
      <c r="F912" t="s">
        <v>449</v>
      </c>
      <c r="G912" t="s">
        <v>33</v>
      </c>
      <c r="H912" t="s">
        <v>452</v>
      </c>
      <c r="I912" t="s">
        <v>135</v>
      </c>
      <c r="J912" t="s">
        <v>39</v>
      </c>
      <c r="K912" t="s">
        <v>31</v>
      </c>
      <c r="L912">
        <v>0.11418742367164304</v>
      </c>
      <c r="M912">
        <v>1</v>
      </c>
      <c r="N912">
        <v>3.2114265275821117</v>
      </c>
      <c r="O912">
        <v>5.3471683850504297</v>
      </c>
      <c r="P912">
        <v>-1.5023279778075442</v>
      </c>
      <c r="Q912">
        <v>0.9018789424539676</v>
      </c>
      <c r="R912">
        <v>-1.862552393622352</v>
      </c>
      <c r="S912" s="2">
        <v>5.3654242454119525E-2</v>
      </c>
      <c r="T912" s="2">
        <v>0.1064245573481651</v>
      </c>
      <c r="U912" s="2">
        <v>0.18750499742191079</v>
      </c>
      <c r="V912" s="2">
        <v>0.30265144482875417</v>
      </c>
      <c r="W912" s="2">
        <v>0.45584143902750296</v>
      </c>
      <c r="X912" s="2">
        <v>0.64782971000441658</v>
      </c>
      <c r="Y912" s="2">
        <v>0.87443332070850011</v>
      </c>
      <c r="Z912" s="2">
        <v>1.1248431172293702</v>
      </c>
      <c r="AA912" s="2">
        <v>1.3805126258542564</v>
      </c>
      <c r="AB912" s="2">
        <v>1.6154031473185855</v>
      </c>
      <c r="AC912" s="2">
        <v>1.7984065157450353</v>
      </c>
      <c r="AD912" s="2">
        <v>1.8984181623555487</v>
      </c>
      <c r="AE912" s="2">
        <v>1.8916486263433583</v>
      </c>
      <c r="AF912" s="2">
        <v>1.7694519483559206</v>
      </c>
      <c r="AG912" s="2">
        <v>1.5437514534056673</v>
      </c>
      <c r="AH912" s="2">
        <v>1.266824132668267</v>
      </c>
      <c r="AI912" s="2">
        <v>0.45883186736136189</v>
      </c>
      <c r="AJ912" s="2">
        <v>0</v>
      </c>
      <c r="AK912" s="2">
        <v>0</v>
      </c>
      <c r="AL912" s="2">
        <v>0</v>
      </c>
      <c r="AM912" s="2">
        <v>0</v>
      </c>
      <c r="AN912" s="2">
        <v>0</v>
      </c>
      <c r="AO912" s="2">
        <v>0</v>
      </c>
      <c r="AP912" s="2">
        <v>0</v>
      </c>
      <c r="AQ912" s="2">
        <v>0</v>
      </c>
      <c r="AR912" s="2">
        <v>17.376431308430739</v>
      </c>
    </row>
    <row r="913" spans="1:44" x14ac:dyDescent="0.25">
      <c r="A913" t="s">
        <v>435</v>
      </c>
      <c r="B913" t="s">
        <v>448</v>
      </c>
      <c r="C913" t="s">
        <v>44</v>
      </c>
      <c r="D913" t="s">
        <v>449</v>
      </c>
      <c r="E913" t="s">
        <v>134</v>
      </c>
      <c r="F913" t="s">
        <v>449</v>
      </c>
      <c r="G913" t="s">
        <v>33</v>
      </c>
      <c r="H913" t="s">
        <v>452</v>
      </c>
      <c r="I913" t="s">
        <v>135</v>
      </c>
      <c r="J913" t="s">
        <v>39</v>
      </c>
      <c r="K913" t="s">
        <v>33</v>
      </c>
      <c r="L913">
        <v>0.11418742367164304</v>
      </c>
      <c r="M913">
        <v>1</v>
      </c>
      <c r="N913">
        <v>3.2114265275821117</v>
      </c>
      <c r="O913">
        <v>5.3471683850504297</v>
      </c>
      <c r="P913">
        <v>-1.5023279778075442</v>
      </c>
      <c r="Q913">
        <v>0.9018789424539676</v>
      </c>
      <c r="R913">
        <v>-1.862552393622352</v>
      </c>
      <c r="S913" s="2">
        <v>0.10609948450635501</v>
      </c>
      <c r="T913" s="2">
        <v>0.21045103158641984</v>
      </c>
      <c r="U913" s="2">
        <v>0.37078491203825975</v>
      </c>
      <c r="V913" s="2">
        <v>0.59848319187234933</v>
      </c>
      <c r="W913" s="2">
        <v>0.90141132341604335</v>
      </c>
      <c r="X913" s="2">
        <v>1.281061760179464</v>
      </c>
      <c r="Y913" s="2">
        <v>1.729162882910646</v>
      </c>
      <c r="Z913" s="2">
        <v>2.2243399483388751</v>
      </c>
      <c r="AA913" s="2">
        <v>2.7299179199650645</v>
      </c>
      <c r="AB913" s="2">
        <v>3.1944061338114369</v>
      </c>
      <c r="AC913" s="2">
        <v>3.5562892238499613</v>
      </c>
      <c r="AD913" s="2">
        <v>3.7540589371970632</v>
      </c>
      <c r="AE913" s="2">
        <v>3.7406724043081736</v>
      </c>
      <c r="AF913" s="2">
        <v>3.4990325273880445</v>
      </c>
      <c r="AG913" s="2">
        <v>3.0527172860997496</v>
      </c>
      <c r="AH913" s="2">
        <v>2.5051026962359737</v>
      </c>
      <c r="AI913" s="2">
        <v>0.90732479624061824</v>
      </c>
      <c r="AJ913" s="2">
        <v>0</v>
      </c>
      <c r="AK913" s="2">
        <v>0</v>
      </c>
      <c r="AL913" s="2">
        <v>0</v>
      </c>
      <c r="AM913" s="2">
        <v>0</v>
      </c>
      <c r="AN913" s="2">
        <v>0</v>
      </c>
      <c r="AO913" s="2">
        <v>0</v>
      </c>
      <c r="AP913" s="2">
        <v>0</v>
      </c>
      <c r="AQ913" s="2">
        <v>0</v>
      </c>
      <c r="AR913" s="2">
        <v>34.361316459944504</v>
      </c>
    </row>
    <row r="914" spans="1:44" x14ac:dyDescent="0.25">
      <c r="A914" t="s">
        <v>435</v>
      </c>
      <c r="B914" t="s">
        <v>448</v>
      </c>
      <c r="C914" t="s">
        <v>44</v>
      </c>
      <c r="D914" t="s">
        <v>449</v>
      </c>
      <c r="E914" t="s">
        <v>134</v>
      </c>
      <c r="F914" t="s">
        <v>449</v>
      </c>
      <c r="G914" t="s">
        <v>33</v>
      </c>
      <c r="H914" t="s">
        <v>452</v>
      </c>
      <c r="I914" t="s">
        <v>135</v>
      </c>
      <c r="J914" t="s">
        <v>40</v>
      </c>
      <c r="K914" t="s">
        <v>33</v>
      </c>
      <c r="L914">
        <v>0.11418742367164304</v>
      </c>
      <c r="M914">
        <v>1</v>
      </c>
      <c r="N914">
        <v>3.2114265275821117</v>
      </c>
      <c r="O914">
        <v>4.1746294160814514</v>
      </c>
      <c r="P914">
        <v>-1.5023279778075442</v>
      </c>
      <c r="Q914">
        <v>1.3498045353129324</v>
      </c>
      <c r="R914">
        <v>-1.7195523936223516</v>
      </c>
      <c r="S914" s="2">
        <v>7.768882044085032E-3</v>
      </c>
      <c r="T914" s="2">
        <v>1.5409775533386119E-2</v>
      </c>
      <c r="U914" s="2">
        <v>2.7149842044511971E-2</v>
      </c>
      <c r="V914" s="2">
        <v>4.3822506251152409E-2</v>
      </c>
      <c r="W914" s="2">
        <v>6.600369716595908E-2</v>
      </c>
      <c r="X914" s="2">
        <v>9.3802696142468833E-2</v>
      </c>
      <c r="Y914" s="2">
        <v>0.12661383356238828</v>
      </c>
      <c r="Z914" s="2">
        <v>0.1628719947603125</v>
      </c>
      <c r="AA914" s="2">
        <v>0.19989173754159217</v>
      </c>
      <c r="AB914" s="2">
        <v>0.23390278067747164</v>
      </c>
      <c r="AC914" s="2">
        <v>0.26040080800850829</v>
      </c>
      <c r="AD914" s="2">
        <v>0.27488202421832053</v>
      </c>
      <c r="AE914" s="2">
        <v>0.27390182723171952</v>
      </c>
      <c r="AF914" s="2">
        <v>0.25620832278469963</v>
      </c>
      <c r="AG914" s="2">
        <v>0.22352795227980399</v>
      </c>
      <c r="AH914" s="2">
        <v>0.18343017825134628</v>
      </c>
      <c r="AI914" s="2">
        <v>6.6436697128765557E-2</v>
      </c>
      <c r="AJ914" s="2">
        <v>0</v>
      </c>
      <c r="AK914" s="2">
        <v>0</v>
      </c>
      <c r="AL914" s="2">
        <v>0</v>
      </c>
      <c r="AM914" s="2">
        <v>0</v>
      </c>
      <c r="AN914" s="2">
        <v>0</v>
      </c>
      <c r="AO914" s="2">
        <v>0</v>
      </c>
      <c r="AP914" s="2">
        <v>0</v>
      </c>
      <c r="AQ914" s="2">
        <v>0</v>
      </c>
      <c r="AR914" s="2">
        <v>2.5160255556264919</v>
      </c>
    </row>
    <row r="915" spans="1:44" x14ac:dyDescent="0.25">
      <c r="A915" t="s">
        <v>435</v>
      </c>
      <c r="B915" t="s">
        <v>448</v>
      </c>
      <c r="C915" t="s">
        <v>44</v>
      </c>
      <c r="D915" t="s">
        <v>449</v>
      </c>
      <c r="E915" t="s">
        <v>134</v>
      </c>
      <c r="F915" t="s">
        <v>449</v>
      </c>
      <c r="G915" t="s">
        <v>33</v>
      </c>
      <c r="H915" t="s">
        <v>452</v>
      </c>
      <c r="I915" t="s">
        <v>256</v>
      </c>
      <c r="J915" t="s">
        <v>40</v>
      </c>
      <c r="K915" t="s">
        <v>33</v>
      </c>
      <c r="L915">
        <v>0.11418742367164304</v>
      </c>
      <c r="M915">
        <v>1</v>
      </c>
      <c r="N915">
        <v>1.5893275046597133</v>
      </c>
      <c r="O915">
        <v>1.4737622038640086</v>
      </c>
      <c r="P915">
        <v>-3.9391026458677245E-2</v>
      </c>
      <c r="Q915">
        <v>1.3498045353129324</v>
      </c>
      <c r="R915">
        <v>-0.25661544227348476</v>
      </c>
      <c r="S915" s="2">
        <v>4.6847232465531324E-2</v>
      </c>
      <c r="T915" s="2">
        <v>9.2922679551278697E-2</v>
      </c>
      <c r="U915" s="2">
        <v>0.16371660097865517</v>
      </c>
      <c r="V915" s="2">
        <v>0.26425464126244452</v>
      </c>
      <c r="W915" s="2">
        <v>0.39800971712171018</v>
      </c>
      <c r="X915" s="2">
        <v>0.56564080740878087</v>
      </c>
      <c r="Y915" s="2">
        <v>0.76349565620774851</v>
      </c>
      <c r="Z915" s="2">
        <v>0.98213644606310702</v>
      </c>
      <c r="AA915" s="2">
        <v>1.2053696585185854</v>
      </c>
      <c r="AB915" s="2">
        <v>1.4104600737341004</v>
      </c>
      <c r="AC915" s="2">
        <v>1.5702461586831187</v>
      </c>
      <c r="AD915" s="2">
        <v>1.6575695210813435</v>
      </c>
      <c r="AE915" s="2">
        <v>1.6516588230127229</v>
      </c>
      <c r="AF915" s="2">
        <v>1.5449650012690215</v>
      </c>
      <c r="AG915" s="2">
        <v>1.3478986916745572</v>
      </c>
      <c r="AH915" s="2">
        <v>1.1061046046229059</v>
      </c>
      <c r="AI915" s="2">
        <v>0.40062075559546723</v>
      </c>
      <c r="AJ915" s="2">
        <v>0</v>
      </c>
      <c r="AK915" s="2">
        <v>0</v>
      </c>
      <c r="AL915" s="2">
        <v>0</v>
      </c>
      <c r="AM915" s="2">
        <v>0</v>
      </c>
      <c r="AN915" s="2">
        <v>0</v>
      </c>
      <c r="AO915" s="2">
        <v>0</v>
      </c>
      <c r="AP915" s="2">
        <v>0</v>
      </c>
      <c r="AQ915" s="2">
        <v>0</v>
      </c>
      <c r="AR915" s="2">
        <v>15.17191706925108</v>
      </c>
    </row>
    <row r="916" spans="1:44" x14ac:dyDescent="0.25">
      <c r="A916" t="s">
        <v>435</v>
      </c>
      <c r="B916" t="s">
        <v>448</v>
      </c>
      <c r="C916" t="s">
        <v>44</v>
      </c>
      <c r="D916" t="s">
        <v>449</v>
      </c>
      <c r="E916" t="s">
        <v>134</v>
      </c>
      <c r="F916" t="s">
        <v>449</v>
      </c>
      <c r="G916" t="s">
        <v>33</v>
      </c>
      <c r="H916" t="s">
        <v>453</v>
      </c>
      <c r="I916" t="s">
        <v>135</v>
      </c>
      <c r="J916" t="s">
        <v>39</v>
      </c>
      <c r="K916" t="s">
        <v>31</v>
      </c>
      <c r="L916">
        <v>0.11418742367164304</v>
      </c>
      <c r="M916">
        <v>1</v>
      </c>
      <c r="N916">
        <v>3.2114265275821117</v>
      </c>
      <c r="O916">
        <v>5.3471683850504297</v>
      </c>
      <c r="P916">
        <v>-1.5023279778075442</v>
      </c>
      <c r="Q916">
        <v>0.9018789424539676</v>
      </c>
      <c r="R916">
        <v>-1.862552393622352</v>
      </c>
      <c r="S916" s="2">
        <v>1.64090704687492E-2</v>
      </c>
      <c r="T916" s="2">
        <v>3.2547809478901707E-2</v>
      </c>
      <c r="U916" s="2">
        <v>5.734463064257727E-2</v>
      </c>
      <c r="V916" s="2">
        <v>9.2559854701340302E-2</v>
      </c>
      <c r="W916" s="2">
        <v>0.13940993206594118</v>
      </c>
      <c r="X916" s="2">
        <v>0.19812568171663089</v>
      </c>
      <c r="Y916" s="2">
        <v>0.26742783652192775</v>
      </c>
      <c r="Z916" s="2">
        <v>0.34401063425110567</v>
      </c>
      <c r="AA916" s="2">
        <v>0.422202009095764</v>
      </c>
      <c r="AB916" s="2">
        <v>0.49403854881478648</v>
      </c>
      <c r="AC916" s="2">
        <v>0.55000644680711996</v>
      </c>
      <c r="AD916" s="2">
        <v>0.58059299657214314</v>
      </c>
      <c r="AE916" s="2">
        <v>0.57852267019376313</v>
      </c>
      <c r="AF916" s="2">
        <v>0.5411512749707752</v>
      </c>
      <c r="AG916" s="2">
        <v>0.47212531994704687</v>
      </c>
      <c r="AH916" s="2">
        <v>0.38743267099971218</v>
      </c>
      <c r="AI916" s="2">
        <v>0.14032449440095132</v>
      </c>
      <c r="AJ916" s="2">
        <v>0</v>
      </c>
      <c r="AK916" s="2">
        <v>0</v>
      </c>
      <c r="AL916" s="2">
        <v>0</v>
      </c>
      <c r="AM916" s="2">
        <v>0</v>
      </c>
      <c r="AN916" s="2">
        <v>0</v>
      </c>
      <c r="AO916" s="2">
        <v>0</v>
      </c>
      <c r="AP916" s="2">
        <v>0</v>
      </c>
      <c r="AQ916" s="2">
        <v>0</v>
      </c>
      <c r="AR916" s="2">
        <v>5.3142318816492367</v>
      </c>
    </row>
    <row r="917" spans="1:44" x14ac:dyDescent="0.25">
      <c r="A917" t="s">
        <v>435</v>
      </c>
      <c r="B917" t="s">
        <v>448</v>
      </c>
      <c r="C917" t="s">
        <v>44</v>
      </c>
      <c r="D917" t="s">
        <v>449</v>
      </c>
      <c r="E917" t="s">
        <v>134</v>
      </c>
      <c r="F917" t="s">
        <v>449</v>
      </c>
      <c r="G917" t="s">
        <v>33</v>
      </c>
      <c r="H917" t="s">
        <v>453</v>
      </c>
      <c r="I917" t="s">
        <v>135</v>
      </c>
      <c r="J917" t="s">
        <v>39</v>
      </c>
      <c r="K917" t="s">
        <v>33</v>
      </c>
      <c r="L917">
        <v>0.11418742367164304</v>
      </c>
      <c r="M917">
        <v>1</v>
      </c>
      <c r="N917">
        <v>3.2114265275821117</v>
      </c>
      <c r="O917">
        <v>5.3471683850504297</v>
      </c>
      <c r="P917">
        <v>-1.5023279778075442</v>
      </c>
      <c r="Q917">
        <v>0.9018789424539676</v>
      </c>
      <c r="R917">
        <v>-1.862552393622352</v>
      </c>
      <c r="S917" s="2">
        <v>1.4930349423925307E-2</v>
      </c>
      <c r="T917" s="2">
        <v>2.9614728599577575E-2</v>
      </c>
      <c r="U917" s="2">
        <v>5.2176957537612166E-2</v>
      </c>
      <c r="V917" s="2">
        <v>8.421872378150054E-2</v>
      </c>
      <c r="W917" s="2">
        <v>0.12684685600407755</v>
      </c>
      <c r="X917" s="2">
        <v>0.18027137268478025</v>
      </c>
      <c r="Y917" s="2">
        <v>0.24332828922643479</v>
      </c>
      <c r="Z917" s="2">
        <v>0.31300974571941659</v>
      </c>
      <c r="AA917" s="2">
        <v>0.3841548206699576</v>
      </c>
      <c r="AB917" s="2">
        <v>0.44951773330131845</v>
      </c>
      <c r="AC917" s="2">
        <v>0.50044202393311066</v>
      </c>
      <c r="AD917" s="2">
        <v>0.52827223384864463</v>
      </c>
      <c r="AE917" s="2">
        <v>0.52638847715994896</v>
      </c>
      <c r="AF917" s="2">
        <v>0.49238484543678318</v>
      </c>
      <c r="AG917" s="2">
        <v>0.42957923863613329</v>
      </c>
      <c r="AH917" s="2">
        <v>0.35251875889538592</v>
      </c>
      <c r="AI917" s="2">
        <v>0.12767900157001152</v>
      </c>
      <c r="AJ917" s="2">
        <v>0</v>
      </c>
      <c r="AK917" s="2">
        <v>0</v>
      </c>
      <c r="AL917" s="2">
        <v>0</v>
      </c>
      <c r="AM917" s="2">
        <v>0</v>
      </c>
      <c r="AN917" s="2">
        <v>0</v>
      </c>
      <c r="AO917" s="2">
        <v>0</v>
      </c>
      <c r="AP917" s="2">
        <v>0</v>
      </c>
      <c r="AQ917" s="2">
        <v>0</v>
      </c>
      <c r="AR917" s="2">
        <v>4.835334156428619</v>
      </c>
    </row>
    <row r="918" spans="1:44" x14ac:dyDescent="0.25">
      <c r="A918" t="s">
        <v>435</v>
      </c>
      <c r="B918" t="s">
        <v>448</v>
      </c>
      <c r="C918" t="s">
        <v>44</v>
      </c>
      <c r="D918" t="s">
        <v>449</v>
      </c>
      <c r="E918" t="s">
        <v>134</v>
      </c>
      <c r="F918" t="s">
        <v>449</v>
      </c>
      <c r="G918" t="s">
        <v>33</v>
      </c>
      <c r="H918" t="s">
        <v>453</v>
      </c>
      <c r="I918" t="s">
        <v>135</v>
      </c>
      <c r="J918" t="s">
        <v>40</v>
      </c>
      <c r="K918" t="s">
        <v>33</v>
      </c>
      <c r="L918">
        <v>0.11418742367164304</v>
      </c>
      <c r="M918">
        <v>1</v>
      </c>
      <c r="N918">
        <v>3.2114265275821117</v>
      </c>
      <c r="O918">
        <v>4.1746294160814514</v>
      </c>
      <c r="P918">
        <v>-1.5023279778075442</v>
      </c>
      <c r="Q918">
        <v>1.3498045353129324</v>
      </c>
      <c r="R918">
        <v>-1.7195523936223516</v>
      </c>
      <c r="S918" s="2">
        <v>0.30405083741266181</v>
      </c>
      <c r="T918" s="2">
        <v>0.60309258509523522</v>
      </c>
      <c r="U918" s="2">
        <v>1.0625637205472043</v>
      </c>
      <c r="V918" s="2">
        <v>1.7150819960420376</v>
      </c>
      <c r="W918" s="2">
        <v>2.583187552824421</v>
      </c>
      <c r="X918" s="2">
        <v>3.6711573366463837</v>
      </c>
      <c r="Y918" s="2">
        <v>4.9552872477941552</v>
      </c>
      <c r="Z918" s="2">
        <v>6.3743233732899327</v>
      </c>
      <c r="AA918" s="2">
        <v>7.8231655271001195</v>
      </c>
      <c r="AB918" s="2">
        <v>9.1542561638302367</v>
      </c>
      <c r="AC918" s="2">
        <v>10.191309803474491</v>
      </c>
      <c r="AD918" s="2">
        <v>10.758061350268735</v>
      </c>
      <c r="AE918" s="2">
        <v>10.719699368079509</v>
      </c>
      <c r="AF918" s="2">
        <v>10.0272284548447</v>
      </c>
      <c r="AG918" s="2">
        <v>8.7482163701477944</v>
      </c>
      <c r="AH918" s="2">
        <v>7.1789092674587183</v>
      </c>
      <c r="AI918" s="2">
        <v>2.6001338779898528</v>
      </c>
      <c r="AJ918" s="2">
        <v>0</v>
      </c>
      <c r="AK918" s="2">
        <v>0</v>
      </c>
      <c r="AL918" s="2">
        <v>0</v>
      </c>
      <c r="AM918" s="2">
        <v>0</v>
      </c>
      <c r="AN918" s="2">
        <v>0</v>
      </c>
      <c r="AO918" s="2">
        <v>0</v>
      </c>
      <c r="AP918" s="2">
        <v>0</v>
      </c>
      <c r="AQ918" s="2">
        <v>0</v>
      </c>
      <c r="AR918" s="2">
        <v>98.469724832846182</v>
      </c>
    </row>
    <row r="919" spans="1:44" x14ac:dyDescent="0.25">
      <c r="A919" t="s">
        <v>435</v>
      </c>
      <c r="B919" t="s">
        <v>448</v>
      </c>
      <c r="C919" t="s">
        <v>44</v>
      </c>
      <c r="D919" t="s">
        <v>449</v>
      </c>
      <c r="E919" t="s">
        <v>134</v>
      </c>
      <c r="F919" t="s">
        <v>449</v>
      </c>
      <c r="G919" t="s">
        <v>33</v>
      </c>
      <c r="H919" t="s">
        <v>453</v>
      </c>
      <c r="I919" t="s">
        <v>256</v>
      </c>
      <c r="J919" t="s">
        <v>40</v>
      </c>
      <c r="K919" t="s">
        <v>33</v>
      </c>
      <c r="L919">
        <v>0.11418742367164304</v>
      </c>
      <c r="M919">
        <v>1</v>
      </c>
      <c r="N919">
        <v>1.5893275046597133</v>
      </c>
      <c r="O919">
        <v>1.4737622038640086</v>
      </c>
      <c r="P919">
        <v>-3.9391026458677245E-2</v>
      </c>
      <c r="Q919">
        <v>1.3498045353129324</v>
      </c>
      <c r="R919">
        <v>-0.25661544227348476</v>
      </c>
      <c r="S919" s="2">
        <v>0.15652453225979149</v>
      </c>
      <c r="T919" s="2">
        <v>0.31047039894601863</v>
      </c>
      <c r="U919" s="2">
        <v>0.54700487185025193</v>
      </c>
      <c r="V919" s="2">
        <v>0.88291947985435815</v>
      </c>
      <c r="W919" s="2">
        <v>1.3298178254855213</v>
      </c>
      <c r="X919" s="2">
        <v>1.8899016686172996</v>
      </c>
      <c r="Y919" s="2">
        <v>2.5509682041138477</v>
      </c>
      <c r="Z919" s="2">
        <v>3.2814840865664827</v>
      </c>
      <c r="AA919" s="2">
        <v>4.0273440301640742</v>
      </c>
      <c r="AB919" s="2">
        <v>4.712585817631334</v>
      </c>
      <c r="AC919" s="2">
        <v>5.2464581702120388</v>
      </c>
      <c r="AD919" s="2">
        <v>5.5382203029013279</v>
      </c>
      <c r="AE919" s="2">
        <v>5.5184716603064761</v>
      </c>
      <c r="AF919" s="2">
        <v>5.1619895446184278</v>
      </c>
      <c r="AG919" s="2">
        <v>4.5035576520593086</v>
      </c>
      <c r="AH919" s="2">
        <v>3.6956826851273914</v>
      </c>
      <c r="AI919" s="2">
        <v>1.3385417469277914</v>
      </c>
      <c r="AJ919" s="2">
        <v>0</v>
      </c>
      <c r="AK919" s="2">
        <v>0</v>
      </c>
      <c r="AL919" s="2">
        <v>0</v>
      </c>
      <c r="AM919" s="2">
        <v>0</v>
      </c>
      <c r="AN919" s="2">
        <v>0</v>
      </c>
      <c r="AO919" s="2">
        <v>0</v>
      </c>
      <c r="AP919" s="2">
        <v>0</v>
      </c>
      <c r="AQ919" s="2">
        <v>0</v>
      </c>
      <c r="AR919" s="2">
        <v>50.691942677641755</v>
      </c>
    </row>
    <row r="920" spans="1:44" x14ac:dyDescent="0.25">
      <c r="A920" t="s">
        <v>435</v>
      </c>
      <c r="B920" t="s">
        <v>448</v>
      </c>
      <c r="C920" t="s">
        <v>44</v>
      </c>
      <c r="D920" t="s">
        <v>449</v>
      </c>
      <c r="E920" t="s">
        <v>134</v>
      </c>
      <c r="F920" t="s">
        <v>449</v>
      </c>
      <c r="G920" t="s">
        <v>33</v>
      </c>
      <c r="H920" t="s">
        <v>454</v>
      </c>
      <c r="I920" t="s">
        <v>135</v>
      </c>
      <c r="J920" t="s">
        <v>39</v>
      </c>
      <c r="K920" t="s">
        <v>31</v>
      </c>
      <c r="L920">
        <v>0.11418742367164304</v>
      </c>
      <c r="M920">
        <v>1</v>
      </c>
      <c r="N920">
        <v>3.2114265275821117</v>
      </c>
      <c r="O920">
        <v>5.3471683850504297</v>
      </c>
      <c r="P920">
        <v>-1.5023279778075442</v>
      </c>
      <c r="Q920">
        <v>0.9018789424539676</v>
      </c>
      <c r="R920">
        <v>-1.862552393622352</v>
      </c>
      <c r="S920" s="2">
        <v>9.0355083022063403E-4</v>
      </c>
      <c r="T920" s="2">
        <v>1.7922160997804748E-3</v>
      </c>
      <c r="U920" s="2">
        <v>3.1576309410380546E-3</v>
      </c>
      <c r="V920" s="2">
        <v>5.0967258456092353E-3</v>
      </c>
      <c r="W920" s="2">
        <v>7.6764835704179329E-3</v>
      </c>
      <c r="X920" s="2">
        <v>1.0909613956745758E-2</v>
      </c>
      <c r="Y920" s="2">
        <v>1.4725675300967529E-2</v>
      </c>
      <c r="Z920" s="2">
        <v>1.8942638754235713E-2</v>
      </c>
      <c r="AA920" s="2">
        <v>2.324817707168857E-2</v>
      </c>
      <c r="AB920" s="2">
        <v>2.7203792060783567E-2</v>
      </c>
      <c r="AC920" s="2">
        <v>3.0285614446334656E-2</v>
      </c>
      <c r="AD920" s="2">
        <v>3.1969835529204939E-2</v>
      </c>
      <c r="AE920" s="2">
        <v>3.1855834853689792E-2</v>
      </c>
      <c r="AF920" s="2">
        <v>2.979801230703532E-2</v>
      </c>
      <c r="AG920" s="2">
        <v>2.5997159657444858E-2</v>
      </c>
      <c r="AH920" s="2">
        <v>2.1333634479971351E-2</v>
      </c>
      <c r="AI920" s="2">
        <v>7.7268431297031603E-3</v>
      </c>
      <c r="AJ920" s="2">
        <v>0</v>
      </c>
      <c r="AK920" s="2">
        <v>0</v>
      </c>
      <c r="AL920" s="2">
        <v>0</v>
      </c>
      <c r="AM920" s="2">
        <v>0</v>
      </c>
      <c r="AN920" s="2">
        <v>0</v>
      </c>
      <c r="AO920" s="2">
        <v>0</v>
      </c>
      <c r="AP920" s="2">
        <v>0</v>
      </c>
      <c r="AQ920" s="2">
        <v>0</v>
      </c>
      <c r="AR920" s="2">
        <v>0.29262343883487157</v>
      </c>
    </row>
    <row r="921" spans="1:44" x14ac:dyDescent="0.25">
      <c r="A921" t="s">
        <v>435</v>
      </c>
      <c r="B921" t="s">
        <v>448</v>
      </c>
      <c r="C921" t="s">
        <v>44</v>
      </c>
      <c r="D921" t="s">
        <v>449</v>
      </c>
      <c r="E921" t="s">
        <v>134</v>
      </c>
      <c r="F921" t="s">
        <v>449</v>
      </c>
      <c r="G921" t="s">
        <v>33</v>
      </c>
      <c r="H921" t="s">
        <v>454</v>
      </c>
      <c r="I921" t="s">
        <v>135</v>
      </c>
      <c r="J921" t="s">
        <v>39</v>
      </c>
      <c r="K921" t="s">
        <v>33</v>
      </c>
      <c r="L921">
        <v>0.11418742367164304</v>
      </c>
      <c r="M921">
        <v>1</v>
      </c>
      <c r="N921">
        <v>3.2114265275821117</v>
      </c>
      <c r="O921">
        <v>5.3471683850504297</v>
      </c>
      <c r="P921">
        <v>-1.5023279778075442</v>
      </c>
      <c r="Q921">
        <v>0.9018789424539676</v>
      </c>
      <c r="R921">
        <v>-1.862552393622352</v>
      </c>
      <c r="S921" s="2">
        <v>7.2509991935501327E-3</v>
      </c>
      <c r="T921" s="2">
        <v>1.4382541700506778E-2</v>
      </c>
      <c r="U921" s="2">
        <v>2.5340001515360255E-2</v>
      </c>
      <c r="V921" s="2">
        <v>4.0901246238946483E-2</v>
      </c>
      <c r="W921" s="2">
        <v>6.1603812775878231E-2</v>
      </c>
      <c r="X921" s="2">
        <v>8.7549697655626438E-2</v>
      </c>
      <c r="Y921" s="2">
        <v>0.1181736059118263</v>
      </c>
      <c r="Z921" s="2">
        <v>0.1520147552707522</v>
      </c>
      <c r="AA921" s="2">
        <v>0.18656671828541352</v>
      </c>
      <c r="AB921" s="2">
        <v>0.21831054512570192</v>
      </c>
      <c r="AC921" s="2">
        <v>0.24304218266604821</v>
      </c>
      <c r="AD921" s="2">
        <v>0.2565580639039311</v>
      </c>
      <c r="AE921" s="2">
        <v>0.25564320800587093</v>
      </c>
      <c r="AF921" s="2">
        <v>0.23912917345773452</v>
      </c>
      <c r="AG921" s="2">
        <v>0.20862731503959375</v>
      </c>
      <c r="AH921" s="2">
        <v>0.1712025059752228</v>
      </c>
      <c r="AI921" s="2">
        <v>6.2007948449878399E-2</v>
      </c>
      <c r="AJ921" s="2">
        <v>0</v>
      </c>
      <c r="AK921" s="2">
        <v>0</v>
      </c>
      <c r="AL921" s="2">
        <v>0</v>
      </c>
      <c r="AM921" s="2">
        <v>0</v>
      </c>
      <c r="AN921" s="2">
        <v>0</v>
      </c>
      <c r="AO921" s="2">
        <v>0</v>
      </c>
      <c r="AP921" s="2">
        <v>0</v>
      </c>
      <c r="AQ921" s="2">
        <v>0</v>
      </c>
      <c r="AR921" s="2">
        <v>2.3483043211718417</v>
      </c>
    </row>
    <row r="922" spans="1:44" x14ac:dyDescent="0.25">
      <c r="A922" t="s">
        <v>435</v>
      </c>
      <c r="B922" t="s">
        <v>448</v>
      </c>
      <c r="C922" t="s">
        <v>44</v>
      </c>
      <c r="D922" t="s">
        <v>449</v>
      </c>
      <c r="E922" t="s">
        <v>134</v>
      </c>
      <c r="F922" t="s">
        <v>449</v>
      </c>
      <c r="G922" t="s">
        <v>33</v>
      </c>
      <c r="H922" t="s">
        <v>455</v>
      </c>
      <c r="I922" t="s">
        <v>135</v>
      </c>
      <c r="J922" t="s">
        <v>39</v>
      </c>
      <c r="K922" t="s">
        <v>31</v>
      </c>
      <c r="L922">
        <v>0.11418742367164304</v>
      </c>
      <c r="M922">
        <v>1</v>
      </c>
      <c r="N922">
        <v>3.2114265275821117</v>
      </c>
      <c r="O922">
        <v>5.3471683850504297</v>
      </c>
      <c r="P922">
        <v>-1.5023279778075442</v>
      </c>
      <c r="Q922">
        <v>0.9018789424539676</v>
      </c>
      <c r="R922">
        <v>-1.862552393622352</v>
      </c>
      <c r="S922" s="2">
        <v>2.1288996836673287E-4</v>
      </c>
      <c r="T922" s="2">
        <v>4.2227267800246153E-4</v>
      </c>
      <c r="U922" s="2">
        <v>7.4398465328979883E-4</v>
      </c>
      <c r="V922" s="2">
        <v>1.2008641547932705E-3</v>
      </c>
      <c r="W922" s="2">
        <v>1.8086933128875098E-3</v>
      </c>
      <c r="X922" s="2">
        <v>2.5704667545684611E-3</v>
      </c>
      <c r="Y922" s="2">
        <v>3.4695873703488793E-3</v>
      </c>
      <c r="Z922" s="2">
        <v>4.46316646534093E-3</v>
      </c>
      <c r="AA922" s="2">
        <v>5.4776151112244957E-3</v>
      </c>
      <c r="AB922" s="2">
        <v>6.4096166342531196E-3</v>
      </c>
      <c r="AC922" s="2">
        <v>7.135739668207559E-3</v>
      </c>
      <c r="AD922" s="2">
        <v>7.5325671194836387E-3</v>
      </c>
      <c r="AE922" s="2">
        <v>7.5057068705718204E-3</v>
      </c>
      <c r="AF922" s="2">
        <v>7.0208533767682187E-3</v>
      </c>
      <c r="AG922" s="2">
        <v>6.1253161548718701E-3</v>
      </c>
      <c r="AH922" s="2">
        <v>5.0265204985529399E-3</v>
      </c>
      <c r="AI922" s="2">
        <v>1.8205587715032683E-3</v>
      </c>
      <c r="AJ922" s="2">
        <v>0</v>
      </c>
      <c r="AK922" s="2">
        <v>0</v>
      </c>
      <c r="AL922" s="2">
        <v>0</v>
      </c>
      <c r="AM922" s="2">
        <v>0</v>
      </c>
      <c r="AN922" s="2">
        <v>0</v>
      </c>
      <c r="AO922" s="2">
        <v>0</v>
      </c>
      <c r="AP922" s="2">
        <v>0</v>
      </c>
      <c r="AQ922" s="2">
        <v>0</v>
      </c>
      <c r="AR922" s="2">
        <v>6.8946419563034975E-2</v>
      </c>
    </row>
    <row r="923" spans="1:44" x14ac:dyDescent="0.25">
      <c r="A923" t="s">
        <v>435</v>
      </c>
      <c r="B923" t="s">
        <v>448</v>
      </c>
      <c r="C923" t="s">
        <v>44</v>
      </c>
      <c r="D923" t="s">
        <v>449</v>
      </c>
      <c r="E923" t="s">
        <v>134</v>
      </c>
      <c r="F923" t="s">
        <v>449</v>
      </c>
      <c r="G923" t="s">
        <v>33</v>
      </c>
      <c r="H923" t="s">
        <v>455</v>
      </c>
      <c r="I923" t="s">
        <v>135</v>
      </c>
      <c r="J923" t="s">
        <v>39</v>
      </c>
      <c r="K923" t="s">
        <v>33</v>
      </c>
      <c r="L923">
        <v>0.11418742367164304</v>
      </c>
      <c r="M923">
        <v>1</v>
      </c>
      <c r="N923">
        <v>3.2114265275821117</v>
      </c>
      <c r="O923">
        <v>5.3471683850504297</v>
      </c>
      <c r="P923">
        <v>-1.5023279778075442</v>
      </c>
      <c r="Q923">
        <v>0.9018789424539676</v>
      </c>
      <c r="R923">
        <v>-1.862552393622352</v>
      </c>
      <c r="S923" s="2">
        <v>5.4128930908281222E-3</v>
      </c>
      <c r="T923" s="2">
        <v>1.0736611399497905E-2</v>
      </c>
      <c r="U923" s="2">
        <v>1.891638868834462E-2</v>
      </c>
      <c r="V923" s="2">
        <v>3.0532905502180491E-2</v>
      </c>
      <c r="W923" s="2">
        <v>4.5987434785516638E-2</v>
      </c>
      <c r="X923" s="2">
        <v>6.5356117259779828E-2</v>
      </c>
      <c r="Y923" s="2">
        <v>8.8216958502403034E-2</v>
      </c>
      <c r="Z923" s="2">
        <v>0.11347948007509229</v>
      </c>
      <c r="AA923" s="2">
        <v>0.1392726262173469</v>
      </c>
      <c r="AB923" s="2">
        <v>0.16296949011068215</v>
      </c>
      <c r="AC923" s="2">
        <v>0.18143173322968364</v>
      </c>
      <c r="AD923" s="2">
        <v>0.19152137994127977</v>
      </c>
      <c r="AE923" s="2">
        <v>0.19083843721331509</v>
      </c>
      <c r="AF923" s="2">
        <v>0.17851065987928683</v>
      </c>
      <c r="AG923" s="2">
        <v>0.15574092921432783</v>
      </c>
      <c r="AH923" s="2">
        <v>0.12780319470315998</v>
      </c>
      <c r="AI923" s="2">
        <v>4.6289123303079854E-2</v>
      </c>
      <c r="AJ923" s="2">
        <v>0</v>
      </c>
      <c r="AK923" s="2">
        <v>0</v>
      </c>
      <c r="AL923" s="2">
        <v>0</v>
      </c>
      <c r="AM923" s="2">
        <v>0</v>
      </c>
      <c r="AN923" s="2">
        <v>0</v>
      </c>
      <c r="AO923" s="2">
        <v>0</v>
      </c>
      <c r="AP923" s="2">
        <v>0</v>
      </c>
      <c r="AQ923" s="2">
        <v>0</v>
      </c>
      <c r="AR923" s="2">
        <v>1.7530163631158051</v>
      </c>
    </row>
    <row r="924" spans="1:44" x14ac:dyDescent="0.25">
      <c r="A924" t="s">
        <v>435</v>
      </c>
      <c r="B924" t="s">
        <v>448</v>
      </c>
      <c r="C924" t="s">
        <v>44</v>
      </c>
      <c r="D924" t="s">
        <v>449</v>
      </c>
      <c r="E924" t="s">
        <v>134</v>
      </c>
      <c r="F924" t="s">
        <v>449</v>
      </c>
      <c r="G924" t="s">
        <v>33</v>
      </c>
      <c r="H924" t="s">
        <v>456</v>
      </c>
      <c r="I924" t="s">
        <v>135</v>
      </c>
      <c r="J924" t="s">
        <v>39</v>
      </c>
      <c r="K924" t="s">
        <v>31</v>
      </c>
      <c r="L924">
        <v>0.11418742367164304</v>
      </c>
      <c r="M924">
        <v>1</v>
      </c>
      <c r="N924">
        <v>3.2114265275821117</v>
      </c>
      <c r="O924">
        <v>5.3471683850504297</v>
      </c>
      <c r="P924">
        <v>-1.5023279778075442</v>
      </c>
      <c r="Q924">
        <v>0.9018789424539676</v>
      </c>
      <c r="R924">
        <v>-1.862552393622352</v>
      </c>
      <c r="S924" s="2">
        <v>3.8373920935376456E-2</v>
      </c>
      <c r="T924" s="2">
        <v>7.6115650179072944E-2</v>
      </c>
      <c r="U924" s="2">
        <v>0.13410499555946903</v>
      </c>
      <c r="V924" s="2">
        <v>0.21645860762580491</v>
      </c>
      <c r="W924" s="2">
        <v>0.3260212527512179</v>
      </c>
      <c r="X924" s="2">
        <v>0.46333271954319849</v>
      </c>
      <c r="Y924" s="2">
        <v>0.62540133971363743</v>
      </c>
      <c r="Z924" s="2">
        <v>0.80449632444578689</v>
      </c>
      <c r="AA924" s="2">
        <v>0.98735309514658443</v>
      </c>
      <c r="AB924" s="2">
        <v>1.1553485767126364</v>
      </c>
      <c r="AC924" s="2">
        <v>1.2862339730894321</v>
      </c>
      <c r="AD924" s="2">
        <v>1.357763060895125</v>
      </c>
      <c r="AE924" s="2">
        <v>1.352921437421956</v>
      </c>
      <c r="AF924" s="2">
        <v>1.2655254469992905</v>
      </c>
      <c r="AG924" s="2">
        <v>1.104102742062165</v>
      </c>
      <c r="AH924" s="2">
        <v>0.90604222299119364</v>
      </c>
      <c r="AI924" s="2">
        <v>0.32816002976488085</v>
      </c>
      <c r="AJ924" s="2">
        <v>0</v>
      </c>
      <c r="AK924" s="2">
        <v>0</v>
      </c>
      <c r="AL924" s="2">
        <v>0</v>
      </c>
      <c r="AM924" s="2">
        <v>0</v>
      </c>
      <c r="AN924" s="2">
        <v>0</v>
      </c>
      <c r="AO924" s="2">
        <v>0</v>
      </c>
      <c r="AP924" s="2">
        <v>0</v>
      </c>
      <c r="AQ924" s="2">
        <v>0</v>
      </c>
      <c r="AR924" s="2">
        <v>12.427755395836828</v>
      </c>
    </row>
    <row r="925" spans="1:44" x14ac:dyDescent="0.25">
      <c r="A925" t="s">
        <v>435</v>
      </c>
      <c r="B925" t="s">
        <v>448</v>
      </c>
      <c r="C925" t="s">
        <v>44</v>
      </c>
      <c r="D925" t="s">
        <v>449</v>
      </c>
      <c r="E925" t="s">
        <v>134</v>
      </c>
      <c r="F925" t="s">
        <v>449</v>
      </c>
      <c r="G925" t="s">
        <v>33</v>
      </c>
      <c r="H925" t="s">
        <v>456</v>
      </c>
      <c r="I925" t="s">
        <v>135</v>
      </c>
      <c r="J925" t="s">
        <v>39</v>
      </c>
      <c r="K925" t="s">
        <v>33</v>
      </c>
      <c r="L925">
        <v>0.11418742367164304</v>
      </c>
      <c r="M925">
        <v>1</v>
      </c>
      <c r="N925">
        <v>3.2114265275821117</v>
      </c>
      <c r="O925">
        <v>5.3471683850504297</v>
      </c>
      <c r="P925">
        <v>-1.5023279778075442</v>
      </c>
      <c r="Q925">
        <v>0.9018789424539676</v>
      </c>
      <c r="R925">
        <v>-1.862552393622352</v>
      </c>
      <c r="S925" s="2">
        <v>3.5430630699173883E-2</v>
      </c>
      <c r="T925" s="2">
        <v>7.027755898240963E-2</v>
      </c>
      <c r="U925" s="2">
        <v>0.12381910570419766</v>
      </c>
      <c r="V925" s="2">
        <v>0.19985617319019056</v>
      </c>
      <c r="W925" s="2">
        <v>0.30101533345427761</v>
      </c>
      <c r="X925" s="2">
        <v>0.4277949731700495</v>
      </c>
      <c r="Y925" s="2">
        <v>0.57743288582572094</v>
      </c>
      <c r="Z925" s="2">
        <v>0.74279123622220555</v>
      </c>
      <c r="AA925" s="2">
        <v>0.91162284257418535</v>
      </c>
      <c r="AB925" s="2">
        <v>1.0667330247346276</v>
      </c>
      <c r="AC925" s="2">
        <v>1.1875794753944593</v>
      </c>
      <c r="AD925" s="2">
        <v>1.2536222625925726</v>
      </c>
      <c r="AE925" s="2">
        <v>1.2491519929646344</v>
      </c>
      <c r="AF925" s="2">
        <v>1.1684592989220151</v>
      </c>
      <c r="AG925" s="2">
        <v>1.0194177596245166</v>
      </c>
      <c r="AH925" s="2">
        <v>0.83654853656263783</v>
      </c>
      <c r="AI925" s="2">
        <v>0.30299006568575026</v>
      </c>
      <c r="AJ925" s="2">
        <v>0</v>
      </c>
      <c r="AK925" s="2">
        <v>0</v>
      </c>
      <c r="AL925" s="2">
        <v>0</v>
      </c>
      <c r="AM925" s="2">
        <v>0</v>
      </c>
      <c r="AN925" s="2">
        <v>0</v>
      </c>
      <c r="AO925" s="2">
        <v>0</v>
      </c>
      <c r="AP925" s="2">
        <v>0</v>
      </c>
      <c r="AQ925" s="2">
        <v>0</v>
      </c>
      <c r="AR925" s="2">
        <v>11.474543156303623</v>
      </c>
    </row>
    <row r="926" spans="1:44" x14ac:dyDescent="0.25">
      <c r="A926" t="s">
        <v>435</v>
      </c>
      <c r="B926" t="s">
        <v>448</v>
      </c>
      <c r="C926" t="s">
        <v>44</v>
      </c>
      <c r="D926" t="s">
        <v>449</v>
      </c>
      <c r="E926" t="s">
        <v>134</v>
      </c>
      <c r="F926" t="s">
        <v>449</v>
      </c>
      <c r="G926" t="s">
        <v>33</v>
      </c>
      <c r="H926" t="s">
        <v>456</v>
      </c>
      <c r="I926" t="s">
        <v>135</v>
      </c>
      <c r="J926" t="s">
        <v>40</v>
      </c>
      <c r="K926" t="s">
        <v>33</v>
      </c>
      <c r="L926">
        <v>0.11418742367164304</v>
      </c>
      <c r="M926">
        <v>1</v>
      </c>
      <c r="N926">
        <v>3.2114265275821117</v>
      </c>
      <c r="O926">
        <v>4.1746294160814514</v>
      </c>
      <c r="P926">
        <v>-1.5023279778075442</v>
      </c>
      <c r="Q926">
        <v>1.3498045353129324</v>
      </c>
      <c r="R926">
        <v>-1.7195523936223516</v>
      </c>
      <c r="S926" s="2">
        <v>0.13079974740664618</v>
      </c>
      <c r="T926" s="2">
        <v>0.25944463256391281</v>
      </c>
      <c r="U926" s="2">
        <v>0.4571046981278688</v>
      </c>
      <c r="V926" s="2">
        <v>0.7378117875712944</v>
      </c>
      <c r="W926" s="2">
        <v>1.1112624529787138</v>
      </c>
      <c r="X926" s="2">
        <v>1.579296595298264</v>
      </c>
      <c r="Y926" s="2">
        <v>2.1317169387011821</v>
      </c>
      <c r="Z926" s="2">
        <v>2.7421726386598109</v>
      </c>
      <c r="AA926" s="2">
        <v>3.3654506054732041</v>
      </c>
      <c r="AB926" s="2">
        <v>3.9380730015870218</v>
      </c>
      <c r="AC926" s="2">
        <v>4.3842035081394863</v>
      </c>
      <c r="AD926" s="2">
        <v>4.6280145753736193</v>
      </c>
      <c r="AE926" s="2">
        <v>4.6115116194105035</v>
      </c>
      <c r="AF926" s="2">
        <v>4.3136172892770448</v>
      </c>
      <c r="AG926" s="2">
        <v>3.7633985856154957</v>
      </c>
      <c r="AH926" s="2">
        <v>3.0882977558269613</v>
      </c>
      <c r="AI926" s="2">
        <v>1.1185525991594447</v>
      </c>
      <c r="AJ926" s="2">
        <v>0</v>
      </c>
      <c r="AK926" s="2">
        <v>0</v>
      </c>
      <c r="AL926" s="2">
        <v>0</v>
      </c>
      <c r="AM926" s="2">
        <v>0</v>
      </c>
      <c r="AN926" s="2">
        <v>0</v>
      </c>
      <c r="AO926" s="2">
        <v>0</v>
      </c>
      <c r="AP926" s="2">
        <v>0</v>
      </c>
      <c r="AQ926" s="2">
        <v>0</v>
      </c>
      <c r="AR926" s="2">
        <v>42.360729031170479</v>
      </c>
    </row>
    <row r="927" spans="1:44" x14ac:dyDescent="0.25">
      <c r="A927" t="s">
        <v>435</v>
      </c>
      <c r="B927" t="s">
        <v>448</v>
      </c>
      <c r="C927" t="s">
        <v>44</v>
      </c>
      <c r="D927" t="s">
        <v>449</v>
      </c>
      <c r="E927" t="s">
        <v>134</v>
      </c>
      <c r="F927" t="s">
        <v>449</v>
      </c>
      <c r="G927" t="s">
        <v>33</v>
      </c>
      <c r="H927" t="s">
        <v>456</v>
      </c>
      <c r="I927" t="s">
        <v>256</v>
      </c>
      <c r="J927" t="s">
        <v>40</v>
      </c>
      <c r="K927" t="s">
        <v>33</v>
      </c>
      <c r="L927">
        <v>0.11418742367164304</v>
      </c>
      <c r="M927">
        <v>1</v>
      </c>
      <c r="N927">
        <v>1.5893275046597133</v>
      </c>
      <c r="O927">
        <v>1.4737622038640086</v>
      </c>
      <c r="P927">
        <v>-3.9391026458677245E-2</v>
      </c>
      <c r="Q927">
        <v>1.3498045353129324</v>
      </c>
      <c r="R927">
        <v>-0.25661544227348476</v>
      </c>
      <c r="S927" s="2">
        <v>0.19641937581383523</v>
      </c>
      <c r="T927" s="2">
        <v>0.38960283790169004</v>
      </c>
      <c r="U927" s="2">
        <v>0.68642502197435751</v>
      </c>
      <c r="V927" s="2">
        <v>1.1079572679318486</v>
      </c>
      <c r="W927" s="2">
        <v>1.6687606949334177</v>
      </c>
      <c r="X927" s="2">
        <v>2.371598245591398</v>
      </c>
      <c r="Y927" s="2">
        <v>3.2011568738716871</v>
      </c>
      <c r="Z927" s="2">
        <v>4.117866041322106</v>
      </c>
      <c r="AA927" s="2">
        <v>5.0538301515538855</v>
      </c>
      <c r="AB927" s="2">
        <v>5.9137258000678345</v>
      </c>
      <c r="AC927" s="2">
        <v>6.5836710971035712</v>
      </c>
      <c r="AD927" s="2">
        <v>6.9497973212907622</v>
      </c>
      <c r="AE927" s="2">
        <v>6.9250151609760264</v>
      </c>
      <c r="AF927" s="2">
        <v>6.4776731779568646</v>
      </c>
      <c r="AG927" s="2">
        <v>5.651420708230706</v>
      </c>
      <c r="AH927" s="2">
        <v>4.6376352367174158</v>
      </c>
      <c r="AI927" s="2">
        <v>1.6797081622703136</v>
      </c>
      <c r="AJ927" s="2">
        <v>0</v>
      </c>
      <c r="AK927" s="2">
        <v>0</v>
      </c>
      <c r="AL927" s="2">
        <v>0</v>
      </c>
      <c r="AM927" s="2">
        <v>0</v>
      </c>
      <c r="AN927" s="2">
        <v>0</v>
      </c>
      <c r="AO927" s="2">
        <v>0</v>
      </c>
      <c r="AP927" s="2">
        <v>0</v>
      </c>
      <c r="AQ927" s="2">
        <v>0</v>
      </c>
      <c r="AR927" s="2">
        <v>63.612263175507714</v>
      </c>
    </row>
    <row r="928" spans="1:44" x14ac:dyDescent="0.25">
      <c r="A928" t="s">
        <v>435</v>
      </c>
      <c r="B928" t="s">
        <v>448</v>
      </c>
      <c r="C928" t="s">
        <v>44</v>
      </c>
      <c r="D928" t="s">
        <v>449</v>
      </c>
      <c r="E928" t="s">
        <v>134</v>
      </c>
      <c r="F928" t="s">
        <v>449</v>
      </c>
      <c r="G928" t="s">
        <v>33</v>
      </c>
      <c r="H928" t="s">
        <v>457</v>
      </c>
      <c r="I928" t="s">
        <v>135</v>
      </c>
      <c r="J928" t="s">
        <v>39</v>
      </c>
      <c r="K928" t="s">
        <v>31</v>
      </c>
      <c r="L928">
        <v>0.11418742367164304</v>
      </c>
      <c r="M928">
        <v>1</v>
      </c>
      <c r="N928">
        <v>3.2114265275821117</v>
      </c>
      <c r="O928">
        <v>5.3471683850504297</v>
      </c>
      <c r="P928">
        <v>-1.5023279778075442</v>
      </c>
      <c r="Q928">
        <v>0.9018789424539676</v>
      </c>
      <c r="R928">
        <v>-1.862552393622352</v>
      </c>
      <c r="S928" s="2">
        <v>1.4186797360187603E-2</v>
      </c>
      <c r="T928" s="2">
        <v>2.8139874130869588E-2</v>
      </c>
      <c r="U928" s="2">
        <v>4.9578472843444431E-2</v>
      </c>
      <c r="V928" s="2">
        <v>8.0024514785109427E-2</v>
      </c>
      <c r="W928" s="2">
        <v>0.12052970702902867</v>
      </c>
      <c r="X928" s="2">
        <v>0.17129360884371422</v>
      </c>
      <c r="Y928" s="2">
        <v>0.23121020367579437</v>
      </c>
      <c r="Z928" s="2">
        <v>0.29742142720178488</v>
      </c>
      <c r="AA928" s="2">
        <v>0.3650233789606156</v>
      </c>
      <c r="AB928" s="2">
        <v>0.42713112808581793</v>
      </c>
      <c r="AC928" s="2">
        <v>0.47551931856894458</v>
      </c>
      <c r="AD928" s="2">
        <v>0.50196354551586897</v>
      </c>
      <c r="AE928" s="2">
        <v>0.50017360251724119</v>
      </c>
      <c r="AF928" s="2">
        <v>0.46786339871223376</v>
      </c>
      <c r="AG928" s="2">
        <v>0.40818559804826349</v>
      </c>
      <c r="AH928" s="2">
        <v>0.33496283684423228</v>
      </c>
      <c r="AI928" s="2">
        <v>0.12132041059415564</v>
      </c>
      <c r="AJ928" s="2">
        <v>0</v>
      </c>
      <c r="AK928" s="2">
        <v>0</v>
      </c>
      <c r="AL928" s="2">
        <v>0</v>
      </c>
      <c r="AM928" s="2">
        <v>0</v>
      </c>
      <c r="AN928" s="2">
        <v>0</v>
      </c>
      <c r="AO928" s="2">
        <v>0</v>
      </c>
      <c r="AP928" s="2">
        <v>0</v>
      </c>
      <c r="AQ928" s="2">
        <v>0</v>
      </c>
      <c r="AR928" s="2">
        <v>4.5945278237173071</v>
      </c>
    </row>
    <row r="929" spans="1:44" x14ac:dyDescent="0.25">
      <c r="A929" t="s">
        <v>435</v>
      </c>
      <c r="B929" t="s">
        <v>448</v>
      </c>
      <c r="C929" t="s">
        <v>44</v>
      </c>
      <c r="D929" t="s">
        <v>449</v>
      </c>
      <c r="E929" t="s">
        <v>134</v>
      </c>
      <c r="F929" t="s">
        <v>449</v>
      </c>
      <c r="G929" t="s">
        <v>33</v>
      </c>
      <c r="H929" t="s">
        <v>457</v>
      </c>
      <c r="I929" t="s">
        <v>135</v>
      </c>
      <c r="J929" t="s">
        <v>39</v>
      </c>
      <c r="K929" t="s">
        <v>33</v>
      </c>
      <c r="L929">
        <v>0.11418742367164304</v>
      </c>
      <c r="M929">
        <v>1</v>
      </c>
      <c r="N929">
        <v>3.2114265275821117</v>
      </c>
      <c r="O929">
        <v>5.3471683850504297</v>
      </c>
      <c r="P929">
        <v>-1.5023279778075442</v>
      </c>
      <c r="Q929">
        <v>0.9018789424539676</v>
      </c>
      <c r="R929">
        <v>-1.862552393622352</v>
      </c>
      <c r="S929" s="2">
        <v>4.1509798811771685E-3</v>
      </c>
      <c r="T929" s="2">
        <v>8.2335743868377134E-3</v>
      </c>
      <c r="U929" s="2">
        <v>1.4506391970478174E-2</v>
      </c>
      <c r="V929" s="2">
        <v>2.3414738537546945E-2</v>
      </c>
      <c r="W929" s="2">
        <v>3.5266337867467808E-2</v>
      </c>
      <c r="X929" s="2">
        <v>5.0119579918711611E-2</v>
      </c>
      <c r="Y929" s="2">
        <v>6.7650850252816086E-2</v>
      </c>
      <c r="Z929" s="2">
        <v>8.7023894766428328E-2</v>
      </c>
      <c r="AA929" s="2">
        <v>0.10680385881008934</v>
      </c>
      <c r="AB929" s="2">
        <v>0.12497624899361305</v>
      </c>
      <c r="AC929" s="2">
        <v>0.13913437080803304</v>
      </c>
      <c r="AD929" s="2">
        <v>0.14687180803526884</v>
      </c>
      <c r="AE929" s="2">
        <v>0.14634808043226455</v>
      </c>
      <c r="AF929" s="2">
        <v>0.13689429022534322</v>
      </c>
      <c r="AG929" s="2">
        <v>0.1194328897683082</v>
      </c>
      <c r="AH929" s="2">
        <v>9.8008307398848457E-2</v>
      </c>
      <c r="AI929" s="2">
        <v>3.5497693437543686E-2</v>
      </c>
      <c r="AJ929" s="2">
        <v>0</v>
      </c>
      <c r="AK929" s="2">
        <v>0</v>
      </c>
      <c r="AL929" s="2">
        <v>0</v>
      </c>
      <c r="AM929" s="2">
        <v>0</v>
      </c>
      <c r="AN929" s="2">
        <v>0</v>
      </c>
      <c r="AO929" s="2">
        <v>0</v>
      </c>
      <c r="AP929" s="2">
        <v>0</v>
      </c>
      <c r="AQ929" s="2">
        <v>0</v>
      </c>
      <c r="AR929" s="2">
        <v>1.3443338954907764</v>
      </c>
    </row>
    <row r="930" spans="1:44" x14ac:dyDescent="0.25">
      <c r="A930" t="s">
        <v>435</v>
      </c>
      <c r="B930" t="s">
        <v>448</v>
      </c>
      <c r="C930" t="s">
        <v>44</v>
      </c>
      <c r="D930" t="s">
        <v>449</v>
      </c>
      <c r="E930" t="s">
        <v>134</v>
      </c>
      <c r="F930" t="s">
        <v>449</v>
      </c>
      <c r="G930" t="s">
        <v>33</v>
      </c>
      <c r="H930" t="s">
        <v>457</v>
      </c>
      <c r="I930" t="s">
        <v>256</v>
      </c>
      <c r="J930" t="s">
        <v>39</v>
      </c>
      <c r="K930" t="s">
        <v>33</v>
      </c>
      <c r="L930">
        <v>0.11418742367164304</v>
      </c>
      <c r="M930">
        <v>1</v>
      </c>
      <c r="N930">
        <v>1.5893275046597133</v>
      </c>
      <c r="O930">
        <v>2.6463011728329868</v>
      </c>
      <c r="P930">
        <v>-3.9391026458677245E-2</v>
      </c>
      <c r="Q930">
        <v>1.3498045353129324</v>
      </c>
      <c r="R930">
        <v>-0.39961544227348478</v>
      </c>
      <c r="S930" s="2">
        <v>1.1415473199966506E-2</v>
      </c>
      <c r="T930" s="2">
        <v>2.2642882028669844E-2</v>
      </c>
      <c r="U930" s="2">
        <v>3.989355128366498E-2</v>
      </c>
      <c r="V930" s="2">
        <v>6.4392102084529945E-2</v>
      </c>
      <c r="W930" s="2">
        <v>9.6984795472647573E-2</v>
      </c>
      <c r="X930" s="2">
        <v>0.13783220775172247</v>
      </c>
      <c r="Y930" s="2">
        <v>0.186044377501768</v>
      </c>
      <c r="Z930" s="2">
        <v>0.23932154982672332</v>
      </c>
      <c r="AA930" s="2">
        <v>0.29371777816321926</v>
      </c>
      <c r="AB930" s="2">
        <v>0.34369307051768849</v>
      </c>
      <c r="AC930" s="2">
        <v>0.38262885550360326</v>
      </c>
      <c r="AD930" s="2">
        <v>0.403907327053045</v>
      </c>
      <c r="AE930" s="2">
        <v>0.40246704100316844</v>
      </c>
      <c r="AF930" s="2">
        <v>0.37646848359396889</v>
      </c>
      <c r="AG930" s="2">
        <v>0.32844846069406564</v>
      </c>
      <c r="AH930" s="2">
        <v>0.26952942160932664</v>
      </c>
      <c r="AI930" s="2">
        <v>9.7621038814090899E-2</v>
      </c>
      <c r="AJ930" s="2">
        <v>0</v>
      </c>
      <c r="AK930" s="2">
        <v>0</v>
      </c>
      <c r="AL930" s="2">
        <v>0</v>
      </c>
      <c r="AM930" s="2">
        <v>0</v>
      </c>
      <c r="AN930" s="2">
        <v>0</v>
      </c>
      <c r="AO930" s="2">
        <v>0</v>
      </c>
      <c r="AP930" s="2">
        <v>0</v>
      </c>
      <c r="AQ930" s="2">
        <v>0</v>
      </c>
      <c r="AR930" s="2">
        <v>3.6970084161018697</v>
      </c>
    </row>
    <row r="931" spans="1:44" x14ac:dyDescent="0.25">
      <c r="A931" t="s">
        <v>435</v>
      </c>
      <c r="B931" t="s">
        <v>448</v>
      </c>
      <c r="C931" t="s">
        <v>44</v>
      </c>
      <c r="D931" t="s">
        <v>449</v>
      </c>
      <c r="E931" t="s">
        <v>134</v>
      </c>
      <c r="F931" t="s">
        <v>449</v>
      </c>
      <c r="G931" t="s">
        <v>33</v>
      </c>
      <c r="H931" t="s">
        <v>457</v>
      </c>
      <c r="I931" t="s">
        <v>256</v>
      </c>
      <c r="J931" t="s">
        <v>40</v>
      </c>
      <c r="K931" t="s">
        <v>33</v>
      </c>
      <c r="L931">
        <v>0.11418742367164304</v>
      </c>
      <c r="M931">
        <v>1</v>
      </c>
      <c r="N931">
        <v>1.5893275046597133</v>
      </c>
      <c r="O931">
        <v>1.4737622038640086</v>
      </c>
      <c r="P931">
        <v>-3.9391026458677245E-2</v>
      </c>
      <c r="Q931">
        <v>1.3498045353129324</v>
      </c>
      <c r="R931">
        <v>-0.25661544227348476</v>
      </c>
      <c r="S931" s="2">
        <v>0.10445595892257306</v>
      </c>
      <c r="T931" s="2">
        <v>0.20719105670383814</v>
      </c>
      <c r="U931" s="2">
        <v>0.36504129799667862</v>
      </c>
      <c r="V931" s="2">
        <v>0.58921243582784866</v>
      </c>
      <c r="W931" s="2">
        <v>0.88744808336414405</v>
      </c>
      <c r="X931" s="2">
        <v>1.2612175753838857</v>
      </c>
      <c r="Y931" s="2">
        <v>1.7023774234919478</v>
      </c>
      <c r="Z931" s="2">
        <v>2.1898839881696794</v>
      </c>
      <c r="AA931" s="2">
        <v>2.6876303446392984</v>
      </c>
      <c r="AB931" s="2">
        <v>3.144923440937518</v>
      </c>
      <c r="AC931" s="2">
        <v>3.5012008098965879</v>
      </c>
      <c r="AD931" s="2">
        <v>3.6959069873076258</v>
      </c>
      <c r="AE931" s="2">
        <v>3.6827278174364104</v>
      </c>
      <c r="AF931" s="2">
        <v>3.4448310437144545</v>
      </c>
      <c r="AG931" s="2">
        <v>3.0054294129955417</v>
      </c>
      <c r="AH931" s="2">
        <v>2.4662976031629871</v>
      </c>
      <c r="AI931" s="2">
        <v>0.89326995401062259</v>
      </c>
      <c r="AJ931" s="2">
        <v>0</v>
      </c>
      <c r="AK931" s="2">
        <v>0</v>
      </c>
      <c r="AL931" s="2">
        <v>0</v>
      </c>
      <c r="AM931" s="2">
        <v>0</v>
      </c>
      <c r="AN931" s="2">
        <v>0</v>
      </c>
      <c r="AO931" s="2">
        <v>0</v>
      </c>
      <c r="AP931" s="2">
        <v>0</v>
      </c>
      <c r="AQ931" s="2">
        <v>0</v>
      </c>
      <c r="AR931" s="2">
        <v>33.829045233961644</v>
      </c>
    </row>
    <row r="932" spans="1:44" x14ac:dyDescent="0.25">
      <c r="A932" t="s">
        <v>435</v>
      </c>
      <c r="B932" t="s">
        <v>462</v>
      </c>
      <c r="C932" t="s">
        <v>46</v>
      </c>
      <c r="D932" t="s">
        <v>463</v>
      </c>
      <c r="E932" t="s">
        <v>134</v>
      </c>
      <c r="F932" t="s">
        <v>463</v>
      </c>
      <c r="G932" t="s">
        <v>33</v>
      </c>
      <c r="H932" t="s">
        <v>450</v>
      </c>
      <c r="I932" t="s">
        <v>135</v>
      </c>
      <c r="J932" t="s">
        <v>39</v>
      </c>
      <c r="K932" t="s">
        <v>31</v>
      </c>
      <c r="L932">
        <v>2.5000000000000026E-2</v>
      </c>
      <c r="M932">
        <v>1</v>
      </c>
      <c r="N932">
        <v>4.8021796953168767</v>
      </c>
      <c r="O932">
        <v>2.8779545327574696</v>
      </c>
      <c r="P932">
        <v>-0.74213157254111406</v>
      </c>
      <c r="Q932">
        <v>0.32461448738579723</v>
      </c>
      <c r="R932">
        <v>-0.52509153328775138</v>
      </c>
      <c r="S932" s="2">
        <v>1.2330685013106813E-3</v>
      </c>
      <c r="T932" s="2">
        <v>1.9902934248455144E-3</v>
      </c>
      <c r="U932" s="2">
        <v>2.9976999428563784E-3</v>
      </c>
      <c r="V932" s="2">
        <v>4.2602513031811786E-3</v>
      </c>
      <c r="W932" s="2">
        <v>5.7504397167398155E-3</v>
      </c>
      <c r="X932" s="2">
        <v>7.3971821329684518E-3</v>
      </c>
      <c r="Y932" s="2">
        <v>9.0785134156838414E-3</v>
      </c>
      <c r="Z932" s="2">
        <v>1.0623198129459152E-2</v>
      </c>
      <c r="AA932" s="2">
        <v>1.182666306289052E-2</v>
      </c>
      <c r="AB932" s="2">
        <v>1.2484358659782533E-2</v>
      </c>
      <c r="AC932" s="2">
        <v>1.243984090430993E-2</v>
      </c>
      <c r="AD932" s="2">
        <v>1.1636252324470263E-2</v>
      </c>
      <c r="AE932" s="2">
        <v>1.0152002971760122E-2</v>
      </c>
      <c r="AF932" s="2">
        <v>8.3308762762123994E-3</v>
      </c>
      <c r="AG932" s="2">
        <v>1.4928238241536055E-3</v>
      </c>
      <c r="AH932" s="2">
        <v>0</v>
      </c>
      <c r="AI932" s="2">
        <v>0</v>
      </c>
      <c r="AJ932" s="2">
        <v>0</v>
      </c>
      <c r="AK932" s="2">
        <v>0</v>
      </c>
      <c r="AL932" s="2">
        <v>0</v>
      </c>
      <c r="AM932" s="2">
        <v>0</v>
      </c>
      <c r="AN932" s="2">
        <v>0</v>
      </c>
      <c r="AO932" s="2">
        <v>0</v>
      </c>
      <c r="AP932" s="2">
        <v>0</v>
      </c>
      <c r="AQ932" s="2">
        <v>0</v>
      </c>
      <c r="AR932" s="2">
        <v>0.1116934645906244</v>
      </c>
    </row>
    <row r="933" spans="1:44" x14ac:dyDescent="0.25">
      <c r="A933" t="s">
        <v>435</v>
      </c>
      <c r="B933" t="s">
        <v>462</v>
      </c>
      <c r="C933" t="s">
        <v>46</v>
      </c>
      <c r="D933" t="s">
        <v>463</v>
      </c>
      <c r="E933" t="s">
        <v>134</v>
      </c>
      <c r="F933" t="s">
        <v>463</v>
      </c>
      <c r="G933" t="s">
        <v>33</v>
      </c>
      <c r="H933" t="s">
        <v>450</v>
      </c>
      <c r="I933" t="s">
        <v>135</v>
      </c>
      <c r="J933" t="s">
        <v>39</v>
      </c>
      <c r="K933" t="s">
        <v>33</v>
      </c>
      <c r="L933">
        <v>2.5000000000000026E-2</v>
      </c>
      <c r="M933">
        <v>1</v>
      </c>
      <c r="N933">
        <v>4.8021796953168767</v>
      </c>
      <c r="O933">
        <v>2.8779545327574696</v>
      </c>
      <c r="P933">
        <v>-0.74213157254111406</v>
      </c>
      <c r="Q933">
        <v>0.32461448738579723</v>
      </c>
      <c r="R933">
        <v>-0.52509153328775138</v>
      </c>
      <c r="S933" s="2">
        <v>7.5966912117418097E-4</v>
      </c>
      <c r="T933" s="2">
        <v>1.2253256880039611E-3</v>
      </c>
      <c r="U933" s="2">
        <v>1.8442498202109264E-3</v>
      </c>
      <c r="V933" s="2">
        <v>2.6191716922992262E-3</v>
      </c>
      <c r="W933" s="2">
        <v>3.532864375723148E-3</v>
      </c>
      <c r="X933" s="2">
        <v>4.5413960999841673E-3</v>
      </c>
      <c r="Y933" s="2">
        <v>5.5697406166507878E-3</v>
      </c>
      <c r="Z933" s="2">
        <v>6.5128739422573231E-3</v>
      </c>
      <c r="AA933" s="2">
        <v>7.2456403832363431E-3</v>
      </c>
      <c r="AB933" s="2">
        <v>7.6432479452135807E-3</v>
      </c>
      <c r="AC933" s="2">
        <v>7.6106841304392735E-3</v>
      </c>
      <c r="AD933" s="2">
        <v>7.1140868320248097E-3</v>
      </c>
      <c r="AE933" s="2">
        <v>6.2023308359882698E-3</v>
      </c>
      <c r="AF933" s="2">
        <v>5.0861719297348963E-3</v>
      </c>
      <c r="AG933" s="2">
        <v>1.6265562184335873E-4</v>
      </c>
      <c r="AH933" s="2">
        <v>0</v>
      </c>
      <c r="AI933" s="2">
        <v>0</v>
      </c>
      <c r="AJ933" s="2">
        <v>0</v>
      </c>
      <c r="AK933" s="2">
        <v>0</v>
      </c>
      <c r="AL933" s="2">
        <v>0</v>
      </c>
      <c r="AM933" s="2">
        <v>0</v>
      </c>
      <c r="AN933" s="2">
        <v>0</v>
      </c>
      <c r="AO933" s="2">
        <v>0</v>
      </c>
      <c r="AP933" s="2">
        <v>0</v>
      </c>
      <c r="AQ933" s="2">
        <v>0</v>
      </c>
      <c r="AR933" s="2">
        <v>6.7670109034784265E-2</v>
      </c>
    </row>
    <row r="934" spans="1:44" x14ac:dyDescent="0.25">
      <c r="A934" t="s">
        <v>435</v>
      </c>
      <c r="B934" t="s">
        <v>462</v>
      </c>
      <c r="C934" t="s">
        <v>46</v>
      </c>
      <c r="D934" t="s">
        <v>463</v>
      </c>
      <c r="E934" t="s">
        <v>134</v>
      </c>
      <c r="F934" t="s">
        <v>463</v>
      </c>
      <c r="G934" t="s">
        <v>33</v>
      </c>
      <c r="H934" t="s">
        <v>450</v>
      </c>
      <c r="I934" t="s">
        <v>256</v>
      </c>
      <c r="J934" t="s">
        <v>40</v>
      </c>
      <c r="K934" t="s">
        <v>33</v>
      </c>
      <c r="L934">
        <v>2.5000000000000026E-2</v>
      </c>
      <c r="M934">
        <v>1</v>
      </c>
      <c r="N934">
        <v>4.4156409057984005</v>
      </c>
      <c r="O934">
        <v>1.4737622038640088</v>
      </c>
      <c r="P934">
        <v>-0.61665548152684757</v>
      </c>
      <c r="Q934">
        <v>1.3498045353129324</v>
      </c>
      <c r="R934">
        <v>-0.25661544227348493</v>
      </c>
      <c r="S934" s="2">
        <v>1.9844080078359382E-2</v>
      </c>
      <c r="T934" s="2">
        <v>3.2030290336737204E-2</v>
      </c>
      <c r="U934" s="2">
        <v>4.8242735625558884E-2</v>
      </c>
      <c r="V934" s="2">
        <v>6.8561290734780928E-2</v>
      </c>
      <c r="W934" s="2">
        <v>9.25432659284285E-2</v>
      </c>
      <c r="X934" s="2">
        <v>0.1190447038788239</v>
      </c>
      <c r="Y934" s="2">
        <v>0.14610278911657862</v>
      </c>
      <c r="Z934" s="2">
        <v>0.17096178691223446</v>
      </c>
      <c r="AA934" s="2">
        <v>0.19032944936174531</v>
      </c>
      <c r="AB934" s="2">
        <v>0.20091390925025646</v>
      </c>
      <c r="AC934" s="2">
        <v>0.20019747386684661</v>
      </c>
      <c r="AD934" s="2">
        <v>0.1872651216808624</v>
      </c>
      <c r="AE934" s="2">
        <v>0.16337872528023611</v>
      </c>
      <c r="AF934" s="2">
        <v>0.13407087746734189</v>
      </c>
      <c r="AG934" s="2">
        <v>2.4024387516102155E-2</v>
      </c>
      <c r="AH934" s="2">
        <v>0</v>
      </c>
      <c r="AI934" s="2">
        <v>0</v>
      </c>
      <c r="AJ934" s="2">
        <v>0</v>
      </c>
      <c r="AK934" s="2">
        <v>0</v>
      </c>
      <c r="AL934" s="2">
        <v>0</v>
      </c>
      <c r="AM934" s="2">
        <v>0</v>
      </c>
      <c r="AN934" s="2">
        <v>0</v>
      </c>
      <c r="AO934" s="2">
        <v>0</v>
      </c>
      <c r="AP934" s="2">
        <v>0</v>
      </c>
      <c r="AQ934" s="2">
        <v>0</v>
      </c>
      <c r="AR934" s="2">
        <v>1.7975108870348928</v>
      </c>
    </row>
    <row r="935" spans="1:44" x14ac:dyDescent="0.25">
      <c r="A935" t="s">
        <v>435</v>
      </c>
      <c r="B935" t="s">
        <v>462</v>
      </c>
      <c r="C935" t="s">
        <v>46</v>
      </c>
      <c r="D935" t="s">
        <v>463</v>
      </c>
      <c r="E935" t="s">
        <v>134</v>
      </c>
      <c r="F935" t="s">
        <v>463</v>
      </c>
      <c r="G935" t="s">
        <v>33</v>
      </c>
      <c r="H935" t="s">
        <v>451</v>
      </c>
      <c r="I935" t="s">
        <v>135</v>
      </c>
      <c r="J935" t="s">
        <v>39</v>
      </c>
      <c r="K935" t="s">
        <v>31</v>
      </c>
      <c r="L935">
        <v>2.5000000000000026E-2</v>
      </c>
      <c r="M935">
        <v>1</v>
      </c>
      <c r="N935">
        <v>4.8021796953168767</v>
      </c>
      <c r="O935">
        <v>2.8779545327574696</v>
      </c>
      <c r="P935">
        <v>-0.74213157254111406</v>
      </c>
      <c r="Q935">
        <v>0.32461448738579723</v>
      </c>
      <c r="R935">
        <v>-0.52509153328775138</v>
      </c>
      <c r="S935" s="2">
        <v>3.2254952690743309E-4</v>
      </c>
      <c r="T935" s="2">
        <v>5.2062655230307139E-4</v>
      </c>
      <c r="U935" s="2">
        <v>7.8414678288432258E-4</v>
      </c>
      <c r="V935" s="2">
        <v>1.1144085189810863E-3</v>
      </c>
      <c r="W935" s="2">
        <v>1.5042161957527845E-3</v>
      </c>
      <c r="X935" s="2">
        <v>1.9349757088928591E-3</v>
      </c>
      <c r="Y935" s="2">
        <v>2.3747830750189655E-3</v>
      </c>
      <c r="Z935" s="2">
        <v>2.7788460472867441E-3</v>
      </c>
      <c r="AA935" s="2">
        <v>3.0936517896403633E-3</v>
      </c>
      <c r="AB935" s="2">
        <v>3.2656936538199518E-3</v>
      </c>
      <c r="AC935" s="2">
        <v>3.2540485741253478E-3</v>
      </c>
      <c r="AD935" s="2">
        <v>3.0438436131033199E-3</v>
      </c>
      <c r="AE935" s="2">
        <v>2.6555894925735677E-3</v>
      </c>
      <c r="AF935" s="2">
        <v>2.1792140491468329E-3</v>
      </c>
      <c r="AG935" s="2">
        <v>3.9049705488793221E-4</v>
      </c>
      <c r="AH935" s="2">
        <v>0</v>
      </c>
      <c r="AI935" s="2">
        <v>0</v>
      </c>
      <c r="AJ935" s="2">
        <v>0</v>
      </c>
      <c r="AK935" s="2">
        <v>0</v>
      </c>
      <c r="AL935" s="2">
        <v>0</v>
      </c>
      <c r="AM935" s="2">
        <v>0</v>
      </c>
      <c r="AN935" s="2">
        <v>0</v>
      </c>
      <c r="AO935" s="2">
        <v>0</v>
      </c>
      <c r="AP935" s="2">
        <v>0</v>
      </c>
      <c r="AQ935" s="2">
        <v>0</v>
      </c>
      <c r="AR935" s="2">
        <v>2.9217090635324586E-2</v>
      </c>
    </row>
    <row r="936" spans="1:44" x14ac:dyDescent="0.25">
      <c r="A936" t="s">
        <v>435</v>
      </c>
      <c r="B936" t="s">
        <v>462</v>
      </c>
      <c r="C936" t="s">
        <v>46</v>
      </c>
      <c r="D936" t="s">
        <v>463</v>
      </c>
      <c r="E936" t="s">
        <v>134</v>
      </c>
      <c r="F936" t="s">
        <v>463</v>
      </c>
      <c r="G936" t="s">
        <v>33</v>
      </c>
      <c r="H936" t="s">
        <v>451</v>
      </c>
      <c r="I936" t="s">
        <v>135</v>
      </c>
      <c r="J936" t="s">
        <v>39</v>
      </c>
      <c r="K936" t="s">
        <v>33</v>
      </c>
      <c r="L936">
        <v>2.5000000000000026E-2</v>
      </c>
      <c r="M936">
        <v>1</v>
      </c>
      <c r="N936">
        <v>4.8021796953168767</v>
      </c>
      <c r="O936">
        <v>2.8779545327574696</v>
      </c>
      <c r="P936">
        <v>-0.74213157254111406</v>
      </c>
      <c r="Q936">
        <v>0.32461448738579723</v>
      </c>
      <c r="R936">
        <v>-0.52509153328775138</v>
      </c>
      <c r="S936" s="2">
        <v>1.4530251834609883E-3</v>
      </c>
      <c r="T936" s="2">
        <v>2.3453250696967597E-3</v>
      </c>
      <c r="U936" s="2">
        <v>3.5324343333723858E-3</v>
      </c>
      <c r="V936" s="2">
        <v>5.0202015742149466E-3</v>
      </c>
      <c r="W936" s="2">
        <v>6.776212120831706E-3</v>
      </c>
      <c r="X936" s="2">
        <v>8.7167030172500652E-3</v>
      </c>
      <c r="Y936" s="2">
        <v>1.0697952796098068E-2</v>
      </c>
      <c r="Z936" s="2">
        <v>1.2518180777947426E-2</v>
      </c>
      <c r="AA936" s="2">
        <v>1.3936321662926037E-2</v>
      </c>
      <c r="AB936" s="2">
        <v>1.4711338026023226E-2</v>
      </c>
      <c r="AC936" s="2">
        <v>1.4658879123907004E-2</v>
      </c>
      <c r="AD936" s="2">
        <v>1.3711945160053775E-2</v>
      </c>
      <c r="AE936" s="2">
        <v>1.1962933093221223E-2</v>
      </c>
      <c r="AF936" s="2">
        <v>9.8169509777984131E-3</v>
      </c>
      <c r="AG936" s="2">
        <v>1.7591160658633842E-3</v>
      </c>
      <c r="AH936" s="2">
        <v>0</v>
      </c>
      <c r="AI936" s="2">
        <v>0</v>
      </c>
      <c r="AJ936" s="2">
        <v>0</v>
      </c>
      <c r="AK936" s="2">
        <v>0</v>
      </c>
      <c r="AL936" s="2">
        <v>0</v>
      </c>
      <c r="AM936" s="2">
        <v>0</v>
      </c>
      <c r="AN936" s="2">
        <v>0</v>
      </c>
      <c r="AO936" s="2">
        <v>0</v>
      </c>
      <c r="AP936" s="2">
        <v>0</v>
      </c>
      <c r="AQ936" s="2">
        <v>0</v>
      </c>
      <c r="AR936" s="2">
        <v>0.13161751898266541</v>
      </c>
    </row>
    <row r="937" spans="1:44" x14ac:dyDescent="0.25">
      <c r="A937" t="s">
        <v>435</v>
      </c>
      <c r="B937" t="s">
        <v>462</v>
      </c>
      <c r="C937" t="s">
        <v>46</v>
      </c>
      <c r="D937" t="s">
        <v>463</v>
      </c>
      <c r="E937" t="s">
        <v>134</v>
      </c>
      <c r="F937" t="s">
        <v>463</v>
      </c>
      <c r="G937" t="s">
        <v>33</v>
      </c>
      <c r="H937" t="s">
        <v>452</v>
      </c>
      <c r="I937" t="s">
        <v>135</v>
      </c>
      <c r="J937" t="s">
        <v>39</v>
      </c>
      <c r="K937" t="s">
        <v>31</v>
      </c>
      <c r="L937">
        <v>2.5000000000000026E-2</v>
      </c>
      <c r="M937">
        <v>1</v>
      </c>
      <c r="N937">
        <v>4.8021796953168767</v>
      </c>
      <c r="O937">
        <v>2.8779545327574696</v>
      </c>
      <c r="P937">
        <v>-0.74213157254111406</v>
      </c>
      <c r="Q937">
        <v>0.32461448738579723</v>
      </c>
      <c r="R937">
        <v>-0.52509153328775138</v>
      </c>
      <c r="S937" s="2">
        <v>7.305526244305722E-3</v>
      </c>
      <c r="T937" s="2">
        <v>1.179183543624923E-2</v>
      </c>
      <c r="U937" s="2">
        <v>1.7760388479482549E-2</v>
      </c>
      <c r="V937" s="2">
        <v>2.5240590988777498E-2</v>
      </c>
      <c r="W937" s="2">
        <v>3.4069468340393476E-2</v>
      </c>
      <c r="X937" s="2">
        <v>4.3825876785327539E-2</v>
      </c>
      <c r="Y937" s="2">
        <v>5.3787212914012485E-2</v>
      </c>
      <c r="Z937" s="2">
        <v>6.2938962961693018E-2</v>
      </c>
      <c r="AA937" s="2">
        <v>7.0069097780593323E-2</v>
      </c>
      <c r="AB937" s="2">
        <v>7.3965728372285239E-2</v>
      </c>
      <c r="AC937" s="2">
        <v>7.3701975279414092E-2</v>
      </c>
      <c r="AD937" s="2">
        <v>6.8940976637892629E-2</v>
      </c>
      <c r="AE937" s="2">
        <v>6.0147286272927501E-2</v>
      </c>
      <c r="AF937" s="2">
        <v>4.9357708196455734E-2</v>
      </c>
      <c r="AG937" s="2">
        <v>8.8444912945929849E-3</v>
      </c>
      <c r="AH937" s="2">
        <v>0</v>
      </c>
      <c r="AI937" s="2">
        <v>0</v>
      </c>
      <c r="AJ937" s="2">
        <v>0</v>
      </c>
      <c r="AK937" s="2">
        <v>0</v>
      </c>
      <c r="AL937" s="2">
        <v>0</v>
      </c>
      <c r="AM937" s="2">
        <v>0</v>
      </c>
      <c r="AN937" s="2">
        <v>0</v>
      </c>
      <c r="AO937" s="2">
        <v>0</v>
      </c>
      <c r="AP937" s="2">
        <v>0</v>
      </c>
      <c r="AQ937" s="2">
        <v>0</v>
      </c>
      <c r="AR937" s="2">
        <v>0.661747125984403</v>
      </c>
    </row>
    <row r="938" spans="1:44" x14ac:dyDescent="0.25">
      <c r="A938" t="s">
        <v>435</v>
      </c>
      <c r="B938" t="s">
        <v>462</v>
      </c>
      <c r="C938" t="s">
        <v>46</v>
      </c>
      <c r="D938" t="s">
        <v>463</v>
      </c>
      <c r="E938" t="s">
        <v>134</v>
      </c>
      <c r="F938" t="s">
        <v>463</v>
      </c>
      <c r="G938" t="s">
        <v>33</v>
      </c>
      <c r="H938" t="s">
        <v>452</v>
      </c>
      <c r="I938" t="s">
        <v>135</v>
      </c>
      <c r="J938" t="s">
        <v>39</v>
      </c>
      <c r="K938" t="s">
        <v>33</v>
      </c>
      <c r="L938">
        <v>2.5000000000000026E-2</v>
      </c>
      <c r="M938">
        <v>1</v>
      </c>
      <c r="N938">
        <v>4.8021796953168767</v>
      </c>
      <c r="O938">
        <v>2.8779545327574696</v>
      </c>
      <c r="P938">
        <v>-0.74213157254111406</v>
      </c>
      <c r="Q938">
        <v>0.32461448738579723</v>
      </c>
      <c r="R938">
        <v>-0.52509153328775138</v>
      </c>
      <c r="S938" s="2">
        <v>1.4446435791751124E-2</v>
      </c>
      <c r="T938" s="2">
        <v>2.3317963388256816E-2</v>
      </c>
      <c r="U938" s="2">
        <v>3.5120579028155213E-2</v>
      </c>
      <c r="V938" s="2">
        <v>4.991243133914431E-2</v>
      </c>
      <c r="W938" s="2">
        <v>6.7371243409360515E-2</v>
      </c>
      <c r="X938" s="2">
        <v>8.6664217446336719E-2</v>
      </c>
      <c r="Y938" s="2">
        <v>0.10636242917957971</v>
      </c>
      <c r="Z938" s="2">
        <v>0.12445971129515941</v>
      </c>
      <c r="AA938" s="2">
        <v>0.13855931636167454</v>
      </c>
      <c r="AB938" s="2">
        <v>0.14626477408840952</v>
      </c>
      <c r="AC938" s="2">
        <v>0.14574321109710434</v>
      </c>
      <c r="AD938" s="2">
        <v>0.13632849422671264</v>
      </c>
      <c r="AE938" s="2">
        <v>0.11893926325529178</v>
      </c>
      <c r="AF938" s="2">
        <v>9.7603230546720141E-2</v>
      </c>
      <c r="AG938" s="2">
        <v>1.7489688124470271E-2</v>
      </c>
      <c r="AH938" s="2">
        <v>0</v>
      </c>
      <c r="AI938" s="2">
        <v>0</v>
      </c>
      <c r="AJ938" s="2">
        <v>0</v>
      </c>
      <c r="AK938" s="2">
        <v>0</v>
      </c>
      <c r="AL938" s="2">
        <v>0</v>
      </c>
      <c r="AM938" s="2">
        <v>0</v>
      </c>
      <c r="AN938" s="2">
        <v>0</v>
      </c>
      <c r="AO938" s="2">
        <v>0</v>
      </c>
      <c r="AP938" s="2">
        <v>0</v>
      </c>
      <c r="AQ938" s="2">
        <v>0</v>
      </c>
      <c r="AR938" s="2">
        <v>1.308582988578127</v>
      </c>
    </row>
    <row r="939" spans="1:44" x14ac:dyDescent="0.25">
      <c r="A939" t="s">
        <v>435</v>
      </c>
      <c r="B939" t="s">
        <v>462</v>
      </c>
      <c r="C939" t="s">
        <v>46</v>
      </c>
      <c r="D939" t="s">
        <v>463</v>
      </c>
      <c r="E939" t="s">
        <v>134</v>
      </c>
      <c r="F939" t="s">
        <v>463</v>
      </c>
      <c r="G939" t="s">
        <v>33</v>
      </c>
      <c r="H939" t="s">
        <v>452</v>
      </c>
      <c r="I939" t="s">
        <v>135</v>
      </c>
      <c r="J939" t="s">
        <v>40</v>
      </c>
      <c r="K939" t="s">
        <v>33</v>
      </c>
      <c r="L939">
        <v>2.5000000000000026E-2</v>
      </c>
      <c r="M939">
        <v>1</v>
      </c>
      <c r="N939">
        <v>4.8021796953168767</v>
      </c>
      <c r="O939">
        <v>1.7054155637884914</v>
      </c>
      <c r="P939">
        <v>-0.74213157254111406</v>
      </c>
      <c r="Q939">
        <v>1.3498045353129324</v>
      </c>
      <c r="R939">
        <v>-0.38209153328775142</v>
      </c>
      <c r="S939" s="2">
        <v>1.0578058521749016E-3</v>
      </c>
      <c r="T939" s="2">
        <v>1.7074023301292286E-3</v>
      </c>
      <c r="U939" s="2">
        <v>2.5716207487639742E-3</v>
      </c>
      <c r="V939" s="2">
        <v>3.6547189028432966E-3</v>
      </c>
      <c r="W939" s="2">
        <v>4.9330988330985991E-3</v>
      </c>
      <c r="X939" s="2">
        <v>6.3457809047432132E-3</v>
      </c>
      <c r="Y939" s="2">
        <v>7.7881355414974596E-3</v>
      </c>
      <c r="Z939" s="2">
        <v>9.113265920109687E-3</v>
      </c>
      <c r="AA939" s="2">
        <v>1.0145675918514334E-2</v>
      </c>
      <c r="AB939" s="2">
        <v>1.070988970761245E-2</v>
      </c>
      <c r="AC939" s="2">
        <v>1.0671699499838466E-2</v>
      </c>
      <c r="AD939" s="2">
        <v>9.98232928107789E-3</v>
      </c>
      <c r="AE939" s="2">
        <v>8.7090442610528677E-3</v>
      </c>
      <c r="AF939" s="2">
        <v>7.146764084359789E-3</v>
      </c>
      <c r="AG939" s="2">
        <v>1.2806407557871605E-3</v>
      </c>
      <c r="AH939" s="2">
        <v>0</v>
      </c>
      <c r="AI939" s="2">
        <v>0</v>
      </c>
      <c r="AJ939" s="2">
        <v>0</v>
      </c>
      <c r="AK939" s="2">
        <v>0</v>
      </c>
      <c r="AL939" s="2">
        <v>0</v>
      </c>
      <c r="AM939" s="2">
        <v>0</v>
      </c>
      <c r="AN939" s="2">
        <v>0</v>
      </c>
      <c r="AO939" s="2">
        <v>0</v>
      </c>
      <c r="AP939" s="2">
        <v>0</v>
      </c>
      <c r="AQ939" s="2">
        <v>0</v>
      </c>
      <c r="AR939" s="2">
        <v>9.5817872541603302E-2</v>
      </c>
    </row>
    <row r="940" spans="1:44" x14ac:dyDescent="0.25">
      <c r="A940" t="s">
        <v>435</v>
      </c>
      <c r="B940" t="s">
        <v>462</v>
      </c>
      <c r="C940" t="s">
        <v>46</v>
      </c>
      <c r="D940" t="s">
        <v>463</v>
      </c>
      <c r="E940" t="s">
        <v>134</v>
      </c>
      <c r="F940" t="s">
        <v>463</v>
      </c>
      <c r="G940" t="s">
        <v>33</v>
      </c>
      <c r="H940" t="s">
        <v>452</v>
      </c>
      <c r="I940" t="s">
        <v>256</v>
      </c>
      <c r="J940" t="s">
        <v>40</v>
      </c>
      <c r="K940" t="s">
        <v>33</v>
      </c>
      <c r="L940">
        <v>2.5000000000000026E-2</v>
      </c>
      <c r="M940">
        <v>1</v>
      </c>
      <c r="N940">
        <v>4.4156409057984005</v>
      </c>
      <c r="O940">
        <v>1.4737622038640088</v>
      </c>
      <c r="P940">
        <v>-0.61665548152684757</v>
      </c>
      <c r="Q940">
        <v>1.3498045353129324</v>
      </c>
      <c r="R940">
        <v>-0.25661544227348493</v>
      </c>
      <c r="S940" s="2">
        <v>6.3786882564354063E-3</v>
      </c>
      <c r="T940" s="2">
        <v>1.0295828076403004E-2</v>
      </c>
      <c r="U940" s="2">
        <v>1.5507162336472081E-2</v>
      </c>
      <c r="V940" s="2">
        <v>2.2038366017930178E-2</v>
      </c>
      <c r="W940" s="2">
        <v>2.9747140772405575E-2</v>
      </c>
      <c r="X940" s="2">
        <v>3.826577254396285E-2</v>
      </c>
      <c r="Y940" s="2">
        <v>4.6963333220303528E-2</v>
      </c>
      <c r="Z940" s="2">
        <v>5.4954018436234854E-2</v>
      </c>
      <c r="AA940" s="2">
        <v>6.1179566838250467E-2</v>
      </c>
      <c r="AB940" s="2">
        <v>6.4581839441714944E-2</v>
      </c>
      <c r="AC940" s="2">
        <v>6.4351548193715247E-2</v>
      </c>
      <c r="AD940" s="2">
        <v>6.0194568243468839E-2</v>
      </c>
      <c r="AE940" s="2">
        <v>5.2516516370689229E-2</v>
      </c>
      <c r="AF940" s="2">
        <v>4.3095791200900443E-2</v>
      </c>
      <c r="AG940" s="2">
        <v>7.7224077866997502E-3</v>
      </c>
      <c r="AH940" s="2">
        <v>0</v>
      </c>
      <c r="AI940" s="2">
        <v>0</v>
      </c>
      <c r="AJ940" s="2">
        <v>0</v>
      </c>
      <c r="AK940" s="2">
        <v>0</v>
      </c>
      <c r="AL940" s="2">
        <v>0</v>
      </c>
      <c r="AM940" s="2">
        <v>0</v>
      </c>
      <c r="AN940" s="2">
        <v>0</v>
      </c>
      <c r="AO940" s="2">
        <v>0</v>
      </c>
      <c r="AP940" s="2">
        <v>0</v>
      </c>
      <c r="AQ940" s="2">
        <v>0</v>
      </c>
      <c r="AR940" s="2">
        <v>0.57779254773558641</v>
      </c>
    </row>
    <row r="941" spans="1:44" x14ac:dyDescent="0.25">
      <c r="A941" t="s">
        <v>435</v>
      </c>
      <c r="B941" t="s">
        <v>462</v>
      </c>
      <c r="C941" t="s">
        <v>46</v>
      </c>
      <c r="D941" t="s">
        <v>463</v>
      </c>
      <c r="E941" t="s">
        <v>134</v>
      </c>
      <c r="F941" t="s">
        <v>463</v>
      </c>
      <c r="G941" t="s">
        <v>33</v>
      </c>
      <c r="H941" t="s">
        <v>453</v>
      </c>
      <c r="I941" t="s">
        <v>135</v>
      </c>
      <c r="J941" t="s">
        <v>39</v>
      </c>
      <c r="K941" t="s">
        <v>31</v>
      </c>
      <c r="L941">
        <v>2.5000000000000026E-2</v>
      </c>
      <c r="M941">
        <v>1</v>
      </c>
      <c r="N941">
        <v>4.8021796953168767</v>
      </c>
      <c r="O941">
        <v>2.8779545327574696</v>
      </c>
      <c r="P941">
        <v>-0.74213157254111406</v>
      </c>
      <c r="Q941">
        <v>0.32461448738579723</v>
      </c>
      <c r="R941">
        <v>-0.52509153328775138</v>
      </c>
      <c r="S941" s="2">
        <v>2.2342482061249429E-3</v>
      </c>
      <c r="T941" s="2">
        <v>3.6062956027152209E-3</v>
      </c>
      <c r="U941" s="2">
        <v>5.4316574567499993E-3</v>
      </c>
      <c r="V941" s="2">
        <v>7.7193268838320174E-3</v>
      </c>
      <c r="W941" s="2">
        <v>1.0419461374529447E-2</v>
      </c>
      <c r="X941" s="2">
        <v>1.3403262587112427E-2</v>
      </c>
      <c r="Y941" s="2">
        <v>1.6449736808386954E-2</v>
      </c>
      <c r="Z941" s="2">
        <v>1.924861541660107E-2</v>
      </c>
      <c r="AA941" s="2">
        <v>2.1429223684345505E-2</v>
      </c>
      <c r="AB941" s="2">
        <v>2.2620929746069007E-2</v>
      </c>
      <c r="AC941" s="2">
        <v>2.2540266169633758E-2</v>
      </c>
      <c r="AD941" s="2">
        <v>2.1084210531961686E-2</v>
      </c>
      <c r="AE941" s="2">
        <v>1.8394837273128274E-2</v>
      </c>
      <c r="AF941" s="2">
        <v>1.5095061917315687E-2</v>
      </c>
      <c r="AG941" s="2">
        <v>2.7049097009862601E-3</v>
      </c>
      <c r="AH941" s="2">
        <v>0</v>
      </c>
      <c r="AI941" s="2">
        <v>0</v>
      </c>
      <c r="AJ941" s="2">
        <v>0</v>
      </c>
      <c r="AK941" s="2">
        <v>0</v>
      </c>
      <c r="AL941" s="2">
        <v>0</v>
      </c>
      <c r="AM941" s="2">
        <v>0</v>
      </c>
      <c r="AN941" s="2">
        <v>0</v>
      </c>
      <c r="AO941" s="2">
        <v>0</v>
      </c>
      <c r="AP941" s="2">
        <v>0</v>
      </c>
      <c r="AQ941" s="2">
        <v>0</v>
      </c>
      <c r="AR941" s="2">
        <v>0.20238204335949225</v>
      </c>
    </row>
    <row r="942" spans="1:44" x14ac:dyDescent="0.25">
      <c r="A942" t="s">
        <v>435</v>
      </c>
      <c r="B942" t="s">
        <v>462</v>
      </c>
      <c r="C942" t="s">
        <v>46</v>
      </c>
      <c r="D942" t="s">
        <v>463</v>
      </c>
      <c r="E942" t="s">
        <v>134</v>
      </c>
      <c r="F942" t="s">
        <v>463</v>
      </c>
      <c r="G942" t="s">
        <v>33</v>
      </c>
      <c r="H942" t="s">
        <v>453</v>
      </c>
      <c r="I942" t="s">
        <v>135</v>
      </c>
      <c r="J942" t="s">
        <v>39</v>
      </c>
      <c r="K942" t="s">
        <v>33</v>
      </c>
      <c r="L942">
        <v>2.5000000000000026E-2</v>
      </c>
      <c r="M942">
        <v>1</v>
      </c>
      <c r="N942">
        <v>4.8021796953168767</v>
      </c>
      <c r="O942">
        <v>2.8779545327574696</v>
      </c>
      <c r="P942">
        <v>-0.74213157254111406</v>
      </c>
      <c r="Q942">
        <v>0.32461448738579723</v>
      </c>
      <c r="R942">
        <v>-0.52509153328775138</v>
      </c>
      <c r="S942" s="2">
        <v>2.0329065245196947E-3</v>
      </c>
      <c r="T942" s="2">
        <v>3.2813103933612303E-3</v>
      </c>
      <c r="U942" s="2">
        <v>4.9421777994551217E-3</v>
      </c>
      <c r="V942" s="2">
        <v>7.023691434113132E-3</v>
      </c>
      <c r="W942" s="2">
        <v>9.4805003992816626E-3</v>
      </c>
      <c r="X942" s="2">
        <v>1.219541315440933E-2</v>
      </c>
      <c r="Y942" s="2">
        <v>1.496735107260126E-2</v>
      </c>
      <c r="Z942" s="2">
        <v>1.7514005722867498E-2</v>
      </c>
      <c r="AA942" s="2">
        <v>1.9498106129781444E-2</v>
      </c>
      <c r="AB942" s="2">
        <v>2.0582420317232064E-2</v>
      </c>
      <c r="AC942" s="2">
        <v>2.0509025825797861E-2</v>
      </c>
      <c r="AD942" s="2">
        <v>1.9184184208929759E-2</v>
      </c>
      <c r="AE942" s="2">
        <v>1.6737166715634522E-2</v>
      </c>
      <c r="AF942" s="2">
        <v>1.3734754167247508E-2</v>
      </c>
      <c r="AG942" s="2">
        <v>2.4611538522430632E-3</v>
      </c>
      <c r="AH942" s="2">
        <v>0</v>
      </c>
      <c r="AI942" s="2">
        <v>0</v>
      </c>
      <c r="AJ942" s="2">
        <v>0</v>
      </c>
      <c r="AK942" s="2">
        <v>0</v>
      </c>
      <c r="AL942" s="2">
        <v>0</v>
      </c>
      <c r="AM942" s="2">
        <v>0</v>
      </c>
      <c r="AN942" s="2">
        <v>0</v>
      </c>
      <c r="AO942" s="2">
        <v>0</v>
      </c>
      <c r="AP942" s="2">
        <v>0</v>
      </c>
      <c r="AQ942" s="2">
        <v>0</v>
      </c>
      <c r="AR942" s="2">
        <v>0.18414416771747513</v>
      </c>
    </row>
    <row r="943" spans="1:44" x14ac:dyDescent="0.25">
      <c r="A943" t="s">
        <v>435</v>
      </c>
      <c r="B943" t="s">
        <v>462</v>
      </c>
      <c r="C943" t="s">
        <v>46</v>
      </c>
      <c r="D943" t="s">
        <v>463</v>
      </c>
      <c r="E943" t="s">
        <v>134</v>
      </c>
      <c r="F943" t="s">
        <v>463</v>
      </c>
      <c r="G943" t="s">
        <v>33</v>
      </c>
      <c r="H943" t="s">
        <v>453</v>
      </c>
      <c r="I943" t="s">
        <v>135</v>
      </c>
      <c r="J943" t="s">
        <v>40</v>
      </c>
      <c r="K943" t="s">
        <v>33</v>
      </c>
      <c r="L943">
        <v>2.5000000000000026E-2</v>
      </c>
      <c r="M943">
        <v>1</v>
      </c>
      <c r="N943">
        <v>4.8021796953168767</v>
      </c>
      <c r="O943">
        <v>1.7054155637884914</v>
      </c>
      <c r="P943">
        <v>-0.74213157254111406</v>
      </c>
      <c r="Q943">
        <v>1.3498045353129324</v>
      </c>
      <c r="R943">
        <v>-0.38209153328775142</v>
      </c>
      <c r="S943" s="2">
        <v>4.1399361368688714E-2</v>
      </c>
      <c r="T943" s="2">
        <v>6.6822627159254633E-2</v>
      </c>
      <c r="U943" s="2">
        <v>0.10064555462838803</v>
      </c>
      <c r="V943" s="2">
        <v>0.1430347811450472</v>
      </c>
      <c r="W943" s="2">
        <v>0.19306675307099533</v>
      </c>
      <c r="X943" s="2">
        <v>0.24835490964796725</v>
      </c>
      <c r="Y943" s="2">
        <v>0.30480436179083514</v>
      </c>
      <c r="Z943" s="2">
        <v>0.35666600662102871</v>
      </c>
      <c r="AA943" s="2">
        <v>0.39707145013102962</v>
      </c>
      <c r="AB943" s="2">
        <v>0.4191530925194174</v>
      </c>
      <c r="AC943" s="2">
        <v>0.41765844186199308</v>
      </c>
      <c r="AD943" s="2">
        <v>0.39067855066116225</v>
      </c>
      <c r="AE943" s="2">
        <v>0.34084597830303703</v>
      </c>
      <c r="AF943" s="2">
        <v>0.27970299874674553</v>
      </c>
      <c r="AG943" s="2">
        <v>5.0120453884136502E-2</v>
      </c>
      <c r="AH943" s="2">
        <v>0</v>
      </c>
      <c r="AI943" s="2">
        <v>0</v>
      </c>
      <c r="AJ943" s="2">
        <v>0</v>
      </c>
      <c r="AK943" s="2">
        <v>0</v>
      </c>
      <c r="AL943" s="2">
        <v>0</v>
      </c>
      <c r="AM943" s="2">
        <v>0</v>
      </c>
      <c r="AN943" s="2">
        <v>0</v>
      </c>
      <c r="AO943" s="2">
        <v>0</v>
      </c>
      <c r="AP943" s="2">
        <v>0</v>
      </c>
      <c r="AQ943" s="2">
        <v>0</v>
      </c>
      <c r="AR943" s="2">
        <v>3.7500253215397263</v>
      </c>
    </row>
    <row r="944" spans="1:44" x14ac:dyDescent="0.25">
      <c r="A944" t="s">
        <v>435</v>
      </c>
      <c r="B944" t="s">
        <v>462</v>
      </c>
      <c r="C944" t="s">
        <v>46</v>
      </c>
      <c r="D944" t="s">
        <v>463</v>
      </c>
      <c r="E944" t="s">
        <v>134</v>
      </c>
      <c r="F944" t="s">
        <v>463</v>
      </c>
      <c r="G944" t="s">
        <v>33</v>
      </c>
      <c r="H944" t="s">
        <v>453</v>
      </c>
      <c r="I944" t="s">
        <v>256</v>
      </c>
      <c r="J944" t="s">
        <v>40</v>
      </c>
      <c r="K944" t="s">
        <v>33</v>
      </c>
      <c r="L944">
        <v>2.5000000000000026E-2</v>
      </c>
      <c r="M944">
        <v>1</v>
      </c>
      <c r="N944">
        <v>4.4156409057984005</v>
      </c>
      <c r="O944">
        <v>1.4737622038640088</v>
      </c>
      <c r="P944">
        <v>-0.61665548152684757</v>
      </c>
      <c r="Q944">
        <v>1.3498045353129324</v>
      </c>
      <c r="R944">
        <v>-0.25661544227348493</v>
      </c>
      <c r="S944" s="2">
        <v>2.1312277016666516E-2</v>
      </c>
      <c r="T944" s="2">
        <v>3.4400104105870813E-2</v>
      </c>
      <c r="U944" s="2">
        <v>5.181205385352998E-2</v>
      </c>
      <c r="V944" s="2">
        <v>7.363391071745097E-2</v>
      </c>
      <c r="W944" s="2">
        <v>9.9390231832644629E-2</v>
      </c>
      <c r="X944" s="2">
        <v>0.12785242230499441</v>
      </c>
      <c r="Y944" s="2">
        <v>0.15691244453079059</v>
      </c>
      <c r="Z944" s="2">
        <v>0.1836106762092389</v>
      </c>
      <c r="AA944" s="2">
        <v>0.20441128705435457</v>
      </c>
      <c r="AB944" s="2">
        <v>0.21577885563526078</v>
      </c>
      <c r="AC944" s="2">
        <v>0.21500941360038286</v>
      </c>
      <c r="AD944" s="2">
        <v>0.20112024004451928</v>
      </c>
      <c r="AE944" s="2">
        <v>0.17546656927672116</v>
      </c>
      <c r="AF944" s="2">
        <v>0.14399033208738068</v>
      </c>
      <c r="AG944" s="2">
        <v>2.5801871383157583E-2</v>
      </c>
      <c r="AH944" s="2">
        <v>0</v>
      </c>
      <c r="AI944" s="2">
        <v>0</v>
      </c>
      <c r="AJ944" s="2">
        <v>0</v>
      </c>
      <c r="AK944" s="2">
        <v>0</v>
      </c>
      <c r="AL944" s="2">
        <v>0</v>
      </c>
      <c r="AM944" s="2">
        <v>0</v>
      </c>
      <c r="AN944" s="2">
        <v>0</v>
      </c>
      <c r="AO944" s="2">
        <v>0</v>
      </c>
      <c r="AP944" s="2">
        <v>0</v>
      </c>
      <c r="AQ944" s="2">
        <v>0</v>
      </c>
      <c r="AR944" s="2">
        <v>1.930502689652964</v>
      </c>
    </row>
    <row r="945" spans="1:44" x14ac:dyDescent="0.25">
      <c r="A945" t="s">
        <v>435</v>
      </c>
      <c r="B945" t="s">
        <v>462</v>
      </c>
      <c r="C945" t="s">
        <v>46</v>
      </c>
      <c r="D945" t="s">
        <v>463</v>
      </c>
      <c r="E945" t="s">
        <v>134</v>
      </c>
      <c r="F945" t="s">
        <v>463</v>
      </c>
      <c r="G945" t="s">
        <v>33</v>
      </c>
      <c r="H945" t="s">
        <v>454</v>
      </c>
      <c r="I945" t="s">
        <v>135</v>
      </c>
      <c r="J945" t="s">
        <v>39</v>
      </c>
      <c r="K945" t="s">
        <v>31</v>
      </c>
      <c r="L945">
        <v>2.5000000000000026E-2</v>
      </c>
      <c r="M945">
        <v>1</v>
      </c>
      <c r="N945">
        <v>4.8021796953168767</v>
      </c>
      <c r="O945">
        <v>2.8779545327574696</v>
      </c>
      <c r="P945">
        <v>-0.74213157254111406</v>
      </c>
      <c r="Q945">
        <v>0.32461448738579723</v>
      </c>
      <c r="R945">
        <v>-0.52509153328775138</v>
      </c>
      <c r="S945" s="2">
        <v>1.2302688475912408E-4</v>
      </c>
      <c r="T945" s="2">
        <v>1.985774509324013E-4</v>
      </c>
      <c r="U945" s="2">
        <v>2.9908937339670396E-4</v>
      </c>
      <c r="V945" s="2">
        <v>4.250578500417971E-4</v>
      </c>
      <c r="W945" s="2">
        <v>5.7373834754002016E-4</v>
      </c>
      <c r="X945" s="2">
        <v>7.3803870007840442E-4</v>
      </c>
      <c r="Y945" s="2">
        <v>9.0579008594274832E-4</v>
      </c>
      <c r="Z945" s="2">
        <v>1.0599078402028044E-3</v>
      </c>
      <c r="AA945" s="2">
        <v>1.1799810895961112E-3</v>
      </c>
      <c r="AB945" s="2">
        <v>1.245601321010189E-3</v>
      </c>
      <c r="AC945" s="2">
        <v>1.2411596531170901E-3</v>
      </c>
      <c r="AD945" s="2">
        <v>1.1609832480750366E-3</v>
      </c>
      <c r="AE945" s="2">
        <v>1.0128953082115348E-3</v>
      </c>
      <c r="AF945" s="2">
        <v>8.3119612129145331E-4</v>
      </c>
      <c r="AG945" s="2">
        <v>1.4894344019379641E-4</v>
      </c>
      <c r="AH945" s="2">
        <v>0</v>
      </c>
      <c r="AI945" s="2">
        <v>0</v>
      </c>
      <c r="AJ945" s="2">
        <v>0</v>
      </c>
      <c r="AK945" s="2">
        <v>0</v>
      </c>
      <c r="AL945" s="2">
        <v>0</v>
      </c>
      <c r="AM945" s="2">
        <v>0</v>
      </c>
      <c r="AN945" s="2">
        <v>0</v>
      </c>
      <c r="AO945" s="2">
        <v>0</v>
      </c>
      <c r="AP945" s="2">
        <v>0</v>
      </c>
      <c r="AQ945" s="2">
        <v>0</v>
      </c>
      <c r="AR945" s="2">
        <v>1.1143986714389216E-2</v>
      </c>
    </row>
    <row r="946" spans="1:44" x14ac:dyDescent="0.25">
      <c r="A946" t="s">
        <v>435</v>
      </c>
      <c r="B946" t="s">
        <v>462</v>
      </c>
      <c r="C946" t="s">
        <v>46</v>
      </c>
      <c r="D946" t="s">
        <v>463</v>
      </c>
      <c r="E946" t="s">
        <v>134</v>
      </c>
      <c r="F946" t="s">
        <v>463</v>
      </c>
      <c r="G946" t="s">
        <v>33</v>
      </c>
      <c r="H946" t="s">
        <v>454</v>
      </c>
      <c r="I946" t="s">
        <v>135</v>
      </c>
      <c r="J946" t="s">
        <v>39</v>
      </c>
      <c r="K946" t="s">
        <v>33</v>
      </c>
      <c r="L946">
        <v>2.5000000000000026E-2</v>
      </c>
      <c r="M946">
        <v>1</v>
      </c>
      <c r="N946">
        <v>4.8021796953168767</v>
      </c>
      <c r="O946">
        <v>2.8779545327574696</v>
      </c>
      <c r="P946">
        <v>-0.74213157254111406</v>
      </c>
      <c r="Q946">
        <v>0.32461448738579723</v>
      </c>
      <c r="R946">
        <v>-0.52509153328775138</v>
      </c>
      <c r="S946" s="2">
        <v>9.8729126501445846E-4</v>
      </c>
      <c r="T946" s="2">
        <v>1.5935848747064779E-3</v>
      </c>
      <c r="U946" s="2">
        <v>2.400193473088117E-3</v>
      </c>
      <c r="V946" s="2">
        <v>3.4110910252969618E-3</v>
      </c>
      <c r="W946" s="2">
        <v>4.6042526398936698E-3</v>
      </c>
      <c r="X946" s="2">
        <v>5.9227636565510498E-3</v>
      </c>
      <c r="Y946" s="2">
        <v>7.2689692300905665E-3</v>
      </c>
      <c r="Z946" s="2">
        <v>8.5057648529539148E-3</v>
      </c>
      <c r="AA946" s="2">
        <v>9.4693531817978058E-3</v>
      </c>
      <c r="AB946" s="2">
        <v>9.995955813492434E-3</v>
      </c>
      <c r="AC946" s="2">
        <v>9.9603114100635607E-3</v>
      </c>
      <c r="AD946" s="2">
        <v>9.3168954240921698E-3</v>
      </c>
      <c r="AE946" s="2">
        <v>8.1284890869937343E-3</v>
      </c>
      <c r="AF946" s="2">
        <v>6.670352351615479E-3</v>
      </c>
      <c r="AG946" s="2">
        <v>1.1952717308289955E-3</v>
      </c>
      <c r="AH946" s="2">
        <v>0</v>
      </c>
      <c r="AI946" s="2">
        <v>0</v>
      </c>
      <c r="AJ946" s="2">
        <v>0</v>
      </c>
      <c r="AK946" s="2">
        <v>0</v>
      </c>
      <c r="AL946" s="2">
        <v>0</v>
      </c>
      <c r="AM946" s="2">
        <v>0</v>
      </c>
      <c r="AN946" s="2">
        <v>0</v>
      </c>
      <c r="AO946" s="2">
        <v>0</v>
      </c>
      <c r="AP946" s="2">
        <v>0</v>
      </c>
      <c r="AQ946" s="2">
        <v>0</v>
      </c>
      <c r="AR946" s="2">
        <v>8.943054001647939E-2</v>
      </c>
    </row>
    <row r="947" spans="1:44" x14ac:dyDescent="0.25">
      <c r="A947" t="s">
        <v>435</v>
      </c>
      <c r="B947" t="s">
        <v>462</v>
      </c>
      <c r="C947" t="s">
        <v>46</v>
      </c>
      <c r="D947" t="s">
        <v>463</v>
      </c>
      <c r="E947" t="s">
        <v>134</v>
      </c>
      <c r="F947" t="s">
        <v>463</v>
      </c>
      <c r="G947" t="s">
        <v>33</v>
      </c>
      <c r="H947" t="s">
        <v>455</v>
      </c>
      <c r="I947" t="s">
        <v>135</v>
      </c>
      <c r="J947" t="s">
        <v>39</v>
      </c>
      <c r="K947" t="s">
        <v>31</v>
      </c>
      <c r="L947">
        <v>2.5000000000000026E-2</v>
      </c>
      <c r="M947">
        <v>1</v>
      </c>
      <c r="N947">
        <v>4.8021796953168767</v>
      </c>
      <c r="O947">
        <v>2.8779545327574696</v>
      </c>
      <c r="P947">
        <v>-0.74213157254111406</v>
      </c>
      <c r="Q947">
        <v>0.32461448738579723</v>
      </c>
      <c r="R947">
        <v>-0.52509153328775138</v>
      </c>
      <c r="S947" s="2">
        <v>2.8986957599532174E-5</v>
      </c>
      <c r="T947" s="2">
        <v>4.6787790828571755E-5</v>
      </c>
      <c r="U947" s="2">
        <v>7.0469889586291667E-5</v>
      </c>
      <c r="V947" s="2">
        <v>1.0014992983552812E-4</v>
      </c>
      <c r="W947" s="2">
        <v>1.3518125884378956E-4</v>
      </c>
      <c r="X947" s="2">
        <v>1.7389285722281889E-4</v>
      </c>
      <c r="Y947" s="2">
        <v>2.1341757020594486E-4</v>
      </c>
      <c r="Z947" s="2">
        <v>2.4972999750033805E-4</v>
      </c>
      <c r="AA947" s="2">
        <v>2.7802103482780062E-4</v>
      </c>
      <c r="AB947" s="2">
        <v>2.9348213399645447E-4</v>
      </c>
      <c r="AC947" s="2">
        <v>2.9243561120478547E-4</v>
      </c>
      <c r="AD947" s="2">
        <v>2.7354486177235662E-4</v>
      </c>
      <c r="AE947" s="2">
        <v>2.3865314812594518E-4</v>
      </c>
      <c r="AF947" s="2">
        <v>1.9584212647458813E-4</v>
      </c>
      <c r="AG947" s="2">
        <v>3.5093282204773328E-5</v>
      </c>
      <c r="AH947" s="2">
        <v>0</v>
      </c>
      <c r="AI947" s="2">
        <v>0</v>
      </c>
      <c r="AJ947" s="2">
        <v>0</v>
      </c>
      <c r="AK947" s="2">
        <v>0</v>
      </c>
      <c r="AL947" s="2">
        <v>0</v>
      </c>
      <c r="AM947" s="2">
        <v>0</v>
      </c>
      <c r="AN947" s="2">
        <v>0</v>
      </c>
      <c r="AO947" s="2">
        <v>0</v>
      </c>
      <c r="AP947" s="2">
        <v>0</v>
      </c>
      <c r="AQ947" s="2">
        <v>0</v>
      </c>
      <c r="AR947" s="2">
        <v>2.6256884502295188E-3</v>
      </c>
    </row>
    <row r="948" spans="1:44" x14ac:dyDescent="0.25">
      <c r="A948" t="s">
        <v>435</v>
      </c>
      <c r="B948" t="s">
        <v>462</v>
      </c>
      <c r="C948" t="s">
        <v>46</v>
      </c>
      <c r="D948" t="s">
        <v>463</v>
      </c>
      <c r="E948" t="s">
        <v>134</v>
      </c>
      <c r="F948" t="s">
        <v>463</v>
      </c>
      <c r="G948" t="s">
        <v>33</v>
      </c>
      <c r="H948" t="s">
        <v>455</v>
      </c>
      <c r="I948" t="s">
        <v>135</v>
      </c>
      <c r="J948" t="s">
        <v>39</v>
      </c>
      <c r="K948" t="s">
        <v>33</v>
      </c>
      <c r="L948">
        <v>2.5000000000000026E-2</v>
      </c>
      <c r="M948">
        <v>1</v>
      </c>
      <c r="N948">
        <v>4.8021796953168767</v>
      </c>
      <c r="O948">
        <v>2.8779545327574696</v>
      </c>
      <c r="P948">
        <v>-0.74213157254111406</v>
      </c>
      <c r="Q948">
        <v>0.32461448738579723</v>
      </c>
      <c r="R948">
        <v>-0.52509153328775138</v>
      </c>
      <c r="S948" s="2">
        <v>7.3701595109614297E-4</v>
      </c>
      <c r="T948" s="2">
        <v>1.1896159863898151E-3</v>
      </c>
      <c r="U948" s="2">
        <v>1.7917517738363544E-3</v>
      </c>
      <c r="V948" s="2">
        <v>2.546389890573925E-3</v>
      </c>
      <c r="W948" s="2">
        <v>3.4370886877323559E-3</v>
      </c>
      <c r="X948" s="2">
        <v>4.4213611971809742E-3</v>
      </c>
      <c r="Y948" s="2">
        <v>5.4263077781057283E-3</v>
      </c>
      <c r="Z948" s="2">
        <v>6.3495794959840673E-3</v>
      </c>
      <c r="AA948" s="2">
        <v>7.068901132682253E-3</v>
      </c>
      <c r="AB948" s="2">
        <v>7.4620116089938833E-3</v>
      </c>
      <c r="AC948" s="2">
        <v>7.4354029527388347E-3</v>
      </c>
      <c r="AD948" s="2">
        <v>6.9550909499336419E-3</v>
      </c>
      <c r="AE948" s="2">
        <v>6.0679419819819579E-3</v>
      </c>
      <c r="AF948" s="2">
        <v>4.9794384461613614E-3</v>
      </c>
      <c r="AG948" s="2">
        <v>8.9227400538418927E-4</v>
      </c>
      <c r="AH948" s="2">
        <v>0</v>
      </c>
      <c r="AI948" s="2">
        <v>0</v>
      </c>
      <c r="AJ948" s="2">
        <v>0</v>
      </c>
      <c r="AK948" s="2">
        <v>0</v>
      </c>
      <c r="AL948" s="2">
        <v>0</v>
      </c>
      <c r="AM948" s="2">
        <v>0</v>
      </c>
      <c r="AN948" s="2">
        <v>0</v>
      </c>
      <c r="AO948" s="2">
        <v>0</v>
      </c>
      <c r="AP948" s="2">
        <v>0</v>
      </c>
      <c r="AQ948" s="2">
        <v>0</v>
      </c>
      <c r="AR948" s="2">
        <v>6.6760171838775487E-2</v>
      </c>
    </row>
    <row r="949" spans="1:44" x14ac:dyDescent="0.25">
      <c r="A949" t="s">
        <v>435</v>
      </c>
      <c r="B949" t="s">
        <v>462</v>
      </c>
      <c r="C949" t="s">
        <v>46</v>
      </c>
      <c r="D949" t="s">
        <v>463</v>
      </c>
      <c r="E949" t="s">
        <v>134</v>
      </c>
      <c r="F949" t="s">
        <v>463</v>
      </c>
      <c r="G949" t="s">
        <v>33</v>
      </c>
      <c r="H949" t="s">
        <v>456</v>
      </c>
      <c r="I949" t="s">
        <v>135</v>
      </c>
      <c r="J949" t="s">
        <v>39</v>
      </c>
      <c r="K949" t="s">
        <v>31</v>
      </c>
      <c r="L949">
        <v>2.5000000000000026E-2</v>
      </c>
      <c r="M949">
        <v>1</v>
      </c>
      <c r="N949">
        <v>4.8021796953168767</v>
      </c>
      <c r="O949">
        <v>2.8779545327574696</v>
      </c>
      <c r="P949">
        <v>-0.74213157254111406</v>
      </c>
      <c r="Q949">
        <v>0.32461448738579723</v>
      </c>
      <c r="R949">
        <v>-0.52509153328775138</v>
      </c>
      <c r="S949" s="2">
        <v>5.2249677503140501E-3</v>
      </c>
      <c r="T949" s="2">
        <v>8.433610093377732E-3</v>
      </c>
      <c r="U949" s="2">
        <v>1.2702364475204824E-2</v>
      </c>
      <c r="V949" s="2">
        <v>1.8052262014392795E-2</v>
      </c>
      <c r="W949" s="2">
        <v>2.4366742024594393E-2</v>
      </c>
      <c r="X949" s="2">
        <v>3.134459930399381E-2</v>
      </c>
      <c r="Y949" s="2">
        <v>3.8469022416289848E-2</v>
      </c>
      <c r="Z949" s="2">
        <v>4.5014423426290633E-2</v>
      </c>
      <c r="AA949" s="2">
        <v>5.0113949899579742E-2</v>
      </c>
      <c r="AB949" s="2">
        <v>5.2900849637616661E-2</v>
      </c>
      <c r="AC949" s="2">
        <v>5.2712211426184381E-2</v>
      </c>
      <c r="AD949" s="2">
        <v>4.930710910646742E-2</v>
      </c>
      <c r="AE949" s="2">
        <v>4.3017795095857542E-2</v>
      </c>
      <c r="AF949" s="2">
        <v>3.5301007063920468E-2</v>
      </c>
      <c r="AG949" s="2">
        <v>6.3256472205820598E-3</v>
      </c>
      <c r="AH949" s="2">
        <v>0</v>
      </c>
      <c r="AI949" s="2">
        <v>0</v>
      </c>
      <c r="AJ949" s="2">
        <v>0</v>
      </c>
      <c r="AK949" s="2">
        <v>0</v>
      </c>
      <c r="AL949" s="2">
        <v>0</v>
      </c>
      <c r="AM949" s="2">
        <v>0</v>
      </c>
      <c r="AN949" s="2">
        <v>0</v>
      </c>
      <c r="AO949" s="2">
        <v>0</v>
      </c>
      <c r="AP949" s="2">
        <v>0</v>
      </c>
      <c r="AQ949" s="2">
        <v>0</v>
      </c>
      <c r="AR949" s="2">
        <v>0.47328656095466631</v>
      </c>
    </row>
    <row r="950" spans="1:44" x14ac:dyDescent="0.25">
      <c r="A950" t="s">
        <v>435</v>
      </c>
      <c r="B950" t="s">
        <v>462</v>
      </c>
      <c r="C950" t="s">
        <v>46</v>
      </c>
      <c r="D950" t="s">
        <v>463</v>
      </c>
      <c r="E950" t="s">
        <v>134</v>
      </c>
      <c r="F950" t="s">
        <v>463</v>
      </c>
      <c r="G950" t="s">
        <v>33</v>
      </c>
      <c r="H950" t="s">
        <v>456</v>
      </c>
      <c r="I950" t="s">
        <v>135</v>
      </c>
      <c r="J950" t="s">
        <v>39</v>
      </c>
      <c r="K950" t="s">
        <v>33</v>
      </c>
      <c r="L950">
        <v>2.5000000000000026E-2</v>
      </c>
      <c r="M950">
        <v>1</v>
      </c>
      <c r="N950">
        <v>4.8021796953168767</v>
      </c>
      <c r="O950">
        <v>2.8779545327574696</v>
      </c>
      <c r="P950">
        <v>-0.74213157254111406</v>
      </c>
      <c r="Q950">
        <v>0.32461448738579723</v>
      </c>
      <c r="R950">
        <v>-0.52509153328775138</v>
      </c>
      <c r="S950" s="2">
        <v>4.8242112941293668E-3</v>
      </c>
      <c r="T950" s="2">
        <v>7.786749891482269E-3</v>
      </c>
      <c r="U950" s="2">
        <v>1.1728089644141355E-2</v>
      </c>
      <c r="V950" s="2">
        <v>1.6667648578152814E-2</v>
      </c>
      <c r="W950" s="2">
        <v>2.2497806243707338E-2</v>
      </c>
      <c r="X950" s="2">
        <v>2.8940459960388791E-2</v>
      </c>
      <c r="Y950" s="2">
        <v>3.5518437870478092E-2</v>
      </c>
      <c r="Z950" s="2">
        <v>4.1561804831959072E-2</v>
      </c>
      <c r="AA950" s="2">
        <v>4.627019622933648E-2</v>
      </c>
      <c r="AB950" s="2">
        <v>4.8843339994871837E-2</v>
      </c>
      <c r="AC950" s="2">
        <v>4.8669170385874497E-2</v>
      </c>
      <c r="AD950" s="2">
        <v>4.5525240345835993E-2</v>
      </c>
      <c r="AE950" s="2">
        <v>3.971831844081819E-2</v>
      </c>
      <c r="AF950" s="2">
        <v>3.2593410162516268E-2</v>
      </c>
      <c r="AG950" s="2">
        <v>5.8404683478430778E-3</v>
      </c>
      <c r="AH950" s="2">
        <v>0</v>
      </c>
      <c r="AI950" s="2">
        <v>0</v>
      </c>
      <c r="AJ950" s="2">
        <v>0</v>
      </c>
      <c r="AK950" s="2">
        <v>0</v>
      </c>
      <c r="AL950" s="2">
        <v>0</v>
      </c>
      <c r="AM950" s="2">
        <v>0</v>
      </c>
      <c r="AN950" s="2">
        <v>0</v>
      </c>
      <c r="AO950" s="2">
        <v>0</v>
      </c>
      <c r="AP950" s="2">
        <v>0</v>
      </c>
      <c r="AQ950" s="2">
        <v>0</v>
      </c>
      <c r="AR950" s="2">
        <v>0.43698535222153545</v>
      </c>
    </row>
    <row r="951" spans="1:44" x14ac:dyDescent="0.25">
      <c r="A951" t="s">
        <v>435</v>
      </c>
      <c r="B951" t="s">
        <v>462</v>
      </c>
      <c r="C951" t="s">
        <v>46</v>
      </c>
      <c r="D951" t="s">
        <v>463</v>
      </c>
      <c r="E951" t="s">
        <v>134</v>
      </c>
      <c r="F951" t="s">
        <v>463</v>
      </c>
      <c r="G951" t="s">
        <v>33</v>
      </c>
      <c r="H951" t="s">
        <v>456</v>
      </c>
      <c r="I951" t="s">
        <v>135</v>
      </c>
      <c r="J951" t="s">
        <v>40</v>
      </c>
      <c r="K951" t="s">
        <v>33</v>
      </c>
      <c r="L951">
        <v>2.5000000000000026E-2</v>
      </c>
      <c r="M951">
        <v>1</v>
      </c>
      <c r="N951">
        <v>4.8021796953168767</v>
      </c>
      <c r="O951">
        <v>1.7054155637884914</v>
      </c>
      <c r="P951">
        <v>-0.74213157254111406</v>
      </c>
      <c r="Q951">
        <v>1.3498045353129324</v>
      </c>
      <c r="R951">
        <v>-0.38209153328775142</v>
      </c>
      <c r="S951" s="2">
        <v>1.7809607287716838E-2</v>
      </c>
      <c r="T951" s="2">
        <v>2.8746451836330376E-2</v>
      </c>
      <c r="U951" s="2">
        <v>4.3296750092906497E-2</v>
      </c>
      <c r="V951" s="2">
        <v>6.1532187851681859E-2</v>
      </c>
      <c r="W951" s="2">
        <v>8.3055461215631191E-2</v>
      </c>
      <c r="X951" s="2">
        <v>0.10683989468861679</v>
      </c>
      <c r="Y951" s="2">
        <v>0.13112390635048773</v>
      </c>
      <c r="Z951" s="2">
        <v>0.15343428740915213</v>
      </c>
      <c r="AA951" s="2">
        <v>0.17081632078861864</v>
      </c>
      <c r="AB951" s="2">
        <v>0.18031563107272428</v>
      </c>
      <c r="AC951" s="2">
        <v>0.17967264672801433</v>
      </c>
      <c r="AD951" s="2">
        <v>0.16806615689178367</v>
      </c>
      <c r="AE951" s="2">
        <v>0.14662866330507884</v>
      </c>
      <c r="AF951" s="2">
        <v>0.12032554126894912</v>
      </c>
      <c r="AG951" s="2">
        <v>2.1561337451782916E-2</v>
      </c>
      <c r="AH951" s="2">
        <v>0</v>
      </c>
      <c r="AI951" s="2">
        <v>0</v>
      </c>
      <c r="AJ951" s="2">
        <v>0</v>
      </c>
      <c r="AK951" s="2">
        <v>0</v>
      </c>
      <c r="AL951" s="2">
        <v>0</v>
      </c>
      <c r="AM951" s="2">
        <v>0</v>
      </c>
      <c r="AN951" s="2">
        <v>0</v>
      </c>
      <c r="AO951" s="2">
        <v>0</v>
      </c>
      <c r="AP951" s="2">
        <v>0</v>
      </c>
      <c r="AQ951" s="2">
        <v>0</v>
      </c>
      <c r="AR951" s="2">
        <v>1.6132248442394752</v>
      </c>
    </row>
    <row r="952" spans="1:44" x14ac:dyDescent="0.25">
      <c r="A952" t="s">
        <v>435</v>
      </c>
      <c r="B952" t="s">
        <v>462</v>
      </c>
      <c r="C952" t="s">
        <v>46</v>
      </c>
      <c r="D952" t="s">
        <v>463</v>
      </c>
      <c r="E952" t="s">
        <v>134</v>
      </c>
      <c r="F952" t="s">
        <v>463</v>
      </c>
      <c r="G952" t="s">
        <v>33</v>
      </c>
      <c r="H952" t="s">
        <v>456</v>
      </c>
      <c r="I952" t="s">
        <v>256</v>
      </c>
      <c r="J952" t="s">
        <v>40</v>
      </c>
      <c r="K952" t="s">
        <v>33</v>
      </c>
      <c r="L952">
        <v>2.5000000000000026E-2</v>
      </c>
      <c r="M952">
        <v>1</v>
      </c>
      <c r="N952">
        <v>4.4156409057984005</v>
      </c>
      <c r="O952">
        <v>1.4737622038640088</v>
      </c>
      <c r="P952">
        <v>-0.61665548152684757</v>
      </c>
      <c r="Q952">
        <v>1.3498045353129324</v>
      </c>
      <c r="R952">
        <v>-0.25661544227348493</v>
      </c>
      <c r="S952" s="2">
        <v>2.6744332587030083E-2</v>
      </c>
      <c r="T952" s="2">
        <v>4.316797423928042E-2</v>
      </c>
      <c r="U952" s="2">
        <v>6.5017867363130588E-2</v>
      </c>
      <c r="V952" s="2">
        <v>9.2401661088168788E-2</v>
      </c>
      <c r="W952" s="2">
        <v>0.12472273206450815</v>
      </c>
      <c r="X952" s="2">
        <v>0.1604393421457608</v>
      </c>
      <c r="Y952" s="2">
        <v>0.19690615884420204</v>
      </c>
      <c r="Z952" s="2">
        <v>0.23040921377050697</v>
      </c>
      <c r="AA952" s="2">
        <v>0.25651146713461837</v>
      </c>
      <c r="AB952" s="2">
        <v>0.27077639221023941</v>
      </c>
      <c r="AC952" s="2">
        <v>0.26981083542477141</v>
      </c>
      <c r="AD952" s="2">
        <v>0.25238160078004002</v>
      </c>
      <c r="AE952" s="2">
        <v>0.22018934358689113</v>
      </c>
      <c r="AF952" s="2">
        <v>0.18069046904985045</v>
      </c>
      <c r="AG952" s="2">
        <v>3.237823105899601E-2</v>
      </c>
      <c r="AH952" s="2">
        <v>0</v>
      </c>
      <c r="AI952" s="2">
        <v>0</v>
      </c>
      <c r="AJ952" s="2">
        <v>0</v>
      </c>
      <c r="AK952" s="2">
        <v>0</v>
      </c>
      <c r="AL952" s="2">
        <v>0</v>
      </c>
      <c r="AM952" s="2">
        <v>0</v>
      </c>
      <c r="AN952" s="2">
        <v>0</v>
      </c>
      <c r="AO952" s="2">
        <v>0</v>
      </c>
      <c r="AP952" s="2">
        <v>0</v>
      </c>
      <c r="AQ952" s="2">
        <v>0</v>
      </c>
      <c r="AR952" s="2">
        <v>2.4225476213479946</v>
      </c>
    </row>
    <row r="953" spans="1:44" x14ac:dyDescent="0.25">
      <c r="A953" t="s">
        <v>435</v>
      </c>
      <c r="B953" t="s">
        <v>462</v>
      </c>
      <c r="C953" t="s">
        <v>46</v>
      </c>
      <c r="D953" t="s">
        <v>463</v>
      </c>
      <c r="E953" t="s">
        <v>134</v>
      </c>
      <c r="F953" t="s">
        <v>463</v>
      </c>
      <c r="G953" t="s">
        <v>33</v>
      </c>
      <c r="H953" t="s">
        <v>457</v>
      </c>
      <c r="I953" t="s">
        <v>135</v>
      </c>
      <c r="J953" t="s">
        <v>39</v>
      </c>
      <c r="K953" t="s">
        <v>31</v>
      </c>
      <c r="L953">
        <v>2.5000000000000026E-2</v>
      </c>
      <c r="M953">
        <v>1</v>
      </c>
      <c r="N953">
        <v>4.8021796953168767</v>
      </c>
      <c r="O953">
        <v>2.8779545327574696</v>
      </c>
      <c r="P953">
        <v>-0.74213157254111406</v>
      </c>
      <c r="Q953">
        <v>0.32461448738579723</v>
      </c>
      <c r="R953">
        <v>-0.52509153328775138</v>
      </c>
      <c r="S953" s="2">
        <v>1.9316649662162947E-3</v>
      </c>
      <c r="T953" s="2">
        <v>3.1178965946970132E-3</v>
      </c>
      <c r="U953" s="2">
        <v>4.6960505054579119E-3</v>
      </c>
      <c r="V953" s="2">
        <v>6.6739018804592284E-3</v>
      </c>
      <c r="W953" s="2">
        <v>9.0083583591324973E-3</v>
      </c>
      <c r="X953" s="2">
        <v>1.1588064701829643E-2</v>
      </c>
      <c r="Y953" s="2">
        <v>1.4221956275552134E-2</v>
      </c>
      <c r="Z953" s="2">
        <v>1.6641783999865892E-2</v>
      </c>
      <c r="AA953" s="2">
        <v>1.8527073460677026E-2</v>
      </c>
      <c r="AB953" s="2">
        <v>1.9557387300987276E-2</v>
      </c>
      <c r="AC953" s="2">
        <v>1.9487647956798689E-2</v>
      </c>
      <c r="AD953" s="2">
        <v>1.8228785285926943E-2</v>
      </c>
      <c r="AE953" s="2">
        <v>1.5903632650277048E-2</v>
      </c>
      <c r="AF953" s="2">
        <v>1.3050744401901912E-2</v>
      </c>
      <c r="AG953" s="2">
        <v>2.3385849843585182E-3</v>
      </c>
      <c r="AH953" s="2">
        <v>0</v>
      </c>
      <c r="AI953" s="2">
        <v>0</v>
      </c>
      <c r="AJ953" s="2">
        <v>0</v>
      </c>
      <c r="AK953" s="2">
        <v>0</v>
      </c>
      <c r="AL953" s="2">
        <v>0</v>
      </c>
      <c r="AM953" s="2">
        <v>0</v>
      </c>
      <c r="AN953" s="2">
        <v>0</v>
      </c>
      <c r="AO953" s="2">
        <v>0</v>
      </c>
      <c r="AP953" s="2">
        <v>0</v>
      </c>
      <c r="AQ953" s="2">
        <v>0</v>
      </c>
      <c r="AR953" s="2">
        <v>0.17497353332413801</v>
      </c>
    </row>
    <row r="954" spans="1:44" x14ac:dyDescent="0.25">
      <c r="A954" t="s">
        <v>435</v>
      </c>
      <c r="B954" t="s">
        <v>462</v>
      </c>
      <c r="C954" t="s">
        <v>46</v>
      </c>
      <c r="D954" t="s">
        <v>463</v>
      </c>
      <c r="E954" t="s">
        <v>134</v>
      </c>
      <c r="F954" t="s">
        <v>463</v>
      </c>
      <c r="G954" t="s">
        <v>33</v>
      </c>
      <c r="H954" t="s">
        <v>457</v>
      </c>
      <c r="I954" t="s">
        <v>135</v>
      </c>
      <c r="J954" t="s">
        <v>39</v>
      </c>
      <c r="K954" t="s">
        <v>33</v>
      </c>
      <c r="L954">
        <v>2.5000000000000026E-2</v>
      </c>
      <c r="M954">
        <v>1</v>
      </c>
      <c r="N954">
        <v>4.8021796953168767</v>
      </c>
      <c r="O954">
        <v>2.8779545327574696</v>
      </c>
      <c r="P954">
        <v>-0.74213157254111406</v>
      </c>
      <c r="Q954">
        <v>0.32461448738579723</v>
      </c>
      <c r="R954">
        <v>-0.52509153328775138</v>
      </c>
      <c r="S954" s="2">
        <v>5.6519468124922737E-4</v>
      </c>
      <c r="T954" s="2">
        <v>9.1227961516516382E-4</v>
      </c>
      <c r="U954" s="2">
        <v>1.3740388809564197E-3</v>
      </c>
      <c r="V954" s="2">
        <v>1.9527474546496501E-3</v>
      </c>
      <c r="W954" s="2">
        <v>2.6357967455100583E-3</v>
      </c>
      <c r="X954" s="2">
        <v>3.3906048150135894E-3</v>
      </c>
      <c r="Y954" s="2">
        <v>4.1612671889194874E-3</v>
      </c>
      <c r="Z954" s="2">
        <v>4.8692956427359548E-3</v>
      </c>
      <c r="AA954" s="2">
        <v>5.4209211028968139E-3</v>
      </c>
      <c r="AB954" s="2">
        <v>5.7223853385408819E-3</v>
      </c>
      <c r="AC954" s="2">
        <v>5.701979985077126E-3</v>
      </c>
      <c r="AD954" s="2">
        <v>5.3336436025037091E-3</v>
      </c>
      <c r="AE954" s="2">
        <v>4.6533165655972533E-3</v>
      </c>
      <c r="AF954" s="2">
        <v>3.8185769537180466E-3</v>
      </c>
      <c r="AG954" s="2">
        <v>6.8425726920841898E-4</v>
      </c>
      <c r="AH954" s="2">
        <v>0</v>
      </c>
      <c r="AI954" s="2">
        <v>0</v>
      </c>
      <c r="AJ954" s="2">
        <v>0</v>
      </c>
      <c r="AK954" s="2">
        <v>0</v>
      </c>
      <c r="AL954" s="2">
        <v>0</v>
      </c>
      <c r="AM954" s="2">
        <v>0</v>
      </c>
      <c r="AN954" s="2">
        <v>0</v>
      </c>
      <c r="AO954" s="2">
        <v>0</v>
      </c>
      <c r="AP954" s="2">
        <v>0</v>
      </c>
      <c r="AQ954" s="2">
        <v>0</v>
      </c>
      <c r="AR954" s="2">
        <v>5.1196305841741799E-2</v>
      </c>
    </row>
    <row r="955" spans="1:44" x14ac:dyDescent="0.25">
      <c r="A955" t="s">
        <v>435</v>
      </c>
      <c r="B955" t="s">
        <v>462</v>
      </c>
      <c r="C955" t="s">
        <v>46</v>
      </c>
      <c r="D955" t="s">
        <v>463</v>
      </c>
      <c r="E955" t="s">
        <v>134</v>
      </c>
      <c r="F955" t="s">
        <v>463</v>
      </c>
      <c r="G955" t="s">
        <v>33</v>
      </c>
      <c r="H955" t="s">
        <v>457</v>
      </c>
      <c r="I955" t="s">
        <v>256</v>
      </c>
      <c r="J955" t="s">
        <v>39</v>
      </c>
      <c r="K955" t="s">
        <v>33</v>
      </c>
      <c r="L955">
        <v>2.5000000000000026E-2</v>
      </c>
      <c r="M955">
        <v>1</v>
      </c>
      <c r="N955">
        <v>4.4156409057984005</v>
      </c>
      <c r="O955">
        <v>2.6463011728329868</v>
      </c>
      <c r="P955">
        <v>-0.61665548152684757</v>
      </c>
      <c r="Q955">
        <v>1.3498045353129324</v>
      </c>
      <c r="R955">
        <v>-0.39961544227348494</v>
      </c>
      <c r="S955" s="2">
        <v>1.5543232974510269E-3</v>
      </c>
      <c r="T955" s="2">
        <v>2.5088301547827236E-3</v>
      </c>
      <c r="U955" s="2">
        <v>3.778699119308141E-3</v>
      </c>
      <c r="V955" s="2">
        <v>5.3701865277492695E-3</v>
      </c>
      <c r="W955" s="2">
        <v>7.24861790956119E-3</v>
      </c>
      <c r="X955" s="2">
        <v>9.3243907475862396E-3</v>
      </c>
      <c r="Y955" s="2">
        <v>1.144376398652627E-2</v>
      </c>
      <c r="Z955" s="2">
        <v>1.339088974254499E-2</v>
      </c>
      <c r="AA955" s="2">
        <v>1.4907896771521413E-2</v>
      </c>
      <c r="AB955" s="2">
        <v>1.5736943647500806E-2</v>
      </c>
      <c r="AC955" s="2">
        <v>1.5680827556296024E-2</v>
      </c>
      <c r="AD955" s="2">
        <v>1.4667877789204638E-2</v>
      </c>
      <c r="AE955" s="2">
        <v>1.2796932788426691E-2</v>
      </c>
      <c r="AF955" s="2">
        <v>1.0501342845539458E-2</v>
      </c>
      <c r="AG955" s="2">
        <v>1.8817534033231547E-3</v>
      </c>
      <c r="AH955" s="2">
        <v>0</v>
      </c>
      <c r="AI955" s="2">
        <v>0</v>
      </c>
      <c r="AJ955" s="2">
        <v>0</v>
      </c>
      <c r="AK955" s="2">
        <v>0</v>
      </c>
      <c r="AL955" s="2">
        <v>0</v>
      </c>
      <c r="AM955" s="2">
        <v>0</v>
      </c>
      <c r="AN955" s="2">
        <v>0</v>
      </c>
      <c r="AO955" s="2">
        <v>0</v>
      </c>
      <c r="AP955" s="2">
        <v>0</v>
      </c>
      <c r="AQ955" s="2">
        <v>0</v>
      </c>
      <c r="AR955" s="2">
        <v>0.14079327628732202</v>
      </c>
    </row>
    <row r="956" spans="1:44" x14ac:dyDescent="0.25">
      <c r="A956" t="s">
        <v>435</v>
      </c>
      <c r="B956" t="s">
        <v>462</v>
      </c>
      <c r="C956" t="s">
        <v>46</v>
      </c>
      <c r="D956" t="s">
        <v>463</v>
      </c>
      <c r="E956" t="s">
        <v>134</v>
      </c>
      <c r="F956" t="s">
        <v>463</v>
      </c>
      <c r="G956" t="s">
        <v>33</v>
      </c>
      <c r="H956" t="s">
        <v>457</v>
      </c>
      <c r="I956" t="s">
        <v>256</v>
      </c>
      <c r="J956" t="s">
        <v>40</v>
      </c>
      <c r="K956" t="s">
        <v>33</v>
      </c>
      <c r="L956">
        <v>2.5000000000000026E-2</v>
      </c>
      <c r="M956">
        <v>1</v>
      </c>
      <c r="N956">
        <v>4.4156409057984005</v>
      </c>
      <c r="O956">
        <v>1.4737622038640088</v>
      </c>
      <c r="P956">
        <v>-0.61665548152684757</v>
      </c>
      <c r="Q956">
        <v>1.3498045353129324</v>
      </c>
      <c r="R956">
        <v>-0.25661544227348493</v>
      </c>
      <c r="S956" s="2">
        <v>1.4222654432881432E-2</v>
      </c>
      <c r="T956" s="2">
        <v>2.2956758340290762E-2</v>
      </c>
      <c r="U956" s="2">
        <v>3.457654650605043E-2</v>
      </c>
      <c r="V956" s="2">
        <v>4.9139266811189124E-2</v>
      </c>
      <c r="W956" s="2">
        <v>6.6327634548585562E-2</v>
      </c>
      <c r="X956" s="2">
        <v>8.5321752313407953E-2</v>
      </c>
      <c r="Y956" s="2">
        <v>0.10471483047235539</v>
      </c>
      <c r="Z956" s="2">
        <v>0.12253177808591315</v>
      </c>
      <c r="AA956" s="2">
        <v>0.13641297434718427</v>
      </c>
      <c r="AB956" s="2">
        <v>0.14399907129693187</v>
      </c>
      <c r="AC956" s="2">
        <v>0.14348558753545279</v>
      </c>
      <c r="AD956" s="2">
        <v>0.1342167085841853</v>
      </c>
      <c r="AE956" s="2">
        <v>0.11709684410513517</v>
      </c>
      <c r="AF956" s="2">
        <v>9.6091315505759764E-2</v>
      </c>
      <c r="AG956" s="2">
        <v>1.7218765508599881E-2</v>
      </c>
      <c r="AH956" s="2">
        <v>0</v>
      </c>
      <c r="AI956" s="2">
        <v>0</v>
      </c>
      <c r="AJ956" s="2">
        <v>0</v>
      </c>
      <c r="AK956" s="2">
        <v>0</v>
      </c>
      <c r="AL956" s="2">
        <v>0</v>
      </c>
      <c r="AM956" s="2">
        <v>0</v>
      </c>
      <c r="AN956" s="2">
        <v>0</v>
      </c>
      <c r="AO956" s="2">
        <v>0</v>
      </c>
      <c r="AP956" s="2">
        <v>0</v>
      </c>
      <c r="AQ956" s="2">
        <v>0</v>
      </c>
      <c r="AR956" s="2">
        <v>1.288312488393923</v>
      </c>
    </row>
    <row r="957" spans="1:44" x14ac:dyDescent="0.25">
      <c r="A957" t="s">
        <v>435</v>
      </c>
      <c r="B957" t="s">
        <v>464</v>
      </c>
      <c r="C957" t="s">
        <v>47</v>
      </c>
      <c r="D957" t="s">
        <v>465</v>
      </c>
      <c r="E957" t="s">
        <v>134</v>
      </c>
      <c r="F957" t="s">
        <v>465</v>
      </c>
      <c r="G957" t="s">
        <v>33</v>
      </c>
      <c r="H957" t="s">
        <v>450</v>
      </c>
      <c r="I957" t="s">
        <v>135</v>
      </c>
      <c r="J957" t="s">
        <v>39</v>
      </c>
      <c r="K957" t="s">
        <v>31</v>
      </c>
      <c r="L957">
        <v>0.1063578652050048</v>
      </c>
      <c r="M957">
        <v>1</v>
      </c>
      <c r="N957">
        <v>3.0509798266011336</v>
      </c>
      <c r="O957">
        <v>2.8779545327574692</v>
      </c>
      <c r="P957">
        <v>-0.5558095120879909</v>
      </c>
      <c r="Q957">
        <v>0.51093654783892051</v>
      </c>
      <c r="R957">
        <v>-0.52509153328775149</v>
      </c>
      <c r="S957" s="2">
        <v>3.3346339582106563E-3</v>
      </c>
      <c r="T957" s="2">
        <v>6.6143314431137022E-3</v>
      </c>
      <c r="U957" s="2">
        <v>1.1653515232685921E-2</v>
      </c>
      <c r="V957" s="2">
        <v>1.8809915847577022E-2</v>
      </c>
      <c r="W957" s="2">
        <v>2.8330739054615337E-2</v>
      </c>
      <c r="X957" s="2">
        <v>4.0262891643019091E-2</v>
      </c>
      <c r="Y957" s="2">
        <v>5.4346402298362781E-2</v>
      </c>
      <c r="Z957" s="2">
        <v>6.9909477513918308E-2</v>
      </c>
      <c r="AA957" s="2">
        <v>8.5799446070805821E-2</v>
      </c>
      <c r="AB957" s="2">
        <v>0.1003979917497714</v>
      </c>
      <c r="AC957" s="2">
        <v>0.11177172882831855</v>
      </c>
      <c r="AD957" s="2">
        <v>0.11798749514519767</v>
      </c>
      <c r="AE957" s="2">
        <v>0.11756676560667359</v>
      </c>
      <c r="AF957" s="2">
        <v>0.10997219016660681</v>
      </c>
      <c r="AG957" s="2">
        <v>9.5944808538962978E-2</v>
      </c>
      <c r="AH957" s="2">
        <v>7.8733657930008111E-2</v>
      </c>
      <c r="AI957" s="2">
        <v>2.8516595445751906E-2</v>
      </c>
      <c r="AJ957" s="2">
        <v>0</v>
      </c>
      <c r="AK957" s="2">
        <v>0</v>
      </c>
      <c r="AL957" s="2">
        <v>0</v>
      </c>
      <c r="AM957" s="2">
        <v>0</v>
      </c>
      <c r="AN957" s="2">
        <v>0</v>
      </c>
      <c r="AO957" s="2">
        <v>0</v>
      </c>
      <c r="AP957" s="2">
        <v>0</v>
      </c>
      <c r="AQ957" s="2">
        <v>0</v>
      </c>
      <c r="AR957" s="2">
        <v>1.0799525864735997</v>
      </c>
    </row>
    <row r="958" spans="1:44" x14ac:dyDescent="0.25">
      <c r="A958" t="s">
        <v>435</v>
      </c>
      <c r="B958" t="s">
        <v>464</v>
      </c>
      <c r="C958" t="s">
        <v>47</v>
      </c>
      <c r="D958" t="s">
        <v>465</v>
      </c>
      <c r="E958" t="s">
        <v>134</v>
      </c>
      <c r="F958" t="s">
        <v>465</v>
      </c>
      <c r="G958" t="s">
        <v>33</v>
      </c>
      <c r="H958" t="s">
        <v>450</v>
      </c>
      <c r="I958" t="s">
        <v>135</v>
      </c>
      <c r="J958" t="s">
        <v>39</v>
      </c>
      <c r="K958" t="s">
        <v>33</v>
      </c>
      <c r="L958">
        <v>0.1063578652050048</v>
      </c>
      <c r="M958">
        <v>1</v>
      </c>
      <c r="N958">
        <v>3.0509798266011336</v>
      </c>
      <c r="O958">
        <v>2.8779545327574692</v>
      </c>
      <c r="P958">
        <v>-0.5558095120879909</v>
      </c>
      <c r="Q958">
        <v>0.51093654783892051</v>
      </c>
      <c r="R958">
        <v>-0.52509153328775149</v>
      </c>
      <c r="S958" s="2">
        <v>2.0544020431783015E-3</v>
      </c>
      <c r="T958" s="2">
        <v>4.0721182741427255E-3</v>
      </c>
      <c r="U958" s="2">
        <v>7.1694945399463535E-3</v>
      </c>
      <c r="V958" s="2">
        <v>1.1564200235257614E-2</v>
      </c>
      <c r="W958" s="2">
        <v>1.7405392226371136E-2</v>
      </c>
      <c r="X958" s="2">
        <v>2.4718836956406715E-2</v>
      </c>
      <c r="Y958" s="2">
        <v>3.3341952629282343E-2</v>
      </c>
      <c r="Z958" s="2">
        <v>4.2860126382713311E-2</v>
      </c>
      <c r="AA958" s="2">
        <v>5.256528642137525E-2</v>
      </c>
      <c r="AB958" s="2">
        <v>6.1466252697227254E-2</v>
      </c>
      <c r="AC958" s="2">
        <v>6.8381849042034371E-2</v>
      </c>
      <c r="AD958" s="2">
        <v>7.2134331754812139E-2</v>
      </c>
      <c r="AE958" s="2">
        <v>7.1827005728629378E-2</v>
      </c>
      <c r="AF958" s="2">
        <v>6.7140292105161883E-2</v>
      </c>
      <c r="AG958" s="2">
        <v>5.8535454218314929E-2</v>
      </c>
      <c r="AH958" s="2">
        <v>4.8001532329101718E-2</v>
      </c>
      <c r="AI958" s="2">
        <v>1.1056775609640515E-2</v>
      </c>
      <c r="AJ958" s="2">
        <v>0</v>
      </c>
      <c r="AK958" s="2">
        <v>0</v>
      </c>
      <c r="AL958" s="2">
        <v>0</v>
      </c>
      <c r="AM958" s="2">
        <v>0</v>
      </c>
      <c r="AN958" s="2">
        <v>0</v>
      </c>
      <c r="AO958" s="2">
        <v>0</v>
      </c>
      <c r="AP958" s="2">
        <v>0</v>
      </c>
      <c r="AQ958" s="2">
        <v>0</v>
      </c>
      <c r="AR958" s="2">
        <v>0.65429530319359586</v>
      </c>
    </row>
    <row r="959" spans="1:44" x14ac:dyDescent="0.25">
      <c r="A959" t="s">
        <v>435</v>
      </c>
      <c r="B959" t="s">
        <v>464</v>
      </c>
      <c r="C959" t="s">
        <v>47</v>
      </c>
      <c r="D959" t="s">
        <v>465</v>
      </c>
      <c r="E959" t="s">
        <v>134</v>
      </c>
      <c r="F959" t="s">
        <v>465</v>
      </c>
      <c r="G959" t="s">
        <v>33</v>
      </c>
      <c r="H959" t="s">
        <v>450</v>
      </c>
      <c r="I959" t="s">
        <v>256</v>
      </c>
      <c r="J959" t="s">
        <v>40</v>
      </c>
      <c r="K959" t="s">
        <v>33</v>
      </c>
      <c r="L959">
        <v>0.1063578652050048</v>
      </c>
      <c r="M959">
        <v>1</v>
      </c>
      <c r="N959">
        <v>2.8053992519779527</v>
      </c>
      <c r="O959">
        <v>1.473762203864009</v>
      </c>
      <c r="P959">
        <v>-0.43033342107372458</v>
      </c>
      <c r="Q959">
        <v>1.3498045353129324</v>
      </c>
      <c r="R959">
        <v>-0.25661544227348498</v>
      </c>
      <c r="S959" s="2">
        <v>5.3665099082825435E-2</v>
      </c>
      <c r="T959" s="2">
        <v>0.10644609174789703</v>
      </c>
      <c r="U959" s="2">
        <v>0.18754293798437896</v>
      </c>
      <c r="V959" s="2">
        <v>0.30271268461546119</v>
      </c>
      <c r="W959" s="2">
        <v>0.45593367593228323</v>
      </c>
      <c r="X959" s="2">
        <v>0.647960794636395</v>
      </c>
      <c r="Y959" s="2">
        <v>0.87461025728344366</v>
      </c>
      <c r="Z959" s="2">
        <v>1.1250707227926511</v>
      </c>
      <c r="AA959" s="2">
        <v>1.3807919646784985</v>
      </c>
      <c r="AB959" s="2">
        <v>1.6157300148947291</v>
      </c>
      <c r="AC959" s="2">
        <v>1.7987704130047988</v>
      </c>
      <c r="AD959" s="2">
        <v>1.8988022963992801</v>
      </c>
      <c r="AE959" s="2">
        <v>1.8920313906102442</v>
      </c>
      <c r="AF959" s="2">
        <v>1.7698099868247836</v>
      </c>
      <c r="AG959" s="2">
        <v>1.5440638226718666</v>
      </c>
      <c r="AH959" s="2">
        <v>1.267080467276958</v>
      </c>
      <c r="AI959" s="2">
        <v>0.45892470936219409</v>
      </c>
      <c r="AJ959" s="2">
        <v>0</v>
      </c>
      <c r="AK959" s="2">
        <v>0</v>
      </c>
      <c r="AL959" s="2">
        <v>0</v>
      </c>
      <c r="AM959" s="2">
        <v>0</v>
      </c>
      <c r="AN959" s="2">
        <v>0</v>
      </c>
      <c r="AO959" s="2">
        <v>0</v>
      </c>
      <c r="AP959" s="2">
        <v>0</v>
      </c>
      <c r="AQ959" s="2">
        <v>0</v>
      </c>
      <c r="AR959" s="2">
        <v>17.379947329798689</v>
      </c>
    </row>
    <row r="960" spans="1:44" x14ac:dyDescent="0.25">
      <c r="A960" t="s">
        <v>435</v>
      </c>
      <c r="B960" t="s">
        <v>464</v>
      </c>
      <c r="C960" t="s">
        <v>47</v>
      </c>
      <c r="D960" t="s">
        <v>465</v>
      </c>
      <c r="E960" t="s">
        <v>134</v>
      </c>
      <c r="F960" t="s">
        <v>465</v>
      </c>
      <c r="G960" t="s">
        <v>33</v>
      </c>
      <c r="H960" t="s">
        <v>451</v>
      </c>
      <c r="I960" t="s">
        <v>135</v>
      </c>
      <c r="J960" t="s">
        <v>39</v>
      </c>
      <c r="K960" t="s">
        <v>31</v>
      </c>
      <c r="L960">
        <v>0.1063578652050048</v>
      </c>
      <c r="M960">
        <v>1</v>
      </c>
      <c r="N960">
        <v>3.0509798266011336</v>
      </c>
      <c r="O960">
        <v>2.8779545327574692</v>
      </c>
      <c r="P960">
        <v>-0.5558095120879909</v>
      </c>
      <c r="Q960">
        <v>0.51093654783892051</v>
      </c>
      <c r="R960">
        <v>-0.52509153328775149</v>
      </c>
      <c r="S960" s="2">
        <v>8.7228293033762773E-4</v>
      </c>
      <c r="T960" s="2">
        <v>1.7301954234639424E-3</v>
      </c>
      <c r="U960" s="2">
        <v>3.0483592931909139E-3</v>
      </c>
      <c r="V960" s="2">
        <v>4.9203506953227529E-3</v>
      </c>
      <c r="W960" s="2">
        <v>7.4108344096786754E-3</v>
      </c>
      <c r="X960" s="2">
        <v>1.0532080446120265E-2</v>
      </c>
      <c r="Y960" s="2">
        <v>1.4216084776981318E-2</v>
      </c>
      <c r="Z960" s="2">
        <v>1.8287117767173188E-2</v>
      </c>
      <c r="AA960" s="2">
        <v>2.244366043706553E-2</v>
      </c>
      <c r="AB960" s="2">
        <v>2.626238907807921E-2</v>
      </c>
      <c r="AC960" s="2">
        <v>2.9237563214759697E-2</v>
      </c>
      <c r="AD960" s="2">
        <v>3.0863500851432288E-2</v>
      </c>
      <c r="AE960" s="2">
        <v>3.0753445235330933E-2</v>
      </c>
      <c r="AF960" s="2">
        <v>2.8766834829945898E-2</v>
      </c>
      <c r="AG960" s="2">
        <v>2.5097512888028448E-2</v>
      </c>
      <c r="AH960" s="2">
        <v>2.0595371700778842E-2</v>
      </c>
      <c r="AI960" s="2">
        <v>7.4594512472429333E-3</v>
      </c>
      <c r="AJ960" s="2">
        <v>0</v>
      </c>
      <c r="AK960" s="2">
        <v>0</v>
      </c>
      <c r="AL960" s="2">
        <v>0</v>
      </c>
      <c r="AM960" s="2">
        <v>0</v>
      </c>
      <c r="AN960" s="2">
        <v>0</v>
      </c>
      <c r="AO960" s="2">
        <v>0</v>
      </c>
      <c r="AP960" s="2">
        <v>0</v>
      </c>
      <c r="AQ960" s="2">
        <v>0</v>
      </c>
      <c r="AR960" s="2">
        <v>0.28249703522493247</v>
      </c>
    </row>
    <row r="961" spans="1:44" x14ac:dyDescent="0.25">
      <c r="A961" t="s">
        <v>435</v>
      </c>
      <c r="B961" t="s">
        <v>464</v>
      </c>
      <c r="C961" t="s">
        <v>47</v>
      </c>
      <c r="D961" t="s">
        <v>465</v>
      </c>
      <c r="E961" t="s">
        <v>134</v>
      </c>
      <c r="F961" t="s">
        <v>465</v>
      </c>
      <c r="G961" t="s">
        <v>33</v>
      </c>
      <c r="H961" t="s">
        <v>451</v>
      </c>
      <c r="I961" t="s">
        <v>135</v>
      </c>
      <c r="J961" t="s">
        <v>39</v>
      </c>
      <c r="K961" t="s">
        <v>33</v>
      </c>
      <c r="L961">
        <v>0.1063578652050048</v>
      </c>
      <c r="M961">
        <v>1</v>
      </c>
      <c r="N961">
        <v>3.0509798266011336</v>
      </c>
      <c r="O961">
        <v>2.8779545327574692</v>
      </c>
      <c r="P961">
        <v>-0.5558095120879909</v>
      </c>
      <c r="Q961">
        <v>0.51093654783892051</v>
      </c>
      <c r="R961">
        <v>-0.52509153328775149</v>
      </c>
      <c r="S961" s="2">
        <v>3.9294711638112531E-3</v>
      </c>
      <c r="T961" s="2">
        <v>7.7942062005365896E-3</v>
      </c>
      <c r="U961" s="2">
        <v>1.3732287452757272E-2</v>
      </c>
      <c r="V961" s="2">
        <v>2.2165257969252939E-2</v>
      </c>
      <c r="W961" s="2">
        <v>3.3384420467039343E-2</v>
      </c>
      <c r="X961" s="2">
        <v>4.7445049041543418E-2</v>
      </c>
      <c r="Y961" s="2">
        <v>6.4040798289864809E-2</v>
      </c>
      <c r="Z961" s="2">
        <v>8.2380039131928998E-2</v>
      </c>
      <c r="AA961" s="2">
        <v>0.10110448505931989</v>
      </c>
      <c r="AB961" s="2">
        <v>0.11830714208193906</v>
      </c>
      <c r="AC961" s="2">
        <v>0.13170974411712724</v>
      </c>
      <c r="AD961" s="2">
        <v>0.13903428852267624</v>
      </c>
      <c r="AE961" s="2">
        <v>0.13853850859297115</v>
      </c>
      <c r="AF961" s="2">
        <v>0.12958920094268117</v>
      </c>
      <c r="AG961" s="2">
        <v>0.11305959310555005</v>
      </c>
      <c r="AH961" s="2">
        <v>9.2778290611350428E-2</v>
      </c>
      <c r="AI961" s="2">
        <v>3.3603430211056939E-2</v>
      </c>
      <c r="AJ961" s="2">
        <v>0</v>
      </c>
      <c r="AK961" s="2">
        <v>0</v>
      </c>
      <c r="AL961" s="2">
        <v>0</v>
      </c>
      <c r="AM961" s="2">
        <v>0</v>
      </c>
      <c r="AN961" s="2">
        <v>0</v>
      </c>
      <c r="AO961" s="2">
        <v>0</v>
      </c>
      <c r="AP961" s="2">
        <v>0</v>
      </c>
      <c r="AQ961" s="2">
        <v>0</v>
      </c>
      <c r="AR961" s="2">
        <v>1.2725962129614068</v>
      </c>
    </row>
    <row r="962" spans="1:44" x14ac:dyDescent="0.25">
      <c r="A962" t="s">
        <v>435</v>
      </c>
      <c r="B962" t="s">
        <v>464</v>
      </c>
      <c r="C962" t="s">
        <v>47</v>
      </c>
      <c r="D962" t="s">
        <v>465</v>
      </c>
      <c r="E962" t="s">
        <v>134</v>
      </c>
      <c r="F962" t="s">
        <v>465</v>
      </c>
      <c r="G962" t="s">
        <v>33</v>
      </c>
      <c r="H962" t="s">
        <v>452</v>
      </c>
      <c r="I962" t="s">
        <v>135</v>
      </c>
      <c r="J962" t="s">
        <v>39</v>
      </c>
      <c r="K962" t="s">
        <v>31</v>
      </c>
      <c r="L962">
        <v>0.1063578652050048</v>
      </c>
      <c r="M962">
        <v>1</v>
      </c>
      <c r="N962">
        <v>3.0509798266011336</v>
      </c>
      <c r="O962">
        <v>2.8779545327574692</v>
      </c>
      <c r="P962">
        <v>-0.5558095120879909</v>
      </c>
      <c r="Q962">
        <v>0.51093654783892051</v>
      </c>
      <c r="R962">
        <v>-0.52509153328775149</v>
      </c>
      <c r="S962" s="2">
        <v>1.9756611957053805E-2</v>
      </c>
      <c r="T962" s="2">
        <v>3.9187743336920086E-2</v>
      </c>
      <c r="U962" s="2">
        <v>6.904325370432364E-2</v>
      </c>
      <c r="V962" s="2">
        <v>0.11144257900643018</v>
      </c>
      <c r="W962" s="2">
        <v>0.16785033229222149</v>
      </c>
      <c r="X962" s="2">
        <v>0.23854442089556083</v>
      </c>
      <c r="Y962" s="2">
        <v>0.32198460008691077</v>
      </c>
      <c r="Z962" s="2">
        <v>0.41419071378496719</v>
      </c>
      <c r="AA962" s="2">
        <v>0.50833356326181556</v>
      </c>
      <c r="AB962" s="2">
        <v>0.59482515596166652</v>
      </c>
      <c r="AC962" s="2">
        <v>0.66221081591067821</v>
      </c>
      <c r="AD962" s="2">
        <v>0.69903719166203704</v>
      </c>
      <c r="AE962" s="2">
        <v>0.69654450720681393</v>
      </c>
      <c r="AF962" s="2">
        <v>0.65154913985066731</v>
      </c>
      <c r="AG962" s="2">
        <v>0.56844150672994731</v>
      </c>
      <c r="AH962" s="2">
        <v>0.46647108713463092</v>
      </c>
      <c r="AI962" s="2">
        <v>0.16895147042175571</v>
      </c>
      <c r="AJ962" s="2">
        <v>0</v>
      </c>
      <c r="AK962" s="2">
        <v>0</v>
      </c>
      <c r="AL962" s="2">
        <v>0</v>
      </c>
      <c r="AM962" s="2">
        <v>0</v>
      </c>
      <c r="AN962" s="2">
        <v>0</v>
      </c>
      <c r="AO962" s="2">
        <v>0</v>
      </c>
      <c r="AP962" s="2">
        <v>0</v>
      </c>
      <c r="AQ962" s="2">
        <v>0</v>
      </c>
      <c r="AR962" s="2">
        <v>6.3983646932044014</v>
      </c>
    </row>
    <row r="963" spans="1:44" x14ac:dyDescent="0.25">
      <c r="A963" t="s">
        <v>435</v>
      </c>
      <c r="B963" t="s">
        <v>464</v>
      </c>
      <c r="C963" t="s">
        <v>47</v>
      </c>
      <c r="D963" t="s">
        <v>465</v>
      </c>
      <c r="E963" t="s">
        <v>134</v>
      </c>
      <c r="F963" t="s">
        <v>465</v>
      </c>
      <c r="G963" t="s">
        <v>33</v>
      </c>
      <c r="H963" t="s">
        <v>452</v>
      </c>
      <c r="I963" t="s">
        <v>135</v>
      </c>
      <c r="J963" t="s">
        <v>39</v>
      </c>
      <c r="K963" t="s">
        <v>33</v>
      </c>
      <c r="L963">
        <v>0.1063578652050048</v>
      </c>
      <c r="M963">
        <v>1</v>
      </c>
      <c r="N963">
        <v>3.0509798266011336</v>
      </c>
      <c r="O963">
        <v>2.8779545327574692</v>
      </c>
      <c r="P963">
        <v>-0.5558095120879909</v>
      </c>
      <c r="Q963">
        <v>0.51093654783892051</v>
      </c>
      <c r="R963">
        <v>-0.52509153328775149</v>
      </c>
      <c r="S963" s="2">
        <v>3.9068044731559844E-2</v>
      </c>
      <c r="T963" s="2">
        <v>7.7492462419350386E-2</v>
      </c>
      <c r="U963" s="2">
        <v>0.13653074373260085</v>
      </c>
      <c r="V963" s="2">
        <v>0.22037400294584067</v>
      </c>
      <c r="W963" s="2">
        <v>0.33191846377578949</v>
      </c>
      <c r="X963" s="2">
        <v>0.4717136787557562</v>
      </c>
      <c r="Y963" s="2">
        <v>0.63671386502975669</v>
      </c>
      <c r="Z963" s="2">
        <v>0.81904839598625567</v>
      </c>
      <c r="AA963" s="2">
        <v>1.0052127576952909</v>
      </c>
      <c r="AB963" s="2">
        <v>1.1762470129535765</v>
      </c>
      <c r="AC963" s="2">
        <v>1.3094999200247068</v>
      </c>
      <c r="AD963" s="2">
        <v>1.3823228563805339</v>
      </c>
      <c r="AE963" s="2">
        <v>1.3773936555636126</v>
      </c>
      <c r="AF963" s="2">
        <v>1.2884168093106154</v>
      </c>
      <c r="AG963" s="2">
        <v>1.1240742218592725</v>
      </c>
      <c r="AH963" s="2">
        <v>0.9224310999158164</v>
      </c>
      <c r="AI963" s="2">
        <v>0.33409592789736003</v>
      </c>
      <c r="AJ963" s="2">
        <v>0</v>
      </c>
      <c r="AK963" s="2">
        <v>0</v>
      </c>
      <c r="AL963" s="2">
        <v>0</v>
      </c>
      <c r="AM963" s="2">
        <v>0</v>
      </c>
      <c r="AN963" s="2">
        <v>0</v>
      </c>
      <c r="AO963" s="2">
        <v>0</v>
      </c>
      <c r="AP963" s="2">
        <v>0</v>
      </c>
      <c r="AQ963" s="2">
        <v>0</v>
      </c>
      <c r="AR963" s="2">
        <v>12.652553918977695</v>
      </c>
    </row>
    <row r="964" spans="1:44" x14ac:dyDescent="0.25">
      <c r="A964" t="s">
        <v>435</v>
      </c>
      <c r="B964" t="s">
        <v>464</v>
      </c>
      <c r="C964" t="s">
        <v>47</v>
      </c>
      <c r="D964" t="s">
        <v>465</v>
      </c>
      <c r="E964" t="s">
        <v>134</v>
      </c>
      <c r="F964" t="s">
        <v>465</v>
      </c>
      <c r="G964" t="s">
        <v>33</v>
      </c>
      <c r="H964" t="s">
        <v>452</v>
      </c>
      <c r="I964" t="s">
        <v>135</v>
      </c>
      <c r="J964" t="s">
        <v>40</v>
      </c>
      <c r="K964" t="s">
        <v>33</v>
      </c>
      <c r="L964">
        <v>0.1063578652050048</v>
      </c>
      <c r="M964">
        <v>1</v>
      </c>
      <c r="N964">
        <v>3.0509798266011336</v>
      </c>
      <c r="O964">
        <v>1.7054155637884918</v>
      </c>
      <c r="P964">
        <v>-0.5558095120879909</v>
      </c>
      <c r="Q964">
        <v>1.3498045353129324</v>
      </c>
      <c r="R964">
        <v>-0.38209153328775169</v>
      </c>
      <c r="S964" s="2">
        <v>2.8606645227795286E-3</v>
      </c>
      <c r="T964" s="2">
        <v>5.6742009882768613E-3</v>
      </c>
      <c r="U964" s="2">
        <v>9.9971385194265079E-3</v>
      </c>
      <c r="V964" s="2">
        <v>1.6136361476539844E-2</v>
      </c>
      <c r="W964" s="2">
        <v>2.4303938943016891E-2</v>
      </c>
      <c r="X964" s="2">
        <v>3.4540110594179045E-2</v>
      </c>
      <c r="Y964" s="2">
        <v>4.6621856234875247E-2</v>
      </c>
      <c r="Z964" s="2">
        <v>5.9972867977818867E-2</v>
      </c>
      <c r="AA964" s="2">
        <v>7.3604309955684913E-2</v>
      </c>
      <c r="AB964" s="2">
        <v>8.6127885925744996E-2</v>
      </c>
      <c r="AC964" s="2">
        <v>9.5885012662821914E-2</v>
      </c>
      <c r="AD964" s="2">
        <v>0.10121729872702467</v>
      </c>
      <c r="AE964" s="2">
        <v>0.1008563697376291</v>
      </c>
      <c r="AF964" s="2">
        <v>9.4341252096762321E-2</v>
      </c>
      <c r="AG964" s="2">
        <v>8.2307657563579315E-2</v>
      </c>
      <c r="AH964" s="2">
        <v>6.7542820235025322E-2</v>
      </c>
      <c r="AI964" s="2">
        <v>2.4463378567011373E-2</v>
      </c>
      <c r="AJ964" s="2">
        <v>0</v>
      </c>
      <c r="AK964" s="2">
        <v>0</v>
      </c>
      <c r="AL964" s="2">
        <v>0</v>
      </c>
      <c r="AM964" s="2">
        <v>0</v>
      </c>
      <c r="AN964" s="2">
        <v>0</v>
      </c>
      <c r="AO964" s="2">
        <v>0</v>
      </c>
      <c r="AP964" s="2">
        <v>0</v>
      </c>
      <c r="AQ964" s="2">
        <v>0</v>
      </c>
      <c r="AR964" s="2">
        <v>0.92645312472819663</v>
      </c>
    </row>
    <row r="965" spans="1:44" x14ac:dyDescent="0.25">
      <c r="A965" t="s">
        <v>435</v>
      </c>
      <c r="B965" t="s">
        <v>464</v>
      </c>
      <c r="C965" t="s">
        <v>47</v>
      </c>
      <c r="D965" t="s">
        <v>465</v>
      </c>
      <c r="E965" t="s">
        <v>134</v>
      </c>
      <c r="F965" t="s">
        <v>465</v>
      </c>
      <c r="G965" t="s">
        <v>33</v>
      </c>
      <c r="H965" t="s">
        <v>452</v>
      </c>
      <c r="I965" t="s">
        <v>256</v>
      </c>
      <c r="J965" t="s">
        <v>40</v>
      </c>
      <c r="K965" t="s">
        <v>33</v>
      </c>
      <c r="L965">
        <v>0.1063578652050048</v>
      </c>
      <c r="M965">
        <v>1</v>
      </c>
      <c r="N965">
        <v>2.8053992519779527</v>
      </c>
      <c r="O965">
        <v>1.473762203864009</v>
      </c>
      <c r="P965">
        <v>-0.43033342107372458</v>
      </c>
      <c r="Q965">
        <v>1.3498045353129324</v>
      </c>
      <c r="R965">
        <v>-0.25661544227348498</v>
      </c>
      <c r="S965" s="2">
        <v>1.7250128801554503E-2</v>
      </c>
      <c r="T965" s="2">
        <v>3.4216070117365306E-2</v>
      </c>
      <c r="U965" s="2">
        <v>6.0283869616255592E-2</v>
      </c>
      <c r="V965" s="2">
        <v>9.7304074505141572E-2</v>
      </c>
      <c r="W965" s="2">
        <v>0.14655548520761275</v>
      </c>
      <c r="X965" s="2">
        <v>0.20828075149147632</v>
      </c>
      <c r="Y965" s="2">
        <v>0.28113503649764987</v>
      </c>
      <c r="Z965" s="2">
        <v>0.36164313885041005</v>
      </c>
      <c r="AA965" s="2">
        <v>0.44384226705878554</v>
      </c>
      <c r="AB965" s="2">
        <v>0.5193608386421753</v>
      </c>
      <c r="AC965" s="2">
        <v>0.57819741021755533</v>
      </c>
      <c r="AD965" s="2">
        <v>0.61035169488874708</v>
      </c>
      <c r="AE965" s="2">
        <v>0.60817525249023785</v>
      </c>
      <c r="AF965" s="2">
        <v>0.56888836038272395</v>
      </c>
      <c r="AG965" s="2">
        <v>0.49632443197024612</v>
      </c>
      <c r="AH965" s="2">
        <v>0.40729080232810805</v>
      </c>
      <c r="AI965" s="2">
        <v>0.14751692407193065</v>
      </c>
      <c r="AJ965" s="2">
        <v>0</v>
      </c>
      <c r="AK965" s="2">
        <v>0</v>
      </c>
      <c r="AL965" s="2">
        <v>0</v>
      </c>
      <c r="AM965" s="2">
        <v>0</v>
      </c>
      <c r="AN965" s="2">
        <v>0</v>
      </c>
      <c r="AO965" s="2">
        <v>0</v>
      </c>
      <c r="AP965" s="2">
        <v>0</v>
      </c>
      <c r="AQ965" s="2">
        <v>0</v>
      </c>
      <c r="AR965" s="2">
        <v>5.5866165371379752</v>
      </c>
    </row>
    <row r="966" spans="1:44" x14ac:dyDescent="0.25">
      <c r="A966" t="s">
        <v>435</v>
      </c>
      <c r="B966" t="s">
        <v>464</v>
      </c>
      <c r="C966" t="s">
        <v>47</v>
      </c>
      <c r="D966" t="s">
        <v>465</v>
      </c>
      <c r="E966" t="s">
        <v>134</v>
      </c>
      <c r="F966" t="s">
        <v>465</v>
      </c>
      <c r="G966" t="s">
        <v>33</v>
      </c>
      <c r="H966" t="s">
        <v>453</v>
      </c>
      <c r="I966" t="s">
        <v>135</v>
      </c>
      <c r="J966" t="s">
        <v>39</v>
      </c>
      <c r="K966" t="s">
        <v>31</v>
      </c>
      <c r="L966">
        <v>0.1063578652050048</v>
      </c>
      <c r="M966">
        <v>1</v>
      </c>
      <c r="N966">
        <v>3.0509798266011336</v>
      </c>
      <c r="O966">
        <v>2.8779545327574692</v>
      </c>
      <c r="P966">
        <v>-0.5558095120879909</v>
      </c>
      <c r="Q966">
        <v>0.51093654783892051</v>
      </c>
      <c r="R966">
        <v>-0.52509153328775149</v>
      </c>
      <c r="S966" s="2">
        <v>6.0421622410240204E-3</v>
      </c>
      <c r="T966" s="2">
        <v>1.1984782796563502E-2</v>
      </c>
      <c r="U966" s="2">
        <v>2.1115489914795921E-2</v>
      </c>
      <c r="V966" s="2">
        <v>3.4082470434642381E-2</v>
      </c>
      <c r="W966" s="2">
        <v>5.1333646787413763E-2</v>
      </c>
      <c r="X966" s="2">
        <v>7.295401133935292E-2</v>
      </c>
      <c r="Y966" s="2">
        <v>9.847251123144854E-2</v>
      </c>
      <c r="Z966" s="2">
        <v>0.12667189581160943</v>
      </c>
      <c r="AA966" s="2">
        <v>0.15546359206033433</v>
      </c>
      <c r="AB966" s="2">
        <v>0.18191530537601164</v>
      </c>
      <c r="AC966" s="2">
        <v>0.2025238535934622</v>
      </c>
      <c r="AD966" s="2">
        <v>0.21378645962744752</v>
      </c>
      <c r="AE966" s="2">
        <v>0.21302412224253181</v>
      </c>
      <c r="AF966" s="2">
        <v>0.19926319449584662</v>
      </c>
      <c r="AG966" s="2">
        <v>0.17384639712823896</v>
      </c>
      <c r="AH966" s="2">
        <v>0.14266079605860718</v>
      </c>
      <c r="AI966" s="2">
        <v>5.167040772815009E-2</v>
      </c>
      <c r="AJ966" s="2">
        <v>0</v>
      </c>
      <c r="AK966" s="2">
        <v>0</v>
      </c>
      <c r="AL966" s="2">
        <v>0</v>
      </c>
      <c r="AM966" s="2">
        <v>0</v>
      </c>
      <c r="AN966" s="2">
        <v>0</v>
      </c>
      <c r="AO966" s="2">
        <v>0</v>
      </c>
      <c r="AP966" s="2">
        <v>0</v>
      </c>
      <c r="AQ966" s="2">
        <v>0</v>
      </c>
      <c r="AR966" s="2">
        <v>1.9568110988674805</v>
      </c>
    </row>
    <row r="967" spans="1:44" x14ac:dyDescent="0.25">
      <c r="A967" t="s">
        <v>435</v>
      </c>
      <c r="B967" t="s">
        <v>464</v>
      </c>
      <c r="C967" t="s">
        <v>47</v>
      </c>
      <c r="D967" t="s">
        <v>465</v>
      </c>
      <c r="E967" t="s">
        <v>134</v>
      </c>
      <c r="F967" t="s">
        <v>465</v>
      </c>
      <c r="G967" t="s">
        <v>33</v>
      </c>
      <c r="H967" t="s">
        <v>453</v>
      </c>
      <c r="I967" t="s">
        <v>135</v>
      </c>
      <c r="J967" t="s">
        <v>39</v>
      </c>
      <c r="K967" t="s">
        <v>33</v>
      </c>
      <c r="L967">
        <v>0.1063578652050048</v>
      </c>
      <c r="M967">
        <v>1</v>
      </c>
      <c r="N967">
        <v>3.0509798266011336</v>
      </c>
      <c r="O967">
        <v>2.8779545327574692</v>
      </c>
      <c r="P967">
        <v>-0.5558095120879909</v>
      </c>
      <c r="Q967">
        <v>0.51093654783892051</v>
      </c>
      <c r="R967">
        <v>-0.52509153328775149</v>
      </c>
      <c r="S967" s="2">
        <v>5.4976662880656581E-3</v>
      </c>
      <c r="T967" s="2">
        <v>1.0904761196761531E-2</v>
      </c>
      <c r="U967" s="2">
        <v>1.9212644816516841E-2</v>
      </c>
      <c r="V967" s="2">
        <v>3.1011091931681056E-2</v>
      </c>
      <c r="W967" s="2">
        <v>4.6707659961610873E-2</v>
      </c>
      <c r="X967" s="2">
        <v>6.6379682093995904E-2</v>
      </c>
      <c r="Y967" s="2">
        <v>8.9598554905164343E-2</v>
      </c>
      <c r="Z967" s="2">
        <v>0.11525672159555009</v>
      </c>
      <c r="AA967" s="2">
        <v>0.14145382315103813</v>
      </c>
      <c r="AB967" s="2">
        <v>0.16552181185379275</v>
      </c>
      <c r="AC967" s="2">
        <v>0.1842731985695939</v>
      </c>
      <c r="AD967" s="2">
        <v>0.19452086273994765</v>
      </c>
      <c r="AE967" s="2">
        <v>0.19382722420890536</v>
      </c>
      <c r="AF967" s="2">
        <v>0.18130637727569937</v>
      </c>
      <c r="AG967" s="2">
        <v>0.15818004195657182</v>
      </c>
      <c r="AH967" s="2">
        <v>0.12980476488944659</v>
      </c>
      <c r="AI967" s="2">
        <v>4.7014073327748325E-2</v>
      </c>
      <c r="AJ967" s="2">
        <v>0</v>
      </c>
      <c r="AK967" s="2">
        <v>0</v>
      </c>
      <c r="AL967" s="2">
        <v>0</v>
      </c>
      <c r="AM967" s="2">
        <v>0</v>
      </c>
      <c r="AN967" s="2">
        <v>0</v>
      </c>
      <c r="AO967" s="2">
        <v>0</v>
      </c>
      <c r="AP967" s="2">
        <v>0</v>
      </c>
      <c r="AQ967" s="2">
        <v>0</v>
      </c>
      <c r="AR967" s="2">
        <v>1.7804709607620903</v>
      </c>
    </row>
    <row r="968" spans="1:44" x14ac:dyDescent="0.25">
      <c r="A968" t="s">
        <v>435</v>
      </c>
      <c r="B968" t="s">
        <v>464</v>
      </c>
      <c r="C968" t="s">
        <v>47</v>
      </c>
      <c r="D968" t="s">
        <v>465</v>
      </c>
      <c r="E968" t="s">
        <v>134</v>
      </c>
      <c r="F968" t="s">
        <v>465</v>
      </c>
      <c r="G968" t="s">
        <v>33</v>
      </c>
      <c r="H968" t="s">
        <v>453</v>
      </c>
      <c r="I968" t="s">
        <v>135</v>
      </c>
      <c r="J968" t="s">
        <v>40</v>
      </c>
      <c r="K968" t="s">
        <v>33</v>
      </c>
      <c r="L968">
        <v>0.1063578652050048</v>
      </c>
      <c r="M968">
        <v>1</v>
      </c>
      <c r="N968">
        <v>3.0509798266011336</v>
      </c>
      <c r="O968">
        <v>1.7054155637884918</v>
      </c>
      <c r="P968">
        <v>-0.5558095120879909</v>
      </c>
      <c r="Q968">
        <v>1.3498045353129324</v>
      </c>
      <c r="R968">
        <v>-0.38209153328775169</v>
      </c>
      <c r="S968" s="2">
        <v>0.11195786456431472</v>
      </c>
      <c r="T968" s="2">
        <v>0.22207127773897384</v>
      </c>
      <c r="U968" s="2">
        <v>0.39125814001466125</v>
      </c>
      <c r="V968" s="2">
        <v>0.63152898858476425</v>
      </c>
      <c r="W968" s="2">
        <v>0.9511835739193274</v>
      </c>
      <c r="X968" s="2">
        <v>1.3517967567137832</v>
      </c>
      <c r="Y968" s="2">
        <v>1.8246401926953233</v>
      </c>
      <c r="Z968" s="2">
        <v>2.3471589125977541</v>
      </c>
      <c r="AA968" s="2">
        <v>2.8806528342448052</v>
      </c>
      <c r="AB968" s="2">
        <v>3.370788189562369</v>
      </c>
      <c r="AC968" s="2">
        <v>3.7526529853354531</v>
      </c>
      <c r="AD968" s="2">
        <v>3.9613427342523009</v>
      </c>
      <c r="AE968" s="2">
        <v>3.9472170517088543</v>
      </c>
      <c r="AF968" s="2">
        <v>3.69223480802094</v>
      </c>
      <c r="AG968" s="2">
        <v>3.2212758625592266</v>
      </c>
      <c r="AH968" s="2">
        <v>2.6434242323589019</v>
      </c>
      <c r="AI968" s="2">
        <v>0.95742356455339006</v>
      </c>
      <c r="AJ968" s="2">
        <v>0</v>
      </c>
      <c r="AK968" s="2">
        <v>0</v>
      </c>
      <c r="AL968" s="2">
        <v>0</v>
      </c>
      <c r="AM968" s="2">
        <v>0</v>
      </c>
      <c r="AN968" s="2">
        <v>0</v>
      </c>
      <c r="AO968" s="2">
        <v>0</v>
      </c>
      <c r="AP968" s="2">
        <v>0</v>
      </c>
      <c r="AQ968" s="2">
        <v>0</v>
      </c>
      <c r="AR968" s="2">
        <v>36.25860796942515</v>
      </c>
    </row>
    <row r="969" spans="1:44" x14ac:dyDescent="0.25">
      <c r="A969" t="s">
        <v>435</v>
      </c>
      <c r="B969" t="s">
        <v>464</v>
      </c>
      <c r="C969" t="s">
        <v>47</v>
      </c>
      <c r="D969" t="s">
        <v>465</v>
      </c>
      <c r="E969" t="s">
        <v>134</v>
      </c>
      <c r="F969" t="s">
        <v>465</v>
      </c>
      <c r="G969" t="s">
        <v>33</v>
      </c>
      <c r="H969" t="s">
        <v>453</v>
      </c>
      <c r="I969" t="s">
        <v>256</v>
      </c>
      <c r="J969" t="s">
        <v>40</v>
      </c>
      <c r="K969" t="s">
        <v>33</v>
      </c>
      <c r="L969">
        <v>0.1063578652050048</v>
      </c>
      <c r="M969">
        <v>1</v>
      </c>
      <c r="N969">
        <v>2.8053992519779527</v>
      </c>
      <c r="O969">
        <v>1.473762203864009</v>
      </c>
      <c r="P969">
        <v>-0.43033342107372458</v>
      </c>
      <c r="Q969">
        <v>1.3498045353129324</v>
      </c>
      <c r="R969">
        <v>-0.25661544227348498</v>
      </c>
      <c r="S969" s="2">
        <v>5.763559979922183E-2</v>
      </c>
      <c r="T969" s="2">
        <v>0.11432168111167186</v>
      </c>
      <c r="U969" s="2">
        <v>0.20141861104468217</v>
      </c>
      <c r="V969" s="2">
        <v>0.32510938100975911</v>
      </c>
      <c r="W969" s="2">
        <v>0.48966667965085309</v>
      </c>
      <c r="X969" s="2">
        <v>0.69590124090911853</v>
      </c>
      <c r="Y969" s="2">
        <v>0.93931973723338202</v>
      </c>
      <c r="Z969" s="2">
        <v>1.2083109326718953</v>
      </c>
      <c r="AA969" s="2">
        <v>1.4829521316892573</v>
      </c>
      <c r="AB969" s="2">
        <v>1.7352724603813483</v>
      </c>
      <c r="AC969" s="2">
        <v>1.9318554037255911</v>
      </c>
      <c r="AD969" s="2">
        <v>2.0392883107176853</v>
      </c>
      <c r="AE969" s="2">
        <v>2.032016448315404</v>
      </c>
      <c r="AF969" s="2">
        <v>1.9007522927306746</v>
      </c>
      <c r="AG969" s="2">
        <v>1.6583039269269317</v>
      </c>
      <c r="AH969" s="2">
        <v>1.3608275019240086</v>
      </c>
      <c r="AI969" s="2">
        <v>0.49287900961387415</v>
      </c>
      <c r="AJ969" s="2">
        <v>0</v>
      </c>
      <c r="AK969" s="2">
        <v>0</v>
      </c>
      <c r="AL969" s="2">
        <v>0</v>
      </c>
      <c r="AM969" s="2">
        <v>0</v>
      </c>
      <c r="AN969" s="2">
        <v>0</v>
      </c>
      <c r="AO969" s="2">
        <v>0</v>
      </c>
      <c r="AP969" s="2">
        <v>0</v>
      </c>
      <c r="AQ969" s="2">
        <v>0</v>
      </c>
      <c r="AR969" s="2">
        <v>18.66583134945536</v>
      </c>
    </row>
    <row r="970" spans="1:44" x14ac:dyDescent="0.25">
      <c r="A970" t="s">
        <v>435</v>
      </c>
      <c r="B970" t="s">
        <v>464</v>
      </c>
      <c r="C970" t="s">
        <v>47</v>
      </c>
      <c r="D970" t="s">
        <v>465</v>
      </c>
      <c r="E970" t="s">
        <v>134</v>
      </c>
      <c r="F970" t="s">
        <v>465</v>
      </c>
      <c r="G970" t="s">
        <v>33</v>
      </c>
      <c r="H970" t="s">
        <v>454</v>
      </c>
      <c r="I970" t="s">
        <v>135</v>
      </c>
      <c r="J970" t="s">
        <v>39</v>
      </c>
      <c r="K970" t="s">
        <v>31</v>
      </c>
      <c r="L970">
        <v>0.1063578652050048</v>
      </c>
      <c r="M970">
        <v>1</v>
      </c>
      <c r="N970">
        <v>3.0509798266011336</v>
      </c>
      <c r="O970">
        <v>2.8779545327574692</v>
      </c>
      <c r="P970">
        <v>-0.5558095120879909</v>
      </c>
      <c r="Q970">
        <v>0.51093654783892051</v>
      </c>
      <c r="R970">
        <v>-0.52509153328775149</v>
      </c>
      <c r="S970" s="2">
        <v>3.3270627483758796E-4</v>
      </c>
      <c r="T970" s="2">
        <v>6.5993137554453839E-4</v>
      </c>
      <c r="U970" s="2">
        <v>1.1627056193929302E-3</v>
      </c>
      <c r="V970" s="2">
        <v>1.8767208365544146E-3</v>
      </c>
      <c r="W970" s="2">
        <v>2.8266414762100813E-3</v>
      </c>
      <c r="X970" s="2">
        <v>4.0171475672029656E-3</v>
      </c>
      <c r="Y970" s="2">
        <v>5.4223010039805277E-3</v>
      </c>
      <c r="Z970" s="2">
        <v>6.975074965043143E-3</v>
      </c>
      <c r="AA970" s="2">
        <v>8.5604640398563962E-3</v>
      </c>
      <c r="AB970" s="2">
        <v>1.0017004041476624E-2</v>
      </c>
      <c r="AC970" s="2">
        <v>1.1151795368443164E-2</v>
      </c>
      <c r="AD970" s="2">
        <v>1.1771960724660998E-2</v>
      </c>
      <c r="AE970" s="2">
        <v>1.1729983296484269E-2</v>
      </c>
      <c r="AF970" s="2">
        <v>1.0972250083393172E-2</v>
      </c>
      <c r="AG970" s="2">
        <v>9.572696805418732E-3</v>
      </c>
      <c r="AH970" s="2">
        <v>7.8554894967500666E-3</v>
      </c>
      <c r="AI970" s="2">
        <v>2.8451849170568655E-3</v>
      </c>
      <c r="AJ970" s="2">
        <v>0</v>
      </c>
      <c r="AK970" s="2">
        <v>0</v>
      </c>
      <c r="AL970" s="2">
        <v>0</v>
      </c>
      <c r="AM970" s="2">
        <v>0</v>
      </c>
      <c r="AN970" s="2">
        <v>0</v>
      </c>
      <c r="AO970" s="2">
        <v>0</v>
      </c>
      <c r="AP970" s="2">
        <v>0</v>
      </c>
      <c r="AQ970" s="2">
        <v>0</v>
      </c>
      <c r="AR970" s="2">
        <v>0.10775005789230646</v>
      </c>
    </row>
    <row r="971" spans="1:44" x14ac:dyDescent="0.25">
      <c r="A971" t="s">
        <v>435</v>
      </c>
      <c r="B971" t="s">
        <v>464</v>
      </c>
      <c r="C971" t="s">
        <v>47</v>
      </c>
      <c r="D971" t="s">
        <v>465</v>
      </c>
      <c r="E971" t="s">
        <v>134</v>
      </c>
      <c r="F971" t="s">
        <v>465</v>
      </c>
      <c r="G971" t="s">
        <v>33</v>
      </c>
      <c r="H971" t="s">
        <v>454</v>
      </c>
      <c r="I971" t="s">
        <v>135</v>
      </c>
      <c r="J971" t="s">
        <v>39</v>
      </c>
      <c r="K971" t="s">
        <v>33</v>
      </c>
      <c r="L971">
        <v>0.1063578652050048</v>
      </c>
      <c r="M971">
        <v>1</v>
      </c>
      <c r="N971">
        <v>3.0509798266011336</v>
      </c>
      <c r="O971">
        <v>2.8779545327574692</v>
      </c>
      <c r="P971">
        <v>-0.5558095120879909</v>
      </c>
      <c r="Q971">
        <v>0.51093654783892051</v>
      </c>
      <c r="R971">
        <v>-0.52509153328775149</v>
      </c>
      <c r="S971" s="2">
        <v>2.6699692478256401E-3</v>
      </c>
      <c r="T971" s="2">
        <v>5.2959520503162065E-3</v>
      </c>
      <c r="U971" s="2">
        <v>9.3307174611257596E-3</v>
      </c>
      <c r="V971" s="2">
        <v>1.5060692566739038E-2</v>
      </c>
      <c r="W971" s="2">
        <v>2.2683809675045991E-2</v>
      </c>
      <c r="X971" s="2">
        <v>3.2237626037096186E-2</v>
      </c>
      <c r="Y971" s="2">
        <v>4.3513988247289005E-2</v>
      </c>
      <c r="Z971" s="2">
        <v>5.5975005782607244E-2</v>
      </c>
      <c r="AA971" s="2">
        <v>6.8697759742256656E-2</v>
      </c>
      <c r="AB971" s="2">
        <v>8.0386499350345822E-2</v>
      </c>
      <c r="AC971" s="2">
        <v>8.9493204497938725E-2</v>
      </c>
      <c r="AD971" s="2">
        <v>9.4470034076751891E-2</v>
      </c>
      <c r="AE971" s="2">
        <v>9.413316503997346E-2</v>
      </c>
      <c r="AF971" s="2">
        <v>8.8052352834081207E-2</v>
      </c>
      <c r="AG971" s="2">
        <v>7.6820931921718044E-2</v>
      </c>
      <c r="AH971" s="2">
        <v>6.3040336083767898E-2</v>
      </c>
      <c r="AI971" s="2">
        <v>2.2832620865438764E-2</v>
      </c>
      <c r="AJ971" s="2">
        <v>0</v>
      </c>
      <c r="AK971" s="2">
        <v>0</v>
      </c>
      <c r="AL971" s="2">
        <v>0</v>
      </c>
      <c r="AM971" s="2">
        <v>0</v>
      </c>
      <c r="AN971" s="2">
        <v>0</v>
      </c>
      <c r="AO971" s="2">
        <v>0</v>
      </c>
      <c r="AP971" s="2">
        <v>0</v>
      </c>
      <c r="AQ971" s="2">
        <v>0</v>
      </c>
      <c r="AR971" s="2">
        <v>0.86469466548031748</v>
      </c>
    </row>
    <row r="972" spans="1:44" x14ac:dyDescent="0.25">
      <c r="A972" t="s">
        <v>435</v>
      </c>
      <c r="B972" t="s">
        <v>464</v>
      </c>
      <c r="C972" t="s">
        <v>47</v>
      </c>
      <c r="D972" t="s">
        <v>465</v>
      </c>
      <c r="E972" t="s">
        <v>134</v>
      </c>
      <c r="F972" t="s">
        <v>465</v>
      </c>
      <c r="G972" t="s">
        <v>33</v>
      </c>
      <c r="H972" t="s">
        <v>455</v>
      </c>
      <c r="I972" t="s">
        <v>135</v>
      </c>
      <c r="J972" t="s">
        <v>39</v>
      </c>
      <c r="K972" t="s">
        <v>31</v>
      </c>
      <c r="L972">
        <v>0.1063578652050048</v>
      </c>
      <c r="M972">
        <v>1</v>
      </c>
      <c r="N972">
        <v>3.0509798266011336</v>
      </c>
      <c r="O972">
        <v>2.8779545327574692</v>
      </c>
      <c r="P972">
        <v>-0.5558095120879909</v>
      </c>
      <c r="Q972">
        <v>0.51093654783892051</v>
      </c>
      <c r="R972">
        <v>-0.52509153328775149</v>
      </c>
      <c r="S972" s="2">
        <v>7.8390529847990976E-5</v>
      </c>
      <c r="T972" s="2">
        <v>1.5548961382680043E-4</v>
      </c>
      <c r="U972" s="2">
        <v>2.7395067798448107E-4</v>
      </c>
      <c r="V972" s="2">
        <v>4.4218324654706707E-4</v>
      </c>
      <c r="W972" s="2">
        <v>6.659986293272702E-4</v>
      </c>
      <c r="X972" s="2">
        <v>9.4649951048963934E-4</v>
      </c>
      <c r="Y972" s="2">
        <v>1.2775744879017401E-3</v>
      </c>
      <c r="Z972" s="2">
        <v>1.6434310489217621E-3</v>
      </c>
      <c r="AA972" s="2">
        <v>2.0169722141747904E-3</v>
      </c>
      <c r="AB972" s="2">
        <v>2.3601546279346159E-3</v>
      </c>
      <c r="AC972" s="2">
        <v>2.6275282848674062E-3</v>
      </c>
      <c r="AD972" s="2">
        <v>2.7736484351140941E-3</v>
      </c>
      <c r="AE972" s="2">
        <v>2.7637579308305896E-3</v>
      </c>
      <c r="AF972" s="2">
        <v>2.5852247544225779E-3</v>
      </c>
      <c r="AG972" s="2">
        <v>2.2554692574321307E-3</v>
      </c>
      <c r="AH972" s="2">
        <v>1.8508697624238354E-3</v>
      </c>
      <c r="AI972" s="2">
        <v>6.7036773884855488E-4</v>
      </c>
      <c r="AJ972" s="2">
        <v>0</v>
      </c>
      <c r="AK972" s="2">
        <v>0</v>
      </c>
      <c r="AL972" s="2">
        <v>0</v>
      </c>
      <c r="AM972" s="2">
        <v>0</v>
      </c>
      <c r="AN972" s="2">
        <v>0</v>
      </c>
      <c r="AO972" s="2">
        <v>0</v>
      </c>
      <c r="AP972" s="2">
        <v>0</v>
      </c>
      <c r="AQ972" s="2">
        <v>0</v>
      </c>
      <c r="AR972" s="2">
        <v>2.5387510750895344E-2</v>
      </c>
    </row>
    <row r="973" spans="1:44" x14ac:dyDescent="0.25">
      <c r="A973" t="s">
        <v>435</v>
      </c>
      <c r="B973" t="s">
        <v>464</v>
      </c>
      <c r="C973" t="s">
        <v>47</v>
      </c>
      <c r="D973" t="s">
        <v>465</v>
      </c>
      <c r="E973" t="s">
        <v>134</v>
      </c>
      <c r="F973" t="s">
        <v>465</v>
      </c>
      <c r="G973" t="s">
        <v>33</v>
      </c>
      <c r="H973" t="s">
        <v>455</v>
      </c>
      <c r="I973" t="s">
        <v>135</v>
      </c>
      <c r="J973" t="s">
        <v>39</v>
      </c>
      <c r="K973" t="s">
        <v>33</v>
      </c>
      <c r="L973">
        <v>0.1063578652050048</v>
      </c>
      <c r="M973">
        <v>1</v>
      </c>
      <c r="N973">
        <v>3.0509798266011336</v>
      </c>
      <c r="O973">
        <v>2.8779545327574692</v>
      </c>
      <c r="P973">
        <v>-0.5558095120879909</v>
      </c>
      <c r="Q973">
        <v>0.51093654783892051</v>
      </c>
      <c r="R973">
        <v>-0.52509153328775149</v>
      </c>
      <c r="S973" s="2">
        <v>1.9931402153698296E-3</v>
      </c>
      <c r="T973" s="2">
        <v>3.9534444146694719E-3</v>
      </c>
      <c r="U973" s="2">
        <v>6.9654091428837705E-3</v>
      </c>
      <c r="V973" s="2">
        <v>1.1242853096729498E-2</v>
      </c>
      <c r="W973" s="2">
        <v>1.6933533349849997E-2</v>
      </c>
      <c r="X973" s="2">
        <v>2.406548650510373E-2</v>
      </c>
      <c r="Y973" s="2">
        <v>3.248332540812305E-2</v>
      </c>
      <c r="Z973" s="2">
        <v>4.1785513137175621E-2</v>
      </c>
      <c r="AA973" s="2">
        <v>5.1283087908077618E-2</v>
      </c>
      <c r="AB973" s="2">
        <v>6.0008767800773563E-2</v>
      </c>
      <c r="AC973" s="2">
        <v>6.6806951065979531E-2</v>
      </c>
      <c r="AD973" s="2">
        <v>7.0522169578946609E-2</v>
      </c>
      <c r="AE973" s="2">
        <v>7.0270695811949946E-2</v>
      </c>
      <c r="AF973" s="2">
        <v>6.5731350888952877E-2</v>
      </c>
      <c r="AG973" s="2">
        <v>5.7347060802313443E-2</v>
      </c>
      <c r="AH973" s="2">
        <v>4.7059803831565661E-2</v>
      </c>
      <c r="AI973" s="2">
        <v>1.7044621358938725E-2</v>
      </c>
      <c r="AJ973" s="2">
        <v>0</v>
      </c>
      <c r="AK973" s="2">
        <v>0</v>
      </c>
      <c r="AL973" s="2">
        <v>0</v>
      </c>
      <c r="AM973" s="2">
        <v>0</v>
      </c>
      <c r="AN973" s="2">
        <v>0</v>
      </c>
      <c r="AO973" s="2">
        <v>0</v>
      </c>
      <c r="AP973" s="2">
        <v>0</v>
      </c>
      <c r="AQ973" s="2">
        <v>0</v>
      </c>
      <c r="AR973" s="2">
        <v>0.64549721431740281</v>
      </c>
    </row>
    <row r="974" spans="1:44" x14ac:dyDescent="0.25">
      <c r="A974" t="s">
        <v>435</v>
      </c>
      <c r="B974" t="s">
        <v>464</v>
      </c>
      <c r="C974" t="s">
        <v>47</v>
      </c>
      <c r="D974" t="s">
        <v>465</v>
      </c>
      <c r="E974" t="s">
        <v>134</v>
      </c>
      <c r="F974" t="s">
        <v>465</v>
      </c>
      <c r="G974" t="s">
        <v>33</v>
      </c>
      <c r="H974" t="s">
        <v>456</v>
      </c>
      <c r="I974" t="s">
        <v>135</v>
      </c>
      <c r="J974" t="s">
        <v>39</v>
      </c>
      <c r="K974" t="s">
        <v>31</v>
      </c>
      <c r="L974">
        <v>0.1063578652050048</v>
      </c>
      <c r="M974">
        <v>1</v>
      </c>
      <c r="N974">
        <v>3.0509798266011336</v>
      </c>
      <c r="O974">
        <v>2.8779545327574692</v>
      </c>
      <c r="P974">
        <v>-0.5558095120879909</v>
      </c>
      <c r="Q974">
        <v>0.51093654783892051</v>
      </c>
      <c r="R974">
        <v>-0.52509153328775149</v>
      </c>
      <c r="S974" s="2">
        <v>1.4130078638966724E-2</v>
      </c>
      <c r="T974" s="2">
        <v>2.802737110178578E-2</v>
      </c>
      <c r="U974" s="2">
        <v>4.9380258439702007E-2</v>
      </c>
      <c r="V974" s="2">
        <v>7.9704577308757629E-2</v>
      </c>
      <c r="W974" s="2">
        <v>0.12004783006425308</v>
      </c>
      <c r="X974" s="2">
        <v>0.17060877813807598</v>
      </c>
      <c r="Y974" s="2">
        <v>0.23028582682365786</v>
      </c>
      <c r="Z974" s="2">
        <v>0.29623233831961665</v>
      </c>
      <c r="AA974" s="2">
        <v>0.3635640179262169</v>
      </c>
      <c r="AB974" s="2">
        <v>0.42542346068467179</v>
      </c>
      <c r="AC974" s="2">
        <v>0.47361819550499346</v>
      </c>
      <c r="AD974" s="2">
        <v>0.49995669860896569</v>
      </c>
      <c r="AE974" s="2">
        <v>0.49817391179050741</v>
      </c>
      <c r="AF974" s="2">
        <v>0.46599288396480526</v>
      </c>
      <c r="AG974" s="2">
        <v>0.40655367474984172</v>
      </c>
      <c r="AH974" s="2">
        <v>0.33362365765671265</v>
      </c>
      <c r="AI974" s="2">
        <v>0.12083537240179916</v>
      </c>
      <c r="AJ974" s="2">
        <v>0</v>
      </c>
      <c r="AK974" s="2">
        <v>0</v>
      </c>
      <c r="AL974" s="2">
        <v>0</v>
      </c>
      <c r="AM974" s="2">
        <v>0</v>
      </c>
      <c r="AN974" s="2">
        <v>0</v>
      </c>
      <c r="AO974" s="2">
        <v>0</v>
      </c>
      <c r="AP974" s="2">
        <v>0</v>
      </c>
      <c r="AQ974" s="2">
        <v>0</v>
      </c>
      <c r="AR974" s="2">
        <v>4.5761589321233291</v>
      </c>
    </row>
    <row r="975" spans="1:44" x14ac:dyDescent="0.25">
      <c r="A975" t="s">
        <v>435</v>
      </c>
      <c r="B975" t="s">
        <v>464</v>
      </c>
      <c r="C975" t="s">
        <v>47</v>
      </c>
      <c r="D975" t="s">
        <v>465</v>
      </c>
      <c r="E975" t="s">
        <v>134</v>
      </c>
      <c r="F975" t="s">
        <v>465</v>
      </c>
      <c r="G975" t="s">
        <v>33</v>
      </c>
      <c r="H975" t="s">
        <v>456</v>
      </c>
      <c r="I975" t="s">
        <v>135</v>
      </c>
      <c r="J975" t="s">
        <v>39</v>
      </c>
      <c r="K975" t="s">
        <v>33</v>
      </c>
      <c r="L975">
        <v>0.1063578652050048</v>
      </c>
      <c r="M975">
        <v>1</v>
      </c>
      <c r="N975">
        <v>3.0509798266011336</v>
      </c>
      <c r="O975">
        <v>2.8779545327574692</v>
      </c>
      <c r="P975">
        <v>-0.5558095120879909</v>
      </c>
      <c r="Q975">
        <v>0.51093654783892051</v>
      </c>
      <c r="R975">
        <v>-0.52509153328775149</v>
      </c>
      <c r="S975" s="2">
        <v>1.3046297740869732E-2</v>
      </c>
      <c r="T975" s="2">
        <v>2.5877664069000831E-2</v>
      </c>
      <c r="U975" s="2">
        <v>4.5592779105195248E-2</v>
      </c>
      <c r="V975" s="2">
        <v>7.3591214419190351E-2</v>
      </c>
      <c r="W975" s="2">
        <v>0.1108401286490014</v>
      </c>
      <c r="X975" s="2">
        <v>0.15752303817030211</v>
      </c>
      <c r="Y975" s="2">
        <v>0.21262284089195305</v>
      </c>
      <c r="Z975" s="2">
        <v>0.27351123691087859</v>
      </c>
      <c r="AA975" s="2">
        <v>0.33567855826732851</v>
      </c>
      <c r="AB975" s="2">
        <v>0.39279336483928301</v>
      </c>
      <c r="AC975" s="2">
        <v>0.43729155031110567</v>
      </c>
      <c r="AD975" s="2">
        <v>0.461609883019859</v>
      </c>
      <c r="AE975" s="2">
        <v>0.45996383643820998</v>
      </c>
      <c r="AF975" s="2">
        <v>0.43025110225260416</v>
      </c>
      <c r="AG975" s="2">
        <v>0.37537089664909401</v>
      </c>
      <c r="AH975" s="2">
        <v>0.30803463182323465</v>
      </c>
      <c r="AI975" s="2">
        <v>0.11156726627375864</v>
      </c>
      <c r="AJ975" s="2">
        <v>0</v>
      </c>
      <c r="AK975" s="2">
        <v>0</v>
      </c>
      <c r="AL975" s="2">
        <v>0</v>
      </c>
      <c r="AM975" s="2">
        <v>0</v>
      </c>
      <c r="AN975" s="2">
        <v>0</v>
      </c>
      <c r="AO975" s="2">
        <v>0</v>
      </c>
      <c r="AP975" s="2">
        <v>0</v>
      </c>
      <c r="AQ975" s="2">
        <v>0</v>
      </c>
      <c r="AR975" s="2">
        <v>4.2251662898308684</v>
      </c>
    </row>
    <row r="976" spans="1:44" x14ac:dyDescent="0.25">
      <c r="A976" t="s">
        <v>435</v>
      </c>
      <c r="B976" t="s">
        <v>464</v>
      </c>
      <c r="C976" t="s">
        <v>47</v>
      </c>
      <c r="D976" t="s">
        <v>465</v>
      </c>
      <c r="E976" t="s">
        <v>134</v>
      </c>
      <c r="F976" t="s">
        <v>465</v>
      </c>
      <c r="G976" t="s">
        <v>33</v>
      </c>
      <c r="H976" t="s">
        <v>456</v>
      </c>
      <c r="I976" t="s">
        <v>135</v>
      </c>
      <c r="J976" t="s">
        <v>40</v>
      </c>
      <c r="K976" t="s">
        <v>33</v>
      </c>
      <c r="L976">
        <v>0.1063578652050048</v>
      </c>
      <c r="M976">
        <v>1</v>
      </c>
      <c r="N976">
        <v>3.0509798266011336</v>
      </c>
      <c r="O976">
        <v>1.7054155637884918</v>
      </c>
      <c r="P976">
        <v>-0.5558095120879909</v>
      </c>
      <c r="Q976">
        <v>1.3498045353129324</v>
      </c>
      <c r="R976">
        <v>-0.38209153328775169</v>
      </c>
      <c r="S976" s="2">
        <v>4.8163197081824691E-2</v>
      </c>
      <c r="T976" s="2">
        <v>9.5532928906576733E-2</v>
      </c>
      <c r="U976" s="2">
        <v>0.16831549066005203</v>
      </c>
      <c r="V976" s="2">
        <v>0.27167769998525243</v>
      </c>
      <c r="W976" s="2">
        <v>0.40919002974868268</v>
      </c>
      <c r="X976" s="2">
        <v>0.58152996988234285</v>
      </c>
      <c r="Y976" s="2">
        <v>0.78494267058586209</v>
      </c>
      <c r="Z976" s="2">
        <v>1.0097252009024056</v>
      </c>
      <c r="AA976" s="2">
        <v>1.2392291575045962</v>
      </c>
      <c r="AB976" s="2">
        <v>1.4500806756788212</v>
      </c>
      <c r="AC976" s="2">
        <v>1.6143552399445993</v>
      </c>
      <c r="AD976" s="2">
        <v>1.7041315637888679</v>
      </c>
      <c r="AE976" s="2">
        <v>1.6980548309492152</v>
      </c>
      <c r="AF976" s="2">
        <v>1.5883639208653402</v>
      </c>
      <c r="AG976" s="2">
        <v>1.3857619098677965</v>
      </c>
      <c r="AH976" s="2">
        <v>1.1371756934577457</v>
      </c>
      <c r="AI976" s="2">
        <v>0.41187441373426886</v>
      </c>
      <c r="AJ976" s="2">
        <v>0</v>
      </c>
      <c r="AK976" s="2">
        <v>0</v>
      </c>
      <c r="AL976" s="2">
        <v>0</v>
      </c>
      <c r="AM976" s="2">
        <v>0</v>
      </c>
      <c r="AN976" s="2">
        <v>0</v>
      </c>
      <c r="AO976" s="2">
        <v>0</v>
      </c>
      <c r="AP976" s="2">
        <v>0</v>
      </c>
      <c r="AQ976" s="2">
        <v>0</v>
      </c>
      <c r="AR976" s="2">
        <v>15.598104593544251</v>
      </c>
    </row>
    <row r="977" spans="1:44" x14ac:dyDescent="0.25">
      <c r="A977" t="s">
        <v>435</v>
      </c>
      <c r="B977" t="s">
        <v>464</v>
      </c>
      <c r="C977" t="s">
        <v>47</v>
      </c>
      <c r="D977" t="s">
        <v>465</v>
      </c>
      <c r="E977" t="s">
        <v>134</v>
      </c>
      <c r="F977" t="s">
        <v>465</v>
      </c>
      <c r="G977" t="s">
        <v>33</v>
      </c>
      <c r="H977" t="s">
        <v>456</v>
      </c>
      <c r="I977" t="s">
        <v>256</v>
      </c>
      <c r="J977" t="s">
        <v>40</v>
      </c>
      <c r="K977" t="s">
        <v>33</v>
      </c>
      <c r="L977">
        <v>0.1063578652050048</v>
      </c>
      <c r="M977">
        <v>1</v>
      </c>
      <c r="N977">
        <v>2.8053992519779527</v>
      </c>
      <c r="O977">
        <v>1.473762203864009</v>
      </c>
      <c r="P977">
        <v>-0.43033342107372458</v>
      </c>
      <c r="Q977">
        <v>1.3498045353129324</v>
      </c>
      <c r="R977">
        <v>-0.25661544227348498</v>
      </c>
      <c r="S977" s="2">
        <v>7.2325713891478391E-2</v>
      </c>
      <c r="T977" s="2">
        <v>0.1434598968082092</v>
      </c>
      <c r="U977" s="2">
        <v>0.25275602033438616</v>
      </c>
      <c r="V977" s="2">
        <v>0.40797299162773615</v>
      </c>
      <c r="W977" s="2">
        <v>0.61447251868620201</v>
      </c>
      <c r="X977" s="2">
        <v>0.87327197464850947</v>
      </c>
      <c r="Y977" s="2">
        <v>1.178732776346981</v>
      </c>
      <c r="Z977" s="2">
        <v>1.5162842255968481</v>
      </c>
      <c r="AA977" s="2">
        <v>1.8609257466730367</v>
      </c>
      <c r="AB977" s="2">
        <v>2.1775572724237993</v>
      </c>
      <c r="AC977" s="2">
        <v>2.424245114066637</v>
      </c>
      <c r="AD977" s="2">
        <v>2.5590604316951167</v>
      </c>
      <c r="AE977" s="2">
        <v>2.5499351230074692</v>
      </c>
      <c r="AF977" s="2">
        <v>2.3852144678203988</v>
      </c>
      <c r="AG977" s="2">
        <v>2.080971062708568</v>
      </c>
      <c r="AH977" s="2">
        <v>1.7076740921006248</v>
      </c>
      <c r="AI977" s="2">
        <v>0.61850360465806786</v>
      </c>
      <c r="AJ977" s="2">
        <v>0</v>
      </c>
      <c r="AK977" s="2">
        <v>0</v>
      </c>
      <c r="AL977" s="2">
        <v>0</v>
      </c>
      <c r="AM977" s="2">
        <v>0</v>
      </c>
      <c r="AN977" s="2">
        <v>0</v>
      </c>
      <c r="AO977" s="2">
        <v>0</v>
      </c>
      <c r="AP977" s="2">
        <v>0</v>
      </c>
      <c r="AQ977" s="2">
        <v>0</v>
      </c>
      <c r="AR977" s="2">
        <v>23.423363033094066</v>
      </c>
    </row>
    <row r="978" spans="1:44" x14ac:dyDescent="0.25">
      <c r="A978" t="s">
        <v>435</v>
      </c>
      <c r="B978" t="s">
        <v>464</v>
      </c>
      <c r="C978" t="s">
        <v>47</v>
      </c>
      <c r="D978" t="s">
        <v>465</v>
      </c>
      <c r="E978" t="s">
        <v>134</v>
      </c>
      <c r="F978" t="s">
        <v>465</v>
      </c>
      <c r="G978" t="s">
        <v>33</v>
      </c>
      <c r="H978" t="s">
        <v>457</v>
      </c>
      <c r="I978" t="s">
        <v>135</v>
      </c>
      <c r="J978" t="s">
        <v>39</v>
      </c>
      <c r="K978" t="s">
        <v>31</v>
      </c>
      <c r="L978">
        <v>0.1063578652050048</v>
      </c>
      <c r="M978">
        <v>1</v>
      </c>
      <c r="N978">
        <v>3.0509798266011336</v>
      </c>
      <c r="O978">
        <v>2.8779545327574692</v>
      </c>
      <c r="P978">
        <v>-0.5558095120879909</v>
      </c>
      <c r="Q978">
        <v>0.51093654783892051</v>
      </c>
      <c r="R978">
        <v>-0.52509153328775149</v>
      </c>
      <c r="S978" s="2">
        <v>5.2238748985833821E-3</v>
      </c>
      <c r="T978" s="2">
        <v>1.0361688997833237E-2</v>
      </c>
      <c r="U978" s="2">
        <v>1.825582851586895E-2</v>
      </c>
      <c r="V978" s="2">
        <v>2.9466696636577583E-2</v>
      </c>
      <c r="W978" s="2">
        <v>4.4381553855804536E-2</v>
      </c>
      <c r="X978" s="2">
        <v>6.3073882061469466E-2</v>
      </c>
      <c r="Y978" s="2">
        <v>8.5136422873552747E-2</v>
      </c>
      <c r="Z978" s="2">
        <v>0.10951677735387791</v>
      </c>
      <c r="AA978" s="2">
        <v>0.13440922699718</v>
      </c>
      <c r="AB978" s="2">
        <v>0.15727859655433901</v>
      </c>
      <c r="AC978" s="2">
        <v>0.17509613826125273</v>
      </c>
      <c r="AD978" s="2">
        <v>0.1848334545739638</v>
      </c>
      <c r="AE978" s="2">
        <v>0.18417436020170841</v>
      </c>
      <c r="AF978" s="2">
        <v>0.17227706877364085</v>
      </c>
      <c r="AG978" s="2">
        <v>0.15030245695843025</v>
      </c>
      <c r="AH978" s="2">
        <v>0.12334030795839374</v>
      </c>
      <c r="AI978" s="2">
        <v>4.4672707412256665E-2</v>
      </c>
      <c r="AJ978" s="2">
        <v>0</v>
      </c>
      <c r="AK978" s="2">
        <v>0</v>
      </c>
      <c r="AL978" s="2">
        <v>0</v>
      </c>
      <c r="AM978" s="2">
        <v>0</v>
      </c>
      <c r="AN978" s="2">
        <v>0</v>
      </c>
      <c r="AO978" s="2">
        <v>0</v>
      </c>
      <c r="AP978" s="2">
        <v>0</v>
      </c>
      <c r="AQ978" s="2">
        <v>0</v>
      </c>
      <c r="AR978" s="2">
        <v>1.6918010428847337</v>
      </c>
    </row>
    <row r="979" spans="1:44" x14ac:dyDescent="0.25">
      <c r="A979" t="s">
        <v>435</v>
      </c>
      <c r="B979" t="s">
        <v>464</v>
      </c>
      <c r="C979" t="s">
        <v>47</v>
      </c>
      <c r="D979" t="s">
        <v>465</v>
      </c>
      <c r="E979" t="s">
        <v>134</v>
      </c>
      <c r="F979" t="s">
        <v>465</v>
      </c>
      <c r="G979" t="s">
        <v>33</v>
      </c>
      <c r="H979" t="s">
        <v>457</v>
      </c>
      <c r="I979" t="s">
        <v>135</v>
      </c>
      <c r="J979" t="s">
        <v>39</v>
      </c>
      <c r="K979" t="s">
        <v>33</v>
      </c>
      <c r="L979">
        <v>0.1063578652050048</v>
      </c>
      <c r="M979">
        <v>1</v>
      </c>
      <c r="N979">
        <v>3.0509798266011336</v>
      </c>
      <c r="O979">
        <v>2.8779545327574692</v>
      </c>
      <c r="P979">
        <v>-0.5558095120879909</v>
      </c>
      <c r="Q979">
        <v>0.51093654783892051</v>
      </c>
      <c r="R979">
        <v>-0.52509153328775149</v>
      </c>
      <c r="S979" s="2">
        <v>1.5284774325922486E-3</v>
      </c>
      <c r="T979" s="2">
        <v>3.0317739425617489E-3</v>
      </c>
      <c r="U979" s="2">
        <v>5.3415563047550536E-3</v>
      </c>
      <c r="V979" s="2">
        <v>8.6217954481001332E-3</v>
      </c>
      <c r="W979" s="2">
        <v>1.2985801691072397E-2</v>
      </c>
      <c r="X979" s="2">
        <v>1.8455075435111386E-2</v>
      </c>
      <c r="Y979" s="2">
        <v>2.4910455089409679E-2</v>
      </c>
      <c r="Z979" s="2">
        <v>3.2044014438597369E-2</v>
      </c>
      <c r="AA979" s="2">
        <v>3.9327410052080375E-2</v>
      </c>
      <c r="AB979" s="2">
        <v>4.6018863416556789E-2</v>
      </c>
      <c r="AC979" s="2">
        <v>5.1232179380665009E-2</v>
      </c>
      <c r="AD979" s="2">
        <v>5.4081265265556171E-2</v>
      </c>
      <c r="AE979" s="2">
        <v>5.3888417830749845E-2</v>
      </c>
      <c r="AF979" s="2">
        <v>5.0407334954568075E-2</v>
      </c>
      <c r="AG979" s="2">
        <v>4.3977682847349195E-2</v>
      </c>
      <c r="AH979" s="2">
        <v>3.6088704439401251E-2</v>
      </c>
      <c r="AI979" s="2">
        <v>1.3070991640888574E-2</v>
      </c>
      <c r="AJ979" s="2">
        <v>0</v>
      </c>
      <c r="AK979" s="2">
        <v>0</v>
      </c>
      <c r="AL979" s="2">
        <v>0</v>
      </c>
      <c r="AM979" s="2">
        <v>0</v>
      </c>
      <c r="AN979" s="2">
        <v>0</v>
      </c>
      <c r="AO979" s="2">
        <v>0</v>
      </c>
      <c r="AP979" s="2">
        <v>0</v>
      </c>
      <c r="AQ979" s="2">
        <v>0</v>
      </c>
      <c r="AR979" s="2">
        <v>0.49501179961001518</v>
      </c>
    </row>
    <row r="980" spans="1:44" x14ac:dyDescent="0.25">
      <c r="A980" t="s">
        <v>435</v>
      </c>
      <c r="B980" t="s">
        <v>464</v>
      </c>
      <c r="C980" t="s">
        <v>47</v>
      </c>
      <c r="D980" t="s">
        <v>465</v>
      </c>
      <c r="E980" t="s">
        <v>134</v>
      </c>
      <c r="F980" t="s">
        <v>465</v>
      </c>
      <c r="G980" t="s">
        <v>33</v>
      </c>
      <c r="H980" t="s">
        <v>457</v>
      </c>
      <c r="I980" t="s">
        <v>256</v>
      </c>
      <c r="J980" t="s">
        <v>39</v>
      </c>
      <c r="K980" t="s">
        <v>33</v>
      </c>
      <c r="L980">
        <v>0.1063578652050048</v>
      </c>
      <c r="M980">
        <v>1</v>
      </c>
      <c r="N980">
        <v>2.8053992519779527</v>
      </c>
      <c r="O980">
        <v>2.6463011728329868</v>
      </c>
      <c r="P980">
        <v>-0.43033342107372458</v>
      </c>
      <c r="Q980">
        <v>1.3498045353129324</v>
      </c>
      <c r="R980">
        <v>-0.39961544227348522</v>
      </c>
      <c r="S980" s="2">
        <v>4.2034154989838927E-3</v>
      </c>
      <c r="T980" s="2">
        <v>8.337581771139713E-3</v>
      </c>
      <c r="U980" s="2">
        <v>1.4689638251330496E-2</v>
      </c>
      <c r="V980" s="2">
        <v>2.371051599639867E-2</v>
      </c>
      <c r="W980" s="2">
        <v>3.5711825985164224E-2</v>
      </c>
      <c r="X980" s="2">
        <v>5.0752695764241983E-2</v>
      </c>
      <c r="Y980" s="2">
        <v>6.8505422963284296E-2</v>
      </c>
      <c r="Z980" s="2">
        <v>8.8123189828473017E-2</v>
      </c>
      <c r="AA980" s="2">
        <v>0.10815301647434211</v>
      </c>
      <c r="AB980" s="2">
        <v>0.12655496221669149</v>
      </c>
      <c r="AC980" s="2">
        <v>0.14089193092644053</v>
      </c>
      <c r="AD980" s="2">
        <v>0.14872710828079444</v>
      </c>
      <c r="AE980" s="2">
        <v>0.14819676489520098</v>
      </c>
      <c r="AF980" s="2">
        <v>0.13862355340841195</v>
      </c>
      <c r="AG980" s="2">
        <v>0.12094157869013154</v>
      </c>
      <c r="AH980" s="2">
        <v>9.9246358725465E-2</v>
      </c>
      <c r="AI980" s="2">
        <v>3.5946104063322146E-2</v>
      </c>
      <c r="AJ980" s="2">
        <v>0</v>
      </c>
      <c r="AK980" s="2">
        <v>0</v>
      </c>
      <c r="AL980" s="2">
        <v>0</v>
      </c>
      <c r="AM980" s="2">
        <v>0</v>
      </c>
      <c r="AN980" s="2">
        <v>0</v>
      </c>
      <c r="AO980" s="2">
        <v>0</v>
      </c>
      <c r="AP980" s="2">
        <v>0</v>
      </c>
      <c r="AQ980" s="2">
        <v>0</v>
      </c>
      <c r="AR980" s="2">
        <v>1.3613156637398165</v>
      </c>
    </row>
    <row r="981" spans="1:44" x14ac:dyDescent="0.25">
      <c r="A981" t="s">
        <v>435</v>
      </c>
      <c r="B981" t="s">
        <v>464</v>
      </c>
      <c r="C981" t="s">
        <v>47</v>
      </c>
      <c r="D981" t="s">
        <v>465</v>
      </c>
      <c r="E981" t="s">
        <v>134</v>
      </c>
      <c r="F981" t="s">
        <v>465</v>
      </c>
      <c r="G981" t="s">
        <v>33</v>
      </c>
      <c r="H981" t="s">
        <v>457</v>
      </c>
      <c r="I981" t="s">
        <v>256</v>
      </c>
      <c r="J981" t="s">
        <v>40</v>
      </c>
      <c r="K981" t="s">
        <v>33</v>
      </c>
      <c r="L981">
        <v>0.1063578652050048</v>
      </c>
      <c r="M981">
        <v>1</v>
      </c>
      <c r="N981">
        <v>2.8053992519779527</v>
      </c>
      <c r="O981">
        <v>1.473762203864009</v>
      </c>
      <c r="P981">
        <v>-0.43033342107372458</v>
      </c>
      <c r="Q981">
        <v>1.3498045353129324</v>
      </c>
      <c r="R981">
        <v>-0.25661544227348498</v>
      </c>
      <c r="S981" s="2">
        <v>3.8462864307513486E-2</v>
      </c>
      <c r="T981" s="2">
        <v>7.629207162453143E-2</v>
      </c>
      <c r="U981" s="2">
        <v>0.1344158251602692</v>
      </c>
      <c r="V981" s="2">
        <v>0.21696031706859931</v>
      </c>
      <c r="W981" s="2">
        <v>0.32677690734426473</v>
      </c>
      <c r="X981" s="2">
        <v>0.46440663572098473</v>
      </c>
      <c r="Y981" s="2">
        <v>0.62685089979864472</v>
      </c>
      <c r="Z981" s="2">
        <v>0.80636099227810343</v>
      </c>
      <c r="AA981" s="2">
        <v>0.98964158982295991</v>
      </c>
      <c r="AB981" s="2">
        <v>1.1580264526216315</v>
      </c>
      <c r="AC981" s="2">
        <v>1.2892152161872235</v>
      </c>
      <c r="AD981" s="2">
        <v>1.3609100946684649</v>
      </c>
      <c r="AE981" s="2">
        <v>1.3560572492427867</v>
      </c>
      <c r="AF981" s="2">
        <v>1.2684586917143901</v>
      </c>
      <c r="AG981" s="2">
        <v>1.1066618399773904</v>
      </c>
      <c r="AH981" s="2">
        <v>0.90814225469624354</v>
      </c>
      <c r="AI981" s="2">
        <v>0.32892064163190982</v>
      </c>
      <c r="AJ981" s="2">
        <v>0</v>
      </c>
      <c r="AK981" s="2">
        <v>0</v>
      </c>
      <c r="AL981" s="2">
        <v>0</v>
      </c>
      <c r="AM981" s="2">
        <v>0</v>
      </c>
      <c r="AN981" s="2">
        <v>0</v>
      </c>
      <c r="AO981" s="2">
        <v>0</v>
      </c>
      <c r="AP981" s="2">
        <v>0</v>
      </c>
      <c r="AQ981" s="2">
        <v>0</v>
      </c>
      <c r="AR981" s="2">
        <v>12.456560543865912</v>
      </c>
    </row>
    <row r="982" spans="1:44" x14ac:dyDescent="0.25">
      <c r="A982" t="s">
        <v>435</v>
      </c>
      <c r="B982" t="s">
        <v>466</v>
      </c>
      <c r="C982" t="s">
        <v>47</v>
      </c>
      <c r="D982" t="s">
        <v>144</v>
      </c>
      <c r="E982" t="s">
        <v>134</v>
      </c>
      <c r="F982" t="s">
        <v>467</v>
      </c>
      <c r="G982" t="s">
        <v>33</v>
      </c>
      <c r="H982" t="s">
        <v>450</v>
      </c>
      <c r="I982" t="s">
        <v>135</v>
      </c>
      <c r="J982" t="s">
        <v>39</v>
      </c>
      <c r="K982" t="s">
        <v>31</v>
      </c>
      <c r="L982">
        <v>7.2880120486938149E-2</v>
      </c>
      <c r="M982">
        <v>1</v>
      </c>
      <c r="N982">
        <v>3.3697309324907936</v>
      </c>
      <c r="O982">
        <v>2.8779545327574692</v>
      </c>
      <c r="P982">
        <v>-0.60414025211616262</v>
      </c>
      <c r="Q982">
        <v>0.462605807810749</v>
      </c>
      <c r="R982">
        <v>-0.52509153328775149</v>
      </c>
      <c r="S982" s="2">
        <v>1.3963935008179415E-3</v>
      </c>
      <c r="T982" s="2">
        <v>2.7697820975756578E-3</v>
      </c>
      <c r="U982" s="2">
        <v>4.8799637790941921E-3</v>
      </c>
      <c r="V982" s="2">
        <v>7.8767398669997192E-3</v>
      </c>
      <c r="W982" s="2">
        <v>1.1863628927494638E-2</v>
      </c>
      <c r="X982" s="2">
        <v>1.6860273397029068E-2</v>
      </c>
      <c r="Y982" s="2">
        <v>2.2757809076889672E-2</v>
      </c>
      <c r="Z982" s="2">
        <v>2.9274919307304255E-2</v>
      </c>
      <c r="AA982" s="2">
        <v>3.5928917646883766E-2</v>
      </c>
      <c r="AB982" s="2">
        <v>4.2042126641624537E-2</v>
      </c>
      <c r="AC982" s="2">
        <v>4.6804932015626528E-2</v>
      </c>
      <c r="AD982" s="2">
        <v>4.9407813110303109E-2</v>
      </c>
      <c r="AE982" s="2">
        <v>4.923163065652867E-2</v>
      </c>
      <c r="AF982" s="2">
        <v>4.6051366819813179E-2</v>
      </c>
      <c r="AG982" s="2">
        <v>4.0177335431718766E-2</v>
      </c>
      <c r="AH982" s="2">
        <v>3.2970085954525913E-2</v>
      </c>
      <c r="AI982" s="2">
        <v>1.1941457156895792E-2</v>
      </c>
      <c r="AJ982" s="2">
        <v>0</v>
      </c>
      <c r="AK982" s="2">
        <v>0</v>
      </c>
      <c r="AL982" s="2">
        <v>0</v>
      </c>
      <c r="AM982" s="2">
        <v>0</v>
      </c>
      <c r="AN982" s="2">
        <v>0</v>
      </c>
      <c r="AO982" s="2">
        <v>0</v>
      </c>
      <c r="AP982" s="2">
        <v>0</v>
      </c>
      <c r="AQ982" s="2">
        <v>0</v>
      </c>
      <c r="AR982" s="2">
        <v>0.45223517538712538</v>
      </c>
    </row>
    <row r="983" spans="1:44" x14ac:dyDescent="0.25">
      <c r="A983" t="s">
        <v>435</v>
      </c>
      <c r="B983" t="s">
        <v>466</v>
      </c>
      <c r="C983" t="s">
        <v>47</v>
      </c>
      <c r="D983" t="s">
        <v>144</v>
      </c>
      <c r="E983" t="s">
        <v>134</v>
      </c>
      <c r="F983" t="s">
        <v>467</v>
      </c>
      <c r="G983" t="s">
        <v>33</v>
      </c>
      <c r="H983" t="s">
        <v>450</v>
      </c>
      <c r="I983" t="s">
        <v>135</v>
      </c>
      <c r="J983" t="s">
        <v>39</v>
      </c>
      <c r="K983" t="s">
        <v>33</v>
      </c>
      <c r="L983">
        <v>7.2880120486938149E-2</v>
      </c>
      <c r="M983">
        <v>1</v>
      </c>
      <c r="N983">
        <v>3.3697309324907936</v>
      </c>
      <c r="O983">
        <v>2.8779545327574692</v>
      </c>
      <c r="P983">
        <v>-0.60414025211616262</v>
      </c>
      <c r="Q983">
        <v>0.462605807810749</v>
      </c>
      <c r="R983">
        <v>-0.52509153328775149</v>
      </c>
      <c r="S983" s="2">
        <v>8.6029042381030498E-4</v>
      </c>
      <c r="T983" s="2">
        <v>1.7052184928945235E-3</v>
      </c>
      <c r="U983" s="2">
        <v>3.0022592300064255E-3</v>
      </c>
      <c r="V983" s="2">
        <v>4.8425627079429281E-3</v>
      </c>
      <c r="W983" s="2">
        <v>7.2885890591522558E-3</v>
      </c>
      <c r="X983" s="2">
        <v>1.0351128101696177E-2</v>
      </c>
      <c r="Y983" s="2">
        <v>1.3962097951252353E-2</v>
      </c>
      <c r="Z983" s="2">
        <v>1.7947877540709554E-2</v>
      </c>
      <c r="AA983" s="2">
        <v>2.2011958507982373E-2</v>
      </c>
      <c r="AB983" s="2">
        <v>2.5739279591604054E-2</v>
      </c>
      <c r="AC983" s="2">
        <v>2.8635217769883387E-2</v>
      </c>
      <c r="AD983" s="2">
        <v>3.0206587382776755E-2</v>
      </c>
      <c r="AE983" s="2">
        <v>3.0077893177963912E-2</v>
      </c>
      <c r="AF983" s="2">
        <v>2.8115310020106119E-2</v>
      </c>
      <c r="AG983" s="2">
        <v>2.4511994078576911E-2</v>
      </c>
      <c r="AH983" s="2">
        <v>2.0100865226487196E-2</v>
      </c>
      <c r="AI983" s="2">
        <v>4.6300762826721542E-3</v>
      </c>
      <c r="AJ983" s="2">
        <v>0</v>
      </c>
      <c r="AK983" s="2">
        <v>0</v>
      </c>
      <c r="AL983" s="2">
        <v>0</v>
      </c>
      <c r="AM983" s="2">
        <v>0</v>
      </c>
      <c r="AN983" s="2">
        <v>0</v>
      </c>
      <c r="AO983" s="2">
        <v>0</v>
      </c>
      <c r="AP983" s="2">
        <v>0</v>
      </c>
      <c r="AQ983" s="2">
        <v>0</v>
      </c>
      <c r="AR983" s="2">
        <v>0.27398920554551737</v>
      </c>
    </row>
    <row r="984" spans="1:44" x14ac:dyDescent="0.25">
      <c r="A984" t="s">
        <v>435</v>
      </c>
      <c r="B984" t="s">
        <v>466</v>
      </c>
      <c r="C984" t="s">
        <v>47</v>
      </c>
      <c r="D984" t="s">
        <v>144</v>
      </c>
      <c r="E984" t="s">
        <v>134</v>
      </c>
      <c r="F984" t="s">
        <v>467</v>
      </c>
      <c r="G984" t="s">
        <v>33</v>
      </c>
      <c r="H984" t="s">
        <v>450</v>
      </c>
      <c r="I984" t="s">
        <v>256</v>
      </c>
      <c r="J984" t="s">
        <v>40</v>
      </c>
      <c r="K984" t="s">
        <v>33</v>
      </c>
      <c r="L984">
        <v>7.2880120486938149E-2</v>
      </c>
      <c r="M984">
        <v>1</v>
      </c>
      <c r="N984">
        <v>3.0984933282590745</v>
      </c>
      <c r="O984">
        <v>1.4737622038640088</v>
      </c>
      <c r="P984">
        <v>-0.47866416110189608</v>
      </c>
      <c r="Q984">
        <v>1.3498045353129324</v>
      </c>
      <c r="R984">
        <v>-0.25661544227348498</v>
      </c>
      <c r="S984" s="2">
        <v>2.2472510182262814E-2</v>
      </c>
      <c r="T984" s="2">
        <v>4.4574796684429298E-2</v>
      </c>
      <c r="U984" s="2">
        <v>7.8534478748670283E-2</v>
      </c>
      <c r="V984" s="2">
        <v>0.126762346545227</v>
      </c>
      <c r="W984" s="2">
        <v>0.19092435027486587</v>
      </c>
      <c r="X984" s="2">
        <v>0.27133660058467257</v>
      </c>
      <c r="Y984" s="2">
        <v>0.36624711867165483</v>
      </c>
      <c r="Z984" s="2">
        <v>0.47112860510519516</v>
      </c>
      <c r="AA984" s="2">
        <v>0.57821306614813983</v>
      </c>
      <c r="AB984" s="2">
        <v>0.67659446888321606</v>
      </c>
      <c r="AC984" s="2">
        <v>0.75324348808926456</v>
      </c>
      <c r="AD984" s="2">
        <v>0.79513230515198818</v>
      </c>
      <c r="AE984" s="2">
        <v>0.79229695681782364</v>
      </c>
      <c r="AF984" s="2">
        <v>0.74111617474528624</v>
      </c>
      <c r="AG984" s="2">
        <v>0.64658391710976937</v>
      </c>
      <c r="AH984" s="2">
        <v>0.53059584700814433</v>
      </c>
      <c r="AI984" s="2">
        <v>0.19217685945416396</v>
      </c>
      <c r="AJ984" s="2">
        <v>0</v>
      </c>
      <c r="AK984" s="2">
        <v>0</v>
      </c>
      <c r="AL984" s="2">
        <v>0</v>
      </c>
      <c r="AM984" s="2">
        <v>0</v>
      </c>
      <c r="AN984" s="2">
        <v>0</v>
      </c>
      <c r="AO984" s="2">
        <v>0</v>
      </c>
      <c r="AP984" s="2">
        <v>0</v>
      </c>
      <c r="AQ984" s="2">
        <v>0</v>
      </c>
      <c r="AR984" s="2">
        <v>7.2779338902047739</v>
      </c>
    </row>
    <row r="985" spans="1:44" x14ac:dyDescent="0.25">
      <c r="A985" t="s">
        <v>435</v>
      </c>
      <c r="B985" t="s">
        <v>466</v>
      </c>
      <c r="C985" t="s">
        <v>47</v>
      </c>
      <c r="D985" t="s">
        <v>144</v>
      </c>
      <c r="E985" t="s">
        <v>134</v>
      </c>
      <c r="F985" t="s">
        <v>467</v>
      </c>
      <c r="G985" t="s">
        <v>33</v>
      </c>
      <c r="H985" t="s">
        <v>451</v>
      </c>
      <c r="I985" t="s">
        <v>135</v>
      </c>
      <c r="J985" t="s">
        <v>39</v>
      </c>
      <c r="K985" t="s">
        <v>31</v>
      </c>
      <c r="L985">
        <v>7.2880120486938149E-2</v>
      </c>
      <c r="M985">
        <v>1</v>
      </c>
      <c r="N985">
        <v>3.3697309324907936</v>
      </c>
      <c r="O985">
        <v>2.8779545327574692</v>
      </c>
      <c r="P985">
        <v>-0.60414025211616262</v>
      </c>
      <c r="Q985">
        <v>0.462605807810749</v>
      </c>
      <c r="R985">
        <v>-0.52509153328775149</v>
      </c>
      <c r="S985" s="2">
        <v>3.6527253967373705E-4</v>
      </c>
      <c r="T985" s="2">
        <v>7.2452739183596156E-4</v>
      </c>
      <c r="U985" s="2">
        <v>1.2765146515373127E-3</v>
      </c>
      <c r="V985" s="2">
        <v>2.0604197698450024E-3</v>
      </c>
      <c r="W985" s="2">
        <v>3.1033214244798784E-3</v>
      </c>
      <c r="X985" s="2">
        <v>4.4103577392181625E-3</v>
      </c>
      <c r="Y985" s="2">
        <v>5.9530517107507777E-3</v>
      </c>
      <c r="Z985" s="2">
        <v>7.6578157359362469E-3</v>
      </c>
      <c r="AA985" s="2">
        <v>9.3983873377514616E-3</v>
      </c>
      <c r="AB985" s="2">
        <v>1.099749774162925E-2</v>
      </c>
      <c r="AC985" s="2">
        <v>1.2243365768023229E-2</v>
      </c>
      <c r="AD985" s="2">
        <v>1.2924234726067189E-2</v>
      </c>
      <c r="AE985" s="2">
        <v>1.2878148424248653E-2</v>
      </c>
      <c r="AF985" s="2">
        <v>1.2046246064498939E-2</v>
      </c>
      <c r="AG985" s="2">
        <v>1.0509700411718626E-2</v>
      </c>
      <c r="AH985" s="2">
        <v>8.6244078211598855E-3</v>
      </c>
      <c r="AI985" s="2">
        <v>3.1236799516393119E-3</v>
      </c>
      <c r="AJ985" s="2">
        <v>0</v>
      </c>
      <c r="AK985" s="2">
        <v>0</v>
      </c>
      <c r="AL985" s="2">
        <v>0</v>
      </c>
      <c r="AM985" s="2">
        <v>0</v>
      </c>
      <c r="AN985" s="2">
        <v>0</v>
      </c>
      <c r="AO985" s="2">
        <v>0</v>
      </c>
      <c r="AP985" s="2">
        <v>0</v>
      </c>
      <c r="AQ985" s="2">
        <v>0</v>
      </c>
      <c r="AR985" s="2">
        <v>0.11829694921001364</v>
      </c>
    </row>
    <row r="986" spans="1:44" x14ac:dyDescent="0.25">
      <c r="A986" t="s">
        <v>435</v>
      </c>
      <c r="B986" t="s">
        <v>466</v>
      </c>
      <c r="C986" t="s">
        <v>47</v>
      </c>
      <c r="D986" t="s">
        <v>144</v>
      </c>
      <c r="E986" t="s">
        <v>134</v>
      </c>
      <c r="F986" t="s">
        <v>467</v>
      </c>
      <c r="G986" t="s">
        <v>33</v>
      </c>
      <c r="H986" t="s">
        <v>451</v>
      </c>
      <c r="I986" t="s">
        <v>135</v>
      </c>
      <c r="J986" t="s">
        <v>39</v>
      </c>
      <c r="K986" t="s">
        <v>33</v>
      </c>
      <c r="L986">
        <v>7.2880120486938149E-2</v>
      </c>
      <c r="M986">
        <v>1</v>
      </c>
      <c r="N986">
        <v>3.3697309324907936</v>
      </c>
      <c r="O986">
        <v>2.8779545327574692</v>
      </c>
      <c r="P986">
        <v>-0.60414025211616262</v>
      </c>
      <c r="Q986">
        <v>0.462605807810749</v>
      </c>
      <c r="R986">
        <v>-0.52509153328775149</v>
      </c>
      <c r="S986" s="2">
        <v>1.645484351074588E-3</v>
      </c>
      <c r="T986" s="2">
        <v>3.263860147428104E-3</v>
      </c>
      <c r="U986" s="2">
        <v>5.7504593279808034E-3</v>
      </c>
      <c r="V986" s="2">
        <v>9.2818050077155146E-3</v>
      </c>
      <c r="W986" s="2">
        <v>1.3979881556103991E-2</v>
      </c>
      <c r="X986" s="2">
        <v>1.9867835258041366E-2</v>
      </c>
      <c r="Y986" s="2">
        <v>2.6817382549281506E-2</v>
      </c>
      <c r="Z986" s="2">
        <v>3.4497025065587821E-2</v>
      </c>
      <c r="AA986" s="2">
        <v>4.2337974005439614E-2</v>
      </c>
      <c r="AB986" s="2">
        <v>4.9541666753796121E-2</v>
      </c>
      <c r="AC986" s="2">
        <v>5.5154068777683814E-2</v>
      </c>
      <c r="AD986" s="2">
        <v>5.8221255861044936E-2</v>
      </c>
      <c r="AE986" s="2">
        <v>5.8013645706421639E-2</v>
      </c>
      <c r="AF986" s="2">
        <v>5.4266081447107595E-2</v>
      </c>
      <c r="AG986" s="2">
        <v>4.7344231179852245E-2</v>
      </c>
      <c r="AH986" s="2">
        <v>3.8851341301702084E-2</v>
      </c>
      <c r="AI986" s="2">
        <v>1.4071592906433502E-2</v>
      </c>
      <c r="AJ986" s="2">
        <v>0</v>
      </c>
      <c r="AK986" s="2">
        <v>0</v>
      </c>
      <c r="AL986" s="2">
        <v>0</v>
      </c>
      <c r="AM986" s="2">
        <v>0</v>
      </c>
      <c r="AN986" s="2">
        <v>0</v>
      </c>
      <c r="AO986" s="2">
        <v>0</v>
      </c>
      <c r="AP986" s="2">
        <v>0</v>
      </c>
      <c r="AQ986" s="2">
        <v>0</v>
      </c>
      <c r="AR986" s="2">
        <v>0.53290559120269509</v>
      </c>
    </row>
    <row r="987" spans="1:44" x14ac:dyDescent="0.25">
      <c r="A987" t="s">
        <v>435</v>
      </c>
      <c r="B987" t="s">
        <v>466</v>
      </c>
      <c r="C987" t="s">
        <v>47</v>
      </c>
      <c r="D987" t="s">
        <v>144</v>
      </c>
      <c r="E987" t="s">
        <v>134</v>
      </c>
      <c r="F987" t="s">
        <v>467</v>
      </c>
      <c r="G987" t="s">
        <v>33</v>
      </c>
      <c r="H987" t="s">
        <v>452</v>
      </c>
      <c r="I987" t="s">
        <v>135</v>
      </c>
      <c r="J987" t="s">
        <v>39</v>
      </c>
      <c r="K987" t="s">
        <v>31</v>
      </c>
      <c r="L987">
        <v>7.2880120486938149E-2</v>
      </c>
      <c r="M987">
        <v>1</v>
      </c>
      <c r="N987">
        <v>3.3697309324907936</v>
      </c>
      <c r="O987">
        <v>2.8779545327574692</v>
      </c>
      <c r="P987">
        <v>-0.60414025211616262</v>
      </c>
      <c r="Q987">
        <v>0.462605807810749</v>
      </c>
      <c r="R987">
        <v>-0.52509153328775149</v>
      </c>
      <c r="S987" s="2">
        <v>8.2731732720119962E-3</v>
      </c>
      <c r="T987" s="2">
        <v>1.6410050036424394E-2</v>
      </c>
      <c r="U987" s="2">
        <v>2.8912184052661546E-2</v>
      </c>
      <c r="V987" s="2">
        <v>4.66670989947192E-2</v>
      </c>
      <c r="W987" s="2">
        <v>7.0288108398188179E-2</v>
      </c>
      <c r="X987" s="2">
        <v>9.9891587253457065E-2</v>
      </c>
      <c r="Y987" s="2">
        <v>0.13483255090645327</v>
      </c>
      <c r="Z987" s="2">
        <v>0.17344429046084081</v>
      </c>
      <c r="AA987" s="2">
        <v>0.21286704714280463</v>
      </c>
      <c r="AB987" s="2">
        <v>0.24908580441422415</v>
      </c>
      <c r="AC987" s="2">
        <v>0.27730386336172541</v>
      </c>
      <c r="AD987" s="2">
        <v>0.29272507972379669</v>
      </c>
      <c r="AE987" s="2">
        <v>0.29168125649867388</v>
      </c>
      <c r="AF987" s="2">
        <v>0.27283923685560824</v>
      </c>
      <c r="AG987" s="2">
        <v>0.23803752841849765</v>
      </c>
      <c r="AH987" s="2">
        <v>0.19533694029308191</v>
      </c>
      <c r="AI987" s="2">
        <v>7.0749215118401668E-2</v>
      </c>
      <c r="AJ987" s="2">
        <v>0</v>
      </c>
      <c r="AK987" s="2">
        <v>0</v>
      </c>
      <c r="AL987" s="2">
        <v>0</v>
      </c>
      <c r="AM987" s="2">
        <v>0</v>
      </c>
      <c r="AN987" s="2">
        <v>0</v>
      </c>
      <c r="AO987" s="2">
        <v>0</v>
      </c>
      <c r="AP987" s="2">
        <v>0</v>
      </c>
      <c r="AQ987" s="2">
        <v>0</v>
      </c>
      <c r="AR987" s="2">
        <v>2.6793450152015703</v>
      </c>
    </row>
    <row r="988" spans="1:44" x14ac:dyDescent="0.25">
      <c r="A988" t="s">
        <v>435</v>
      </c>
      <c r="B988" t="s">
        <v>466</v>
      </c>
      <c r="C988" t="s">
        <v>47</v>
      </c>
      <c r="D988" t="s">
        <v>144</v>
      </c>
      <c r="E988" t="s">
        <v>134</v>
      </c>
      <c r="F988" t="s">
        <v>467</v>
      </c>
      <c r="G988" t="s">
        <v>33</v>
      </c>
      <c r="H988" t="s">
        <v>452</v>
      </c>
      <c r="I988" t="s">
        <v>135</v>
      </c>
      <c r="J988" t="s">
        <v>39</v>
      </c>
      <c r="K988" t="s">
        <v>33</v>
      </c>
      <c r="L988">
        <v>7.2880120486938149E-2</v>
      </c>
      <c r="M988">
        <v>1</v>
      </c>
      <c r="N988">
        <v>3.3697309324907936</v>
      </c>
      <c r="O988">
        <v>2.8779545327574692</v>
      </c>
      <c r="P988">
        <v>-0.60414025211616262</v>
      </c>
      <c r="Q988">
        <v>0.462605807810749</v>
      </c>
      <c r="R988">
        <v>-0.52509153328775149</v>
      </c>
      <c r="S988" s="2">
        <v>1.6359925687942166E-2</v>
      </c>
      <c r="T988" s="2">
        <v>3.2450329553659396E-2</v>
      </c>
      <c r="U988" s="2">
        <v>5.7172884820121506E-2</v>
      </c>
      <c r="V988" s="2">
        <v>9.2282640109600259E-2</v>
      </c>
      <c r="W988" s="2">
        <v>0.13899240259242515</v>
      </c>
      <c r="X988" s="2">
        <v>0.19753229995142055</v>
      </c>
      <c r="Y988" s="2">
        <v>0.26662689643012916</v>
      </c>
      <c r="Z988" s="2">
        <v>0.34298033047809451</v>
      </c>
      <c r="AA988" s="2">
        <v>0.42093752399084494</v>
      </c>
      <c r="AB988" s="2">
        <v>0.49255891495996412</v>
      </c>
      <c r="AC988" s="2">
        <v>0.54835919041180681</v>
      </c>
      <c r="AD988" s="2">
        <v>0.57885413417838494</v>
      </c>
      <c r="AE988" s="2">
        <v>0.57679000837890171</v>
      </c>
      <c r="AF988" s="2">
        <v>0.53953053960721309</v>
      </c>
      <c r="AG988" s="2">
        <v>0.47071131569821151</v>
      </c>
      <c r="AH988" s="2">
        <v>0.38627231924608757</v>
      </c>
      <c r="AI988" s="2">
        <v>0.13990422583471368</v>
      </c>
      <c r="AJ988" s="2">
        <v>0</v>
      </c>
      <c r="AK988" s="2">
        <v>0</v>
      </c>
      <c r="AL988" s="2">
        <v>0</v>
      </c>
      <c r="AM988" s="2">
        <v>0</v>
      </c>
      <c r="AN988" s="2">
        <v>0</v>
      </c>
      <c r="AO988" s="2">
        <v>0</v>
      </c>
      <c r="AP988" s="2">
        <v>0</v>
      </c>
      <c r="AQ988" s="2">
        <v>0</v>
      </c>
      <c r="AR988" s="2">
        <v>5.2983158819295229</v>
      </c>
    </row>
    <row r="989" spans="1:44" x14ac:dyDescent="0.25">
      <c r="A989" t="s">
        <v>435</v>
      </c>
      <c r="B989" t="s">
        <v>466</v>
      </c>
      <c r="C989" t="s">
        <v>47</v>
      </c>
      <c r="D989" t="s">
        <v>144</v>
      </c>
      <c r="E989" t="s">
        <v>134</v>
      </c>
      <c r="F989" t="s">
        <v>467</v>
      </c>
      <c r="G989" t="s">
        <v>33</v>
      </c>
      <c r="H989" t="s">
        <v>452</v>
      </c>
      <c r="I989" t="s">
        <v>135</v>
      </c>
      <c r="J989" t="s">
        <v>40</v>
      </c>
      <c r="K989" t="s">
        <v>33</v>
      </c>
      <c r="L989">
        <v>7.2880120486938149E-2</v>
      </c>
      <c r="M989">
        <v>1</v>
      </c>
      <c r="N989">
        <v>3.3697309324907936</v>
      </c>
      <c r="O989">
        <v>1.7054155637884914</v>
      </c>
      <c r="P989">
        <v>-0.60414025211616262</v>
      </c>
      <c r="Q989">
        <v>1.3498045353129324</v>
      </c>
      <c r="R989">
        <v>-0.38209153328775142</v>
      </c>
      <c r="S989" s="2">
        <v>1.1979165922526849E-3</v>
      </c>
      <c r="T989" s="2">
        <v>2.3760980910229219E-3</v>
      </c>
      <c r="U989" s="2">
        <v>4.1863483159616981E-3</v>
      </c>
      <c r="V989" s="2">
        <v>6.7571765222411853E-3</v>
      </c>
      <c r="W989" s="2">
        <v>1.0177387626231606E-2</v>
      </c>
      <c r="X989" s="2">
        <v>1.4463832179387185E-2</v>
      </c>
      <c r="Y989" s="2">
        <v>1.9523119436287931E-2</v>
      </c>
      <c r="Z989" s="2">
        <v>2.5113917785020142E-2</v>
      </c>
      <c r="AA989" s="2">
        <v>3.0822147600709712E-2</v>
      </c>
      <c r="AB989" s="2">
        <v>3.6066453365824494E-2</v>
      </c>
      <c r="AC989" s="2">
        <v>4.0152295630089721E-2</v>
      </c>
      <c r="AD989" s="2">
        <v>4.2385215254212509E-2</v>
      </c>
      <c r="AE989" s="2">
        <v>4.2234074558902365E-2</v>
      </c>
      <c r="AF989" s="2">
        <v>3.950583870309874E-2</v>
      </c>
      <c r="AG989" s="2">
        <v>3.4466714946729447E-2</v>
      </c>
      <c r="AH989" s="2">
        <v>2.828387054923218E-2</v>
      </c>
      <c r="AI989" s="2">
        <v>1.0244153711357782E-2</v>
      </c>
      <c r="AJ989" s="2">
        <v>0</v>
      </c>
      <c r="AK989" s="2">
        <v>0</v>
      </c>
      <c r="AL989" s="2">
        <v>0</v>
      </c>
      <c r="AM989" s="2">
        <v>0</v>
      </c>
      <c r="AN989" s="2">
        <v>0</v>
      </c>
      <c r="AO989" s="2">
        <v>0</v>
      </c>
      <c r="AP989" s="2">
        <v>0</v>
      </c>
      <c r="AQ989" s="2">
        <v>0</v>
      </c>
      <c r="AR989" s="2">
        <v>0.38795656086856228</v>
      </c>
    </row>
    <row r="990" spans="1:44" x14ac:dyDescent="0.25">
      <c r="A990" t="s">
        <v>435</v>
      </c>
      <c r="B990" t="s">
        <v>466</v>
      </c>
      <c r="C990" t="s">
        <v>47</v>
      </c>
      <c r="D990" t="s">
        <v>144</v>
      </c>
      <c r="E990" t="s">
        <v>134</v>
      </c>
      <c r="F990" t="s">
        <v>467</v>
      </c>
      <c r="G990" t="s">
        <v>33</v>
      </c>
      <c r="H990" t="s">
        <v>452</v>
      </c>
      <c r="I990" t="s">
        <v>256</v>
      </c>
      <c r="J990" t="s">
        <v>40</v>
      </c>
      <c r="K990" t="s">
        <v>33</v>
      </c>
      <c r="L990">
        <v>7.2880120486938149E-2</v>
      </c>
      <c r="M990">
        <v>1</v>
      </c>
      <c r="N990">
        <v>3.0984933282590745</v>
      </c>
      <c r="O990">
        <v>1.4737622038640088</v>
      </c>
      <c r="P990">
        <v>-0.47866416110189608</v>
      </c>
      <c r="Q990">
        <v>1.3498045353129324</v>
      </c>
      <c r="R990">
        <v>-0.25661544227348498</v>
      </c>
      <c r="S990" s="2">
        <v>7.2235717768820854E-3</v>
      </c>
      <c r="T990" s="2">
        <v>1.4328138720526273E-2</v>
      </c>
      <c r="U990" s="2">
        <v>2.5244151169583229E-2</v>
      </c>
      <c r="V990" s="2">
        <v>4.0746534385739296E-2</v>
      </c>
      <c r="W990" s="2">
        <v>6.1370792002293353E-2</v>
      </c>
      <c r="X990" s="2">
        <v>8.721853473963849E-2</v>
      </c>
      <c r="Y990" s="2">
        <v>0.11772660589955318</v>
      </c>
      <c r="Z990" s="2">
        <v>0.15143974872045346</v>
      </c>
      <c r="AA990" s="2">
        <v>0.18586101649422371</v>
      </c>
      <c r="AB990" s="2">
        <v>0.21748477006707037</v>
      </c>
      <c r="AC990" s="2">
        <v>0.24212285844135062</v>
      </c>
      <c r="AD990" s="2">
        <v>0.25558761490367465</v>
      </c>
      <c r="AE990" s="2">
        <v>0.25467621951267538</v>
      </c>
      <c r="AF990" s="2">
        <v>0.23822465046678662</v>
      </c>
      <c r="AG990" s="2">
        <v>0.20783816748279688</v>
      </c>
      <c r="AH990" s="2">
        <v>0.17055492040244088</v>
      </c>
      <c r="AI990" s="2">
        <v>6.1773399004558464E-2</v>
      </c>
      <c r="AJ990" s="2">
        <v>0</v>
      </c>
      <c r="AK990" s="2">
        <v>0</v>
      </c>
      <c r="AL990" s="2">
        <v>0</v>
      </c>
      <c r="AM990" s="2">
        <v>0</v>
      </c>
      <c r="AN990" s="2">
        <v>0</v>
      </c>
      <c r="AO990" s="2">
        <v>0</v>
      </c>
      <c r="AP990" s="2">
        <v>0</v>
      </c>
      <c r="AQ990" s="2">
        <v>0</v>
      </c>
      <c r="AR990" s="2">
        <v>2.3394216941902468</v>
      </c>
    </row>
    <row r="991" spans="1:44" x14ac:dyDescent="0.25">
      <c r="A991" t="s">
        <v>435</v>
      </c>
      <c r="B991" t="s">
        <v>466</v>
      </c>
      <c r="C991" t="s">
        <v>47</v>
      </c>
      <c r="D991" t="s">
        <v>144</v>
      </c>
      <c r="E991" t="s">
        <v>134</v>
      </c>
      <c r="F991" t="s">
        <v>467</v>
      </c>
      <c r="G991" t="s">
        <v>33</v>
      </c>
      <c r="H991" t="s">
        <v>453</v>
      </c>
      <c r="I991" t="s">
        <v>135</v>
      </c>
      <c r="J991" t="s">
        <v>39</v>
      </c>
      <c r="K991" t="s">
        <v>31</v>
      </c>
      <c r="L991">
        <v>7.2880120486938149E-2</v>
      </c>
      <c r="M991">
        <v>1</v>
      </c>
      <c r="N991">
        <v>3.3697309324907936</v>
      </c>
      <c r="O991">
        <v>2.8779545327574692</v>
      </c>
      <c r="P991">
        <v>-0.60414025211616262</v>
      </c>
      <c r="Q991">
        <v>0.462605807810749</v>
      </c>
      <c r="R991">
        <v>-0.52509153328775149</v>
      </c>
      <c r="S991" s="2">
        <v>2.5301835793637988E-3</v>
      </c>
      <c r="T991" s="2">
        <v>5.0186836143227232E-3</v>
      </c>
      <c r="U991" s="2">
        <v>8.8422097456926189E-3</v>
      </c>
      <c r="V991" s="2">
        <v>1.427219323115516E-2</v>
      </c>
      <c r="W991" s="2">
        <v>2.149620367498821E-2</v>
      </c>
      <c r="X991" s="2">
        <v>3.0549832026401772E-2</v>
      </c>
      <c r="Y991" s="2">
        <v>4.1235822706790153E-2</v>
      </c>
      <c r="Z991" s="2">
        <v>5.3044446336332977E-2</v>
      </c>
      <c r="AA991" s="2">
        <v>6.5101103235735924E-2</v>
      </c>
      <c r="AB991" s="2">
        <v>7.6177881383623344E-2</v>
      </c>
      <c r="AC991" s="2">
        <v>8.4807806932508167E-2</v>
      </c>
      <c r="AD991" s="2">
        <v>8.9524075664015088E-2</v>
      </c>
      <c r="AE991" s="2">
        <v>8.9204843333550221E-2</v>
      </c>
      <c r="AF991" s="2">
        <v>8.3442390749097012E-2</v>
      </c>
      <c r="AG991" s="2">
        <v>7.2798988474510121E-2</v>
      </c>
      <c r="AH991" s="2">
        <v>5.9739872781913374E-2</v>
      </c>
      <c r="AI991" s="2">
        <v>2.1637223887361428E-2</v>
      </c>
      <c r="AJ991" s="2">
        <v>0</v>
      </c>
      <c r="AK991" s="2">
        <v>0</v>
      </c>
      <c r="AL991" s="2">
        <v>0</v>
      </c>
      <c r="AM991" s="2">
        <v>0</v>
      </c>
      <c r="AN991" s="2">
        <v>0</v>
      </c>
      <c r="AO991" s="2">
        <v>0</v>
      </c>
      <c r="AP991" s="2">
        <v>0</v>
      </c>
      <c r="AQ991" s="2">
        <v>0</v>
      </c>
      <c r="AR991" s="2">
        <v>0.81942376135736206</v>
      </c>
    </row>
    <row r="992" spans="1:44" x14ac:dyDescent="0.25">
      <c r="A992" t="s">
        <v>435</v>
      </c>
      <c r="B992" t="s">
        <v>466</v>
      </c>
      <c r="C992" t="s">
        <v>47</v>
      </c>
      <c r="D992" t="s">
        <v>144</v>
      </c>
      <c r="E992" t="s">
        <v>134</v>
      </c>
      <c r="F992" t="s">
        <v>467</v>
      </c>
      <c r="G992" t="s">
        <v>33</v>
      </c>
      <c r="H992" t="s">
        <v>453</v>
      </c>
      <c r="I992" t="s">
        <v>135</v>
      </c>
      <c r="J992" t="s">
        <v>39</v>
      </c>
      <c r="K992" t="s">
        <v>33</v>
      </c>
      <c r="L992">
        <v>7.2880120486938149E-2</v>
      </c>
      <c r="M992">
        <v>1</v>
      </c>
      <c r="N992">
        <v>3.3697309324907936</v>
      </c>
      <c r="O992">
        <v>2.8779545327574692</v>
      </c>
      <c r="P992">
        <v>-0.60414025211616262</v>
      </c>
      <c r="Q992">
        <v>0.462605807810749</v>
      </c>
      <c r="R992">
        <v>-0.52509153328775149</v>
      </c>
      <c r="S992" s="2">
        <v>2.3021733631118425E-3</v>
      </c>
      <c r="T992" s="2">
        <v>4.566419539282919E-3</v>
      </c>
      <c r="U992" s="2">
        <v>8.0453844984244068E-3</v>
      </c>
      <c r="V992" s="2">
        <v>1.2986039178316176E-2</v>
      </c>
      <c r="W992" s="2">
        <v>1.9559050146483143E-2</v>
      </c>
      <c r="X992" s="2">
        <v>2.7796801035444078E-2</v>
      </c>
      <c r="Y992" s="2">
        <v>3.7519812165346868E-2</v>
      </c>
      <c r="Z992" s="2">
        <v>4.8264288968007274E-2</v>
      </c>
      <c r="AA992" s="2">
        <v>5.9234447255479557E-2</v>
      </c>
      <c r="AB992" s="2">
        <v>6.9313029619680111E-2</v>
      </c>
      <c r="AC992" s="2">
        <v>7.7165260140153472E-2</v>
      </c>
      <c r="AD992" s="2">
        <v>8.1456517239246115E-2</v>
      </c>
      <c r="AE992" s="2">
        <v>8.1166052873800673E-2</v>
      </c>
      <c r="AF992" s="2">
        <v>7.5922889905578855E-2</v>
      </c>
      <c r="AG992" s="2">
        <v>6.6238629281454867E-2</v>
      </c>
      <c r="AH992" s="2">
        <v>5.4356349853789149E-2</v>
      </c>
      <c r="AI992" s="2">
        <v>1.968736217065143E-2</v>
      </c>
      <c r="AJ992" s="2">
        <v>0</v>
      </c>
      <c r="AK992" s="2">
        <v>0</v>
      </c>
      <c r="AL992" s="2">
        <v>0</v>
      </c>
      <c r="AM992" s="2">
        <v>0</v>
      </c>
      <c r="AN992" s="2">
        <v>0</v>
      </c>
      <c r="AO992" s="2">
        <v>0</v>
      </c>
      <c r="AP992" s="2">
        <v>0</v>
      </c>
      <c r="AQ992" s="2">
        <v>0</v>
      </c>
      <c r="AR992" s="2">
        <v>0.74558050723425096</v>
      </c>
    </row>
    <row r="993" spans="1:44" x14ac:dyDescent="0.25">
      <c r="A993" t="s">
        <v>435</v>
      </c>
      <c r="B993" t="s">
        <v>466</v>
      </c>
      <c r="C993" t="s">
        <v>47</v>
      </c>
      <c r="D993" t="s">
        <v>144</v>
      </c>
      <c r="E993" t="s">
        <v>134</v>
      </c>
      <c r="F993" t="s">
        <v>467</v>
      </c>
      <c r="G993" t="s">
        <v>33</v>
      </c>
      <c r="H993" t="s">
        <v>453</v>
      </c>
      <c r="I993" t="s">
        <v>135</v>
      </c>
      <c r="J993" t="s">
        <v>40</v>
      </c>
      <c r="K993" t="s">
        <v>33</v>
      </c>
      <c r="L993">
        <v>7.2880120486938149E-2</v>
      </c>
      <c r="M993">
        <v>1</v>
      </c>
      <c r="N993">
        <v>3.3697309324907936</v>
      </c>
      <c r="O993">
        <v>1.7054155637884914</v>
      </c>
      <c r="P993">
        <v>-0.60414025211616262</v>
      </c>
      <c r="Q993">
        <v>1.3498045353129324</v>
      </c>
      <c r="R993">
        <v>-0.38209153328775142</v>
      </c>
      <c r="S993" s="2">
        <v>4.6882877221988695E-2</v>
      </c>
      <c r="T993" s="2">
        <v>9.2993381834159741E-2</v>
      </c>
      <c r="U993" s="2">
        <v>0.16384116838771631</v>
      </c>
      <c r="V993" s="2">
        <v>0.26445570527060042</v>
      </c>
      <c r="W993" s="2">
        <v>0.39831255164763235</v>
      </c>
      <c r="X993" s="2">
        <v>0.56607118776982479</v>
      </c>
      <c r="Y993" s="2">
        <v>0.76407657882130531</v>
      </c>
      <c r="Z993" s="2">
        <v>0.9828837263737118</v>
      </c>
      <c r="AA993" s="2">
        <v>1.2062867907728889</v>
      </c>
      <c r="AB993" s="2">
        <v>1.4115332535821967</v>
      </c>
      <c r="AC993" s="2">
        <v>1.5714409153199291</v>
      </c>
      <c r="AD993" s="2">
        <v>1.6588307196363179</v>
      </c>
      <c r="AE993" s="2">
        <v>1.6529155242819016</v>
      </c>
      <c r="AF993" s="2">
        <v>1.5461405221761724</v>
      </c>
      <c r="AG993" s="2">
        <v>1.3489242703067481</v>
      </c>
      <c r="AH993" s="2">
        <v>1.1069462088580582</v>
      </c>
      <c r="AI993" s="2">
        <v>0.40092557678794966</v>
      </c>
      <c r="AJ993" s="2">
        <v>0</v>
      </c>
      <c r="AK993" s="2">
        <v>0</v>
      </c>
      <c r="AL993" s="2">
        <v>0</v>
      </c>
      <c r="AM993" s="2">
        <v>0</v>
      </c>
      <c r="AN993" s="2">
        <v>0</v>
      </c>
      <c r="AO993" s="2">
        <v>0</v>
      </c>
      <c r="AP993" s="2">
        <v>0</v>
      </c>
      <c r="AQ993" s="2">
        <v>0</v>
      </c>
      <c r="AR993" s="2">
        <v>15.183460959049102</v>
      </c>
    </row>
    <row r="994" spans="1:44" x14ac:dyDescent="0.25">
      <c r="A994" t="s">
        <v>435</v>
      </c>
      <c r="B994" t="s">
        <v>466</v>
      </c>
      <c r="C994" t="s">
        <v>47</v>
      </c>
      <c r="D994" t="s">
        <v>144</v>
      </c>
      <c r="E994" t="s">
        <v>134</v>
      </c>
      <c r="F994" t="s">
        <v>467</v>
      </c>
      <c r="G994" t="s">
        <v>33</v>
      </c>
      <c r="H994" t="s">
        <v>453</v>
      </c>
      <c r="I994" t="s">
        <v>256</v>
      </c>
      <c r="J994" t="s">
        <v>40</v>
      </c>
      <c r="K994" t="s">
        <v>33</v>
      </c>
      <c r="L994">
        <v>7.2880120486938149E-2</v>
      </c>
      <c r="M994">
        <v>1</v>
      </c>
      <c r="N994">
        <v>3.0984933282590745</v>
      </c>
      <c r="O994">
        <v>1.4737622038640088</v>
      </c>
      <c r="P994">
        <v>-0.47866416110189608</v>
      </c>
      <c r="Q994">
        <v>1.3498045353129324</v>
      </c>
      <c r="R994">
        <v>-0.25661544227348498</v>
      </c>
      <c r="S994" s="2">
        <v>2.4135175849574607E-2</v>
      </c>
      <c r="T994" s="2">
        <v>4.7872736410499626E-2</v>
      </c>
      <c r="U994" s="2">
        <v>8.4344981467619068E-2</v>
      </c>
      <c r="V994" s="2">
        <v>0.13614106747133789</v>
      </c>
      <c r="W994" s="2">
        <v>0.20505020269104959</v>
      </c>
      <c r="X994" s="2">
        <v>0.29141188574054755</v>
      </c>
      <c r="Y994" s="2">
        <v>0.39334451478042864</v>
      </c>
      <c r="Z994" s="2">
        <v>0.50598583067740444</v>
      </c>
      <c r="AA994" s="2">
        <v>0.62099311188750717</v>
      </c>
      <c r="AB994" s="2">
        <v>0.72665342469105865</v>
      </c>
      <c r="AC994" s="2">
        <v>0.8089734477873447</v>
      </c>
      <c r="AD994" s="2">
        <v>0.85396147795130284</v>
      </c>
      <c r="AE994" s="2">
        <v>0.85091635170217239</v>
      </c>
      <c r="AF994" s="2">
        <v>0.79594887519772661</v>
      </c>
      <c r="AG994" s="2">
        <v>0.6944224928316266</v>
      </c>
      <c r="AH994" s="2">
        <v>0.56985285438665134</v>
      </c>
      <c r="AI994" s="2">
        <v>0.20639538082426023</v>
      </c>
      <c r="AJ994" s="2">
        <v>0</v>
      </c>
      <c r="AK994" s="2">
        <v>0</v>
      </c>
      <c r="AL994" s="2">
        <v>0</v>
      </c>
      <c r="AM994" s="2">
        <v>0</v>
      </c>
      <c r="AN994" s="2">
        <v>0</v>
      </c>
      <c r="AO994" s="2">
        <v>0</v>
      </c>
      <c r="AP994" s="2">
        <v>0</v>
      </c>
      <c r="AQ994" s="2">
        <v>0</v>
      </c>
      <c r="AR994" s="2">
        <v>7.8164038123481134</v>
      </c>
    </row>
    <row r="995" spans="1:44" x14ac:dyDescent="0.25">
      <c r="A995" t="s">
        <v>435</v>
      </c>
      <c r="B995" t="s">
        <v>466</v>
      </c>
      <c r="C995" t="s">
        <v>47</v>
      </c>
      <c r="D995" t="s">
        <v>144</v>
      </c>
      <c r="E995" t="s">
        <v>134</v>
      </c>
      <c r="F995" t="s">
        <v>467</v>
      </c>
      <c r="G995" t="s">
        <v>33</v>
      </c>
      <c r="H995" t="s">
        <v>454</v>
      </c>
      <c r="I995" t="s">
        <v>135</v>
      </c>
      <c r="J995" t="s">
        <v>39</v>
      </c>
      <c r="K995" t="s">
        <v>31</v>
      </c>
      <c r="L995">
        <v>7.2880120486938149E-2</v>
      </c>
      <c r="M995">
        <v>1</v>
      </c>
      <c r="N995">
        <v>3.3697309324907936</v>
      </c>
      <c r="O995">
        <v>2.8779545327574692</v>
      </c>
      <c r="P995">
        <v>-0.60414025211616262</v>
      </c>
      <c r="Q995">
        <v>0.462605807810749</v>
      </c>
      <c r="R995">
        <v>-0.52509153328775149</v>
      </c>
      <c r="S995" s="2">
        <v>1.3932230214372645E-4</v>
      </c>
      <c r="T995" s="2">
        <v>2.7634933709207513E-4</v>
      </c>
      <c r="U995" s="2">
        <v>4.8688839333837922E-4</v>
      </c>
      <c r="V995" s="2">
        <v>7.8588559099914334E-4</v>
      </c>
      <c r="W995" s="2">
        <v>1.1836692830418426E-3</v>
      </c>
      <c r="X995" s="2">
        <v>1.6821992533413946E-3</v>
      </c>
      <c r="Y995" s="2">
        <v>2.2706137993928179E-3</v>
      </c>
      <c r="Z995" s="2">
        <v>2.9208451275205541E-3</v>
      </c>
      <c r="AA995" s="2">
        <v>3.5847341864339113E-3</v>
      </c>
      <c r="AB995" s="2">
        <v>4.1946670958424217E-3</v>
      </c>
      <c r="AC995" s="2">
        <v>4.6698662492184453E-3</v>
      </c>
      <c r="AD995" s="2">
        <v>4.9295633805100962E-3</v>
      </c>
      <c r="AE995" s="2">
        <v>4.9119851369542437E-3</v>
      </c>
      <c r="AF995" s="2">
        <v>4.5946808248845412E-3</v>
      </c>
      <c r="AG995" s="2">
        <v>4.0086113714142601E-3</v>
      </c>
      <c r="AH995" s="2">
        <v>3.2895228131400315E-3</v>
      </c>
      <c r="AI995" s="2">
        <v>1.1914344352611731E-3</v>
      </c>
      <c r="AJ995" s="2">
        <v>0</v>
      </c>
      <c r="AK995" s="2">
        <v>0</v>
      </c>
      <c r="AL995" s="2">
        <v>0</v>
      </c>
      <c r="AM995" s="2">
        <v>0</v>
      </c>
      <c r="AN995" s="2">
        <v>0</v>
      </c>
      <c r="AO995" s="2">
        <v>0</v>
      </c>
      <c r="AP995" s="2">
        <v>0</v>
      </c>
      <c r="AQ995" s="2">
        <v>0</v>
      </c>
      <c r="AR995" s="2">
        <v>4.5120838580529059E-2</v>
      </c>
    </row>
    <row r="996" spans="1:44" x14ac:dyDescent="0.25">
      <c r="A996" t="s">
        <v>435</v>
      </c>
      <c r="B996" t="s">
        <v>466</v>
      </c>
      <c r="C996" t="s">
        <v>47</v>
      </c>
      <c r="D996" t="s">
        <v>144</v>
      </c>
      <c r="E996" t="s">
        <v>134</v>
      </c>
      <c r="F996" t="s">
        <v>467</v>
      </c>
      <c r="G996" t="s">
        <v>33</v>
      </c>
      <c r="H996" t="s">
        <v>454</v>
      </c>
      <c r="I996" t="s">
        <v>135</v>
      </c>
      <c r="J996" t="s">
        <v>39</v>
      </c>
      <c r="K996" t="s">
        <v>33</v>
      </c>
      <c r="L996">
        <v>7.2880120486938149E-2</v>
      </c>
      <c r="M996">
        <v>1</v>
      </c>
      <c r="N996">
        <v>3.3697309324907936</v>
      </c>
      <c r="O996">
        <v>2.8779545327574692</v>
      </c>
      <c r="P996">
        <v>-0.60414025211616262</v>
      </c>
      <c r="Q996">
        <v>0.462605807810749</v>
      </c>
      <c r="R996">
        <v>-0.52509153328775149</v>
      </c>
      <c r="S996" s="2">
        <v>1.1180620577162506E-3</v>
      </c>
      <c r="T996" s="2">
        <v>2.2177045865847417E-3</v>
      </c>
      <c r="U996" s="2">
        <v>3.9072813939902296E-3</v>
      </c>
      <c r="V996" s="2">
        <v>6.3067351564117073E-3</v>
      </c>
      <c r="W996" s="2">
        <v>9.4989509496335393E-3</v>
      </c>
      <c r="X996" s="2">
        <v>1.3499656047452922E-2</v>
      </c>
      <c r="Y996" s="2">
        <v>1.8221685241815121E-2</v>
      </c>
      <c r="Z996" s="2">
        <v>2.3439794371020343E-2</v>
      </c>
      <c r="AA996" s="2">
        <v>2.8767506846932779E-2</v>
      </c>
      <c r="AB996" s="2">
        <v>3.3662220997282069E-2</v>
      </c>
      <c r="AC996" s="2">
        <v>3.7475696191659219E-2</v>
      </c>
      <c r="AD996" s="2">
        <v>3.9559766757012151E-2</v>
      </c>
      <c r="AE996" s="2">
        <v>3.9418701278917931E-2</v>
      </c>
      <c r="AF996" s="2">
        <v>3.6872332846756145E-2</v>
      </c>
      <c r="AG996" s="2">
        <v>3.2169123030170971E-2</v>
      </c>
      <c r="AH996" s="2">
        <v>2.6398434340897833E-2</v>
      </c>
      <c r="AI996" s="2">
        <v>9.5612663286880391E-3</v>
      </c>
      <c r="AJ996" s="2">
        <v>0</v>
      </c>
      <c r="AK996" s="2">
        <v>0</v>
      </c>
      <c r="AL996" s="2">
        <v>0</v>
      </c>
      <c r="AM996" s="2">
        <v>0</v>
      </c>
      <c r="AN996" s="2">
        <v>0</v>
      </c>
      <c r="AO996" s="2">
        <v>0</v>
      </c>
      <c r="AP996" s="2">
        <v>0</v>
      </c>
      <c r="AQ996" s="2">
        <v>0</v>
      </c>
      <c r="AR996" s="2">
        <v>0.36209491842294206</v>
      </c>
    </row>
    <row r="997" spans="1:44" x14ac:dyDescent="0.25">
      <c r="A997" t="s">
        <v>435</v>
      </c>
      <c r="B997" t="s">
        <v>466</v>
      </c>
      <c r="C997" t="s">
        <v>47</v>
      </c>
      <c r="D997" t="s">
        <v>144</v>
      </c>
      <c r="E997" t="s">
        <v>134</v>
      </c>
      <c r="F997" t="s">
        <v>467</v>
      </c>
      <c r="G997" t="s">
        <v>33</v>
      </c>
      <c r="H997" t="s">
        <v>455</v>
      </c>
      <c r="I997" t="s">
        <v>135</v>
      </c>
      <c r="J997" t="s">
        <v>39</v>
      </c>
      <c r="K997" t="s">
        <v>31</v>
      </c>
      <c r="L997">
        <v>7.2880120486938149E-2</v>
      </c>
      <c r="M997">
        <v>1</v>
      </c>
      <c r="N997">
        <v>3.3697309324907936</v>
      </c>
      <c r="O997">
        <v>2.8779545327574692</v>
      </c>
      <c r="P997">
        <v>-0.60414025211616262</v>
      </c>
      <c r="Q997">
        <v>0.462605807810749</v>
      </c>
      <c r="R997">
        <v>-0.52509153328775149</v>
      </c>
      <c r="S997" s="2">
        <v>3.2826399472086934E-5</v>
      </c>
      <c r="T997" s="2">
        <v>6.5111999971638067E-5</v>
      </c>
      <c r="U997" s="2">
        <v>1.1471812231153199E-4</v>
      </c>
      <c r="V997" s="2">
        <v>1.8516629392817315E-4</v>
      </c>
      <c r="W997" s="2">
        <v>2.7889002787139124E-4</v>
      </c>
      <c r="X997" s="2">
        <v>3.9635107827076278E-4</v>
      </c>
      <c r="Y997" s="2">
        <v>5.3499026701991643E-4</v>
      </c>
      <c r="Z997" s="2">
        <v>6.8819440589760474E-4</v>
      </c>
      <c r="AA997" s="2">
        <v>8.4461650858835488E-4</v>
      </c>
      <c r="AB997" s="2">
        <v>9.8832574269762993E-4</v>
      </c>
      <c r="AC997" s="2">
        <v>1.1002897068117653E-3</v>
      </c>
      <c r="AD997" s="2">
        <v>1.1614782002716299E-3</v>
      </c>
      <c r="AE997" s="2">
        <v>1.157336505538602E-3</v>
      </c>
      <c r="AF997" s="2">
        <v>1.0825749064123501E-3</v>
      </c>
      <c r="AG997" s="2">
        <v>9.4448825623514893E-4</v>
      </c>
      <c r="AH997" s="2">
        <v>7.7506033330744951E-4</v>
      </c>
      <c r="AI997" s="2">
        <v>2.8071961283224195E-4</v>
      </c>
      <c r="AJ997" s="2">
        <v>0</v>
      </c>
      <c r="AK997" s="2">
        <v>0</v>
      </c>
      <c r="AL997" s="2">
        <v>0</v>
      </c>
      <c r="AM997" s="2">
        <v>0</v>
      </c>
      <c r="AN997" s="2">
        <v>0</v>
      </c>
      <c r="AO997" s="2">
        <v>0</v>
      </c>
      <c r="AP997" s="2">
        <v>0</v>
      </c>
      <c r="AQ997" s="2">
        <v>0</v>
      </c>
      <c r="AR997" s="2">
        <v>1.063113836743828E-2</v>
      </c>
    </row>
    <row r="998" spans="1:44" x14ac:dyDescent="0.25">
      <c r="A998" t="s">
        <v>435</v>
      </c>
      <c r="B998" t="s">
        <v>466</v>
      </c>
      <c r="C998" t="s">
        <v>47</v>
      </c>
      <c r="D998" t="s">
        <v>144</v>
      </c>
      <c r="E998" t="s">
        <v>134</v>
      </c>
      <c r="F998" t="s">
        <v>467</v>
      </c>
      <c r="G998" t="s">
        <v>33</v>
      </c>
      <c r="H998" t="s">
        <v>455</v>
      </c>
      <c r="I998" t="s">
        <v>135</v>
      </c>
      <c r="J998" t="s">
        <v>39</v>
      </c>
      <c r="K998" t="s">
        <v>33</v>
      </c>
      <c r="L998">
        <v>7.2880120486938149E-2</v>
      </c>
      <c r="M998">
        <v>1</v>
      </c>
      <c r="N998">
        <v>3.3697309324907936</v>
      </c>
      <c r="O998">
        <v>2.8779545327574692</v>
      </c>
      <c r="P998">
        <v>-0.60414025211616262</v>
      </c>
      <c r="Q998">
        <v>0.462605807810749</v>
      </c>
      <c r="R998">
        <v>-0.52509153328775149</v>
      </c>
      <c r="S998" s="2">
        <v>8.346367480929611E-4</v>
      </c>
      <c r="T998" s="2">
        <v>1.6555232615251549E-3</v>
      </c>
      <c r="U998" s="2">
        <v>2.9167975194734465E-3</v>
      </c>
      <c r="V998" s="2">
        <v>4.7079970970331517E-3</v>
      </c>
      <c r="W998" s="2">
        <v>7.0909959569603331E-3</v>
      </c>
      <c r="X998" s="2">
        <v>1.0077534557280431E-2</v>
      </c>
      <c r="Y998" s="2">
        <v>1.3602543803397529E-2</v>
      </c>
      <c r="Z998" s="2">
        <v>1.7497878239206937E-2</v>
      </c>
      <c r="AA998" s="2">
        <v>2.147503190879186E-2</v>
      </c>
      <c r="AB998" s="2">
        <v>2.5128951003083252E-2</v>
      </c>
      <c r="AC998" s="2">
        <v>2.7975721907436656E-2</v>
      </c>
      <c r="AD998" s="2">
        <v>2.9531486963103967E-2</v>
      </c>
      <c r="AE998" s="2">
        <v>2.9426181151953178E-2</v>
      </c>
      <c r="AF998" s="2">
        <v>2.7525309323776479E-2</v>
      </c>
      <c r="AG998" s="2">
        <v>2.4014348800769646E-2</v>
      </c>
      <c r="AH998" s="2">
        <v>1.9706512032111399E-2</v>
      </c>
      <c r="AI998" s="2">
        <v>7.1375145781507037E-3</v>
      </c>
      <c r="AJ998" s="2">
        <v>0</v>
      </c>
      <c r="AK998" s="2">
        <v>0</v>
      </c>
      <c r="AL998" s="2">
        <v>0</v>
      </c>
      <c r="AM998" s="2">
        <v>0</v>
      </c>
      <c r="AN998" s="2">
        <v>0</v>
      </c>
      <c r="AO998" s="2">
        <v>0</v>
      </c>
      <c r="AP998" s="2">
        <v>0</v>
      </c>
      <c r="AQ998" s="2">
        <v>0</v>
      </c>
      <c r="AR998" s="2">
        <v>0.27030496485214717</v>
      </c>
    </row>
    <row r="999" spans="1:44" x14ac:dyDescent="0.25">
      <c r="A999" t="s">
        <v>435</v>
      </c>
      <c r="B999" t="s">
        <v>466</v>
      </c>
      <c r="C999" t="s">
        <v>47</v>
      </c>
      <c r="D999" t="s">
        <v>144</v>
      </c>
      <c r="E999" t="s">
        <v>134</v>
      </c>
      <c r="F999" t="s">
        <v>467</v>
      </c>
      <c r="G999" t="s">
        <v>33</v>
      </c>
      <c r="H999" t="s">
        <v>456</v>
      </c>
      <c r="I999" t="s">
        <v>135</v>
      </c>
      <c r="J999" t="s">
        <v>39</v>
      </c>
      <c r="K999" t="s">
        <v>31</v>
      </c>
      <c r="L999">
        <v>7.2880120486938149E-2</v>
      </c>
      <c r="M999">
        <v>1</v>
      </c>
      <c r="N999">
        <v>3.3697309324907936</v>
      </c>
      <c r="O999">
        <v>2.8779545327574692</v>
      </c>
      <c r="P999">
        <v>-0.60414025211616262</v>
      </c>
      <c r="Q999">
        <v>0.462605807810749</v>
      </c>
      <c r="R999">
        <v>-0.52509153328775149</v>
      </c>
      <c r="S999" s="2">
        <v>5.9170362398897804E-3</v>
      </c>
      <c r="T999" s="2">
        <v>1.1736592184332893E-2</v>
      </c>
      <c r="U999" s="2">
        <v>2.0678213206618522E-2</v>
      </c>
      <c r="V999" s="2">
        <v>3.3376662966364268E-2</v>
      </c>
      <c r="W999" s="2">
        <v>5.0270587953518901E-2</v>
      </c>
      <c r="X999" s="2">
        <v>7.14432204434024E-2</v>
      </c>
      <c r="Y999" s="2">
        <v>9.6433262522041263E-2</v>
      </c>
      <c r="Z999" s="2">
        <v>0.12404867135209648</v>
      </c>
      <c r="AA999" s="2">
        <v>0.15224412577980337</v>
      </c>
      <c r="AB999" s="2">
        <v>0.1781480555408009</v>
      </c>
      <c r="AC999" s="2">
        <v>0.19832982521031309</v>
      </c>
      <c r="AD999" s="2">
        <v>0.20935919605478062</v>
      </c>
      <c r="AE999" s="2">
        <v>0.20861264577135019</v>
      </c>
      <c r="AF999" s="2">
        <v>0.19513669048852059</v>
      </c>
      <c r="AG999" s="2">
        <v>0.17024624479592337</v>
      </c>
      <c r="AH999" s="2">
        <v>0.13970646047187926</v>
      </c>
      <c r="AI999" s="2">
        <v>5.0600374975288395E-2</v>
      </c>
      <c r="AJ999" s="2">
        <v>0</v>
      </c>
      <c r="AK999" s="2">
        <v>0</v>
      </c>
      <c r="AL999" s="2">
        <v>0</v>
      </c>
      <c r="AM999" s="2">
        <v>0</v>
      </c>
      <c r="AN999" s="2">
        <v>0</v>
      </c>
      <c r="AO999" s="2">
        <v>0</v>
      </c>
      <c r="AP999" s="2">
        <v>0</v>
      </c>
      <c r="AQ999" s="2">
        <v>0</v>
      </c>
      <c r="AR999" s="2">
        <v>1.9162878659569245</v>
      </c>
    </row>
    <row r="1000" spans="1:44" x14ac:dyDescent="0.25">
      <c r="A1000" t="s">
        <v>435</v>
      </c>
      <c r="B1000" t="s">
        <v>466</v>
      </c>
      <c r="C1000" t="s">
        <v>47</v>
      </c>
      <c r="D1000" t="s">
        <v>144</v>
      </c>
      <c r="E1000" t="s">
        <v>134</v>
      </c>
      <c r="F1000" t="s">
        <v>467</v>
      </c>
      <c r="G1000" t="s">
        <v>33</v>
      </c>
      <c r="H1000" t="s">
        <v>456</v>
      </c>
      <c r="I1000" t="s">
        <v>135</v>
      </c>
      <c r="J1000" t="s">
        <v>39</v>
      </c>
      <c r="K1000" t="s">
        <v>33</v>
      </c>
      <c r="L1000">
        <v>7.2880120486938149E-2</v>
      </c>
      <c r="M1000">
        <v>1</v>
      </c>
      <c r="N1000">
        <v>3.3697309324907936</v>
      </c>
      <c r="O1000">
        <v>2.8779545327574692</v>
      </c>
      <c r="P1000">
        <v>-0.60414025211616262</v>
      </c>
      <c r="Q1000">
        <v>0.462605807810749</v>
      </c>
      <c r="R1000">
        <v>-0.52509153328775149</v>
      </c>
      <c r="S1000" s="2">
        <v>5.4631979411802738E-3</v>
      </c>
      <c r="T1000" s="2">
        <v>1.0836392352248689E-2</v>
      </c>
      <c r="U1000" s="2">
        <v>1.9092188595381893E-2</v>
      </c>
      <c r="V1000" s="2">
        <v>3.0816663783811097E-2</v>
      </c>
      <c r="W1000" s="2">
        <v>4.6414820101676808E-2</v>
      </c>
      <c r="X1000" s="2">
        <v>6.5963505886006676E-2</v>
      </c>
      <c r="Y1000" s="2">
        <v>8.9036804899056396E-2</v>
      </c>
      <c r="Z1000" s="2">
        <v>0.11453410431529581</v>
      </c>
      <c r="AA1000" s="2">
        <v>0.14056695967312613</v>
      </c>
      <c r="AB1000" s="2">
        <v>0.16448405093322563</v>
      </c>
      <c r="AC1000" s="2">
        <v>0.18311787334664179</v>
      </c>
      <c r="AD1000" s="2">
        <v>0.19330128842931349</v>
      </c>
      <c r="AE1000" s="2">
        <v>0.19261199875690466</v>
      </c>
      <c r="AF1000" s="2">
        <v>0.1801696529317651</v>
      </c>
      <c r="AG1000" s="2">
        <v>0.15718831123469454</v>
      </c>
      <c r="AH1000" s="2">
        <v>0.12899093672506756</v>
      </c>
      <c r="AI1000" s="2">
        <v>4.6719312368634996E-2</v>
      </c>
      <c r="AJ1000" s="2">
        <v>0</v>
      </c>
      <c r="AK1000" s="2">
        <v>0</v>
      </c>
      <c r="AL1000" s="2">
        <v>0</v>
      </c>
      <c r="AM1000" s="2">
        <v>0</v>
      </c>
      <c r="AN1000" s="2">
        <v>0</v>
      </c>
      <c r="AO1000" s="2">
        <v>0</v>
      </c>
      <c r="AP1000" s="2">
        <v>0</v>
      </c>
      <c r="AQ1000" s="2">
        <v>0</v>
      </c>
      <c r="AR1000" s="2">
        <v>1.7693080622740316</v>
      </c>
    </row>
    <row r="1001" spans="1:44" x14ac:dyDescent="0.25">
      <c r="A1001" t="s">
        <v>435</v>
      </c>
      <c r="B1001" t="s">
        <v>466</v>
      </c>
      <c r="C1001" t="s">
        <v>47</v>
      </c>
      <c r="D1001" t="s">
        <v>144</v>
      </c>
      <c r="E1001" t="s">
        <v>134</v>
      </c>
      <c r="F1001" t="s">
        <v>467</v>
      </c>
      <c r="G1001" t="s">
        <v>33</v>
      </c>
      <c r="H1001" t="s">
        <v>456</v>
      </c>
      <c r="I1001" t="s">
        <v>135</v>
      </c>
      <c r="J1001" t="s">
        <v>40</v>
      </c>
      <c r="K1001" t="s">
        <v>33</v>
      </c>
      <c r="L1001">
        <v>7.2880120486938149E-2</v>
      </c>
      <c r="M1001">
        <v>1</v>
      </c>
      <c r="N1001">
        <v>3.3697309324907936</v>
      </c>
      <c r="O1001">
        <v>1.7054155637884914</v>
      </c>
      <c r="P1001">
        <v>-0.60414025211616262</v>
      </c>
      <c r="Q1001">
        <v>1.3498045353129324</v>
      </c>
      <c r="R1001">
        <v>-0.38209153328775142</v>
      </c>
      <c r="S1001" s="2">
        <v>2.0168563094631872E-2</v>
      </c>
      <c r="T1001" s="2">
        <v>4.000485891735734E-2</v>
      </c>
      <c r="U1001" s="2">
        <v>7.0482895631158796E-2</v>
      </c>
      <c r="V1001" s="2">
        <v>0.11376630218812384</v>
      </c>
      <c r="W1001" s="2">
        <v>0.17135023073032132</v>
      </c>
      <c r="X1001" s="2">
        <v>0.24351838332213679</v>
      </c>
      <c r="Y1001" s="2">
        <v>0.32869839912172266</v>
      </c>
      <c r="Z1001" s="2">
        <v>0.4228271306002031</v>
      </c>
      <c r="AA1001" s="2">
        <v>0.51893298132550081</v>
      </c>
      <c r="AB1001" s="2">
        <v>0.60722803658670077</v>
      </c>
      <c r="AC1001" s="2">
        <v>0.67601877546993383</v>
      </c>
      <c r="AD1001" s="2">
        <v>0.71361302920647662</v>
      </c>
      <c r="AE1001" s="2">
        <v>0.71106836902792714</v>
      </c>
      <c r="AF1001" s="2">
        <v>0.66513478955279959</v>
      </c>
      <c r="AG1001" s="2">
        <v>0.5802942538433199</v>
      </c>
      <c r="AH1001" s="2">
        <v>0.47619761794923143</v>
      </c>
      <c r="AI1001" s="2">
        <v>0.17247432902661147</v>
      </c>
      <c r="AJ1001" s="2">
        <v>0</v>
      </c>
      <c r="AK1001" s="2">
        <v>0</v>
      </c>
      <c r="AL1001" s="2">
        <v>0</v>
      </c>
      <c r="AM1001" s="2">
        <v>0</v>
      </c>
      <c r="AN1001" s="2">
        <v>0</v>
      </c>
      <c r="AO1001" s="2">
        <v>0</v>
      </c>
      <c r="AP1001" s="2">
        <v>0</v>
      </c>
      <c r="AQ1001" s="2">
        <v>0</v>
      </c>
      <c r="AR1001" s="2">
        <v>6.5317789455941577</v>
      </c>
    </row>
    <row r="1002" spans="1:44" x14ac:dyDescent="0.25">
      <c r="A1002" t="s">
        <v>435</v>
      </c>
      <c r="B1002" t="s">
        <v>466</v>
      </c>
      <c r="C1002" t="s">
        <v>47</v>
      </c>
      <c r="D1002" t="s">
        <v>144</v>
      </c>
      <c r="E1002" t="s">
        <v>134</v>
      </c>
      <c r="F1002" t="s">
        <v>467</v>
      </c>
      <c r="G1002" t="s">
        <v>33</v>
      </c>
      <c r="H1002" t="s">
        <v>456</v>
      </c>
      <c r="I1002" t="s">
        <v>256</v>
      </c>
      <c r="J1002" t="s">
        <v>40</v>
      </c>
      <c r="K1002" t="s">
        <v>33</v>
      </c>
      <c r="L1002">
        <v>7.2880120486938149E-2</v>
      </c>
      <c r="M1002">
        <v>1</v>
      </c>
      <c r="N1002">
        <v>3.0984933282590745</v>
      </c>
      <c r="O1002">
        <v>1.4737622038640088</v>
      </c>
      <c r="P1002">
        <v>-0.47866416110189608</v>
      </c>
      <c r="Q1002">
        <v>1.3498045353129324</v>
      </c>
      <c r="R1002">
        <v>-0.25661544227348498</v>
      </c>
      <c r="S1002" s="2">
        <v>3.0286729543854252E-2</v>
      </c>
      <c r="T1002" s="2">
        <v>6.0074499942563357E-2</v>
      </c>
      <c r="U1002" s="2">
        <v>0.10584276070796488</v>
      </c>
      <c r="V1002" s="2">
        <v>0.17084059034890769</v>
      </c>
      <c r="W1002" s="2">
        <v>0.25731322906129867</v>
      </c>
      <c r="X1002" s="2">
        <v>0.36568670658532126</v>
      </c>
      <c r="Y1002" s="2">
        <v>0.4935998399582161</v>
      </c>
      <c r="Z1002" s="2">
        <v>0.63495108145313472</v>
      </c>
      <c r="AA1002" s="2">
        <v>0.77927132354682416</v>
      </c>
      <c r="AB1002" s="2">
        <v>0.91186224964345775</v>
      </c>
      <c r="AC1002" s="2">
        <v>1.0151639322622319</v>
      </c>
      <c r="AD1002" s="2">
        <v>1.0716184744117794</v>
      </c>
      <c r="AE1002" s="2">
        <v>1.0677972088983596</v>
      </c>
      <c r="AF1002" s="2">
        <v>0.99881966736419858</v>
      </c>
      <c r="AG1002" s="2">
        <v>0.87141632448189676</v>
      </c>
      <c r="AH1002" s="2">
        <v>0.71509647943609511</v>
      </c>
      <c r="AI1002" s="2">
        <v>0.25900126508650867</v>
      </c>
      <c r="AJ1002" s="2">
        <v>0</v>
      </c>
      <c r="AK1002" s="2">
        <v>0</v>
      </c>
      <c r="AL1002" s="2">
        <v>0</v>
      </c>
      <c r="AM1002" s="2">
        <v>0</v>
      </c>
      <c r="AN1002" s="2">
        <v>0</v>
      </c>
      <c r="AO1002" s="2">
        <v>0</v>
      </c>
      <c r="AP1002" s="2">
        <v>0</v>
      </c>
      <c r="AQ1002" s="2">
        <v>0</v>
      </c>
      <c r="AR1002" s="2">
        <v>9.8086423627326127</v>
      </c>
    </row>
    <row r="1003" spans="1:44" x14ac:dyDescent="0.25">
      <c r="A1003" t="s">
        <v>435</v>
      </c>
      <c r="B1003" t="s">
        <v>466</v>
      </c>
      <c r="C1003" t="s">
        <v>47</v>
      </c>
      <c r="D1003" t="s">
        <v>144</v>
      </c>
      <c r="E1003" t="s">
        <v>134</v>
      </c>
      <c r="F1003" t="s">
        <v>467</v>
      </c>
      <c r="G1003" t="s">
        <v>33</v>
      </c>
      <c r="H1003" t="s">
        <v>457</v>
      </c>
      <c r="I1003" t="s">
        <v>135</v>
      </c>
      <c r="J1003" t="s">
        <v>39</v>
      </c>
      <c r="K1003" t="s">
        <v>31</v>
      </c>
      <c r="L1003">
        <v>7.2880120486938149E-2</v>
      </c>
      <c r="M1003">
        <v>1</v>
      </c>
      <c r="N1003">
        <v>3.3697309324907936</v>
      </c>
      <c r="O1003">
        <v>2.8779545327574692</v>
      </c>
      <c r="P1003">
        <v>-0.60414025211616262</v>
      </c>
      <c r="Q1003">
        <v>0.462605807810749</v>
      </c>
      <c r="R1003">
        <v>-0.52509153328775149</v>
      </c>
      <c r="S1003" s="2">
        <v>2.187521943602483E-3</v>
      </c>
      <c r="T1003" s="2">
        <v>4.3390055266620854E-3</v>
      </c>
      <c r="U1003" s="2">
        <v>7.644713216225168E-3</v>
      </c>
      <c r="V1003" s="2">
        <v>1.2339316455581862E-2</v>
      </c>
      <c r="W1003" s="2">
        <v>1.8584982381005272E-2</v>
      </c>
      <c r="X1003" s="2">
        <v>2.6412481875298335E-2</v>
      </c>
      <c r="Y1003" s="2">
        <v>3.5651273595051304E-2</v>
      </c>
      <c r="Z1003" s="2">
        <v>4.5860660583430607E-2</v>
      </c>
      <c r="AA1003" s="2">
        <v>5.6284489806352783E-2</v>
      </c>
      <c r="AB1003" s="2">
        <v>6.5861144820852924E-2</v>
      </c>
      <c r="AC1003" s="2">
        <v>7.3322323394538896E-2</v>
      </c>
      <c r="AD1003" s="2">
        <v>7.7399869951335298E-2</v>
      </c>
      <c r="AE1003" s="2">
        <v>7.7123871113268849E-2</v>
      </c>
      <c r="AF1003" s="2">
        <v>7.2141824916988534E-2</v>
      </c>
      <c r="AG1003" s="2">
        <v>6.2939853874198967E-2</v>
      </c>
      <c r="AH1003" s="2">
        <v>5.1649328406168704E-2</v>
      </c>
      <c r="AI1003" s="2">
        <v>1.8706904288796334E-2</v>
      </c>
      <c r="AJ1003" s="2">
        <v>0</v>
      </c>
      <c r="AK1003" s="2">
        <v>0</v>
      </c>
      <c r="AL1003" s="2">
        <v>0</v>
      </c>
      <c r="AM1003" s="2">
        <v>0</v>
      </c>
      <c r="AN1003" s="2">
        <v>0</v>
      </c>
      <c r="AO1003" s="2">
        <v>0</v>
      </c>
      <c r="AP1003" s="2">
        <v>0</v>
      </c>
      <c r="AQ1003" s="2">
        <v>0</v>
      </c>
      <c r="AR1003" s="2">
        <v>0.70844956614935839</v>
      </c>
    </row>
    <row r="1004" spans="1:44" x14ac:dyDescent="0.25">
      <c r="A1004" t="s">
        <v>435</v>
      </c>
      <c r="B1004" t="s">
        <v>466</v>
      </c>
      <c r="C1004" t="s">
        <v>47</v>
      </c>
      <c r="D1004" t="s">
        <v>144</v>
      </c>
      <c r="E1004" t="s">
        <v>134</v>
      </c>
      <c r="F1004" t="s">
        <v>467</v>
      </c>
      <c r="G1004" t="s">
        <v>33</v>
      </c>
      <c r="H1004" t="s">
        <v>457</v>
      </c>
      <c r="I1004" t="s">
        <v>135</v>
      </c>
      <c r="J1004" t="s">
        <v>39</v>
      </c>
      <c r="K1004" t="s">
        <v>33</v>
      </c>
      <c r="L1004">
        <v>7.2880120486938149E-2</v>
      </c>
      <c r="M1004">
        <v>1</v>
      </c>
      <c r="N1004">
        <v>3.3697309324907936</v>
      </c>
      <c r="O1004">
        <v>2.8779545327574692</v>
      </c>
      <c r="P1004">
        <v>-0.60414025211616262</v>
      </c>
      <c r="Q1004">
        <v>0.462605807810749</v>
      </c>
      <c r="R1004">
        <v>-0.52509153328775149</v>
      </c>
      <c r="S1004" s="2">
        <v>6.4005704367144122E-4</v>
      </c>
      <c r="T1004" s="2">
        <v>1.2695694587162754E-3</v>
      </c>
      <c r="U1004" s="2">
        <v>2.236801580529536E-3</v>
      </c>
      <c r="V1004" s="2">
        <v>3.6104169992825889E-3</v>
      </c>
      <c r="W1004" s="2">
        <v>5.4378649385716515E-3</v>
      </c>
      <c r="X1004" s="2">
        <v>7.7281487916360967E-3</v>
      </c>
      <c r="Y1004" s="2">
        <v>1.0431369087338807E-2</v>
      </c>
      <c r="Z1004" s="2">
        <v>1.3418580288849484E-2</v>
      </c>
      <c r="AA1004" s="2">
        <v>1.6468536123885418E-2</v>
      </c>
      <c r="AB1004" s="2">
        <v>1.9270613385221506E-2</v>
      </c>
      <c r="AC1004" s="2">
        <v>2.1453713725835034E-2</v>
      </c>
      <c r="AD1004" s="2">
        <v>2.2646781709545292E-2</v>
      </c>
      <c r="AE1004" s="2">
        <v>2.2566025948047123E-2</v>
      </c>
      <c r="AF1004" s="2">
        <v>2.1108306280753501E-2</v>
      </c>
      <c r="AG1004" s="2">
        <v>1.8415859515214489E-2</v>
      </c>
      <c r="AH1004" s="2">
        <v>1.511231306453816E-2</v>
      </c>
      <c r="AI1004" s="2">
        <v>5.4735386268232062E-3</v>
      </c>
      <c r="AJ1004" s="2">
        <v>0</v>
      </c>
      <c r="AK1004" s="2">
        <v>0</v>
      </c>
      <c r="AL1004" s="2">
        <v>0</v>
      </c>
      <c r="AM1004" s="2">
        <v>0</v>
      </c>
      <c r="AN1004" s="2">
        <v>0</v>
      </c>
      <c r="AO1004" s="2">
        <v>0</v>
      </c>
      <c r="AP1004" s="2">
        <v>0</v>
      </c>
      <c r="AQ1004" s="2">
        <v>0</v>
      </c>
      <c r="AR1004" s="2">
        <v>0.20728849656845963</v>
      </c>
    </row>
    <row r="1005" spans="1:44" x14ac:dyDescent="0.25">
      <c r="A1005" t="s">
        <v>435</v>
      </c>
      <c r="B1005" t="s">
        <v>466</v>
      </c>
      <c r="C1005" t="s">
        <v>47</v>
      </c>
      <c r="D1005" t="s">
        <v>144</v>
      </c>
      <c r="E1005" t="s">
        <v>134</v>
      </c>
      <c r="F1005" t="s">
        <v>467</v>
      </c>
      <c r="G1005" t="s">
        <v>33</v>
      </c>
      <c r="H1005" t="s">
        <v>457</v>
      </c>
      <c r="I1005" t="s">
        <v>256</v>
      </c>
      <c r="J1005" t="s">
        <v>39</v>
      </c>
      <c r="K1005" t="s">
        <v>33</v>
      </c>
      <c r="L1005">
        <v>7.2880120486938149E-2</v>
      </c>
      <c r="M1005">
        <v>1</v>
      </c>
      <c r="N1005">
        <v>3.0984933282590745</v>
      </c>
      <c r="O1005">
        <v>2.6463011728329868</v>
      </c>
      <c r="P1005">
        <v>-0.47866416110189608</v>
      </c>
      <c r="Q1005">
        <v>1.3498045353129324</v>
      </c>
      <c r="R1005">
        <v>-0.39961544227348506</v>
      </c>
      <c r="S1005" s="2">
        <v>1.7601998173041201E-3</v>
      </c>
      <c r="T1005" s="2">
        <v>3.4914011983507034E-3</v>
      </c>
      <c r="U1005" s="2">
        <v>6.15135443367566E-3</v>
      </c>
      <c r="V1005" s="2">
        <v>9.9288890035106395E-3</v>
      </c>
      <c r="W1005" s="2">
        <v>1.495449345654218E-2</v>
      </c>
      <c r="X1005" s="2">
        <v>2.1252927728297521E-2</v>
      </c>
      <c r="Y1005" s="2">
        <v>2.8686964924943426E-2</v>
      </c>
      <c r="Z1005" s="2">
        <v>3.6901996168075907E-2</v>
      </c>
      <c r="AA1005" s="2">
        <v>4.528957936350702E-2</v>
      </c>
      <c r="AB1005" s="2">
        <v>5.2995479848851335E-2</v>
      </c>
      <c r="AC1005" s="2">
        <v>5.8999152269456775E-2</v>
      </c>
      <c r="AD1005" s="2">
        <v>6.2280169278366083E-2</v>
      </c>
      <c r="AE1005" s="2">
        <v>6.2058085515612739E-2</v>
      </c>
      <c r="AF1005" s="2">
        <v>5.8049258618977577E-2</v>
      </c>
      <c r="AG1005" s="2">
        <v>5.06448493531753E-2</v>
      </c>
      <c r="AH1005" s="2">
        <v>4.1559874949048455E-2</v>
      </c>
      <c r="AI1005" s="2">
        <v>1.5052598492903893E-2</v>
      </c>
      <c r="AJ1005" s="2">
        <v>0</v>
      </c>
      <c r="AK1005" s="2">
        <v>0</v>
      </c>
      <c r="AL1005" s="2">
        <v>0</v>
      </c>
      <c r="AM1005" s="2">
        <v>0</v>
      </c>
      <c r="AN1005" s="2">
        <v>0</v>
      </c>
      <c r="AO1005" s="2">
        <v>0</v>
      </c>
      <c r="AP1005" s="2">
        <v>0</v>
      </c>
      <c r="AQ1005" s="2">
        <v>0</v>
      </c>
      <c r="AR1005" s="2">
        <v>0.57005727442059928</v>
      </c>
    </row>
    <row r="1006" spans="1:44" x14ac:dyDescent="0.25">
      <c r="A1006" t="s">
        <v>435</v>
      </c>
      <c r="B1006" t="s">
        <v>466</v>
      </c>
      <c r="C1006" t="s">
        <v>47</v>
      </c>
      <c r="D1006" t="s">
        <v>144</v>
      </c>
      <c r="E1006" t="s">
        <v>134</v>
      </c>
      <c r="F1006" t="s">
        <v>467</v>
      </c>
      <c r="G1006" t="s">
        <v>33</v>
      </c>
      <c r="H1006" t="s">
        <v>457</v>
      </c>
      <c r="I1006" t="s">
        <v>256</v>
      </c>
      <c r="J1006" t="s">
        <v>40</v>
      </c>
      <c r="K1006" t="s">
        <v>33</v>
      </c>
      <c r="L1006">
        <v>7.2880120486938149E-2</v>
      </c>
      <c r="M1006">
        <v>1</v>
      </c>
      <c r="N1006">
        <v>3.0984933282590745</v>
      </c>
      <c r="O1006">
        <v>1.4737622038640088</v>
      </c>
      <c r="P1006">
        <v>-0.47866416110189608</v>
      </c>
      <c r="Q1006">
        <v>1.3498045353129324</v>
      </c>
      <c r="R1006">
        <v>-0.25661544227348498</v>
      </c>
      <c r="S1006" s="2">
        <v>1.6106503566788558E-2</v>
      </c>
      <c r="T1006" s="2">
        <v>3.1947660317595376E-2</v>
      </c>
      <c r="U1006" s="2">
        <v>5.6287252817876852E-2</v>
      </c>
      <c r="V1006" s="2">
        <v>9.0853143249509577E-2</v>
      </c>
      <c r="W1006" s="2">
        <v>0.13683935189029578</v>
      </c>
      <c r="X1006" s="2">
        <v>0.19447244164858396</v>
      </c>
      <c r="Y1006" s="2">
        <v>0.2624967338035516</v>
      </c>
      <c r="Z1006" s="2">
        <v>0.33766742108463765</v>
      </c>
      <c r="AA1006" s="2">
        <v>0.41441702492271471</v>
      </c>
      <c r="AB1006" s="2">
        <v>0.48492897046001604</v>
      </c>
      <c r="AC1006" s="2">
        <v>0.5398648762053152</v>
      </c>
      <c r="AD1006" s="2">
        <v>0.56988744048306228</v>
      </c>
      <c r="AE1006" s="2">
        <v>0.56785528885928194</v>
      </c>
      <c r="AF1006" s="2">
        <v>0.53117298491030007</v>
      </c>
      <c r="AG1006" s="2">
        <v>0.46341979968826019</v>
      </c>
      <c r="AH1006" s="2">
        <v>0.38028879876112498</v>
      </c>
      <c r="AI1006" s="2">
        <v>0.13773705060753486</v>
      </c>
      <c r="AJ1006" s="2">
        <v>0</v>
      </c>
      <c r="AK1006" s="2">
        <v>0</v>
      </c>
      <c r="AL1006" s="2">
        <v>0</v>
      </c>
      <c r="AM1006" s="2">
        <v>0</v>
      </c>
      <c r="AN1006" s="2">
        <v>0</v>
      </c>
      <c r="AO1006" s="2">
        <v>0</v>
      </c>
      <c r="AP1006" s="2">
        <v>0</v>
      </c>
      <c r="AQ1006" s="2">
        <v>0</v>
      </c>
      <c r="AR1006" s="2">
        <v>5.2162427432764504</v>
      </c>
    </row>
    <row r="1007" spans="1:44" x14ac:dyDescent="0.25">
      <c r="A1007" t="s">
        <v>435</v>
      </c>
      <c r="B1007" t="s">
        <v>436</v>
      </c>
      <c r="C1007" t="s">
        <v>44</v>
      </c>
      <c r="D1007" t="s">
        <v>144</v>
      </c>
      <c r="E1007" t="s">
        <v>145</v>
      </c>
      <c r="F1007" t="s">
        <v>144</v>
      </c>
      <c r="G1007" t="s">
        <v>33</v>
      </c>
      <c r="H1007" t="s">
        <v>437</v>
      </c>
      <c r="I1007" t="s">
        <v>135</v>
      </c>
      <c r="J1007" t="s">
        <v>39</v>
      </c>
      <c r="K1007" t="s">
        <v>31</v>
      </c>
      <c r="L1007">
        <v>3.2456233234550047E-2</v>
      </c>
      <c r="M1007">
        <v>1</v>
      </c>
      <c r="N1007">
        <v>2.1457313890213765</v>
      </c>
      <c r="O1007">
        <v>5.3471683850504297</v>
      </c>
      <c r="P1007">
        <v>-1.0544023849485795</v>
      </c>
      <c r="Q1007">
        <v>1.3498045353129324</v>
      </c>
      <c r="R1007">
        <v>-1.862552393622352</v>
      </c>
      <c r="S1007" s="2">
        <v>3.6990294258092002E-4</v>
      </c>
      <c r="T1007" s="2">
        <v>5.6455890678679241E-4</v>
      </c>
      <c r="U1007" s="2">
        <v>1.2232043803375458E-3</v>
      </c>
      <c r="V1007" s="2">
        <v>2.2839180389325276E-3</v>
      </c>
      <c r="W1007" s="2">
        <v>3.87811838412839E-3</v>
      </c>
      <c r="X1007" s="2">
        <v>6.1388795127133378E-3</v>
      </c>
      <c r="Y1007" s="2">
        <v>9.1834592972217296E-3</v>
      </c>
      <c r="Z1007" s="2">
        <v>1.3089991719405109E-2</v>
      </c>
      <c r="AA1007" s="2">
        <v>1.7870430132465608E-2</v>
      </c>
      <c r="AB1007" s="2">
        <v>2.3444565718786139E-2</v>
      </c>
      <c r="AC1007" s="2">
        <v>2.962281284202032E-2</v>
      </c>
      <c r="AD1007" s="2">
        <v>3.6107064904699192E-2</v>
      </c>
      <c r="AE1007" s="2">
        <v>4.2517396320966398E-2</v>
      </c>
      <c r="AF1007" s="2">
        <v>4.8446239008976398E-2</v>
      </c>
      <c r="AG1007" s="2">
        <v>5.3531326242326489E-2</v>
      </c>
      <c r="AH1007" s="2">
        <v>5.752778060864764E-2</v>
      </c>
      <c r="AI1007" s="2">
        <v>6.0354509173069414E-2</v>
      </c>
      <c r="AJ1007" s="2">
        <v>6.226673856467195E-2</v>
      </c>
      <c r="AK1007" s="2">
        <v>6.307397515477664E-2</v>
      </c>
      <c r="AL1007" s="2">
        <v>6.3609606187176163E-2</v>
      </c>
      <c r="AM1007" s="2">
        <v>6.3372758241018956E-2</v>
      </c>
      <c r="AN1007" s="2">
        <v>6.2884245020412594E-2</v>
      </c>
      <c r="AO1007" s="2">
        <v>6.2399497537219746E-2</v>
      </c>
      <c r="AP1007" s="2">
        <v>6.1918486762997271E-2</v>
      </c>
      <c r="AQ1007" s="2">
        <v>6.1441183893069698E-2</v>
      </c>
      <c r="AR1007" s="2">
        <v>0.90712064949540683</v>
      </c>
    </row>
    <row r="1008" spans="1:44" x14ac:dyDescent="0.25">
      <c r="A1008" t="s">
        <v>435</v>
      </c>
      <c r="B1008" t="s">
        <v>460</v>
      </c>
      <c r="C1008" t="s">
        <v>44</v>
      </c>
      <c r="D1008" t="s">
        <v>461</v>
      </c>
      <c r="E1008" t="s">
        <v>134</v>
      </c>
      <c r="F1008" t="s">
        <v>461</v>
      </c>
      <c r="G1008" t="s">
        <v>33</v>
      </c>
      <c r="H1008" t="s">
        <v>450</v>
      </c>
      <c r="I1008" t="s">
        <v>135</v>
      </c>
      <c r="J1008" t="s">
        <v>39</v>
      </c>
      <c r="K1008" t="s">
        <v>31</v>
      </c>
      <c r="L1008">
        <v>6.641291224625212E-2</v>
      </c>
      <c r="M1008">
        <v>0</v>
      </c>
      <c r="N1008">
        <v>0.71439906728806646</v>
      </c>
      <c r="O1008">
        <v>5.3471683850504306</v>
      </c>
      <c r="P1008">
        <v>1.6499948460693128</v>
      </c>
      <c r="Q1008">
        <v>4.0542017663308254</v>
      </c>
      <c r="R1008">
        <v>-1.8625523936223525</v>
      </c>
      <c r="S1008" s="2">
        <v>2.510895942363793E-2</v>
      </c>
      <c r="T1008" s="2">
        <v>4.0528321656468941E-2</v>
      </c>
      <c r="U1008" s="2">
        <v>6.104212876204021E-2</v>
      </c>
      <c r="V1008" s="2">
        <v>8.6751447297837334E-2</v>
      </c>
      <c r="W1008" s="2">
        <v>0.11709613647759254</v>
      </c>
      <c r="X1008" s="2">
        <v>0.15062873297674714</v>
      </c>
      <c r="Y1008" s="2">
        <v>0.18486566215831335</v>
      </c>
      <c r="Z1008" s="2">
        <v>0.21632005885993325</v>
      </c>
      <c r="AA1008" s="2">
        <v>0.24082620117820641</v>
      </c>
      <c r="AB1008" s="2">
        <v>0.25421884890046464</v>
      </c>
      <c r="AC1008" s="2">
        <v>0.25331233436813744</v>
      </c>
      <c r="AD1008" s="2">
        <v>0.23694886954599195</v>
      </c>
      <c r="AE1008" s="2">
        <v>0.20672511739260704</v>
      </c>
      <c r="AF1008" s="2">
        <v>0.16964153585986425</v>
      </c>
      <c r="AG1008" s="2">
        <v>3.0398354014777786E-2</v>
      </c>
      <c r="AH1008" s="2">
        <v>0</v>
      </c>
      <c r="AI1008" s="2">
        <v>0</v>
      </c>
      <c r="AJ1008" s="2">
        <v>0</v>
      </c>
      <c r="AK1008" s="2">
        <v>0</v>
      </c>
      <c r="AL1008" s="2">
        <v>0</v>
      </c>
      <c r="AM1008" s="2">
        <v>0</v>
      </c>
      <c r="AN1008" s="2">
        <v>0</v>
      </c>
      <c r="AO1008" s="2">
        <v>0</v>
      </c>
      <c r="AP1008" s="2">
        <v>0</v>
      </c>
      <c r="AQ1008" s="2">
        <v>0</v>
      </c>
      <c r="AR1008" s="2">
        <v>2.27441270887262</v>
      </c>
    </row>
    <row r="1009" spans="1:44" x14ac:dyDescent="0.25">
      <c r="A1009" t="s">
        <v>435</v>
      </c>
      <c r="B1009" t="s">
        <v>460</v>
      </c>
      <c r="C1009" t="s">
        <v>44</v>
      </c>
      <c r="D1009" t="s">
        <v>461</v>
      </c>
      <c r="E1009" t="s">
        <v>134</v>
      </c>
      <c r="F1009" t="s">
        <v>461</v>
      </c>
      <c r="G1009" t="s">
        <v>33</v>
      </c>
      <c r="H1009" t="s">
        <v>450</v>
      </c>
      <c r="I1009" t="s">
        <v>135</v>
      </c>
      <c r="J1009" t="s">
        <v>39</v>
      </c>
      <c r="K1009" t="s">
        <v>33</v>
      </c>
      <c r="L1009">
        <v>6.641291224625212E-2</v>
      </c>
      <c r="M1009">
        <v>0</v>
      </c>
      <c r="N1009">
        <v>0.71439906728806646</v>
      </c>
      <c r="O1009">
        <v>5.3471683850504306</v>
      </c>
      <c r="P1009">
        <v>1.6499948460693128</v>
      </c>
      <c r="Q1009">
        <v>4.0542017663308254</v>
      </c>
      <c r="R1009">
        <v>-1.8625523936223525</v>
      </c>
      <c r="S1009" s="2">
        <v>1.5469133400681385E-2</v>
      </c>
      <c r="T1009" s="2">
        <v>2.4951292607125638E-2</v>
      </c>
      <c r="U1009" s="2">
        <v>3.7554437448937994E-2</v>
      </c>
      <c r="V1009" s="2">
        <v>5.3334162437511184E-2</v>
      </c>
      <c r="W1009" s="2">
        <v>7.1939675829005831E-2</v>
      </c>
      <c r="X1009" s="2">
        <v>9.2476395496246089E-2</v>
      </c>
      <c r="Y1009" s="2">
        <v>0.11341656282276272</v>
      </c>
      <c r="Z1009" s="2">
        <v>0.13262157566557198</v>
      </c>
      <c r="AA1009" s="2">
        <v>0.14754289010510935</v>
      </c>
      <c r="AB1009" s="2">
        <v>0.1556393682242132</v>
      </c>
      <c r="AC1009" s="2">
        <v>0.15497627164606054</v>
      </c>
      <c r="AD1009" s="2">
        <v>0.14486406668540902</v>
      </c>
      <c r="AE1009" s="2">
        <v>0.12629799003645895</v>
      </c>
      <c r="AF1009" s="2">
        <v>0.10356965932518178</v>
      </c>
      <c r="AG1009" s="2">
        <v>3.3121545190316127E-3</v>
      </c>
      <c r="AH1009" s="2">
        <v>0</v>
      </c>
      <c r="AI1009" s="2">
        <v>0</v>
      </c>
      <c r="AJ1009" s="2">
        <v>0</v>
      </c>
      <c r="AK1009" s="2">
        <v>0</v>
      </c>
      <c r="AL1009" s="2">
        <v>0</v>
      </c>
      <c r="AM1009" s="2">
        <v>0</v>
      </c>
      <c r="AN1009" s="2">
        <v>0</v>
      </c>
      <c r="AO1009" s="2">
        <v>0</v>
      </c>
      <c r="AP1009" s="2">
        <v>0</v>
      </c>
      <c r="AQ1009" s="2">
        <v>0</v>
      </c>
      <c r="AR1009" s="2">
        <v>1.3779656362493073</v>
      </c>
    </row>
    <row r="1010" spans="1:44" x14ac:dyDescent="0.25">
      <c r="A1010" t="s">
        <v>435</v>
      </c>
      <c r="B1010" t="s">
        <v>460</v>
      </c>
      <c r="C1010" t="s">
        <v>44</v>
      </c>
      <c r="D1010" t="s">
        <v>461</v>
      </c>
      <c r="E1010" t="s">
        <v>134</v>
      </c>
      <c r="F1010" t="s">
        <v>461</v>
      </c>
      <c r="G1010" t="s">
        <v>33</v>
      </c>
      <c r="H1010" t="s">
        <v>450</v>
      </c>
      <c r="I1010" t="s">
        <v>256</v>
      </c>
      <c r="J1010" t="s">
        <v>40</v>
      </c>
      <c r="K1010" t="s">
        <v>33</v>
      </c>
      <c r="L1010">
        <v>6.641291224625212E-2</v>
      </c>
      <c r="M1010">
        <v>0</v>
      </c>
      <c r="N1010">
        <v>0.35355443358033928</v>
      </c>
      <c r="O1010">
        <v>1.4737622038640097</v>
      </c>
      <c r="P1010">
        <v>3.11293179741818</v>
      </c>
      <c r="Q1010">
        <v>1.3498045353129324</v>
      </c>
      <c r="R1010">
        <v>-0.25661544227348532</v>
      </c>
      <c r="S1010" s="2">
        <v>0.40408476978961116</v>
      </c>
      <c r="T1010" s="2">
        <v>0.65223242629067857</v>
      </c>
      <c r="U1010" s="2">
        <v>0.98236625947372858</v>
      </c>
      <c r="V1010" s="2">
        <v>1.3961127587494118</v>
      </c>
      <c r="W1010" s="2">
        <v>1.8844574382184953</v>
      </c>
      <c r="X1010" s="2">
        <v>2.4241059082404202</v>
      </c>
      <c r="Y1010" s="2">
        <v>2.9750893804432668</v>
      </c>
      <c r="Z1010" s="2">
        <v>3.4812928608662572</v>
      </c>
      <c r="AA1010" s="2">
        <v>3.8756763440698041</v>
      </c>
      <c r="AB1010" s="2">
        <v>4.0912075765838596</v>
      </c>
      <c r="AC1010" s="2">
        <v>4.0766188112779762</v>
      </c>
      <c r="AD1010" s="2">
        <v>3.8132774754601244</v>
      </c>
      <c r="AE1010" s="2">
        <v>3.3268790658318328</v>
      </c>
      <c r="AF1010" s="2">
        <v>2.7300837047096338</v>
      </c>
      <c r="AG1010" s="2">
        <v>0.48920832109357787</v>
      </c>
      <c r="AH1010" s="2">
        <v>0</v>
      </c>
      <c r="AI1010" s="2">
        <v>0</v>
      </c>
      <c r="AJ1010" s="2">
        <v>0</v>
      </c>
      <c r="AK1010" s="2">
        <v>0</v>
      </c>
      <c r="AL1010" s="2">
        <v>0</v>
      </c>
      <c r="AM1010" s="2">
        <v>0</v>
      </c>
      <c r="AN1010" s="2">
        <v>0</v>
      </c>
      <c r="AO1010" s="2">
        <v>0</v>
      </c>
      <c r="AP1010" s="2">
        <v>0</v>
      </c>
      <c r="AQ1010" s="2">
        <v>0</v>
      </c>
      <c r="AR1010" s="2">
        <v>36.602693101098687</v>
      </c>
    </row>
    <row r="1011" spans="1:44" x14ac:dyDescent="0.25">
      <c r="A1011" t="s">
        <v>435</v>
      </c>
      <c r="B1011" t="s">
        <v>460</v>
      </c>
      <c r="C1011" t="s">
        <v>44</v>
      </c>
      <c r="D1011" t="s">
        <v>461</v>
      </c>
      <c r="E1011" t="s">
        <v>134</v>
      </c>
      <c r="F1011" t="s">
        <v>461</v>
      </c>
      <c r="G1011" t="s">
        <v>33</v>
      </c>
      <c r="H1011" t="s">
        <v>451</v>
      </c>
      <c r="I1011" t="s">
        <v>135</v>
      </c>
      <c r="J1011" t="s">
        <v>39</v>
      </c>
      <c r="K1011" t="s">
        <v>31</v>
      </c>
      <c r="L1011">
        <v>6.641291224625212E-2</v>
      </c>
      <c r="M1011">
        <v>0</v>
      </c>
      <c r="N1011">
        <v>0.71439906728806646</v>
      </c>
      <c r="O1011">
        <v>5.3471683850504306</v>
      </c>
      <c r="P1011">
        <v>1.6499948460693128</v>
      </c>
      <c r="Q1011">
        <v>4.0542017663308254</v>
      </c>
      <c r="R1011">
        <v>-1.8625523936223525</v>
      </c>
      <c r="S1011" s="2">
        <v>6.5680722316916679E-3</v>
      </c>
      <c r="T1011" s="2">
        <v>1.0601512375631303E-2</v>
      </c>
      <c r="U1011" s="2">
        <v>1.5967571738869566E-2</v>
      </c>
      <c r="V1011" s="2">
        <v>2.2692687595790222E-2</v>
      </c>
      <c r="W1011" s="2">
        <v>3.0630336743975761E-2</v>
      </c>
      <c r="X1011" s="2">
        <v>3.9401887655610798E-2</v>
      </c>
      <c r="Y1011" s="2">
        <v>4.835767989143492E-2</v>
      </c>
      <c r="Z1011" s="2">
        <v>5.6585609454538673E-2</v>
      </c>
      <c r="AA1011" s="2">
        <v>6.2995995092224866E-2</v>
      </c>
      <c r="AB1011" s="2">
        <v>6.6499281553812864E-2</v>
      </c>
      <c r="AC1011" s="2">
        <v>6.6262152932632407E-2</v>
      </c>
      <c r="AD1011" s="2">
        <v>6.1981751777839128E-2</v>
      </c>
      <c r="AE1011" s="2">
        <v>5.4075737677179242E-2</v>
      </c>
      <c r="AF1011" s="2">
        <v>4.4375310112364119E-2</v>
      </c>
      <c r="AG1011" s="2">
        <v>7.9516869466775345E-3</v>
      </c>
      <c r="AH1011" s="2">
        <v>0</v>
      </c>
      <c r="AI1011" s="2">
        <v>0</v>
      </c>
      <c r="AJ1011" s="2">
        <v>0</v>
      </c>
      <c r="AK1011" s="2">
        <v>0</v>
      </c>
      <c r="AL1011" s="2">
        <v>0</v>
      </c>
      <c r="AM1011" s="2">
        <v>0</v>
      </c>
      <c r="AN1011" s="2">
        <v>0</v>
      </c>
      <c r="AO1011" s="2">
        <v>0</v>
      </c>
      <c r="AP1011" s="2">
        <v>0</v>
      </c>
      <c r="AQ1011" s="2">
        <v>0</v>
      </c>
      <c r="AR1011" s="2">
        <v>0.59494727378027301</v>
      </c>
    </row>
    <row r="1012" spans="1:44" x14ac:dyDescent="0.25">
      <c r="A1012" t="s">
        <v>435</v>
      </c>
      <c r="B1012" t="s">
        <v>460</v>
      </c>
      <c r="C1012" t="s">
        <v>44</v>
      </c>
      <c r="D1012" t="s">
        <v>461</v>
      </c>
      <c r="E1012" t="s">
        <v>134</v>
      </c>
      <c r="F1012" t="s">
        <v>461</v>
      </c>
      <c r="G1012" t="s">
        <v>33</v>
      </c>
      <c r="H1012" t="s">
        <v>451</v>
      </c>
      <c r="I1012" t="s">
        <v>135</v>
      </c>
      <c r="J1012" t="s">
        <v>39</v>
      </c>
      <c r="K1012" t="s">
        <v>33</v>
      </c>
      <c r="L1012">
        <v>6.641291224625212E-2</v>
      </c>
      <c r="M1012">
        <v>0</v>
      </c>
      <c r="N1012">
        <v>0.71439906728806646</v>
      </c>
      <c r="O1012">
        <v>5.3471683850504306</v>
      </c>
      <c r="P1012">
        <v>1.6499948460693128</v>
      </c>
      <c r="Q1012">
        <v>4.0542017663308254</v>
      </c>
      <c r="R1012">
        <v>-1.8625523936223525</v>
      </c>
      <c r="S1012" s="2">
        <v>2.9587934761341854E-2</v>
      </c>
      <c r="T1012" s="2">
        <v>4.7757826874712521E-2</v>
      </c>
      <c r="U1012" s="2">
        <v>7.1930918881663294E-2</v>
      </c>
      <c r="V1012" s="2">
        <v>0.10222630574981054</v>
      </c>
      <c r="W1012" s="2">
        <v>0.13798392790593053</v>
      </c>
      <c r="X1012" s="2">
        <v>0.17749812126040912</v>
      </c>
      <c r="Y1012" s="2">
        <v>0.21784228725954685</v>
      </c>
      <c r="Z1012" s="2">
        <v>0.25490756829579508</v>
      </c>
      <c r="AA1012" s="2">
        <v>0.28378515449646491</v>
      </c>
      <c r="AB1012" s="2">
        <v>0.29956680360434335</v>
      </c>
      <c r="AC1012" s="2">
        <v>0.29849858359609188</v>
      </c>
      <c r="AD1012" s="2">
        <v>0.27921617840126101</v>
      </c>
      <c r="AE1012" s="2">
        <v>0.24360106620686825</v>
      </c>
      <c r="AF1012" s="2">
        <v>0.19990245757099034</v>
      </c>
      <c r="AG1012" s="2">
        <v>3.5820859808100208E-2</v>
      </c>
      <c r="AH1012" s="2">
        <v>0</v>
      </c>
      <c r="AI1012" s="2">
        <v>0</v>
      </c>
      <c r="AJ1012" s="2">
        <v>0</v>
      </c>
      <c r="AK1012" s="2">
        <v>0</v>
      </c>
      <c r="AL1012" s="2">
        <v>0</v>
      </c>
      <c r="AM1012" s="2">
        <v>0</v>
      </c>
      <c r="AN1012" s="2">
        <v>0</v>
      </c>
      <c r="AO1012" s="2">
        <v>0</v>
      </c>
      <c r="AP1012" s="2">
        <v>0</v>
      </c>
      <c r="AQ1012" s="2">
        <v>0</v>
      </c>
      <c r="AR1012" s="2">
        <v>2.6801259946733298</v>
      </c>
    </row>
    <row r="1013" spans="1:44" x14ac:dyDescent="0.25">
      <c r="A1013" t="s">
        <v>435</v>
      </c>
      <c r="B1013" t="s">
        <v>460</v>
      </c>
      <c r="C1013" t="s">
        <v>44</v>
      </c>
      <c r="D1013" t="s">
        <v>461</v>
      </c>
      <c r="E1013" t="s">
        <v>134</v>
      </c>
      <c r="F1013" t="s">
        <v>461</v>
      </c>
      <c r="G1013" t="s">
        <v>33</v>
      </c>
      <c r="H1013" t="s">
        <v>452</v>
      </c>
      <c r="I1013" t="s">
        <v>135</v>
      </c>
      <c r="J1013" t="s">
        <v>39</v>
      </c>
      <c r="K1013" t="s">
        <v>31</v>
      </c>
      <c r="L1013">
        <v>6.641291224625212E-2</v>
      </c>
      <c r="M1013">
        <v>0</v>
      </c>
      <c r="N1013">
        <v>0.71439906728806646</v>
      </c>
      <c r="O1013">
        <v>5.3471683850504306</v>
      </c>
      <c r="P1013">
        <v>1.6499948460693128</v>
      </c>
      <c r="Q1013">
        <v>4.0542017663308254</v>
      </c>
      <c r="R1013">
        <v>-1.8625523936223525</v>
      </c>
      <c r="S1013" s="2">
        <v>0.14876234519137774</v>
      </c>
      <c r="T1013" s="2">
        <v>0.24011700662556945</v>
      </c>
      <c r="U1013" s="2">
        <v>0.36165458221125585</v>
      </c>
      <c r="V1013" s="2">
        <v>0.51397385813699681</v>
      </c>
      <c r="W1013" s="2">
        <v>0.69375618405187045</v>
      </c>
      <c r="X1013" s="2">
        <v>0.8924258147365367</v>
      </c>
      <c r="Y1013" s="2">
        <v>1.095268385440846</v>
      </c>
      <c r="Z1013" s="2">
        <v>1.2816253642771656</v>
      </c>
      <c r="AA1013" s="2">
        <v>1.4268162159310165</v>
      </c>
      <c r="AB1013" s="2">
        <v>1.5061632589474427</v>
      </c>
      <c r="AC1013" s="2">
        <v>1.5007924578121279</v>
      </c>
      <c r="AD1013" s="2">
        <v>1.4038442983393253</v>
      </c>
      <c r="AE1013" s="2">
        <v>1.224778484620747</v>
      </c>
      <c r="AF1013" s="2">
        <v>1.0050704328520608</v>
      </c>
      <c r="AG1013" s="2">
        <v>0.18010027245250484</v>
      </c>
      <c r="AH1013" s="2">
        <v>0</v>
      </c>
      <c r="AI1013" s="2">
        <v>0</v>
      </c>
      <c r="AJ1013" s="2">
        <v>0</v>
      </c>
      <c r="AK1013" s="2">
        <v>0</v>
      </c>
      <c r="AL1013" s="2">
        <v>0</v>
      </c>
      <c r="AM1013" s="2">
        <v>0</v>
      </c>
      <c r="AN1013" s="2">
        <v>0</v>
      </c>
      <c r="AO1013" s="2">
        <v>0</v>
      </c>
      <c r="AP1013" s="2">
        <v>0</v>
      </c>
      <c r="AQ1013" s="2">
        <v>0</v>
      </c>
      <c r="AR1013" s="2">
        <v>13.475148961626845</v>
      </c>
    </row>
    <row r="1014" spans="1:44" x14ac:dyDescent="0.25">
      <c r="A1014" t="s">
        <v>435</v>
      </c>
      <c r="B1014" t="s">
        <v>460</v>
      </c>
      <c r="C1014" t="s">
        <v>44</v>
      </c>
      <c r="D1014" t="s">
        <v>461</v>
      </c>
      <c r="E1014" t="s">
        <v>134</v>
      </c>
      <c r="F1014" t="s">
        <v>461</v>
      </c>
      <c r="G1014" t="s">
        <v>33</v>
      </c>
      <c r="H1014" t="s">
        <v>452</v>
      </c>
      <c r="I1014" t="s">
        <v>135</v>
      </c>
      <c r="J1014" t="s">
        <v>39</v>
      </c>
      <c r="K1014" t="s">
        <v>33</v>
      </c>
      <c r="L1014">
        <v>6.641291224625212E-2</v>
      </c>
      <c r="M1014">
        <v>0</v>
      </c>
      <c r="N1014">
        <v>0.71439906728806646</v>
      </c>
      <c r="O1014">
        <v>5.3471683850504306</v>
      </c>
      <c r="P1014">
        <v>1.6499948460693128</v>
      </c>
      <c r="Q1014">
        <v>4.0542017663308254</v>
      </c>
      <c r="R1014">
        <v>-1.8625523936223525</v>
      </c>
      <c r="S1014" s="2">
        <v>0.29417260251616451</v>
      </c>
      <c r="T1014" s="2">
        <v>0.47482341486727875</v>
      </c>
      <c r="U1014" s="2">
        <v>0.71515993865326377</v>
      </c>
      <c r="V1014" s="2">
        <v>1.0163662536976303</v>
      </c>
      <c r="W1014" s="2">
        <v>1.3718798390256259</v>
      </c>
      <c r="X1014" s="2">
        <v>1.7647424429611072</v>
      </c>
      <c r="Y1014" s="2">
        <v>2.1658568973507002</v>
      </c>
      <c r="Z1014" s="2">
        <v>2.5343716407207677</v>
      </c>
      <c r="AA1014" s="2">
        <v>2.8214817332485862</v>
      </c>
      <c r="AB1014" s="2">
        <v>2.9783878785239635</v>
      </c>
      <c r="AC1014" s="2">
        <v>2.9677672974519202</v>
      </c>
      <c r="AD1014" s="2">
        <v>2.7760555282903274</v>
      </c>
      <c r="AE1014" s="2">
        <v>2.4219588220606521</v>
      </c>
      <c r="AF1014" s="2">
        <v>1.9874934383682696</v>
      </c>
      <c r="AG1014" s="2">
        <v>0.3561423140584829</v>
      </c>
      <c r="AH1014" s="2">
        <v>0</v>
      </c>
      <c r="AI1014" s="2">
        <v>0</v>
      </c>
      <c r="AJ1014" s="2">
        <v>0</v>
      </c>
      <c r="AK1014" s="2">
        <v>0</v>
      </c>
      <c r="AL1014" s="2">
        <v>0</v>
      </c>
      <c r="AM1014" s="2">
        <v>0</v>
      </c>
      <c r="AN1014" s="2">
        <v>0</v>
      </c>
      <c r="AO1014" s="2">
        <v>0</v>
      </c>
      <c r="AP1014" s="2">
        <v>0</v>
      </c>
      <c r="AQ1014" s="2">
        <v>0</v>
      </c>
      <c r="AR1014" s="2">
        <v>26.646660041794743</v>
      </c>
    </row>
    <row r="1015" spans="1:44" x14ac:dyDescent="0.25">
      <c r="A1015" t="s">
        <v>435</v>
      </c>
      <c r="B1015" t="s">
        <v>460</v>
      </c>
      <c r="C1015" t="s">
        <v>44</v>
      </c>
      <c r="D1015" t="s">
        <v>461</v>
      </c>
      <c r="E1015" t="s">
        <v>134</v>
      </c>
      <c r="F1015" t="s">
        <v>461</v>
      </c>
      <c r="G1015" t="s">
        <v>33</v>
      </c>
      <c r="H1015" t="s">
        <v>452</v>
      </c>
      <c r="I1015" t="s">
        <v>135</v>
      </c>
      <c r="J1015" t="s">
        <v>40</v>
      </c>
      <c r="K1015" t="s">
        <v>33</v>
      </c>
      <c r="L1015">
        <v>6.641291224625212E-2</v>
      </c>
      <c r="M1015">
        <v>0</v>
      </c>
      <c r="N1015">
        <v>0.71439906728806646</v>
      </c>
      <c r="O1015">
        <v>4.1746294160814523</v>
      </c>
      <c r="P1015">
        <v>1.6499948460693128</v>
      </c>
      <c r="Q1015">
        <v>1.3498045353129324</v>
      </c>
      <c r="R1015">
        <v>-1.7195523936223522</v>
      </c>
      <c r="S1015" s="2">
        <v>2.1540088155778982E-2</v>
      </c>
      <c r="T1015" s="2">
        <v>3.4767813614142384E-2</v>
      </c>
      <c r="U1015" s="2">
        <v>5.2365883132255063E-2</v>
      </c>
      <c r="V1015" s="2">
        <v>7.442099813493952E-2</v>
      </c>
      <c r="W1015" s="2">
        <v>0.10045263365450255</v>
      </c>
      <c r="X1015" s="2">
        <v>0.12921906210330467</v>
      </c>
      <c r="Y1015" s="2">
        <v>0.15858971264726296</v>
      </c>
      <c r="Z1015" s="2">
        <v>0.18557332699815868</v>
      </c>
      <c r="AA1015" s="2">
        <v>0.20659627968160327</v>
      </c>
      <c r="AB1015" s="2">
        <v>0.21808535844864918</v>
      </c>
      <c r="AC1015" s="2">
        <v>0.21730769169586292</v>
      </c>
      <c r="AD1015" s="2">
        <v>0.20327005402015808</v>
      </c>
      <c r="AE1015" s="2">
        <v>0.17734216609783171</v>
      </c>
      <c r="AF1015" s="2">
        <v>0.14552947319127857</v>
      </c>
      <c r="AG1015" s="2">
        <v>2.6077672683339638E-2</v>
      </c>
      <c r="AH1015" s="2">
        <v>0</v>
      </c>
      <c r="AI1015" s="2">
        <v>0</v>
      </c>
      <c r="AJ1015" s="2">
        <v>0</v>
      </c>
      <c r="AK1015" s="2">
        <v>0</v>
      </c>
      <c r="AL1015" s="2">
        <v>0</v>
      </c>
      <c r="AM1015" s="2">
        <v>0</v>
      </c>
      <c r="AN1015" s="2">
        <v>0</v>
      </c>
      <c r="AO1015" s="2">
        <v>0</v>
      </c>
      <c r="AP1015" s="2">
        <v>0</v>
      </c>
      <c r="AQ1015" s="2">
        <v>0</v>
      </c>
      <c r="AR1015" s="2">
        <v>1.9511382142590685</v>
      </c>
    </row>
    <row r="1016" spans="1:44" x14ac:dyDescent="0.25">
      <c r="A1016" t="s">
        <v>435</v>
      </c>
      <c r="B1016" t="s">
        <v>460</v>
      </c>
      <c r="C1016" t="s">
        <v>44</v>
      </c>
      <c r="D1016" t="s">
        <v>461</v>
      </c>
      <c r="E1016" t="s">
        <v>134</v>
      </c>
      <c r="F1016" t="s">
        <v>461</v>
      </c>
      <c r="G1016" t="s">
        <v>33</v>
      </c>
      <c r="H1016" t="s">
        <v>452</v>
      </c>
      <c r="I1016" t="s">
        <v>256</v>
      </c>
      <c r="J1016" t="s">
        <v>40</v>
      </c>
      <c r="K1016" t="s">
        <v>33</v>
      </c>
      <c r="L1016">
        <v>6.641291224625212E-2</v>
      </c>
      <c r="M1016">
        <v>0</v>
      </c>
      <c r="N1016">
        <v>0.35355443358033928</v>
      </c>
      <c r="O1016">
        <v>1.4737622038640097</v>
      </c>
      <c r="P1016">
        <v>3.11293179741818</v>
      </c>
      <c r="Q1016">
        <v>1.3498045353129324</v>
      </c>
      <c r="R1016">
        <v>-0.25661544227348532</v>
      </c>
      <c r="S1016" s="2">
        <v>0.12988915411968524</v>
      </c>
      <c r="T1016" s="2">
        <v>0.20965382631083826</v>
      </c>
      <c r="U1016" s="2">
        <v>0.31577216469998798</v>
      </c>
      <c r="V1016" s="2">
        <v>0.44876698862982844</v>
      </c>
      <c r="W1016" s="2">
        <v>0.60574067850216284</v>
      </c>
      <c r="X1016" s="2">
        <v>0.7792054773106537</v>
      </c>
      <c r="Y1016" s="2">
        <v>0.95631380330773685</v>
      </c>
      <c r="Z1016" s="2">
        <v>1.1190280325988236</v>
      </c>
      <c r="AA1016" s="2">
        <v>1.2457988016598678</v>
      </c>
      <c r="AB1016" s="2">
        <v>1.315079238762705</v>
      </c>
      <c r="AC1016" s="2">
        <v>1.3103898207818736</v>
      </c>
      <c r="AD1016" s="2">
        <v>1.2257412868320838</v>
      </c>
      <c r="AE1016" s="2">
        <v>1.0693932066392251</v>
      </c>
      <c r="AF1016" s="2">
        <v>0.87755909054750925</v>
      </c>
      <c r="AG1016" s="2">
        <v>0.15725129914754979</v>
      </c>
      <c r="AH1016" s="2">
        <v>0</v>
      </c>
      <c r="AI1016" s="2">
        <v>0</v>
      </c>
      <c r="AJ1016" s="2">
        <v>0</v>
      </c>
      <c r="AK1016" s="2">
        <v>0</v>
      </c>
      <c r="AL1016" s="2">
        <v>0</v>
      </c>
      <c r="AM1016" s="2">
        <v>0</v>
      </c>
      <c r="AN1016" s="2">
        <v>0</v>
      </c>
      <c r="AO1016" s="2">
        <v>0</v>
      </c>
      <c r="AP1016" s="2">
        <v>0</v>
      </c>
      <c r="AQ1016" s="2">
        <v>0</v>
      </c>
      <c r="AR1016" s="2">
        <v>11.76558286985053</v>
      </c>
    </row>
    <row r="1017" spans="1:44" x14ac:dyDescent="0.25">
      <c r="A1017" t="s">
        <v>435</v>
      </c>
      <c r="B1017" t="s">
        <v>460</v>
      </c>
      <c r="C1017" t="s">
        <v>44</v>
      </c>
      <c r="D1017" t="s">
        <v>461</v>
      </c>
      <c r="E1017" t="s">
        <v>134</v>
      </c>
      <c r="F1017" t="s">
        <v>461</v>
      </c>
      <c r="G1017" t="s">
        <v>33</v>
      </c>
      <c r="H1017" t="s">
        <v>453</v>
      </c>
      <c r="I1017" t="s">
        <v>135</v>
      </c>
      <c r="J1017" t="s">
        <v>39</v>
      </c>
      <c r="K1017" t="s">
        <v>31</v>
      </c>
      <c r="L1017">
        <v>6.641291224625212E-2</v>
      </c>
      <c r="M1017">
        <v>0</v>
      </c>
      <c r="N1017">
        <v>0.71439906728806646</v>
      </c>
      <c r="O1017">
        <v>5.3471683850504306</v>
      </c>
      <c r="P1017">
        <v>1.6499948460693128</v>
      </c>
      <c r="Q1017">
        <v>4.0542017663308254</v>
      </c>
      <c r="R1017">
        <v>-1.8625523936223525</v>
      </c>
      <c r="S1017" s="2">
        <v>4.5495970005150807E-2</v>
      </c>
      <c r="T1017" s="2">
        <v>7.3434955042619765E-2</v>
      </c>
      <c r="U1017" s="2">
        <v>0.11060477705794003</v>
      </c>
      <c r="V1017" s="2">
        <v>0.15718856275860704</v>
      </c>
      <c r="W1017" s="2">
        <v>0.21217136970990139</v>
      </c>
      <c r="X1017" s="2">
        <v>0.272930478790469</v>
      </c>
      <c r="Y1017" s="2">
        <v>0.33496579761163142</v>
      </c>
      <c r="Z1017" s="2">
        <v>0.39195932986927656</v>
      </c>
      <c r="AA1017" s="2">
        <v>0.43636303043858415</v>
      </c>
      <c r="AB1017" s="2">
        <v>0.46062972699024601</v>
      </c>
      <c r="AC1017" s="2">
        <v>0.45898717552978346</v>
      </c>
      <c r="AD1017" s="2">
        <v>0.42933753166490002</v>
      </c>
      <c r="AE1017" s="2">
        <v>0.37457385555178285</v>
      </c>
      <c r="AF1017" s="2">
        <v>0.30738056870020108</v>
      </c>
      <c r="AG1017" s="2">
        <v>5.5080044502374567E-2</v>
      </c>
      <c r="AH1017" s="2">
        <v>0</v>
      </c>
      <c r="AI1017" s="2">
        <v>0</v>
      </c>
      <c r="AJ1017" s="2">
        <v>0</v>
      </c>
      <c r="AK1017" s="2">
        <v>0</v>
      </c>
      <c r="AL1017" s="2">
        <v>0</v>
      </c>
      <c r="AM1017" s="2">
        <v>0</v>
      </c>
      <c r="AN1017" s="2">
        <v>0</v>
      </c>
      <c r="AO1017" s="2">
        <v>0</v>
      </c>
      <c r="AP1017" s="2">
        <v>0</v>
      </c>
      <c r="AQ1017" s="2">
        <v>0</v>
      </c>
      <c r="AR1017" s="2">
        <v>4.1211031742234683</v>
      </c>
    </row>
    <row r="1018" spans="1:44" x14ac:dyDescent="0.25">
      <c r="A1018" t="s">
        <v>435</v>
      </c>
      <c r="B1018" t="s">
        <v>460</v>
      </c>
      <c r="C1018" t="s">
        <v>44</v>
      </c>
      <c r="D1018" t="s">
        <v>461</v>
      </c>
      <c r="E1018" t="s">
        <v>134</v>
      </c>
      <c r="F1018" t="s">
        <v>461</v>
      </c>
      <c r="G1018" t="s">
        <v>33</v>
      </c>
      <c r="H1018" t="s">
        <v>453</v>
      </c>
      <c r="I1018" t="s">
        <v>135</v>
      </c>
      <c r="J1018" t="s">
        <v>39</v>
      </c>
      <c r="K1018" t="s">
        <v>33</v>
      </c>
      <c r="L1018">
        <v>6.641291224625212E-2</v>
      </c>
      <c r="M1018">
        <v>0</v>
      </c>
      <c r="N1018">
        <v>0.71439906728806646</v>
      </c>
      <c r="O1018">
        <v>5.3471683850504306</v>
      </c>
      <c r="P1018">
        <v>1.6499948460693128</v>
      </c>
      <c r="Q1018">
        <v>4.0542017663308254</v>
      </c>
      <c r="R1018">
        <v>-1.8625523936223525</v>
      </c>
      <c r="S1018" s="2">
        <v>4.1396051705121645E-2</v>
      </c>
      <c r="T1018" s="2">
        <v>6.6817285037848576E-2</v>
      </c>
      <c r="U1018" s="2">
        <v>0.10063750853988984</v>
      </c>
      <c r="V1018" s="2">
        <v>0.14302334625841298</v>
      </c>
      <c r="W1018" s="2">
        <v>0.19305131838848993</v>
      </c>
      <c r="X1018" s="2">
        <v>0.24833505496497235</v>
      </c>
      <c r="Y1018" s="2">
        <v>0.30477999426781188</v>
      </c>
      <c r="Z1018" s="2">
        <v>0.35663749302930409</v>
      </c>
      <c r="AA1018" s="2">
        <v>0.39703970633429997</v>
      </c>
      <c r="AB1018" s="2">
        <v>0.41911958341025557</v>
      </c>
      <c r="AC1018" s="2">
        <v>0.41762505224237556</v>
      </c>
      <c r="AD1018" s="2">
        <v>0.39064731794348712</v>
      </c>
      <c r="AE1018" s="2">
        <v>0.34081872944027503</v>
      </c>
      <c r="AF1018" s="2">
        <v>0.27968063794711123</v>
      </c>
      <c r="AG1018" s="2">
        <v>5.0116447014593932E-2</v>
      </c>
      <c r="AH1018" s="2">
        <v>0</v>
      </c>
      <c r="AI1018" s="2">
        <v>0</v>
      </c>
      <c r="AJ1018" s="2">
        <v>0</v>
      </c>
      <c r="AK1018" s="2">
        <v>0</v>
      </c>
      <c r="AL1018" s="2">
        <v>0</v>
      </c>
      <c r="AM1018" s="2">
        <v>0</v>
      </c>
      <c r="AN1018" s="2">
        <v>0</v>
      </c>
      <c r="AO1018" s="2">
        <v>0</v>
      </c>
      <c r="AP1018" s="2">
        <v>0</v>
      </c>
      <c r="AQ1018" s="2">
        <v>0</v>
      </c>
      <c r="AR1018" s="2">
        <v>3.7497255265242497</v>
      </c>
    </row>
    <row r="1019" spans="1:44" x14ac:dyDescent="0.25">
      <c r="A1019" t="s">
        <v>435</v>
      </c>
      <c r="B1019" t="s">
        <v>460</v>
      </c>
      <c r="C1019" t="s">
        <v>44</v>
      </c>
      <c r="D1019" t="s">
        <v>461</v>
      </c>
      <c r="E1019" t="s">
        <v>134</v>
      </c>
      <c r="F1019" t="s">
        <v>461</v>
      </c>
      <c r="G1019" t="s">
        <v>33</v>
      </c>
      <c r="H1019" t="s">
        <v>453</v>
      </c>
      <c r="I1019" t="s">
        <v>135</v>
      </c>
      <c r="J1019" t="s">
        <v>40</v>
      </c>
      <c r="K1019" t="s">
        <v>33</v>
      </c>
      <c r="L1019">
        <v>6.641291224625212E-2</v>
      </c>
      <c r="M1019">
        <v>0</v>
      </c>
      <c r="N1019">
        <v>0.71439906728806646</v>
      </c>
      <c r="O1019">
        <v>4.1746294160814523</v>
      </c>
      <c r="P1019">
        <v>1.6499948460693128</v>
      </c>
      <c r="Q1019">
        <v>1.3498045353129324</v>
      </c>
      <c r="R1019">
        <v>-1.7195523936223522</v>
      </c>
      <c r="S1019" s="2">
        <v>0.84301470977971205</v>
      </c>
      <c r="T1019" s="2">
        <v>1.360708372762061</v>
      </c>
      <c r="U1019" s="2">
        <v>2.0494442479453183</v>
      </c>
      <c r="V1019" s="2">
        <v>2.9126155701182954</v>
      </c>
      <c r="W1019" s="2">
        <v>3.9314160273823493</v>
      </c>
      <c r="X1019" s="2">
        <v>5.0572481110202983</v>
      </c>
      <c r="Y1019" s="2">
        <v>6.2067276426402067</v>
      </c>
      <c r="Z1019" s="2">
        <v>7.2627857077844329</v>
      </c>
      <c r="AA1019" s="2">
        <v>8.0855612798700953</v>
      </c>
      <c r="AB1019" s="2">
        <v>8.5352095047237579</v>
      </c>
      <c r="AC1019" s="2">
        <v>8.504773950924525</v>
      </c>
      <c r="AD1019" s="2">
        <v>7.9553827429780464</v>
      </c>
      <c r="AE1019" s="2">
        <v>6.9406426567738633</v>
      </c>
      <c r="AF1019" s="2">
        <v>5.6955888815072164</v>
      </c>
      <c r="AG1019" s="2">
        <v>1.0206022143404199</v>
      </c>
      <c r="AH1019" s="2">
        <v>0</v>
      </c>
      <c r="AI1019" s="2">
        <v>0</v>
      </c>
      <c r="AJ1019" s="2">
        <v>0</v>
      </c>
      <c r="AK1019" s="2">
        <v>0</v>
      </c>
      <c r="AL1019" s="2">
        <v>0</v>
      </c>
      <c r="AM1019" s="2">
        <v>0</v>
      </c>
      <c r="AN1019" s="2">
        <v>0</v>
      </c>
      <c r="AO1019" s="2">
        <v>0</v>
      </c>
      <c r="AP1019" s="2">
        <v>0</v>
      </c>
      <c r="AQ1019" s="2">
        <v>0</v>
      </c>
      <c r="AR1019" s="2">
        <v>76.361721620550611</v>
      </c>
    </row>
    <row r="1020" spans="1:44" x14ac:dyDescent="0.25">
      <c r="A1020" t="s">
        <v>435</v>
      </c>
      <c r="B1020" t="s">
        <v>460</v>
      </c>
      <c r="C1020" t="s">
        <v>44</v>
      </c>
      <c r="D1020" t="s">
        <v>461</v>
      </c>
      <c r="E1020" t="s">
        <v>134</v>
      </c>
      <c r="F1020" t="s">
        <v>461</v>
      </c>
      <c r="G1020" t="s">
        <v>33</v>
      </c>
      <c r="H1020" t="s">
        <v>453</v>
      </c>
      <c r="I1020" t="s">
        <v>256</v>
      </c>
      <c r="J1020" t="s">
        <v>40</v>
      </c>
      <c r="K1020" t="s">
        <v>33</v>
      </c>
      <c r="L1020">
        <v>6.641291224625212E-2</v>
      </c>
      <c r="M1020">
        <v>0</v>
      </c>
      <c r="N1020">
        <v>0.35355443358033928</v>
      </c>
      <c r="O1020">
        <v>1.4737622038640097</v>
      </c>
      <c r="P1020">
        <v>3.11293179741818</v>
      </c>
      <c r="Q1020">
        <v>1.3498045353129324</v>
      </c>
      <c r="R1020">
        <v>-0.25661544227348532</v>
      </c>
      <c r="S1020" s="2">
        <v>0.43398164681686308</v>
      </c>
      <c r="T1020" s="2">
        <v>0.7004889162646788</v>
      </c>
      <c r="U1020" s="2">
        <v>1.0550482446683178</v>
      </c>
      <c r="V1020" s="2">
        <v>1.4994064599355279</v>
      </c>
      <c r="W1020" s="2">
        <v>2.0238821245852741</v>
      </c>
      <c r="X1020" s="2">
        <v>2.6034573752047212</v>
      </c>
      <c r="Y1020" s="2">
        <v>3.1952062668047732</v>
      </c>
      <c r="Z1020" s="2">
        <v>3.7388620452019059</v>
      </c>
      <c r="AA1020" s="2">
        <v>4.1624246397712561</v>
      </c>
      <c r="AB1020" s="2">
        <v>4.3939023053997275</v>
      </c>
      <c r="AC1020" s="2">
        <v>4.3782341662719704</v>
      </c>
      <c r="AD1020" s="2">
        <v>4.0954090881263934</v>
      </c>
      <c r="AE1020" s="2">
        <v>3.5730236912961852</v>
      </c>
      <c r="AF1020" s="2">
        <v>2.9320734427448101</v>
      </c>
      <c r="AG1020" s="2">
        <v>0.52540320422182485</v>
      </c>
      <c r="AH1020" s="2">
        <v>0</v>
      </c>
      <c r="AI1020" s="2">
        <v>0</v>
      </c>
      <c r="AJ1020" s="2">
        <v>0</v>
      </c>
      <c r="AK1020" s="2">
        <v>0</v>
      </c>
      <c r="AL1020" s="2">
        <v>0</v>
      </c>
      <c r="AM1020" s="2">
        <v>0</v>
      </c>
      <c r="AN1020" s="2">
        <v>0</v>
      </c>
      <c r="AO1020" s="2">
        <v>0</v>
      </c>
      <c r="AP1020" s="2">
        <v>0</v>
      </c>
      <c r="AQ1020" s="2">
        <v>0</v>
      </c>
      <c r="AR1020" s="2">
        <v>39.310803617314228</v>
      </c>
    </row>
    <row r="1021" spans="1:44" x14ac:dyDescent="0.25">
      <c r="A1021" t="s">
        <v>435</v>
      </c>
      <c r="B1021" t="s">
        <v>460</v>
      </c>
      <c r="C1021" t="s">
        <v>44</v>
      </c>
      <c r="D1021" t="s">
        <v>461</v>
      </c>
      <c r="E1021" t="s">
        <v>134</v>
      </c>
      <c r="F1021" t="s">
        <v>461</v>
      </c>
      <c r="G1021" t="s">
        <v>33</v>
      </c>
      <c r="H1021" t="s">
        <v>454</v>
      </c>
      <c r="I1021" t="s">
        <v>135</v>
      </c>
      <c r="J1021" t="s">
        <v>39</v>
      </c>
      <c r="K1021" t="s">
        <v>31</v>
      </c>
      <c r="L1021">
        <v>6.641291224625212E-2</v>
      </c>
      <c r="M1021">
        <v>0</v>
      </c>
      <c r="N1021">
        <v>0.71439906728806646</v>
      </c>
      <c r="O1021">
        <v>5.3471683850504306</v>
      </c>
      <c r="P1021">
        <v>1.6499948460693128</v>
      </c>
      <c r="Q1021">
        <v>4.0542017663308254</v>
      </c>
      <c r="R1021">
        <v>-1.8625523936223525</v>
      </c>
      <c r="S1021" s="2">
        <v>2.5051950107799477E-3</v>
      </c>
      <c r="T1021" s="2">
        <v>4.0436303032728577E-3</v>
      </c>
      <c r="U1021" s="2">
        <v>6.0903534010289147E-3</v>
      </c>
      <c r="V1021" s="2">
        <v>8.6554480128668652E-3</v>
      </c>
      <c r="W1021" s="2">
        <v>1.1683027238839303E-2</v>
      </c>
      <c r="X1021" s="2">
        <v>1.5028673389714637E-2</v>
      </c>
      <c r="Y1021" s="2">
        <v>1.8444592891712831E-2</v>
      </c>
      <c r="Z1021" s="2">
        <v>2.1582890913326908E-2</v>
      </c>
      <c r="AA1021" s="2">
        <v>2.4027941081810018E-2</v>
      </c>
      <c r="AB1021" s="2">
        <v>2.536416508412169E-2</v>
      </c>
      <c r="AC1021" s="2">
        <v>2.5273719452932063E-2</v>
      </c>
      <c r="AD1021" s="2">
        <v>2.3641088257832829E-2</v>
      </c>
      <c r="AE1021" s="2">
        <v>2.0625575276023274E-2</v>
      </c>
      <c r="AF1021" s="2">
        <v>1.6925636864787492E-2</v>
      </c>
      <c r="AG1021" s="2">
        <v>3.0329335249970717E-3</v>
      </c>
      <c r="AH1021" s="2">
        <v>0</v>
      </c>
      <c r="AI1021" s="2">
        <v>0</v>
      </c>
      <c r="AJ1021" s="2">
        <v>0</v>
      </c>
      <c r="AK1021" s="2">
        <v>0</v>
      </c>
      <c r="AL1021" s="2">
        <v>0</v>
      </c>
      <c r="AM1021" s="2">
        <v>0</v>
      </c>
      <c r="AN1021" s="2">
        <v>0</v>
      </c>
      <c r="AO1021" s="2">
        <v>0</v>
      </c>
      <c r="AP1021" s="2">
        <v>0</v>
      </c>
      <c r="AQ1021" s="2">
        <v>0</v>
      </c>
      <c r="AR1021" s="2">
        <v>0.22692487070404668</v>
      </c>
    </row>
    <row r="1022" spans="1:44" x14ac:dyDescent="0.25">
      <c r="A1022" t="s">
        <v>435</v>
      </c>
      <c r="B1022" t="s">
        <v>460</v>
      </c>
      <c r="C1022" t="s">
        <v>44</v>
      </c>
      <c r="D1022" t="s">
        <v>461</v>
      </c>
      <c r="E1022" t="s">
        <v>134</v>
      </c>
      <c r="F1022" t="s">
        <v>461</v>
      </c>
      <c r="G1022" t="s">
        <v>33</v>
      </c>
      <c r="H1022" t="s">
        <v>454</v>
      </c>
      <c r="I1022" t="s">
        <v>135</v>
      </c>
      <c r="J1022" t="s">
        <v>39</v>
      </c>
      <c r="K1022" t="s">
        <v>33</v>
      </c>
      <c r="L1022">
        <v>6.641291224625212E-2</v>
      </c>
      <c r="M1022">
        <v>0</v>
      </c>
      <c r="N1022">
        <v>0.71439906728806646</v>
      </c>
      <c r="O1022">
        <v>5.3471683850504306</v>
      </c>
      <c r="P1022">
        <v>1.6499948460693128</v>
      </c>
      <c r="Q1022">
        <v>4.0542017663308254</v>
      </c>
      <c r="R1022">
        <v>-1.8625523936223525</v>
      </c>
      <c r="S1022" s="2">
        <v>2.0104200444833357E-2</v>
      </c>
      <c r="T1022" s="2">
        <v>3.2450150104877618E-2</v>
      </c>
      <c r="U1022" s="2">
        <v>4.8875111529157092E-2</v>
      </c>
      <c r="V1022" s="2">
        <v>6.9460006523138815E-2</v>
      </c>
      <c r="W1022" s="2">
        <v>9.3756342480878649E-2</v>
      </c>
      <c r="X1022" s="2">
        <v>0.12060516684195793</v>
      </c>
      <c r="Y1022" s="2">
        <v>0.14801793513986641</v>
      </c>
      <c r="Z1022" s="2">
        <v>0.17320278989594809</v>
      </c>
      <c r="AA1022" s="2">
        <v>0.19282432772966512</v>
      </c>
      <c r="AB1022" s="2">
        <v>0.20354753093982472</v>
      </c>
      <c r="AC1022" s="2">
        <v>0.2028217043710461</v>
      </c>
      <c r="AD1022" s="2">
        <v>0.18971983219841068</v>
      </c>
      <c r="AE1022" s="2">
        <v>0.16552032790057081</v>
      </c>
      <c r="AF1022" s="2">
        <v>0.13582830666751552</v>
      </c>
      <c r="AG1022" s="2">
        <v>2.4339304229818236E-2</v>
      </c>
      <c r="AH1022" s="2">
        <v>0</v>
      </c>
      <c r="AI1022" s="2">
        <v>0</v>
      </c>
      <c r="AJ1022" s="2">
        <v>0</v>
      </c>
      <c r="AK1022" s="2">
        <v>0</v>
      </c>
      <c r="AL1022" s="2">
        <v>0</v>
      </c>
      <c r="AM1022" s="2">
        <v>0</v>
      </c>
      <c r="AN1022" s="2">
        <v>0</v>
      </c>
      <c r="AO1022" s="2">
        <v>0</v>
      </c>
      <c r="AP1022" s="2">
        <v>0</v>
      </c>
      <c r="AQ1022" s="2">
        <v>0</v>
      </c>
      <c r="AR1022" s="2">
        <v>1.821073036997509</v>
      </c>
    </row>
    <row r="1023" spans="1:44" x14ac:dyDescent="0.25">
      <c r="A1023" t="s">
        <v>435</v>
      </c>
      <c r="B1023" t="s">
        <v>460</v>
      </c>
      <c r="C1023" t="s">
        <v>44</v>
      </c>
      <c r="D1023" t="s">
        <v>461</v>
      </c>
      <c r="E1023" t="s">
        <v>134</v>
      </c>
      <c r="F1023" t="s">
        <v>461</v>
      </c>
      <c r="G1023" t="s">
        <v>33</v>
      </c>
      <c r="H1023" t="s">
        <v>455</v>
      </c>
      <c r="I1023" t="s">
        <v>135</v>
      </c>
      <c r="J1023" t="s">
        <v>39</v>
      </c>
      <c r="K1023" t="s">
        <v>31</v>
      </c>
      <c r="L1023">
        <v>6.641291224625212E-2</v>
      </c>
      <c r="M1023">
        <v>0</v>
      </c>
      <c r="N1023">
        <v>0.71439906728806646</v>
      </c>
      <c r="O1023">
        <v>5.3471683850504306</v>
      </c>
      <c r="P1023">
        <v>1.6499948460693128</v>
      </c>
      <c r="Q1023">
        <v>4.0542017663308254</v>
      </c>
      <c r="R1023">
        <v>-1.8625523936223525</v>
      </c>
      <c r="S1023" s="2">
        <v>5.9026107747276206E-4</v>
      </c>
      <c r="T1023" s="2">
        <v>9.5273923564467779E-4</v>
      </c>
      <c r="U1023" s="2">
        <v>1.434977534767651E-3</v>
      </c>
      <c r="V1023" s="2">
        <v>2.0393518461038623E-3</v>
      </c>
      <c r="W1023" s="2">
        <v>2.7526943876492699E-3</v>
      </c>
      <c r="X1023" s="2">
        <v>3.540978211208161E-3</v>
      </c>
      <c r="Y1023" s="2">
        <v>4.3458194779093665E-3</v>
      </c>
      <c r="Z1023" s="2">
        <v>5.0852490088231497E-3</v>
      </c>
      <c r="AA1023" s="2">
        <v>5.6613390699615336E-3</v>
      </c>
      <c r="AB1023" s="2">
        <v>5.9761732509157331E-3</v>
      </c>
      <c r="AC1023" s="2">
        <v>5.9548629195886431E-3</v>
      </c>
      <c r="AD1023" s="2">
        <v>5.5701908105559444E-3</v>
      </c>
      <c r="AE1023" s="2">
        <v>4.8596912549856751E-3</v>
      </c>
      <c r="AF1023" s="2">
        <v>3.9879309234340955E-3</v>
      </c>
      <c r="AG1023" s="2">
        <v>7.1460409375904001E-4</v>
      </c>
      <c r="AH1023" s="2">
        <v>0</v>
      </c>
      <c r="AI1023" s="2">
        <v>0</v>
      </c>
      <c r="AJ1023" s="2">
        <v>0</v>
      </c>
      <c r="AK1023" s="2">
        <v>0</v>
      </c>
      <c r="AL1023" s="2">
        <v>0</v>
      </c>
      <c r="AM1023" s="2">
        <v>0</v>
      </c>
      <c r="AN1023" s="2">
        <v>0</v>
      </c>
      <c r="AO1023" s="2">
        <v>0</v>
      </c>
      <c r="AP1023" s="2">
        <v>0</v>
      </c>
      <c r="AQ1023" s="2">
        <v>0</v>
      </c>
      <c r="AR1023" s="2">
        <v>5.3466863102779566E-2</v>
      </c>
    </row>
    <row r="1024" spans="1:44" x14ac:dyDescent="0.25">
      <c r="A1024" t="s">
        <v>435</v>
      </c>
      <c r="B1024" t="s">
        <v>460</v>
      </c>
      <c r="C1024" t="s">
        <v>44</v>
      </c>
      <c r="D1024" t="s">
        <v>461</v>
      </c>
      <c r="E1024" t="s">
        <v>134</v>
      </c>
      <c r="F1024" t="s">
        <v>461</v>
      </c>
      <c r="G1024" t="s">
        <v>33</v>
      </c>
      <c r="H1024" t="s">
        <v>455</v>
      </c>
      <c r="I1024" t="s">
        <v>135</v>
      </c>
      <c r="J1024" t="s">
        <v>39</v>
      </c>
      <c r="K1024" t="s">
        <v>33</v>
      </c>
      <c r="L1024">
        <v>6.641291224625212E-2</v>
      </c>
      <c r="M1024">
        <v>0</v>
      </c>
      <c r="N1024">
        <v>0.71439906728806646</v>
      </c>
      <c r="O1024">
        <v>5.3471683850504306</v>
      </c>
      <c r="P1024">
        <v>1.6499948460693128</v>
      </c>
      <c r="Q1024">
        <v>4.0542017663308254</v>
      </c>
      <c r="R1024">
        <v>-1.8625523936223525</v>
      </c>
      <c r="S1024" s="2">
        <v>1.5007847164189559E-2</v>
      </c>
      <c r="T1024" s="2">
        <v>2.4224136372166475E-2</v>
      </c>
      <c r="U1024" s="2">
        <v>3.6485420346612986E-2</v>
      </c>
      <c r="V1024" s="2">
        <v>5.1852107462984368E-2</v>
      </c>
      <c r="W1024" s="2">
        <v>6.9989396618259953E-2</v>
      </c>
      <c r="X1024" s="2">
        <v>9.0032126178927502E-2</v>
      </c>
      <c r="Y1024" s="2">
        <v>0.11049584161447867</v>
      </c>
      <c r="Z1024" s="2">
        <v>0.12929641277217035</v>
      </c>
      <c r="AA1024" s="2">
        <v>0.14394395081989547</v>
      </c>
      <c r="AB1024" s="2">
        <v>0.15194885483635834</v>
      </c>
      <c r="AC1024" s="2">
        <v>0.15140702308125678</v>
      </c>
      <c r="AD1024" s="2">
        <v>0.14162643540400885</v>
      </c>
      <c r="AE1024" s="2">
        <v>0.12356143137921734</v>
      </c>
      <c r="AF1024" s="2">
        <v>0.10139624665156084</v>
      </c>
      <c r="AG1024" s="2">
        <v>1.8169365101893653E-2</v>
      </c>
      <c r="AH1024" s="2">
        <v>0</v>
      </c>
      <c r="AI1024" s="2">
        <v>0</v>
      </c>
      <c r="AJ1024" s="2">
        <v>0</v>
      </c>
      <c r="AK1024" s="2">
        <v>0</v>
      </c>
      <c r="AL1024" s="2">
        <v>0</v>
      </c>
      <c r="AM1024" s="2">
        <v>0</v>
      </c>
      <c r="AN1024" s="2">
        <v>0</v>
      </c>
      <c r="AO1024" s="2">
        <v>0</v>
      </c>
      <c r="AP1024" s="2">
        <v>0</v>
      </c>
      <c r="AQ1024" s="2">
        <v>0</v>
      </c>
      <c r="AR1024" s="2">
        <v>1.3594365958039814</v>
      </c>
    </row>
    <row r="1025" spans="1:44" x14ac:dyDescent="0.25">
      <c r="A1025" t="s">
        <v>435</v>
      </c>
      <c r="B1025" t="s">
        <v>460</v>
      </c>
      <c r="C1025" t="s">
        <v>44</v>
      </c>
      <c r="D1025" t="s">
        <v>461</v>
      </c>
      <c r="E1025" t="s">
        <v>134</v>
      </c>
      <c r="F1025" t="s">
        <v>461</v>
      </c>
      <c r="G1025" t="s">
        <v>33</v>
      </c>
      <c r="H1025" t="s">
        <v>456</v>
      </c>
      <c r="I1025" t="s">
        <v>135</v>
      </c>
      <c r="J1025" t="s">
        <v>39</v>
      </c>
      <c r="K1025" t="s">
        <v>31</v>
      </c>
      <c r="L1025">
        <v>6.641291224625212E-2</v>
      </c>
      <c r="M1025">
        <v>0</v>
      </c>
      <c r="N1025">
        <v>0.71439906728806646</v>
      </c>
      <c r="O1025">
        <v>5.3471683850504306</v>
      </c>
      <c r="P1025">
        <v>1.6499948460693128</v>
      </c>
      <c r="Q1025">
        <v>4.0542017663308254</v>
      </c>
      <c r="R1025">
        <v>-1.8625523936223525</v>
      </c>
      <c r="S1025" s="2">
        <v>0.10639595699103584</v>
      </c>
      <c r="T1025" s="2">
        <v>0.17173350337334614</v>
      </c>
      <c r="U1025" s="2">
        <v>0.25865809876187706</v>
      </c>
      <c r="V1025" s="2">
        <v>0.36759799957785411</v>
      </c>
      <c r="W1025" s="2">
        <v>0.49617968193288553</v>
      </c>
      <c r="X1025" s="2">
        <v>0.63826970783667103</v>
      </c>
      <c r="Y1025" s="2">
        <v>0.78334425207595959</v>
      </c>
      <c r="Z1025" s="2">
        <v>0.91662817604032609</v>
      </c>
      <c r="AA1025" s="2">
        <v>1.0204697737792032</v>
      </c>
      <c r="AB1025" s="2">
        <v>1.0772193804439874</v>
      </c>
      <c r="AC1025" s="2">
        <v>1.0733781427580307</v>
      </c>
      <c r="AD1025" s="2">
        <v>1.004040084176347</v>
      </c>
      <c r="AE1025" s="2">
        <v>0.87597085677570985</v>
      </c>
      <c r="AF1025" s="2">
        <v>0.71883399262844905</v>
      </c>
      <c r="AG1025" s="2">
        <v>0.12880908012897488</v>
      </c>
      <c r="AH1025" s="2">
        <v>0</v>
      </c>
      <c r="AI1025" s="2">
        <v>0</v>
      </c>
      <c r="AJ1025" s="2">
        <v>0</v>
      </c>
      <c r="AK1025" s="2">
        <v>0</v>
      </c>
      <c r="AL1025" s="2">
        <v>0</v>
      </c>
      <c r="AM1025" s="2">
        <v>0</v>
      </c>
      <c r="AN1025" s="2">
        <v>0</v>
      </c>
      <c r="AO1025" s="2">
        <v>0</v>
      </c>
      <c r="AP1025" s="2">
        <v>0</v>
      </c>
      <c r="AQ1025" s="2">
        <v>0</v>
      </c>
      <c r="AR1025" s="2">
        <v>9.6375286872806569</v>
      </c>
    </row>
    <row r="1026" spans="1:44" x14ac:dyDescent="0.25">
      <c r="A1026" t="s">
        <v>435</v>
      </c>
      <c r="B1026" t="s">
        <v>460</v>
      </c>
      <c r="C1026" t="s">
        <v>44</v>
      </c>
      <c r="D1026" t="s">
        <v>461</v>
      </c>
      <c r="E1026" t="s">
        <v>134</v>
      </c>
      <c r="F1026" t="s">
        <v>461</v>
      </c>
      <c r="G1026" t="s">
        <v>33</v>
      </c>
      <c r="H1026" t="s">
        <v>456</v>
      </c>
      <c r="I1026" t="s">
        <v>135</v>
      </c>
      <c r="J1026" t="s">
        <v>39</v>
      </c>
      <c r="K1026" t="s">
        <v>33</v>
      </c>
      <c r="L1026">
        <v>6.641291224625212E-2</v>
      </c>
      <c r="M1026">
        <v>0</v>
      </c>
      <c r="N1026">
        <v>0.71439906728806646</v>
      </c>
      <c r="O1026">
        <v>5.3471683850504306</v>
      </c>
      <c r="P1026">
        <v>1.6499948460693128</v>
      </c>
      <c r="Q1026">
        <v>4.0542017663308254</v>
      </c>
      <c r="R1026">
        <v>-1.8625523936223525</v>
      </c>
      <c r="S1026" s="2">
        <v>9.8235357976134238E-2</v>
      </c>
      <c r="T1026" s="2">
        <v>0.15856149667226252</v>
      </c>
      <c r="U1026" s="2">
        <v>0.23881895180885571</v>
      </c>
      <c r="V1026" s="2">
        <v>0.33940313242244535</v>
      </c>
      <c r="W1026" s="2">
        <v>0.4581225645563593</v>
      </c>
      <c r="X1026" s="2">
        <v>0.58931424659247822</v>
      </c>
      <c r="Y1026" s="2">
        <v>0.72326153359109746</v>
      </c>
      <c r="Z1026" s="2">
        <v>0.84632254411621122</v>
      </c>
      <c r="AA1026" s="2">
        <v>0.94219946289378986</v>
      </c>
      <c r="AB1026" s="2">
        <v>0.99459635919868994</v>
      </c>
      <c r="AC1026" s="2">
        <v>0.99104974549434455</v>
      </c>
      <c r="AD1026" s="2">
        <v>0.92702993497921637</v>
      </c>
      <c r="AE1026" s="2">
        <v>0.80878365236446847</v>
      </c>
      <c r="AF1026" s="2">
        <v>0.66369922869549502</v>
      </c>
      <c r="AG1026" s="2">
        <v>0.11892938843637278</v>
      </c>
      <c r="AH1026" s="2">
        <v>0</v>
      </c>
      <c r="AI1026" s="2">
        <v>0</v>
      </c>
      <c r="AJ1026" s="2">
        <v>0</v>
      </c>
      <c r="AK1026" s="2">
        <v>0</v>
      </c>
      <c r="AL1026" s="2">
        <v>0</v>
      </c>
      <c r="AM1026" s="2">
        <v>0</v>
      </c>
      <c r="AN1026" s="2">
        <v>0</v>
      </c>
      <c r="AO1026" s="2">
        <v>0</v>
      </c>
      <c r="AP1026" s="2">
        <v>0</v>
      </c>
      <c r="AQ1026" s="2">
        <v>0</v>
      </c>
      <c r="AR1026" s="2">
        <v>8.8983275997982219</v>
      </c>
    </row>
    <row r="1027" spans="1:44" x14ac:dyDescent="0.25">
      <c r="A1027" t="s">
        <v>435</v>
      </c>
      <c r="B1027" t="s">
        <v>460</v>
      </c>
      <c r="C1027" t="s">
        <v>44</v>
      </c>
      <c r="D1027" t="s">
        <v>461</v>
      </c>
      <c r="E1027" t="s">
        <v>134</v>
      </c>
      <c r="F1027" t="s">
        <v>461</v>
      </c>
      <c r="G1027" t="s">
        <v>33</v>
      </c>
      <c r="H1027" t="s">
        <v>456</v>
      </c>
      <c r="I1027" t="s">
        <v>135</v>
      </c>
      <c r="J1027" t="s">
        <v>40</v>
      </c>
      <c r="K1027" t="s">
        <v>33</v>
      </c>
      <c r="L1027">
        <v>6.641291224625212E-2</v>
      </c>
      <c r="M1027">
        <v>0</v>
      </c>
      <c r="N1027">
        <v>0.71439906728806646</v>
      </c>
      <c r="O1027">
        <v>4.1746294160814523</v>
      </c>
      <c r="P1027">
        <v>1.6499948460693128</v>
      </c>
      <c r="Q1027">
        <v>1.3498045353129324</v>
      </c>
      <c r="R1027">
        <v>-1.7195523936223522</v>
      </c>
      <c r="S1027" s="2">
        <v>0.36265682422580819</v>
      </c>
      <c r="T1027" s="2">
        <v>0.58536366143872487</v>
      </c>
      <c r="U1027" s="2">
        <v>0.88165121410742153</v>
      </c>
      <c r="V1027" s="2">
        <v>1.252979219218795</v>
      </c>
      <c r="W1027" s="2">
        <v>1.6912573821795935</v>
      </c>
      <c r="X1027" s="2">
        <v>2.1755795219087486</v>
      </c>
      <c r="Y1027" s="2">
        <v>2.6700745664362353</v>
      </c>
      <c r="Z1027" s="2">
        <v>3.1243805941487715</v>
      </c>
      <c r="AA1027" s="2">
        <v>3.4783307358979347</v>
      </c>
      <c r="AB1027" s="2">
        <v>3.6717650797503838</v>
      </c>
      <c r="AC1027" s="2">
        <v>3.6586719970836916</v>
      </c>
      <c r="AD1027" s="2">
        <v>3.4223291807364964</v>
      </c>
      <c r="AE1027" s="2">
        <v>2.985797750373206</v>
      </c>
      <c r="AF1027" s="2">
        <v>2.4501875849864785</v>
      </c>
      <c r="AG1027" s="2">
        <v>0.43905326153471425</v>
      </c>
      <c r="AH1027" s="2">
        <v>0</v>
      </c>
      <c r="AI1027" s="2">
        <v>0</v>
      </c>
      <c r="AJ1027" s="2">
        <v>0</v>
      </c>
      <c r="AK1027" s="2">
        <v>0</v>
      </c>
      <c r="AL1027" s="2">
        <v>0</v>
      </c>
      <c r="AM1027" s="2">
        <v>0</v>
      </c>
      <c r="AN1027" s="2">
        <v>0</v>
      </c>
      <c r="AO1027" s="2">
        <v>0</v>
      </c>
      <c r="AP1027" s="2">
        <v>0</v>
      </c>
      <c r="AQ1027" s="2">
        <v>0</v>
      </c>
      <c r="AR1027" s="2">
        <v>32.850078574027002</v>
      </c>
    </row>
    <row r="1028" spans="1:44" x14ac:dyDescent="0.25">
      <c r="A1028" t="s">
        <v>435</v>
      </c>
      <c r="B1028" t="s">
        <v>460</v>
      </c>
      <c r="C1028" t="s">
        <v>44</v>
      </c>
      <c r="D1028" t="s">
        <v>461</v>
      </c>
      <c r="E1028" t="s">
        <v>134</v>
      </c>
      <c r="F1028" t="s">
        <v>461</v>
      </c>
      <c r="G1028" t="s">
        <v>33</v>
      </c>
      <c r="H1028" t="s">
        <v>456</v>
      </c>
      <c r="I1028" t="s">
        <v>256</v>
      </c>
      <c r="J1028" t="s">
        <v>40</v>
      </c>
      <c r="K1028" t="s">
        <v>33</v>
      </c>
      <c r="L1028">
        <v>6.641291224625212E-2</v>
      </c>
      <c r="M1028">
        <v>0</v>
      </c>
      <c r="N1028">
        <v>0.35355443358033928</v>
      </c>
      <c r="O1028">
        <v>1.4737622038640097</v>
      </c>
      <c r="P1028">
        <v>3.11293179741818</v>
      </c>
      <c r="Q1028">
        <v>1.3498045353129324</v>
      </c>
      <c r="R1028">
        <v>-0.25661544227348532</v>
      </c>
      <c r="S1028" s="2">
        <v>0.54459453065764496</v>
      </c>
      <c r="T1028" s="2">
        <v>0.87902895291106109</v>
      </c>
      <c r="U1028" s="2">
        <v>1.3239580702102367</v>
      </c>
      <c r="V1028" s="2">
        <v>1.8815739405178464</v>
      </c>
      <c r="W1028" s="2">
        <v>2.5397275295607886</v>
      </c>
      <c r="X1028" s="2">
        <v>3.2670244415545802</v>
      </c>
      <c r="Y1028" s="2">
        <v>4.0095978020914247</v>
      </c>
      <c r="Z1028" s="2">
        <v>4.6918201164383788</v>
      </c>
      <c r="AA1028" s="2">
        <v>5.2233399954137454</v>
      </c>
      <c r="AB1028" s="2">
        <v>5.5138164973471602</v>
      </c>
      <c r="AC1028" s="2">
        <v>5.4941548758543037</v>
      </c>
      <c r="AD1028" s="2">
        <v>5.1392435752943992</v>
      </c>
      <c r="AE1028" s="2">
        <v>4.4837130198070918</v>
      </c>
      <c r="AF1028" s="2">
        <v>3.6793979010803395</v>
      </c>
      <c r="AG1028" s="2">
        <v>0.65931753913536373</v>
      </c>
      <c r="AH1028" s="2">
        <v>0</v>
      </c>
      <c r="AI1028" s="2">
        <v>0</v>
      </c>
      <c r="AJ1028" s="2">
        <v>0</v>
      </c>
      <c r="AK1028" s="2">
        <v>0</v>
      </c>
      <c r="AL1028" s="2">
        <v>0</v>
      </c>
      <c r="AM1028" s="2">
        <v>0</v>
      </c>
      <c r="AN1028" s="2">
        <v>0</v>
      </c>
      <c r="AO1028" s="2">
        <v>0</v>
      </c>
      <c r="AP1028" s="2">
        <v>0</v>
      </c>
      <c r="AQ1028" s="2">
        <v>0</v>
      </c>
      <c r="AR1028" s="2">
        <v>49.330308787874365</v>
      </c>
    </row>
    <row r="1029" spans="1:44" x14ac:dyDescent="0.25">
      <c r="A1029" t="s">
        <v>435</v>
      </c>
      <c r="B1029" t="s">
        <v>460</v>
      </c>
      <c r="C1029" t="s">
        <v>44</v>
      </c>
      <c r="D1029" t="s">
        <v>461</v>
      </c>
      <c r="E1029" t="s">
        <v>134</v>
      </c>
      <c r="F1029" t="s">
        <v>461</v>
      </c>
      <c r="G1029" t="s">
        <v>33</v>
      </c>
      <c r="H1029" t="s">
        <v>457</v>
      </c>
      <c r="I1029" t="s">
        <v>135</v>
      </c>
      <c r="J1029" t="s">
        <v>39</v>
      </c>
      <c r="K1029" t="s">
        <v>31</v>
      </c>
      <c r="L1029">
        <v>6.641291224625212E-2</v>
      </c>
      <c r="M1029">
        <v>0</v>
      </c>
      <c r="N1029">
        <v>0.71439906728806646</v>
      </c>
      <c r="O1029">
        <v>5.3471683850504306</v>
      </c>
      <c r="P1029">
        <v>1.6499948460693128</v>
      </c>
      <c r="Q1029">
        <v>4.0542017663308254</v>
      </c>
      <c r="R1029">
        <v>-1.8625523936223525</v>
      </c>
      <c r="S1029" s="2">
        <v>3.9334471041335438E-2</v>
      </c>
      <c r="T1029" s="2">
        <v>6.3489691773110299E-2</v>
      </c>
      <c r="U1029" s="2">
        <v>9.5625621340227562E-2</v>
      </c>
      <c r="V1029" s="2">
        <v>0.13590058568171132</v>
      </c>
      <c r="W1029" s="2">
        <v>0.18343709556494214</v>
      </c>
      <c r="X1029" s="2">
        <v>0.23596762555158385</v>
      </c>
      <c r="Y1029" s="2">
        <v>0.28960152876179712</v>
      </c>
      <c r="Z1029" s="2">
        <v>0.33887645231827807</v>
      </c>
      <c r="AA1029" s="2">
        <v>0.37726657948720793</v>
      </c>
      <c r="AB1029" s="2">
        <v>0.39824684812797234</v>
      </c>
      <c r="AC1029" s="2">
        <v>0.396826746680566</v>
      </c>
      <c r="AD1029" s="2">
        <v>0.37119254088481907</v>
      </c>
      <c r="AE1029" s="2">
        <v>0.32384548504790411</v>
      </c>
      <c r="AF1029" s="2">
        <v>0.26575215512139722</v>
      </c>
      <c r="AG1029" s="2">
        <v>4.7620578596056735E-2</v>
      </c>
      <c r="AH1029" s="2">
        <v>0</v>
      </c>
      <c r="AI1029" s="2">
        <v>0</v>
      </c>
      <c r="AJ1029" s="2">
        <v>0</v>
      </c>
      <c r="AK1029" s="2">
        <v>0</v>
      </c>
      <c r="AL1029" s="2">
        <v>0</v>
      </c>
      <c r="AM1029" s="2">
        <v>0</v>
      </c>
      <c r="AN1029" s="2">
        <v>0</v>
      </c>
      <c r="AO1029" s="2">
        <v>0</v>
      </c>
      <c r="AP1029" s="2">
        <v>0</v>
      </c>
      <c r="AQ1029" s="2">
        <v>0</v>
      </c>
      <c r="AR1029" s="2">
        <v>3.5629840059789086</v>
      </c>
    </row>
    <row r="1030" spans="1:44" x14ac:dyDescent="0.25">
      <c r="A1030" t="s">
        <v>435</v>
      </c>
      <c r="B1030" t="s">
        <v>460</v>
      </c>
      <c r="C1030" t="s">
        <v>44</v>
      </c>
      <c r="D1030" t="s">
        <v>461</v>
      </c>
      <c r="E1030" t="s">
        <v>134</v>
      </c>
      <c r="F1030" t="s">
        <v>461</v>
      </c>
      <c r="G1030" t="s">
        <v>33</v>
      </c>
      <c r="H1030" t="s">
        <v>457</v>
      </c>
      <c r="I1030" t="s">
        <v>135</v>
      </c>
      <c r="J1030" t="s">
        <v>39</v>
      </c>
      <c r="K1030" t="s">
        <v>33</v>
      </c>
      <c r="L1030">
        <v>6.641291224625212E-2</v>
      </c>
      <c r="M1030">
        <v>0</v>
      </c>
      <c r="N1030">
        <v>0.71439906728806646</v>
      </c>
      <c r="O1030">
        <v>5.3471683850504306</v>
      </c>
      <c r="P1030">
        <v>1.6499948460693128</v>
      </c>
      <c r="Q1030">
        <v>4.0542017663308254</v>
      </c>
      <c r="R1030">
        <v>-1.8625523936223525</v>
      </c>
      <c r="S1030" s="2">
        <v>1.1509052662409367E-2</v>
      </c>
      <c r="T1030" s="2">
        <v>1.8576739099122185E-2</v>
      </c>
      <c r="U1030" s="2">
        <v>2.7979537610249038E-2</v>
      </c>
      <c r="V1030" s="2">
        <v>3.9763773505926629E-2</v>
      </c>
      <c r="W1030" s="2">
        <v>5.3672698200968691E-2</v>
      </c>
      <c r="X1030" s="2">
        <v>6.9042846063519125E-2</v>
      </c>
      <c r="Y1030" s="2">
        <v>8.4735834940584107E-2</v>
      </c>
      <c r="Z1030" s="2">
        <v>9.9153410037800468E-2</v>
      </c>
      <c r="AA1030" s="2">
        <v>0.11038615281040562</v>
      </c>
      <c r="AB1030" s="2">
        <v>0.1165248655035115</v>
      </c>
      <c r="AC1030" s="2">
        <v>0.11610935153036088</v>
      </c>
      <c r="AD1030" s="2">
        <v>0.1086089220939956</v>
      </c>
      <c r="AE1030" s="2">
        <v>9.4755430624275522E-2</v>
      </c>
      <c r="AF1030" s="2">
        <v>7.7757637702228127E-2</v>
      </c>
      <c r="AG1030" s="2">
        <v>1.3933522743968195E-2</v>
      </c>
      <c r="AH1030" s="2">
        <v>0</v>
      </c>
      <c r="AI1030" s="2">
        <v>0</v>
      </c>
      <c r="AJ1030" s="2">
        <v>0</v>
      </c>
      <c r="AK1030" s="2">
        <v>0</v>
      </c>
      <c r="AL1030" s="2">
        <v>0</v>
      </c>
      <c r="AM1030" s="2">
        <v>0</v>
      </c>
      <c r="AN1030" s="2">
        <v>0</v>
      </c>
      <c r="AO1030" s="2">
        <v>0</v>
      </c>
      <c r="AP1030" s="2">
        <v>0</v>
      </c>
      <c r="AQ1030" s="2">
        <v>0</v>
      </c>
      <c r="AR1030" s="2">
        <v>1.0425097751293251</v>
      </c>
    </row>
    <row r="1031" spans="1:44" x14ac:dyDescent="0.25">
      <c r="A1031" t="s">
        <v>435</v>
      </c>
      <c r="B1031" t="s">
        <v>460</v>
      </c>
      <c r="C1031" t="s">
        <v>44</v>
      </c>
      <c r="D1031" t="s">
        <v>461</v>
      </c>
      <c r="E1031" t="s">
        <v>134</v>
      </c>
      <c r="F1031" t="s">
        <v>461</v>
      </c>
      <c r="G1031" t="s">
        <v>33</v>
      </c>
      <c r="H1031" t="s">
        <v>457</v>
      </c>
      <c r="I1031" t="s">
        <v>256</v>
      </c>
      <c r="J1031" t="s">
        <v>39</v>
      </c>
      <c r="K1031" t="s">
        <v>33</v>
      </c>
      <c r="L1031">
        <v>6.641291224625212E-2</v>
      </c>
      <c r="M1031">
        <v>0</v>
      </c>
      <c r="N1031">
        <v>0.35355443358033928</v>
      </c>
      <c r="O1031">
        <v>2.6463011728329877</v>
      </c>
      <c r="P1031">
        <v>3.11293179741818</v>
      </c>
      <c r="Q1031">
        <v>1.3498045353129324</v>
      </c>
      <c r="R1031">
        <v>-0.39961544227348528</v>
      </c>
      <c r="S1031" s="2">
        <v>3.1650667067911482E-2</v>
      </c>
      <c r="T1031" s="2">
        <v>5.1087279003785707E-2</v>
      </c>
      <c r="U1031" s="2">
        <v>7.6945605828056873E-2</v>
      </c>
      <c r="V1031" s="2">
        <v>0.1093530452519844</v>
      </c>
      <c r="W1031" s="2">
        <v>0.1476035214387246</v>
      </c>
      <c r="X1031" s="2">
        <v>0.18987245938277195</v>
      </c>
      <c r="Y1031" s="2">
        <v>0.23302923177905374</v>
      </c>
      <c r="Z1031" s="2">
        <v>0.27267853070172254</v>
      </c>
      <c r="AA1031" s="2">
        <v>0.30356932703254647</v>
      </c>
      <c r="AB1031" s="2">
        <v>0.32045119884026319</v>
      </c>
      <c r="AC1031" s="2">
        <v>0.31930850753351392</v>
      </c>
      <c r="AD1031" s="2">
        <v>0.29868182331195925</v>
      </c>
      <c r="AE1031" s="2">
        <v>0.26058379221437028</v>
      </c>
      <c r="AF1031" s="2">
        <v>0.2138387211432993</v>
      </c>
      <c r="AG1031" s="2">
        <v>3.8318122471793017E-2</v>
      </c>
      <c r="AH1031" s="2">
        <v>0</v>
      </c>
      <c r="AI1031" s="2">
        <v>0</v>
      </c>
      <c r="AJ1031" s="2">
        <v>0</v>
      </c>
      <c r="AK1031" s="2">
        <v>0</v>
      </c>
      <c r="AL1031" s="2">
        <v>0</v>
      </c>
      <c r="AM1031" s="2">
        <v>0</v>
      </c>
      <c r="AN1031" s="2">
        <v>0</v>
      </c>
      <c r="AO1031" s="2">
        <v>0</v>
      </c>
      <c r="AP1031" s="2">
        <v>0</v>
      </c>
      <c r="AQ1031" s="2">
        <v>0</v>
      </c>
      <c r="AR1031" s="2">
        <v>2.8669718330017568</v>
      </c>
    </row>
    <row r="1032" spans="1:44" x14ac:dyDescent="0.25">
      <c r="A1032" t="s">
        <v>435</v>
      </c>
      <c r="B1032" t="s">
        <v>460</v>
      </c>
      <c r="C1032" t="s">
        <v>44</v>
      </c>
      <c r="D1032" t="s">
        <v>461</v>
      </c>
      <c r="E1032" t="s">
        <v>134</v>
      </c>
      <c r="F1032" t="s">
        <v>461</v>
      </c>
      <c r="G1032" t="s">
        <v>33</v>
      </c>
      <c r="H1032" t="s">
        <v>457</v>
      </c>
      <c r="I1032" t="s">
        <v>256</v>
      </c>
      <c r="J1032" t="s">
        <v>40</v>
      </c>
      <c r="K1032" t="s">
        <v>33</v>
      </c>
      <c r="L1032">
        <v>6.641291224625212E-2</v>
      </c>
      <c r="M1032">
        <v>0</v>
      </c>
      <c r="N1032">
        <v>0.35355443358033928</v>
      </c>
      <c r="O1032">
        <v>1.4737622038640097</v>
      </c>
      <c r="P1032">
        <v>3.11293179741818</v>
      </c>
      <c r="Q1032">
        <v>1.3498045353129324</v>
      </c>
      <c r="R1032">
        <v>-0.25661544227348532</v>
      </c>
      <c r="S1032" s="2">
        <v>0.28961574533130158</v>
      </c>
      <c r="T1032" s="2">
        <v>0.46746820071384576</v>
      </c>
      <c r="U1032" s="2">
        <v>0.70408181078920051</v>
      </c>
      <c r="V1032" s="2">
        <v>1.0006223134870194</v>
      </c>
      <c r="W1032" s="2">
        <v>1.3506288440391403</v>
      </c>
      <c r="X1032" s="2">
        <v>1.7374058412114659</v>
      </c>
      <c r="Y1032" s="2">
        <v>2.1323068642080485</v>
      </c>
      <c r="Z1032" s="2">
        <v>2.4951131594028251</v>
      </c>
      <c r="AA1032" s="2">
        <v>2.7777757959922202</v>
      </c>
      <c r="AB1032" s="2">
        <v>2.9322513991663564</v>
      </c>
      <c r="AC1032" s="2">
        <v>2.9217953353564621</v>
      </c>
      <c r="AD1032" s="2">
        <v>2.7330532620307659</v>
      </c>
      <c r="AE1032" s="2">
        <v>2.3844416625245501</v>
      </c>
      <c r="AF1032" s="2">
        <v>1.9567063301296674</v>
      </c>
      <c r="AG1032" s="2">
        <v>0.35062552001045538</v>
      </c>
      <c r="AH1032" s="2">
        <v>0</v>
      </c>
      <c r="AI1032" s="2">
        <v>0</v>
      </c>
      <c r="AJ1032" s="2">
        <v>0</v>
      </c>
      <c r="AK1032" s="2">
        <v>0</v>
      </c>
      <c r="AL1032" s="2">
        <v>0</v>
      </c>
      <c r="AM1032" s="2">
        <v>0</v>
      </c>
      <c r="AN1032" s="2">
        <v>0</v>
      </c>
      <c r="AO1032" s="2">
        <v>0</v>
      </c>
      <c r="AP1032" s="2">
        <v>0</v>
      </c>
      <c r="AQ1032" s="2">
        <v>0</v>
      </c>
      <c r="AR1032" s="2">
        <v>26.233892084393329</v>
      </c>
    </row>
    <row r="1033" spans="1:44" x14ac:dyDescent="0.25">
      <c r="A1033" t="s">
        <v>435</v>
      </c>
      <c r="B1033" t="s">
        <v>476</v>
      </c>
      <c r="C1033" t="s">
        <v>45</v>
      </c>
      <c r="D1033" t="s">
        <v>477</v>
      </c>
      <c r="E1033" t="s">
        <v>145</v>
      </c>
      <c r="F1033" t="s">
        <v>477</v>
      </c>
      <c r="G1033" t="s">
        <v>33</v>
      </c>
      <c r="H1033" t="s">
        <v>450</v>
      </c>
      <c r="I1033" t="s">
        <v>135</v>
      </c>
      <c r="J1033" t="s">
        <v>39</v>
      </c>
      <c r="K1033" t="s">
        <v>31</v>
      </c>
      <c r="L1033">
        <v>0.10091851851851852</v>
      </c>
      <c r="M1033">
        <v>1</v>
      </c>
      <c r="N1033">
        <v>3.2426727002102926</v>
      </c>
      <c r="O1033">
        <v>3.1523474906593334</v>
      </c>
      <c r="P1033">
        <v>-0.68880560164319704</v>
      </c>
      <c r="Q1033">
        <v>0.52656664600916792</v>
      </c>
      <c r="R1033">
        <v>-0.67371772101320471</v>
      </c>
      <c r="S1033" s="2">
        <v>0</v>
      </c>
      <c r="T1033" s="2">
        <v>0</v>
      </c>
      <c r="U1033" s="2">
        <v>6.8771538865605871E-4</v>
      </c>
      <c r="V1033" s="2">
        <v>1.2840745234820308E-3</v>
      </c>
      <c r="W1033" s="2">
        <v>2.180372907967422E-3</v>
      </c>
      <c r="X1033" s="2">
        <v>3.4514280506691406E-3</v>
      </c>
      <c r="Y1033" s="2">
        <v>5.1631651924375337E-3</v>
      </c>
      <c r="Z1033" s="2">
        <v>7.3595131668275299E-3</v>
      </c>
      <c r="AA1033" s="2">
        <v>1.004719244106054E-2</v>
      </c>
      <c r="AB1033" s="2">
        <v>1.3181107658164447E-2</v>
      </c>
      <c r="AC1033" s="2">
        <v>1.6654669141320428E-2</v>
      </c>
      <c r="AD1033" s="2">
        <v>2.0300274077920219E-2</v>
      </c>
      <c r="AE1033" s="2">
        <v>2.3904319021035798E-2</v>
      </c>
      <c r="AF1033" s="2">
        <v>2.7237659237116671E-2</v>
      </c>
      <c r="AG1033" s="2">
        <v>3.0096619521471028E-2</v>
      </c>
      <c r="AH1033" s="2">
        <v>3.2343523809879739E-2</v>
      </c>
      <c r="AI1033" s="2">
        <v>3.3932779673049598E-2</v>
      </c>
      <c r="AJ1033" s="2">
        <v>3.5007881757692698E-2</v>
      </c>
      <c r="AK1033" s="2">
        <v>3.5461729891516462E-2</v>
      </c>
      <c r="AL1033" s="2">
        <v>3.5762874744775762E-2</v>
      </c>
      <c r="AM1033" s="2">
        <v>3.562971304264146E-2</v>
      </c>
      <c r="AN1033" s="2">
        <v>3.535505897438164E-2</v>
      </c>
      <c r="AO1033" s="2">
        <v>3.5082522095702368E-2</v>
      </c>
      <c r="AP1033" s="2">
        <v>3.4812086086103644E-2</v>
      </c>
      <c r="AQ1033" s="2">
        <v>3.4543734750893153E-2</v>
      </c>
      <c r="AR1033" s="2">
        <v>0.50948001515476538</v>
      </c>
    </row>
    <row r="1034" spans="1:44" x14ac:dyDescent="0.25">
      <c r="A1034" t="s">
        <v>435</v>
      </c>
      <c r="B1034" t="s">
        <v>476</v>
      </c>
      <c r="C1034" t="s">
        <v>45</v>
      </c>
      <c r="D1034" t="s">
        <v>477</v>
      </c>
      <c r="E1034" t="s">
        <v>145</v>
      </c>
      <c r="F1034" t="s">
        <v>477</v>
      </c>
      <c r="G1034" t="s">
        <v>33</v>
      </c>
      <c r="H1034" t="s">
        <v>450</v>
      </c>
      <c r="I1034" t="s">
        <v>135</v>
      </c>
      <c r="J1034" t="s">
        <v>39</v>
      </c>
      <c r="K1034" t="s">
        <v>33</v>
      </c>
      <c r="L1034">
        <v>0.10091851851851852</v>
      </c>
      <c r="M1034">
        <v>1</v>
      </c>
      <c r="N1034">
        <v>3.2426727002102926</v>
      </c>
      <c r="O1034">
        <v>3.1523474906593334</v>
      </c>
      <c r="P1034">
        <v>-0.68880560164319704</v>
      </c>
      <c r="Q1034">
        <v>0.52656664600916792</v>
      </c>
      <c r="R1034">
        <v>-0.67371772101320471</v>
      </c>
      <c r="S1034" s="2">
        <v>0</v>
      </c>
      <c r="T1034" s="2">
        <v>0</v>
      </c>
      <c r="U1034" s="2">
        <v>4.2309737667629849E-4</v>
      </c>
      <c r="V1034" s="2">
        <v>7.8943973098380459E-4</v>
      </c>
      <c r="W1034" s="2">
        <v>1.3395430874488235E-3</v>
      </c>
      <c r="X1034" s="2">
        <v>2.118955787072769E-3</v>
      </c>
      <c r="Y1034" s="2">
        <v>3.1676431554439406E-3</v>
      </c>
      <c r="Z1034" s="2">
        <v>4.5119728492130648E-3</v>
      </c>
      <c r="AA1034" s="2">
        <v>6.1554424017980554E-3</v>
      </c>
      <c r="AB1034" s="2">
        <v>8.0698157405916203E-3</v>
      </c>
      <c r="AC1034" s="2">
        <v>1.0189312476468159E-2</v>
      </c>
      <c r="AD1034" s="2">
        <v>1.2411033078109316E-2</v>
      </c>
      <c r="AE1034" s="2">
        <v>1.4604260399636778E-2</v>
      </c>
      <c r="AF1034" s="2">
        <v>1.6629153194733536E-2</v>
      </c>
      <c r="AG1034" s="2">
        <v>1.8361799048352678E-2</v>
      </c>
      <c r="AH1034" s="2">
        <v>1.9718869218259542E-2</v>
      </c>
      <c r="AI1034" s="2">
        <v>2.0673369631766005E-2</v>
      </c>
      <c r="AJ1034" s="2">
        <v>2.1313502591315668E-2</v>
      </c>
      <c r="AK1034" s="2">
        <v>2.1574764821697158E-2</v>
      </c>
      <c r="AL1034" s="2">
        <v>2.1742813196644478E-2</v>
      </c>
      <c r="AM1034" s="2">
        <v>2.1646754800025685E-2</v>
      </c>
      <c r="AN1034" s="2">
        <v>2.1464916300296014E-2</v>
      </c>
      <c r="AO1034" s="2">
        <v>2.1284605292344647E-2</v>
      </c>
      <c r="AP1034" s="2">
        <v>2.1105808944834221E-2</v>
      </c>
      <c r="AQ1034" s="2">
        <v>2.0928514534214057E-2</v>
      </c>
      <c r="AR1034" s="2">
        <v>0.31022538765792634</v>
      </c>
    </row>
    <row r="1035" spans="1:44" x14ac:dyDescent="0.25">
      <c r="A1035" t="s">
        <v>435</v>
      </c>
      <c r="B1035" t="s">
        <v>476</v>
      </c>
      <c r="C1035" t="s">
        <v>45</v>
      </c>
      <c r="D1035" t="s">
        <v>477</v>
      </c>
      <c r="E1035" t="s">
        <v>145</v>
      </c>
      <c r="F1035" t="s">
        <v>477</v>
      </c>
      <c r="G1035" t="s">
        <v>33</v>
      </c>
      <c r="H1035" t="s">
        <v>450</v>
      </c>
      <c r="I1035" t="s">
        <v>256</v>
      </c>
      <c r="J1035" t="s">
        <v>40</v>
      </c>
      <c r="K1035" t="s">
        <v>33</v>
      </c>
      <c r="L1035">
        <v>0.10091851851851852</v>
      </c>
      <c r="M1035">
        <v>1</v>
      </c>
      <c r="N1035">
        <v>2.7221264772067415</v>
      </c>
      <c r="O1035">
        <v>1.4737622038640086</v>
      </c>
      <c r="P1035">
        <v>-0.41470332290347733</v>
      </c>
      <c r="Q1035">
        <v>1.3498045353129324</v>
      </c>
      <c r="R1035">
        <v>-0.25661544227348493</v>
      </c>
      <c r="S1035" s="2">
        <v>0</v>
      </c>
      <c r="T1035" s="2">
        <v>0</v>
      </c>
      <c r="U1035" s="2">
        <v>1.106757591253431E-2</v>
      </c>
      <c r="V1035" s="2">
        <v>2.066493276202697E-2</v>
      </c>
      <c r="W1035" s="2">
        <v>3.5089287043177216E-2</v>
      </c>
      <c r="X1035" s="2">
        <v>5.5544695651030623E-2</v>
      </c>
      <c r="Y1035" s="2">
        <v>8.3092109990337906E-2</v>
      </c>
      <c r="Z1035" s="2">
        <v>0.1184384877766569</v>
      </c>
      <c r="AA1035" s="2">
        <v>0.16169198317138564</v>
      </c>
      <c r="AB1035" s="2">
        <v>0.21212686530558578</v>
      </c>
      <c r="AC1035" s="2">
        <v>0.26802775982651778</v>
      </c>
      <c r="AD1035" s="2">
        <v>0.32669739271313469</v>
      </c>
      <c r="AE1035" s="2">
        <v>0.38469819022046781</v>
      </c>
      <c r="AF1035" s="2">
        <v>0.43834246878732297</v>
      </c>
      <c r="AG1035" s="2">
        <v>0.48435243235647785</v>
      </c>
      <c r="AH1035" s="2">
        <v>0.52051242556058397</v>
      </c>
      <c r="AI1035" s="2">
        <v>0.54608871802140235</v>
      </c>
      <c r="AJ1035" s="2">
        <v>0.56339060501096649</v>
      </c>
      <c r="AK1035" s="2">
        <v>0.57069449664508054</v>
      </c>
      <c r="AL1035" s="2">
        <v>0.57554089615728221</v>
      </c>
      <c r="AM1035" s="2">
        <v>0.57339789154909149</v>
      </c>
      <c r="AN1035" s="2">
        <v>0.56897781487159826</v>
      </c>
      <c r="AO1035" s="2">
        <v>0.56459181065604247</v>
      </c>
      <c r="AP1035" s="2">
        <v>0.56023961625253216</v>
      </c>
      <c r="AQ1035" s="2">
        <v>0.55592097103583005</v>
      </c>
      <c r="AR1035" s="2">
        <v>8.1991894272770676</v>
      </c>
    </row>
    <row r="1036" spans="1:44" x14ac:dyDescent="0.25">
      <c r="A1036" t="s">
        <v>435</v>
      </c>
      <c r="B1036" t="s">
        <v>476</v>
      </c>
      <c r="C1036" t="s">
        <v>45</v>
      </c>
      <c r="D1036" t="s">
        <v>477</v>
      </c>
      <c r="E1036" t="s">
        <v>145</v>
      </c>
      <c r="F1036" t="s">
        <v>477</v>
      </c>
      <c r="G1036" t="s">
        <v>33</v>
      </c>
      <c r="H1036" t="s">
        <v>451</v>
      </c>
      <c r="I1036" t="s">
        <v>135</v>
      </c>
      <c r="J1036" t="s">
        <v>39</v>
      </c>
      <c r="K1036" t="s">
        <v>31</v>
      </c>
      <c r="L1036">
        <v>0.10091851851851852</v>
      </c>
      <c r="M1036">
        <v>1</v>
      </c>
      <c r="N1036">
        <v>3.2426727002102926</v>
      </c>
      <c r="O1036">
        <v>3.1523474906593334</v>
      </c>
      <c r="P1036">
        <v>-0.68880560164319704</v>
      </c>
      <c r="Q1036">
        <v>0.52656664600916792</v>
      </c>
      <c r="R1036">
        <v>-0.67371772101320471</v>
      </c>
      <c r="S1036" s="2">
        <v>0</v>
      </c>
      <c r="T1036" s="2">
        <v>0</v>
      </c>
      <c r="U1036" s="2">
        <v>1.7989452574791167E-4</v>
      </c>
      <c r="V1036" s="2">
        <v>3.358918256550787E-4</v>
      </c>
      <c r="W1036" s="2">
        <v>5.7034807814742758E-4</v>
      </c>
      <c r="X1036" s="2">
        <v>9.0283425755750563E-4</v>
      </c>
      <c r="Y1036" s="2">
        <v>1.3505952738192988E-3</v>
      </c>
      <c r="Z1036" s="2">
        <v>1.9251221547756854E-3</v>
      </c>
      <c r="AA1036" s="2">
        <v>2.6281728591455518E-3</v>
      </c>
      <c r="AB1036" s="2">
        <v>3.4479512166093935E-3</v>
      </c>
      <c r="AC1036" s="2">
        <v>4.3565751996929988E-3</v>
      </c>
      <c r="AD1036" s="2">
        <v>5.3102027932466116E-3</v>
      </c>
      <c r="AE1036" s="2">
        <v>6.252959006806039E-3</v>
      </c>
      <c r="AF1036" s="2">
        <v>7.1249035164383618E-3</v>
      </c>
      <c r="AG1036" s="2">
        <v>7.8727583892093701E-3</v>
      </c>
      <c r="AH1036" s="2">
        <v>8.460509932989916E-3</v>
      </c>
      <c r="AI1036" s="2">
        <v>8.8762319518845851E-3</v>
      </c>
      <c r="AJ1036" s="2">
        <v>9.1574601791973662E-3</v>
      </c>
      <c r="AK1036" s="2">
        <v>9.276179050612109E-3</v>
      </c>
      <c r="AL1036" s="2">
        <v>9.3549533683780304E-3</v>
      </c>
      <c r="AM1036" s="2">
        <v>9.3201205557808739E-3</v>
      </c>
      <c r="AN1036" s="2">
        <v>9.2482757720675282E-3</v>
      </c>
      <c r="AO1036" s="2">
        <v>9.1769848087598239E-3</v>
      </c>
      <c r="AP1036" s="2">
        <v>9.1062433966954646E-3</v>
      </c>
      <c r="AQ1036" s="2">
        <v>9.0360472996212811E-3</v>
      </c>
      <c r="AR1036" s="2">
        <v>0.13327121541283821</v>
      </c>
    </row>
    <row r="1037" spans="1:44" x14ac:dyDescent="0.25">
      <c r="A1037" t="s">
        <v>435</v>
      </c>
      <c r="B1037" t="s">
        <v>476</v>
      </c>
      <c r="C1037" t="s">
        <v>45</v>
      </c>
      <c r="D1037" t="s">
        <v>477</v>
      </c>
      <c r="E1037" t="s">
        <v>145</v>
      </c>
      <c r="F1037" t="s">
        <v>477</v>
      </c>
      <c r="G1037" t="s">
        <v>33</v>
      </c>
      <c r="H1037" t="s">
        <v>451</v>
      </c>
      <c r="I1037" t="s">
        <v>135</v>
      </c>
      <c r="J1037" t="s">
        <v>39</v>
      </c>
      <c r="K1037" t="s">
        <v>33</v>
      </c>
      <c r="L1037">
        <v>0.10091851851851852</v>
      </c>
      <c r="M1037">
        <v>1</v>
      </c>
      <c r="N1037">
        <v>3.2426727002102926</v>
      </c>
      <c r="O1037">
        <v>3.1523474906593334</v>
      </c>
      <c r="P1037">
        <v>-0.68880560164319704</v>
      </c>
      <c r="Q1037">
        <v>0.52656664600916792</v>
      </c>
      <c r="R1037">
        <v>-0.67371772101320471</v>
      </c>
      <c r="S1037" s="2">
        <v>0</v>
      </c>
      <c r="T1037" s="2">
        <v>0</v>
      </c>
      <c r="U1037" s="2">
        <v>8.103911321299264E-4</v>
      </c>
      <c r="V1037" s="2">
        <v>1.5131297394076876E-3</v>
      </c>
      <c r="W1037" s="2">
        <v>2.5693112274339856E-3</v>
      </c>
      <c r="X1037" s="2">
        <v>4.0670991686149295E-3</v>
      </c>
      <c r="Y1037" s="2">
        <v>6.0841786510696834E-3</v>
      </c>
      <c r="Z1037" s="2">
        <v>8.6723146021867297E-3</v>
      </c>
      <c r="AA1037" s="2">
        <v>1.1839426296610549E-2</v>
      </c>
      <c r="AB1037" s="2">
        <v>1.5532374197269208E-2</v>
      </c>
      <c r="AC1037" s="2">
        <v>1.9625554994573562E-2</v>
      </c>
      <c r="AD1037" s="2">
        <v>2.3921468624837107E-2</v>
      </c>
      <c r="AE1037" s="2">
        <v>2.8168408725168726E-2</v>
      </c>
      <c r="AF1037" s="2">
        <v>3.2096355367111598E-2</v>
      </c>
      <c r="AG1037" s="2">
        <v>3.5465301445343302E-2</v>
      </c>
      <c r="AH1037" s="2">
        <v>3.8113012024612855E-2</v>
      </c>
      <c r="AI1037" s="2">
        <v>3.9985761826991456E-2</v>
      </c>
      <c r="AJ1037" s="2">
        <v>4.1252642298041806E-2</v>
      </c>
      <c r="AK1037" s="2">
        <v>4.178744856972235E-2</v>
      </c>
      <c r="AL1037" s="2">
        <v>4.2142312111520974E-2</v>
      </c>
      <c r="AM1037" s="2">
        <v>4.1985396817303337E-2</v>
      </c>
      <c r="AN1037" s="2">
        <v>4.1661749528042975E-2</v>
      </c>
      <c r="AO1037" s="2">
        <v>4.1340597095942164E-2</v>
      </c>
      <c r="AP1037" s="2">
        <v>4.1021920289224641E-2</v>
      </c>
      <c r="AQ1037" s="2">
        <v>4.070570002436364E-2</v>
      </c>
      <c r="AR1037" s="2">
        <v>0.60036185475752302</v>
      </c>
    </row>
    <row r="1038" spans="1:44" x14ac:dyDescent="0.25">
      <c r="A1038" t="s">
        <v>435</v>
      </c>
      <c r="B1038" t="s">
        <v>476</v>
      </c>
      <c r="C1038" t="s">
        <v>45</v>
      </c>
      <c r="D1038" t="s">
        <v>477</v>
      </c>
      <c r="E1038" t="s">
        <v>145</v>
      </c>
      <c r="F1038" t="s">
        <v>477</v>
      </c>
      <c r="G1038" t="s">
        <v>33</v>
      </c>
      <c r="H1038" t="s">
        <v>452</v>
      </c>
      <c r="I1038" t="s">
        <v>135</v>
      </c>
      <c r="J1038" t="s">
        <v>39</v>
      </c>
      <c r="K1038" t="s">
        <v>31</v>
      </c>
      <c r="L1038">
        <v>0.10091851851851852</v>
      </c>
      <c r="M1038">
        <v>1</v>
      </c>
      <c r="N1038">
        <v>3.2426727002102926</v>
      </c>
      <c r="O1038">
        <v>3.1523474906593334</v>
      </c>
      <c r="P1038">
        <v>-0.68880560164319704</v>
      </c>
      <c r="Q1038">
        <v>0.52656664600916792</v>
      </c>
      <c r="R1038">
        <v>-0.67371772101320471</v>
      </c>
      <c r="S1038" s="2">
        <v>0</v>
      </c>
      <c r="T1038" s="2">
        <v>0</v>
      </c>
      <c r="U1038" s="2">
        <v>4.0744880070323689E-3</v>
      </c>
      <c r="V1038" s="2">
        <v>7.6077201882710048E-3</v>
      </c>
      <c r="W1038" s="2">
        <v>1.2917994000007149E-2</v>
      </c>
      <c r="X1038" s="2">
        <v>2.0448578629406865E-2</v>
      </c>
      <c r="Y1038" s="2">
        <v>3.0590059495433048E-2</v>
      </c>
      <c r="Z1038" s="2">
        <v>4.3602700521846748E-2</v>
      </c>
      <c r="AA1038" s="2">
        <v>5.9526318271643314E-2</v>
      </c>
      <c r="AB1038" s="2">
        <v>7.8093737552604348E-2</v>
      </c>
      <c r="AC1038" s="2">
        <v>9.8673449506508026E-2</v>
      </c>
      <c r="AD1038" s="2">
        <v>0.12027246246677006</v>
      </c>
      <c r="AE1038" s="2">
        <v>0.14162524610336563</v>
      </c>
      <c r="AF1038" s="2">
        <v>0.16137419306283624</v>
      </c>
      <c r="AG1038" s="2">
        <v>0.17831259459249793</v>
      </c>
      <c r="AH1038" s="2">
        <v>0.1916247651896423</v>
      </c>
      <c r="AI1038" s="2">
        <v>0.20104058467166053</v>
      </c>
      <c r="AJ1038" s="2">
        <v>0.20741021173318994</v>
      </c>
      <c r="AK1038" s="2">
        <v>0.21009911299784337</v>
      </c>
      <c r="AL1038" s="2">
        <v>0.21188329743405668</v>
      </c>
      <c r="AM1038" s="2">
        <v>0.21109435804533289</v>
      </c>
      <c r="AN1038" s="2">
        <v>0.20946712281740795</v>
      </c>
      <c r="AO1038" s="2">
        <v>0.20785243124300126</v>
      </c>
      <c r="AP1038" s="2">
        <v>0.206250186628506</v>
      </c>
      <c r="AQ1038" s="2">
        <v>0.20466029302568439</v>
      </c>
      <c r="AR1038" s="2">
        <v>3.0185019061845479</v>
      </c>
    </row>
    <row r="1039" spans="1:44" x14ac:dyDescent="0.25">
      <c r="A1039" t="s">
        <v>435</v>
      </c>
      <c r="B1039" t="s">
        <v>476</v>
      </c>
      <c r="C1039" t="s">
        <v>45</v>
      </c>
      <c r="D1039" t="s">
        <v>477</v>
      </c>
      <c r="E1039" t="s">
        <v>145</v>
      </c>
      <c r="F1039" t="s">
        <v>477</v>
      </c>
      <c r="G1039" t="s">
        <v>33</v>
      </c>
      <c r="H1039" t="s">
        <v>452</v>
      </c>
      <c r="I1039" t="s">
        <v>135</v>
      </c>
      <c r="J1039" t="s">
        <v>39</v>
      </c>
      <c r="K1039" t="s">
        <v>33</v>
      </c>
      <c r="L1039">
        <v>0.10091851851851852</v>
      </c>
      <c r="M1039">
        <v>1</v>
      </c>
      <c r="N1039">
        <v>3.2426727002102926</v>
      </c>
      <c r="O1039">
        <v>3.1523474906593334</v>
      </c>
      <c r="P1039">
        <v>-0.68880560164319704</v>
      </c>
      <c r="Q1039">
        <v>0.52656664600916792</v>
      </c>
      <c r="R1039">
        <v>-0.67371772101320471</v>
      </c>
      <c r="S1039" s="2">
        <v>0</v>
      </c>
      <c r="T1039" s="2">
        <v>0</v>
      </c>
      <c r="U1039" s="2">
        <v>8.0571648652597565E-3</v>
      </c>
      <c r="V1039" s="2">
        <v>1.5044014290843273E-2</v>
      </c>
      <c r="W1039" s="2">
        <v>2.5544904588466762E-2</v>
      </c>
      <c r="X1039" s="2">
        <v>4.043638587056704E-2</v>
      </c>
      <c r="Y1039" s="2">
        <v>6.0490827845710908E-2</v>
      </c>
      <c r="Z1039" s="2">
        <v>8.6222893789039426E-2</v>
      </c>
      <c r="AA1039" s="2">
        <v>0.11771131963298578</v>
      </c>
      <c r="AB1039" s="2">
        <v>0.15442777529831164</v>
      </c>
      <c r="AC1039" s="2">
        <v>0.19512347296780333</v>
      </c>
      <c r="AD1039" s="2">
        <v>0.23783480456268138</v>
      </c>
      <c r="AE1039" s="2">
        <v>0.28005922583851617</v>
      </c>
      <c r="AF1039" s="2">
        <v>0.31911211329163686</v>
      </c>
      <c r="AG1039" s="2">
        <v>0.35260724039543545</v>
      </c>
      <c r="AH1039" s="2">
        <v>0.3789316161281735</v>
      </c>
      <c r="AI1039" s="2">
        <v>0.39755108678981421</v>
      </c>
      <c r="AJ1039" s="2">
        <v>0.41014681299550798</v>
      </c>
      <c r="AK1039" s="2">
        <v>0.41546402604370575</v>
      </c>
      <c r="AL1039" s="2">
        <v>0.41899219157709067</v>
      </c>
      <c r="AM1039" s="2">
        <v>0.41743209010847088</v>
      </c>
      <c r="AN1039" s="2">
        <v>0.41421428642778241</v>
      </c>
      <c r="AO1039" s="2">
        <v>0.41102128740579824</v>
      </c>
      <c r="AP1039" s="2">
        <v>0.40785290183411865</v>
      </c>
      <c r="AQ1039" s="2">
        <v>0.40470893997828644</v>
      </c>
      <c r="AR1039" s="2">
        <v>5.9689873825260067</v>
      </c>
    </row>
    <row r="1040" spans="1:44" x14ac:dyDescent="0.25">
      <c r="A1040" t="s">
        <v>435</v>
      </c>
      <c r="B1040" t="s">
        <v>476</v>
      </c>
      <c r="C1040" t="s">
        <v>45</v>
      </c>
      <c r="D1040" t="s">
        <v>477</v>
      </c>
      <c r="E1040" t="s">
        <v>145</v>
      </c>
      <c r="F1040" t="s">
        <v>477</v>
      </c>
      <c r="G1040" t="s">
        <v>33</v>
      </c>
      <c r="H1040" t="s">
        <v>452</v>
      </c>
      <c r="I1040" t="s">
        <v>135</v>
      </c>
      <c r="J1040" t="s">
        <v>40</v>
      </c>
      <c r="K1040" t="s">
        <v>33</v>
      </c>
      <c r="L1040">
        <v>0.10091851851851852</v>
      </c>
      <c r="M1040">
        <v>1</v>
      </c>
      <c r="N1040">
        <v>3.2426727002102926</v>
      </c>
      <c r="O1040">
        <v>1.9798085216903551</v>
      </c>
      <c r="P1040">
        <v>-0.68880560164319704</v>
      </c>
      <c r="Q1040">
        <v>1.3498045353129324</v>
      </c>
      <c r="R1040">
        <v>-0.5307177210132048</v>
      </c>
      <c r="S1040" s="2">
        <v>0</v>
      </c>
      <c r="T1040" s="2">
        <v>0</v>
      </c>
      <c r="U1040" s="2">
        <v>5.8996670661675148E-4</v>
      </c>
      <c r="V1040" s="2">
        <v>1.1015621144520305E-3</v>
      </c>
      <c r="W1040" s="2">
        <v>1.8704647953621102E-3</v>
      </c>
      <c r="X1040" s="2">
        <v>2.9608580435536947E-3</v>
      </c>
      <c r="Y1040" s="2">
        <v>4.4292967912981148E-3</v>
      </c>
      <c r="Z1040" s="2">
        <v>6.3134660310870507E-3</v>
      </c>
      <c r="AA1040" s="2">
        <v>8.6191310140388295E-3</v>
      </c>
      <c r="AB1040" s="2">
        <v>1.1307606028483493E-2</v>
      </c>
      <c r="AC1040" s="2">
        <v>1.4287451560881816E-2</v>
      </c>
      <c r="AD1040" s="2">
        <v>1.7414887086608002E-2</v>
      </c>
      <c r="AE1040" s="2">
        <v>2.0506669763950481E-2</v>
      </c>
      <c r="AF1040" s="2">
        <v>2.336622443111807E-2</v>
      </c>
      <c r="AG1040" s="2">
        <v>2.58188253342399E-2</v>
      </c>
      <c r="AH1040" s="2">
        <v>2.7746365047588529E-2</v>
      </c>
      <c r="AI1040" s="2">
        <v>2.9109731438731776E-2</v>
      </c>
      <c r="AJ1040" s="2">
        <v>3.0032023489507609E-2</v>
      </c>
      <c r="AK1040" s="2">
        <v>3.0421363750366692E-2</v>
      </c>
      <c r="AL1040" s="2">
        <v>3.0679705268126207E-2</v>
      </c>
      <c r="AM1040" s="2">
        <v>3.0565470553952971E-2</v>
      </c>
      <c r="AN1040" s="2">
        <v>3.032985454363395E-2</v>
      </c>
      <c r="AO1040" s="2">
        <v>3.0096054795368563E-2</v>
      </c>
      <c r="AP1040" s="2">
        <v>2.9864057308377143E-2</v>
      </c>
      <c r="AQ1040" s="2">
        <v>2.9633848189805977E-2</v>
      </c>
      <c r="AR1040" s="2">
        <v>0.43706488408714977</v>
      </c>
    </row>
    <row r="1041" spans="1:44" x14ac:dyDescent="0.25">
      <c r="A1041" t="s">
        <v>435</v>
      </c>
      <c r="B1041" t="s">
        <v>476</v>
      </c>
      <c r="C1041" t="s">
        <v>45</v>
      </c>
      <c r="D1041" t="s">
        <v>477</v>
      </c>
      <c r="E1041" t="s">
        <v>145</v>
      </c>
      <c r="F1041" t="s">
        <v>477</v>
      </c>
      <c r="G1041" t="s">
        <v>33</v>
      </c>
      <c r="H1041" t="s">
        <v>452</v>
      </c>
      <c r="I1041" t="s">
        <v>256</v>
      </c>
      <c r="J1041" t="s">
        <v>40</v>
      </c>
      <c r="K1041" t="s">
        <v>33</v>
      </c>
      <c r="L1041">
        <v>0.10091851851851852</v>
      </c>
      <c r="M1041">
        <v>1</v>
      </c>
      <c r="N1041">
        <v>2.7221264772067415</v>
      </c>
      <c r="O1041">
        <v>1.4737622038640086</v>
      </c>
      <c r="P1041">
        <v>-0.41470332290347733</v>
      </c>
      <c r="Q1041">
        <v>1.3498045353129324</v>
      </c>
      <c r="R1041">
        <v>-0.25661544227348493</v>
      </c>
      <c r="S1041" s="2">
        <v>0</v>
      </c>
      <c r="T1041" s="2">
        <v>0</v>
      </c>
      <c r="U1041" s="2">
        <v>3.5575655924447655E-3</v>
      </c>
      <c r="V1041" s="2">
        <v>6.642543439084255E-3</v>
      </c>
      <c r="W1041" s="2">
        <v>1.1279113080837268E-2</v>
      </c>
      <c r="X1041" s="2">
        <v>1.7854307000246695E-2</v>
      </c>
      <c r="Y1041" s="2">
        <v>2.6709157799449223E-2</v>
      </c>
      <c r="Z1041" s="2">
        <v>3.807091022147243E-2</v>
      </c>
      <c r="AA1041" s="2">
        <v>5.1974329378957983E-2</v>
      </c>
      <c r="AB1041" s="2">
        <v>6.8186136079685822E-2</v>
      </c>
      <c r="AC1041" s="2">
        <v>8.6154939773123787E-2</v>
      </c>
      <c r="AD1041" s="2">
        <v>0.10501372772527255</v>
      </c>
      <c r="AE1041" s="2">
        <v>0.12365752499191322</v>
      </c>
      <c r="AF1041" s="2">
        <v>0.14090096123930601</v>
      </c>
      <c r="AG1041" s="2">
        <v>0.1556904205207994</v>
      </c>
      <c r="AH1041" s="2">
        <v>0.16731370177611693</v>
      </c>
      <c r="AI1041" s="2">
        <v>0.17553495444788442</v>
      </c>
      <c r="AJ1041" s="2">
        <v>0.18109647924110781</v>
      </c>
      <c r="AK1041" s="2">
        <v>0.18344424480186095</v>
      </c>
      <c r="AL1041" s="2">
        <v>0.18500207320874126</v>
      </c>
      <c r="AM1041" s="2">
        <v>0.1843132250346875</v>
      </c>
      <c r="AN1041" s="2">
        <v>0.18289243399353378</v>
      </c>
      <c r="AO1041" s="2">
        <v>0.18148259521683222</v>
      </c>
      <c r="AP1041" s="2">
        <v>0.1800836242783069</v>
      </c>
      <c r="AQ1041" s="2">
        <v>0.17869543740248742</v>
      </c>
      <c r="AR1041" s="2">
        <v>2.6355504062441524</v>
      </c>
    </row>
    <row r="1042" spans="1:44" x14ac:dyDescent="0.25">
      <c r="A1042" t="s">
        <v>435</v>
      </c>
      <c r="B1042" t="s">
        <v>476</v>
      </c>
      <c r="C1042" t="s">
        <v>45</v>
      </c>
      <c r="D1042" t="s">
        <v>477</v>
      </c>
      <c r="E1042" t="s">
        <v>145</v>
      </c>
      <c r="F1042" t="s">
        <v>477</v>
      </c>
      <c r="G1042" t="s">
        <v>33</v>
      </c>
      <c r="H1042" t="s">
        <v>453</v>
      </c>
      <c r="I1042" t="s">
        <v>135</v>
      </c>
      <c r="J1042" t="s">
        <v>39</v>
      </c>
      <c r="K1042" t="s">
        <v>31</v>
      </c>
      <c r="L1042">
        <v>0.10091851851851852</v>
      </c>
      <c r="M1042">
        <v>1</v>
      </c>
      <c r="N1042">
        <v>3.2426727002102926</v>
      </c>
      <c r="O1042">
        <v>3.1523474906593334</v>
      </c>
      <c r="P1042">
        <v>-0.68880560164319704</v>
      </c>
      <c r="Q1042">
        <v>0.52656664600916792</v>
      </c>
      <c r="R1042">
        <v>-0.67371772101320471</v>
      </c>
      <c r="S1042" s="2">
        <v>0</v>
      </c>
      <c r="T1042" s="2">
        <v>0</v>
      </c>
      <c r="U1042" s="2">
        <v>1.2461001735070492E-3</v>
      </c>
      <c r="V1042" s="2">
        <v>2.3266681433926403E-3</v>
      </c>
      <c r="W1042" s="2">
        <v>3.9507085398187676E-3</v>
      </c>
      <c r="X1042" s="2">
        <v>6.2537863245879007E-3</v>
      </c>
      <c r="Y1042" s="2">
        <v>9.3553541890563398E-3</v>
      </c>
      <c r="Z1042" s="2">
        <v>1.3335008617493156E-2</v>
      </c>
      <c r="AA1042" s="2">
        <v>1.8204926704534854E-2</v>
      </c>
      <c r="AB1042" s="2">
        <v>2.3883398293517464E-2</v>
      </c>
      <c r="AC1042" s="2">
        <v>3.0177289106847506E-2</v>
      </c>
      <c r="AD1042" s="2">
        <v>3.6782912623448946E-2</v>
      </c>
      <c r="AE1042" s="2">
        <v>4.3313231855827743E-2</v>
      </c>
      <c r="AF1042" s="2">
        <v>4.9353049911569621E-2</v>
      </c>
      <c r="AG1042" s="2">
        <v>5.4533319199051612E-2</v>
      </c>
      <c r="AH1042" s="2">
        <v>5.8604578719812624E-2</v>
      </c>
      <c r="AI1042" s="2">
        <v>6.1484217651134369E-2</v>
      </c>
      <c r="AJ1042" s="2">
        <v>6.3432239923588651E-2</v>
      </c>
      <c r="AK1042" s="2">
        <v>6.4254586271558015E-2</v>
      </c>
      <c r="AL1042" s="2">
        <v>6.4800243181505165E-2</v>
      </c>
      <c r="AM1042" s="2">
        <v>6.4558961943843293E-2</v>
      </c>
      <c r="AN1042" s="2">
        <v>6.4061304791250259E-2</v>
      </c>
      <c r="AO1042" s="2">
        <v>6.3567483862692939E-2</v>
      </c>
      <c r="AP1042" s="2">
        <v>6.3077469586377152E-2</v>
      </c>
      <c r="AQ1042" s="2">
        <v>6.2591232618465012E-2</v>
      </c>
      <c r="AR1042" s="2">
        <v>0.92314807223288109</v>
      </c>
    </row>
    <row r="1043" spans="1:44" x14ac:dyDescent="0.25">
      <c r="A1043" t="s">
        <v>435</v>
      </c>
      <c r="B1043" t="s">
        <v>476</v>
      </c>
      <c r="C1043" t="s">
        <v>45</v>
      </c>
      <c r="D1043" t="s">
        <v>477</v>
      </c>
      <c r="E1043" t="s">
        <v>145</v>
      </c>
      <c r="F1043" t="s">
        <v>477</v>
      </c>
      <c r="G1043" t="s">
        <v>33</v>
      </c>
      <c r="H1043" t="s">
        <v>453</v>
      </c>
      <c r="I1043" t="s">
        <v>135</v>
      </c>
      <c r="J1043" t="s">
        <v>39</v>
      </c>
      <c r="K1043" t="s">
        <v>33</v>
      </c>
      <c r="L1043">
        <v>0.10091851851851852</v>
      </c>
      <c r="M1043">
        <v>1</v>
      </c>
      <c r="N1043">
        <v>3.2426727002102926</v>
      </c>
      <c r="O1043">
        <v>3.1523474906593334</v>
      </c>
      <c r="P1043">
        <v>-0.68880560164319704</v>
      </c>
      <c r="Q1043">
        <v>0.52656664600916792</v>
      </c>
      <c r="R1043">
        <v>-0.67371772101320471</v>
      </c>
      <c r="S1043" s="2">
        <v>0</v>
      </c>
      <c r="T1043" s="2">
        <v>0</v>
      </c>
      <c r="U1043" s="2">
        <v>1.1338065153115502E-3</v>
      </c>
      <c r="V1043" s="2">
        <v>2.1169979396776649E-3</v>
      </c>
      <c r="W1043" s="2">
        <v>3.5946861879785773E-3</v>
      </c>
      <c r="X1043" s="2">
        <v>5.6902196395881679E-3</v>
      </c>
      <c r="Y1043" s="2">
        <v>8.5122863780255128E-3</v>
      </c>
      <c r="Z1043" s="2">
        <v>1.2133309964717598E-2</v>
      </c>
      <c r="AA1043" s="2">
        <v>1.6564370142312705E-2</v>
      </c>
      <c r="AB1043" s="2">
        <v>2.1731120152851561E-2</v>
      </c>
      <c r="AC1043" s="2">
        <v>2.7457830222018201E-2</v>
      </c>
      <c r="AD1043" s="2">
        <v>3.3468180866412477E-2</v>
      </c>
      <c r="AE1043" s="2">
        <v>3.9410013353199706E-2</v>
      </c>
      <c r="AF1043" s="2">
        <v>4.4905546704762746E-2</v>
      </c>
      <c r="AG1043" s="2">
        <v>4.9618990450368793E-2</v>
      </c>
      <c r="AH1043" s="2">
        <v>5.3323364037904358E-2</v>
      </c>
      <c r="AI1043" s="2">
        <v>5.5943501207846684E-2</v>
      </c>
      <c r="AJ1043" s="2">
        <v>5.7715975356746378E-2</v>
      </c>
      <c r="AK1043" s="2">
        <v>5.8464215078554774E-2</v>
      </c>
      <c r="AL1043" s="2">
        <v>5.896069952882306E-2</v>
      </c>
      <c r="AM1043" s="2">
        <v>5.874116160956129E-2</v>
      </c>
      <c r="AN1043" s="2">
        <v>5.8288351366855583E-2</v>
      </c>
      <c r="AO1043" s="2">
        <v>5.7839031642728002E-2</v>
      </c>
      <c r="AP1043" s="2">
        <v>5.7393175530278492E-2</v>
      </c>
      <c r="AQ1043" s="2">
        <v>5.6950756330020676E-2</v>
      </c>
      <c r="AR1043" s="2">
        <v>0.83995759020654459</v>
      </c>
    </row>
    <row r="1044" spans="1:44" x14ac:dyDescent="0.25">
      <c r="A1044" t="s">
        <v>435</v>
      </c>
      <c r="B1044" t="s">
        <v>476</v>
      </c>
      <c r="C1044" t="s">
        <v>45</v>
      </c>
      <c r="D1044" t="s">
        <v>477</v>
      </c>
      <c r="E1044" t="s">
        <v>145</v>
      </c>
      <c r="F1044" t="s">
        <v>477</v>
      </c>
      <c r="G1044" t="s">
        <v>33</v>
      </c>
      <c r="H1044" t="s">
        <v>453</v>
      </c>
      <c r="I1044" t="s">
        <v>135</v>
      </c>
      <c r="J1044" t="s">
        <v>40</v>
      </c>
      <c r="K1044" t="s">
        <v>33</v>
      </c>
      <c r="L1044">
        <v>0.10091851851851852</v>
      </c>
      <c r="M1044">
        <v>1</v>
      </c>
      <c r="N1044">
        <v>3.2426727002102926</v>
      </c>
      <c r="O1044">
        <v>1.9798085216903551</v>
      </c>
      <c r="P1044">
        <v>-0.68880560164319704</v>
      </c>
      <c r="Q1044">
        <v>1.3498045353129324</v>
      </c>
      <c r="R1044">
        <v>-0.5307177210132048</v>
      </c>
      <c r="S1044" s="2">
        <v>0</v>
      </c>
      <c r="T1044" s="2">
        <v>0</v>
      </c>
      <c r="U1044" s="2">
        <v>2.308953465563135E-2</v>
      </c>
      <c r="V1044" s="2">
        <v>4.3111850773459436E-2</v>
      </c>
      <c r="W1044" s="2">
        <v>7.3204404977902135E-2</v>
      </c>
      <c r="X1044" s="2">
        <v>0.11587913968753559</v>
      </c>
      <c r="Y1044" s="2">
        <v>0.17334944602084212</v>
      </c>
      <c r="Z1044" s="2">
        <v>0.24709020201818396</v>
      </c>
      <c r="AA1044" s="2">
        <v>0.33732704238742184</v>
      </c>
      <c r="AB1044" s="2">
        <v>0.44254592392872216</v>
      </c>
      <c r="AC1044" s="2">
        <v>0.55916817721365975</v>
      </c>
      <c r="AD1044" s="2">
        <v>0.68156666198343929</v>
      </c>
      <c r="AE1044" s="2">
        <v>0.80256980076319084</v>
      </c>
      <c r="AF1044" s="2">
        <v>0.91448422889401337</v>
      </c>
      <c r="AG1044" s="2">
        <v>1.0104717022784249</v>
      </c>
      <c r="AH1044" s="2">
        <v>1.085909849062495</v>
      </c>
      <c r="AI1044" s="2">
        <v>1.1392679372114833</v>
      </c>
      <c r="AJ1044" s="2">
        <v>1.1753636931756171</v>
      </c>
      <c r="AK1044" s="2">
        <v>1.1906013080191584</v>
      </c>
      <c r="AL1044" s="2">
        <v>1.2007120233534243</v>
      </c>
      <c r="AM1044" s="2">
        <v>1.1962412178618658</v>
      </c>
      <c r="AN1044" s="2">
        <v>1.1870199110073136</v>
      </c>
      <c r="AO1044" s="2">
        <v>1.1778696872243326</v>
      </c>
      <c r="AP1044" s="2">
        <v>1.1687899985642269</v>
      </c>
      <c r="AQ1044" s="2">
        <v>1.1597803013022014</v>
      </c>
      <c r="AR1044" s="2">
        <v>17.105414042364544</v>
      </c>
    </row>
    <row r="1045" spans="1:44" x14ac:dyDescent="0.25">
      <c r="A1045" t="s">
        <v>435</v>
      </c>
      <c r="B1045" t="s">
        <v>476</v>
      </c>
      <c r="C1045" t="s">
        <v>45</v>
      </c>
      <c r="D1045" t="s">
        <v>477</v>
      </c>
      <c r="E1045" t="s">
        <v>145</v>
      </c>
      <c r="F1045" t="s">
        <v>477</v>
      </c>
      <c r="G1045" t="s">
        <v>33</v>
      </c>
      <c r="H1045" t="s">
        <v>453</v>
      </c>
      <c r="I1045" t="s">
        <v>256</v>
      </c>
      <c r="J1045" t="s">
        <v>40</v>
      </c>
      <c r="K1045" t="s">
        <v>33</v>
      </c>
      <c r="L1045">
        <v>0.10091851851851852</v>
      </c>
      <c r="M1045">
        <v>1</v>
      </c>
      <c r="N1045">
        <v>2.7221264772067415</v>
      </c>
      <c r="O1045">
        <v>1.4737622038640086</v>
      </c>
      <c r="P1045">
        <v>-0.41470332290347733</v>
      </c>
      <c r="Q1045">
        <v>1.3498045353129324</v>
      </c>
      <c r="R1045">
        <v>-0.25661544227348493</v>
      </c>
      <c r="S1045" s="2">
        <v>0</v>
      </c>
      <c r="T1045" s="2">
        <v>0</v>
      </c>
      <c r="U1045" s="2">
        <v>1.1886428739427765E-2</v>
      </c>
      <c r="V1045" s="2">
        <v>2.2193861837687054E-2</v>
      </c>
      <c r="W1045" s="2">
        <v>3.7685425720341441E-2</v>
      </c>
      <c r="X1045" s="2">
        <v>5.9654261414322333E-2</v>
      </c>
      <c r="Y1045" s="2">
        <v>8.9239816560940474E-2</v>
      </c>
      <c r="Z1045" s="2">
        <v>0.12720135430636054</v>
      </c>
      <c r="AA1045" s="2">
        <v>0.17365503077568983</v>
      </c>
      <c r="AB1045" s="2">
        <v>0.22782142070671985</v>
      </c>
      <c r="AC1045" s="2">
        <v>0.28785823495082219</v>
      </c>
      <c r="AD1045" s="2">
        <v>0.35086863722738287</v>
      </c>
      <c r="AE1045" s="2">
        <v>0.41316071923787151</v>
      </c>
      <c r="AF1045" s="2">
        <v>0.47077395808096734</v>
      </c>
      <c r="AG1045" s="2">
        <v>0.52018804456119272</v>
      </c>
      <c r="AH1045" s="2">
        <v>0.55902339440072013</v>
      </c>
      <c r="AI1045" s="2">
        <v>0.58649199097117444</v>
      </c>
      <c r="AJ1045" s="2">
        <v>0.60507398655759514</v>
      </c>
      <c r="AK1045" s="2">
        <v>0.61291826864027554</v>
      </c>
      <c r="AL1045" s="2">
        <v>0.61812323700008975</v>
      </c>
      <c r="AM1045" s="2">
        <v>0.61582167866745829</v>
      </c>
      <c r="AN1045" s="2">
        <v>0.61107457533922804</v>
      </c>
      <c r="AO1045" s="2">
        <v>0.6063640653801331</v>
      </c>
      <c r="AP1045" s="2">
        <v>0.60168986670769631</v>
      </c>
      <c r="AQ1045" s="2">
        <v>0.59705169941389313</v>
      </c>
      <c r="AR1045" s="2">
        <v>8.8058199571979898</v>
      </c>
    </row>
    <row r="1046" spans="1:44" x14ac:dyDescent="0.25">
      <c r="A1046" t="s">
        <v>435</v>
      </c>
      <c r="B1046" t="s">
        <v>476</v>
      </c>
      <c r="C1046" t="s">
        <v>45</v>
      </c>
      <c r="D1046" t="s">
        <v>477</v>
      </c>
      <c r="E1046" t="s">
        <v>145</v>
      </c>
      <c r="F1046" t="s">
        <v>477</v>
      </c>
      <c r="G1046" t="s">
        <v>33</v>
      </c>
      <c r="H1046" t="s">
        <v>454</v>
      </c>
      <c r="I1046" t="s">
        <v>135</v>
      </c>
      <c r="J1046" t="s">
        <v>39</v>
      </c>
      <c r="K1046" t="s">
        <v>31</v>
      </c>
      <c r="L1046">
        <v>0.10091851851851852</v>
      </c>
      <c r="M1046">
        <v>1</v>
      </c>
      <c r="N1046">
        <v>3.2426727002102926</v>
      </c>
      <c r="O1046">
        <v>3.1523474906593334</v>
      </c>
      <c r="P1046">
        <v>-0.68880560164319704</v>
      </c>
      <c r="Q1046">
        <v>0.52656664600916792</v>
      </c>
      <c r="R1046">
        <v>-0.67371772101320471</v>
      </c>
      <c r="S1046" s="2">
        <v>0</v>
      </c>
      <c r="T1046" s="2">
        <v>0</v>
      </c>
      <c r="U1046" s="2">
        <v>6.8615394665691532E-5</v>
      </c>
      <c r="V1046" s="2">
        <v>1.281159061760412E-4</v>
      </c>
      <c r="W1046" s="2">
        <v>2.1754224213439545E-4</v>
      </c>
      <c r="X1046" s="2">
        <v>3.4435916625291739E-4</v>
      </c>
      <c r="Y1046" s="2">
        <v>5.1514423444207951E-4</v>
      </c>
      <c r="Z1046" s="2">
        <v>7.3428035611658167E-4</v>
      </c>
      <c r="AA1046" s="2">
        <v>1.0024380521319136E-3</v>
      </c>
      <c r="AB1046" s="2">
        <v>1.3151180255881203E-3</v>
      </c>
      <c r="AC1046" s="2">
        <v>1.6616855097446965E-3</v>
      </c>
      <c r="AD1046" s="2">
        <v>2.0254182771745829E-3</v>
      </c>
      <c r="AE1046" s="2">
        <v>2.3850044813571408E-3</v>
      </c>
      <c r="AF1046" s="2">
        <v>2.7175816757229305E-3</v>
      </c>
      <c r="AG1046" s="2">
        <v>3.002828583790332E-3</v>
      </c>
      <c r="AH1046" s="2">
        <v>3.2270088581716912E-3</v>
      </c>
      <c r="AI1046" s="2">
        <v>3.3855736075940738E-3</v>
      </c>
      <c r="AJ1046" s="2">
        <v>3.4928397165986348E-3</v>
      </c>
      <c r="AK1046" s="2">
        <v>3.5381214848043165E-3</v>
      </c>
      <c r="AL1046" s="2">
        <v>3.5681675958827794E-3</v>
      </c>
      <c r="AM1046" s="2">
        <v>3.554881659728064E-3</v>
      </c>
      <c r="AN1046" s="2">
        <v>3.5274786124776403E-3</v>
      </c>
      <c r="AO1046" s="2">
        <v>3.5002868034822387E-3</v>
      </c>
      <c r="AP1046" s="2">
        <v>3.4733046043973915E-3</v>
      </c>
      <c r="AQ1046" s="2">
        <v>3.4465303994308341E-3</v>
      </c>
      <c r="AR1046" s="2">
        <v>5.0832325247865087E-2</v>
      </c>
    </row>
    <row r="1047" spans="1:44" x14ac:dyDescent="0.25">
      <c r="A1047" t="s">
        <v>435</v>
      </c>
      <c r="B1047" t="s">
        <v>476</v>
      </c>
      <c r="C1047" t="s">
        <v>45</v>
      </c>
      <c r="D1047" t="s">
        <v>477</v>
      </c>
      <c r="E1047" t="s">
        <v>145</v>
      </c>
      <c r="F1047" t="s">
        <v>477</v>
      </c>
      <c r="G1047" t="s">
        <v>33</v>
      </c>
      <c r="H1047" t="s">
        <v>454</v>
      </c>
      <c r="I1047" t="s">
        <v>135</v>
      </c>
      <c r="J1047" t="s">
        <v>39</v>
      </c>
      <c r="K1047" t="s">
        <v>33</v>
      </c>
      <c r="L1047">
        <v>0.10091851851851852</v>
      </c>
      <c r="M1047">
        <v>1</v>
      </c>
      <c r="N1047">
        <v>3.2426727002102926</v>
      </c>
      <c r="O1047">
        <v>3.1523474906593334</v>
      </c>
      <c r="P1047">
        <v>-0.68880560164319704</v>
      </c>
      <c r="Q1047">
        <v>0.52656664600916792</v>
      </c>
      <c r="R1047">
        <v>-0.67371772101320471</v>
      </c>
      <c r="S1047" s="2">
        <v>0</v>
      </c>
      <c r="T1047" s="2">
        <v>0</v>
      </c>
      <c r="U1047" s="2">
        <v>5.5063882932248948E-4</v>
      </c>
      <c r="V1047" s="2">
        <v>1.0281306831809104E-3</v>
      </c>
      <c r="W1047" s="2">
        <v>1.7457774034631908E-3</v>
      </c>
      <c r="X1047" s="2">
        <v>2.763483750196746E-3</v>
      </c>
      <c r="Y1047" s="2">
        <v>4.1340346370877783E-3</v>
      </c>
      <c r="Z1047" s="2">
        <v>5.892602930530128E-3</v>
      </c>
      <c r="AA1047" s="2">
        <v>8.0445695631949869E-3</v>
      </c>
      <c r="AB1047" s="2">
        <v>1.05538276586323E-2</v>
      </c>
      <c r="AC1047" s="2">
        <v>1.3335033169246906E-2</v>
      </c>
      <c r="AD1047" s="2">
        <v>1.6253990149960259E-2</v>
      </c>
      <c r="AE1047" s="2">
        <v>1.9139670943261956E-2</v>
      </c>
      <c r="AF1047" s="2">
        <v>2.1808604319761258E-2</v>
      </c>
      <c r="AG1047" s="2">
        <v>2.4097711950656065E-2</v>
      </c>
      <c r="AH1047" s="2">
        <v>2.5896759590678879E-2</v>
      </c>
      <c r="AI1047" s="2">
        <v>2.716924236832895E-2</v>
      </c>
      <c r="AJ1047" s="2">
        <v>2.8030053341959953E-2</v>
      </c>
      <c r="AK1047" s="2">
        <v>2.8393439721298187E-2</v>
      </c>
      <c r="AL1047" s="2">
        <v>2.8634559888434837E-2</v>
      </c>
      <c r="AM1047" s="2">
        <v>2.8527940195196447E-2</v>
      </c>
      <c r="AN1047" s="2">
        <v>2.8308030626340078E-2</v>
      </c>
      <c r="AO1047" s="2">
        <v>2.8089816245364212E-2</v>
      </c>
      <c r="AP1047" s="2">
        <v>2.787328398479768E-2</v>
      </c>
      <c r="AQ1047" s="2">
        <v>2.7658420877900811E-2</v>
      </c>
      <c r="AR1047" s="2">
        <v>0.40792962282879491</v>
      </c>
    </row>
    <row r="1048" spans="1:44" x14ac:dyDescent="0.25">
      <c r="A1048" t="s">
        <v>435</v>
      </c>
      <c r="B1048" t="s">
        <v>476</v>
      </c>
      <c r="C1048" t="s">
        <v>45</v>
      </c>
      <c r="D1048" t="s">
        <v>477</v>
      </c>
      <c r="E1048" t="s">
        <v>145</v>
      </c>
      <c r="F1048" t="s">
        <v>477</v>
      </c>
      <c r="G1048" t="s">
        <v>33</v>
      </c>
      <c r="H1048" t="s">
        <v>455</v>
      </c>
      <c r="I1048" t="s">
        <v>135</v>
      </c>
      <c r="J1048" t="s">
        <v>39</v>
      </c>
      <c r="K1048" t="s">
        <v>31</v>
      </c>
      <c r="L1048">
        <v>0.10091851851851852</v>
      </c>
      <c r="M1048">
        <v>1</v>
      </c>
      <c r="N1048">
        <v>3.2426727002102926</v>
      </c>
      <c r="O1048">
        <v>3.1523474906593334</v>
      </c>
      <c r="P1048">
        <v>-0.68880560164319704</v>
      </c>
      <c r="Q1048">
        <v>0.52656664600916792</v>
      </c>
      <c r="R1048">
        <v>-0.67371772101320471</v>
      </c>
      <c r="S1048" s="2">
        <v>0</v>
      </c>
      <c r="T1048" s="2">
        <v>0</v>
      </c>
      <c r="U1048" s="2">
        <v>1.6166804026158678E-5</v>
      </c>
      <c r="V1048" s="2">
        <v>3.0186006476727671E-5</v>
      </c>
      <c r="W1048" s="2">
        <v>5.1256176738956375E-5</v>
      </c>
      <c r="X1048" s="2">
        <v>8.1136123788936936E-5</v>
      </c>
      <c r="Y1048" s="2">
        <v>1.2137561729415878E-4</v>
      </c>
      <c r="Z1048" s="2">
        <v>1.7300733567784021E-4</v>
      </c>
      <c r="AA1048" s="2">
        <v>2.3618926359224423E-4</v>
      </c>
      <c r="AB1048" s="2">
        <v>3.0986129999748782E-4</v>
      </c>
      <c r="AC1048" s="2">
        <v>3.9151773621703674E-4</v>
      </c>
      <c r="AD1048" s="2">
        <v>4.7721856760599612E-4</v>
      </c>
      <c r="AE1048" s="2">
        <v>5.6194240723198073E-4</v>
      </c>
      <c r="AF1048" s="2">
        <v>6.403025238075372E-4</v>
      </c>
      <c r="AG1048" s="2">
        <v>7.0751092338407131E-4</v>
      </c>
      <c r="AH1048" s="2">
        <v>7.6033111891179723E-4</v>
      </c>
      <c r="AI1048" s="2">
        <v>7.9769132418145252E-4</v>
      </c>
      <c r="AJ1048" s="2">
        <v>8.2296480940112406E-4</v>
      </c>
      <c r="AK1048" s="2">
        <v>8.336338651736072E-4</v>
      </c>
      <c r="AL1048" s="2">
        <v>8.4071317429833627E-4</v>
      </c>
      <c r="AM1048" s="2">
        <v>8.375828108111937E-4</v>
      </c>
      <c r="AN1048" s="2">
        <v>8.3112624670082693E-4</v>
      </c>
      <c r="AO1048" s="2">
        <v>8.2471945345439503E-4</v>
      </c>
      <c r="AP1048" s="2">
        <v>8.1836204740980611E-4</v>
      </c>
      <c r="AQ1048" s="2">
        <v>8.1205364786245268E-4</v>
      </c>
      <c r="AR1048" s="2">
        <v>1.1976849284044123E-2</v>
      </c>
    </row>
    <row r="1049" spans="1:44" x14ac:dyDescent="0.25">
      <c r="A1049" t="s">
        <v>435</v>
      </c>
      <c r="B1049" t="s">
        <v>476</v>
      </c>
      <c r="C1049" t="s">
        <v>45</v>
      </c>
      <c r="D1049" t="s">
        <v>477</v>
      </c>
      <c r="E1049" t="s">
        <v>145</v>
      </c>
      <c r="F1049" t="s">
        <v>477</v>
      </c>
      <c r="G1049" t="s">
        <v>33</v>
      </c>
      <c r="H1049" t="s">
        <v>455</v>
      </c>
      <c r="I1049" t="s">
        <v>135</v>
      </c>
      <c r="J1049" t="s">
        <v>39</v>
      </c>
      <c r="K1049" t="s">
        <v>33</v>
      </c>
      <c r="L1049">
        <v>0.10091851851851852</v>
      </c>
      <c r="M1049">
        <v>1</v>
      </c>
      <c r="N1049">
        <v>3.2426727002102926</v>
      </c>
      <c r="O1049">
        <v>3.1523474906593334</v>
      </c>
      <c r="P1049">
        <v>-0.68880560164319704</v>
      </c>
      <c r="Q1049">
        <v>0.52656664600916792</v>
      </c>
      <c r="R1049">
        <v>-0.67371772101320471</v>
      </c>
      <c r="S1049" s="2">
        <v>0</v>
      </c>
      <c r="T1049" s="2">
        <v>0</v>
      </c>
      <c r="U1049" s="2">
        <v>4.1105357140745942E-4</v>
      </c>
      <c r="V1049" s="2">
        <v>7.6750270175297191E-4</v>
      </c>
      <c r="W1049" s="2">
        <v>1.3032281749162809E-3</v>
      </c>
      <c r="X1049" s="2">
        <v>2.0629490776059535E-3</v>
      </c>
      <c r="Y1049" s="2">
        <v>3.0860695094603397E-3</v>
      </c>
      <c r="Z1049" s="2">
        <v>4.3988461228946273E-3</v>
      </c>
      <c r="AA1049" s="2">
        <v>6.0052958006170665E-3</v>
      </c>
      <c r="AB1049" s="2">
        <v>7.8784646488468165E-3</v>
      </c>
      <c r="AC1049" s="2">
        <v>9.954643074844987E-3</v>
      </c>
      <c r="AD1049" s="2">
        <v>1.2133653394882283E-2</v>
      </c>
      <c r="AE1049" s="2">
        <v>1.4287822939169671E-2</v>
      </c>
      <c r="AF1049" s="2">
        <v>1.6280189873423945E-2</v>
      </c>
      <c r="AG1049" s="2">
        <v>1.7989015726067006E-2</v>
      </c>
      <c r="AH1049" s="2">
        <v>1.9332010295617125E-2</v>
      </c>
      <c r="AI1049" s="2">
        <v>2.0281922583769995E-2</v>
      </c>
      <c r="AJ1049" s="2">
        <v>2.0924520610235229E-2</v>
      </c>
      <c r="AK1049" s="2">
        <v>2.1195789654613356E-2</v>
      </c>
      <c r="AL1049" s="2">
        <v>2.1375786597367712E-2</v>
      </c>
      <c r="AM1049" s="2">
        <v>2.1296194670038633E-2</v>
      </c>
      <c r="AN1049" s="2">
        <v>2.1132031503818937E-2</v>
      </c>
      <c r="AO1049" s="2">
        <v>2.0969133800540427E-2</v>
      </c>
      <c r="AP1049" s="2">
        <v>2.0807491805295893E-2</v>
      </c>
      <c r="AQ1049" s="2">
        <v>2.0647095838374471E-2</v>
      </c>
      <c r="AR1049" s="2">
        <v>0.30452071197556119</v>
      </c>
    </row>
    <row r="1050" spans="1:44" x14ac:dyDescent="0.25">
      <c r="A1050" t="s">
        <v>435</v>
      </c>
      <c r="B1050" t="s">
        <v>476</v>
      </c>
      <c r="C1050" t="s">
        <v>45</v>
      </c>
      <c r="D1050" t="s">
        <v>477</v>
      </c>
      <c r="E1050" t="s">
        <v>145</v>
      </c>
      <c r="F1050" t="s">
        <v>477</v>
      </c>
      <c r="G1050" t="s">
        <v>33</v>
      </c>
      <c r="H1050" t="s">
        <v>457</v>
      </c>
      <c r="I1050" t="s">
        <v>135</v>
      </c>
      <c r="J1050" t="s">
        <v>39</v>
      </c>
      <c r="K1050" t="s">
        <v>31</v>
      </c>
      <c r="L1050">
        <v>0.10091851851851852</v>
      </c>
      <c r="M1050">
        <v>1</v>
      </c>
      <c r="N1050">
        <v>3.2426727002102926</v>
      </c>
      <c r="O1050">
        <v>3.1523474906593334</v>
      </c>
      <c r="P1050">
        <v>-0.68880560164319704</v>
      </c>
      <c r="Q1050">
        <v>0.52656664600916792</v>
      </c>
      <c r="R1050">
        <v>-0.67371772101320471</v>
      </c>
      <c r="S1050" s="2">
        <v>0</v>
      </c>
      <c r="T1050" s="2">
        <v>0</v>
      </c>
      <c r="U1050" s="2">
        <v>1.0773413817502279E-3</v>
      </c>
      <c r="V1050" s="2">
        <v>2.0115685125235111E-3</v>
      </c>
      <c r="W1050" s="2">
        <v>3.4156658410550308E-3</v>
      </c>
      <c r="X1050" s="2">
        <v>5.4068388267214159E-3</v>
      </c>
      <c r="Y1050" s="2">
        <v>8.0883627360667561E-3</v>
      </c>
      <c r="Z1050" s="2">
        <v>1.1529054336930479E-2</v>
      </c>
      <c r="AA1050" s="2">
        <v>1.5739441585443489E-2</v>
      </c>
      <c r="AB1050" s="2">
        <v>2.0648880295082939E-2</v>
      </c>
      <c r="AC1050" s="2">
        <v>2.6090392277489941E-2</v>
      </c>
      <c r="AD1050" s="2">
        <v>3.1801419141942046E-2</v>
      </c>
      <c r="AE1050" s="2">
        <v>3.7447340147859678E-2</v>
      </c>
      <c r="AF1050" s="2">
        <v>4.2669188333130083E-2</v>
      </c>
      <c r="AG1050" s="2">
        <v>4.7147896057170499E-2</v>
      </c>
      <c r="AH1050" s="2">
        <v>5.0667786713485874E-2</v>
      </c>
      <c r="AI1050" s="2">
        <v>5.3157437426301836E-2</v>
      </c>
      <c r="AJ1050" s="2">
        <v>5.4841639909621889E-2</v>
      </c>
      <c r="AK1050" s="2">
        <v>5.5552616257779464E-2</v>
      </c>
      <c r="AL1050" s="2">
        <v>5.6024375095329038E-2</v>
      </c>
      <c r="AM1050" s="2">
        <v>5.5815770468269681E-2</v>
      </c>
      <c r="AN1050" s="2">
        <v>5.5385510802304389E-2</v>
      </c>
      <c r="AO1050" s="2">
        <v>5.4958567822261425E-2</v>
      </c>
      <c r="AP1050" s="2">
        <v>5.4534915961241597E-2</v>
      </c>
      <c r="AQ1050" s="2">
        <v>5.4114529849429924E-2</v>
      </c>
      <c r="AR1050" s="2">
        <v>0.79812653977919112</v>
      </c>
    </row>
    <row r="1051" spans="1:44" x14ac:dyDescent="0.25">
      <c r="A1051" t="s">
        <v>435</v>
      </c>
      <c r="B1051" t="s">
        <v>476</v>
      </c>
      <c r="C1051" t="s">
        <v>45</v>
      </c>
      <c r="D1051" t="s">
        <v>477</v>
      </c>
      <c r="E1051" t="s">
        <v>145</v>
      </c>
      <c r="F1051" t="s">
        <v>477</v>
      </c>
      <c r="G1051" t="s">
        <v>33</v>
      </c>
      <c r="H1051" t="s">
        <v>457</v>
      </c>
      <c r="I1051" t="s">
        <v>135</v>
      </c>
      <c r="J1051" t="s">
        <v>39</v>
      </c>
      <c r="K1051" t="s">
        <v>33</v>
      </c>
      <c r="L1051">
        <v>0.10091851851851852</v>
      </c>
      <c r="M1051">
        <v>1</v>
      </c>
      <c r="N1051">
        <v>3.2426727002102926</v>
      </c>
      <c r="O1051">
        <v>3.1523474906593334</v>
      </c>
      <c r="P1051">
        <v>-0.68880560164319704</v>
      </c>
      <c r="Q1051">
        <v>0.52656664600916792</v>
      </c>
      <c r="R1051">
        <v>-0.67371772101320471</v>
      </c>
      <c r="S1051" s="2">
        <v>0</v>
      </c>
      <c r="T1051" s="2">
        <v>0</v>
      </c>
      <c r="U1051" s="2">
        <v>3.1522423893602929E-4</v>
      </c>
      <c r="V1051" s="2">
        <v>5.8857402506693433E-4</v>
      </c>
      <c r="W1051" s="2">
        <v>9.9940527992824126E-4</v>
      </c>
      <c r="X1051" s="2">
        <v>1.5820116845731398E-3</v>
      </c>
      <c r="Y1051" s="2">
        <v>2.3666110212652134E-3</v>
      </c>
      <c r="Z1051" s="2">
        <v>3.3733387026375307E-3</v>
      </c>
      <c r="AA1051" s="2">
        <v>4.6052751514930514E-3</v>
      </c>
      <c r="AB1051" s="2">
        <v>6.0417502624138071E-3</v>
      </c>
      <c r="AC1051" s="2">
        <v>7.6339071240846112E-3</v>
      </c>
      <c r="AD1051" s="2">
        <v>9.3049225769260089E-3</v>
      </c>
      <c r="AE1051" s="2">
        <v>1.0956888409048795E-2</v>
      </c>
      <c r="AF1051" s="2">
        <v>1.2484772836329592E-2</v>
      </c>
      <c r="AG1051" s="2">
        <v>1.3795218399493589E-2</v>
      </c>
      <c r="AH1051" s="2">
        <v>1.4825119294484263E-2</v>
      </c>
      <c r="AI1051" s="2">
        <v>1.5553577575636515E-2</v>
      </c>
      <c r="AJ1051" s="2">
        <v>1.6046366077973852E-2</v>
      </c>
      <c r="AK1051" s="2">
        <v>1.6254393897238893E-2</v>
      </c>
      <c r="AL1051" s="2">
        <v>1.6392427971717981E-2</v>
      </c>
      <c r="AM1051" s="2">
        <v>1.6331391390447435E-2</v>
      </c>
      <c r="AN1051" s="2">
        <v>1.6205499748256507E-2</v>
      </c>
      <c r="AO1051" s="2">
        <v>1.6080578550358691E-2</v>
      </c>
      <c r="AP1051" s="2">
        <v>1.5956620316018109E-2</v>
      </c>
      <c r="AQ1051" s="2">
        <v>1.583361762216462E-2</v>
      </c>
      <c r="AR1051" s="2">
        <v>0.23352749215649346</v>
      </c>
    </row>
    <row r="1052" spans="1:44" x14ac:dyDescent="0.25">
      <c r="A1052" t="s">
        <v>435</v>
      </c>
      <c r="B1052" t="s">
        <v>476</v>
      </c>
      <c r="C1052" t="s">
        <v>45</v>
      </c>
      <c r="D1052" t="s">
        <v>477</v>
      </c>
      <c r="E1052" t="s">
        <v>145</v>
      </c>
      <c r="F1052" t="s">
        <v>477</v>
      </c>
      <c r="G1052" t="s">
        <v>33</v>
      </c>
      <c r="H1052" t="s">
        <v>457</v>
      </c>
      <c r="I1052" t="s">
        <v>256</v>
      </c>
      <c r="J1052" t="s">
        <v>39</v>
      </c>
      <c r="K1052" t="s">
        <v>33</v>
      </c>
      <c r="L1052">
        <v>0.10091851851851852</v>
      </c>
      <c r="M1052">
        <v>1</v>
      </c>
      <c r="N1052">
        <v>2.7221264772067415</v>
      </c>
      <c r="O1052">
        <v>2.6463011728329859</v>
      </c>
      <c r="P1052">
        <v>-0.41470332290347733</v>
      </c>
      <c r="Q1052">
        <v>1.3498045353129324</v>
      </c>
      <c r="R1052">
        <v>-0.39961544227348506</v>
      </c>
      <c r="S1052" s="2">
        <v>0</v>
      </c>
      <c r="T1052" s="2">
        <v>0</v>
      </c>
      <c r="U1052" s="2">
        <v>8.6688780831517933E-4</v>
      </c>
      <c r="V1052" s="2">
        <v>1.6186180616810457E-3</v>
      </c>
      <c r="W1052" s="2">
        <v>2.7484315789288996E-3</v>
      </c>
      <c r="X1052" s="2">
        <v>4.3506382840277956E-3</v>
      </c>
      <c r="Y1052" s="2">
        <v>6.5083391057865125E-3</v>
      </c>
      <c r="Z1052" s="2">
        <v>9.276907780012663E-3</v>
      </c>
      <c r="AA1052" s="2">
        <v>1.2664815676107785E-2</v>
      </c>
      <c r="AB1052" s="2">
        <v>1.6615218617228398E-2</v>
      </c>
      <c r="AC1052" s="2">
        <v>2.0993756819006327E-2</v>
      </c>
      <c r="AD1052" s="2">
        <v>2.5589161437838469E-2</v>
      </c>
      <c r="AE1052" s="2">
        <v>3.0132178321483339E-2</v>
      </c>
      <c r="AF1052" s="2">
        <v>3.4333963016070654E-2</v>
      </c>
      <c r="AG1052" s="2">
        <v>3.7937776244399618E-2</v>
      </c>
      <c r="AH1052" s="2">
        <v>4.0770072810976443E-2</v>
      </c>
      <c r="AI1052" s="2">
        <v>4.2773381962990187E-2</v>
      </c>
      <c r="AJ1052" s="2">
        <v>4.4128583410049049E-2</v>
      </c>
      <c r="AK1052" s="2">
        <v>4.4700673871493082E-2</v>
      </c>
      <c r="AL1052" s="2">
        <v>4.5080276838263288E-2</v>
      </c>
      <c r="AM1052" s="2">
        <v>4.4912422144273781E-2</v>
      </c>
      <c r="AN1052" s="2">
        <v>4.4566211681041489E-2</v>
      </c>
      <c r="AO1052" s="2">
        <v>4.422267000473111E-2</v>
      </c>
      <c r="AP1052" s="2">
        <v>4.3881776542817039E-2</v>
      </c>
      <c r="AQ1052" s="2">
        <v>4.3543510881358348E-2</v>
      </c>
      <c r="AR1052" s="2">
        <v>0.64221627289888061</v>
      </c>
    </row>
    <row r="1053" spans="1:44" x14ac:dyDescent="0.25">
      <c r="A1053" t="s">
        <v>435</v>
      </c>
      <c r="B1053" t="s">
        <v>476</v>
      </c>
      <c r="C1053" t="s">
        <v>45</v>
      </c>
      <c r="D1053" t="s">
        <v>477</v>
      </c>
      <c r="E1053" t="s">
        <v>145</v>
      </c>
      <c r="F1053" t="s">
        <v>477</v>
      </c>
      <c r="G1053" t="s">
        <v>33</v>
      </c>
      <c r="H1053" t="s">
        <v>457</v>
      </c>
      <c r="I1053" t="s">
        <v>256</v>
      </c>
      <c r="J1053" t="s">
        <v>40</v>
      </c>
      <c r="K1053" t="s">
        <v>33</v>
      </c>
      <c r="L1053">
        <v>0.10091851851851852</v>
      </c>
      <c r="M1053">
        <v>1</v>
      </c>
      <c r="N1053">
        <v>2.7221264772067415</v>
      </c>
      <c r="O1053">
        <v>1.4737622038640086</v>
      </c>
      <c r="P1053">
        <v>-0.41470332290347733</v>
      </c>
      <c r="Q1053">
        <v>1.3498045353129324</v>
      </c>
      <c r="R1053">
        <v>-0.25661544227348493</v>
      </c>
      <c r="S1053" s="2">
        <v>0</v>
      </c>
      <c r="T1053" s="2">
        <v>0</v>
      </c>
      <c r="U1053" s="2">
        <v>7.9323559969564396E-3</v>
      </c>
      <c r="V1053" s="2">
        <v>1.4810976190000269E-2</v>
      </c>
      <c r="W1053" s="2">
        <v>2.514920328584733E-2</v>
      </c>
      <c r="X1053" s="2">
        <v>3.9810009267483952E-2</v>
      </c>
      <c r="Y1053" s="2">
        <v>5.9553799512245043E-2</v>
      </c>
      <c r="Z1053" s="2">
        <v>8.4887264944947222E-2</v>
      </c>
      <c r="AA1053" s="2">
        <v>0.11588792184535597</v>
      </c>
      <c r="AB1053" s="2">
        <v>0.15203562418909389</v>
      </c>
      <c r="AC1053" s="2">
        <v>0.19210092840680906</v>
      </c>
      <c r="AD1053" s="2">
        <v>0.23415064353370735</v>
      </c>
      <c r="AE1053" s="2">
        <v>0.27572099078693868</v>
      </c>
      <c r="AF1053" s="2">
        <v>0.314168932608623</v>
      </c>
      <c r="AG1053" s="2">
        <v>0.34714520612342215</v>
      </c>
      <c r="AH1053" s="2">
        <v>0.37306180621808682</v>
      </c>
      <c r="AI1053" s="2">
        <v>0.39139285345777342</v>
      </c>
      <c r="AJ1053" s="2">
        <v>0.4037934665735054</v>
      </c>
      <c r="AK1053" s="2">
        <v>0.40902831375800675</v>
      </c>
      <c r="AL1053" s="2">
        <v>0.41250182652521722</v>
      </c>
      <c r="AM1053" s="2">
        <v>0.41096589168369196</v>
      </c>
      <c r="AN1053" s="2">
        <v>0.40779793313370688</v>
      </c>
      <c r="AO1053" s="2">
        <v>0.40465439500784339</v>
      </c>
      <c r="AP1053" s="2">
        <v>0.40153508905959989</v>
      </c>
      <c r="AQ1053" s="2">
        <v>0.39843982849358595</v>
      </c>
      <c r="AR1053" s="2">
        <v>5.8765252606024472</v>
      </c>
    </row>
    <row r="1054" spans="1:44" x14ac:dyDescent="0.25">
      <c r="A1054" t="s">
        <v>435</v>
      </c>
      <c r="B1054" t="s">
        <v>458</v>
      </c>
      <c r="C1054" t="s">
        <v>44</v>
      </c>
      <c r="D1054" t="s">
        <v>459</v>
      </c>
      <c r="E1054" t="s">
        <v>134</v>
      </c>
      <c r="F1054" t="s">
        <v>459</v>
      </c>
      <c r="G1054" t="s">
        <v>33</v>
      </c>
      <c r="H1054" t="s">
        <v>450</v>
      </c>
      <c r="I1054" t="s">
        <v>135</v>
      </c>
      <c r="J1054" t="s">
        <v>39</v>
      </c>
      <c r="K1054" t="s">
        <v>31</v>
      </c>
      <c r="L1054">
        <v>8.2450165482258364E-2</v>
      </c>
      <c r="M1054">
        <v>1</v>
      </c>
      <c r="N1054">
        <v>2.3213699912174603</v>
      </c>
      <c r="O1054">
        <v>5.3471683850504323</v>
      </c>
      <c r="P1054">
        <v>-1.1565307758200241</v>
      </c>
      <c r="Q1054">
        <v>1.247676144441489</v>
      </c>
      <c r="R1054">
        <v>-1.8625523936223531</v>
      </c>
      <c r="S1054" s="2">
        <v>1.3949920819799524E-2</v>
      </c>
      <c r="T1054" s="2">
        <v>2.7670023475937257E-2</v>
      </c>
      <c r="U1054" s="2">
        <v>4.8750662533145889E-2</v>
      </c>
      <c r="V1054" s="2">
        <v>7.868834780342493E-2</v>
      </c>
      <c r="W1054" s="2">
        <v>0.11851722603771299</v>
      </c>
      <c r="X1054" s="2">
        <v>0.1684335244692553</v>
      </c>
      <c r="Y1054" s="2">
        <v>0.22734969367070745</v>
      </c>
      <c r="Z1054" s="2">
        <v>0.29245539033496165</v>
      </c>
      <c r="AA1054" s="2">
        <v>0.35892859428344781</v>
      </c>
      <c r="AB1054" s="2">
        <v>0.41999933213890744</v>
      </c>
      <c r="AC1054" s="2">
        <v>0.46757958642147573</v>
      </c>
      <c r="AD1054" s="2">
        <v>0.4935822748848801</v>
      </c>
      <c r="AE1054" s="2">
        <v>0.49182221851212282</v>
      </c>
      <c r="AF1054" s="2">
        <v>0.46005149723458438</v>
      </c>
      <c r="AG1054" s="2">
        <v>0.40137013506200475</v>
      </c>
      <c r="AH1054" s="2">
        <v>0.32936997215914821</v>
      </c>
      <c r="AI1054" s="2">
        <v>0.11929472724854991</v>
      </c>
      <c r="AJ1054" s="2">
        <v>0</v>
      </c>
      <c r="AK1054" s="2">
        <v>0</v>
      </c>
      <c r="AL1054" s="2">
        <v>0</v>
      </c>
      <c r="AM1054" s="2">
        <v>0</v>
      </c>
      <c r="AN1054" s="2">
        <v>0</v>
      </c>
      <c r="AO1054" s="2">
        <v>0</v>
      </c>
      <c r="AP1054" s="2">
        <v>0</v>
      </c>
      <c r="AQ1054" s="2">
        <v>0</v>
      </c>
      <c r="AR1054" s="2">
        <v>4.5178131270900668</v>
      </c>
    </row>
    <row r="1055" spans="1:44" x14ac:dyDescent="0.25">
      <c r="A1055" t="s">
        <v>435</v>
      </c>
      <c r="B1055" t="s">
        <v>458</v>
      </c>
      <c r="C1055" t="s">
        <v>44</v>
      </c>
      <c r="D1055" t="s">
        <v>459</v>
      </c>
      <c r="E1055" t="s">
        <v>134</v>
      </c>
      <c r="F1055" t="s">
        <v>459</v>
      </c>
      <c r="G1055" t="s">
        <v>33</v>
      </c>
      <c r="H1055" t="s">
        <v>450</v>
      </c>
      <c r="I1055" t="s">
        <v>135</v>
      </c>
      <c r="J1055" t="s">
        <v>39</v>
      </c>
      <c r="K1055" t="s">
        <v>33</v>
      </c>
      <c r="L1055">
        <v>8.2450165482258364E-2</v>
      </c>
      <c r="M1055">
        <v>1</v>
      </c>
      <c r="N1055">
        <v>2.3213699912174603</v>
      </c>
      <c r="O1055">
        <v>5.3471683850504323</v>
      </c>
      <c r="P1055">
        <v>-1.1565307758200241</v>
      </c>
      <c r="Q1055">
        <v>1.247676144441489</v>
      </c>
      <c r="R1055">
        <v>-1.8625523936223531</v>
      </c>
      <c r="S1055" s="2">
        <v>8.5942703737563377E-3</v>
      </c>
      <c r="T1055" s="2">
        <v>1.7035071376659074E-2</v>
      </c>
      <c r="U1055" s="2">
        <v>2.9992461662539858E-2</v>
      </c>
      <c r="V1055" s="2">
        <v>4.8377027178333504E-2</v>
      </c>
      <c r="W1055" s="2">
        <v>7.2812742399384192E-2</v>
      </c>
      <c r="X1055" s="2">
        <v>0.10340739721982534</v>
      </c>
      <c r="Y1055" s="2">
        <v>0.13948085606540586</v>
      </c>
      <c r="Z1055" s="2">
        <v>0.17929865072395473</v>
      </c>
      <c r="AA1055" s="2">
        <v>0.21989867332897378</v>
      </c>
      <c r="AB1055" s="2">
        <v>0.25713447681562357</v>
      </c>
      <c r="AC1055" s="2">
        <v>0.286064794997689</v>
      </c>
      <c r="AD1055" s="2">
        <v>0.30176272088008627</v>
      </c>
      <c r="AE1055" s="2">
        <v>0.30047707040544963</v>
      </c>
      <c r="AF1055" s="2">
        <v>0.28087093528784007</v>
      </c>
      <c r="AG1055" s="2">
        <v>0.24487393870800048</v>
      </c>
      <c r="AH1055" s="2">
        <v>0.20080692022321051</v>
      </c>
      <c r="AI1055" s="2">
        <v>4.6254295436834736E-2</v>
      </c>
      <c r="AJ1055" s="2">
        <v>0</v>
      </c>
      <c r="AK1055" s="2">
        <v>0</v>
      </c>
      <c r="AL1055" s="2">
        <v>0</v>
      </c>
      <c r="AM1055" s="2">
        <v>0</v>
      </c>
      <c r="AN1055" s="2">
        <v>0</v>
      </c>
      <c r="AO1055" s="2">
        <v>0</v>
      </c>
      <c r="AP1055" s="2">
        <v>0</v>
      </c>
      <c r="AQ1055" s="2">
        <v>0</v>
      </c>
      <c r="AR1055" s="2">
        <v>2.7371423030835667</v>
      </c>
    </row>
    <row r="1056" spans="1:44" x14ac:dyDescent="0.25">
      <c r="A1056" t="s">
        <v>435</v>
      </c>
      <c r="B1056" t="s">
        <v>458</v>
      </c>
      <c r="C1056" t="s">
        <v>44</v>
      </c>
      <c r="D1056" t="s">
        <v>459</v>
      </c>
      <c r="E1056" t="s">
        <v>134</v>
      </c>
      <c r="F1056" t="s">
        <v>459</v>
      </c>
      <c r="G1056" t="s">
        <v>33</v>
      </c>
      <c r="H1056" t="s">
        <v>450</v>
      </c>
      <c r="I1056" t="s">
        <v>256</v>
      </c>
      <c r="J1056" t="s">
        <v>40</v>
      </c>
      <c r="K1056" t="s">
        <v>33</v>
      </c>
      <c r="L1056">
        <v>8.2450165482258364E-2</v>
      </c>
      <c r="M1056">
        <v>1</v>
      </c>
      <c r="N1056">
        <v>1.1488405989818342</v>
      </c>
      <c r="O1056">
        <v>1.4737622038640097</v>
      </c>
      <c r="P1056">
        <v>0.30640617552884364</v>
      </c>
      <c r="Q1056">
        <v>1.3498045353129324</v>
      </c>
      <c r="R1056">
        <v>-0.25661544227348526</v>
      </c>
      <c r="S1056" s="2">
        <v>0.22449956798071408</v>
      </c>
      <c r="T1056" s="2">
        <v>0.44530061472086574</v>
      </c>
      <c r="U1056" s="2">
        <v>0.7845566164025094</v>
      </c>
      <c r="V1056" s="2">
        <v>1.2663512800669032</v>
      </c>
      <c r="W1056" s="2">
        <v>1.9073273882655324</v>
      </c>
      <c r="X1056" s="2">
        <v>2.7106428749866027</v>
      </c>
      <c r="Y1056" s="2">
        <v>3.6587955350383861</v>
      </c>
      <c r="Z1056" s="2">
        <v>4.7065578100373431</v>
      </c>
      <c r="AA1056" s="2">
        <v>5.7763277221036615</v>
      </c>
      <c r="AB1056" s="2">
        <v>6.7591543948797979</v>
      </c>
      <c r="AC1056" s="2">
        <v>7.5248753383053826</v>
      </c>
      <c r="AD1056" s="2">
        <v>7.9433431132683712</v>
      </c>
      <c r="AE1056" s="2">
        <v>7.9150180854485086</v>
      </c>
      <c r="AF1056" s="2">
        <v>7.4037239144364646</v>
      </c>
      <c r="AG1056" s="2">
        <v>6.4593500626819935</v>
      </c>
      <c r="AH1056" s="2">
        <v>5.300633416542305</v>
      </c>
      <c r="AI1056" s="2">
        <v>1.9198399098914416</v>
      </c>
      <c r="AJ1056" s="2">
        <v>0</v>
      </c>
      <c r="AK1056" s="2">
        <v>0</v>
      </c>
      <c r="AL1056" s="2">
        <v>0</v>
      </c>
      <c r="AM1056" s="2">
        <v>0</v>
      </c>
      <c r="AN1056" s="2">
        <v>0</v>
      </c>
      <c r="AO1056" s="2">
        <v>0</v>
      </c>
      <c r="AP1056" s="2">
        <v>0</v>
      </c>
      <c r="AQ1056" s="2">
        <v>0</v>
      </c>
      <c r="AR1056" s="2">
        <v>72.706297645056779</v>
      </c>
    </row>
    <row r="1057" spans="1:44" x14ac:dyDescent="0.25">
      <c r="A1057" t="s">
        <v>435</v>
      </c>
      <c r="B1057" t="s">
        <v>458</v>
      </c>
      <c r="C1057" t="s">
        <v>44</v>
      </c>
      <c r="D1057" t="s">
        <v>459</v>
      </c>
      <c r="E1057" t="s">
        <v>134</v>
      </c>
      <c r="F1057" t="s">
        <v>459</v>
      </c>
      <c r="G1057" t="s">
        <v>33</v>
      </c>
      <c r="H1057" t="s">
        <v>451</v>
      </c>
      <c r="I1057" t="s">
        <v>135</v>
      </c>
      <c r="J1057" t="s">
        <v>39</v>
      </c>
      <c r="K1057" t="s">
        <v>31</v>
      </c>
      <c r="L1057">
        <v>8.2450165482258364E-2</v>
      </c>
      <c r="M1057">
        <v>1</v>
      </c>
      <c r="N1057">
        <v>2.3213699912174603</v>
      </c>
      <c r="O1057">
        <v>5.3471683850504323</v>
      </c>
      <c r="P1057">
        <v>-1.1565307758200241</v>
      </c>
      <c r="Q1057">
        <v>1.247676144441489</v>
      </c>
      <c r="R1057">
        <v>-1.8625523936223531</v>
      </c>
      <c r="S1057" s="2">
        <v>3.6490595259223097E-3</v>
      </c>
      <c r="T1057" s="2">
        <v>7.2380025701689853E-3</v>
      </c>
      <c r="U1057" s="2">
        <v>1.2752335429682843E-2</v>
      </c>
      <c r="V1057" s="2">
        <v>2.0583519350420375E-2</v>
      </c>
      <c r="W1057" s="2">
        <v>3.1002069348306113E-2</v>
      </c>
      <c r="X1057" s="2">
        <v>4.4059315094953866E-2</v>
      </c>
      <c r="Y1057" s="2">
        <v>5.9470772352135583E-2</v>
      </c>
      <c r="Z1057" s="2">
        <v>7.650130361273659E-2</v>
      </c>
      <c r="AA1057" s="2">
        <v>9.3889551275226621E-2</v>
      </c>
      <c r="AB1057" s="2">
        <v>0.10986460666122355</v>
      </c>
      <c r="AC1057" s="2">
        <v>0.12231078340863442</v>
      </c>
      <c r="AD1057" s="2">
        <v>0.12911263979639986</v>
      </c>
      <c r="AE1057" s="2">
        <v>0.12865223929978525</v>
      </c>
      <c r="AF1057" s="2">
        <v>0.12034156466436537</v>
      </c>
      <c r="AG1057" s="2">
        <v>0.10499152889025364</v>
      </c>
      <c r="AH1057" s="2">
        <v>8.6157523758430776E-2</v>
      </c>
      <c r="AI1057" s="2">
        <v>3.1205450301966867E-2</v>
      </c>
      <c r="AJ1057" s="2">
        <v>0</v>
      </c>
      <c r="AK1057" s="2">
        <v>0</v>
      </c>
      <c r="AL1057" s="2">
        <v>0</v>
      </c>
      <c r="AM1057" s="2">
        <v>0</v>
      </c>
      <c r="AN1057" s="2">
        <v>0</v>
      </c>
      <c r="AO1057" s="2">
        <v>0</v>
      </c>
      <c r="AP1057" s="2">
        <v>0</v>
      </c>
      <c r="AQ1057" s="2">
        <v>0</v>
      </c>
      <c r="AR1057" s="2">
        <v>1.1817822653406131</v>
      </c>
    </row>
    <row r="1058" spans="1:44" x14ac:dyDescent="0.25">
      <c r="A1058" t="s">
        <v>435</v>
      </c>
      <c r="B1058" t="s">
        <v>458</v>
      </c>
      <c r="C1058" t="s">
        <v>44</v>
      </c>
      <c r="D1058" t="s">
        <v>459</v>
      </c>
      <c r="E1058" t="s">
        <v>134</v>
      </c>
      <c r="F1058" t="s">
        <v>459</v>
      </c>
      <c r="G1058" t="s">
        <v>33</v>
      </c>
      <c r="H1058" t="s">
        <v>451</v>
      </c>
      <c r="I1058" t="s">
        <v>135</v>
      </c>
      <c r="J1058" t="s">
        <v>39</v>
      </c>
      <c r="K1058" t="s">
        <v>33</v>
      </c>
      <c r="L1058">
        <v>8.2450165482258364E-2</v>
      </c>
      <c r="M1058">
        <v>1</v>
      </c>
      <c r="N1058">
        <v>2.3213699912174603</v>
      </c>
      <c r="O1058">
        <v>5.3471683850504323</v>
      </c>
      <c r="P1058">
        <v>-1.1565307758200241</v>
      </c>
      <c r="Q1058">
        <v>1.247676144441489</v>
      </c>
      <c r="R1058">
        <v>-1.8625523936223531</v>
      </c>
      <c r="S1058" s="2">
        <v>1.6438329449588611E-2</v>
      </c>
      <c r="T1058" s="2">
        <v>3.2605845413095642E-2</v>
      </c>
      <c r="U1058" s="2">
        <v>5.7446881739152758E-2</v>
      </c>
      <c r="V1058" s="2">
        <v>9.272489799372928E-2</v>
      </c>
      <c r="W1058" s="2">
        <v>0.13965851363787782</v>
      </c>
      <c r="X1058" s="2">
        <v>0.1984789592247129</v>
      </c>
      <c r="Y1058" s="2">
        <v>0.26790468656408101</v>
      </c>
      <c r="Z1058" s="2">
        <v>0.34462403892721299</v>
      </c>
      <c r="AA1058" s="2">
        <v>0.42295483665647321</v>
      </c>
      <c r="AB1058" s="2">
        <v>0.49491946796625402</v>
      </c>
      <c r="AC1058" s="2">
        <v>0.55098716220591903</v>
      </c>
      <c r="AD1058" s="2">
        <v>0.58162825078685054</v>
      </c>
      <c r="AE1058" s="2">
        <v>0.57955423281363239</v>
      </c>
      <c r="AF1058" s="2">
        <v>0.54211620073032674</v>
      </c>
      <c r="AG1058" s="2">
        <v>0.47296716566380687</v>
      </c>
      <c r="AH1058" s="2">
        <v>0.38812350142297908</v>
      </c>
      <c r="AI1058" s="2">
        <v>0.14057470672716443</v>
      </c>
      <c r="AJ1058" s="2">
        <v>0</v>
      </c>
      <c r="AK1058" s="2">
        <v>0</v>
      </c>
      <c r="AL1058" s="2">
        <v>0</v>
      </c>
      <c r="AM1058" s="2">
        <v>0</v>
      </c>
      <c r="AN1058" s="2">
        <v>0</v>
      </c>
      <c r="AO1058" s="2">
        <v>0</v>
      </c>
      <c r="AP1058" s="2">
        <v>0</v>
      </c>
      <c r="AQ1058" s="2">
        <v>0</v>
      </c>
      <c r="AR1058" s="2">
        <v>5.323707677922858</v>
      </c>
    </row>
    <row r="1059" spans="1:44" x14ac:dyDescent="0.25">
      <c r="A1059" t="s">
        <v>435</v>
      </c>
      <c r="B1059" t="s">
        <v>458</v>
      </c>
      <c r="C1059" t="s">
        <v>44</v>
      </c>
      <c r="D1059" t="s">
        <v>459</v>
      </c>
      <c r="E1059" t="s">
        <v>134</v>
      </c>
      <c r="F1059" t="s">
        <v>459</v>
      </c>
      <c r="G1059" t="s">
        <v>33</v>
      </c>
      <c r="H1059" t="s">
        <v>452</v>
      </c>
      <c r="I1059" t="s">
        <v>135</v>
      </c>
      <c r="J1059" t="s">
        <v>39</v>
      </c>
      <c r="K1059" t="s">
        <v>31</v>
      </c>
      <c r="L1059">
        <v>8.2450165482258364E-2</v>
      </c>
      <c r="M1059">
        <v>1</v>
      </c>
      <c r="N1059">
        <v>2.3213699912174603</v>
      </c>
      <c r="O1059">
        <v>5.3471683850504323</v>
      </c>
      <c r="P1059">
        <v>-1.1565307758200241</v>
      </c>
      <c r="Q1059">
        <v>1.247676144441489</v>
      </c>
      <c r="R1059">
        <v>-1.8625523936223531</v>
      </c>
      <c r="S1059" s="2">
        <v>8.2648703252662839E-2</v>
      </c>
      <c r="T1059" s="2">
        <v>0.16393580929944082</v>
      </c>
      <c r="U1059" s="2">
        <v>0.28883167819518757</v>
      </c>
      <c r="V1059" s="2">
        <v>0.46620263950294272</v>
      </c>
      <c r="W1059" s="2">
        <v>0.70217567337134734</v>
      </c>
      <c r="X1059" s="2">
        <v>0.99791336176628354</v>
      </c>
      <c r="Y1059" s="2">
        <v>1.3469723312052566</v>
      </c>
      <c r="Z1059" s="2">
        <v>1.7327022197953441</v>
      </c>
      <c r="AA1059" s="2">
        <v>2.1265341403030567</v>
      </c>
      <c r="AB1059" s="2">
        <v>2.4883582220048757</v>
      </c>
      <c r="AC1059" s="2">
        <v>2.7702556153796682</v>
      </c>
      <c r="AD1059" s="2">
        <v>2.9243130118584406</v>
      </c>
      <c r="AE1059" s="2">
        <v>2.9138852554045465</v>
      </c>
      <c r="AF1059" s="2">
        <v>2.7256541572564168</v>
      </c>
      <c r="AG1059" s="2">
        <v>2.3779863424126275</v>
      </c>
      <c r="AH1059" s="2">
        <v>1.9514090037473397</v>
      </c>
      <c r="AI1059" s="2">
        <v>0.70678211291198756</v>
      </c>
      <c r="AJ1059" s="2">
        <v>0</v>
      </c>
      <c r="AK1059" s="2">
        <v>0</v>
      </c>
      <c r="AL1059" s="2">
        <v>0</v>
      </c>
      <c r="AM1059" s="2">
        <v>0</v>
      </c>
      <c r="AN1059" s="2">
        <v>0</v>
      </c>
      <c r="AO1059" s="2">
        <v>0</v>
      </c>
      <c r="AP1059" s="2">
        <v>0</v>
      </c>
      <c r="AQ1059" s="2">
        <v>0</v>
      </c>
      <c r="AR1059" s="2">
        <v>26.766560277667423</v>
      </c>
    </row>
    <row r="1060" spans="1:44" x14ac:dyDescent="0.25">
      <c r="A1060" t="s">
        <v>435</v>
      </c>
      <c r="B1060" t="s">
        <v>458</v>
      </c>
      <c r="C1060" t="s">
        <v>44</v>
      </c>
      <c r="D1060" t="s">
        <v>459</v>
      </c>
      <c r="E1060" t="s">
        <v>134</v>
      </c>
      <c r="F1060" t="s">
        <v>459</v>
      </c>
      <c r="G1060" t="s">
        <v>33</v>
      </c>
      <c r="H1060" t="s">
        <v>452</v>
      </c>
      <c r="I1060" t="s">
        <v>135</v>
      </c>
      <c r="J1060" t="s">
        <v>39</v>
      </c>
      <c r="K1060" t="s">
        <v>33</v>
      </c>
      <c r="L1060">
        <v>8.2450165482258364E-2</v>
      </c>
      <c r="M1060">
        <v>1</v>
      </c>
      <c r="N1060">
        <v>2.3213699912174603</v>
      </c>
      <c r="O1060">
        <v>5.3471683850504323</v>
      </c>
      <c r="P1060">
        <v>-1.1565307758200241</v>
      </c>
      <c r="Q1060">
        <v>1.247676144441489</v>
      </c>
      <c r="R1060">
        <v>-1.8625523936223531</v>
      </c>
      <c r="S1060" s="2">
        <v>0.16343506886197703</v>
      </c>
      <c r="T1060" s="2">
        <v>0.32417762441947101</v>
      </c>
      <c r="U1060" s="2">
        <v>0.57115506181677422</v>
      </c>
      <c r="V1060" s="2">
        <v>0.92190025362973882</v>
      </c>
      <c r="W1060" s="2">
        <v>1.3885290998434849</v>
      </c>
      <c r="X1060" s="2">
        <v>1.9733405677275988</v>
      </c>
      <c r="Y1060" s="2">
        <v>2.6635930999754196</v>
      </c>
      <c r="Z1060" s="2">
        <v>3.4263611583092648</v>
      </c>
      <c r="AA1060" s="2">
        <v>4.2051507159802606</v>
      </c>
      <c r="AB1060" s="2">
        <v>4.9206458342530706</v>
      </c>
      <c r="AC1060" s="2">
        <v>5.4780885778781689</v>
      </c>
      <c r="AD1060" s="2">
        <v>5.78273196865507</v>
      </c>
      <c r="AE1060" s="2">
        <v>5.7621114262019359</v>
      </c>
      <c r="AF1060" s="2">
        <v>5.3898906740655255</v>
      </c>
      <c r="AG1060" s="2">
        <v>4.7023891038789776</v>
      </c>
      <c r="AH1060" s="2">
        <v>3.858846568110589</v>
      </c>
      <c r="AI1060" s="2">
        <v>1.3976381812192853</v>
      </c>
      <c r="AJ1060" s="2">
        <v>0</v>
      </c>
      <c r="AK1060" s="2">
        <v>0</v>
      </c>
      <c r="AL1060" s="2">
        <v>0</v>
      </c>
      <c r="AM1060" s="2">
        <v>0</v>
      </c>
      <c r="AN1060" s="2">
        <v>0</v>
      </c>
      <c r="AO1060" s="2">
        <v>0</v>
      </c>
      <c r="AP1060" s="2">
        <v>0</v>
      </c>
      <c r="AQ1060" s="2">
        <v>0</v>
      </c>
      <c r="AR1060" s="2">
        <v>52.929984984826618</v>
      </c>
    </row>
    <row r="1061" spans="1:44" x14ac:dyDescent="0.25">
      <c r="A1061" t="s">
        <v>435</v>
      </c>
      <c r="B1061" t="s">
        <v>458</v>
      </c>
      <c r="C1061" t="s">
        <v>44</v>
      </c>
      <c r="D1061" t="s">
        <v>459</v>
      </c>
      <c r="E1061" t="s">
        <v>134</v>
      </c>
      <c r="F1061" t="s">
        <v>459</v>
      </c>
      <c r="G1061" t="s">
        <v>33</v>
      </c>
      <c r="H1061" t="s">
        <v>452</v>
      </c>
      <c r="I1061" t="s">
        <v>135</v>
      </c>
      <c r="J1061" t="s">
        <v>40</v>
      </c>
      <c r="K1061" t="s">
        <v>33</v>
      </c>
      <c r="L1061">
        <v>8.2450165482258364E-2</v>
      </c>
      <c r="M1061">
        <v>1</v>
      </c>
      <c r="N1061">
        <v>2.3213699912174603</v>
      </c>
      <c r="O1061">
        <v>4.1746294160814541</v>
      </c>
      <c r="P1061">
        <v>-1.1565307758200241</v>
      </c>
      <c r="Q1061">
        <v>1.3498045353129324</v>
      </c>
      <c r="R1061">
        <v>-1.7195523936223531</v>
      </c>
      <c r="S1061" s="2">
        <v>1.1967143646014254E-2</v>
      </c>
      <c r="T1061" s="2">
        <v>2.3737134418364867E-2</v>
      </c>
      <c r="U1061" s="2">
        <v>4.1821469018266881E-2</v>
      </c>
      <c r="V1061" s="2">
        <v>6.750395028010267E-2</v>
      </c>
      <c r="W1061" s="2">
        <v>0.10167173612250187</v>
      </c>
      <c r="X1061" s="2">
        <v>0.14449316294807493</v>
      </c>
      <c r="Y1061" s="2">
        <v>0.19503526057101975</v>
      </c>
      <c r="Z1061" s="2">
        <v>0.25088713487335412</v>
      </c>
      <c r="AA1061" s="2">
        <v>0.30791214530447197</v>
      </c>
      <c r="AB1061" s="2">
        <v>0.36030257116603398</v>
      </c>
      <c r="AC1061" s="2">
        <v>0.40111998834486223</v>
      </c>
      <c r="AD1061" s="2">
        <v>0.42342677503159759</v>
      </c>
      <c r="AE1061" s="2">
        <v>0.42191688492469659</v>
      </c>
      <c r="AF1061" s="2">
        <v>0.3946619069088968</v>
      </c>
      <c r="AG1061" s="2">
        <v>0.34432124193061775</v>
      </c>
      <c r="AH1061" s="2">
        <v>0.28255484890765764</v>
      </c>
      <c r="AI1061" s="2">
        <v>0.10233872691013576</v>
      </c>
      <c r="AJ1061" s="2">
        <v>0</v>
      </c>
      <c r="AK1061" s="2">
        <v>0</v>
      </c>
      <c r="AL1061" s="2">
        <v>0</v>
      </c>
      <c r="AM1061" s="2">
        <v>0</v>
      </c>
      <c r="AN1061" s="2">
        <v>0</v>
      </c>
      <c r="AO1061" s="2">
        <v>0</v>
      </c>
      <c r="AP1061" s="2">
        <v>0</v>
      </c>
      <c r="AQ1061" s="2">
        <v>0</v>
      </c>
      <c r="AR1061" s="2">
        <v>3.8756720813066692</v>
      </c>
    </row>
    <row r="1062" spans="1:44" x14ac:dyDescent="0.25">
      <c r="A1062" t="s">
        <v>435</v>
      </c>
      <c r="B1062" t="s">
        <v>458</v>
      </c>
      <c r="C1062" t="s">
        <v>44</v>
      </c>
      <c r="D1062" t="s">
        <v>459</v>
      </c>
      <c r="E1062" t="s">
        <v>134</v>
      </c>
      <c r="F1062" t="s">
        <v>459</v>
      </c>
      <c r="G1062" t="s">
        <v>33</v>
      </c>
      <c r="H1062" t="s">
        <v>452</v>
      </c>
      <c r="I1062" t="s">
        <v>256</v>
      </c>
      <c r="J1062" t="s">
        <v>40</v>
      </c>
      <c r="K1062" t="s">
        <v>33</v>
      </c>
      <c r="L1062">
        <v>8.2450165482258364E-2</v>
      </c>
      <c r="M1062">
        <v>1</v>
      </c>
      <c r="N1062">
        <v>1.1488405989818342</v>
      </c>
      <c r="O1062">
        <v>1.4737622038640097</v>
      </c>
      <c r="P1062">
        <v>0.30640617552884364</v>
      </c>
      <c r="Q1062">
        <v>1.3498045353129324</v>
      </c>
      <c r="R1062">
        <v>-0.25661544227348526</v>
      </c>
      <c r="S1062" s="2">
        <v>7.2163222089345405E-2</v>
      </c>
      <c r="T1062" s="2">
        <v>0.14313759017738695</v>
      </c>
      <c r="U1062" s="2">
        <v>0.25218816169830377</v>
      </c>
      <c r="V1062" s="2">
        <v>0.40705641212835308</v>
      </c>
      <c r="W1062" s="2">
        <v>0.61309200349250037</v>
      </c>
      <c r="X1062" s="2">
        <v>0.87131002323070839</v>
      </c>
      <c r="Y1062" s="2">
        <v>1.1760845561946127</v>
      </c>
      <c r="Z1062" s="2">
        <v>1.5128776397077306</v>
      </c>
      <c r="AA1062" s="2">
        <v>1.8567448660160373</v>
      </c>
      <c r="AB1062" s="2">
        <v>2.1726650261339828</v>
      </c>
      <c r="AC1062" s="2">
        <v>2.418798642318182</v>
      </c>
      <c r="AD1062" s="2">
        <v>2.5533110748075063</v>
      </c>
      <c r="AE1062" s="2">
        <v>2.5442062676506962</v>
      </c>
      <c r="AF1062" s="2">
        <v>2.3798556849408907</v>
      </c>
      <c r="AG1062" s="2">
        <v>2.0762958134787648</v>
      </c>
      <c r="AH1062" s="2">
        <v>1.703837516894501</v>
      </c>
      <c r="AI1062" s="2">
        <v>0.61711403295611567</v>
      </c>
      <c r="AJ1062" s="2">
        <v>0</v>
      </c>
      <c r="AK1062" s="2">
        <v>0</v>
      </c>
      <c r="AL1062" s="2">
        <v>0</v>
      </c>
      <c r="AM1062" s="2">
        <v>0</v>
      </c>
      <c r="AN1062" s="2">
        <v>0</v>
      </c>
      <c r="AO1062" s="2">
        <v>0</v>
      </c>
      <c r="AP1062" s="2">
        <v>0</v>
      </c>
      <c r="AQ1062" s="2">
        <v>0</v>
      </c>
      <c r="AR1062" s="2">
        <v>23.370738533915617</v>
      </c>
    </row>
    <row r="1063" spans="1:44" x14ac:dyDescent="0.25">
      <c r="A1063" t="s">
        <v>435</v>
      </c>
      <c r="B1063" t="s">
        <v>458</v>
      </c>
      <c r="C1063" t="s">
        <v>44</v>
      </c>
      <c r="D1063" t="s">
        <v>459</v>
      </c>
      <c r="E1063" t="s">
        <v>134</v>
      </c>
      <c r="F1063" t="s">
        <v>459</v>
      </c>
      <c r="G1063" t="s">
        <v>33</v>
      </c>
      <c r="H1063" t="s">
        <v>453</v>
      </c>
      <c r="I1063" t="s">
        <v>135</v>
      </c>
      <c r="J1063" t="s">
        <v>39</v>
      </c>
      <c r="K1063" t="s">
        <v>31</v>
      </c>
      <c r="L1063">
        <v>8.2450165482258364E-2</v>
      </c>
      <c r="M1063">
        <v>1</v>
      </c>
      <c r="N1063">
        <v>2.3213699912174603</v>
      </c>
      <c r="O1063">
        <v>5.3471683850504323</v>
      </c>
      <c r="P1063">
        <v>-1.1565307758200241</v>
      </c>
      <c r="Q1063">
        <v>1.247676144441489</v>
      </c>
      <c r="R1063">
        <v>-1.8625523936223531</v>
      </c>
      <c r="S1063" s="2">
        <v>2.5276442901665818E-2</v>
      </c>
      <c r="T1063" s="2">
        <v>5.0136468694833215E-2</v>
      </c>
      <c r="U1063" s="2">
        <v>8.8333357146262989E-2</v>
      </c>
      <c r="V1063" s="2">
        <v>0.1425786967519343</v>
      </c>
      <c r="W1063" s="2">
        <v>0.21474630110833309</v>
      </c>
      <c r="X1063" s="2">
        <v>0.30519172251722126</v>
      </c>
      <c r="Y1063" s="2">
        <v>0.41194438484715629</v>
      </c>
      <c r="Z1063" s="2">
        <v>0.52991210993785975</v>
      </c>
      <c r="AA1063" s="2">
        <v>0.65035767846825132</v>
      </c>
      <c r="AB1063" s="2">
        <v>0.76101429353485306</v>
      </c>
      <c r="AC1063" s="2">
        <v>0.84722693919468406</v>
      </c>
      <c r="AD1063" s="2">
        <v>0.8943422940934862</v>
      </c>
      <c r="AE1063" s="2">
        <v>0.89115317460066668</v>
      </c>
      <c r="AF1063" s="2">
        <v>0.83358648066096741</v>
      </c>
      <c r="AG1063" s="2">
        <v>0.72725927497231901</v>
      </c>
      <c r="AH1063" s="2">
        <v>0.59679917917438141</v>
      </c>
      <c r="AI1063" s="2">
        <v>0.2161550879549069</v>
      </c>
      <c r="AJ1063" s="2">
        <v>0</v>
      </c>
      <c r="AK1063" s="2">
        <v>0</v>
      </c>
      <c r="AL1063" s="2">
        <v>0</v>
      </c>
      <c r="AM1063" s="2">
        <v>0</v>
      </c>
      <c r="AN1063" s="2">
        <v>0</v>
      </c>
      <c r="AO1063" s="2">
        <v>0</v>
      </c>
      <c r="AP1063" s="2">
        <v>0</v>
      </c>
      <c r="AQ1063" s="2">
        <v>0</v>
      </c>
      <c r="AR1063" s="2">
        <v>8.1860138865597829</v>
      </c>
    </row>
    <row r="1064" spans="1:44" x14ac:dyDescent="0.25">
      <c r="A1064" t="s">
        <v>435</v>
      </c>
      <c r="B1064" t="s">
        <v>458</v>
      </c>
      <c r="C1064" t="s">
        <v>44</v>
      </c>
      <c r="D1064" t="s">
        <v>459</v>
      </c>
      <c r="E1064" t="s">
        <v>134</v>
      </c>
      <c r="F1064" t="s">
        <v>459</v>
      </c>
      <c r="G1064" t="s">
        <v>33</v>
      </c>
      <c r="H1064" t="s">
        <v>453</v>
      </c>
      <c r="I1064" t="s">
        <v>135</v>
      </c>
      <c r="J1064" t="s">
        <v>39</v>
      </c>
      <c r="K1064" t="s">
        <v>33</v>
      </c>
      <c r="L1064">
        <v>8.2450165482258364E-2</v>
      </c>
      <c r="M1064">
        <v>1</v>
      </c>
      <c r="N1064">
        <v>2.3213699912174603</v>
      </c>
      <c r="O1064">
        <v>5.3471683850504323</v>
      </c>
      <c r="P1064">
        <v>-1.1565307758200241</v>
      </c>
      <c r="Q1064">
        <v>1.247676144441489</v>
      </c>
      <c r="R1064">
        <v>-1.8625523936223531</v>
      </c>
      <c r="S1064" s="2">
        <v>2.2998629046934296E-2</v>
      </c>
      <c r="T1064" s="2">
        <v>4.5618366861252917E-2</v>
      </c>
      <c r="U1064" s="2">
        <v>8.0373101602179101E-2</v>
      </c>
      <c r="V1064" s="2">
        <v>0.12973006405015028</v>
      </c>
      <c r="W1064" s="2">
        <v>0.19539420707279653</v>
      </c>
      <c r="X1064" s="2">
        <v>0.27768904199355915</v>
      </c>
      <c r="Y1064" s="2">
        <v>0.37482157326982518</v>
      </c>
      <c r="Z1064" s="2">
        <v>0.48215850985646075</v>
      </c>
      <c r="AA1064" s="2">
        <v>0.59174999635454761</v>
      </c>
      <c r="AB1064" s="2">
        <v>0.69243467146516025</v>
      </c>
      <c r="AC1064" s="2">
        <v>0.77087817177882878</v>
      </c>
      <c r="AD1064" s="2">
        <v>0.8137476757651193</v>
      </c>
      <c r="AE1064" s="2">
        <v>0.81084594720754344</v>
      </c>
      <c r="AF1064" s="2">
        <v>0.75846693784581509</v>
      </c>
      <c r="AG1064" s="2">
        <v>0.66172152272772711</v>
      </c>
      <c r="AH1064" s="2">
        <v>0.54301797886449854</v>
      </c>
      <c r="AI1064" s="2">
        <v>0.19667603957654936</v>
      </c>
      <c r="AJ1064" s="2">
        <v>0</v>
      </c>
      <c r="AK1064" s="2">
        <v>0</v>
      </c>
      <c r="AL1064" s="2">
        <v>0</v>
      </c>
      <c r="AM1064" s="2">
        <v>0</v>
      </c>
      <c r="AN1064" s="2">
        <v>0</v>
      </c>
      <c r="AO1064" s="2">
        <v>0</v>
      </c>
      <c r="AP1064" s="2">
        <v>0</v>
      </c>
      <c r="AQ1064" s="2">
        <v>0</v>
      </c>
      <c r="AR1064" s="2">
        <v>7.4483224353389472</v>
      </c>
    </row>
    <row r="1065" spans="1:44" x14ac:dyDescent="0.25">
      <c r="A1065" t="s">
        <v>435</v>
      </c>
      <c r="B1065" t="s">
        <v>458</v>
      </c>
      <c r="C1065" t="s">
        <v>44</v>
      </c>
      <c r="D1065" t="s">
        <v>459</v>
      </c>
      <c r="E1065" t="s">
        <v>134</v>
      </c>
      <c r="F1065" t="s">
        <v>459</v>
      </c>
      <c r="G1065" t="s">
        <v>33</v>
      </c>
      <c r="H1065" t="s">
        <v>453</v>
      </c>
      <c r="I1065" t="s">
        <v>135</v>
      </c>
      <c r="J1065" t="s">
        <v>40</v>
      </c>
      <c r="K1065" t="s">
        <v>33</v>
      </c>
      <c r="L1065">
        <v>8.2450165482258364E-2</v>
      </c>
      <c r="M1065">
        <v>1</v>
      </c>
      <c r="N1065">
        <v>2.3213699912174603</v>
      </c>
      <c r="O1065">
        <v>4.1746294160814541</v>
      </c>
      <c r="P1065">
        <v>-1.1565307758200241</v>
      </c>
      <c r="Q1065">
        <v>1.3498045353129324</v>
      </c>
      <c r="R1065">
        <v>-1.7195523936223531</v>
      </c>
      <c r="S1065" s="2">
        <v>0.46835825622794391</v>
      </c>
      <c r="T1065" s="2">
        <v>0.92900053787993397</v>
      </c>
      <c r="U1065" s="2">
        <v>1.6367673758817292</v>
      </c>
      <c r="V1065" s="2">
        <v>2.6419029784284969</v>
      </c>
      <c r="W1065" s="2">
        <v>3.979128056498463</v>
      </c>
      <c r="X1065" s="2">
        <v>5.655030794065885</v>
      </c>
      <c r="Y1065" s="2">
        <v>7.6330975248574928</v>
      </c>
      <c r="Z1065" s="2">
        <v>9.8189730544803009</v>
      </c>
      <c r="AA1065" s="2">
        <v>12.050761628004613</v>
      </c>
      <c r="AB1065" s="2">
        <v>14.10116640506542</v>
      </c>
      <c r="AC1065" s="2">
        <v>15.698638191072742</v>
      </c>
      <c r="AD1065" s="2">
        <v>16.571659191211541</v>
      </c>
      <c r="AE1065" s="2">
        <v>16.512566602496811</v>
      </c>
      <c r="AF1065" s="2">
        <v>15.445888174076478</v>
      </c>
      <c r="AG1065" s="2">
        <v>13.475704915314092</v>
      </c>
      <c r="AH1065" s="2">
        <v>11.05835278974164</v>
      </c>
      <c r="AI1065" s="2">
        <v>4.0052320836127775</v>
      </c>
      <c r="AJ1065" s="2">
        <v>0</v>
      </c>
      <c r="AK1065" s="2">
        <v>0</v>
      </c>
      <c r="AL1065" s="2">
        <v>0</v>
      </c>
      <c r="AM1065" s="2">
        <v>0</v>
      </c>
      <c r="AN1065" s="2">
        <v>0</v>
      </c>
      <c r="AO1065" s="2">
        <v>0</v>
      </c>
      <c r="AP1065" s="2">
        <v>0</v>
      </c>
      <c r="AQ1065" s="2">
        <v>0</v>
      </c>
      <c r="AR1065" s="2">
        <v>151.68222855891636</v>
      </c>
    </row>
    <row r="1066" spans="1:44" x14ac:dyDescent="0.25">
      <c r="A1066" t="s">
        <v>435</v>
      </c>
      <c r="B1066" t="s">
        <v>458</v>
      </c>
      <c r="C1066" t="s">
        <v>44</v>
      </c>
      <c r="D1066" t="s">
        <v>459</v>
      </c>
      <c r="E1066" t="s">
        <v>134</v>
      </c>
      <c r="F1066" t="s">
        <v>459</v>
      </c>
      <c r="G1066" t="s">
        <v>33</v>
      </c>
      <c r="H1066" t="s">
        <v>453</v>
      </c>
      <c r="I1066" t="s">
        <v>256</v>
      </c>
      <c r="J1066" t="s">
        <v>40</v>
      </c>
      <c r="K1066" t="s">
        <v>33</v>
      </c>
      <c r="L1066">
        <v>8.2450165482258364E-2</v>
      </c>
      <c r="M1066">
        <v>1</v>
      </c>
      <c r="N1066">
        <v>1.1488405989818342</v>
      </c>
      <c r="O1066">
        <v>1.4737622038640097</v>
      </c>
      <c r="P1066">
        <v>0.30640617552884364</v>
      </c>
      <c r="Q1066">
        <v>1.3498045353129324</v>
      </c>
      <c r="R1066">
        <v>-0.25661544227348526</v>
      </c>
      <c r="S1066" s="2">
        <v>0.2411095381611916</v>
      </c>
      <c r="T1066" s="2">
        <v>0.47824691389814222</v>
      </c>
      <c r="U1066" s="2">
        <v>0.84260332945659222</v>
      </c>
      <c r="V1066" s="2">
        <v>1.3600443645975948</v>
      </c>
      <c r="W1066" s="2">
        <v>2.0484441455424118</v>
      </c>
      <c r="X1066" s="2">
        <v>2.911194251224972</v>
      </c>
      <c r="Y1066" s="2">
        <v>3.9294975469846749</v>
      </c>
      <c r="Z1066" s="2">
        <v>5.0547802390628185</v>
      </c>
      <c r="AA1066" s="2">
        <v>6.2036988394728061</v>
      </c>
      <c r="AB1066" s="2">
        <v>7.259241561879791</v>
      </c>
      <c r="AC1066" s="2">
        <v>8.0816156300809165</v>
      </c>
      <c r="AD1066" s="2">
        <v>8.5310444323908374</v>
      </c>
      <c r="AE1066" s="2">
        <v>8.5006237307499486</v>
      </c>
      <c r="AF1066" s="2">
        <v>7.9515006186385992</v>
      </c>
      <c r="AG1066" s="2">
        <v>6.9372557125299741</v>
      </c>
      <c r="AH1066" s="2">
        <v>5.6928095074734655</v>
      </c>
      <c r="AI1066" s="2">
        <v>2.061882426682939</v>
      </c>
      <c r="AJ1066" s="2">
        <v>0</v>
      </c>
      <c r="AK1066" s="2">
        <v>0</v>
      </c>
      <c r="AL1066" s="2">
        <v>0</v>
      </c>
      <c r="AM1066" s="2">
        <v>0</v>
      </c>
      <c r="AN1066" s="2">
        <v>0</v>
      </c>
      <c r="AO1066" s="2">
        <v>0</v>
      </c>
      <c r="AP1066" s="2">
        <v>0</v>
      </c>
      <c r="AQ1066" s="2">
        <v>0</v>
      </c>
      <c r="AR1066" s="2">
        <v>78.085592788827668</v>
      </c>
    </row>
    <row r="1067" spans="1:44" x14ac:dyDescent="0.25">
      <c r="A1067" t="s">
        <v>435</v>
      </c>
      <c r="B1067" t="s">
        <v>458</v>
      </c>
      <c r="C1067" t="s">
        <v>44</v>
      </c>
      <c r="D1067" t="s">
        <v>459</v>
      </c>
      <c r="E1067" t="s">
        <v>134</v>
      </c>
      <c r="F1067" t="s">
        <v>459</v>
      </c>
      <c r="G1067" t="s">
        <v>33</v>
      </c>
      <c r="H1067" t="s">
        <v>454</v>
      </c>
      <c r="I1067" t="s">
        <v>135</v>
      </c>
      <c r="J1067" t="s">
        <v>39</v>
      </c>
      <c r="K1067" t="s">
        <v>31</v>
      </c>
      <c r="L1067">
        <v>8.2450165482258364E-2</v>
      </c>
      <c r="M1067">
        <v>1</v>
      </c>
      <c r="N1067">
        <v>2.3213699912174603</v>
      </c>
      <c r="O1067">
        <v>5.3471683850504323</v>
      </c>
      <c r="P1067">
        <v>-1.1565307758200241</v>
      </c>
      <c r="Q1067">
        <v>1.247676144441489</v>
      </c>
      <c r="R1067">
        <v>-1.8625523936223531</v>
      </c>
      <c r="S1067" s="2">
        <v>1.3918247844885692E-3</v>
      </c>
      <c r="T1067" s="2">
        <v>2.7607199322973279E-3</v>
      </c>
      <c r="U1067" s="2">
        <v>4.8639975273240188E-3</v>
      </c>
      <c r="V1067" s="2">
        <v>7.8509687716519522E-3</v>
      </c>
      <c r="W1067" s="2">
        <v>1.1824813539729719E-2</v>
      </c>
      <c r="X1067" s="2">
        <v>1.6805110001939093E-2</v>
      </c>
      <c r="Y1067" s="2">
        <v>2.2683350141145971E-2</v>
      </c>
      <c r="Z1067" s="2">
        <v>2.9179137708634527E-2</v>
      </c>
      <c r="AA1067" s="2">
        <v>3.5811365515157387E-2</v>
      </c>
      <c r="AB1067" s="2">
        <v>4.1904573329899282E-2</v>
      </c>
      <c r="AC1067" s="2">
        <v>4.6651795770671418E-2</v>
      </c>
      <c r="AD1067" s="2">
        <v>4.9246160766301644E-2</v>
      </c>
      <c r="AE1067" s="2">
        <v>4.9070554745784041E-2</v>
      </c>
      <c r="AF1067" s="2">
        <v>4.5900696087346746E-2</v>
      </c>
      <c r="AG1067" s="2">
        <v>4.0045883338630364E-2</v>
      </c>
      <c r="AH1067" s="2">
        <v>3.286221452001048E-2</v>
      </c>
      <c r="AI1067" s="2">
        <v>1.1902387130948726E-2</v>
      </c>
      <c r="AJ1067" s="2">
        <v>0</v>
      </c>
      <c r="AK1067" s="2">
        <v>0</v>
      </c>
      <c r="AL1067" s="2">
        <v>0</v>
      </c>
      <c r="AM1067" s="2">
        <v>0</v>
      </c>
      <c r="AN1067" s="2">
        <v>0</v>
      </c>
      <c r="AO1067" s="2">
        <v>0</v>
      </c>
      <c r="AP1067" s="2">
        <v>0</v>
      </c>
      <c r="AQ1067" s="2">
        <v>0</v>
      </c>
      <c r="AR1067" s="2">
        <v>0.45075555361196118</v>
      </c>
    </row>
    <row r="1068" spans="1:44" x14ac:dyDescent="0.25">
      <c r="A1068" t="s">
        <v>435</v>
      </c>
      <c r="B1068" t="s">
        <v>458</v>
      </c>
      <c r="C1068" t="s">
        <v>44</v>
      </c>
      <c r="D1068" t="s">
        <v>459</v>
      </c>
      <c r="E1068" t="s">
        <v>134</v>
      </c>
      <c r="F1068" t="s">
        <v>459</v>
      </c>
      <c r="G1068" t="s">
        <v>33</v>
      </c>
      <c r="H1068" t="s">
        <v>454</v>
      </c>
      <c r="I1068" t="s">
        <v>135</v>
      </c>
      <c r="J1068" t="s">
        <v>39</v>
      </c>
      <c r="K1068" t="s">
        <v>33</v>
      </c>
      <c r="L1068">
        <v>8.2450165482258364E-2</v>
      </c>
      <c r="M1068">
        <v>1</v>
      </c>
      <c r="N1068">
        <v>2.3213699912174603</v>
      </c>
      <c r="O1068">
        <v>5.3471683850504323</v>
      </c>
      <c r="P1068">
        <v>-1.1565307758200241</v>
      </c>
      <c r="Q1068">
        <v>1.247676144441489</v>
      </c>
      <c r="R1068">
        <v>-1.8625523936223531</v>
      </c>
      <c r="S1068" s="2">
        <v>1.1169399719798113E-2</v>
      </c>
      <c r="T1068" s="2">
        <v>2.2154789009288609E-2</v>
      </c>
      <c r="U1068" s="2">
        <v>3.9033600510824787E-2</v>
      </c>
      <c r="V1068" s="2">
        <v>6.3004057245937939E-2</v>
      </c>
      <c r="W1068" s="2">
        <v>9.4894178138848026E-2</v>
      </c>
      <c r="X1068" s="2">
        <v>0.13486107808879633</v>
      </c>
      <c r="Y1068" s="2">
        <v>0.18203397980421515</v>
      </c>
      <c r="Z1068" s="2">
        <v>0.23416270221580454</v>
      </c>
      <c r="AA1068" s="2">
        <v>0.28738635811659657</v>
      </c>
      <c r="AB1068" s="2">
        <v>0.33628437632774499</v>
      </c>
      <c r="AC1068" s="2">
        <v>0.37438085628032997</v>
      </c>
      <c r="AD1068" s="2">
        <v>0.39520064622673051</v>
      </c>
      <c r="AE1068" s="2">
        <v>0.39379140717722982</v>
      </c>
      <c r="AF1068" s="2">
        <v>0.36835327817857216</v>
      </c>
      <c r="AG1068" s="2">
        <v>0.3213683813698745</v>
      </c>
      <c r="AH1068" s="2">
        <v>0.26371940903942498</v>
      </c>
      <c r="AI1068" s="2">
        <v>9.5516706532997653E-2</v>
      </c>
      <c r="AJ1068" s="2">
        <v>0</v>
      </c>
      <c r="AK1068" s="2">
        <v>0</v>
      </c>
      <c r="AL1068" s="2">
        <v>0</v>
      </c>
      <c r="AM1068" s="2">
        <v>0</v>
      </c>
      <c r="AN1068" s="2">
        <v>0</v>
      </c>
      <c r="AO1068" s="2">
        <v>0</v>
      </c>
      <c r="AP1068" s="2">
        <v>0</v>
      </c>
      <c r="AQ1068" s="2">
        <v>0</v>
      </c>
      <c r="AR1068" s="2">
        <v>3.6173152039830141</v>
      </c>
    </row>
    <row r="1069" spans="1:44" x14ac:dyDescent="0.25">
      <c r="A1069" t="s">
        <v>435</v>
      </c>
      <c r="B1069" t="s">
        <v>458</v>
      </c>
      <c r="C1069" t="s">
        <v>44</v>
      </c>
      <c r="D1069" t="s">
        <v>459</v>
      </c>
      <c r="E1069" t="s">
        <v>134</v>
      </c>
      <c r="F1069" t="s">
        <v>459</v>
      </c>
      <c r="G1069" t="s">
        <v>33</v>
      </c>
      <c r="H1069" t="s">
        <v>455</v>
      </c>
      <c r="I1069" t="s">
        <v>135</v>
      </c>
      <c r="J1069" t="s">
        <v>39</v>
      </c>
      <c r="K1069" t="s">
        <v>31</v>
      </c>
      <c r="L1069">
        <v>8.2450165482258364E-2</v>
      </c>
      <c r="M1069">
        <v>1</v>
      </c>
      <c r="N1069">
        <v>2.3213699912174603</v>
      </c>
      <c r="O1069">
        <v>5.3471683850504323</v>
      </c>
      <c r="P1069">
        <v>-1.1565307758200241</v>
      </c>
      <c r="Q1069">
        <v>1.247676144441489</v>
      </c>
      <c r="R1069">
        <v>-1.8625523936223531</v>
      </c>
      <c r="S1069" s="2">
        <v>3.2793454937056807E-4</v>
      </c>
      <c r="T1069" s="2">
        <v>6.504665364677624E-4</v>
      </c>
      <c r="U1069" s="2">
        <v>1.1460299134195074E-3</v>
      </c>
      <c r="V1069" s="2">
        <v>1.8498046125828493E-3</v>
      </c>
      <c r="W1069" s="2">
        <v>2.7861013417483835E-3</v>
      </c>
      <c r="X1069" s="2">
        <v>3.9595330080529866E-3</v>
      </c>
      <c r="Y1069" s="2">
        <v>5.3445335143136388E-3</v>
      </c>
      <c r="Z1069" s="2">
        <v>6.875037348195322E-3</v>
      </c>
      <c r="AA1069" s="2">
        <v>8.4376885247614917E-3</v>
      </c>
      <c r="AB1069" s="2">
        <v>9.8733386017091033E-3</v>
      </c>
      <c r="AC1069" s="2">
        <v>1.0991854573853188E-2</v>
      </c>
      <c r="AD1069" s="2">
        <v>1.1603125421467382E-2</v>
      </c>
      <c r="AE1069" s="2">
        <v>1.156175004013563E-2</v>
      </c>
      <c r="AF1069" s="2">
        <v>1.0814884355382793E-2</v>
      </c>
      <c r="AG1069" s="2">
        <v>9.4354036895712024E-3</v>
      </c>
      <c r="AH1069" s="2">
        <v>7.7428248368910137E-3</v>
      </c>
      <c r="AI1069" s="2">
        <v>2.8043788296642246E-3</v>
      </c>
      <c r="AJ1069" s="2">
        <v>0</v>
      </c>
      <c r="AK1069" s="2">
        <v>0</v>
      </c>
      <c r="AL1069" s="2">
        <v>0</v>
      </c>
      <c r="AM1069" s="2">
        <v>0</v>
      </c>
      <c r="AN1069" s="2">
        <v>0</v>
      </c>
      <c r="AO1069" s="2">
        <v>0</v>
      </c>
      <c r="AP1069" s="2">
        <v>0</v>
      </c>
      <c r="AQ1069" s="2">
        <v>0</v>
      </c>
      <c r="AR1069" s="2">
        <v>0.10620468969758706</v>
      </c>
    </row>
    <row r="1070" spans="1:44" x14ac:dyDescent="0.25">
      <c r="A1070" t="s">
        <v>435</v>
      </c>
      <c r="B1070" t="s">
        <v>458</v>
      </c>
      <c r="C1070" t="s">
        <v>44</v>
      </c>
      <c r="D1070" t="s">
        <v>459</v>
      </c>
      <c r="E1070" t="s">
        <v>134</v>
      </c>
      <c r="F1070" t="s">
        <v>459</v>
      </c>
      <c r="G1070" t="s">
        <v>33</v>
      </c>
      <c r="H1070" t="s">
        <v>455</v>
      </c>
      <c r="I1070" t="s">
        <v>135</v>
      </c>
      <c r="J1070" t="s">
        <v>39</v>
      </c>
      <c r="K1070" t="s">
        <v>33</v>
      </c>
      <c r="L1070">
        <v>8.2450165482258364E-2</v>
      </c>
      <c r="M1070">
        <v>1</v>
      </c>
      <c r="N1070">
        <v>2.3213699912174603</v>
      </c>
      <c r="O1070">
        <v>5.3471683850504323</v>
      </c>
      <c r="P1070">
        <v>-1.1565307758200241</v>
      </c>
      <c r="Q1070">
        <v>1.247676144441489</v>
      </c>
      <c r="R1070">
        <v>-1.8625523936223531</v>
      </c>
      <c r="S1070" s="2">
        <v>8.3379910765638641E-3</v>
      </c>
      <c r="T1070" s="2">
        <v>1.6538617803709733E-2</v>
      </c>
      <c r="U1070" s="2">
        <v>2.9138702249909141E-2</v>
      </c>
      <c r="V1070" s="2">
        <v>4.7032721568088416E-2</v>
      </c>
      <c r="W1070" s="2">
        <v>7.0838794419462128E-2</v>
      </c>
      <c r="X1070" s="2">
        <v>0.10067420755718917</v>
      </c>
      <c r="Y1070" s="2">
        <v>0.13588892306796113</v>
      </c>
      <c r="Z1070" s="2">
        <v>0.17480317389650635</v>
      </c>
      <c r="AA1070" s="2">
        <v>0.21453479592596053</v>
      </c>
      <c r="AB1070" s="2">
        <v>0.25103731618078956</v>
      </c>
      <c r="AC1070" s="2">
        <v>0.27947645506576529</v>
      </c>
      <c r="AD1070" s="2">
        <v>0.29501849198305091</v>
      </c>
      <c r="AE1070" s="2">
        <v>0.29396649071939718</v>
      </c>
      <c r="AF1070" s="2">
        <v>0.27497684956443613</v>
      </c>
      <c r="AG1070" s="2">
        <v>0.23990248029195066</v>
      </c>
      <c r="AH1070" s="2">
        <v>0.19686734600336842</v>
      </c>
      <c r="AI1070" s="2">
        <v>7.1303513771042881E-2</v>
      </c>
      <c r="AJ1070" s="2">
        <v>0</v>
      </c>
      <c r="AK1070" s="2">
        <v>0</v>
      </c>
      <c r="AL1070" s="2">
        <v>0</v>
      </c>
      <c r="AM1070" s="2">
        <v>0</v>
      </c>
      <c r="AN1070" s="2">
        <v>0</v>
      </c>
      <c r="AO1070" s="2">
        <v>0</v>
      </c>
      <c r="AP1070" s="2">
        <v>0</v>
      </c>
      <c r="AQ1070" s="2">
        <v>0</v>
      </c>
      <c r="AR1070" s="2">
        <v>2.7003368711451516</v>
      </c>
    </row>
    <row r="1071" spans="1:44" x14ac:dyDescent="0.25">
      <c r="A1071" t="s">
        <v>435</v>
      </c>
      <c r="B1071" t="s">
        <v>458</v>
      </c>
      <c r="C1071" t="s">
        <v>44</v>
      </c>
      <c r="D1071" t="s">
        <v>459</v>
      </c>
      <c r="E1071" t="s">
        <v>134</v>
      </c>
      <c r="F1071" t="s">
        <v>459</v>
      </c>
      <c r="G1071" t="s">
        <v>33</v>
      </c>
      <c r="H1071" t="s">
        <v>456</v>
      </c>
      <c r="I1071" t="s">
        <v>135</v>
      </c>
      <c r="J1071" t="s">
        <v>39</v>
      </c>
      <c r="K1071" t="s">
        <v>31</v>
      </c>
      <c r="L1071">
        <v>8.2450165482258364E-2</v>
      </c>
      <c r="M1071">
        <v>1</v>
      </c>
      <c r="N1071">
        <v>2.3213699912174603</v>
      </c>
      <c r="O1071">
        <v>5.3471683850504323</v>
      </c>
      <c r="P1071">
        <v>-1.1565307758200241</v>
      </c>
      <c r="Q1071">
        <v>1.247676144441489</v>
      </c>
      <c r="R1071">
        <v>-1.8625523936223531</v>
      </c>
      <c r="S1071" s="2">
        <v>5.9110979094358022E-2</v>
      </c>
      <c r="T1071" s="2">
        <v>0.11724813354532204</v>
      </c>
      <c r="U1071" s="2">
        <v>0.20657460576713885</v>
      </c>
      <c r="V1071" s="2">
        <v>0.33343166187553086</v>
      </c>
      <c r="W1071" s="2">
        <v>0.50220136451908803</v>
      </c>
      <c r="X1071" s="2">
        <v>0.71371520113289599</v>
      </c>
      <c r="Y1071" s="2">
        <v>0.96336482215753694</v>
      </c>
      <c r="Z1071" s="2">
        <v>1.2392417625471992</v>
      </c>
      <c r="AA1071" s="2">
        <v>1.5209133375827359</v>
      </c>
      <c r="AB1071" s="2">
        <v>1.7796926636651746</v>
      </c>
      <c r="AC1071" s="2">
        <v>1.9813078163626181</v>
      </c>
      <c r="AD1071" s="2">
        <v>2.0914908341741474</v>
      </c>
      <c r="AE1071" s="2">
        <v>2.0840328237095092</v>
      </c>
      <c r="AF1071" s="2">
        <v>1.949408515406357</v>
      </c>
      <c r="AG1071" s="2">
        <v>1.7007538586940005</v>
      </c>
      <c r="AH1071" s="2">
        <v>1.3956625123617359</v>
      </c>
      <c r="AI1071" s="2">
        <v>0.50549592499820351</v>
      </c>
      <c r="AJ1071" s="2">
        <v>0</v>
      </c>
      <c r="AK1071" s="2">
        <v>0</v>
      </c>
      <c r="AL1071" s="2">
        <v>0</v>
      </c>
      <c r="AM1071" s="2">
        <v>0</v>
      </c>
      <c r="AN1071" s="2">
        <v>0</v>
      </c>
      <c r="AO1071" s="2">
        <v>0</v>
      </c>
      <c r="AP1071" s="2">
        <v>0</v>
      </c>
      <c r="AQ1071" s="2">
        <v>0</v>
      </c>
      <c r="AR1071" s="2">
        <v>19.143646817593552</v>
      </c>
    </row>
    <row r="1072" spans="1:44" x14ac:dyDescent="0.25">
      <c r="A1072" t="s">
        <v>435</v>
      </c>
      <c r="B1072" t="s">
        <v>458</v>
      </c>
      <c r="C1072" t="s">
        <v>44</v>
      </c>
      <c r="D1072" t="s">
        <v>459</v>
      </c>
      <c r="E1072" t="s">
        <v>134</v>
      </c>
      <c r="F1072" t="s">
        <v>459</v>
      </c>
      <c r="G1072" t="s">
        <v>33</v>
      </c>
      <c r="H1072" t="s">
        <v>456</v>
      </c>
      <c r="I1072" t="s">
        <v>135</v>
      </c>
      <c r="J1072" t="s">
        <v>39</v>
      </c>
      <c r="K1072" t="s">
        <v>33</v>
      </c>
      <c r="L1072">
        <v>8.2450165482258364E-2</v>
      </c>
      <c r="M1072">
        <v>1</v>
      </c>
      <c r="N1072">
        <v>2.3213699912174603</v>
      </c>
      <c r="O1072">
        <v>5.3471683850504323</v>
      </c>
      <c r="P1072">
        <v>-1.1565307758200241</v>
      </c>
      <c r="Q1072">
        <v>1.247676144441489</v>
      </c>
      <c r="R1072">
        <v>-1.8625523936223531</v>
      </c>
      <c r="S1072" s="2">
        <v>5.4577150822970516E-2</v>
      </c>
      <c r="T1072" s="2">
        <v>0.10825516961916819</v>
      </c>
      <c r="U1072" s="2">
        <v>0.19073027697869602</v>
      </c>
      <c r="V1072" s="2">
        <v>0.30785736217100629</v>
      </c>
      <c r="W1072" s="2">
        <v>0.46368238244045512</v>
      </c>
      <c r="X1072" s="2">
        <v>0.65897304990833283</v>
      </c>
      <c r="Y1072" s="2">
        <v>0.88947447668743584</v>
      </c>
      <c r="Z1072" s="2">
        <v>1.1441915802595428</v>
      </c>
      <c r="AA1072" s="2">
        <v>1.4042588684145696</v>
      </c>
      <c r="AB1072" s="2">
        <v>1.6431897493753274</v>
      </c>
      <c r="AC1072" s="2">
        <v>1.8293409646918555</v>
      </c>
      <c r="AD1072" s="2">
        <v>1.9310729148872781</v>
      </c>
      <c r="AE1072" s="2">
        <v>1.9241869358660522</v>
      </c>
      <c r="AF1072" s="2">
        <v>1.7998883488477144</v>
      </c>
      <c r="AG1072" s="2">
        <v>1.5703055723458856</v>
      </c>
      <c r="AH1072" s="2">
        <v>1.2886148157610668</v>
      </c>
      <c r="AI1072" s="2">
        <v>0.46672424922930911</v>
      </c>
      <c r="AJ1072" s="2">
        <v>0</v>
      </c>
      <c r="AK1072" s="2">
        <v>0</v>
      </c>
      <c r="AL1072" s="2">
        <v>0</v>
      </c>
      <c r="AM1072" s="2">
        <v>0</v>
      </c>
      <c r="AN1072" s="2">
        <v>0</v>
      </c>
      <c r="AO1072" s="2">
        <v>0</v>
      </c>
      <c r="AP1072" s="2">
        <v>0</v>
      </c>
      <c r="AQ1072" s="2">
        <v>0</v>
      </c>
      <c r="AR1072" s="2">
        <v>17.675323868306663</v>
      </c>
    </row>
    <row r="1073" spans="1:44" x14ac:dyDescent="0.25">
      <c r="A1073" t="s">
        <v>435</v>
      </c>
      <c r="B1073" t="s">
        <v>458</v>
      </c>
      <c r="C1073" t="s">
        <v>44</v>
      </c>
      <c r="D1073" t="s">
        <v>459</v>
      </c>
      <c r="E1073" t="s">
        <v>134</v>
      </c>
      <c r="F1073" t="s">
        <v>459</v>
      </c>
      <c r="G1073" t="s">
        <v>33</v>
      </c>
      <c r="H1073" t="s">
        <v>456</v>
      </c>
      <c r="I1073" t="s">
        <v>135</v>
      </c>
      <c r="J1073" t="s">
        <v>40</v>
      </c>
      <c r="K1073" t="s">
        <v>33</v>
      </c>
      <c r="L1073">
        <v>8.2450165482258364E-2</v>
      </c>
      <c r="M1073">
        <v>1</v>
      </c>
      <c r="N1073">
        <v>2.3213699912174603</v>
      </c>
      <c r="O1073">
        <v>4.1746294160814541</v>
      </c>
      <c r="P1073">
        <v>-1.1565307758200241</v>
      </c>
      <c r="Q1073">
        <v>1.3498045353129324</v>
      </c>
      <c r="R1073">
        <v>-1.7195523936223531</v>
      </c>
      <c r="S1073" s="2">
        <v>0.2014832194896668</v>
      </c>
      <c r="T1073" s="2">
        <v>0.39964710089061412</v>
      </c>
      <c r="U1073" s="2">
        <v>0.70412159081872594</v>
      </c>
      <c r="V1073" s="2">
        <v>1.136521264640737</v>
      </c>
      <c r="W1073" s="2">
        <v>1.7117826384484198</v>
      </c>
      <c r="X1073" s="2">
        <v>2.4327398856551237</v>
      </c>
      <c r="Y1073" s="2">
        <v>3.2836851780368717</v>
      </c>
      <c r="Z1073" s="2">
        <v>4.2240278180046369</v>
      </c>
      <c r="AA1073" s="2">
        <v>5.1841218080955924</v>
      </c>
      <c r="AB1073" s="2">
        <v>6.0661862325949079</v>
      </c>
      <c r="AC1073" s="2">
        <v>6.7534032383991471</v>
      </c>
      <c r="AD1073" s="2">
        <v>7.1289684802862192</v>
      </c>
      <c r="AE1073" s="2">
        <v>7.1035474166796719</v>
      </c>
      <c r="AF1073" s="2">
        <v>6.6446726107795699</v>
      </c>
      <c r="AG1073" s="2">
        <v>5.7971187122807812</v>
      </c>
      <c r="AH1073" s="2">
        <v>4.7571970659257676</v>
      </c>
      <c r="AI1073" s="2">
        <v>1.7230123399743473</v>
      </c>
      <c r="AJ1073" s="2">
        <v>0</v>
      </c>
      <c r="AK1073" s="2">
        <v>0</v>
      </c>
      <c r="AL1073" s="2">
        <v>0</v>
      </c>
      <c r="AM1073" s="2">
        <v>0</v>
      </c>
      <c r="AN1073" s="2">
        <v>0</v>
      </c>
      <c r="AO1073" s="2">
        <v>0</v>
      </c>
      <c r="AP1073" s="2">
        <v>0</v>
      </c>
      <c r="AQ1073" s="2">
        <v>0</v>
      </c>
      <c r="AR1073" s="2">
        <v>65.252236601000803</v>
      </c>
    </row>
    <row r="1074" spans="1:44" x14ac:dyDescent="0.25">
      <c r="A1074" t="s">
        <v>435</v>
      </c>
      <c r="B1074" t="s">
        <v>458</v>
      </c>
      <c r="C1074" t="s">
        <v>44</v>
      </c>
      <c r="D1074" t="s">
        <v>459</v>
      </c>
      <c r="E1074" t="s">
        <v>134</v>
      </c>
      <c r="F1074" t="s">
        <v>459</v>
      </c>
      <c r="G1074" t="s">
        <v>33</v>
      </c>
      <c r="H1074" t="s">
        <v>456</v>
      </c>
      <c r="I1074" t="s">
        <v>256</v>
      </c>
      <c r="J1074" t="s">
        <v>40</v>
      </c>
      <c r="K1074" t="s">
        <v>33</v>
      </c>
      <c r="L1074">
        <v>8.2450165482258364E-2</v>
      </c>
      <c r="M1074">
        <v>1</v>
      </c>
      <c r="N1074">
        <v>1.1488405989818342</v>
      </c>
      <c r="O1074">
        <v>1.4737622038640097</v>
      </c>
      <c r="P1074">
        <v>0.30640617552884364</v>
      </c>
      <c r="Q1074">
        <v>1.3498045353129324</v>
      </c>
      <c r="R1074">
        <v>-0.25661544227348526</v>
      </c>
      <c r="S1074" s="2">
        <v>0.30256333818509651</v>
      </c>
      <c r="T1074" s="2">
        <v>0.60014209246672134</v>
      </c>
      <c r="U1074" s="2">
        <v>1.0573653704061463</v>
      </c>
      <c r="V1074" s="2">
        <v>1.7066913493790217</v>
      </c>
      <c r="W1074" s="2">
        <v>2.5705498981408144</v>
      </c>
      <c r="X1074" s="2">
        <v>3.653197038464008</v>
      </c>
      <c r="Y1074" s="2">
        <v>4.9310446375248267</v>
      </c>
      <c r="Z1074" s="2">
        <v>6.3431384531143911</v>
      </c>
      <c r="AA1074" s="2">
        <v>7.7848924778373618</v>
      </c>
      <c r="AB1074" s="2">
        <v>9.1094710578640541</v>
      </c>
      <c r="AC1074" s="2">
        <v>10.14145114960743</v>
      </c>
      <c r="AD1074" s="2">
        <v>10.705429993996869</v>
      </c>
      <c r="AE1074" s="2">
        <v>10.667255689037411</v>
      </c>
      <c r="AF1074" s="2">
        <v>9.9781725314730476</v>
      </c>
      <c r="AG1074" s="2">
        <v>8.7054177210669259</v>
      </c>
      <c r="AH1074" s="2">
        <v>7.1437880946937389</v>
      </c>
      <c r="AI1074" s="2">
        <v>2.5874133172836844</v>
      </c>
      <c r="AJ1074" s="2">
        <v>0</v>
      </c>
      <c r="AK1074" s="2">
        <v>0</v>
      </c>
      <c r="AL1074" s="2">
        <v>0</v>
      </c>
      <c r="AM1074" s="2">
        <v>0</v>
      </c>
      <c r="AN1074" s="2">
        <v>0</v>
      </c>
      <c r="AO1074" s="2">
        <v>0</v>
      </c>
      <c r="AP1074" s="2">
        <v>0</v>
      </c>
      <c r="AQ1074" s="2">
        <v>0</v>
      </c>
      <c r="AR1074" s="2">
        <v>97.987984210541569</v>
      </c>
    </row>
    <row r="1075" spans="1:44" x14ac:dyDescent="0.25">
      <c r="A1075" t="s">
        <v>435</v>
      </c>
      <c r="B1075" t="s">
        <v>458</v>
      </c>
      <c r="C1075" t="s">
        <v>44</v>
      </c>
      <c r="D1075" t="s">
        <v>459</v>
      </c>
      <c r="E1075" t="s">
        <v>134</v>
      </c>
      <c r="F1075" t="s">
        <v>459</v>
      </c>
      <c r="G1075" t="s">
        <v>33</v>
      </c>
      <c r="H1075" t="s">
        <v>457</v>
      </c>
      <c r="I1075" t="s">
        <v>135</v>
      </c>
      <c r="J1075" t="s">
        <v>39</v>
      </c>
      <c r="K1075" t="s">
        <v>31</v>
      </c>
      <c r="L1075">
        <v>8.2450165482258364E-2</v>
      </c>
      <c r="M1075">
        <v>1</v>
      </c>
      <c r="N1075">
        <v>2.3213699912174603</v>
      </c>
      <c r="O1075">
        <v>5.3471683850504323</v>
      </c>
      <c r="P1075">
        <v>-1.1565307758200241</v>
      </c>
      <c r="Q1075">
        <v>1.247676144441489</v>
      </c>
      <c r="R1075">
        <v>-1.8625523936223531</v>
      </c>
      <c r="S1075" s="2">
        <v>2.1853265492107993E-2</v>
      </c>
      <c r="T1075" s="2">
        <v>4.3346509059340156E-2</v>
      </c>
      <c r="U1075" s="2">
        <v>7.637040991235601E-2</v>
      </c>
      <c r="V1075" s="2">
        <v>0.1232693273242744</v>
      </c>
      <c r="W1075" s="2">
        <v>0.18566330515039711</v>
      </c>
      <c r="X1075" s="2">
        <v>0.26385974340254376</v>
      </c>
      <c r="Y1075" s="2">
        <v>0.35615494019748822</v>
      </c>
      <c r="Z1075" s="2">
        <v>0.45814634879625338</v>
      </c>
      <c r="AA1075" s="2">
        <v>0.56228002760076046</v>
      </c>
      <c r="AB1075" s="2">
        <v>0.65795046655121403</v>
      </c>
      <c r="AC1075" s="2">
        <v>0.73248737198964331</v>
      </c>
      <c r="AD1075" s="2">
        <v>0.77322191534940377</v>
      </c>
      <c r="AE1075" s="2">
        <v>0.77046469688975849</v>
      </c>
      <c r="AF1075" s="2">
        <v>0.72069423468266258</v>
      </c>
      <c r="AG1075" s="2">
        <v>0.6287668751254808</v>
      </c>
      <c r="AH1075" s="2">
        <v>0.51597493202298506</v>
      </c>
      <c r="AI1075" s="2">
        <v>0.18688130062150593</v>
      </c>
      <c r="AJ1075" s="2">
        <v>0</v>
      </c>
      <c r="AK1075" s="2">
        <v>0</v>
      </c>
      <c r="AL1075" s="2">
        <v>0</v>
      </c>
      <c r="AM1075" s="2">
        <v>0</v>
      </c>
      <c r="AN1075" s="2">
        <v>0</v>
      </c>
      <c r="AO1075" s="2">
        <v>0</v>
      </c>
      <c r="AP1075" s="2">
        <v>0</v>
      </c>
      <c r="AQ1075" s="2">
        <v>0</v>
      </c>
      <c r="AR1075" s="2">
        <v>7.0773856701681757</v>
      </c>
    </row>
    <row r="1076" spans="1:44" x14ac:dyDescent="0.25">
      <c r="A1076" t="s">
        <v>435</v>
      </c>
      <c r="B1076" t="s">
        <v>458</v>
      </c>
      <c r="C1076" t="s">
        <v>44</v>
      </c>
      <c r="D1076" t="s">
        <v>459</v>
      </c>
      <c r="E1076" t="s">
        <v>134</v>
      </c>
      <c r="F1076" t="s">
        <v>459</v>
      </c>
      <c r="G1076" t="s">
        <v>33</v>
      </c>
      <c r="H1076" t="s">
        <v>457</v>
      </c>
      <c r="I1076" t="s">
        <v>135</v>
      </c>
      <c r="J1076" t="s">
        <v>39</v>
      </c>
      <c r="K1076" t="s">
        <v>33</v>
      </c>
      <c r="L1076">
        <v>8.2450165482258364E-2</v>
      </c>
      <c r="M1076">
        <v>1</v>
      </c>
      <c r="N1076">
        <v>2.3213699912174603</v>
      </c>
      <c r="O1076">
        <v>5.3471683850504323</v>
      </c>
      <c r="P1076">
        <v>-1.1565307758200241</v>
      </c>
      <c r="Q1076">
        <v>1.247676144441489</v>
      </c>
      <c r="R1076">
        <v>-1.8625523936223531</v>
      </c>
      <c r="S1076" s="2">
        <v>6.3941468319220433E-3</v>
      </c>
      <c r="T1076" s="2">
        <v>1.2682953203344092E-2</v>
      </c>
      <c r="U1076" s="2">
        <v>2.2345567291535001E-2</v>
      </c>
      <c r="V1076" s="2">
        <v>3.606793589124329E-2</v>
      </c>
      <c r="W1076" s="2">
        <v>5.4324075038593801E-2</v>
      </c>
      <c r="X1076" s="2">
        <v>7.7203928308033951E-2</v>
      </c>
      <c r="Y1076" s="2">
        <v>0.10420900177868481</v>
      </c>
      <c r="Z1076" s="2">
        <v>0.13405113417810019</v>
      </c>
      <c r="AA1076" s="2">
        <v>0.16452008320838071</v>
      </c>
      <c r="AB1076" s="2">
        <v>0.19251273420804715</v>
      </c>
      <c r="AC1076" s="2">
        <v>0.21432182804542002</v>
      </c>
      <c r="AD1076" s="2">
        <v>0.22624053426658705</v>
      </c>
      <c r="AE1076" s="2">
        <v>0.22543378711545647</v>
      </c>
      <c r="AF1076" s="2">
        <v>0.21087122009956935</v>
      </c>
      <c r="AG1076" s="2">
        <v>0.18397377380753635</v>
      </c>
      <c r="AH1076" s="2">
        <v>0.15097146365322056</v>
      </c>
      <c r="AI1076" s="2">
        <v>5.4680453900403159E-2</v>
      </c>
      <c r="AJ1076" s="2">
        <v>0</v>
      </c>
      <c r="AK1076" s="2">
        <v>0</v>
      </c>
      <c r="AL1076" s="2">
        <v>0</v>
      </c>
      <c r="AM1076" s="2">
        <v>0</v>
      </c>
      <c r="AN1076" s="2">
        <v>0</v>
      </c>
      <c r="AO1076" s="2">
        <v>0</v>
      </c>
      <c r="AP1076" s="2">
        <v>0</v>
      </c>
      <c r="AQ1076" s="2">
        <v>0</v>
      </c>
      <c r="AR1076" s="2">
        <v>2.0708046208260775</v>
      </c>
    </row>
    <row r="1077" spans="1:44" x14ac:dyDescent="0.25">
      <c r="A1077" t="s">
        <v>435</v>
      </c>
      <c r="B1077" t="s">
        <v>458</v>
      </c>
      <c r="C1077" t="s">
        <v>44</v>
      </c>
      <c r="D1077" t="s">
        <v>459</v>
      </c>
      <c r="E1077" t="s">
        <v>134</v>
      </c>
      <c r="F1077" t="s">
        <v>459</v>
      </c>
      <c r="G1077" t="s">
        <v>33</v>
      </c>
      <c r="H1077" t="s">
        <v>457</v>
      </c>
      <c r="I1077" t="s">
        <v>256</v>
      </c>
      <c r="J1077" t="s">
        <v>39</v>
      </c>
      <c r="K1077" t="s">
        <v>33</v>
      </c>
      <c r="L1077">
        <v>8.2450165482258364E-2</v>
      </c>
      <c r="M1077">
        <v>1</v>
      </c>
      <c r="N1077">
        <v>1.1488405989818342</v>
      </c>
      <c r="O1077">
        <v>2.6463011728329873</v>
      </c>
      <c r="P1077">
        <v>0.30640617552884364</v>
      </c>
      <c r="Q1077">
        <v>1.3498045353129324</v>
      </c>
      <c r="R1077">
        <v>-0.39961544227348528</v>
      </c>
      <c r="S1077" s="2">
        <v>1.7584332828844522E-2</v>
      </c>
      <c r="T1077" s="2">
        <v>3.4878972323071196E-2</v>
      </c>
      <c r="U1077" s="2">
        <v>6.1451809417642091E-2</v>
      </c>
      <c r="V1077" s="2">
        <v>9.9189243824481146E-2</v>
      </c>
      <c r="W1077" s="2">
        <v>0.14939485144894846</v>
      </c>
      <c r="X1077" s="2">
        <v>0.21231598315590139</v>
      </c>
      <c r="Y1077" s="2">
        <v>0.28658174721446344</v>
      </c>
      <c r="Z1077" s="2">
        <v>0.36864961369103377</v>
      </c>
      <c r="AA1077" s="2">
        <v>0.45244126796127221</v>
      </c>
      <c r="AB1077" s="2">
        <v>0.52942293649012273</v>
      </c>
      <c r="AC1077" s="2">
        <v>0.58939940791196987</v>
      </c>
      <c r="AD1077" s="2">
        <v>0.62217664975382192</v>
      </c>
      <c r="AE1077" s="2">
        <v>0.6199580409562605</v>
      </c>
      <c r="AF1077" s="2">
        <v>0.57991000452842967</v>
      </c>
      <c r="AG1077" s="2">
        <v>0.50594022243274639</v>
      </c>
      <c r="AH1077" s="2">
        <v>0.41518165508533317</v>
      </c>
      <c r="AI1077" s="2">
        <v>0.15037491723160101</v>
      </c>
      <c r="AJ1077" s="2">
        <v>0</v>
      </c>
      <c r="AK1077" s="2">
        <v>0</v>
      </c>
      <c r="AL1077" s="2">
        <v>0</v>
      </c>
      <c r="AM1077" s="2">
        <v>0</v>
      </c>
      <c r="AN1077" s="2">
        <v>0</v>
      </c>
      <c r="AO1077" s="2">
        <v>0</v>
      </c>
      <c r="AP1077" s="2">
        <v>0</v>
      </c>
      <c r="AQ1077" s="2">
        <v>0</v>
      </c>
      <c r="AR1077" s="2">
        <v>5.6948516562559437</v>
      </c>
    </row>
    <row r="1078" spans="1:44" x14ac:dyDescent="0.25">
      <c r="A1078" t="s">
        <v>435</v>
      </c>
      <c r="B1078" t="s">
        <v>458</v>
      </c>
      <c r="C1078" t="s">
        <v>44</v>
      </c>
      <c r="D1078" t="s">
        <v>459</v>
      </c>
      <c r="E1078" t="s">
        <v>134</v>
      </c>
      <c r="F1078" t="s">
        <v>459</v>
      </c>
      <c r="G1078" t="s">
        <v>33</v>
      </c>
      <c r="H1078" t="s">
        <v>457</v>
      </c>
      <c r="I1078" t="s">
        <v>256</v>
      </c>
      <c r="J1078" t="s">
        <v>40</v>
      </c>
      <c r="K1078" t="s">
        <v>33</v>
      </c>
      <c r="L1078">
        <v>8.2450165482258364E-2</v>
      </c>
      <c r="M1078">
        <v>1</v>
      </c>
      <c r="N1078">
        <v>1.1488405989818342</v>
      </c>
      <c r="O1078">
        <v>1.4737622038640097</v>
      </c>
      <c r="P1078">
        <v>0.30640617552884364</v>
      </c>
      <c r="Q1078">
        <v>1.3498045353129324</v>
      </c>
      <c r="R1078">
        <v>-0.25661544227348526</v>
      </c>
      <c r="S1078" s="2">
        <v>0.16090339099180101</v>
      </c>
      <c r="T1078" s="2">
        <v>0.31915597684123842</v>
      </c>
      <c r="U1078" s="2">
        <v>0.56230762998645079</v>
      </c>
      <c r="V1078" s="2">
        <v>0.90761963144212765</v>
      </c>
      <c r="W1078" s="2">
        <v>1.3670202008131431</v>
      </c>
      <c r="X1078" s="2">
        <v>1.9427726934003593</v>
      </c>
      <c r="Y1078" s="2">
        <v>2.6223329239720914</v>
      </c>
      <c r="Z1078" s="2">
        <v>3.373285384669471</v>
      </c>
      <c r="AA1078" s="2">
        <v>4.1400111649491853</v>
      </c>
      <c r="AB1078" s="2">
        <v>4.8444229632848286</v>
      </c>
      <c r="AC1078" s="2">
        <v>5.3932306846484686</v>
      </c>
      <c r="AD1078" s="2">
        <v>5.6931550213319282</v>
      </c>
      <c r="AE1078" s="2">
        <v>5.6728538997433793</v>
      </c>
      <c r="AF1078" s="2">
        <v>5.3063990034148167</v>
      </c>
      <c r="AG1078" s="2">
        <v>4.6295471213464436</v>
      </c>
      <c r="AH1078" s="2">
        <v>3.7990714138005872</v>
      </c>
      <c r="AI1078" s="2">
        <v>1.3759881786920076</v>
      </c>
      <c r="AJ1078" s="2">
        <v>0</v>
      </c>
      <c r="AK1078" s="2">
        <v>0</v>
      </c>
      <c r="AL1078" s="2">
        <v>0</v>
      </c>
      <c r="AM1078" s="2">
        <v>0</v>
      </c>
      <c r="AN1078" s="2">
        <v>0</v>
      </c>
      <c r="AO1078" s="2">
        <v>0</v>
      </c>
      <c r="AP1078" s="2">
        <v>0</v>
      </c>
      <c r="AQ1078" s="2">
        <v>0</v>
      </c>
      <c r="AR1078" s="2">
        <v>52.11007728332833</v>
      </c>
    </row>
    <row r="1079" spans="1:44" x14ac:dyDescent="0.25">
      <c r="A1079" t="s">
        <v>435</v>
      </c>
      <c r="B1079" t="s">
        <v>440</v>
      </c>
      <c r="C1079" t="s">
        <v>44</v>
      </c>
      <c r="D1079" t="s">
        <v>441</v>
      </c>
      <c r="E1079" t="s">
        <v>134</v>
      </c>
      <c r="F1079" t="s">
        <v>441</v>
      </c>
      <c r="G1079" t="s">
        <v>33</v>
      </c>
      <c r="H1079" t="s">
        <v>437</v>
      </c>
      <c r="I1079" t="s">
        <v>135</v>
      </c>
      <c r="J1079" t="s">
        <v>39</v>
      </c>
      <c r="K1079" t="s">
        <v>31</v>
      </c>
      <c r="L1079">
        <v>0.11742925210440458</v>
      </c>
      <c r="M1079">
        <v>1</v>
      </c>
      <c r="N1079">
        <v>6.8697622499189688</v>
      </c>
      <c r="O1079">
        <v>5.3471683850504297</v>
      </c>
      <c r="P1079">
        <v>-1.9826031070438808</v>
      </c>
      <c r="Q1079">
        <v>0.42160381321763152</v>
      </c>
      <c r="R1079">
        <v>-1.862552393622352</v>
      </c>
      <c r="S1079" s="2">
        <v>6.0237685284919885E-2</v>
      </c>
      <c r="T1079" s="2">
        <v>9.7229528467439152E-2</v>
      </c>
      <c r="U1079" s="2">
        <v>0.14644320696252033</v>
      </c>
      <c r="V1079" s="2">
        <v>0.20812118464052651</v>
      </c>
      <c r="W1079" s="2">
        <v>0.28091965494105209</v>
      </c>
      <c r="X1079" s="2">
        <v>0.36136607888965644</v>
      </c>
      <c r="Y1079" s="2">
        <v>0.44350223317487741</v>
      </c>
      <c r="Z1079" s="2">
        <v>0.51896294890471606</v>
      </c>
      <c r="AA1079" s="2">
        <v>0.57775444494440809</v>
      </c>
      <c r="AB1079" s="2">
        <v>0.60988409576003333</v>
      </c>
      <c r="AC1079" s="2">
        <v>0.6077093207650518</v>
      </c>
      <c r="AD1079" s="2">
        <v>0.56845252690527481</v>
      </c>
      <c r="AE1079" s="2">
        <v>0.49594419075212182</v>
      </c>
      <c r="AF1079" s="2">
        <v>0.40697877104205338</v>
      </c>
      <c r="AG1079" s="2">
        <v>7.292721500031335E-2</v>
      </c>
      <c r="AH1079" s="2">
        <v>0</v>
      </c>
      <c r="AI1079" s="2">
        <v>0</v>
      </c>
      <c r="AJ1079" s="2">
        <v>0</v>
      </c>
      <c r="AK1079" s="2">
        <v>0</v>
      </c>
      <c r="AL1079" s="2">
        <v>0</v>
      </c>
      <c r="AM1079" s="2">
        <v>0</v>
      </c>
      <c r="AN1079" s="2">
        <v>0</v>
      </c>
      <c r="AO1079" s="2">
        <v>0</v>
      </c>
      <c r="AP1079" s="2">
        <v>0</v>
      </c>
      <c r="AQ1079" s="2">
        <v>0</v>
      </c>
      <c r="AR1079" s="2">
        <v>5.4564330864349637</v>
      </c>
    </row>
    <row r="1080" spans="1:44" x14ac:dyDescent="0.25">
      <c r="A1080" t="s">
        <v>435</v>
      </c>
      <c r="B1080" t="s">
        <v>468</v>
      </c>
      <c r="C1080" t="s">
        <v>47</v>
      </c>
      <c r="D1080" t="s">
        <v>187</v>
      </c>
      <c r="E1080" t="s">
        <v>134</v>
      </c>
      <c r="F1080" t="s">
        <v>187</v>
      </c>
      <c r="G1080" t="s">
        <v>33</v>
      </c>
      <c r="H1080" t="s">
        <v>450</v>
      </c>
      <c r="I1080" t="s">
        <v>135</v>
      </c>
      <c r="J1080" t="s">
        <v>39</v>
      </c>
      <c r="K1080" t="s">
        <v>31</v>
      </c>
      <c r="L1080">
        <v>6.3919579739479149E-2</v>
      </c>
      <c r="M1080">
        <v>1</v>
      </c>
      <c r="N1080">
        <v>3.1656152093206575</v>
      </c>
      <c r="O1080">
        <v>2.8779545327574692</v>
      </c>
      <c r="P1080">
        <v>-0.574311889298731</v>
      </c>
      <c r="Q1080">
        <v>0.4924341706281804</v>
      </c>
      <c r="R1080">
        <v>-0.52509153328775149</v>
      </c>
      <c r="S1080" s="2">
        <v>3.1845341573239617E-3</v>
      </c>
      <c r="T1080" s="2">
        <v>5.14015027371207E-3</v>
      </c>
      <c r="U1080" s="2">
        <v>7.7418876982804103E-3</v>
      </c>
      <c r="V1080" s="2">
        <v>1.1002564560966018E-2</v>
      </c>
      <c r="W1080" s="2">
        <v>1.4851138990352248E-2</v>
      </c>
      <c r="X1080" s="2">
        <v>1.9104031240231391E-2</v>
      </c>
      <c r="Y1080" s="2">
        <v>2.3446253017767021E-2</v>
      </c>
      <c r="Z1080" s="2">
        <v>2.743557009794946E-2</v>
      </c>
      <c r="AA1080" s="2">
        <v>3.0543649806076066E-2</v>
      </c>
      <c r="AB1080" s="2">
        <v>3.224222055960508E-2</v>
      </c>
      <c r="AC1080" s="2">
        <v>3.2127248591089771E-2</v>
      </c>
      <c r="AD1080" s="2">
        <v>3.0051893265562648E-2</v>
      </c>
      <c r="AE1080" s="2">
        <v>2.6218657109852515E-2</v>
      </c>
      <c r="AF1080" s="2">
        <v>2.15153984014987E-2</v>
      </c>
      <c r="AG1080" s="2">
        <v>3.8553806652517645E-3</v>
      </c>
      <c r="AH1080" s="2">
        <v>0</v>
      </c>
      <c r="AI1080" s="2">
        <v>0</v>
      </c>
      <c r="AJ1080" s="2">
        <v>0</v>
      </c>
      <c r="AK1080" s="2">
        <v>0</v>
      </c>
      <c r="AL1080" s="2">
        <v>0</v>
      </c>
      <c r="AM1080" s="2">
        <v>0</v>
      </c>
      <c r="AN1080" s="2">
        <v>0</v>
      </c>
      <c r="AO1080" s="2">
        <v>0</v>
      </c>
      <c r="AP1080" s="2">
        <v>0</v>
      </c>
      <c r="AQ1080" s="2">
        <v>0</v>
      </c>
      <c r="AR1080" s="2">
        <v>0.28846057843551909</v>
      </c>
    </row>
    <row r="1081" spans="1:44" x14ac:dyDescent="0.25">
      <c r="A1081" t="s">
        <v>435</v>
      </c>
      <c r="B1081" t="s">
        <v>468</v>
      </c>
      <c r="C1081" t="s">
        <v>47</v>
      </c>
      <c r="D1081" t="s">
        <v>187</v>
      </c>
      <c r="E1081" t="s">
        <v>134</v>
      </c>
      <c r="F1081" t="s">
        <v>187</v>
      </c>
      <c r="G1081" t="s">
        <v>33</v>
      </c>
      <c r="H1081" t="s">
        <v>450</v>
      </c>
      <c r="I1081" t="s">
        <v>135</v>
      </c>
      <c r="J1081" t="s">
        <v>39</v>
      </c>
      <c r="K1081" t="s">
        <v>33</v>
      </c>
      <c r="L1081">
        <v>6.3919579739479149E-2</v>
      </c>
      <c r="M1081">
        <v>1</v>
      </c>
      <c r="N1081">
        <v>3.1656152093206575</v>
      </c>
      <c r="O1081">
        <v>2.8779545327574692</v>
      </c>
      <c r="P1081">
        <v>-0.574311889298731</v>
      </c>
      <c r="Q1081">
        <v>0.4924341706281804</v>
      </c>
      <c r="R1081">
        <v>-0.52509153328775149</v>
      </c>
      <c r="S1081" s="2">
        <v>1.961928523899517E-3</v>
      </c>
      <c r="T1081" s="2">
        <v>3.1645374958061108E-3</v>
      </c>
      <c r="U1081" s="2">
        <v>4.7629767047471612E-3</v>
      </c>
      <c r="V1081" s="2">
        <v>6.7642971247396646E-3</v>
      </c>
      <c r="W1081" s="2">
        <v>9.1240083302141679E-3</v>
      </c>
      <c r="X1081" s="2">
        <v>1.1728651722888776E-2</v>
      </c>
      <c r="Y1081" s="2">
        <v>1.438446381714042E-2</v>
      </c>
      <c r="Z1081" s="2">
        <v>1.6820208698395653E-2</v>
      </c>
      <c r="AA1081" s="2">
        <v>1.8712658110701622E-2</v>
      </c>
      <c r="AB1081" s="2">
        <v>1.973952309101774E-2</v>
      </c>
      <c r="AC1081" s="2">
        <v>1.9655423480711157E-2</v>
      </c>
      <c r="AD1081" s="2">
        <v>1.8372906688209609E-2</v>
      </c>
      <c r="AE1081" s="2">
        <v>1.6018197189558873E-2</v>
      </c>
      <c r="AF1081" s="2">
        <v>1.3135594837631912E-2</v>
      </c>
      <c r="AG1081" s="2">
        <v>4.2007591880776615E-4</v>
      </c>
      <c r="AH1081" s="2">
        <v>0</v>
      </c>
      <c r="AI1081" s="2">
        <v>0</v>
      </c>
      <c r="AJ1081" s="2">
        <v>0</v>
      </c>
      <c r="AK1081" s="2">
        <v>0</v>
      </c>
      <c r="AL1081" s="2">
        <v>0</v>
      </c>
      <c r="AM1081" s="2">
        <v>0</v>
      </c>
      <c r="AN1081" s="2">
        <v>0</v>
      </c>
      <c r="AO1081" s="2">
        <v>0</v>
      </c>
      <c r="AP1081" s="2">
        <v>0</v>
      </c>
      <c r="AQ1081" s="2">
        <v>0</v>
      </c>
      <c r="AR1081" s="2">
        <v>0.17476545173447014</v>
      </c>
    </row>
    <row r="1082" spans="1:44" x14ac:dyDescent="0.25">
      <c r="A1082" t="s">
        <v>435</v>
      </c>
      <c r="B1082" t="s">
        <v>468</v>
      </c>
      <c r="C1082" t="s">
        <v>47</v>
      </c>
      <c r="D1082" t="s">
        <v>187</v>
      </c>
      <c r="E1082" t="s">
        <v>134</v>
      </c>
      <c r="F1082" t="s">
        <v>187</v>
      </c>
      <c r="G1082" t="s">
        <v>33</v>
      </c>
      <c r="H1082" t="s">
        <v>450</v>
      </c>
      <c r="I1082" t="s">
        <v>256</v>
      </c>
      <c r="J1082" t="s">
        <v>40</v>
      </c>
      <c r="K1082" t="s">
        <v>33</v>
      </c>
      <c r="L1082">
        <v>6.3919579739479149E-2</v>
      </c>
      <c r="M1082">
        <v>1</v>
      </c>
      <c r="N1082">
        <v>2.9108073618997499</v>
      </c>
      <c r="O1082">
        <v>1.473762203864009</v>
      </c>
      <c r="P1082">
        <v>-0.44883579828446457</v>
      </c>
      <c r="Q1082">
        <v>1.3498045353129324</v>
      </c>
      <c r="R1082">
        <v>-0.25661544227348498</v>
      </c>
      <c r="S1082" s="2">
        <v>5.1249505411123254E-2</v>
      </c>
      <c r="T1082" s="2">
        <v>8.2721725141726835E-2</v>
      </c>
      <c r="U1082" s="2">
        <v>0.12459213683509167</v>
      </c>
      <c r="V1082" s="2">
        <v>0.17706702586518944</v>
      </c>
      <c r="W1082" s="2">
        <v>0.23900309761066676</v>
      </c>
      <c r="X1082" s="2">
        <v>0.30744595725839025</v>
      </c>
      <c r="Y1082" s="2">
        <v>0.37732641935747241</v>
      </c>
      <c r="Z1082" s="2">
        <v>0.44152749781577372</v>
      </c>
      <c r="AA1082" s="2">
        <v>0.49154660263633221</v>
      </c>
      <c r="AB1082" s="2">
        <v>0.51888212699362557</v>
      </c>
      <c r="AC1082" s="2">
        <v>0.5170318543221889</v>
      </c>
      <c r="AD1082" s="2">
        <v>0.48363264152335889</v>
      </c>
      <c r="AE1082" s="2">
        <v>0.42194341245593919</v>
      </c>
      <c r="AF1082" s="2">
        <v>0.34625269264709857</v>
      </c>
      <c r="AG1082" s="2">
        <v>6.2045606203137219E-2</v>
      </c>
      <c r="AH1082" s="2">
        <v>0</v>
      </c>
      <c r="AI1082" s="2">
        <v>0</v>
      </c>
      <c r="AJ1082" s="2">
        <v>0</v>
      </c>
      <c r="AK1082" s="2">
        <v>0</v>
      </c>
      <c r="AL1082" s="2">
        <v>0</v>
      </c>
      <c r="AM1082" s="2">
        <v>0</v>
      </c>
      <c r="AN1082" s="2">
        <v>0</v>
      </c>
      <c r="AO1082" s="2">
        <v>0</v>
      </c>
      <c r="AP1082" s="2">
        <v>0</v>
      </c>
      <c r="AQ1082" s="2">
        <v>0</v>
      </c>
      <c r="AR1082" s="2">
        <v>4.6422683020771158</v>
      </c>
    </row>
    <row r="1083" spans="1:44" x14ac:dyDescent="0.25">
      <c r="A1083" t="s">
        <v>435</v>
      </c>
      <c r="B1083" t="s">
        <v>468</v>
      </c>
      <c r="C1083" t="s">
        <v>47</v>
      </c>
      <c r="D1083" t="s">
        <v>187</v>
      </c>
      <c r="E1083" t="s">
        <v>134</v>
      </c>
      <c r="F1083" t="s">
        <v>187</v>
      </c>
      <c r="G1083" t="s">
        <v>33</v>
      </c>
      <c r="H1083" t="s">
        <v>451</v>
      </c>
      <c r="I1083" t="s">
        <v>135</v>
      </c>
      <c r="J1083" t="s">
        <v>39</v>
      </c>
      <c r="K1083" t="s">
        <v>31</v>
      </c>
      <c r="L1083">
        <v>6.3919579739479149E-2</v>
      </c>
      <c r="M1083">
        <v>1</v>
      </c>
      <c r="N1083">
        <v>3.1656152093206575</v>
      </c>
      <c r="O1083">
        <v>2.8779545327574692</v>
      </c>
      <c r="P1083">
        <v>-0.574311889298731</v>
      </c>
      <c r="Q1083">
        <v>0.4924341706281804</v>
      </c>
      <c r="R1083">
        <v>-0.52509153328775149</v>
      </c>
      <c r="S1083" s="2">
        <v>8.3301940222589544E-4</v>
      </c>
      <c r="T1083" s="2">
        <v>1.3445749666434845E-3</v>
      </c>
      <c r="U1083" s="2">
        <v>2.025144760243654E-3</v>
      </c>
      <c r="V1083" s="2">
        <v>2.8780817855097508E-3</v>
      </c>
      <c r="W1083" s="2">
        <v>3.8848027098923625E-3</v>
      </c>
      <c r="X1083" s="2">
        <v>4.9972862270114002E-3</v>
      </c>
      <c r="Y1083" s="2">
        <v>6.133136813237983E-3</v>
      </c>
      <c r="Z1083" s="2">
        <v>7.1766735960921736E-3</v>
      </c>
      <c r="AA1083" s="2">
        <v>7.9896938284484582E-3</v>
      </c>
      <c r="AB1083" s="2">
        <v>8.4340107438406111E-3</v>
      </c>
      <c r="AC1083" s="2">
        <v>8.4039360529270021E-3</v>
      </c>
      <c r="AD1083" s="2">
        <v>7.8610587693843138E-3</v>
      </c>
      <c r="AE1083" s="2">
        <v>6.8583500737728837E-3</v>
      </c>
      <c r="AF1083" s="2">
        <v>5.6280584316700626E-3</v>
      </c>
      <c r="AG1083" s="2">
        <v>1.0085013187046933E-3</v>
      </c>
      <c r="AH1083" s="2">
        <v>0</v>
      </c>
      <c r="AI1083" s="2">
        <v>0</v>
      </c>
      <c r="AJ1083" s="2">
        <v>0</v>
      </c>
      <c r="AK1083" s="2">
        <v>0</v>
      </c>
      <c r="AL1083" s="2">
        <v>0</v>
      </c>
      <c r="AM1083" s="2">
        <v>0</v>
      </c>
      <c r="AN1083" s="2">
        <v>0</v>
      </c>
      <c r="AO1083" s="2">
        <v>0</v>
      </c>
      <c r="AP1083" s="2">
        <v>0</v>
      </c>
      <c r="AQ1083" s="2">
        <v>0</v>
      </c>
      <c r="AR1083" s="2">
        <v>7.545632947960472E-2</v>
      </c>
    </row>
    <row r="1084" spans="1:44" x14ac:dyDescent="0.25">
      <c r="A1084" t="s">
        <v>435</v>
      </c>
      <c r="B1084" t="s">
        <v>468</v>
      </c>
      <c r="C1084" t="s">
        <v>47</v>
      </c>
      <c r="D1084" t="s">
        <v>187</v>
      </c>
      <c r="E1084" t="s">
        <v>134</v>
      </c>
      <c r="F1084" t="s">
        <v>187</v>
      </c>
      <c r="G1084" t="s">
        <v>33</v>
      </c>
      <c r="H1084" t="s">
        <v>451</v>
      </c>
      <c r="I1084" t="s">
        <v>135</v>
      </c>
      <c r="J1084" t="s">
        <v>39</v>
      </c>
      <c r="K1084" t="s">
        <v>33</v>
      </c>
      <c r="L1084">
        <v>6.3919579739479149E-2</v>
      </c>
      <c r="M1084">
        <v>1</v>
      </c>
      <c r="N1084">
        <v>3.1656152093206575</v>
      </c>
      <c r="O1084">
        <v>2.8779545327574692</v>
      </c>
      <c r="P1084">
        <v>-0.574311889298731</v>
      </c>
      <c r="Q1084">
        <v>0.4924341706281804</v>
      </c>
      <c r="R1084">
        <v>-0.52509153328775149</v>
      </c>
      <c r="S1084" s="2">
        <v>3.7525963263719542E-3</v>
      </c>
      <c r="T1084" s="2">
        <v>6.0570582952517707E-3</v>
      </c>
      <c r="U1084" s="2">
        <v>9.1228976988472661E-3</v>
      </c>
      <c r="V1084" s="2">
        <v>1.296521918510265E-2</v>
      </c>
      <c r="W1084" s="2">
        <v>1.7500308322793E-2</v>
      </c>
      <c r="X1084" s="2">
        <v>2.2511838124301953E-2</v>
      </c>
      <c r="Y1084" s="2">
        <v>2.7628632193914083E-2</v>
      </c>
      <c r="Z1084" s="2">
        <v>3.2329569875928256E-2</v>
      </c>
      <c r="AA1084" s="2">
        <v>3.5992073689229513E-2</v>
      </c>
      <c r="AB1084" s="2">
        <v>3.7993638142578667E-2</v>
      </c>
      <c r="AC1084" s="2">
        <v>3.7858157295028637E-2</v>
      </c>
      <c r="AD1084" s="2">
        <v>3.5412596850158427E-2</v>
      </c>
      <c r="AE1084" s="2">
        <v>3.0895582051321487E-2</v>
      </c>
      <c r="AF1084" s="2">
        <v>2.5353348720159301E-2</v>
      </c>
      <c r="AG1084" s="2">
        <v>4.5431094805234527E-3</v>
      </c>
      <c r="AH1084" s="2">
        <v>0</v>
      </c>
      <c r="AI1084" s="2">
        <v>0</v>
      </c>
      <c r="AJ1084" s="2">
        <v>0</v>
      </c>
      <c r="AK1084" s="2">
        <v>0</v>
      </c>
      <c r="AL1084" s="2">
        <v>0</v>
      </c>
      <c r="AM1084" s="2">
        <v>0</v>
      </c>
      <c r="AN1084" s="2">
        <v>0</v>
      </c>
      <c r="AO1084" s="2">
        <v>0</v>
      </c>
      <c r="AP1084" s="2">
        <v>0</v>
      </c>
      <c r="AQ1084" s="2">
        <v>0</v>
      </c>
      <c r="AR1084" s="2">
        <v>0.33991662625151042</v>
      </c>
    </row>
    <row r="1085" spans="1:44" x14ac:dyDescent="0.25">
      <c r="A1085" t="s">
        <v>435</v>
      </c>
      <c r="B1085" t="s">
        <v>468</v>
      </c>
      <c r="C1085" t="s">
        <v>47</v>
      </c>
      <c r="D1085" t="s">
        <v>187</v>
      </c>
      <c r="E1085" t="s">
        <v>134</v>
      </c>
      <c r="F1085" t="s">
        <v>187</v>
      </c>
      <c r="G1085" t="s">
        <v>33</v>
      </c>
      <c r="H1085" t="s">
        <v>452</v>
      </c>
      <c r="I1085" t="s">
        <v>135</v>
      </c>
      <c r="J1085" t="s">
        <v>39</v>
      </c>
      <c r="K1085" t="s">
        <v>31</v>
      </c>
      <c r="L1085">
        <v>6.3919579739479149E-2</v>
      </c>
      <c r="M1085">
        <v>1</v>
      </c>
      <c r="N1085">
        <v>3.1656152093206575</v>
      </c>
      <c r="O1085">
        <v>2.8779545327574692</v>
      </c>
      <c r="P1085">
        <v>-0.574311889298731</v>
      </c>
      <c r="Q1085">
        <v>0.4924341706281804</v>
      </c>
      <c r="R1085">
        <v>-0.52509153328775149</v>
      </c>
      <c r="S1085" s="2">
        <v>1.8867319891384106E-2</v>
      </c>
      <c r="T1085" s="2">
        <v>3.0453703654228191E-2</v>
      </c>
      <c r="U1085" s="2">
        <v>4.5868144146198393E-2</v>
      </c>
      <c r="V1085" s="2">
        <v>6.5186584580959189E-2</v>
      </c>
      <c r="W1085" s="2">
        <v>8.7988125182441951E-2</v>
      </c>
      <c r="X1085" s="2">
        <v>0.11318511619524559</v>
      </c>
      <c r="Y1085" s="2">
        <v>0.13891135534632562</v>
      </c>
      <c r="Z1085" s="2">
        <v>0.16254674996969928</v>
      </c>
      <c r="AA1085" s="2">
        <v>0.18096110233777737</v>
      </c>
      <c r="AB1085" s="2">
        <v>0.19102457667397724</v>
      </c>
      <c r="AC1085" s="2">
        <v>0.19034340548806561</v>
      </c>
      <c r="AD1085" s="2">
        <v>0.17804760620296331</v>
      </c>
      <c r="AE1085" s="2">
        <v>0.15533693983982486</v>
      </c>
      <c r="AF1085" s="2">
        <v>0.12747167534631482</v>
      </c>
      <c r="AG1085" s="2">
        <v>2.284186531554994E-2</v>
      </c>
      <c r="AH1085" s="2">
        <v>0</v>
      </c>
      <c r="AI1085" s="2">
        <v>0</v>
      </c>
      <c r="AJ1085" s="2">
        <v>0</v>
      </c>
      <c r="AK1085" s="2">
        <v>0</v>
      </c>
      <c r="AL1085" s="2">
        <v>0</v>
      </c>
      <c r="AM1085" s="2">
        <v>0</v>
      </c>
      <c r="AN1085" s="2">
        <v>0</v>
      </c>
      <c r="AO1085" s="2">
        <v>0</v>
      </c>
      <c r="AP1085" s="2">
        <v>0</v>
      </c>
      <c r="AQ1085" s="2">
        <v>0</v>
      </c>
      <c r="AR1085" s="2">
        <v>1.7090342701709555</v>
      </c>
    </row>
    <row r="1086" spans="1:44" x14ac:dyDescent="0.25">
      <c r="A1086" t="s">
        <v>435</v>
      </c>
      <c r="B1086" t="s">
        <v>468</v>
      </c>
      <c r="C1086" t="s">
        <v>47</v>
      </c>
      <c r="D1086" t="s">
        <v>187</v>
      </c>
      <c r="E1086" t="s">
        <v>134</v>
      </c>
      <c r="F1086" t="s">
        <v>187</v>
      </c>
      <c r="G1086" t="s">
        <v>33</v>
      </c>
      <c r="H1086" t="s">
        <v>452</v>
      </c>
      <c r="I1086" t="s">
        <v>135</v>
      </c>
      <c r="J1086" t="s">
        <v>39</v>
      </c>
      <c r="K1086" t="s">
        <v>33</v>
      </c>
      <c r="L1086">
        <v>6.3919579739479149E-2</v>
      </c>
      <c r="M1086">
        <v>1</v>
      </c>
      <c r="N1086">
        <v>3.1656152093206575</v>
      </c>
      <c r="O1086">
        <v>2.8779545327574692</v>
      </c>
      <c r="P1086">
        <v>-0.574311889298731</v>
      </c>
      <c r="Q1086">
        <v>0.4924341706281804</v>
      </c>
      <c r="R1086">
        <v>-0.52509153328775149</v>
      </c>
      <c r="S1086" s="2">
        <v>3.7309499173418192E-2</v>
      </c>
      <c r="T1086" s="2">
        <v>6.0221188693249904E-2</v>
      </c>
      <c r="U1086" s="2">
        <v>9.0702733401488642E-2</v>
      </c>
      <c r="V1086" s="2">
        <v>0.1289043084837862</v>
      </c>
      <c r="W1086" s="2">
        <v>0.17399359859605953</v>
      </c>
      <c r="X1086" s="2">
        <v>0.22381981242911808</v>
      </c>
      <c r="Y1086" s="2">
        <v>0.27469259689813497</v>
      </c>
      <c r="Z1086" s="2">
        <v>0.32143080567610038</v>
      </c>
      <c r="AA1086" s="2">
        <v>0.35784457659910157</v>
      </c>
      <c r="AB1086" s="2">
        <v>0.3777447632493327</v>
      </c>
      <c r="AC1086" s="2">
        <v>0.37639776982662981</v>
      </c>
      <c r="AD1086" s="2">
        <v>0.35208323464595842</v>
      </c>
      <c r="AE1086" s="2">
        <v>0.30717364532531377</v>
      </c>
      <c r="AF1086" s="2">
        <v>0.25207100920249853</v>
      </c>
      <c r="AG1086" s="2">
        <v>4.5169030896594048E-2</v>
      </c>
      <c r="AH1086" s="2">
        <v>0</v>
      </c>
      <c r="AI1086" s="2">
        <v>0</v>
      </c>
      <c r="AJ1086" s="2">
        <v>0</v>
      </c>
      <c r="AK1086" s="2">
        <v>0</v>
      </c>
      <c r="AL1086" s="2">
        <v>0</v>
      </c>
      <c r="AM1086" s="2">
        <v>0</v>
      </c>
      <c r="AN1086" s="2">
        <v>0</v>
      </c>
      <c r="AO1086" s="2">
        <v>0</v>
      </c>
      <c r="AP1086" s="2">
        <v>0</v>
      </c>
      <c r="AQ1086" s="2">
        <v>0</v>
      </c>
      <c r="AR1086" s="2">
        <v>3.3795585730967841</v>
      </c>
    </row>
    <row r="1087" spans="1:44" x14ac:dyDescent="0.25">
      <c r="A1087" t="s">
        <v>435</v>
      </c>
      <c r="B1087" t="s">
        <v>468</v>
      </c>
      <c r="C1087" t="s">
        <v>47</v>
      </c>
      <c r="D1087" t="s">
        <v>187</v>
      </c>
      <c r="E1087" t="s">
        <v>134</v>
      </c>
      <c r="F1087" t="s">
        <v>187</v>
      </c>
      <c r="G1087" t="s">
        <v>33</v>
      </c>
      <c r="H1087" t="s">
        <v>452</v>
      </c>
      <c r="I1087" t="s">
        <v>135</v>
      </c>
      <c r="J1087" t="s">
        <v>40</v>
      </c>
      <c r="K1087" t="s">
        <v>33</v>
      </c>
      <c r="L1087">
        <v>6.3919579739479149E-2</v>
      </c>
      <c r="M1087">
        <v>1</v>
      </c>
      <c r="N1087">
        <v>3.1656152093206575</v>
      </c>
      <c r="O1087">
        <v>1.7054155637884916</v>
      </c>
      <c r="P1087">
        <v>-0.574311889298731</v>
      </c>
      <c r="Q1087">
        <v>1.3498045353129324</v>
      </c>
      <c r="R1087">
        <v>-0.38209153328775158</v>
      </c>
      <c r="S1087" s="2">
        <v>2.7318992128073229E-3</v>
      </c>
      <c r="T1087" s="2">
        <v>4.4095531065885896E-3</v>
      </c>
      <c r="U1087" s="2">
        <v>6.6414916165784942E-3</v>
      </c>
      <c r="V1087" s="2">
        <v>9.4387109630575169E-3</v>
      </c>
      <c r="W1087" s="2">
        <v>1.2740266837372814E-2</v>
      </c>
      <c r="X1087" s="2">
        <v>1.6388672668686766E-2</v>
      </c>
      <c r="Y1087" s="2">
        <v>2.0113711142085572E-2</v>
      </c>
      <c r="Z1087" s="2">
        <v>2.3536005158283965E-2</v>
      </c>
      <c r="AA1087" s="2">
        <v>2.6202316803409675E-2</v>
      </c>
      <c r="AB1087" s="2">
        <v>2.7659460572394347E-2</v>
      </c>
      <c r="AC1087" s="2">
        <v>2.7560830187300347E-2</v>
      </c>
      <c r="AD1087" s="2">
        <v>2.5780456261316972E-2</v>
      </c>
      <c r="AE1087" s="2">
        <v>2.2492058549455407E-2</v>
      </c>
      <c r="AF1087" s="2">
        <v>1.8457299263413357E-2</v>
      </c>
      <c r="AG1087" s="2">
        <v>3.3073947033196893E-3</v>
      </c>
      <c r="AH1087" s="2">
        <v>0</v>
      </c>
      <c r="AI1087" s="2">
        <v>0</v>
      </c>
      <c r="AJ1087" s="2">
        <v>0</v>
      </c>
      <c r="AK1087" s="2">
        <v>0</v>
      </c>
      <c r="AL1087" s="2">
        <v>0</v>
      </c>
      <c r="AM1087" s="2">
        <v>0</v>
      </c>
      <c r="AN1087" s="2">
        <v>0</v>
      </c>
      <c r="AO1087" s="2">
        <v>0</v>
      </c>
      <c r="AP1087" s="2">
        <v>0</v>
      </c>
      <c r="AQ1087" s="2">
        <v>0</v>
      </c>
      <c r="AR1087" s="2">
        <v>0.24746012704607082</v>
      </c>
    </row>
    <row r="1088" spans="1:44" x14ac:dyDescent="0.25">
      <c r="A1088" t="s">
        <v>435</v>
      </c>
      <c r="B1088" t="s">
        <v>468</v>
      </c>
      <c r="C1088" t="s">
        <v>47</v>
      </c>
      <c r="D1088" t="s">
        <v>187</v>
      </c>
      <c r="E1088" t="s">
        <v>134</v>
      </c>
      <c r="F1088" t="s">
        <v>187</v>
      </c>
      <c r="G1088" t="s">
        <v>33</v>
      </c>
      <c r="H1088" t="s">
        <v>452</v>
      </c>
      <c r="I1088" t="s">
        <v>256</v>
      </c>
      <c r="J1088" t="s">
        <v>40</v>
      </c>
      <c r="K1088" t="s">
        <v>33</v>
      </c>
      <c r="L1088">
        <v>6.3919579739479149E-2</v>
      </c>
      <c r="M1088">
        <v>1</v>
      </c>
      <c r="N1088">
        <v>2.9108073618997499</v>
      </c>
      <c r="O1088">
        <v>1.473762203864009</v>
      </c>
      <c r="P1088">
        <v>-0.44883579828446457</v>
      </c>
      <c r="Q1088">
        <v>1.3498045353129324</v>
      </c>
      <c r="R1088">
        <v>-0.25661544227348498</v>
      </c>
      <c r="S1088" s="2">
        <v>1.647365950062633E-2</v>
      </c>
      <c r="T1088" s="2">
        <v>2.6590101160145832E-2</v>
      </c>
      <c r="U1088" s="2">
        <v>4.004894139390601E-2</v>
      </c>
      <c r="V1088" s="2">
        <v>5.6916488646905621E-2</v>
      </c>
      <c r="W1088" s="2">
        <v>7.6825241883769185E-2</v>
      </c>
      <c r="X1088" s="2">
        <v>9.8825539370367782E-2</v>
      </c>
      <c r="Y1088" s="2">
        <v>0.12128794030735024</v>
      </c>
      <c r="Z1088" s="2">
        <v>0.14192475811877642</v>
      </c>
      <c r="AA1088" s="2">
        <v>0.15800291720987231</v>
      </c>
      <c r="AB1088" s="2">
        <v>0.16678965801684578</v>
      </c>
      <c r="AC1088" s="2">
        <v>0.16619490570210557</v>
      </c>
      <c r="AD1088" s="2">
        <v>0.15545905069583521</v>
      </c>
      <c r="AE1088" s="2">
        <v>0.13562964265842137</v>
      </c>
      <c r="AF1088" s="2">
        <v>0.11129959038795541</v>
      </c>
      <c r="AG1088" s="2">
        <v>1.9943962032433159E-2</v>
      </c>
      <c r="AH1088" s="2">
        <v>0</v>
      </c>
      <c r="AI1088" s="2">
        <v>0</v>
      </c>
      <c r="AJ1088" s="2">
        <v>0</v>
      </c>
      <c r="AK1088" s="2">
        <v>0</v>
      </c>
      <c r="AL1088" s="2">
        <v>0</v>
      </c>
      <c r="AM1088" s="2">
        <v>0</v>
      </c>
      <c r="AN1088" s="2">
        <v>0</v>
      </c>
      <c r="AO1088" s="2">
        <v>0</v>
      </c>
      <c r="AP1088" s="2">
        <v>0</v>
      </c>
      <c r="AQ1088" s="2">
        <v>0</v>
      </c>
      <c r="AR1088" s="2">
        <v>1.4922123970853163</v>
      </c>
    </row>
    <row r="1089" spans="1:44" x14ac:dyDescent="0.25">
      <c r="A1089" t="s">
        <v>435</v>
      </c>
      <c r="B1089" t="s">
        <v>468</v>
      </c>
      <c r="C1089" t="s">
        <v>47</v>
      </c>
      <c r="D1089" t="s">
        <v>187</v>
      </c>
      <c r="E1089" t="s">
        <v>134</v>
      </c>
      <c r="F1089" t="s">
        <v>187</v>
      </c>
      <c r="G1089" t="s">
        <v>33</v>
      </c>
      <c r="H1089" t="s">
        <v>453</v>
      </c>
      <c r="I1089" t="s">
        <v>135</v>
      </c>
      <c r="J1089" t="s">
        <v>39</v>
      </c>
      <c r="K1089" t="s">
        <v>31</v>
      </c>
      <c r="L1089">
        <v>6.3919579739479149E-2</v>
      </c>
      <c r="M1089">
        <v>1</v>
      </c>
      <c r="N1089">
        <v>3.1656152093206575</v>
      </c>
      <c r="O1089">
        <v>2.8779545327574692</v>
      </c>
      <c r="P1089">
        <v>-0.574311889298731</v>
      </c>
      <c r="Q1089">
        <v>0.4924341706281804</v>
      </c>
      <c r="R1089">
        <v>-0.52509153328775149</v>
      </c>
      <c r="S1089" s="2">
        <v>5.7701901563309635E-3</v>
      </c>
      <c r="T1089" s="2">
        <v>9.3136524986621554E-3</v>
      </c>
      <c r="U1089" s="2">
        <v>1.4027848966637075E-2</v>
      </c>
      <c r="V1089" s="2">
        <v>1.9936005264089094E-2</v>
      </c>
      <c r="W1089" s="2">
        <v>2.6909397663501297E-2</v>
      </c>
      <c r="X1089" s="2">
        <v>3.4615390371964011E-2</v>
      </c>
      <c r="Y1089" s="2">
        <v>4.2483242974429652E-2</v>
      </c>
      <c r="Z1089" s="2">
        <v>4.9711652848323157E-2</v>
      </c>
      <c r="AA1089" s="2">
        <v>5.5343312001885081E-2</v>
      </c>
      <c r="AB1089" s="2">
        <v>5.8421023138788344E-2</v>
      </c>
      <c r="AC1089" s="2">
        <v>5.8212700637534837E-2</v>
      </c>
      <c r="AD1089" s="2">
        <v>5.4452277831987445E-2</v>
      </c>
      <c r="AE1089" s="2">
        <v>4.7506677489877344E-2</v>
      </c>
      <c r="AF1089" s="2">
        <v>3.8984647026110458E-2</v>
      </c>
      <c r="AG1089" s="2">
        <v>6.9857249018295056E-3</v>
      </c>
      <c r="AH1089" s="2">
        <v>0</v>
      </c>
      <c r="AI1089" s="2">
        <v>0</v>
      </c>
      <c r="AJ1089" s="2">
        <v>0</v>
      </c>
      <c r="AK1089" s="2">
        <v>0</v>
      </c>
      <c r="AL1089" s="2">
        <v>0</v>
      </c>
      <c r="AM1089" s="2">
        <v>0</v>
      </c>
      <c r="AN1089" s="2">
        <v>0</v>
      </c>
      <c r="AO1089" s="2">
        <v>0</v>
      </c>
      <c r="AP1089" s="2">
        <v>0</v>
      </c>
      <c r="AQ1089" s="2">
        <v>0</v>
      </c>
      <c r="AR1089" s="2">
        <v>0.52267374377195042</v>
      </c>
    </row>
    <row r="1090" spans="1:44" x14ac:dyDescent="0.25">
      <c r="A1090" t="s">
        <v>435</v>
      </c>
      <c r="B1090" t="s">
        <v>468</v>
      </c>
      <c r="C1090" t="s">
        <v>47</v>
      </c>
      <c r="D1090" t="s">
        <v>187</v>
      </c>
      <c r="E1090" t="s">
        <v>134</v>
      </c>
      <c r="F1090" t="s">
        <v>187</v>
      </c>
      <c r="G1090" t="s">
        <v>33</v>
      </c>
      <c r="H1090" t="s">
        <v>453</v>
      </c>
      <c r="I1090" t="s">
        <v>135</v>
      </c>
      <c r="J1090" t="s">
        <v>39</v>
      </c>
      <c r="K1090" t="s">
        <v>33</v>
      </c>
      <c r="L1090">
        <v>6.3919579739479149E-2</v>
      </c>
      <c r="M1090">
        <v>1</v>
      </c>
      <c r="N1090">
        <v>3.1656152093206575</v>
      </c>
      <c r="O1090">
        <v>2.8779545327574692</v>
      </c>
      <c r="P1090">
        <v>-0.574311889298731</v>
      </c>
      <c r="Q1090">
        <v>0.4924341706281804</v>
      </c>
      <c r="R1090">
        <v>-0.52509153328775149</v>
      </c>
      <c r="S1090" s="2">
        <v>5.2502032604825801E-3</v>
      </c>
      <c r="T1090" s="2">
        <v>8.4743426803407899E-3</v>
      </c>
      <c r="U1090" s="2">
        <v>1.276371426015979E-2</v>
      </c>
      <c r="V1090" s="2">
        <v>1.8139450694476381E-2</v>
      </c>
      <c r="W1090" s="2">
        <v>2.4484428333012013E-2</v>
      </c>
      <c r="X1090" s="2">
        <v>3.1495987215319564E-2</v>
      </c>
      <c r="Y1090" s="2">
        <v>3.8654819813087438E-2</v>
      </c>
      <c r="Z1090" s="2">
        <v>4.5231833751940273E-2</v>
      </c>
      <c r="AA1090" s="2">
        <v>5.0355989880056178E-2</v>
      </c>
      <c r="AB1090" s="2">
        <v>5.3156349765607638E-2</v>
      </c>
      <c r="AC1090" s="2">
        <v>5.2966800470752411E-2</v>
      </c>
      <c r="AD1090" s="2">
        <v>4.954525221331478E-2</v>
      </c>
      <c r="AE1090" s="2">
        <v>4.3225562120927499E-2</v>
      </c>
      <c r="AF1090" s="2">
        <v>3.5471503603859374E-2</v>
      </c>
      <c r="AG1090" s="2">
        <v>6.3561987842252034E-3</v>
      </c>
      <c r="AH1090" s="2">
        <v>0</v>
      </c>
      <c r="AI1090" s="2">
        <v>0</v>
      </c>
      <c r="AJ1090" s="2">
        <v>0</v>
      </c>
      <c r="AK1090" s="2">
        <v>0</v>
      </c>
      <c r="AL1090" s="2">
        <v>0</v>
      </c>
      <c r="AM1090" s="2">
        <v>0</v>
      </c>
      <c r="AN1090" s="2">
        <v>0</v>
      </c>
      <c r="AO1090" s="2">
        <v>0</v>
      </c>
      <c r="AP1090" s="2">
        <v>0</v>
      </c>
      <c r="AQ1090" s="2">
        <v>0</v>
      </c>
      <c r="AR1090" s="2">
        <v>0.4755724368475619</v>
      </c>
    </row>
    <row r="1091" spans="1:44" x14ac:dyDescent="0.25">
      <c r="A1091" t="s">
        <v>435</v>
      </c>
      <c r="B1091" t="s">
        <v>468</v>
      </c>
      <c r="C1091" t="s">
        <v>47</v>
      </c>
      <c r="D1091" t="s">
        <v>187</v>
      </c>
      <c r="E1091" t="s">
        <v>134</v>
      </c>
      <c r="F1091" t="s">
        <v>187</v>
      </c>
      <c r="G1091" t="s">
        <v>33</v>
      </c>
      <c r="H1091" t="s">
        <v>453</v>
      </c>
      <c r="I1091" t="s">
        <v>135</v>
      </c>
      <c r="J1091" t="s">
        <v>40</v>
      </c>
      <c r="K1091" t="s">
        <v>33</v>
      </c>
      <c r="L1091">
        <v>6.3919579739479149E-2</v>
      </c>
      <c r="M1091">
        <v>1</v>
      </c>
      <c r="N1091">
        <v>3.1656152093206575</v>
      </c>
      <c r="O1091">
        <v>1.7054155637884916</v>
      </c>
      <c r="P1091">
        <v>-0.574311889298731</v>
      </c>
      <c r="Q1091">
        <v>1.3498045353129324</v>
      </c>
      <c r="R1091">
        <v>-0.38209153328775158</v>
      </c>
      <c r="S1091" s="2">
        <v>0.10691837495633968</v>
      </c>
      <c r="T1091" s="2">
        <v>0.17257673717605881</v>
      </c>
      <c r="U1091" s="2">
        <v>0.25992814361589273</v>
      </c>
      <c r="V1091" s="2">
        <v>0.36940295349170837</v>
      </c>
      <c r="W1091" s="2">
        <v>0.4986159886045981</v>
      </c>
      <c r="X1091" s="2">
        <v>0.64140369498724681</v>
      </c>
      <c r="Y1091" s="2">
        <v>0.78719057407799264</v>
      </c>
      <c r="Z1091" s="2">
        <v>0.92112893941714802</v>
      </c>
      <c r="AA1091" s="2">
        <v>1.0254804128856942</v>
      </c>
      <c r="AB1091" s="2">
        <v>1.0825086674886524</v>
      </c>
      <c r="AC1091" s="2">
        <v>1.0786485688268386</v>
      </c>
      <c r="AD1091" s="2">
        <v>1.0089700513733444</v>
      </c>
      <c r="AE1091" s="2">
        <v>0.88027198743522139</v>
      </c>
      <c r="AF1091" s="2">
        <v>0.72236356087935416</v>
      </c>
      <c r="AG1091" s="2">
        <v>0.12944154943943131</v>
      </c>
      <c r="AH1091" s="2">
        <v>0</v>
      </c>
      <c r="AI1091" s="2">
        <v>0</v>
      </c>
      <c r="AJ1091" s="2">
        <v>0</v>
      </c>
      <c r="AK1091" s="2">
        <v>0</v>
      </c>
      <c r="AL1091" s="2">
        <v>0</v>
      </c>
      <c r="AM1091" s="2">
        <v>0</v>
      </c>
      <c r="AN1091" s="2">
        <v>0</v>
      </c>
      <c r="AO1091" s="2">
        <v>0</v>
      </c>
      <c r="AP1091" s="2">
        <v>0</v>
      </c>
      <c r="AQ1091" s="2">
        <v>0</v>
      </c>
      <c r="AR1091" s="2">
        <v>9.68485020465552</v>
      </c>
    </row>
    <row r="1092" spans="1:44" x14ac:dyDescent="0.25">
      <c r="A1092" t="s">
        <v>435</v>
      </c>
      <c r="B1092" t="s">
        <v>468</v>
      </c>
      <c r="C1092" t="s">
        <v>47</v>
      </c>
      <c r="D1092" t="s">
        <v>187</v>
      </c>
      <c r="E1092" t="s">
        <v>134</v>
      </c>
      <c r="F1092" t="s">
        <v>187</v>
      </c>
      <c r="G1092" t="s">
        <v>33</v>
      </c>
      <c r="H1092" t="s">
        <v>453</v>
      </c>
      <c r="I1092" t="s">
        <v>256</v>
      </c>
      <c r="J1092" t="s">
        <v>40</v>
      </c>
      <c r="K1092" t="s">
        <v>33</v>
      </c>
      <c r="L1092">
        <v>6.3919579739479149E-2</v>
      </c>
      <c r="M1092">
        <v>1</v>
      </c>
      <c r="N1092">
        <v>2.9108073618997499</v>
      </c>
      <c r="O1092">
        <v>1.473762203864009</v>
      </c>
      <c r="P1092">
        <v>-0.44883579828446457</v>
      </c>
      <c r="Q1092">
        <v>1.3498045353129324</v>
      </c>
      <c r="R1092">
        <v>-0.25661544227348498</v>
      </c>
      <c r="S1092" s="2">
        <v>5.5041284452391218E-2</v>
      </c>
      <c r="T1092" s="2">
        <v>8.8842028179458229E-2</v>
      </c>
      <c r="U1092" s="2">
        <v>0.13381029122250074</v>
      </c>
      <c r="V1092" s="2">
        <v>0.19016762131853701</v>
      </c>
      <c r="W1092" s="2">
        <v>0.2566861353111935</v>
      </c>
      <c r="X1092" s="2">
        <v>0.33019285262261183</v>
      </c>
      <c r="Y1092" s="2">
        <v>0.40524353576979616</v>
      </c>
      <c r="Z1092" s="2">
        <v>0.47419463672630785</v>
      </c>
      <c r="AA1092" s="2">
        <v>0.52791448737456015</v>
      </c>
      <c r="AB1092" s="2">
        <v>0.55727247550996339</v>
      </c>
      <c r="AC1092" s="2">
        <v>0.5552853073684163</v>
      </c>
      <c r="AD1092" s="2">
        <v>0.51941499881813424</v>
      </c>
      <c r="AE1092" s="2">
        <v>0.45316159056550326</v>
      </c>
      <c r="AF1092" s="2">
        <v>0.37187076822518794</v>
      </c>
      <c r="AG1092" s="2">
        <v>6.6636152537515494E-2</v>
      </c>
      <c r="AH1092" s="2">
        <v>0</v>
      </c>
      <c r="AI1092" s="2">
        <v>0</v>
      </c>
      <c r="AJ1092" s="2">
        <v>0</v>
      </c>
      <c r="AK1092" s="2">
        <v>0</v>
      </c>
      <c r="AL1092" s="2">
        <v>0</v>
      </c>
      <c r="AM1092" s="2">
        <v>0</v>
      </c>
      <c r="AN1092" s="2">
        <v>0</v>
      </c>
      <c r="AO1092" s="2">
        <v>0</v>
      </c>
      <c r="AP1092" s="2">
        <v>0</v>
      </c>
      <c r="AQ1092" s="2">
        <v>0</v>
      </c>
      <c r="AR1092" s="2">
        <v>4.9857341660020777</v>
      </c>
    </row>
    <row r="1093" spans="1:44" x14ac:dyDescent="0.25">
      <c r="A1093" t="s">
        <v>435</v>
      </c>
      <c r="B1093" t="s">
        <v>468</v>
      </c>
      <c r="C1093" t="s">
        <v>47</v>
      </c>
      <c r="D1093" t="s">
        <v>187</v>
      </c>
      <c r="E1093" t="s">
        <v>134</v>
      </c>
      <c r="F1093" t="s">
        <v>187</v>
      </c>
      <c r="G1093" t="s">
        <v>33</v>
      </c>
      <c r="H1093" t="s">
        <v>454</v>
      </c>
      <c r="I1093" t="s">
        <v>135</v>
      </c>
      <c r="J1093" t="s">
        <v>39</v>
      </c>
      <c r="K1093" t="s">
        <v>31</v>
      </c>
      <c r="L1093">
        <v>6.3919579739479149E-2</v>
      </c>
      <c r="M1093">
        <v>1</v>
      </c>
      <c r="N1093">
        <v>3.1656152093206575</v>
      </c>
      <c r="O1093">
        <v>2.8779545327574692</v>
      </c>
      <c r="P1093">
        <v>-0.574311889298731</v>
      </c>
      <c r="Q1093">
        <v>0.4924341706281804</v>
      </c>
      <c r="R1093">
        <v>-0.52509153328775149</v>
      </c>
      <c r="S1093" s="2">
        <v>3.1773037456406196E-4</v>
      </c>
      <c r="T1093" s="2">
        <v>5.1284796805398472E-4</v>
      </c>
      <c r="U1093" s="2">
        <v>7.7243099200248293E-4</v>
      </c>
      <c r="V1093" s="2">
        <v>1.0977583490762903E-3</v>
      </c>
      <c r="W1093" s="2">
        <v>1.4817419820275261E-3</v>
      </c>
      <c r="X1093" s="2">
        <v>1.9060655975952747E-3</v>
      </c>
      <c r="Y1093" s="2">
        <v>2.3393018838645295E-3</v>
      </c>
      <c r="Z1093" s="2">
        <v>2.7373278265996853E-3</v>
      </c>
      <c r="AA1093" s="2">
        <v>3.0474301150511525E-3</v>
      </c>
      <c r="AB1093" s="2">
        <v>3.2169015338145953E-3</v>
      </c>
      <c r="AC1093" s="2">
        <v>3.2054304410845261E-3</v>
      </c>
      <c r="AD1093" s="2">
        <v>2.9983661131932006E-3</v>
      </c>
      <c r="AE1093" s="2">
        <v>2.6159128250897541E-3</v>
      </c>
      <c r="AF1093" s="2">
        <v>2.146654818344839E-3</v>
      </c>
      <c r="AG1093" s="2">
        <v>3.8466271119756679E-4</v>
      </c>
      <c r="AH1093" s="2">
        <v>0</v>
      </c>
      <c r="AI1093" s="2">
        <v>0</v>
      </c>
      <c r="AJ1093" s="2">
        <v>0</v>
      </c>
      <c r="AK1093" s="2">
        <v>0</v>
      </c>
      <c r="AL1093" s="2">
        <v>0</v>
      </c>
      <c r="AM1093" s="2">
        <v>0</v>
      </c>
      <c r="AN1093" s="2">
        <v>0</v>
      </c>
      <c r="AO1093" s="2">
        <v>0</v>
      </c>
      <c r="AP1093" s="2">
        <v>0</v>
      </c>
      <c r="AQ1093" s="2">
        <v>0</v>
      </c>
      <c r="AR1093" s="2">
        <v>2.8780563531559469E-2</v>
      </c>
    </row>
    <row r="1094" spans="1:44" x14ac:dyDescent="0.25">
      <c r="A1094" t="s">
        <v>435</v>
      </c>
      <c r="B1094" t="s">
        <v>468</v>
      </c>
      <c r="C1094" t="s">
        <v>47</v>
      </c>
      <c r="D1094" t="s">
        <v>187</v>
      </c>
      <c r="E1094" t="s">
        <v>134</v>
      </c>
      <c r="F1094" t="s">
        <v>187</v>
      </c>
      <c r="G1094" t="s">
        <v>33</v>
      </c>
      <c r="H1094" t="s">
        <v>454</v>
      </c>
      <c r="I1094" t="s">
        <v>135</v>
      </c>
      <c r="J1094" t="s">
        <v>39</v>
      </c>
      <c r="K1094" t="s">
        <v>33</v>
      </c>
      <c r="L1094">
        <v>6.3919579739479149E-2</v>
      </c>
      <c r="M1094">
        <v>1</v>
      </c>
      <c r="N1094">
        <v>3.1656152093206575</v>
      </c>
      <c r="O1094">
        <v>2.8779545327574692</v>
      </c>
      <c r="P1094">
        <v>-0.574311889298731</v>
      </c>
      <c r="Q1094">
        <v>0.4924341706281804</v>
      </c>
      <c r="R1094">
        <v>-0.52509153328775149</v>
      </c>
      <c r="S1094" s="2">
        <v>2.5497875854619328E-3</v>
      </c>
      <c r="T1094" s="2">
        <v>4.1156070897142814E-3</v>
      </c>
      <c r="U1094" s="2">
        <v>6.1987619431609344E-3</v>
      </c>
      <c r="V1094" s="2">
        <v>8.8095153450541645E-3</v>
      </c>
      <c r="W1094" s="2">
        <v>1.1890985606318807E-2</v>
      </c>
      <c r="X1094" s="2">
        <v>1.5296184396889026E-2</v>
      </c>
      <c r="Y1094" s="2">
        <v>1.8772907407135102E-2</v>
      </c>
      <c r="Z1094" s="2">
        <v>2.1967067263177625E-2</v>
      </c>
      <c r="AA1094" s="2">
        <v>2.445563942566524E-2</v>
      </c>
      <c r="AB1094" s="2">
        <v>2.5815648270417726E-2</v>
      </c>
      <c r="AC1094" s="2">
        <v>2.5723592703256609E-2</v>
      </c>
      <c r="AD1094" s="2">
        <v>2.4061900605440289E-2</v>
      </c>
      <c r="AE1094" s="2">
        <v>2.0992711367983086E-2</v>
      </c>
      <c r="AF1094" s="2">
        <v>1.722691390018212E-2</v>
      </c>
      <c r="AG1094" s="2">
        <v>3.0869198670331098E-3</v>
      </c>
      <c r="AH1094" s="2">
        <v>0</v>
      </c>
      <c r="AI1094" s="2">
        <v>0</v>
      </c>
      <c r="AJ1094" s="2">
        <v>0</v>
      </c>
      <c r="AK1094" s="2">
        <v>0</v>
      </c>
      <c r="AL1094" s="2">
        <v>0</v>
      </c>
      <c r="AM1094" s="2">
        <v>0</v>
      </c>
      <c r="AN1094" s="2">
        <v>0</v>
      </c>
      <c r="AO1094" s="2">
        <v>0</v>
      </c>
      <c r="AP1094" s="2">
        <v>0</v>
      </c>
      <c r="AQ1094" s="2">
        <v>0</v>
      </c>
      <c r="AR1094" s="2">
        <v>0.23096414277689004</v>
      </c>
    </row>
    <row r="1095" spans="1:44" x14ac:dyDescent="0.25">
      <c r="A1095" t="s">
        <v>435</v>
      </c>
      <c r="B1095" t="s">
        <v>468</v>
      </c>
      <c r="C1095" t="s">
        <v>47</v>
      </c>
      <c r="D1095" t="s">
        <v>187</v>
      </c>
      <c r="E1095" t="s">
        <v>134</v>
      </c>
      <c r="F1095" t="s">
        <v>187</v>
      </c>
      <c r="G1095" t="s">
        <v>33</v>
      </c>
      <c r="H1095" t="s">
        <v>455</v>
      </c>
      <c r="I1095" t="s">
        <v>135</v>
      </c>
      <c r="J1095" t="s">
        <v>39</v>
      </c>
      <c r="K1095" t="s">
        <v>31</v>
      </c>
      <c r="L1095">
        <v>6.3919579739479149E-2</v>
      </c>
      <c r="M1095">
        <v>1</v>
      </c>
      <c r="N1095">
        <v>3.1656152093206575</v>
      </c>
      <c r="O1095">
        <v>2.8779545327574692</v>
      </c>
      <c r="P1095">
        <v>-0.574311889298731</v>
      </c>
      <c r="Q1095">
        <v>0.4924341706281804</v>
      </c>
      <c r="R1095">
        <v>-0.52509153328775149</v>
      </c>
      <c r="S1095" s="2">
        <v>7.4861985765179635E-5</v>
      </c>
      <c r="T1095" s="2">
        <v>1.208345828970085E-4</v>
      </c>
      <c r="U1095" s="2">
        <v>1.8199619097548512E-4</v>
      </c>
      <c r="V1095" s="2">
        <v>2.5864813842526354E-4</v>
      </c>
      <c r="W1095" s="2">
        <v>3.4912037389691985E-4</v>
      </c>
      <c r="X1095" s="2">
        <v>4.4909730720726551E-4</v>
      </c>
      <c r="Y1095" s="2">
        <v>5.5117419784180878E-4</v>
      </c>
      <c r="Z1095" s="2">
        <v>6.449550096388995E-4</v>
      </c>
      <c r="AA1095" s="2">
        <v>7.1801970524961985E-4</v>
      </c>
      <c r="AB1095" s="2">
        <v>7.5794968347874143E-4</v>
      </c>
      <c r="AC1095" s="2">
        <v>7.5524692400273066E-4</v>
      </c>
      <c r="AD1095" s="2">
        <v>7.0645949916698693E-4</v>
      </c>
      <c r="AE1095" s="2">
        <v>6.1634783562481061E-4</v>
      </c>
      <c r="AF1095" s="2">
        <v>5.0578369371885178E-4</v>
      </c>
      <c r="AG1095" s="2">
        <v>9.0632236372041835E-5</v>
      </c>
      <c r="AH1095" s="2">
        <v>0</v>
      </c>
      <c r="AI1095" s="2">
        <v>0</v>
      </c>
      <c r="AJ1095" s="2">
        <v>0</v>
      </c>
      <c r="AK1095" s="2">
        <v>0</v>
      </c>
      <c r="AL1095" s="2">
        <v>0</v>
      </c>
      <c r="AM1095" s="2">
        <v>0</v>
      </c>
      <c r="AN1095" s="2">
        <v>0</v>
      </c>
      <c r="AO1095" s="2">
        <v>0</v>
      </c>
      <c r="AP1095" s="2">
        <v>0</v>
      </c>
      <c r="AQ1095" s="2">
        <v>0</v>
      </c>
      <c r="AR1095" s="2">
        <v>6.7811273642616136E-3</v>
      </c>
    </row>
    <row r="1096" spans="1:44" x14ac:dyDescent="0.25">
      <c r="A1096" t="s">
        <v>435</v>
      </c>
      <c r="B1096" t="s">
        <v>468</v>
      </c>
      <c r="C1096" t="s">
        <v>47</v>
      </c>
      <c r="D1096" t="s">
        <v>187</v>
      </c>
      <c r="E1096" t="s">
        <v>134</v>
      </c>
      <c r="F1096" t="s">
        <v>187</v>
      </c>
      <c r="G1096" t="s">
        <v>33</v>
      </c>
      <c r="H1096" t="s">
        <v>455</v>
      </c>
      <c r="I1096" t="s">
        <v>135</v>
      </c>
      <c r="J1096" t="s">
        <v>39</v>
      </c>
      <c r="K1096" t="s">
        <v>33</v>
      </c>
      <c r="L1096">
        <v>6.3919579739479149E-2</v>
      </c>
      <c r="M1096">
        <v>1</v>
      </c>
      <c r="N1096">
        <v>3.1656152093206575</v>
      </c>
      <c r="O1096">
        <v>2.8779545327574692</v>
      </c>
      <c r="P1096">
        <v>-0.574311889298731</v>
      </c>
      <c r="Q1096">
        <v>0.4924341706281804</v>
      </c>
      <c r="R1096">
        <v>-0.52509153328775149</v>
      </c>
      <c r="S1096" s="2">
        <v>1.9034242365801187E-3</v>
      </c>
      <c r="T1096" s="2">
        <v>3.0723132889455681E-3</v>
      </c>
      <c r="U1096" s="2">
        <v>4.6273947628721586E-3</v>
      </c>
      <c r="V1096" s="2">
        <v>6.5763301680138745E-3</v>
      </c>
      <c r="W1096" s="2">
        <v>8.8766571493805978E-3</v>
      </c>
      <c r="X1096" s="2">
        <v>1.1418648468696882E-2</v>
      </c>
      <c r="Y1096" s="2">
        <v>1.4014032836912509E-2</v>
      </c>
      <c r="Z1096" s="2">
        <v>1.6398482945685453E-2</v>
      </c>
      <c r="AA1096" s="2">
        <v>1.8256209681655641E-2</v>
      </c>
      <c r="AB1096" s="2">
        <v>1.9271460446788003E-2</v>
      </c>
      <c r="AC1096" s="2">
        <v>1.9202740684151433E-2</v>
      </c>
      <c r="AD1096" s="2">
        <v>1.7962282447257075E-2</v>
      </c>
      <c r="AE1096" s="2">
        <v>1.5671123287750645E-2</v>
      </c>
      <c r="AF1096" s="2">
        <v>1.2859943952211671E-2</v>
      </c>
      <c r="AG1096" s="2">
        <v>2.3043951287522852E-3</v>
      </c>
      <c r="AH1096" s="2">
        <v>0</v>
      </c>
      <c r="AI1096" s="2">
        <v>0</v>
      </c>
      <c r="AJ1096" s="2">
        <v>0</v>
      </c>
      <c r="AK1096" s="2">
        <v>0</v>
      </c>
      <c r="AL1096" s="2">
        <v>0</v>
      </c>
      <c r="AM1096" s="2">
        <v>0</v>
      </c>
      <c r="AN1096" s="2">
        <v>0</v>
      </c>
      <c r="AO1096" s="2">
        <v>0</v>
      </c>
      <c r="AP1096" s="2">
        <v>0</v>
      </c>
      <c r="AQ1096" s="2">
        <v>0</v>
      </c>
      <c r="AR1096" s="2">
        <v>0.17241543948565391</v>
      </c>
    </row>
    <row r="1097" spans="1:44" x14ac:dyDescent="0.25">
      <c r="A1097" t="s">
        <v>435</v>
      </c>
      <c r="B1097" t="s">
        <v>468</v>
      </c>
      <c r="C1097" t="s">
        <v>47</v>
      </c>
      <c r="D1097" t="s">
        <v>187</v>
      </c>
      <c r="E1097" t="s">
        <v>134</v>
      </c>
      <c r="F1097" t="s">
        <v>187</v>
      </c>
      <c r="G1097" t="s">
        <v>33</v>
      </c>
      <c r="H1097" t="s">
        <v>457</v>
      </c>
      <c r="I1097" t="s">
        <v>135</v>
      </c>
      <c r="J1097" t="s">
        <v>39</v>
      </c>
      <c r="K1097" t="s">
        <v>31</v>
      </c>
      <c r="L1097">
        <v>6.3919579739479149E-2</v>
      </c>
      <c r="M1097">
        <v>1</v>
      </c>
      <c r="N1097">
        <v>3.1656152093206575</v>
      </c>
      <c r="O1097">
        <v>2.8779545327574692</v>
      </c>
      <c r="P1097">
        <v>-0.574311889298731</v>
      </c>
      <c r="Q1097">
        <v>0.4924341706281804</v>
      </c>
      <c r="R1097">
        <v>-0.52509153328775149</v>
      </c>
      <c r="S1097" s="2">
        <v>4.988735872243257E-3</v>
      </c>
      <c r="T1097" s="2">
        <v>8.0523086870378201E-3</v>
      </c>
      <c r="U1097" s="2">
        <v>1.2128063626029818E-2</v>
      </c>
      <c r="V1097" s="2">
        <v>1.7236080946322136E-2</v>
      </c>
      <c r="W1097" s="2">
        <v>2.3265069917509998E-2</v>
      </c>
      <c r="X1097" s="2">
        <v>2.9927443464034049E-2</v>
      </c>
      <c r="Y1097" s="2">
        <v>3.6729756291173296E-2</v>
      </c>
      <c r="Z1097" s="2">
        <v>4.297922583380262E-2</v>
      </c>
      <c r="AA1097" s="2">
        <v>4.7848191895310366E-2</v>
      </c>
      <c r="AB1097" s="2">
        <v>5.05090899830841E-2</v>
      </c>
      <c r="AC1097" s="2">
        <v>5.0328980505433947E-2</v>
      </c>
      <c r="AD1097" s="2">
        <v>4.7077830086369683E-2</v>
      </c>
      <c r="AE1097" s="2">
        <v>4.1072869306536024E-2</v>
      </c>
      <c r="AF1097" s="2">
        <v>3.3704973634623402E-2</v>
      </c>
      <c r="AG1097" s="2">
        <v>6.0396512882930197E-3</v>
      </c>
      <c r="AH1097" s="2">
        <v>0</v>
      </c>
      <c r="AI1097" s="2">
        <v>0</v>
      </c>
      <c r="AJ1097" s="2">
        <v>0</v>
      </c>
      <c r="AK1097" s="2">
        <v>0</v>
      </c>
      <c r="AL1097" s="2">
        <v>0</v>
      </c>
      <c r="AM1097" s="2">
        <v>0</v>
      </c>
      <c r="AN1097" s="2">
        <v>0</v>
      </c>
      <c r="AO1097" s="2">
        <v>0</v>
      </c>
      <c r="AP1097" s="2">
        <v>0</v>
      </c>
      <c r="AQ1097" s="2">
        <v>0</v>
      </c>
      <c r="AR1097" s="2">
        <v>0.45188827133780352</v>
      </c>
    </row>
    <row r="1098" spans="1:44" x14ac:dyDescent="0.25">
      <c r="A1098" t="s">
        <v>435</v>
      </c>
      <c r="B1098" t="s">
        <v>468</v>
      </c>
      <c r="C1098" t="s">
        <v>47</v>
      </c>
      <c r="D1098" t="s">
        <v>187</v>
      </c>
      <c r="E1098" t="s">
        <v>134</v>
      </c>
      <c r="F1098" t="s">
        <v>187</v>
      </c>
      <c r="G1098" t="s">
        <v>33</v>
      </c>
      <c r="H1098" t="s">
        <v>457</v>
      </c>
      <c r="I1098" t="s">
        <v>135</v>
      </c>
      <c r="J1098" t="s">
        <v>39</v>
      </c>
      <c r="K1098" t="s">
        <v>33</v>
      </c>
      <c r="L1098">
        <v>6.3919579739479149E-2</v>
      </c>
      <c r="M1098">
        <v>1</v>
      </c>
      <c r="N1098">
        <v>3.1656152093206575</v>
      </c>
      <c r="O1098">
        <v>2.8779545327574692</v>
      </c>
      <c r="P1098">
        <v>-0.574311889298731</v>
      </c>
      <c r="Q1098">
        <v>0.4924341706281804</v>
      </c>
      <c r="R1098">
        <v>-0.52509153328775149</v>
      </c>
      <c r="S1098" s="2">
        <v>1.4596770301591698E-3</v>
      </c>
      <c r="T1098" s="2">
        <v>2.3560618022727665E-3</v>
      </c>
      <c r="U1098" s="2">
        <v>3.5486055683409483E-3</v>
      </c>
      <c r="V1098" s="2">
        <v>5.043183702567398E-3</v>
      </c>
      <c r="W1098" s="2">
        <v>6.8072331414824067E-3</v>
      </c>
      <c r="X1098" s="2">
        <v>8.7566074682150618E-3</v>
      </c>
      <c r="Y1098" s="2">
        <v>1.0746927268663317E-2</v>
      </c>
      <c r="Z1098" s="2">
        <v>1.2575488125695308E-2</v>
      </c>
      <c r="AA1098" s="2">
        <v>1.4000121159516678E-2</v>
      </c>
      <c r="AB1098" s="2">
        <v>1.4778685492803628E-2</v>
      </c>
      <c r="AC1098" s="2">
        <v>1.4725986437537416E-2</v>
      </c>
      <c r="AD1098" s="2">
        <v>1.3774717476856494E-2</v>
      </c>
      <c r="AE1098" s="2">
        <v>1.2017698556272022E-2</v>
      </c>
      <c r="AF1098" s="2">
        <v>9.8618922862431391E-3</v>
      </c>
      <c r="AG1098" s="2">
        <v>1.7671691750094959E-3</v>
      </c>
      <c r="AH1098" s="2">
        <v>0</v>
      </c>
      <c r="AI1098" s="2">
        <v>0</v>
      </c>
      <c r="AJ1098" s="2">
        <v>0</v>
      </c>
      <c r="AK1098" s="2">
        <v>0</v>
      </c>
      <c r="AL1098" s="2">
        <v>0</v>
      </c>
      <c r="AM1098" s="2">
        <v>0</v>
      </c>
      <c r="AN1098" s="2">
        <v>0</v>
      </c>
      <c r="AO1098" s="2">
        <v>0</v>
      </c>
      <c r="AP1098" s="2">
        <v>0</v>
      </c>
      <c r="AQ1098" s="2">
        <v>0</v>
      </c>
      <c r="AR1098" s="2">
        <v>0.13222005469163525</v>
      </c>
    </row>
    <row r="1099" spans="1:44" x14ac:dyDescent="0.25">
      <c r="A1099" t="s">
        <v>435</v>
      </c>
      <c r="B1099" t="s">
        <v>468</v>
      </c>
      <c r="C1099" t="s">
        <v>47</v>
      </c>
      <c r="D1099" t="s">
        <v>187</v>
      </c>
      <c r="E1099" t="s">
        <v>134</v>
      </c>
      <c r="F1099" t="s">
        <v>187</v>
      </c>
      <c r="G1099" t="s">
        <v>33</v>
      </c>
      <c r="H1099" t="s">
        <v>457</v>
      </c>
      <c r="I1099" t="s">
        <v>256</v>
      </c>
      <c r="J1099" t="s">
        <v>39</v>
      </c>
      <c r="K1099" t="s">
        <v>33</v>
      </c>
      <c r="L1099">
        <v>6.3919579739479149E-2</v>
      </c>
      <c r="M1099">
        <v>1</v>
      </c>
      <c r="N1099">
        <v>2.9108073618997499</v>
      </c>
      <c r="O1099">
        <v>2.6463011728329864</v>
      </c>
      <c r="P1099">
        <v>-0.44883579828446457</v>
      </c>
      <c r="Q1099">
        <v>1.3498045353129324</v>
      </c>
      <c r="R1099">
        <v>-0.399615442273485</v>
      </c>
      <c r="S1099" s="2">
        <v>4.014209775852564E-3</v>
      </c>
      <c r="T1099" s="2">
        <v>6.4793280457149062E-3</v>
      </c>
      <c r="U1099" s="2">
        <v>9.7589034209339849E-3</v>
      </c>
      <c r="V1099" s="2">
        <v>1.3869093574801844E-2</v>
      </c>
      <c r="W1099" s="2">
        <v>1.872034789782677E-2</v>
      </c>
      <c r="X1099" s="2">
        <v>2.4081258097470686E-2</v>
      </c>
      <c r="Y1099" s="2">
        <v>2.9554771097234134E-2</v>
      </c>
      <c r="Z1099" s="2">
        <v>3.4583436148734416E-2</v>
      </c>
      <c r="AA1099" s="2">
        <v>3.8501272583239828E-2</v>
      </c>
      <c r="AB1099" s="2">
        <v>4.0642376740691571E-2</v>
      </c>
      <c r="AC1099" s="2">
        <v>4.049745080265392E-2</v>
      </c>
      <c r="AD1099" s="2">
        <v>3.7881397331555551E-2</v>
      </c>
      <c r="AE1099" s="2">
        <v>3.3049477405680573E-2</v>
      </c>
      <c r="AF1099" s="2">
        <v>2.7120865510588586E-2</v>
      </c>
      <c r="AG1099" s="2">
        <v>4.8598338066161307E-3</v>
      </c>
      <c r="AH1099" s="2">
        <v>0</v>
      </c>
      <c r="AI1099" s="2">
        <v>0</v>
      </c>
      <c r="AJ1099" s="2">
        <v>0</v>
      </c>
      <c r="AK1099" s="2">
        <v>0</v>
      </c>
      <c r="AL1099" s="2">
        <v>0</v>
      </c>
      <c r="AM1099" s="2">
        <v>0</v>
      </c>
      <c r="AN1099" s="2">
        <v>0</v>
      </c>
      <c r="AO1099" s="2">
        <v>0</v>
      </c>
      <c r="AP1099" s="2">
        <v>0</v>
      </c>
      <c r="AQ1099" s="2">
        <v>0</v>
      </c>
      <c r="AR1099" s="2">
        <v>0.36361402223959544</v>
      </c>
    </row>
    <row r="1100" spans="1:44" x14ac:dyDescent="0.25">
      <c r="A1100" t="s">
        <v>435</v>
      </c>
      <c r="B1100" t="s">
        <v>468</v>
      </c>
      <c r="C1100" t="s">
        <v>47</v>
      </c>
      <c r="D1100" t="s">
        <v>187</v>
      </c>
      <c r="E1100" t="s">
        <v>134</v>
      </c>
      <c r="F1100" t="s">
        <v>187</v>
      </c>
      <c r="G1100" t="s">
        <v>33</v>
      </c>
      <c r="H1100" t="s">
        <v>457</v>
      </c>
      <c r="I1100" t="s">
        <v>256</v>
      </c>
      <c r="J1100" t="s">
        <v>40</v>
      </c>
      <c r="K1100" t="s">
        <v>33</v>
      </c>
      <c r="L1100">
        <v>6.3919579739479149E-2</v>
      </c>
      <c r="M1100">
        <v>1</v>
      </c>
      <c r="N1100">
        <v>2.9108073618997499</v>
      </c>
      <c r="O1100">
        <v>1.473762203864009</v>
      </c>
      <c r="P1100">
        <v>-0.44883579828446457</v>
      </c>
      <c r="Q1100">
        <v>1.3498045353129324</v>
      </c>
      <c r="R1100">
        <v>-0.25661544227348498</v>
      </c>
      <c r="S1100" s="2">
        <v>3.6731559358772523E-2</v>
      </c>
      <c r="T1100" s="2">
        <v>5.9288337183521889E-2</v>
      </c>
      <c r="U1100" s="2">
        <v>8.9297709959971619E-2</v>
      </c>
      <c r="V1100" s="2">
        <v>0.12690752659706428</v>
      </c>
      <c r="W1100" s="2">
        <v>0.17129836466502393</v>
      </c>
      <c r="X1100" s="2">
        <v>0.22035274951551359</v>
      </c>
      <c r="Y1100" s="2">
        <v>0.27043749318318194</v>
      </c>
      <c r="Z1100" s="2">
        <v>0.31645170747404761</v>
      </c>
      <c r="AA1100" s="2">
        <v>0.35230141378926688</v>
      </c>
      <c r="AB1100" s="2">
        <v>0.37189333818889569</v>
      </c>
      <c r="AC1100" s="2">
        <v>0.37056721026013645</v>
      </c>
      <c r="AD1100" s="2">
        <v>0.34662931744312148</v>
      </c>
      <c r="AE1100" s="2">
        <v>0.30241539652604199</v>
      </c>
      <c r="AF1100" s="2">
        <v>0.24816632338350911</v>
      </c>
      <c r="AG1100" s="2">
        <v>4.446934363403468E-2</v>
      </c>
      <c r="AH1100" s="2">
        <v>0</v>
      </c>
      <c r="AI1100" s="2">
        <v>0</v>
      </c>
      <c r="AJ1100" s="2">
        <v>0</v>
      </c>
      <c r="AK1100" s="2">
        <v>0</v>
      </c>
      <c r="AL1100" s="2">
        <v>0</v>
      </c>
      <c r="AM1100" s="2">
        <v>0</v>
      </c>
      <c r="AN1100" s="2">
        <v>0</v>
      </c>
      <c r="AO1100" s="2">
        <v>0</v>
      </c>
      <c r="AP1100" s="2">
        <v>0</v>
      </c>
      <c r="AQ1100" s="2">
        <v>0</v>
      </c>
      <c r="AR1100" s="2">
        <v>3.3272077911621039</v>
      </c>
    </row>
    <row r="1101" spans="1:44" x14ac:dyDescent="0.25">
      <c r="A1101" t="s">
        <v>435</v>
      </c>
      <c r="B1101" t="s">
        <v>469</v>
      </c>
      <c r="C1101" t="s">
        <v>47</v>
      </c>
      <c r="D1101" t="s">
        <v>470</v>
      </c>
      <c r="E1101" t="s">
        <v>134</v>
      </c>
      <c r="F1101" t="s">
        <v>470</v>
      </c>
      <c r="G1101" t="s">
        <v>33</v>
      </c>
      <c r="H1101" t="s">
        <v>450</v>
      </c>
      <c r="I1101" t="s">
        <v>135</v>
      </c>
      <c r="J1101" t="s">
        <v>39</v>
      </c>
      <c r="K1101" t="s">
        <v>31</v>
      </c>
      <c r="L1101">
        <v>2.2650432449504043E-2</v>
      </c>
      <c r="M1101">
        <v>1</v>
      </c>
      <c r="N1101">
        <v>2.4239184887175904</v>
      </c>
      <c r="O1101">
        <v>2.8779545327574696</v>
      </c>
      <c r="P1101">
        <v>-0.42363157097620913</v>
      </c>
      <c r="Q1101">
        <v>0.64311448895070245</v>
      </c>
      <c r="R1101">
        <v>-0.5250915332877516</v>
      </c>
      <c r="S1101" s="2">
        <v>1.1284660523049996E-3</v>
      </c>
      <c r="T1101" s="2">
        <v>1.8214548191577903E-3</v>
      </c>
      <c r="U1101" s="2">
        <v>2.7434020226080988E-3</v>
      </c>
      <c r="V1101" s="2">
        <v>3.898849873156232E-3</v>
      </c>
      <c r="W1101" s="2">
        <v>5.262624095311523E-3</v>
      </c>
      <c r="X1101" s="2">
        <v>6.769671685635555E-3</v>
      </c>
      <c r="Y1101" s="2">
        <v>8.3083739338934478E-3</v>
      </c>
      <c r="Z1101" s="2">
        <v>9.7220214799600777E-3</v>
      </c>
      <c r="AA1101" s="2">
        <v>1.0823395265011962E-2</v>
      </c>
      <c r="AB1101" s="2">
        <v>1.1425297878738777E-2</v>
      </c>
      <c r="AC1101" s="2">
        <v>1.138455660952117E-2</v>
      </c>
      <c r="AD1101" s="2">
        <v>1.0649137262254454E-2</v>
      </c>
      <c r="AE1101" s="2">
        <v>9.2907982844047162E-3</v>
      </c>
      <c r="AF1101" s="2">
        <v>7.6241596096777563E-3</v>
      </c>
      <c r="AG1101" s="2">
        <v>1.366186068202091E-3</v>
      </c>
      <c r="AH1101" s="2">
        <v>0</v>
      </c>
      <c r="AI1101" s="2">
        <v>0</v>
      </c>
      <c r="AJ1101" s="2">
        <v>0</v>
      </c>
      <c r="AK1101" s="2">
        <v>0</v>
      </c>
      <c r="AL1101" s="2">
        <v>0</v>
      </c>
      <c r="AM1101" s="2">
        <v>0</v>
      </c>
      <c r="AN1101" s="2">
        <v>0</v>
      </c>
      <c r="AO1101" s="2">
        <v>0</v>
      </c>
      <c r="AP1101" s="2">
        <v>0</v>
      </c>
      <c r="AQ1101" s="2">
        <v>0</v>
      </c>
      <c r="AR1101" s="2">
        <v>0.10221839493983864</v>
      </c>
    </row>
    <row r="1102" spans="1:44" x14ac:dyDescent="0.25">
      <c r="A1102" t="s">
        <v>435</v>
      </c>
      <c r="B1102" t="s">
        <v>469</v>
      </c>
      <c r="C1102" t="s">
        <v>47</v>
      </c>
      <c r="D1102" t="s">
        <v>470</v>
      </c>
      <c r="E1102" t="s">
        <v>134</v>
      </c>
      <c r="F1102" t="s">
        <v>470</v>
      </c>
      <c r="G1102" t="s">
        <v>33</v>
      </c>
      <c r="H1102" t="s">
        <v>450</v>
      </c>
      <c r="I1102" t="s">
        <v>135</v>
      </c>
      <c r="J1102" t="s">
        <v>39</v>
      </c>
      <c r="K1102" t="s">
        <v>33</v>
      </c>
      <c r="L1102">
        <v>2.2650432449504043E-2</v>
      </c>
      <c r="M1102">
        <v>1</v>
      </c>
      <c r="N1102">
        <v>2.4239184887175904</v>
      </c>
      <c r="O1102">
        <v>2.8779545327574696</v>
      </c>
      <c r="P1102">
        <v>-0.42363157097620913</v>
      </c>
      <c r="Q1102">
        <v>0.64311448895070245</v>
      </c>
      <c r="R1102">
        <v>-0.5250915332877516</v>
      </c>
      <c r="S1102" s="2">
        <v>6.952256207325198E-4</v>
      </c>
      <c r="T1102" s="2">
        <v>1.1213800696879093E-3</v>
      </c>
      <c r="U1102" s="2">
        <v>1.6878002413211117E-3</v>
      </c>
      <c r="V1102" s="2">
        <v>2.396984706669767E-3</v>
      </c>
      <c r="W1102" s="2">
        <v>3.2331679149727806E-3</v>
      </c>
      <c r="X1102" s="2">
        <v>4.1561448722881762E-3</v>
      </c>
      <c r="Y1102" s="2">
        <v>5.097253882776061E-3</v>
      </c>
      <c r="Z1102" s="2">
        <v>5.9603802537872494E-3</v>
      </c>
      <c r="AA1102" s="2">
        <v>6.6309853759148754E-3</v>
      </c>
      <c r="AB1102" s="2">
        <v>6.9948634859745692E-3</v>
      </c>
      <c r="AC1102" s="2">
        <v>6.965062092566747E-3</v>
      </c>
      <c r="AD1102" s="2">
        <v>6.5105916456033924E-3</v>
      </c>
      <c r="AE1102" s="2">
        <v>5.6761808335364875E-3</v>
      </c>
      <c r="AF1102" s="2">
        <v>4.654706817011061E-3</v>
      </c>
      <c r="AG1102" s="2">
        <v>1.488573808119375E-4</v>
      </c>
      <c r="AH1102" s="2">
        <v>0</v>
      </c>
      <c r="AI1102" s="2">
        <v>0</v>
      </c>
      <c r="AJ1102" s="2">
        <v>0</v>
      </c>
      <c r="AK1102" s="2">
        <v>0</v>
      </c>
      <c r="AL1102" s="2">
        <v>0</v>
      </c>
      <c r="AM1102" s="2">
        <v>0</v>
      </c>
      <c r="AN1102" s="2">
        <v>0</v>
      </c>
      <c r="AO1102" s="2">
        <v>0</v>
      </c>
      <c r="AP1102" s="2">
        <v>0</v>
      </c>
      <c r="AQ1102" s="2">
        <v>0</v>
      </c>
      <c r="AR1102" s="2">
        <v>6.192958519365465E-2</v>
      </c>
    </row>
    <row r="1103" spans="1:44" x14ac:dyDescent="0.25">
      <c r="A1103" t="s">
        <v>435</v>
      </c>
      <c r="B1103" t="s">
        <v>469</v>
      </c>
      <c r="C1103" t="s">
        <v>47</v>
      </c>
      <c r="D1103" t="s">
        <v>470</v>
      </c>
      <c r="E1103" t="s">
        <v>134</v>
      </c>
      <c r="F1103" t="s">
        <v>470</v>
      </c>
      <c r="G1103" t="s">
        <v>33</v>
      </c>
      <c r="H1103" t="s">
        <v>450</v>
      </c>
      <c r="I1103" t="s">
        <v>256</v>
      </c>
      <c r="J1103" t="s">
        <v>40</v>
      </c>
      <c r="K1103" t="s">
        <v>33</v>
      </c>
      <c r="L1103">
        <v>2.2650432449504043E-2</v>
      </c>
      <c r="M1103">
        <v>1</v>
      </c>
      <c r="N1103">
        <v>2.2288115627035432</v>
      </c>
      <c r="O1103">
        <v>1.4737622038640092</v>
      </c>
      <c r="P1103">
        <v>-0.29815547996194269</v>
      </c>
      <c r="Q1103">
        <v>1.3498045353129324</v>
      </c>
      <c r="R1103">
        <v>-0.25661544227348515</v>
      </c>
      <c r="S1103" s="2">
        <v>1.81606866803001E-2</v>
      </c>
      <c r="T1103" s="2">
        <v>2.9313128388293617E-2</v>
      </c>
      <c r="U1103" s="2">
        <v>4.4150255533979901E-2</v>
      </c>
      <c r="V1103" s="2">
        <v>6.2745167048038841E-2</v>
      </c>
      <c r="W1103" s="2">
        <v>8.4692727012862887E-2</v>
      </c>
      <c r="X1103" s="2">
        <v>0.10894602115872766</v>
      </c>
      <c r="Y1103" s="2">
        <v>0.13370874163915938</v>
      </c>
      <c r="Z1103" s="2">
        <v>0.15645892549099258</v>
      </c>
      <c r="AA1103" s="2">
        <v>0.1741836095321013</v>
      </c>
      <c r="AB1103" s="2">
        <v>0.18387017897530158</v>
      </c>
      <c r="AC1103" s="2">
        <v>0.18321451953060014</v>
      </c>
      <c r="AD1103" s="2">
        <v>0.1713792318699201</v>
      </c>
      <c r="AE1103" s="2">
        <v>0.14951914265236613</v>
      </c>
      <c r="AF1103" s="2">
        <v>0.12269750923312152</v>
      </c>
      <c r="AG1103" s="2">
        <v>2.1986374407037681E-2</v>
      </c>
      <c r="AH1103" s="2">
        <v>0</v>
      </c>
      <c r="AI1103" s="2">
        <v>0</v>
      </c>
      <c r="AJ1103" s="2">
        <v>0</v>
      </c>
      <c r="AK1103" s="2">
        <v>0</v>
      </c>
      <c r="AL1103" s="2">
        <v>0</v>
      </c>
      <c r="AM1103" s="2">
        <v>0</v>
      </c>
      <c r="AN1103" s="2">
        <v>0</v>
      </c>
      <c r="AO1103" s="2">
        <v>0</v>
      </c>
      <c r="AP1103" s="2">
        <v>0</v>
      </c>
      <c r="AQ1103" s="2">
        <v>0</v>
      </c>
      <c r="AR1103" s="2">
        <v>1.6450262191528038</v>
      </c>
    </row>
    <row r="1104" spans="1:44" x14ac:dyDescent="0.25">
      <c r="A1104" t="s">
        <v>435</v>
      </c>
      <c r="B1104" t="s">
        <v>469</v>
      </c>
      <c r="C1104" t="s">
        <v>47</v>
      </c>
      <c r="D1104" t="s">
        <v>470</v>
      </c>
      <c r="E1104" t="s">
        <v>134</v>
      </c>
      <c r="F1104" t="s">
        <v>470</v>
      </c>
      <c r="G1104" t="s">
        <v>33</v>
      </c>
      <c r="H1104" t="s">
        <v>451</v>
      </c>
      <c r="I1104" t="s">
        <v>135</v>
      </c>
      <c r="J1104" t="s">
        <v>39</v>
      </c>
      <c r="K1104" t="s">
        <v>31</v>
      </c>
      <c r="L1104">
        <v>2.2650432449504043E-2</v>
      </c>
      <c r="M1104">
        <v>1</v>
      </c>
      <c r="N1104">
        <v>2.4239184887175904</v>
      </c>
      <c r="O1104">
        <v>2.8779545327574696</v>
      </c>
      <c r="P1104">
        <v>-0.42363157097620913</v>
      </c>
      <c r="Q1104">
        <v>0.64311448895070245</v>
      </c>
      <c r="R1104">
        <v>-0.5250915332877516</v>
      </c>
      <c r="S1104" s="2">
        <v>2.9518732407419346E-4</v>
      </c>
      <c r="T1104" s="2">
        <v>4.7646127492359145E-4</v>
      </c>
      <c r="U1104" s="2">
        <v>7.1762681762493907E-4</v>
      </c>
      <c r="V1104" s="2">
        <v>1.0198721163770872E-3</v>
      </c>
      <c r="W1104" s="2">
        <v>1.3766120133878125E-3</v>
      </c>
      <c r="X1104" s="2">
        <v>1.7708297610387416E-3</v>
      </c>
      <c r="Y1104" s="2">
        <v>2.1733278231491921E-3</v>
      </c>
      <c r="Z1104" s="2">
        <v>2.5431137245106928E-3</v>
      </c>
      <c r="AA1104" s="2">
        <v>2.8312141771125758E-3</v>
      </c>
      <c r="AB1104" s="2">
        <v>2.9886615558231415E-3</v>
      </c>
      <c r="AC1104" s="2">
        <v>2.9780043400254963E-3</v>
      </c>
      <c r="AD1104" s="2">
        <v>2.7856312786040806E-3</v>
      </c>
      <c r="AE1104" s="2">
        <v>2.4303131480868777E-3</v>
      </c>
      <c r="AF1104" s="2">
        <v>1.9943491156852711E-3</v>
      </c>
      <c r="AG1104" s="2">
        <v>3.573707944836144E-4</v>
      </c>
      <c r="AH1104" s="2">
        <v>0</v>
      </c>
      <c r="AI1104" s="2">
        <v>0</v>
      </c>
      <c r="AJ1104" s="2">
        <v>0</v>
      </c>
      <c r="AK1104" s="2">
        <v>0</v>
      </c>
      <c r="AL1104" s="2">
        <v>0</v>
      </c>
      <c r="AM1104" s="2">
        <v>0</v>
      </c>
      <c r="AN1104" s="2">
        <v>0</v>
      </c>
      <c r="AO1104" s="2">
        <v>0</v>
      </c>
      <c r="AP1104" s="2">
        <v>0</v>
      </c>
      <c r="AQ1104" s="2">
        <v>0</v>
      </c>
      <c r="AR1104" s="2">
        <v>2.6738575264907308E-2</v>
      </c>
    </row>
    <row r="1105" spans="1:44" x14ac:dyDescent="0.25">
      <c r="A1105" t="s">
        <v>435</v>
      </c>
      <c r="B1105" t="s">
        <v>469</v>
      </c>
      <c r="C1105" t="s">
        <v>47</v>
      </c>
      <c r="D1105" t="s">
        <v>470</v>
      </c>
      <c r="E1105" t="s">
        <v>134</v>
      </c>
      <c r="F1105" t="s">
        <v>470</v>
      </c>
      <c r="G1105" t="s">
        <v>33</v>
      </c>
      <c r="H1105" t="s">
        <v>451</v>
      </c>
      <c r="I1105" t="s">
        <v>135</v>
      </c>
      <c r="J1105" t="s">
        <v>39</v>
      </c>
      <c r="K1105" t="s">
        <v>33</v>
      </c>
      <c r="L1105">
        <v>2.2650432449504043E-2</v>
      </c>
      <c r="M1105">
        <v>1</v>
      </c>
      <c r="N1105">
        <v>2.4239184887175904</v>
      </c>
      <c r="O1105">
        <v>2.8779545327574696</v>
      </c>
      <c r="P1105">
        <v>-0.42363157097620913</v>
      </c>
      <c r="Q1105">
        <v>0.64311448895070245</v>
      </c>
      <c r="R1105">
        <v>-0.5250915332877516</v>
      </c>
      <c r="S1105" s="2">
        <v>1.3297635864812645E-3</v>
      </c>
      <c r="T1105" s="2">
        <v>2.1463687702341313E-3</v>
      </c>
      <c r="U1105" s="2">
        <v>3.232774353549898E-3</v>
      </c>
      <c r="V1105" s="2">
        <v>4.5943327935211858E-3</v>
      </c>
      <c r="W1105" s="2">
        <v>6.2013791881377327E-3</v>
      </c>
      <c r="X1105" s="2">
        <v>7.9772562777620376E-3</v>
      </c>
      <c r="Y1105" s="2">
        <v>9.7904346325657331E-3</v>
      </c>
      <c r="Z1105" s="2">
        <v>1.1456250832386978E-2</v>
      </c>
      <c r="AA1105" s="2">
        <v>1.2754089390733966E-2</v>
      </c>
      <c r="AB1105" s="2">
        <v>1.3463360331323587E-2</v>
      </c>
      <c r="AC1105" s="2">
        <v>1.3415351570969703E-2</v>
      </c>
      <c r="AD1105" s="2">
        <v>1.2548746973701071E-2</v>
      </c>
      <c r="AE1105" s="2">
        <v>1.0948105370745189E-2</v>
      </c>
      <c r="AF1105" s="2">
        <v>8.984169090210721E-3</v>
      </c>
      <c r="AG1105" s="2">
        <v>1.6098884695222868E-3</v>
      </c>
      <c r="AH1105" s="2">
        <v>0</v>
      </c>
      <c r="AI1105" s="2">
        <v>0</v>
      </c>
      <c r="AJ1105" s="2">
        <v>0</v>
      </c>
      <c r="AK1105" s="2">
        <v>0</v>
      </c>
      <c r="AL1105" s="2">
        <v>0</v>
      </c>
      <c r="AM1105" s="2">
        <v>0</v>
      </c>
      <c r="AN1105" s="2">
        <v>0</v>
      </c>
      <c r="AO1105" s="2">
        <v>0</v>
      </c>
      <c r="AP1105" s="2">
        <v>0</v>
      </c>
      <c r="AQ1105" s="2">
        <v>0</v>
      </c>
      <c r="AR1105" s="2">
        <v>0.12045227163184552</v>
      </c>
    </row>
    <row r="1106" spans="1:44" x14ac:dyDescent="0.25">
      <c r="A1106" t="s">
        <v>435</v>
      </c>
      <c r="B1106" t="s">
        <v>469</v>
      </c>
      <c r="C1106" t="s">
        <v>47</v>
      </c>
      <c r="D1106" t="s">
        <v>470</v>
      </c>
      <c r="E1106" t="s">
        <v>134</v>
      </c>
      <c r="F1106" t="s">
        <v>470</v>
      </c>
      <c r="G1106" t="s">
        <v>33</v>
      </c>
      <c r="H1106" t="s">
        <v>452</v>
      </c>
      <c r="I1106" t="s">
        <v>135</v>
      </c>
      <c r="J1106" t="s">
        <v>39</v>
      </c>
      <c r="K1106" t="s">
        <v>31</v>
      </c>
      <c r="L1106">
        <v>2.2650432449504043E-2</v>
      </c>
      <c r="M1106">
        <v>1</v>
      </c>
      <c r="N1106">
        <v>2.4239184887175904</v>
      </c>
      <c r="O1106">
        <v>2.8779545327574696</v>
      </c>
      <c r="P1106">
        <v>-0.42363157097620913</v>
      </c>
      <c r="Q1106">
        <v>0.64311448895070245</v>
      </c>
      <c r="R1106">
        <v>-0.5250915332877516</v>
      </c>
      <c r="S1106" s="2">
        <v>6.6857910587767889E-3</v>
      </c>
      <c r="T1106" s="2">
        <v>1.079152210118913E-2</v>
      </c>
      <c r="U1106" s="2">
        <v>1.6253756748746212E-2</v>
      </c>
      <c r="V1106" s="2">
        <v>2.309940610815614E-2</v>
      </c>
      <c r="W1106" s="2">
        <v>3.1179320857963554E-2</v>
      </c>
      <c r="X1106" s="2">
        <v>4.0108083299650411E-2</v>
      </c>
      <c r="Y1106" s="2">
        <v>4.9224389202259786E-2</v>
      </c>
      <c r="Z1106" s="2">
        <v>5.759978703053184E-2</v>
      </c>
      <c r="AA1106" s="2">
        <v>6.4125065296041228E-2</v>
      </c>
      <c r="AB1106" s="2">
        <v>6.7691140770699376E-2</v>
      </c>
      <c r="AC1106" s="2">
        <v>6.7449762119651868E-2</v>
      </c>
      <c r="AD1106" s="2">
        <v>6.3092643811693799E-2</v>
      </c>
      <c r="AE1106" s="2">
        <v>5.5044931100845448E-2</v>
      </c>
      <c r="AF1106" s="2">
        <v>4.5170643853177823E-2</v>
      </c>
      <c r="AG1106" s="2">
        <v>8.0942041461981168E-3</v>
      </c>
      <c r="AH1106" s="2">
        <v>0</v>
      </c>
      <c r="AI1106" s="2">
        <v>0</v>
      </c>
      <c r="AJ1106" s="2">
        <v>0</v>
      </c>
      <c r="AK1106" s="2">
        <v>0</v>
      </c>
      <c r="AL1106" s="2">
        <v>0</v>
      </c>
      <c r="AM1106" s="2">
        <v>0</v>
      </c>
      <c r="AN1106" s="2">
        <v>0</v>
      </c>
      <c r="AO1106" s="2">
        <v>0</v>
      </c>
      <c r="AP1106" s="2">
        <v>0</v>
      </c>
      <c r="AQ1106" s="2">
        <v>0</v>
      </c>
      <c r="AR1106" s="2">
        <v>0.60561044750558157</v>
      </c>
    </row>
    <row r="1107" spans="1:44" x14ac:dyDescent="0.25">
      <c r="A1107" t="s">
        <v>435</v>
      </c>
      <c r="B1107" t="s">
        <v>469</v>
      </c>
      <c r="C1107" t="s">
        <v>47</v>
      </c>
      <c r="D1107" t="s">
        <v>470</v>
      </c>
      <c r="E1107" t="s">
        <v>134</v>
      </c>
      <c r="F1107" t="s">
        <v>470</v>
      </c>
      <c r="G1107" t="s">
        <v>33</v>
      </c>
      <c r="H1107" t="s">
        <v>452</v>
      </c>
      <c r="I1107" t="s">
        <v>135</v>
      </c>
      <c r="J1107" t="s">
        <v>39</v>
      </c>
      <c r="K1107" t="s">
        <v>33</v>
      </c>
      <c r="L1107">
        <v>2.2650432449504043E-2</v>
      </c>
      <c r="M1107">
        <v>1</v>
      </c>
      <c r="N1107">
        <v>2.4239184887175904</v>
      </c>
      <c r="O1107">
        <v>2.8779545327574696</v>
      </c>
      <c r="P1107">
        <v>-0.42363157097620913</v>
      </c>
      <c r="Q1107">
        <v>0.64311448895070245</v>
      </c>
      <c r="R1107">
        <v>-0.5250915332877516</v>
      </c>
      <c r="S1107" s="2">
        <v>1.3220930021703266E-2</v>
      </c>
      <c r="T1107" s="2">
        <v>2.1339876952958334E-2</v>
      </c>
      <c r="U1107" s="2">
        <v>3.2141264762209985E-2</v>
      </c>
      <c r="V1107" s="2">
        <v>4.5678309270213956E-2</v>
      </c>
      <c r="W1107" s="2">
        <v>6.1656072641729814E-2</v>
      </c>
      <c r="X1107" s="2">
        <v>7.9312404163934425E-2</v>
      </c>
      <c r="Y1107" s="2">
        <v>9.733959665847372E-2</v>
      </c>
      <c r="Z1107" s="2">
        <v>0.11390166801518302</v>
      </c>
      <c r="AA1107" s="2">
        <v>0.1268051893131138</v>
      </c>
      <c r="AB1107" s="2">
        <v>0.13385698526187817</v>
      </c>
      <c r="AC1107" s="2">
        <v>0.13337966698702081</v>
      </c>
      <c r="AD1107" s="2">
        <v>0.1247636100777678</v>
      </c>
      <c r="AE1107" s="2">
        <v>0.10884952517001056</v>
      </c>
      <c r="AF1107" s="2">
        <v>8.9323449711185929E-2</v>
      </c>
      <c r="AG1107" s="2">
        <v>1.6006020178836695E-2</v>
      </c>
      <c r="AH1107" s="2">
        <v>0</v>
      </c>
      <c r="AI1107" s="2">
        <v>0</v>
      </c>
      <c r="AJ1107" s="2">
        <v>0</v>
      </c>
      <c r="AK1107" s="2">
        <v>0</v>
      </c>
      <c r="AL1107" s="2">
        <v>0</v>
      </c>
      <c r="AM1107" s="2">
        <v>0</v>
      </c>
      <c r="AN1107" s="2">
        <v>0</v>
      </c>
      <c r="AO1107" s="2">
        <v>0</v>
      </c>
      <c r="AP1107" s="2">
        <v>0</v>
      </c>
      <c r="AQ1107" s="2">
        <v>0</v>
      </c>
      <c r="AR1107" s="2">
        <v>1.1975745691862201</v>
      </c>
    </row>
    <row r="1108" spans="1:44" x14ac:dyDescent="0.25">
      <c r="A1108" t="s">
        <v>435</v>
      </c>
      <c r="B1108" t="s">
        <v>469</v>
      </c>
      <c r="C1108" t="s">
        <v>47</v>
      </c>
      <c r="D1108" t="s">
        <v>470</v>
      </c>
      <c r="E1108" t="s">
        <v>134</v>
      </c>
      <c r="F1108" t="s">
        <v>470</v>
      </c>
      <c r="G1108" t="s">
        <v>33</v>
      </c>
      <c r="H1108" t="s">
        <v>452</v>
      </c>
      <c r="I1108" t="s">
        <v>135</v>
      </c>
      <c r="J1108" t="s">
        <v>40</v>
      </c>
      <c r="K1108" t="s">
        <v>33</v>
      </c>
      <c r="L1108">
        <v>2.2650432449504043E-2</v>
      </c>
      <c r="M1108">
        <v>1</v>
      </c>
      <c r="N1108">
        <v>2.4239184887175904</v>
      </c>
      <c r="O1108">
        <v>1.7054155637884916</v>
      </c>
      <c r="P1108">
        <v>-0.42363157097620913</v>
      </c>
      <c r="Q1108">
        <v>1.3498045353129324</v>
      </c>
      <c r="R1108">
        <v>-0.38209153328775158</v>
      </c>
      <c r="S1108" s="2">
        <v>9.6807111108596533E-4</v>
      </c>
      <c r="T1108" s="2">
        <v>1.5625616623320343E-3</v>
      </c>
      <c r="U1108" s="2">
        <v>2.3534675578028826E-3</v>
      </c>
      <c r="V1108" s="2">
        <v>3.3446853992233341E-3</v>
      </c>
      <c r="W1108" s="2">
        <v>4.5146190660940166E-3</v>
      </c>
      <c r="X1108" s="2">
        <v>5.8074618877672164E-3</v>
      </c>
      <c r="Y1108" s="2">
        <v>7.1274601208189733E-3</v>
      </c>
      <c r="Z1108" s="2">
        <v>8.3401783481944023E-3</v>
      </c>
      <c r="AA1108" s="2">
        <v>9.2850079614896375E-3</v>
      </c>
      <c r="AB1108" s="2">
        <v>9.8013589237945092E-3</v>
      </c>
      <c r="AC1108" s="2">
        <v>9.766408429999875E-3</v>
      </c>
      <c r="AD1108" s="2">
        <v>9.1355181846367976E-3</v>
      </c>
      <c r="AE1108" s="2">
        <v>7.9702472216047916E-3</v>
      </c>
      <c r="AF1108" s="2">
        <v>6.5404968535488E-3</v>
      </c>
      <c r="AG1108" s="2">
        <v>1.1720027042843716E-3</v>
      </c>
      <c r="AH1108" s="2">
        <v>0</v>
      </c>
      <c r="AI1108" s="2">
        <v>0</v>
      </c>
      <c r="AJ1108" s="2">
        <v>0</v>
      </c>
      <c r="AK1108" s="2">
        <v>0</v>
      </c>
      <c r="AL1108" s="2">
        <v>0</v>
      </c>
      <c r="AM1108" s="2">
        <v>0</v>
      </c>
      <c r="AN1108" s="2">
        <v>0</v>
      </c>
      <c r="AO1108" s="2">
        <v>0</v>
      </c>
      <c r="AP1108" s="2">
        <v>0</v>
      </c>
      <c r="AQ1108" s="2">
        <v>0</v>
      </c>
      <c r="AR1108" s="2">
        <v>8.7689545432677596E-2</v>
      </c>
    </row>
    <row r="1109" spans="1:44" x14ac:dyDescent="0.25">
      <c r="A1109" t="s">
        <v>435</v>
      </c>
      <c r="B1109" t="s">
        <v>469</v>
      </c>
      <c r="C1109" t="s">
        <v>47</v>
      </c>
      <c r="D1109" t="s">
        <v>470</v>
      </c>
      <c r="E1109" t="s">
        <v>134</v>
      </c>
      <c r="F1109" t="s">
        <v>470</v>
      </c>
      <c r="G1109" t="s">
        <v>33</v>
      </c>
      <c r="H1109" t="s">
        <v>452</v>
      </c>
      <c r="I1109" t="s">
        <v>256</v>
      </c>
      <c r="J1109" t="s">
        <v>40</v>
      </c>
      <c r="K1109" t="s">
        <v>33</v>
      </c>
      <c r="L1109">
        <v>2.2650432449504043E-2</v>
      </c>
      <c r="M1109">
        <v>1</v>
      </c>
      <c r="N1109">
        <v>2.2288115627035432</v>
      </c>
      <c r="O1109">
        <v>1.4737622038640092</v>
      </c>
      <c r="P1109">
        <v>-0.29815547996194269</v>
      </c>
      <c r="Q1109">
        <v>1.3498045353129324</v>
      </c>
      <c r="R1109">
        <v>-0.25661544227348515</v>
      </c>
      <c r="S1109" s="2">
        <v>5.837577675508473E-3</v>
      </c>
      <c r="T1109" s="2">
        <v>9.42242255984942E-3</v>
      </c>
      <c r="U1109" s="2">
        <v>1.4191674060030452E-2</v>
      </c>
      <c r="V1109" s="2">
        <v>2.0168829122689795E-2</v>
      </c>
      <c r="W1109" s="2">
        <v>2.7223660712374108E-2</v>
      </c>
      <c r="X1109" s="2">
        <v>3.5019648328691561E-2</v>
      </c>
      <c r="Y1109" s="2">
        <v>4.2979386129698309E-2</v>
      </c>
      <c r="Z1109" s="2">
        <v>5.029221343106003E-2</v>
      </c>
      <c r="AA1109" s="2">
        <v>5.5989642260998305E-2</v>
      </c>
      <c r="AB1109" s="2">
        <v>5.9103296635930447E-2</v>
      </c>
      <c r="AC1109" s="2">
        <v>5.8892541227585846E-2</v>
      </c>
      <c r="AD1109" s="2">
        <v>5.5088202093969717E-2</v>
      </c>
      <c r="AE1109" s="2">
        <v>4.8061487132831052E-2</v>
      </c>
      <c r="AF1109" s="2">
        <v>3.9439931614299997E-2</v>
      </c>
      <c r="AG1109" s="2">
        <v>7.0673081179864093E-3</v>
      </c>
      <c r="AH1109" s="2">
        <v>0</v>
      </c>
      <c r="AI1109" s="2">
        <v>0</v>
      </c>
      <c r="AJ1109" s="2">
        <v>0</v>
      </c>
      <c r="AK1109" s="2">
        <v>0</v>
      </c>
      <c r="AL1109" s="2">
        <v>0</v>
      </c>
      <c r="AM1109" s="2">
        <v>0</v>
      </c>
      <c r="AN1109" s="2">
        <v>0</v>
      </c>
      <c r="AO1109" s="2">
        <v>0</v>
      </c>
      <c r="AP1109" s="2">
        <v>0</v>
      </c>
      <c r="AQ1109" s="2">
        <v>0</v>
      </c>
      <c r="AR1109" s="2">
        <v>0.52877782110350402</v>
      </c>
    </row>
    <row r="1110" spans="1:44" x14ac:dyDescent="0.25">
      <c r="A1110" t="s">
        <v>435</v>
      </c>
      <c r="B1110" t="s">
        <v>469</v>
      </c>
      <c r="C1110" t="s">
        <v>47</v>
      </c>
      <c r="D1110" t="s">
        <v>470</v>
      </c>
      <c r="E1110" t="s">
        <v>134</v>
      </c>
      <c r="F1110" t="s">
        <v>470</v>
      </c>
      <c r="G1110" t="s">
        <v>33</v>
      </c>
      <c r="H1110" t="s">
        <v>453</v>
      </c>
      <c r="I1110" t="s">
        <v>135</v>
      </c>
      <c r="J1110" t="s">
        <v>39</v>
      </c>
      <c r="K1110" t="s">
        <v>31</v>
      </c>
      <c r="L1110">
        <v>2.2650432449504043E-2</v>
      </c>
      <c r="M1110">
        <v>1</v>
      </c>
      <c r="N1110">
        <v>2.4239184887175904</v>
      </c>
      <c r="O1110">
        <v>2.8779545327574696</v>
      </c>
      <c r="P1110">
        <v>-0.42363157097620913</v>
      </c>
      <c r="Q1110">
        <v>0.64311448895070245</v>
      </c>
      <c r="R1110">
        <v>-0.5250915332877516</v>
      </c>
      <c r="S1110" s="2">
        <v>2.0447146694245874E-3</v>
      </c>
      <c r="T1110" s="2">
        <v>3.3003698966563438E-3</v>
      </c>
      <c r="U1110" s="2">
        <v>4.9708844570893179E-3</v>
      </c>
      <c r="V1110" s="2">
        <v>7.0644885712273717E-3</v>
      </c>
      <c r="W1110" s="2">
        <v>9.5355679201614349E-3</v>
      </c>
      <c r="X1110" s="2">
        <v>1.2266250255852705E-2</v>
      </c>
      <c r="Y1110" s="2">
        <v>1.5054288985474285E-2</v>
      </c>
      <c r="Z1110" s="2">
        <v>1.7615735888493095E-2</v>
      </c>
      <c r="AA1110" s="2">
        <v>1.9611360949801187E-2</v>
      </c>
      <c r="AB1110" s="2">
        <v>2.0701973380133815E-2</v>
      </c>
      <c r="AC1110" s="2">
        <v>2.0628152576530504E-2</v>
      </c>
      <c r="AD1110" s="2">
        <v>1.9295615612336132E-2</v>
      </c>
      <c r="AE1110" s="2">
        <v>1.6834384609075177E-2</v>
      </c>
      <c r="AF1110" s="2">
        <v>1.381453253653493E-2</v>
      </c>
      <c r="AG1110" s="2">
        <v>2.4754494733008831E-3</v>
      </c>
      <c r="AH1110" s="2">
        <v>0</v>
      </c>
      <c r="AI1110" s="2">
        <v>0</v>
      </c>
      <c r="AJ1110" s="2">
        <v>0</v>
      </c>
      <c r="AK1110" s="2">
        <v>0</v>
      </c>
      <c r="AL1110" s="2">
        <v>0</v>
      </c>
      <c r="AM1110" s="2">
        <v>0</v>
      </c>
      <c r="AN1110" s="2">
        <v>0</v>
      </c>
      <c r="AO1110" s="2">
        <v>0</v>
      </c>
      <c r="AP1110" s="2">
        <v>0</v>
      </c>
      <c r="AQ1110" s="2">
        <v>0</v>
      </c>
      <c r="AR1110" s="2">
        <v>0.18521376978209175</v>
      </c>
    </row>
    <row r="1111" spans="1:44" x14ac:dyDescent="0.25">
      <c r="A1111" t="s">
        <v>435</v>
      </c>
      <c r="B1111" t="s">
        <v>469</v>
      </c>
      <c r="C1111" t="s">
        <v>47</v>
      </c>
      <c r="D1111" t="s">
        <v>470</v>
      </c>
      <c r="E1111" t="s">
        <v>134</v>
      </c>
      <c r="F1111" t="s">
        <v>470</v>
      </c>
      <c r="G1111" t="s">
        <v>33</v>
      </c>
      <c r="H1111" t="s">
        <v>453</v>
      </c>
      <c r="I1111" t="s">
        <v>135</v>
      </c>
      <c r="J1111" t="s">
        <v>39</v>
      </c>
      <c r="K1111" t="s">
        <v>33</v>
      </c>
      <c r="L1111">
        <v>2.2650432449504043E-2</v>
      </c>
      <c r="M1111">
        <v>1</v>
      </c>
      <c r="N1111">
        <v>2.4239184887175904</v>
      </c>
      <c r="O1111">
        <v>2.8779545327574696</v>
      </c>
      <c r="P1111">
        <v>-0.42363157097620913</v>
      </c>
      <c r="Q1111">
        <v>0.64311448895070245</v>
      </c>
      <c r="R1111">
        <v>-0.5250915332877516</v>
      </c>
      <c r="S1111" s="2">
        <v>1.860453006456134E-3</v>
      </c>
      <c r="T1111" s="2">
        <v>3.0029535115427873E-3</v>
      </c>
      <c r="U1111" s="2">
        <v>4.5229278545453177E-3</v>
      </c>
      <c r="V1111" s="2">
        <v>6.4278645807894731E-3</v>
      </c>
      <c r="W1111" s="2">
        <v>8.6762599548050549E-3</v>
      </c>
      <c r="X1111" s="2">
        <v>1.1160863913040048E-2</v>
      </c>
      <c r="Y1111" s="2">
        <v>1.3697655532039046E-2</v>
      </c>
      <c r="Z1111" s="2">
        <v>1.602827489074897E-2</v>
      </c>
      <c r="AA1111" s="2">
        <v>1.7844062051954532E-2</v>
      </c>
      <c r="AB1111" s="2">
        <v>1.8836392769404599E-2</v>
      </c>
      <c r="AC1111" s="2">
        <v>1.8769224406964359E-2</v>
      </c>
      <c r="AD1111" s="2">
        <v>1.7556770445382026E-2</v>
      </c>
      <c r="AE1111" s="2">
        <v>1.5317335922770372E-2</v>
      </c>
      <c r="AF1111" s="2">
        <v>1.2569621069728625E-2</v>
      </c>
      <c r="AG1111" s="2">
        <v>2.2523716799219035E-3</v>
      </c>
      <c r="AH1111" s="2">
        <v>0</v>
      </c>
      <c r="AI1111" s="2">
        <v>0</v>
      </c>
      <c r="AJ1111" s="2">
        <v>0</v>
      </c>
      <c r="AK1111" s="2">
        <v>0</v>
      </c>
      <c r="AL1111" s="2">
        <v>0</v>
      </c>
      <c r="AM1111" s="2">
        <v>0</v>
      </c>
      <c r="AN1111" s="2">
        <v>0</v>
      </c>
      <c r="AO1111" s="2">
        <v>0</v>
      </c>
      <c r="AP1111" s="2">
        <v>0</v>
      </c>
      <c r="AQ1111" s="2">
        <v>0</v>
      </c>
      <c r="AR1111" s="2">
        <v>0.16852303159009321</v>
      </c>
    </row>
    <row r="1112" spans="1:44" x14ac:dyDescent="0.25">
      <c r="A1112" t="s">
        <v>435</v>
      </c>
      <c r="B1112" t="s">
        <v>469</v>
      </c>
      <c r="C1112" t="s">
        <v>47</v>
      </c>
      <c r="D1112" t="s">
        <v>470</v>
      </c>
      <c r="E1112" t="s">
        <v>134</v>
      </c>
      <c r="F1112" t="s">
        <v>470</v>
      </c>
      <c r="G1112" t="s">
        <v>33</v>
      </c>
      <c r="H1112" t="s">
        <v>453</v>
      </c>
      <c r="I1112" t="s">
        <v>135</v>
      </c>
      <c r="J1112" t="s">
        <v>40</v>
      </c>
      <c r="K1112" t="s">
        <v>33</v>
      </c>
      <c r="L1112">
        <v>2.2650432449504043E-2</v>
      </c>
      <c r="M1112">
        <v>1</v>
      </c>
      <c r="N1112">
        <v>2.4239184887175904</v>
      </c>
      <c r="O1112">
        <v>1.7054155637884916</v>
      </c>
      <c r="P1112">
        <v>-0.42363157097620913</v>
      </c>
      <c r="Q1112">
        <v>1.3498045353129324</v>
      </c>
      <c r="R1112">
        <v>-0.38209153328775158</v>
      </c>
      <c r="S1112" s="2">
        <v>3.7887411641781402E-2</v>
      </c>
      <c r="T1112" s="2">
        <v>6.1153996063397553E-2</v>
      </c>
      <c r="U1112" s="2">
        <v>9.2107690361744196E-2</v>
      </c>
      <c r="V1112" s="2">
        <v>0.13090099588911039</v>
      </c>
      <c r="W1112" s="2">
        <v>0.17668870499715766</v>
      </c>
      <c r="X1112" s="2">
        <v>0.22728671129228098</v>
      </c>
      <c r="Y1112" s="2">
        <v>0.2789474992750503</v>
      </c>
      <c r="Z1112" s="2">
        <v>0.32640966828298834</v>
      </c>
      <c r="AA1112" s="2">
        <v>0.36338747712401975</v>
      </c>
      <c r="AB1112" s="2">
        <v>0.3835959114388594</v>
      </c>
      <c r="AC1112" s="2">
        <v>0.38222805350950201</v>
      </c>
      <c r="AD1112" s="2">
        <v>0.35753689378669845</v>
      </c>
      <c r="AE1112" s="2">
        <v>0.31193166897931524</v>
      </c>
      <c r="AF1112" s="2">
        <v>0.2559755102641158</v>
      </c>
      <c r="AG1112" s="2">
        <v>4.5868685052165951E-2</v>
      </c>
      <c r="AH1112" s="2">
        <v>0</v>
      </c>
      <c r="AI1112" s="2">
        <v>0</v>
      </c>
      <c r="AJ1112" s="2">
        <v>0</v>
      </c>
      <c r="AK1112" s="2">
        <v>0</v>
      </c>
      <c r="AL1112" s="2">
        <v>0</v>
      </c>
      <c r="AM1112" s="2">
        <v>0</v>
      </c>
      <c r="AN1112" s="2">
        <v>0</v>
      </c>
      <c r="AO1112" s="2">
        <v>0</v>
      </c>
      <c r="AP1112" s="2">
        <v>0</v>
      </c>
      <c r="AQ1112" s="2">
        <v>0</v>
      </c>
      <c r="AR1112" s="2">
        <v>3.4319068779581876</v>
      </c>
    </row>
    <row r="1113" spans="1:44" x14ac:dyDescent="0.25">
      <c r="A1113" t="s">
        <v>435</v>
      </c>
      <c r="B1113" t="s">
        <v>469</v>
      </c>
      <c r="C1113" t="s">
        <v>47</v>
      </c>
      <c r="D1113" t="s">
        <v>470</v>
      </c>
      <c r="E1113" t="s">
        <v>134</v>
      </c>
      <c r="F1113" t="s">
        <v>470</v>
      </c>
      <c r="G1113" t="s">
        <v>33</v>
      </c>
      <c r="H1113" t="s">
        <v>453</v>
      </c>
      <c r="I1113" t="s">
        <v>256</v>
      </c>
      <c r="J1113" t="s">
        <v>40</v>
      </c>
      <c r="K1113" t="s">
        <v>33</v>
      </c>
      <c r="L1113">
        <v>2.2650432449504043E-2</v>
      </c>
      <c r="M1113">
        <v>1</v>
      </c>
      <c r="N1113">
        <v>2.2288115627035432</v>
      </c>
      <c r="O1113">
        <v>1.4737622038640092</v>
      </c>
      <c r="P1113">
        <v>-0.29815547996194269</v>
      </c>
      <c r="Q1113">
        <v>1.3498045353129324</v>
      </c>
      <c r="R1113">
        <v>-0.25661544227348515</v>
      </c>
      <c r="S1113" s="2">
        <v>1.9504334986307957E-2</v>
      </c>
      <c r="T1113" s="2">
        <v>3.1481908456805353E-2</v>
      </c>
      <c r="U1113" s="2">
        <v>4.7416784884017973E-2</v>
      </c>
      <c r="V1113" s="2">
        <v>6.7387471543371033E-2</v>
      </c>
      <c r="W1113" s="2">
        <v>9.0958857869327711E-2</v>
      </c>
      <c r="X1113" s="2">
        <v>0.11700657191615096</v>
      </c>
      <c r="Y1113" s="2">
        <v>0.14360140304368557</v>
      </c>
      <c r="Z1113" s="2">
        <v>0.16803479670646951</v>
      </c>
      <c r="AA1113" s="2">
        <v>0.18707087068043771</v>
      </c>
      <c r="AB1113" s="2">
        <v>0.19747411691304054</v>
      </c>
      <c r="AC1113" s="2">
        <v>0.19676994742476528</v>
      </c>
      <c r="AD1113" s="2">
        <v>0.18405900651945117</v>
      </c>
      <c r="AE1113" s="2">
        <v>0.16058156260802378</v>
      </c>
      <c r="AF1113" s="2">
        <v>0.1317754864778532</v>
      </c>
      <c r="AG1113" s="2">
        <v>2.3613072518585694E-2</v>
      </c>
      <c r="AH1113" s="2">
        <v>0</v>
      </c>
      <c r="AI1113" s="2">
        <v>0</v>
      </c>
      <c r="AJ1113" s="2">
        <v>0</v>
      </c>
      <c r="AK1113" s="2">
        <v>0</v>
      </c>
      <c r="AL1113" s="2">
        <v>0</v>
      </c>
      <c r="AM1113" s="2">
        <v>0</v>
      </c>
      <c r="AN1113" s="2">
        <v>0</v>
      </c>
      <c r="AO1113" s="2">
        <v>0</v>
      </c>
      <c r="AP1113" s="2">
        <v>0</v>
      </c>
      <c r="AQ1113" s="2">
        <v>0</v>
      </c>
      <c r="AR1113" s="2">
        <v>1.7667361925482934</v>
      </c>
    </row>
    <row r="1114" spans="1:44" x14ac:dyDescent="0.25">
      <c r="A1114" t="s">
        <v>435</v>
      </c>
      <c r="B1114" t="s">
        <v>469</v>
      </c>
      <c r="C1114" t="s">
        <v>47</v>
      </c>
      <c r="D1114" t="s">
        <v>470</v>
      </c>
      <c r="E1114" t="s">
        <v>134</v>
      </c>
      <c r="F1114" t="s">
        <v>470</v>
      </c>
      <c r="G1114" t="s">
        <v>33</v>
      </c>
      <c r="H1114" t="s">
        <v>454</v>
      </c>
      <c r="I1114" t="s">
        <v>135</v>
      </c>
      <c r="J1114" t="s">
        <v>39</v>
      </c>
      <c r="K1114" t="s">
        <v>31</v>
      </c>
      <c r="L1114">
        <v>2.2650432449504043E-2</v>
      </c>
      <c r="M1114">
        <v>1</v>
      </c>
      <c r="N1114">
        <v>2.4239184887175904</v>
      </c>
      <c r="O1114">
        <v>2.8779545327574696</v>
      </c>
      <c r="P1114">
        <v>-0.42363157097620913</v>
      </c>
      <c r="Q1114">
        <v>0.64311448895070245</v>
      </c>
      <c r="R1114">
        <v>-0.5250915332877516</v>
      </c>
      <c r="S1114" s="2">
        <v>1.1259038960442242E-4</v>
      </c>
      <c r="T1114" s="2">
        <v>1.8173192478137596E-4</v>
      </c>
      <c r="U1114" s="2">
        <v>2.7371731913076878E-4</v>
      </c>
      <c r="V1114" s="2">
        <v>3.8899976240416693E-4</v>
      </c>
      <c r="W1114" s="2">
        <v>5.2506754281395084E-4</v>
      </c>
      <c r="X1114" s="2">
        <v>6.7543013015133955E-4</v>
      </c>
      <c r="Y1114" s="2">
        <v>8.289509961647135E-4</v>
      </c>
      <c r="Z1114" s="2">
        <v>9.6999478534195245E-4</v>
      </c>
      <c r="AA1114" s="2">
        <v>1.0798820994581356E-3</v>
      </c>
      <c r="AB1114" s="2">
        <v>1.1399357002244142E-3</v>
      </c>
      <c r="AC1114" s="2">
        <v>1.1358708235142821E-3</v>
      </c>
      <c r="AD1114" s="2">
        <v>1.0624958640617931E-3</v>
      </c>
      <c r="AE1114" s="2">
        <v>9.2697037402282481E-4</v>
      </c>
      <c r="AF1114" s="2">
        <v>7.6068491303441649E-4</v>
      </c>
      <c r="AG1114" s="2">
        <v>1.3630841741035771E-4</v>
      </c>
      <c r="AH1114" s="2">
        <v>0</v>
      </c>
      <c r="AI1114" s="2">
        <v>0</v>
      </c>
      <c r="AJ1114" s="2">
        <v>0</v>
      </c>
      <c r="AK1114" s="2">
        <v>0</v>
      </c>
      <c r="AL1114" s="2">
        <v>0</v>
      </c>
      <c r="AM1114" s="2">
        <v>0</v>
      </c>
      <c r="AN1114" s="2">
        <v>0</v>
      </c>
      <c r="AO1114" s="2">
        <v>0</v>
      </c>
      <c r="AP1114" s="2">
        <v>0</v>
      </c>
      <c r="AQ1114" s="2">
        <v>0</v>
      </c>
      <c r="AR1114" s="2">
        <v>1.0198631042118916E-2</v>
      </c>
    </row>
    <row r="1115" spans="1:44" x14ac:dyDescent="0.25">
      <c r="A1115" t="s">
        <v>435</v>
      </c>
      <c r="B1115" t="s">
        <v>469</v>
      </c>
      <c r="C1115" t="s">
        <v>47</v>
      </c>
      <c r="D1115" t="s">
        <v>470</v>
      </c>
      <c r="E1115" t="s">
        <v>134</v>
      </c>
      <c r="F1115" t="s">
        <v>470</v>
      </c>
      <c r="G1115" t="s">
        <v>33</v>
      </c>
      <c r="H1115" t="s">
        <v>454</v>
      </c>
      <c r="I1115" t="s">
        <v>135</v>
      </c>
      <c r="J1115" t="s">
        <v>39</v>
      </c>
      <c r="K1115" t="s">
        <v>33</v>
      </c>
      <c r="L1115">
        <v>2.2650432449504043E-2</v>
      </c>
      <c r="M1115">
        <v>1</v>
      </c>
      <c r="N1115">
        <v>2.4239184887175904</v>
      </c>
      <c r="O1115">
        <v>2.8779545327574696</v>
      </c>
      <c r="P1115">
        <v>-0.42363157097620913</v>
      </c>
      <c r="Q1115">
        <v>0.64311448895070245</v>
      </c>
      <c r="R1115">
        <v>-0.5250915332877516</v>
      </c>
      <c r="S1115" s="2">
        <v>9.0353834772506495E-4</v>
      </c>
      <c r="T1115" s="2">
        <v>1.4583994568521373E-3</v>
      </c>
      <c r="U1115" s="2">
        <v>2.1965826314312258E-3</v>
      </c>
      <c r="V1115" s="2">
        <v>3.1217247211150797E-3</v>
      </c>
      <c r="W1115" s="2">
        <v>4.2136692282974597E-3</v>
      </c>
      <c r="X1115" s="2">
        <v>5.4203296208924015E-3</v>
      </c>
      <c r="Y1115" s="2">
        <v>6.6523352130783671E-3</v>
      </c>
      <c r="Z1115" s="2">
        <v>7.7842122114423476E-3</v>
      </c>
      <c r="AA1115" s="2">
        <v>8.6660583670629138E-3</v>
      </c>
      <c r="AB1115" s="2">
        <v>9.1479887645146366E-3</v>
      </c>
      <c r="AC1115" s="2">
        <v>9.1153681119058097E-3</v>
      </c>
      <c r="AD1115" s="2">
        <v>8.5265337552522316E-3</v>
      </c>
      <c r="AE1115" s="2">
        <v>7.438941130564934E-3</v>
      </c>
      <c r="AF1115" s="2">
        <v>6.1044996102891597E-3</v>
      </c>
      <c r="AG1115" s="2">
        <v>1.0938756201189503E-3</v>
      </c>
      <c r="AH1115" s="2">
        <v>0</v>
      </c>
      <c r="AI1115" s="2">
        <v>0</v>
      </c>
      <c r="AJ1115" s="2">
        <v>0</v>
      </c>
      <c r="AK1115" s="2">
        <v>0</v>
      </c>
      <c r="AL1115" s="2">
        <v>0</v>
      </c>
      <c r="AM1115" s="2">
        <v>0</v>
      </c>
      <c r="AN1115" s="2">
        <v>0</v>
      </c>
      <c r="AO1115" s="2">
        <v>0</v>
      </c>
      <c r="AP1115" s="2">
        <v>0</v>
      </c>
      <c r="AQ1115" s="2">
        <v>0</v>
      </c>
      <c r="AR1115" s="2">
        <v>8.1844056790542727E-2</v>
      </c>
    </row>
    <row r="1116" spans="1:44" x14ac:dyDescent="0.25">
      <c r="A1116" t="s">
        <v>435</v>
      </c>
      <c r="B1116" t="s">
        <v>469</v>
      </c>
      <c r="C1116" t="s">
        <v>47</v>
      </c>
      <c r="D1116" t="s">
        <v>470</v>
      </c>
      <c r="E1116" t="s">
        <v>134</v>
      </c>
      <c r="F1116" t="s">
        <v>470</v>
      </c>
      <c r="G1116" t="s">
        <v>33</v>
      </c>
      <c r="H1116" t="s">
        <v>455</v>
      </c>
      <c r="I1116" t="s">
        <v>135</v>
      </c>
      <c r="J1116" t="s">
        <v>39</v>
      </c>
      <c r="K1116" t="s">
        <v>31</v>
      </c>
      <c r="L1116">
        <v>2.2650432449504043E-2</v>
      </c>
      <c r="M1116">
        <v>1</v>
      </c>
      <c r="N1116">
        <v>2.4239184887175904</v>
      </c>
      <c r="O1116">
        <v>2.8779545327574696</v>
      </c>
      <c r="P1116">
        <v>-0.42363157097620913</v>
      </c>
      <c r="Q1116">
        <v>0.64311448895070245</v>
      </c>
      <c r="R1116">
        <v>-0.5250915332877516</v>
      </c>
      <c r="S1116" s="2">
        <v>2.6527964647468308E-5</v>
      </c>
      <c r="T1116" s="2">
        <v>4.2818735176730829E-5</v>
      </c>
      <c r="U1116" s="2">
        <v>6.4491857527204291E-5</v>
      </c>
      <c r="V1116" s="2">
        <v>9.1654109921704904E-5</v>
      </c>
      <c r="W1116" s="2">
        <v>1.237136958335423E-4</v>
      </c>
      <c r="X1116" s="2">
        <v>1.5914135014047297E-4</v>
      </c>
      <c r="Y1116" s="2">
        <v>1.953131417166479E-4</v>
      </c>
      <c r="Z1116" s="2">
        <v>2.28545149050352E-4</v>
      </c>
      <c r="AA1116" s="2">
        <v>2.5443622904680006E-4</v>
      </c>
      <c r="AB1116" s="2">
        <v>2.6858574752416069E-4</v>
      </c>
      <c r="AC1116" s="2">
        <v>2.676280023201379E-4</v>
      </c>
      <c r="AD1116" s="2">
        <v>2.5033977428216874E-4</v>
      </c>
      <c r="AE1116" s="2">
        <v>2.1840796001972514E-4</v>
      </c>
      <c r="AF1116" s="2">
        <v>1.7922864066585378E-4</v>
      </c>
      <c r="AG1116" s="2">
        <v>3.2116283555983607E-5</v>
      </c>
      <c r="AH1116" s="2">
        <v>0</v>
      </c>
      <c r="AI1116" s="2">
        <v>0</v>
      </c>
      <c r="AJ1116" s="2">
        <v>0</v>
      </c>
      <c r="AK1116" s="2">
        <v>0</v>
      </c>
      <c r="AL1116" s="2">
        <v>0</v>
      </c>
      <c r="AM1116" s="2">
        <v>0</v>
      </c>
      <c r="AN1116" s="2">
        <v>0</v>
      </c>
      <c r="AO1116" s="2">
        <v>0</v>
      </c>
      <c r="AP1116" s="2">
        <v>0</v>
      </c>
      <c r="AQ1116" s="2">
        <v>0</v>
      </c>
      <c r="AR1116" s="2">
        <v>2.4029486414289532E-3</v>
      </c>
    </row>
    <row r="1117" spans="1:44" x14ac:dyDescent="0.25">
      <c r="A1117" t="s">
        <v>435</v>
      </c>
      <c r="B1117" t="s">
        <v>469</v>
      </c>
      <c r="C1117" t="s">
        <v>47</v>
      </c>
      <c r="D1117" t="s">
        <v>470</v>
      </c>
      <c r="E1117" t="s">
        <v>134</v>
      </c>
      <c r="F1117" t="s">
        <v>470</v>
      </c>
      <c r="G1117" t="s">
        <v>33</v>
      </c>
      <c r="H1117" t="s">
        <v>455</v>
      </c>
      <c r="I1117" t="s">
        <v>135</v>
      </c>
      <c r="J1117" t="s">
        <v>39</v>
      </c>
      <c r="K1117" t="s">
        <v>33</v>
      </c>
      <c r="L1117">
        <v>2.2650432449504043E-2</v>
      </c>
      <c r="M1117">
        <v>1</v>
      </c>
      <c r="N1117">
        <v>2.4239184887175904</v>
      </c>
      <c r="O1117">
        <v>2.8779545327574696</v>
      </c>
      <c r="P1117">
        <v>-0.42363157097620913</v>
      </c>
      <c r="Q1117">
        <v>0.64311448895070245</v>
      </c>
      <c r="R1117">
        <v>-0.5250915332877516</v>
      </c>
      <c r="S1117" s="2">
        <v>6.7449414200041E-4</v>
      </c>
      <c r="T1117" s="2">
        <v>1.088699658204953E-3</v>
      </c>
      <c r="U1117" s="2">
        <v>1.639755657355933E-3</v>
      </c>
      <c r="V1117" s="2">
        <v>2.3303770588502877E-3</v>
      </c>
      <c r="W1117" s="2">
        <v>3.1455169755327727E-3</v>
      </c>
      <c r="X1117" s="2">
        <v>4.0462926517820536E-3</v>
      </c>
      <c r="Y1117" s="2">
        <v>4.9659885970990717E-3</v>
      </c>
      <c r="Z1117" s="2">
        <v>5.8109382406684E-3</v>
      </c>
      <c r="AA1117" s="2">
        <v>6.4692390948703736E-3</v>
      </c>
      <c r="AB1117" s="2">
        <v>6.829001611593161E-3</v>
      </c>
      <c r="AC1117" s="2">
        <v>6.8046501945799448E-3</v>
      </c>
      <c r="AD1117" s="2">
        <v>6.3650835451163094E-3</v>
      </c>
      <c r="AE1117" s="2">
        <v>5.5531923220360343E-3</v>
      </c>
      <c r="AF1117" s="2">
        <v>4.5570276428784301E-3</v>
      </c>
      <c r="AG1117" s="2">
        <v>8.165814984001196E-4</v>
      </c>
      <c r="AH1117" s="2">
        <v>0</v>
      </c>
      <c r="AI1117" s="2">
        <v>0</v>
      </c>
      <c r="AJ1117" s="2">
        <v>0</v>
      </c>
      <c r="AK1117" s="2">
        <v>0</v>
      </c>
      <c r="AL1117" s="2">
        <v>0</v>
      </c>
      <c r="AM1117" s="2">
        <v>0</v>
      </c>
      <c r="AN1117" s="2">
        <v>0</v>
      </c>
      <c r="AO1117" s="2">
        <v>0</v>
      </c>
      <c r="AP1117" s="2">
        <v>0</v>
      </c>
      <c r="AQ1117" s="2">
        <v>0</v>
      </c>
      <c r="AR1117" s="2">
        <v>6.1096838890968251E-2</v>
      </c>
    </row>
    <row r="1118" spans="1:44" x14ac:dyDescent="0.25">
      <c r="A1118" t="s">
        <v>435</v>
      </c>
      <c r="B1118" t="s">
        <v>469</v>
      </c>
      <c r="C1118" t="s">
        <v>47</v>
      </c>
      <c r="D1118" t="s">
        <v>470</v>
      </c>
      <c r="E1118" t="s">
        <v>134</v>
      </c>
      <c r="F1118" t="s">
        <v>470</v>
      </c>
      <c r="G1118" t="s">
        <v>33</v>
      </c>
      <c r="H1118" t="s">
        <v>456</v>
      </c>
      <c r="I1118" t="s">
        <v>135</v>
      </c>
      <c r="J1118" t="s">
        <v>39</v>
      </c>
      <c r="K1118" t="s">
        <v>31</v>
      </c>
      <c r="L1118">
        <v>2.2650432449504043E-2</v>
      </c>
      <c r="M1118">
        <v>1</v>
      </c>
      <c r="N1118">
        <v>2.4239184887175904</v>
      </c>
      <c r="O1118">
        <v>2.8779545327574696</v>
      </c>
      <c r="P1118">
        <v>-0.42363157097620913</v>
      </c>
      <c r="Q1118">
        <v>0.64311448895070245</v>
      </c>
      <c r="R1118">
        <v>-0.5250915332877516</v>
      </c>
      <c r="S1118" s="2">
        <v>4.7817284476495093E-3</v>
      </c>
      <c r="T1118" s="2">
        <v>7.7181784131518192E-3</v>
      </c>
      <c r="U1118" s="2">
        <v>1.1624810040186118E-2</v>
      </c>
      <c r="V1118" s="2">
        <v>1.6520870356272779E-2</v>
      </c>
      <c r="W1118" s="2">
        <v>2.2299686636063271E-2</v>
      </c>
      <c r="X1118" s="2">
        <v>2.8685605219874035E-2</v>
      </c>
      <c r="Y1118" s="2">
        <v>3.5205656308631469E-2</v>
      </c>
      <c r="Z1118" s="2">
        <v>4.119580432608351E-2</v>
      </c>
      <c r="AA1118" s="2">
        <v>4.5862732807202405E-2</v>
      </c>
      <c r="AB1118" s="2">
        <v>4.8413217019725466E-2</v>
      </c>
      <c r="AC1118" s="2">
        <v>4.8240581178697492E-2</v>
      </c>
      <c r="AD1118" s="2">
        <v>4.5124337135206645E-2</v>
      </c>
      <c r="AE1118" s="2">
        <v>3.9368551997790963E-2</v>
      </c>
      <c r="AF1118" s="2">
        <v>3.2306386905082612E-2</v>
      </c>
      <c r="AG1118" s="2">
        <v>5.7890361644115694E-3</v>
      </c>
      <c r="AH1118" s="2">
        <v>0</v>
      </c>
      <c r="AI1118" s="2">
        <v>0</v>
      </c>
      <c r="AJ1118" s="2">
        <v>0</v>
      </c>
      <c r="AK1118" s="2">
        <v>0</v>
      </c>
      <c r="AL1118" s="2">
        <v>0</v>
      </c>
      <c r="AM1118" s="2">
        <v>0</v>
      </c>
      <c r="AN1118" s="2">
        <v>0</v>
      </c>
      <c r="AO1118" s="2">
        <v>0</v>
      </c>
      <c r="AP1118" s="2">
        <v>0</v>
      </c>
      <c r="AQ1118" s="2">
        <v>0</v>
      </c>
      <c r="AR1118" s="2">
        <v>0.43313718295602965</v>
      </c>
    </row>
    <row r="1119" spans="1:44" x14ac:dyDescent="0.25">
      <c r="A1119" t="s">
        <v>435</v>
      </c>
      <c r="B1119" t="s">
        <v>469</v>
      </c>
      <c r="C1119" t="s">
        <v>47</v>
      </c>
      <c r="D1119" t="s">
        <v>470</v>
      </c>
      <c r="E1119" t="s">
        <v>134</v>
      </c>
      <c r="F1119" t="s">
        <v>470</v>
      </c>
      <c r="G1119" t="s">
        <v>33</v>
      </c>
      <c r="H1119" t="s">
        <v>456</v>
      </c>
      <c r="I1119" t="s">
        <v>135</v>
      </c>
      <c r="J1119" t="s">
        <v>39</v>
      </c>
      <c r="K1119" t="s">
        <v>33</v>
      </c>
      <c r="L1119">
        <v>2.2650432449504043E-2</v>
      </c>
      <c r="M1119">
        <v>1</v>
      </c>
      <c r="N1119">
        <v>2.4239184887175904</v>
      </c>
      <c r="O1119">
        <v>2.8779545327574696</v>
      </c>
      <c r="P1119">
        <v>-0.42363157097620913</v>
      </c>
      <c r="Q1119">
        <v>0.64311448895070245</v>
      </c>
      <c r="R1119">
        <v>-0.5250915332877516</v>
      </c>
      <c r="S1119" s="2">
        <v>4.4149685672651151E-3</v>
      </c>
      <c r="T1119" s="2">
        <v>7.1261920168970436E-3</v>
      </c>
      <c r="U1119" s="2">
        <v>1.0733183929145509E-2</v>
      </c>
      <c r="V1119" s="2">
        <v>1.5253715079253412E-2</v>
      </c>
      <c r="W1119" s="2">
        <v>2.0589294569095869E-2</v>
      </c>
      <c r="X1119" s="2">
        <v>2.6485411450115633E-2</v>
      </c>
      <c r="Y1119" s="2">
        <v>3.2505372836249269E-2</v>
      </c>
      <c r="Z1119" s="2">
        <v>3.8036074861646806E-2</v>
      </c>
      <c r="AA1119" s="2">
        <v>4.2345048651227526E-2</v>
      </c>
      <c r="AB1119" s="2">
        <v>4.4699910026747565E-2</v>
      </c>
      <c r="AC1119" s="2">
        <v>4.4540515401965707E-2</v>
      </c>
      <c r="AD1119" s="2">
        <v>4.1663288129324967E-2</v>
      </c>
      <c r="AE1119" s="2">
        <v>3.6348973286935038E-2</v>
      </c>
      <c r="AF1119" s="2">
        <v>2.982847818929505E-2</v>
      </c>
      <c r="AG1119" s="2">
        <v>5.3450155065165941E-3</v>
      </c>
      <c r="AH1119" s="2">
        <v>0</v>
      </c>
      <c r="AI1119" s="2">
        <v>0</v>
      </c>
      <c r="AJ1119" s="2">
        <v>0</v>
      </c>
      <c r="AK1119" s="2">
        <v>0</v>
      </c>
      <c r="AL1119" s="2">
        <v>0</v>
      </c>
      <c r="AM1119" s="2">
        <v>0</v>
      </c>
      <c r="AN1119" s="2">
        <v>0</v>
      </c>
      <c r="AO1119" s="2">
        <v>0</v>
      </c>
      <c r="AP1119" s="2">
        <v>0</v>
      </c>
      <c r="AQ1119" s="2">
        <v>0</v>
      </c>
      <c r="AR1119" s="2">
        <v>0.39991544250168115</v>
      </c>
    </row>
    <row r="1120" spans="1:44" x14ac:dyDescent="0.25">
      <c r="A1120" t="s">
        <v>435</v>
      </c>
      <c r="B1120" t="s">
        <v>469</v>
      </c>
      <c r="C1120" t="s">
        <v>47</v>
      </c>
      <c r="D1120" t="s">
        <v>470</v>
      </c>
      <c r="E1120" t="s">
        <v>134</v>
      </c>
      <c r="F1120" t="s">
        <v>470</v>
      </c>
      <c r="G1120" t="s">
        <v>33</v>
      </c>
      <c r="H1120" t="s">
        <v>456</v>
      </c>
      <c r="I1120" t="s">
        <v>135</v>
      </c>
      <c r="J1120" t="s">
        <v>40</v>
      </c>
      <c r="K1120" t="s">
        <v>33</v>
      </c>
      <c r="L1120">
        <v>2.2650432449504043E-2</v>
      </c>
      <c r="M1120">
        <v>1</v>
      </c>
      <c r="N1120">
        <v>2.4239184887175904</v>
      </c>
      <c r="O1120">
        <v>1.7054155637884916</v>
      </c>
      <c r="P1120">
        <v>-0.42363157097620913</v>
      </c>
      <c r="Q1120">
        <v>1.3498045353129324</v>
      </c>
      <c r="R1120">
        <v>-0.38209153328775158</v>
      </c>
      <c r="S1120" s="2">
        <v>1.6298800275661603E-2</v>
      </c>
      <c r="T1120" s="2">
        <v>2.6307861231584712E-2</v>
      </c>
      <c r="U1120" s="2">
        <v>3.9623842960098389E-2</v>
      </c>
      <c r="V1120" s="2">
        <v>5.6312350076958048E-2</v>
      </c>
      <c r="W1120" s="2">
        <v>7.6009782376850688E-2</v>
      </c>
      <c r="X1120" s="2">
        <v>9.7776558285116694E-2</v>
      </c>
      <c r="Y1120" s="2">
        <v>0.1200005326588611</v>
      </c>
      <c r="Z1120" s="2">
        <v>0.14041830151106202</v>
      </c>
      <c r="AA1120" s="2">
        <v>0.15632579940587532</v>
      </c>
      <c r="AB1120" s="2">
        <v>0.16501927358393648</v>
      </c>
      <c r="AC1120" s="2">
        <v>0.1644308342519793</v>
      </c>
      <c r="AD1120" s="2">
        <v>0.15380893469596324</v>
      </c>
      <c r="AE1120" s="2">
        <v>0.13419000538799014</v>
      </c>
      <c r="AF1120" s="2">
        <v>0.11011820381666018</v>
      </c>
      <c r="AG1120" s="2">
        <v>1.9732267372628714E-2</v>
      </c>
      <c r="AH1120" s="2">
        <v>0</v>
      </c>
      <c r="AI1120" s="2">
        <v>0</v>
      </c>
      <c r="AJ1120" s="2">
        <v>0</v>
      </c>
      <c r="AK1120" s="2">
        <v>0</v>
      </c>
      <c r="AL1120" s="2">
        <v>0</v>
      </c>
      <c r="AM1120" s="2">
        <v>0</v>
      </c>
      <c r="AN1120" s="2">
        <v>0</v>
      </c>
      <c r="AO1120" s="2">
        <v>0</v>
      </c>
      <c r="AP1120" s="2">
        <v>0</v>
      </c>
      <c r="AQ1120" s="2">
        <v>0</v>
      </c>
      <c r="AR1120" s="2">
        <v>1.4763733478912267</v>
      </c>
    </row>
    <row r="1121" spans="1:44" x14ac:dyDescent="0.25">
      <c r="A1121" t="s">
        <v>435</v>
      </c>
      <c r="B1121" t="s">
        <v>469</v>
      </c>
      <c r="C1121" t="s">
        <v>47</v>
      </c>
      <c r="D1121" t="s">
        <v>470</v>
      </c>
      <c r="E1121" t="s">
        <v>134</v>
      </c>
      <c r="F1121" t="s">
        <v>470</v>
      </c>
      <c r="G1121" t="s">
        <v>33</v>
      </c>
      <c r="H1121" t="s">
        <v>456</v>
      </c>
      <c r="I1121" t="s">
        <v>256</v>
      </c>
      <c r="J1121" t="s">
        <v>40</v>
      </c>
      <c r="K1121" t="s">
        <v>33</v>
      </c>
      <c r="L1121">
        <v>2.2650432449504043E-2</v>
      </c>
      <c r="M1121">
        <v>1</v>
      </c>
      <c r="N1121">
        <v>2.2288115627035432</v>
      </c>
      <c r="O1121">
        <v>1.4737622038640092</v>
      </c>
      <c r="P1121">
        <v>-0.29815547996194269</v>
      </c>
      <c r="Q1121">
        <v>1.3498045353129324</v>
      </c>
      <c r="R1121">
        <v>-0.25661544227348515</v>
      </c>
      <c r="S1121" s="2">
        <v>2.4475583784630058E-2</v>
      </c>
      <c r="T1121" s="2">
        <v>3.9505991292474764E-2</v>
      </c>
      <c r="U1121" s="2">
        <v>5.9502335867450531E-2</v>
      </c>
      <c r="V1121" s="2">
        <v>8.4563134654526487E-2</v>
      </c>
      <c r="W1121" s="2">
        <v>0.11414237646645373</v>
      </c>
      <c r="X1121" s="2">
        <v>0.1468291103642593</v>
      </c>
      <c r="Y1121" s="2">
        <v>0.18020241009260227</v>
      </c>
      <c r="Z1121" s="2">
        <v>0.21086336695968474</v>
      </c>
      <c r="AA1121" s="2">
        <v>0.23475133975175122</v>
      </c>
      <c r="AB1121" s="2">
        <v>0.24780615679508827</v>
      </c>
      <c r="AC1121" s="2">
        <v>0.24692250916901132</v>
      </c>
      <c r="AD1121" s="2">
        <v>0.23097181414003981</v>
      </c>
      <c r="AE1121" s="2">
        <v>0.20151045870769727</v>
      </c>
      <c r="AF1121" s="2">
        <v>0.1653623136760741</v>
      </c>
      <c r="AG1121" s="2">
        <v>2.9631552946917647E-2</v>
      </c>
      <c r="AH1121" s="2">
        <v>0</v>
      </c>
      <c r="AI1121" s="2">
        <v>0</v>
      </c>
      <c r="AJ1121" s="2">
        <v>0</v>
      </c>
      <c r="AK1121" s="2">
        <v>0</v>
      </c>
      <c r="AL1121" s="2">
        <v>0</v>
      </c>
      <c r="AM1121" s="2">
        <v>0</v>
      </c>
      <c r="AN1121" s="2">
        <v>0</v>
      </c>
      <c r="AO1121" s="2">
        <v>0</v>
      </c>
      <c r="AP1121" s="2">
        <v>0</v>
      </c>
      <c r="AQ1121" s="2">
        <v>0</v>
      </c>
      <c r="AR1121" s="2">
        <v>2.2170404546686617</v>
      </c>
    </row>
    <row r="1122" spans="1:44" x14ac:dyDescent="0.25">
      <c r="A1122" t="s">
        <v>435</v>
      </c>
      <c r="B1122" t="s">
        <v>469</v>
      </c>
      <c r="C1122" t="s">
        <v>47</v>
      </c>
      <c r="D1122" t="s">
        <v>470</v>
      </c>
      <c r="E1122" t="s">
        <v>134</v>
      </c>
      <c r="F1122" t="s">
        <v>470</v>
      </c>
      <c r="G1122" t="s">
        <v>33</v>
      </c>
      <c r="H1122" t="s">
        <v>457</v>
      </c>
      <c r="I1122" t="s">
        <v>135</v>
      </c>
      <c r="J1122" t="s">
        <v>39</v>
      </c>
      <c r="K1122" t="s">
        <v>31</v>
      </c>
      <c r="L1122">
        <v>2.2650432449504043E-2</v>
      </c>
      <c r="M1122">
        <v>1</v>
      </c>
      <c r="N1122">
        <v>2.4239184887175904</v>
      </c>
      <c r="O1122">
        <v>2.8779545327574696</v>
      </c>
      <c r="P1122">
        <v>-0.42363157097620913</v>
      </c>
      <c r="Q1122">
        <v>0.64311448895070245</v>
      </c>
      <c r="R1122">
        <v>-0.5250915332877516</v>
      </c>
      <c r="S1122" s="2">
        <v>1.7677998720143694E-3</v>
      </c>
      <c r="T1122" s="2">
        <v>2.8534022708171037E-3</v>
      </c>
      <c r="U1122" s="2">
        <v>4.2976797880134796E-3</v>
      </c>
      <c r="V1122" s="2">
        <v>6.1077480290084663E-3</v>
      </c>
      <c r="W1122" s="2">
        <v>8.244170201796179E-3</v>
      </c>
      <c r="X1122" s="2">
        <v>1.060503744441512E-2</v>
      </c>
      <c r="Y1122" s="2">
        <v>1.3015493330068415E-2</v>
      </c>
      <c r="Z1122" s="2">
        <v>1.5230044619321178E-2</v>
      </c>
      <c r="AA1122" s="2">
        <v>1.6955403066992468E-2</v>
      </c>
      <c r="AB1122" s="2">
        <v>1.7898314341406058E-2</v>
      </c>
      <c r="AC1122" s="2">
        <v>1.7834491056371058E-2</v>
      </c>
      <c r="AD1122" s="2">
        <v>1.6682418980016194E-2</v>
      </c>
      <c r="AE1122" s="2">
        <v>1.4554511395831384E-2</v>
      </c>
      <c r="AF1122" s="2">
        <v>1.1943636545091793E-2</v>
      </c>
      <c r="AG1122" s="2">
        <v>2.1402004531570445E-3</v>
      </c>
      <c r="AH1122" s="2">
        <v>0</v>
      </c>
      <c r="AI1122" s="2">
        <v>0</v>
      </c>
      <c r="AJ1122" s="2">
        <v>0</v>
      </c>
      <c r="AK1122" s="2">
        <v>0</v>
      </c>
      <c r="AL1122" s="2">
        <v>0</v>
      </c>
      <c r="AM1122" s="2">
        <v>0</v>
      </c>
      <c r="AN1122" s="2">
        <v>0</v>
      </c>
      <c r="AO1122" s="2">
        <v>0</v>
      </c>
      <c r="AP1122" s="2">
        <v>0</v>
      </c>
      <c r="AQ1122" s="2">
        <v>0</v>
      </c>
      <c r="AR1122" s="2">
        <v>0.1601303513943203</v>
      </c>
    </row>
    <row r="1123" spans="1:44" x14ac:dyDescent="0.25">
      <c r="A1123" t="s">
        <v>435</v>
      </c>
      <c r="B1123" t="s">
        <v>469</v>
      </c>
      <c r="C1123" t="s">
        <v>47</v>
      </c>
      <c r="D1123" t="s">
        <v>470</v>
      </c>
      <c r="E1123" t="s">
        <v>134</v>
      </c>
      <c r="F1123" t="s">
        <v>470</v>
      </c>
      <c r="G1123" t="s">
        <v>33</v>
      </c>
      <c r="H1123" t="s">
        <v>457</v>
      </c>
      <c r="I1123" t="s">
        <v>135</v>
      </c>
      <c r="J1123" t="s">
        <v>39</v>
      </c>
      <c r="K1123" t="s">
        <v>33</v>
      </c>
      <c r="L1123">
        <v>2.2650432449504043E-2</v>
      </c>
      <c r="M1123">
        <v>1</v>
      </c>
      <c r="N1123">
        <v>2.4239184887175904</v>
      </c>
      <c r="O1123">
        <v>2.8779545327574696</v>
      </c>
      <c r="P1123">
        <v>-0.42363157097620913</v>
      </c>
      <c r="Q1123">
        <v>0.64311448895070245</v>
      </c>
      <c r="R1123">
        <v>-0.5250915332877516</v>
      </c>
      <c r="S1123" s="2">
        <v>5.1724864438200337E-4</v>
      </c>
      <c r="T1123" s="2">
        <v>8.3489001205487112E-4</v>
      </c>
      <c r="U1123" s="2">
        <v>1.2574777719634536E-3</v>
      </c>
      <c r="V1123" s="2">
        <v>1.7870939116154667E-3</v>
      </c>
      <c r="W1123" s="2">
        <v>2.412199439789822E-3</v>
      </c>
      <c r="X1123" s="2">
        <v>3.1029763767849838E-3</v>
      </c>
      <c r="Y1123" s="2">
        <v>3.8082626814932648E-3</v>
      </c>
      <c r="Z1123" s="2">
        <v>4.4562283649476758E-3</v>
      </c>
      <c r="AA1123" s="2">
        <v>4.9610588790002059E-3</v>
      </c>
      <c r="AB1123" s="2">
        <v>5.2369495984101976E-3</v>
      </c>
      <c r="AC1123" s="2">
        <v>5.218275251733873E-3</v>
      </c>
      <c r="AD1123" s="2">
        <v>4.8811852173026062E-3</v>
      </c>
      <c r="AE1123" s="2">
        <v>4.2585710115239841E-3</v>
      </c>
      <c r="AF1123" s="2">
        <v>3.4946432057948854E-3</v>
      </c>
      <c r="AG1123" s="2">
        <v>6.2621103249644954E-4</v>
      </c>
      <c r="AH1123" s="2">
        <v>0</v>
      </c>
      <c r="AI1123" s="2">
        <v>0</v>
      </c>
      <c r="AJ1123" s="2">
        <v>0</v>
      </c>
      <c r="AK1123" s="2">
        <v>0</v>
      </c>
      <c r="AL1123" s="2">
        <v>0</v>
      </c>
      <c r="AM1123" s="2">
        <v>0</v>
      </c>
      <c r="AN1123" s="2">
        <v>0</v>
      </c>
      <c r="AO1123" s="2">
        <v>0</v>
      </c>
      <c r="AP1123" s="2">
        <v>0</v>
      </c>
      <c r="AQ1123" s="2">
        <v>0</v>
      </c>
      <c r="AR1123" s="2">
        <v>4.6853271399293746E-2</v>
      </c>
    </row>
    <row r="1124" spans="1:44" x14ac:dyDescent="0.25">
      <c r="A1124" t="s">
        <v>435</v>
      </c>
      <c r="B1124" t="s">
        <v>469</v>
      </c>
      <c r="C1124" t="s">
        <v>47</v>
      </c>
      <c r="D1124" t="s">
        <v>470</v>
      </c>
      <c r="E1124" t="s">
        <v>134</v>
      </c>
      <c r="F1124" t="s">
        <v>470</v>
      </c>
      <c r="G1124" t="s">
        <v>33</v>
      </c>
      <c r="H1124" t="s">
        <v>457</v>
      </c>
      <c r="I1124" t="s">
        <v>256</v>
      </c>
      <c r="J1124" t="s">
        <v>39</v>
      </c>
      <c r="K1124" t="s">
        <v>33</v>
      </c>
      <c r="L1124">
        <v>2.2650432449504043E-2</v>
      </c>
      <c r="M1124">
        <v>1</v>
      </c>
      <c r="N1124">
        <v>2.2288115627035432</v>
      </c>
      <c r="O1124">
        <v>2.6463011728329873</v>
      </c>
      <c r="P1124">
        <v>-0.29815547996194269</v>
      </c>
      <c r="Q1124">
        <v>1.3498045353129324</v>
      </c>
      <c r="R1124">
        <v>-0.39961544227348522</v>
      </c>
      <c r="S1124" s="2">
        <v>1.4224684789335281E-3</v>
      </c>
      <c r="T1124" s="2">
        <v>2.2960035534620115E-3</v>
      </c>
      <c r="U1124" s="2">
        <v>3.4581482484399751E-3</v>
      </c>
      <c r="V1124" s="2">
        <v>4.9146281692129829E-3</v>
      </c>
      <c r="W1124" s="2">
        <v>6.6337103156679077E-3</v>
      </c>
      <c r="X1124" s="2">
        <v>8.5333932428679742E-3</v>
      </c>
      <c r="Y1124" s="2">
        <v>1.0472977904843639E-2</v>
      </c>
      <c r="Z1124" s="2">
        <v>1.225492701221299E-2</v>
      </c>
      <c r="AA1124" s="2">
        <v>1.3643244799495953E-2</v>
      </c>
      <c r="AB1124" s="2">
        <v>1.440196278987347E-2</v>
      </c>
      <c r="AC1124" s="2">
        <v>1.4350607083483E-2</v>
      </c>
      <c r="AD1124" s="2">
        <v>1.3423586870382222E-2</v>
      </c>
      <c r="AE1124" s="2">
        <v>1.1711356027680883E-2</v>
      </c>
      <c r="AF1124" s="2">
        <v>9.6105033031100521E-3</v>
      </c>
      <c r="AG1124" s="2">
        <v>1.7221223575189877E-3</v>
      </c>
      <c r="AH1124" s="2">
        <v>0</v>
      </c>
      <c r="AI1124" s="2">
        <v>0</v>
      </c>
      <c r="AJ1124" s="2">
        <v>0</v>
      </c>
      <c r="AK1124" s="2">
        <v>0</v>
      </c>
      <c r="AL1124" s="2">
        <v>0</v>
      </c>
      <c r="AM1124" s="2">
        <v>0</v>
      </c>
      <c r="AN1124" s="2">
        <v>0</v>
      </c>
      <c r="AO1124" s="2">
        <v>0</v>
      </c>
      <c r="AP1124" s="2">
        <v>0</v>
      </c>
      <c r="AQ1124" s="2">
        <v>0</v>
      </c>
      <c r="AR1124" s="2">
        <v>0.12884964015718559</v>
      </c>
    </row>
    <row r="1125" spans="1:44" x14ac:dyDescent="0.25">
      <c r="A1125" t="s">
        <v>435</v>
      </c>
      <c r="B1125" t="s">
        <v>469</v>
      </c>
      <c r="C1125" t="s">
        <v>47</v>
      </c>
      <c r="D1125" t="s">
        <v>470</v>
      </c>
      <c r="E1125" t="s">
        <v>134</v>
      </c>
      <c r="F1125" t="s">
        <v>470</v>
      </c>
      <c r="G1125" t="s">
        <v>33</v>
      </c>
      <c r="H1125" t="s">
        <v>457</v>
      </c>
      <c r="I1125" t="s">
        <v>256</v>
      </c>
      <c r="J1125" t="s">
        <v>40</v>
      </c>
      <c r="K1125" t="s">
        <v>33</v>
      </c>
      <c r="L1125">
        <v>2.2650432449504043E-2</v>
      </c>
      <c r="M1125">
        <v>1</v>
      </c>
      <c r="N1125">
        <v>2.2288115627035432</v>
      </c>
      <c r="O1125">
        <v>1.4737622038640092</v>
      </c>
      <c r="P1125">
        <v>-0.29815547996194269</v>
      </c>
      <c r="Q1125">
        <v>1.3498045353129324</v>
      </c>
      <c r="R1125">
        <v>-0.25661544227348515</v>
      </c>
      <c r="S1125" s="2">
        <v>1.3016132262004834E-2</v>
      </c>
      <c r="T1125" s="2">
        <v>2.1009313294801771E-2</v>
      </c>
      <c r="U1125" s="2">
        <v>3.1643383069593113E-2</v>
      </c>
      <c r="V1125" s="2">
        <v>4.4970733071716923E-2</v>
      </c>
      <c r="W1125" s="2">
        <v>6.0700994176894001E-2</v>
      </c>
      <c r="X1125" s="2">
        <v>7.8083821706996334E-2</v>
      </c>
      <c r="Y1125" s="2">
        <v>9.5831765417185896E-2</v>
      </c>
      <c r="Z1125" s="2">
        <v>0.11213728333141786</v>
      </c>
      <c r="AA1125" s="2">
        <v>0.12484092366411398</v>
      </c>
      <c r="AB1125" s="2">
        <v>0.13178348433141282</v>
      </c>
      <c r="AC1125" s="2">
        <v>0.13131355991713811</v>
      </c>
      <c r="AD1125" s="2">
        <v>0.12283096934872138</v>
      </c>
      <c r="AE1125" s="2">
        <v>0.10716340030115021</v>
      </c>
      <c r="AF1125" s="2">
        <v>8.7939791953421761E-2</v>
      </c>
      <c r="AG1125" s="2">
        <v>1.5758080202682712E-2</v>
      </c>
      <c r="AH1125" s="2">
        <v>0</v>
      </c>
      <c r="AI1125" s="2">
        <v>0</v>
      </c>
      <c r="AJ1125" s="2">
        <v>0</v>
      </c>
      <c r="AK1125" s="2">
        <v>0</v>
      </c>
      <c r="AL1125" s="2">
        <v>0</v>
      </c>
      <c r="AM1125" s="2">
        <v>0</v>
      </c>
      <c r="AN1125" s="2">
        <v>0</v>
      </c>
      <c r="AO1125" s="2">
        <v>0</v>
      </c>
      <c r="AP1125" s="2">
        <v>0</v>
      </c>
      <c r="AQ1125" s="2">
        <v>0</v>
      </c>
      <c r="AR1125" s="2">
        <v>1.1790236360492519</v>
      </c>
    </row>
    <row r="1126" spans="1:44" x14ac:dyDescent="0.25">
      <c r="A1126" t="s">
        <v>435</v>
      </c>
      <c r="B1126" t="s">
        <v>471</v>
      </c>
      <c r="C1126" t="s">
        <v>44</v>
      </c>
      <c r="D1126" t="s">
        <v>472</v>
      </c>
      <c r="E1126" t="s">
        <v>145</v>
      </c>
      <c r="F1126" t="s">
        <v>472</v>
      </c>
      <c r="G1126" t="s">
        <v>33</v>
      </c>
      <c r="H1126" t="s">
        <v>450</v>
      </c>
      <c r="I1126" t="s">
        <v>135</v>
      </c>
      <c r="J1126" t="s">
        <v>39</v>
      </c>
      <c r="K1126" t="s">
        <v>31</v>
      </c>
      <c r="L1126">
        <v>8.3279735676544231E-2</v>
      </c>
      <c r="M1126">
        <v>1</v>
      </c>
      <c r="N1126">
        <v>3.5354592691557718</v>
      </c>
      <c r="O1126">
        <v>5.3471683850504306</v>
      </c>
      <c r="P1126">
        <v>-1.584987198022715</v>
      </c>
      <c r="Q1126">
        <v>0.81921972223879724</v>
      </c>
      <c r="R1126">
        <v>-1.8625523936223525</v>
      </c>
      <c r="S1126" s="2">
        <v>2.5949534403828267E-3</v>
      </c>
      <c r="T1126" s="2">
        <v>4.8451927314427101E-3</v>
      </c>
      <c r="U1126" s="2">
        <v>8.2271914692856191E-3</v>
      </c>
      <c r="V1126" s="2">
        <v>1.302325822869861E-2</v>
      </c>
      <c r="W1126" s="2">
        <v>1.948214842998279E-2</v>
      </c>
      <c r="X1126" s="2">
        <v>2.7769618546885425E-2</v>
      </c>
      <c r="Y1126" s="2">
        <v>3.7911026888708371E-2</v>
      </c>
      <c r="Z1126" s="2">
        <v>4.973621534404344E-2</v>
      </c>
      <c r="AA1126" s="2">
        <v>6.2842989555845816E-2</v>
      </c>
      <c r="AB1126" s="2">
        <v>7.6598934571113594E-2</v>
      </c>
      <c r="AC1126" s="2">
        <v>9.0198061446416664E-2</v>
      </c>
      <c r="AD1126" s="2">
        <v>0.10277573937011289</v>
      </c>
      <c r="AE1126" s="2">
        <v>0.11356344159137803</v>
      </c>
      <c r="AF1126" s="2">
        <v>0.12204167562480772</v>
      </c>
      <c r="AG1126" s="2">
        <v>0.12803840775819866</v>
      </c>
      <c r="AH1126" s="2">
        <v>0.13209508570859221</v>
      </c>
      <c r="AI1126" s="2">
        <v>0.13380758886862587</v>
      </c>
      <c r="AJ1126" s="2">
        <v>0.13494389741415069</v>
      </c>
      <c r="AK1126" s="2">
        <v>0.13444143895127419</v>
      </c>
      <c r="AL1126" s="2">
        <v>0.13340508796785538</v>
      </c>
      <c r="AM1126" s="2">
        <v>0.13237672576653536</v>
      </c>
      <c r="AN1126" s="2">
        <v>0.13135629076524361</v>
      </c>
      <c r="AO1126" s="2">
        <v>0.13034372185661905</v>
      </c>
      <c r="AP1126" s="2">
        <v>0.12933895840435097</v>
      </c>
      <c r="AQ1126" s="2">
        <v>0.12834194023954767</v>
      </c>
      <c r="AR1126" s="2">
        <v>2.180099590940098</v>
      </c>
    </row>
    <row r="1127" spans="1:44" x14ac:dyDescent="0.25">
      <c r="A1127" t="s">
        <v>435</v>
      </c>
      <c r="B1127" t="s">
        <v>471</v>
      </c>
      <c r="C1127" t="s">
        <v>44</v>
      </c>
      <c r="D1127" t="s">
        <v>472</v>
      </c>
      <c r="E1127" t="s">
        <v>145</v>
      </c>
      <c r="F1127" t="s">
        <v>472</v>
      </c>
      <c r="G1127" t="s">
        <v>33</v>
      </c>
      <c r="H1127" t="s">
        <v>450</v>
      </c>
      <c r="I1127" t="s">
        <v>135</v>
      </c>
      <c r="J1127" t="s">
        <v>39</v>
      </c>
      <c r="K1127" t="s">
        <v>33</v>
      </c>
      <c r="L1127">
        <v>8.3279735676544231E-2</v>
      </c>
      <c r="M1127">
        <v>1</v>
      </c>
      <c r="N1127">
        <v>3.5354592691557718</v>
      </c>
      <c r="O1127">
        <v>5.3471683850504306</v>
      </c>
      <c r="P1127">
        <v>-1.584987198022715</v>
      </c>
      <c r="Q1127">
        <v>0.81921972223879724</v>
      </c>
      <c r="R1127">
        <v>-1.8625523936223525</v>
      </c>
      <c r="S1127" s="2">
        <v>1.5986995024592338E-3</v>
      </c>
      <c r="T1127" s="2">
        <v>2.9829466565351563E-3</v>
      </c>
      <c r="U1127" s="2">
        <v>5.0615460777615976E-3</v>
      </c>
      <c r="V1127" s="2">
        <v>8.0066049785936146E-3</v>
      </c>
      <c r="W1127" s="2">
        <v>1.196913480380913E-2</v>
      </c>
      <c r="X1127" s="2">
        <v>1.7048767368428305E-2</v>
      </c>
      <c r="Y1127" s="2">
        <v>2.3258718317934423E-2</v>
      </c>
      <c r="Z1127" s="2">
        <v>3.0492295912512651E-2</v>
      </c>
      <c r="AA1127" s="2">
        <v>3.8500944899486154E-2</v>
      </c>
      <c r="AB1127" s="2">
        <v>4.6895853060697934E-2</v>
      </c>
      <c r="AC1127" s="2">
        <v>5.5183097607686818E-2</v>
      </c>
      <c r="AD1127" s="2">
        <v>6.2834279776398688E-2</v>
      </c>
      <c r="AE1127" s="2">
        <v>6.9381188873020735E-2</v>
      </c>
      <c r="AF1127" s="2">
        <v>7.4508962111596591E-2</v>
      </c>
      <c r="AG1127" s="2">
        <v>7.8115600725518777E-2</v>
      </c>
      <c r="AH1127" s="2">
        <v>8.0534382548226133E-2</v>
      </c>
      <c r="AI1127" s="2">
        <v>8.1521577980642704E-2</v>
      </c>
      <c r="AJ1127" s="2">
        <v>8.2156559117911504E-2</v>
      </c>
      <c r="AK1127" s="2">
        <v>8.1793596548661224E-2</v>
      </c>
      <c r="AL1127" s="2">
        <v>8.110650857536901E-2</v>
      </c>
      <c r="AM1127" s="2">
        <v>8.0425192323861444E-2</v>
      </c>
      <c r="AN1127" s="2">
        <v>7.9749599310139876E-2</v>
      </c>
      <c r="AO1127" s="2">
        <v>7.9079681457484161E-2</v>
      </c>
      <c r="AP1127" s="2">
        <v>7.8415391093031347E-2</v>
      </c>
      <c r="AQ1127" s="2">
        <v>7.775668094438333E-2</v>
      </c>
      <c r="AR1127" s="2">
        <v>1.3283778105721504</v>
      </c>
    </row>
    <row r="1128" spans="1:44" x14ac:dyDescent="0.25">
      <c r="A1128" t="s">
        <v>435</v>
      </c>
      <c r="B1128" t="s">
        <v>471</v>
      </c>
      <c r="C1128" t="s">
        <v>44</v>
      </c>
      <c r="D1128" t="s">
        <v>472</v>
      </c>
      <c r="E1128" t="s">
        <v>145</v>
      </c>
      <c r="F1128" t="s">
        <v>472</v>
      </c>
      <c r="G1128" t="s">
        <v>33</v>
      </c>
      <c r="H1128" t="s">
        <v>450</v>
      </c>
      <c r="I1128" t="s">
        <v>256</v>
      </c>
      <c r="J1128" t="s">
        <v>40</v>
      </c>
      <c r="K1128" t="s">
        <v>33</v>
      </c>
      <c r="L1128">
        <v>8.3279735676544231E-2</v>
      </c>
      <c r="M1128">
        <v>1</v>
      </c>
      <c r="N1128">
        <v>1.749690553345449</v>
      </c>
      <c r="O1128">
        <v>1.4737622038640097</v>
      </c>
      <c r="P1128">
        <v>-0.12205024667384824</v>
      </c>
      <c r="Q1128">
        <v>1.3498045353129324</v>
      </c>
      <c r="R1128">
        <v>-0.25661544227348537</v>
      </c>
      <c r="S1128" s="2">
        <v>4.1761235337562604E-2</v>
      </c>
      <c r="T1128" s="2">
        <v>7.79748995742197E-2</v>
      </c>
      <c r="U1128" s="2">
        <v>0.13240225191298116</v>
      </c>
      <c r="V1128" s="2">
        <v>0.20958655492111494</v>
      </c>
      <c r="W1128" s="2">
        <v>0.31353109185103883</v>
      </c>
      <c r="X1128" s="2">
        <v>0.44690342313029674</v>
      </c>
      <c r="Y1128" s="2">
        <v>0.61011164637869086</v>
      </c>
      <c r="Z1128" s="2">
        <v>0.80041736451189249</v>
      </c>
      <c r="AA1128" s="2">
        <v>1.0113479630565141</v>
      </c>
      <c r="AB1128" s="2">
        <v>1.2327258298549333</v>
      </c>
      <c r="AC1128" s="2">
        <v>1.4515799830689964</v>
      </c>
      <c r="AD1128" s="2">
        <v>1.6539957025949914</v>
      </c>
      <c r="AE1128" s="2">
        <v>1.8276048950386672</v>
      </c>
      <c r="AF1128" s="2">
        <v>1.9640472377824953</v>
      </c>
      <c r="AG1128" s="2">
        <v>2.0605541492290134</v>
      </c>
      <c r="AH1128" s="2">
        <v>2.1258392830347637</v>
      </c>
      <c r="AI1128" s="2">
        <v>2.1533990250977793</v>
      </c>
      <c r="AJ1128" s="2">
        <v>2.1716859229847589</v>
      </c>
      <c r="AK1128" s="2">
        <v>2.1635997331560732</v>
      </c>
      <c r="AL1128" s="2">
        <v>2.1469214773394745</v>
      </c>
      <c r="AM1128" s="2">
        <v>2.1303717869931069</v>
      </c>
      <c r="AN1128" s="2">
        <v>2.1139496710612913</v>
      </c>
      <c r="AO1128" s="2">
        <v>2.0976541461279687</v>
      </c>
      <c r="AP1128" s="2">
        <v>2.0814842363578103</v>
      </c>
      <c r="AQ1128" s="2">
        <v>2.0654389734377827</v>
      </c>
      <c r="AR1128" s="2">
        <v>35.08488848383422</v>
      </c>
    </row>
    <row r="1129" spans="1:44" x14ac:dyDescent="0.25">
      <c r="A1129" t="s">
        <v>435</v>
      </c>
      <c r="B1129" t="s">
        <v>471</v>
      </c>
      <c r="C1129" t="s">
        <v>44</v>
      </c>
      <c r="D1129" t="s">
        <v>472</v>
      </c>
      <c r="E1129" t="s">
        <v>145</v>
      </c>
      <c r="F1129" t="s">
        <v>472</v>
      </c>
      <c r="G1129" t="s">
        <v>33</v>
      </c>
      <c r="H1129" t="s">
        <v>451</v>
      </c>
      <c r="I1129" t="s">
        <v>135</v>
      </c>
      <c r="J1129" t="s">
        <v>39</v>
      </c>
      <c r="K1129" t="s">
        <v>31</v>
      </c>
      <c r="L1129">
        <v>8.3279735676544231E-2</v>
      </c>
      <c r="M1129">
        <v>1</v>
      </c>
      <c r="N1129">
        <v>3.5354592691557718</v>
      </c>
      <c r="O1129">
        <v>5.3471683850504306</v>
      </c>
      <c r="P1129">
        <v>-1.584987198022715</v>
      </c>
      <c r="Q1129">
        <v>0.81921972223879724</v>
      </c>
      <c r="R1129">
        <v>-1.8625523936223525</v>
      </c>
      <c r="S1129" s="2">
        <v>6.7879521993515564E-4</v>
      </c>
      <c r="T1129" s="2">
        <v>1.2674191430897773E-3</v>
      </c>
      <c r="U1129" s="2">
        <v>2.1520918857097057E-3</v>
      </c>
      <c r="V1129" s="2">
        <v>3.4066605188560282E-3</v>
      </c>
      <c r="W1129" s="2">
        <v>5.0961951850621839E-3</v>
      </c>
      <c r="X1129" s="2">
        <v>7.2640549289653498E-3</v>
      </c>
      <c r="Y1129" s="2">
        <v>9.9168730484397258E-3</v>
      </c>
      <c r="Z1129" s="2">
        <v>1.3010139106088002E-2</v>
      </c>
      <c r="AA1129" s="2">
        <v>1.6438645970715326E-2</v>
      </c>
      <c r="AB1129" s="2">
        <v>2.0036964760079452E-2</v>
      </c>
      <c r="AC1129" s="2">
        <v>2.3594262619298683E-2</v>
      </c>
      <c r="AD1129" s="2">
        <v>2.6884366988658544E-2</v>
      </c>
      <c r="AE1129" s="2">
        <v>2.9706244478991617E-2</v>
      </c>
      <c r="AF1129" s="2">
        <v>3.1924004784754406E-2</v>
      </c>
      <c r="AG1129" s="2">
        <v>3.349264684361801E-2</v>
      </c>
      <c r="AH1129" s="2">
        <v>3.455380407237247E-2</v>
      </c>
      <c r="AI1129" s="2">
        <v>3.5001765465846719E-2</v>
      </c>
      <c r="AJ1129" s="2">
        <v>3.5299004251356472E-2</v>
      </c>
      <c r="AK1129" s="2">
        <v>3.5167569753338561E-2</v>
      </c>
      <c r="AL1129" s="2">
        <v>3.4896478148081854E-2</v>
      </c>
      <c r="AM1129" s="2">
        <v>3.4627476270917147E-2</v>
      </c>
      <c r="AN1129" s="2">
        <v>3.436054801303319E-2</v>
      </c>
      <c r="AO1129" s="2">
        <v>3.4095677389794618E-2</v>
      </c>
      <c r="AP1129" s="2">
        <v>3.3832848539784681E-2</v>
      </c>
      <c r="AQ1129" s="2">
        <v>3.3572045723855477E-2</v>
      </c>
      <c r="AR1129" s="2">
        <v>0.57027658311064311</v>
      </c>
    </row>
    <row r="1130" spans="1:44" x14ac:dyDescent="0.25">
      <c r="A1130" t="s">
        <v>435</v>
      </c>
      <c r="B1130" t="s">
        <v>471</v>
      </c>
      <c r="C1130" t="s">
        <v>44</v>
      </c>
      <c r="D1130" t="s">
        <v>472</v>
      </c>
      <c r="E1130" t="s">
        <v>145</v>
      </c>
      <c r="F1130" t="s">
        <v>472</v>
      </c>
      <c r="G1130" t="s">
        <v>33</v>
      </c>
      <c r="H1130" t="s">
        <v>451</v>
      </c>
      <c r="I1130" t="s">
        <v>135</v>
      </c>
      <c r="J1130" t="s">
        <v>39</v>
      </c>
      <c r="K1130" t="s">
        <v>33</v>
      </c>
      <c r="L1130">
        <v>8.3279735676544231E-2</v>
      </c>
      <c r="M1130">
        <v>1</v>
      </c>
      <c r="N1130">
        <v>3.5354592691557718</v>
      </c>
      <c r="O1130">
        <v>5.3471683850504306</v>
      </c>
      <c r="P1130">
        <v>-1.584987198022715</v>
      </c>
      <c r="Q1130">
        <v>0.81921972223879724</v>
      </c>
      <c r="R1130">
        <v>-1.8625523936223525</v>
      </c>
      <c r="S1130" s="2">
        <v>3.0578452817318093E-3</v>
      </c>
      <c r="T1130" s="2">
        <v>5.7094857666261656E-3</v>
      </c>
      <c r="U1130" s="2">
        <v>9.694770713322625E-3</v>
      </c>
      <c r="V1130" s="2">
        <v>1.5346367340419796E-2</v>
      </c>
      <c r="W1130" s="2">
        <v>2.2957404448009259E-2</v>
      </c>
      <c r="X1130" s="2">
        <v>3.2723206408111286E-2</v>
      </c>
      <c r="Y1130" s="2">
        <v>4.4673654984785524E-2</v>
      </c>
      <c r="Z1130" s="2">
        <v>5.8608238997360805E-2</v>
      </c>
      <c r="AA1130" s="2">
        <v>7.4053020032187916E-2</v>
      </c>
      <c r="AB1130" s="2">
        <v>9.0262771970740341E-2</v>
      </c>
      <c r="AC1130" s="2">
        <v>0.10628773230497386</v>
      </c>
      <c r="AD1130" s="2">
        <v>0.12110903603073279</v>
      </c>
      <c r="AE1130" s="2">
        <v>0.13382106539691549</v>
      </c>
      <c r="AF1130" s="2">
        <v>0.14381166003845805</v>
      </c>
      <c r="AG1130" s="2">
        <v>0.15087809860129942</v>
      </c>
      <c r="AH1130" s="2">
        <v>0.15565841309059764</v>
      </c>
      <c r="AI1130" s="2">
        <v>0.15767639523485036</v>
      </c>
      <c r="AJ1130" s="2">
        <v>0.15901540027072184</v>
      </c>
      <c r="AK1130" s="2">
        <v>0.1584233124836876</v>
      </c>
      <c r="AL1130" s="2">
        <v>0.15720209559572762</v>
      </c>
      <c r="AM1130" s="2">
        <v>0.15599029254127522</v>
      </c>
      <c r="AN1130" s="2">
        <v>0.15478783075315403</v>
      </c>
      <c r="AO1130" s="2">
        <v>0.15359463822357669</v>
      </c>
      <c r="AP1130" s="2">
        <v>0.15241064349983263</v>
      </c>
      <c r="AQ1130" s="2">
        <v>0.1512357756800097</v>
      </c>
      <c r="AR1130" s="2">
        <v>2.5689891556891085</v>
      </c>
    </row>
    <row r="1131" spans="1:44" x14ac:dyDescent="0.25">
      <c r="A1131" t="s">
        <v>435</v>
      </c>
      <c r="B1131" t="s">
        <v>471</v>
      </c>
      <c r="C1131" t="s">
        <v>44</v>
      </c>
      <c r="D1131" t="s">
        <v>472</v>
      </c>
      <c r="E1131" t="s">
        <v>145</v>
      </c>
      <c r="F1131" t="s">
        <v>472</v>
      </c>
      <c r="G1131" t="s">
        <v>33</v>
      </c>
      <c r="H1131" t="s">
        <v>452</v>
      </c>
      <c r="I1131" t="s">
        <v>135</v>
      </c>
      <c r="J1131" t="s">
        <v>39</v>
      </c>
      <c r="K1131" t="s">
        <v>31</v>
      </c>
      <c r="L1131">
        <v>8.3279735676544231E-2</v>
      </c>
      <c r="M1131">
        <v>1</v>
      </c>
      <c r="N1131">
        <v>3.5354592691557718</v>
      </c>
      <c r="O1131">
        <v>5.3471683850504306</v>
      </c>
      <c r="P1131">
        <v>-1.584987198022715</v>
      </c>
      <c r="Q1131">
        <v>0.81921972223879724</v>
      </c>
      <c r="R1131">
        <v>-1.8625523936223525</v>
      </c>
      <c r="S1131" s="2">
        <v>1.5374247611805362E-2</v>
      </c>
      <c r="T1131" s="2">
        <v>2.8706177005291596E-2</v>
      </c>
      <c r="U1131" s="2">
        <v>4.8743409739124111E-2</v>
      </c>
      <c r="V1131" s="2">
        <v>7.7158531480609485E-2</v>
      </c>
      <c r="W1131" s="2">
        <v>0.11542533646704374</v>
      </c>
      <c r="X1131" s="2">
        <v>0.16452587741312785</v>
      </c>
      <c r="Y1131" s="2">
        <v>0.2246103939802585</v>
      </c>
      <c r="Z1131" s="2">
        <v>0.2946707551949716</v>
      </c>
      <c r="AA1131" s="2">
        <v>0.37232409147007123</v>
      </c>
      <c r="AB1131" s="2">
        <v>0.45382355173318351</v>
      </c>
      <c r="AC1131" s="2">
        <v>0.53439391597618202</v>
      </c>
      <c r="AD1131" s="2">
        <v>0.60891253036485349</v>
      </c>
      <c r="AE1131" s="2">
        <v>0.67282612608920878</v>
      </c>
      <c r="AF1131" s="2">
        <v>0.72305688064238249</v>
      </c>
      <c r="AG1131" s="2">
        <v>0.75858555073166956</v>
      </c>
      <c r="AH1131" s="2">
        <v>0.78262003640687328</v>
      </c>
      <c r="AI1131" s="2">
        <v>0.79276605567975544</v>
      </c>
      <c r="AJ1131" s="2">
        <v>0.79949831093738066</v>
      </c>
      <c r="AK1131" s="2">
        <v>0.79652140942435345</v>
      </c>
      <c r="AL1131" s="2">
        <v>0.79038136992157604</v>
      </c>
      <c r="AM1131" s="2">
        <v>0.78428866133125053</v>
      </c>
      <c r="AN1131" s="2">
        <v>0.77824291879981722</v>
      </c>
      <c r="AO1131" s="2">
        <v>0.77224378028621321</v>
      </c>
      <c r="AP1131" s="2">
        <v>0.76629088654019539</v>
      </c>
      <c r="AQ1131" s="2">
        <v>0.760383881080825</v>
      </c>
      <c r="AR1131" s="2">
        <v>12.916374686308023</v>
      </c>
    </row>
    <row r="1132" spans="1:44" x14ac:dyDescent="0.25">
      <c r="A1132" t="s">
        <v>435</v>
      </c>
      <c r="B1132" t="s">
        <v>471</v>
      </c>
      <c r="C1132" t="s">
        <v>44</v>
      </c>
      <c r="D1132" t="s">
        <v>472</v>
      </c>
      <c r="E1132" t="s">
        <v>145</v>
      </c>
      <c r="F1132" t="s">
        <v>472</v>
      </c>
      <c r="G1132" t="s">
        <v>33</v>
      </c>
      <c r="H1132" t="s">
        <v>452</v>
      </c>
      <c r="I1132" t="s">
        <v>135</v>
      </c>
      <c r="J1132" t="s">
        <v>39</v>
      </c>
      <c r="K1132" t="s">
        <v>33</v>
      </c>
      <c r="L1132">
        <v>8.3279735676544231E-2</v>
      </c>
      <c r="M1132">
        <v>1</v>
      </c>
      <c r="N1132">
        <v>3.5354592691557718</v>
      </c>
      <c r="O1132">
        <v>5.3471683850504306</v>
      </c>
      <c r="P1132">
        <v>-1.584987198022715</v>
      </c>
      <c r="Q1132">
        <v>0.81921972223879724</v>
      </c>
      <c r="R1132">
        <v>-1.8625523936223525</v>
      </c>
      <c r="S1132" s="2">
        <v>3.040206462108697E-2</v>
      </c>
      <c r="T1132" s="2">
        <v>5.6765512718105197E-2</v>
      </c>
      <c r="U1132" s="2">
        <v>9.6388475726322365E-2</v>
      </c>
      <c r="V1132" s="2">
        <v>0.15257843631583101</v>
      </c>
      <c r="W1132" s="2">
        <v>0.22824977369866206</v>
      </c>
      <c r="X1132" s="2">
        <v>0.3253444645391384</v>
      </c>
      <c r="Y1132" s="2">
        <v>0.44415960278356342</v>
      </c>
      <c r="Z1132" s="2">
        <v>0.58270164287603998</v>
      </c>
      <c r="AA1132" s="2">
        <v>0.73625853925812956</v>
      </c>
      <c r="AB1132" s="2">
        <v>0.89742101823370313</v>
      </c>
      <c r="AC1132" s="2">
        <v>1.0567462406516939</v>
      </c>
      <c r="AD1132" s="2">
        <v>1.2041043284958517</v>
      </c>
      <c r="AE1132" s="2">
        <v>1.3304913437463306</v>
      </c>
      <c r="AF1132" s="2">
        <v>1.4298209945006812</v>
      </c>
      <c r="AG1132" s="2">
        <v>1.5000777609603539</v>
      </c>
      <c r="AH1132" s="2">
        <v>1.5476051590537119</v>
      </c>
      <c r="AI1132" s="2">
        <v>1.567668575577855</v>
      </c>
      <c r="AJ1132" s="2">
        <v>1.5809813870113589</v>
      </c>
      <c r="AK1132" s="2">
        <v>1.5750946630262346</v>
      </c>
      <c r="AL1132" s="2">
        <v>1.5629529386015457</v>
      </c>
      <c r="AM1132" s="2">
        <v>1.5509048094860571</v>
      </c>
      <c r="AN1132" s="2">
        <v>1.5389495541939568</v>
      </c>
      <c r="AO1132" s="2">
        <v>1.5270864568010549</v>
      </c>
      <c r="AP1132" s="2">
        <v>1.5153148069019124</v>
      </c>
      <c r="AQ1132" s="2">
        <v>1.5036338995672995</v>
      </c>
      <c r="AR1132" s="2">
        <v>25.541702449346481</v>
      </c>
    </row>
    <row r="1133" spans="1:44" x14ac:dyDescent="0.25">
      <c r="A1133" t="s">
        <v>435</v>
      </c>
      <c r="B1133" t="s">
        <v>471</v>
      </c>
      <c r="C1133" t="s">
        <v>44</v>
      </c>
      <c r="D1133" t="s">
        <v>472</v>
      </c>
      <c r="E1133" t="s">
        <v>145</v>
      </c>
      <c r="F1133" t="s">
        <v>472</v>
      </c>
      <c r="G1133" t="s">
        <v>33</v>
      </c>
      <c r="H1133" t="s">
        <v>452</v>
      </c>
      <c r="I1133" t="s">
        <v>135</v>
      </c>
      <c r="J1133" t="s">
        <v>40</v>
      </c>
      <c r="K1133" t="s">
        <v>33</v>
      </c>
      <c r="L1133">
        <v>8.3279735676544231E-2</v>
      </c>
      <c r="M1133">
        <v>1</v>
      </c>
      <c r="N1133">
        <v>3.5354592691557718</v>
      </c>
      <c r="O1133">
        <v>4.1746294160814532</v>
      </c>
      <c r="P1133">
        <v>-1.584987198022715</v>
      </c>
      <c r="Q1133">
        <v>1.3498045353129324</v>
      </c>
      <c r="R1133">
        <v>-1.7195523936223525</v>
      </c>
      <c r="S1133" s="2">
        <v>2.2261187699147427E-3</v>
      </c>
      <c r="T1133" s="2">
        <v>4.1565194640748055E-3</v>
      </c>
      <c r="U1133" s="2">
        <v>7.0578165559522501E-3</v>
      </c>
      <c r="V1133" s="2">
        <v>1.1172192586266821E-2</v>
      </c>
      <c r="W1133" s="2">
        <v>1.6713046031319744E-2</v>
      </c>
      <c r="X1133" s="2">
        <v>2.3822573506935174E-2</v>
      </c>
      <c r="Y1133" s="2">
        <v>3.2522529009709603E-2</v>
      </c>
      <c r="Z1133" s="2">
        <v>4.266693991456072E-2</v>
      </c>
      <c r="AA1133" s="2">
        <v>5.3910777908672609E-2</v>
      </c>
      <c r="AB1133" s="2">
        <v>6.5711516573133996E-2</v>
      </c>
      <c r="AC1133" s="2">
        <v>7.7377726502163791E-2</v>
      </c>
      <c r="AD1133" s="2">
        <v>8.8167671505474443E-2</v>
      </c>
      <c r="AE1133" s="2">
        <v>9.742205966723913E-2</v>
      </c>
      <c r="AF1133" s="2">
        <v>0.10469523675929648</v>
      </c>
      <c r="AG1133" s="2">
        <v>0.10983962114498436</v>
      </c>
      <c r="AH1133" s="2">
        <v>0.11331970166910275</v>
      </c>
      <c r="AI1133" s="2">
        <v>0.11478879755682196</v>
      </c>
      <c r="AJ1133" s="2">
        <v>0.11576359646544294</v>
      </c>
      <c r="AK1133" s="2">
        <v>0.11533255512269464</v>
      </c>
      <c r="AL1133" s="2">
        <v>0.11444350627098659</v>
      </c>
      <c r="AM1133" s="2">
        <v>0.1135613107128684</v>
      </c>
      <c r="AN1133" s="2">
        <v>0.11268591561925989</v>
      </c>
      <c r="AO1133" s="2">
        <v>0.11181726856831757</v>
      </c>
      <c r="AP1133" s="2">
        <v>0.11095531754229514</v>
      </c>
      <c r="AQ1133" s="2">
        <v>0.11010001092442875</v>
      </c>
      <c r="AR1133" s="2">
        <v>1.8702303263519175</v>
      </c>
    </row>
    <row r="1134" spans="1:44" x14ac:dyDescent="0.25">
      <c r="A1134" t="s">
        <v>435</v>
      </c>
      <c r="B1134" t="s">
        <v>471</v>
      </c>
      <c r="C1134" t="s">
        <v>44</v>
      </c>
      <c r="D1134" t="s">
        <v>472</v>
      </c>
      <c r="E1134" t="s">
        <v>145</v>
      </c>
      <c r="F1134" t="s">
        <v>472</v>
      </c>
      <c r="G1134" t="s">
        <v>33</v>
      </c>
      <c r="H1134" t="s">
        <v>452</v>
      </c>
      <c r="I1134" t="s">
        <v>256</v>
      </c>
      <c r="J1134" t="s">
        <v>40</v>
      </c>
      <c r="K1134" t="s">
        <v>33</v>
      </c>
      <c r="L1134">
        <v>8.3279735676544231E-2</v>
      </c>
      <c r="M1134">
        <v>1</v>
      </c>
      <c r="N1134">
        <v>1.749690553345449</v>
      </c>
      <c r="O1134">
        <v>1.4737622038640097</v>
      </c>
      <c r="P1134">
        <v>-0.12205024667384824</v>
      </c>
      <c r="Q1134">
        <v>1.3498045353129324</v>
      </c>
      <c r="R1134">
        <v>-0.25661544227348537</v>
      </c>
      <c r="S1134" s="2">
        <v>1.3423746546580614E-2</v>
      </c>
      <c r="T1134" s="2">
        <v>2.5064279837955904E-2</v>
      </c>
      <c r="U1134" s="2">
        <v>4.2559427600977466E-2</v>
      </c>
      <c r="V1134" s="2">
        <v>6.7369577793630731E-2</v>
      </c>
      <c r="W1134" s="2">
        <v>0.10078154722821174</v>
      </c>
      <c r="X1134" s="2">
        <v>0.14365279749050919</v>
      </c>
      <c r="Y1134" s="2">
        <v>0.19611450762659771</v>
      </c>
      <c r="Z1134" s="2">
        <v>0.25728644629018721</v>
      </c>
      <c r="AA1134" s="2">
        <v>0.32508805395083862</v>
      </c>
      <c r="AB1134" s="2">
        <v>0.39624783528641888</v>
      </c>
      <c r="AC1134" s="2">
        <v>0.46659639321735796</v>
      </c>
      <c r="AD1134" s="2">
        <v>0.53166097509567956</v>
      </c>
      <c r="AE1134" s="2">
        <v>0.58746597652063182</v>
      </c>
      <c r="AF1134" s="2">
        <v>0.63132405237518874</v>
      </c>
      <c r="AG1134" s="2">
        <v>0.66234526879227407</v>
      </c>
      <c r="AH1134" s="2">
        <v>0.68333054574550955</v>
      </c>
      <c r="AI1134" s="2">
        <v>0.69218935917266644</v>
      </c>
      <c r="AJ1134" s="2">
        <v>0.6980675062239633</v>
      </c>
      <c r="AK1134" s="2">
        <v>0.6954682784494397</v>
      </c>
      <c r="AL1134" s="2">
        <v>0.69010721388534424</v>
      </c>
      <c r="AM1134" s="2">
        <v>0.68478747545236252</v>
      </c>
      <c r="AN1134" s="2">
        <v>0.67950874458519916</v>
      </c>
      <c r="AO1134" s="2">
        <v>0.67427070517424215</v>
      </c>
      <c r="AP1134" s="2">
        <v>0.66907304354663133</v>
      </c>
      <c r="AQ1134" s="2">
        <v>0.66391544844747541</v>
      </c>
      <c r="AR1134" s="2">
        <v>11.277699206335873</v>
      </c>
    </row>
    <row r="1135" spans="1:44" x14ac:dyDescent="0.25">
      <c r="A1135" t="s">
        <v>435</v>
      </c>
      <c r="B1135" t="s">
        <v>471</v>
      </c>
      <c r="C1135" t="s">
        <v>44</v>
      </c>
      <c r="D1135" t="s">
        <v>472</v>
      </c>
      <c r="E1135" t="s">
        <v>145</v>
      </c>
      <c r="F1135" t="s">
        <v>472</v>
      </c>
      <c r="G1135" t="s">
        <v>33</v>
      </c>
      <c r="H1135" t="s">
        <v>453</v>
      </c>
      <c r="I1135" t="s">
        <v>135</v>
      </c>
      <c r="J1135" t="s">
        <v>39</v>
      </c>
      <c r="K1135" t="s">
        <v>31</v>
      </c>
      <c r="L1135">
        <v>8.3279735676544231E-2</v>
      </c>
      <c r="M1135">
        <v>1</v>
      </c>
      <c r="N1135">
        <v>3.5354592691557718</v>
      </c>
      <c r="O1135">
        <v>5.3471683850504306</v>
      </c>
      <c r="P1135">
        <v>-1.584987198022715</v>
      </c>
      <c r="Q1135">
        <v>0.81921972223879724</v>
      </c>
      <c r="R1135">
        <v>-1.8625523936223525</v>
      </c>
      <c r="S1135" s="2">
        <v>4.701904284304061E-3</v>
      </c>
      <c r="T1135" s="2">
        <v>8.7792066353562237E-3</v>
      </c>
      <c r="U1135" s="2">
        <v>1.4907191094541175E-2</v>
      </c>
      <c r="V1135" s="2">
        <v>2.359738433383313E-2</v>
      </c>
      <c r="W1135" s="2">
        <v>3.5300516666252668E-2</v>
      </c>
      <c r="X1135" s="2">
        <v>5.0316929154546768E-2</v>
      </c>
      <c r="Y1135" s="2">
        <v>6.8692569576156631E-2</v>
      </c>
      <c r="Z1135" s="2">
        <v>9.0119121357617543E-2</v>
      </c>
      <c r="AA1135" s="2">
        <v>0.11386783178179685</v>
      </c>
      <c r="AB1135" s="2">
        <v>0.13879280183921594</v>
      </c>
      <c r="AC1135" s="2">
        <v>0.16343362657337715</v>
      </c>
      <c r="AD1135" s="2">
        <v>0.18622364538284739</v>
      </c>
      <c r="AE1135" s="2">
        <v>0.20577033261916247</v>
      </c>
      <c r="AF1135" s="2">
        <v>0.22113239819797093</v>
      </c>
      <c r="AG1135" s="2">
        <v>0.23199812706656092</v>
      </c>
      <c r="AH1135" s="2">
        <v>0.2393485909084799</v>
      </c>
      <c r="AI1135" s="2">
        <v>0.24245154675336728</v>
      </c>
      <c r="AJ1135" s="2">
        <v>0.24451047156309577</v>
      </c>
      <c r="AK1135" s="2">
        <v>0.24360004613406175</v>
      </c>
      <c r="AL1135" s="2">
        <v>0.24172223859688272</v>
      </c>
      <c r="AM1135" s="2">
        <v>0.23985890626692405</v>
      </c>
      <c r="AN1135" s="2">
        <v>0.23800993756106556</v>
      </c>
      <c r="AO1135" s="2">
        <v>0.23617522175633326</v>
      </c>
      <c r="AP1135" s="2">
        <v>0.23435464898326849</v>
      </c>
      <c r="AQ1135" s="2">
        <v>0.23254811021934915</v>
      </c>
      <c r="AR1135" s="2">
        <v>3.9502133053063679</v>
      </c>
    </row>
    <row r="1136" spans="1:44" x14ac:dyDescent="0.25">
      <c r="A1136" t="s">
        <v>435</v>
      </c>
      <c r="B1136" t="s">
        <v>471</v>
      </c>
      <c r="C1136" t="s">
        <v>44</v>
      </c>
      <c r="D1136" t="s">
        <v>472</v>
      </c>
      <c r="E1136" t="s">
        <v>145</v>
      </c>
      <c r="F1136" t="s">
        <v>472</v>
      </c>
      <c r="G1136" t="s">
        <v>33</v>
      </c>
      <c r="H1136" t="s">
        <v>453</v>
      </c>
      <c r="I1136" t="s">
        <v>135</v>
      </c>
      <c r="J1136" t="s">
        <v>39</v>
      </c>
      <c r="K1136" t="s">
        <v>33</v>
      </c>
      <c r="L1136">
        <v>8.3279735676544231E-2</v>
      </c>
      <c r="M1136">
        <v>1</v>
      </c>
      <c r="N1136">
        <v>3.5354592691557718</v>
      </c>
      <c r="O1136">
        <v>5.3471683850504306</v>
      </c>
      <c r="P1136">
        <v>-1.584987198022715</v>
      </c>
      <c r="Q1136">
        <v>0.81921972223879724</v>
      </c>
      <c r="R1136">
        <v>-1.8625523936223525</v>
      </c>
      <c r="S1136" s="2">
        <v>4.2781871195085577E-3</v>
      </c>
      <c r="T1136" s="2">
        <v>7.9880589811802735E-3</v>
      </c>
      <c r="U1136" s="2">
        <v>1.3563813525854944E-2</v>
      </c>
      <c r="V1136" s="2">
        <v>2.1470880648953982E-2</v>
      </c>
      <c r="W1136" s="2">
        <v>3.2119372616261681E-2</v>
      </c>
      <c r="X1136" s="2">
        <v>4.5782564932426821E-2</v>
      </c>
      <c r="Y1136" s="2">
        <v>6.2502264741477284E-2</v>
      </c>
      <c r="Z1136" s="2">
        <v>8.1997939749778093E-2</v>
      </c>
      <c r="AA1136" s="2">
        <v>0.10360650957558871</v>
      </c>
      <c r="AB1136" s="2">
        <v>0.12628533913189266</v>
      </c>
      <c r="AC1136" s="2">
        <v>0.14870562942654281</v>
      </c>
      <c r="AD1136" s="2">
        <v>0.16944190116425309</v>
      </c>
      <c r="AE1136" s="2">
        <v>0.18722711764401453</v>
      </c>
      <c r="AF1136" s="2">
        <v>0.20120481415044852</v>
      </c>
      <c r="AG1136" s="2">
        <v>0.21109136616828791</v>
      </c>
      <c r="AH1136" s="2">
        <v>0.21777943505048247</v>
      </c>
      <c r="AI1136" s="2">
        <v>0.22060276468998954</v>
      </c>
      <c r="AJ1136" s="2">
        <v>0.22247614727466317</v>
      </c>
      <c r="AK1136" s="2">
        <v>0.22164776581297138</v>
      </c>
      <c r="AL1136" s="2">
        <v>0.21993917892291207</v>
      </c>
      <c r="AM1136" s="2">
        <v>0.21824376279119617</v>
      </c>
      <c r="AN1136" s="2">
        <v>0.21656141589013653</v>
      </c>
      <c r="AO1136" s="2">
        <v>0.21489203747467905</v>
      </c>
      <c r="AP1136" s="2">
        <v>0.21323552757636957</v>
      </c>
      <c r="AQ1136" s="2">
        <v>0.21159178699736775</v>
      </c>
      <c r="AR1136" s="2">
        <v>3.5942355820572374</v>
      </c>
    </row>
    <row r="1137" spans="1:44" x14ac:dyDescent="0.25">
      <c r="A1137" t="s">
        <v>435</v>
      </c>
      <c r="B1137" t="s">
        <v>471</v>
      </c>
      <c r="C1137" t="s">
        <v>44</v>
      </c>
      <c r="D1137" t="s">
        <v>472</v>
      </c>
      <c r="E1137" t="s">
        <v>145</v>
      </c>
      <c r="F1137" t="s">
        <v>472</v>
      </c>
      <c r="G1137" t="s">
        <v>33</v>
      </c>
      <c r="H1137" t="s">
        <v>453</v>
      </c>
      <c r="I1137" t="s">
        <v>135</v>
      </c>
      <c r="J1137" t="s">
        <v>40</v>
      </c>
      <c r="K1137" t="s">
        <v>33</v>
      </c>
      <c r="L1137">
        <v>8.3279735676544231E-2</v>
      </c>
      <c r="M1137">
        <v>1</v>
      </c>
      <c r="N1137">
        <v>3.5354592691557718</v>
      </c>
      <c r="O1137">
        <v>4.1746294160814532</v>
      </c>
      <c r="P1137">
        <v>-1.584987198022715</v>
      </c>
      <c r="Q1137">
        <v>1.3498045353129324</v>
      </c>
      <c r="R1137">
        <v>-1.7195523936223525</v>
      </c>
      <c r="S1137" s="2">
        <v>8.7123639196962172E-2</v>
      </c>
      <c r="T1137" s="2">
        <v>0.16267375622418973</v>
      </c>
      <c r="U1137" s="2">
        <v>0.27622185817276945</v>
      </c>
      <c r="V1137" s="2">
        <v>0.43724624628279135</v>
      </c>
      <c r="W1137" s="2">
        <v>0.65409869949153188</v>
      </c>
      <c r="X1137" s="2">
        <v>0.93234436859845482</v>
      </c>
      <c r="Y1137" s="2">
        <v>1.2728346400507611</v>
      </c>
      <c r="Z1137" s="2">
        <v>1.6698565813256316</v>
      </c>
      <c r="AA1137" s="2">
        <v>2.1099068148653344</v>
      </c>
      <c r="AB1137" s="2">
        <v>2.5717524771700244</v>
      </c>
      <c r="AC1137" s="2">
        <v>3.0283330866097149</v>
      </c>
      <c r="AD1137" s="2">
        <v>3.4506193042761284</v>
      </c>
      <c r="AE1137" s="2">
        <v>3.8128084139008149</v>
      </c>
      <c r="AF1137" s="2">
        <v>4.0974588401708756</v>
      </c>
      <c r="AG1137" s="2">
        <v>4.2987946786564013</v>
      </c>
      <c r="AH1137" s="2">
        <v>4.4349946353061913</v>
      </c>
      <c r="AI1137" s="2">
        <v>4.4924906601352221</v>
      </c>
      <c r="AJ1137" s="2">
        <v>4.530641377676468</v>
      </c>
      <c r="AK1137" s="2">
        <v>4.5137717070496777</v>
      </c>
      <c r="AL1137" s="2">
        <v>4.4789769905990129</v>
      </c>
      <c r="AM1137" s="2">
        <v>4.4444504915885421</v>
      </c>
      <c r="AN1137" s="2">
        <v>4.4101901424458712</v>
      </c>
      <c r="AO1137" s="2">
        <v>4.3761938915366239</v>
      </c>
      <c r="AP1137" s="2">
        <v>4.3424597030415937</v>
      </c>
      <c r="AQ1137" s="2">
        <v>4.3089855568348217</v>
      </c>
      <c r="AR1137" s="2">
        <v>73.19522856120642</v>
      </c>
    </row>
    <row r="1138" spans="1:44" x14ac:dyDescent="0.25">
      <c r="A1138" t="s">
        <v>435</v>
      </c>
      <c r="B1138" t="s">
        <v>471</v>
      </c>
      <c r="C1138" t="s">
        <v>44</v>
      </c>
      <c r="D1138" t="s">
        <v>472</v>
      </c>
      <c r="E1138" t="s">
        <v>145</v>
      </c>
      <c r="F1138" t="s">
        <v>472</v>
      </c>
      <c r="G1138" t="s">
        <v>33</v>
      </c>
      <c r="H1138" t="s">
        <v>453</v>
      </c>
      <c r="I1138" t="s">
        <v>256</v>
      </c>
      <c r="J1138" t="s">
        <v>40</v>
      </c>
      <c r="K1138" t="s">
        <v>33</v>
      </c>
      <c r="L1138">
        <v>8.3279735676544231E-2</v>
      </c>
      <c r="M1138">
        <v>1</v>
      </c>
      <c r="N1138">
        <v>1.749690553345449</v>
      </c>
      <c r="O1138">
        <v>1.4737622038640097</v>
      </c>
      <c r="P1138">
        <v>-0.12205024667384824</v>
      </c>
      <c r="Q1138">
        <v>1.3498045353129324</v>
      </c>
      <c r="R1138">
        <v>-0.25661544227348537</v>
      </c>
      <c r="S1138" s="2">
        <v>4.4851009094795009E-2</v>
      </c>
      <c r="T1138" s="2">
        <v>8.3744000906587485E-2</v>
      </c>
      <c r="U1138" s="2">
        <v>0.14219825052395232</v>
      </c>
      <c r="V1138" s="2">
        <v>0.22509316127577755</v>
      </c>
      <c r="W1138" s="2">
        <v>0.33672820591740399</v>
      </c>
      <c r="X1138" s="2">
        <v>0.47996830872680402</v>
      </c>
      <c r="Y1138" s="2">
        <v>0.65525176109812189</v>
      </c>
      <c r="Z1138" s="2">
        <v>0.85963756112991485</v>
      </c>
      <c r="AA1138" s="2">
        <v>1.0861742073096818</v>
      </c>
      <c r="AB1138" s="2">
        <v>1.3239310800866575</v>
      </c>
      <c r="AC1138" s="2">
        <v>1.558977518174389</v>
      </c>
      <c r="AD1138" s="2">
        <v>1.7763692979914021</v>
      </c>
      <c r="AE1138" s="2">
        <v>1.9628232523893367</v>
      </c>
      <c r="AF1138" s="2">
        <v>2.1093605065163534</v>
      </c>
      <c r="AG1138" s="2">
        <v>2.2130076407069716</v>
      </c>
      <c r="AH1138" s="2">
        <v>2.283123002630735</v>
      </c>
      <c r="AI1138" s="2">
        <v>2.3127217975879977</v>
      </c>
      <c r="AJ1138" s="2">
        <v>2.3323616817249206</v>
      </c>
      <c r="AK1138" s="2">
        <v>2.3236772218276722</v>
      </c>
      <c r="AL1138" s="2">
        <v>2.3057649977933714</v>
      </c>
      <c r="AM1138" s="2">
        <v>2.2879908513573017</v>
      </c>
      <c r="AN1138" s="2">
        <v>2.2703537181388995</v>
      </c>
      <c r="AO1138" s="2">
        <v>2.2528525419624486</v>
      </c>
      <c r="AP1138" s="2">
        <v>2.2354862747938378</v>
      </c>
      <c r="AQ1138" s="2">
        <v>2.2182538766777964</v>
      </c>
      <c r="AR1138" s="2">
        <v>37.680701726343131</v>
      </c>
    </row>
    <row r="1139" spans="1:44" x14ac:dyDescent="0.25">
      <c r="A1139" t="s">
        <v>435</v>
      </c>
      <c r="B1139" t="s">
        <v>471</v>
      </c>
      <c r="C1139" t="s">
        <v>44</v>
      </c>
      <c r="D1139" t="s">
        <v>472</v>
      </c>
      <c r="E1139" t="s">
        <v>145</v>
      </c>
      <c r="F1139" t="s">
        <v>472</v>
      </c>
      <c r="G1139" t="s">
        <v>33</v>
      </c>
      <c r="H1139" t="s">
        <v>454</v>
      </c>
      <c r="I1139" t="s">
        <v>135</v>
      </c>
      <c r="J1139" t="s">
        <v>39</v>
      </c>
      <c r="K1139" t="s">
        <v>31</v>
      </c>
      <c r="L1139">
        <v>8.3279735676544231E-2</v>
      </c>
      <c r="M1139">
        <v>1</v>
      </c>
      <c r="N1139">
        <v>3.5354592691557718</v>
      </c>
      <c r="O1139">
        <v>5.3471683850504306</v>
      </c>
      <c r="P1139">
        <v>-1.584987198022715</v>
      </c>
      <c r="Q1139">
        <v>0.81921972223879724</v>
      </c>
      <c r="R1139">
        <v>-1.8625523936223525</v>
      </c>
      <c r="S1139" s="2">
        <v>2.5890616581797935E-4</v>
      </c>
      <c r="T1139" s="2">
        <v>4.8341918325976171E-4</v>
      </c>
      <c r="U1139" s="2">
        <v>8.2085118199611473E-4</v>
      </c>
      <c r="V1139" s="2">
        <v>1.2993689219920543E-3</v>
      </c>
      <c r="W1139" s="2">
        <v>1.9437914659306851E-3</v>
      </c>
      <c r="X1139" s="2">
        <v>2.7706568265599679E-3</v>
      </c>
      <c r="Y1139" s="2">
        <v>3.7824950772641867E-3</v>
      </c>
      <c r="Z1139" s="2">
        <v>4.9623290409110095E-3</v>
      </c>
      <c r="AA1139" s="2">
        <v>6.2700305991012402E-3</v>
      </c>
      <c r="AB1139" s="2">
        <v>7.6425018448976626E-3</v>
      </c>
      <c r="AC1139" s="2">
        <v>8.9993268818962142E-3</v>
      </c>
      <c r="AD1139" s="2">
        <v>1.0254238941373176E-2</v>
      </c>
      <c r="AE1139" s="2">
        <v>1.1330559840480261E-2</v>
      </c>
      <c r="AF1139" s="2">
        <v>1.2176458280253015E-2</v>
      </c>
      <c r="AG1139" s="2">
        <v>1.2774769949330463E-2</v>
      </c>
      <c r="AH1139" s="2">
        <v>1.3179516684955818E-2</v>
      </c>
      <c r="AI1139" s="2">
        <v>1.335037818104882E-2</v>
      </c>
      <c r="AJ1139" s="2">
        <v>1.3463751039355147E-2</v>
      </c>
      <c r="AK1139" s="2">
        <v>1.3413619275107784E-2</v>
      </c>
      <c r="AL1139" s="2">
        <v>1.3310219477877099E-2</v>
      </c>
      <c r="AM1139" s="2">
        <v>1.3207616745021663E-2</v>
      </c>
      <c r="AN1139" s="2">
        <v>1.3105804932316485E-2</v>
      </c>
      <c r="AO1139" s="2">
        <v>1.3004777942899745E-2</v>
      </c>
      <c r="AP1139" s="2">
        <v>1.2904529726907712E-2</v>
      </c>
      <c r="AQ1139" s="2">
        <v>1.2805054281112425E-2</v>
      </c>
      <c r="AR1139" s="2">
        <v>0.21751497248766649</v>
      </c>
    </row>
    <row r="1140" spans="1:44" x14ac:dyDescent="0.25">
      <c r="A1140" t="s">
        <v>435</v>
      </c>
      <c r="B1140" t="s">
        <v>471</v>
      </c>
      <c r="C1140" t="s">
        <v>44</v>
      </c>
      <c r="D1140" t="s">
        <v>472</v>
      </c>
      <c r="E1140" t="s">
        <v>145</v>
      </c>
      <c r="F1140" t="s">
        <v>472</v>
      </c>
      <c r="G1140" t="s">
        <v>33</v>
      </c>
      <c r="H1140" t="s">
        <v>454</v>
      </c>
      <c r="I1140" t="s">
        <v>135</v>
      </c>
      <c r="J1140" t="s">
        <v>39</v>
      </c>
      <c r="K1140" t="s">
        <v>33</v>
      </c>
      <c r="L1140">
        <v>8.3279735676544231E-2</v>
      </c>
      <c r="M1140">
        <v>1</v>
      </c>
      <c r="N1140">
        <v>3.5354592691557718</v>
      </c>
      <c r="O1140">
        <v>5.3471683850504306</v>
      </c>
      <c r="P1140">
        <v>-1.584987198022715</v>
      </c>
      <c r="Q1140">
        <v>0.81921972223879724</v>
      </c>
      <c r="R1140">
        <v>-1.8625523936223525</v>
      </c>
      <c r="S1140" s="2">
        <v>2.0777230641168347E-3</v>
      </c>
      <c r="T1140" s="2">
        <v>3.8794409685919498E-3</v>
      </c>
      <c r="U1140" s="2">
        <v>6.5873341704806056E-3</v>
      </c>
      <c r="V1140" s="2">
        <v>1.0427441036369637E-2</v>
      </c>
      <c r="W1140" s="2">
        <v>1.5598934648149649E-2</v>
      </c>
      <c r="X1140" s="2">
        <v>2.2234532627328569E-2</v>
      </c>
      <c r="Y1140" s="2">
        <v>3.035453882340268E-2</v>
      </c>
      <c r="Z1140" s="2">
        <v>3.9822711318841797E-2</v>
      </c>
      <c r="AA1140" s="2">
        <v>5.0317021795570814E-2</v>
      </c>
      <c r="AB1140" s="2">
        <v>6.1331109286376972E-2</v>
      </c>
      <c r="AC1140" s="2">
        <v>7.2219635886106581E-2</v>
      </c>
      <c r="AD1140" s="2">
        <v>8.2290310414756887E-2</v>
      </c>
      <c r="AE1140" s="2">
        <v>9.0927790134100281E-2</v>
      </c>
      <c r="AF1140" s="2">
        <v>9.7716128653052028E-2</v>
      </c>
      <c r="AG1140" s="2">
        <v>0.10251758230111392</v>
      </c>
      <c r="AH1140" s="2">
        <v>0.10576567654822436</v>
      </c>
      <c r="AI1140" s="2">
        <v>0.10713684076936353</v>
      </c>
      <c r="AJ1140" s="2">
        <v>0.10804665843169572</v>
      </c>
      <c r="AK1140" s="2">
        <v>0.10764435081382756</v>
      </c>
      <c r="AL1140" s="2">
        <v>0.10681456700836098</v>
      </c>
      <c r="AM1140" s="2">
        <v>0.10599117964784124</v>
      </c>
      <c r="AN1140" s="2">
        <v>0.10517413942483698</v>
      </c>
      <c r="AO1140" s="2">
        <v>0.10436339741200673</v>
      </c>
      <c r="AP1140" s="2">
        <v>0.10355890505916854</v>
      </c>
      <c r="AQ1140" s="2">
        <v>0.10276061419039301</v>
      </c>
      <c r="AR1140" s="2">
        <v>1.7455585644340779</v>
      </c>
    </row>
    <row r="1141" spans="1:44" x14ac:dyDescent="0.25">
      <c r="A1141" t="s">
        <v>435</v>
      </c>
      <c r="B1141" t="s">
        <v>471</v>
      </c>
      <c r="C1141" t="s">
        <v>44</v>
      </c>
      <c r="D1141" t="s">
        <v>472</v>
      </c>
      <c r="E1141" t="s">
        <v>145</v>
      </c>
      <c r="F1141" t="s">
        <v>472</v>
      </c>
      <c r="G1141" t="s">
        <v>33</v>
      </c>
      <c r="H1141" t="s">
        <v>455</v>
      </c>
      <c r="I1141" t="s">
        <v>135</v>
      </c>
      <c r="J1141" t="s">
        <v>39</v>
      </c>
      <c r="K1141" t="s">
        <v>31</v>
      </c>
      <c r="L1141">
        <v>8.3279735676544231E-2</v>
      </c>
      <c r="M1141">
        <v>1</v>
      </c>
      <c r="N1141">
        <v>3.5354592691557718</v>
      </c>
      <c r="O1141">
        <v>5.3471683850504306</v>
      </c>
      <c r="P1141">
        <v>-1.584987198022715</v>
      </c>
      <c r="Q1141">
        <v>0.81921972223879724</v>
      </c>
      <c r="R1141">
        <v>-1.8625523936223525</v>
      </c>
      <c r="S1141" s="2">
        <v>6.1002130270283286E-5</v>
      </c>
      <c r="T1141" s="2">
        <v>1.139007249950865E-4</v>
      </c>
      <c r="U1141" s="2">
        <v>1.934047054400653E-4</v>
      </c>
      <c r="V1141" s="2">
        <v>3.061505777511787E-4</v>
      </c>
      <c r="W1141" s="2">
        <v>4.5798608097395222E-4</v>
      </c>
      <c r="X1141" s="2">
        <v>6.5280781604438618E-4</v>
      </c>
      <c r="Y1141" s="2">
        <v>8.9121190575350772E-4</v>
      </c>
      <c r="Z1141" s="2">
        <v>1.169198275526901E-3</v>
      </c>
      <c r="AA1141" s="2">
        <v>1.4773121458758055E-3</v>
      </c>
      <c r="AB1141" s="2">
        <v>1.8006867146651484E-3</v>
      </c>
      <c r="AC1141" s="2">
        <v>2.1203748047477827E-3</v>
      </c>
      <c r="AD1141" s="2">
        <v>2.4160506867342397E-3</v>
      </c>
      <c r="AE1141" s="2">
        <v>2.6696478441928947E-3</v>
      </c>
      <c r="AF1141" s="2">
        <v>2.8689540548249154E-3</v>
      </c>
      <c r="AG1141" s="2">
        <v>3.0099251524578425E-3</v>
      </c>
      <c r="AH1141" s="2">
        <v>3.1052894826779577E-3</v>
      </c>
      <c r="AI1141" s="2">
        <v>3.1455469837301667E-3</v>
      </c>
      <c r="AJ1141" s="2">
        <v>3.172259309601847E-3</v>
      </c>
      <c r="AK1141" s="2">
        <v>3.1604475228734969E-3</v>
      </c>
      <c r="AL1141" s="2">
        <v>3.1360849980156627E-3</v>
      </c>
      <c r="AM1141" s="2">
        <v>3.111910273339021E-3</v>
      </c>
      <c r="AN1141" s="2">
        <v>3.087921901173094E-3</v>
      </c>
      <c r="AO1141" s="2">
        <v>3.0641184450068671E-3</v>
      </c>
      <c r="AP1141" s="2">
        <v>3.0404984794027688E-3</v>
      </c>
      <c r="AQ1141" s="2">
        <v>3.017060589911311E-3</v>
      </c>
      <c r="AR1141" s="2">
        <v>5.1249751605986181E-2</v>
      </c>
    </row>
    <row r="1142" spans="1:44" x14ac:dyDescent="0.25">
      <c r="A1142" t="s">
        <v>435</v>
      </c>
      <c r="B1142" t="s">
        <v>471</v>
      </c>
      <c r="C1142" t="s">
        <v>44</v>
      </c>
      <c r="D1142" t="s">
        <v>472</v>
      </c>
      <c r="E1142" t="s">
        <v>145</v>
      </c>
      <c r="F1142" t="s">
        <v>472</v>
      </c>
      <c r="G1142" t="s">
        <v>33</v>
      </c>
      <c r="H1142" t="s">
        <v>455</v>
      </c>
      <c r="I1142" t="s">
        <v>135</v>
      </c>
      <c r="J1142" t="s">
        <v>39</v>
      </c>
      <c r="K1142" t="s">
        <v>33</v>
      </c>
      <c r="L1142">
        <v>8.3279735676544231E-2</v>
      </c>
      <c r="M1142">
        <v>1</v>
      </c>
      <c r="N1142">
        <v>3.5354592691557718</v>
      </c>
      <c r="O1142">
        <v>5.3471683850504306</v>
      </c>
      <c r="P1142">
        <v>-1.584987198022715</v>
      </c>
      <c r="Q1142">
        <v>0.81921972223879724</v>
      </c>
      <c r="R1142">
        <v>-1.8625523936223525</v>
      </c>
      <c r="S1142" s="2">
        <v>1.551026626567021E-3</v>
      </c>
      <c r="T1142" s="2">
        <v>2.8960145567035549E-3</v>
      </c>
      <c r="U1142" s="2">
        <v>4.9174651198537521E-3</v>
      </c>
      <c r="V1142" s="2">
        <v>7.7841166485012681E-3</v>
      </c>
      <c r="W1142" s="2">
        <v>1.1644652457878511E-2</v>
      </c>
      <c r="X1142" s="2">
        <v>1.6598146658644661E-2</v>
      </c>
      <c r="Y1142" s="2">
        <v>2.265975613659188E-2</v>
      </c>
      <c r="Z1142" s="2">
        <v>2.9727775883293686E-2</v>
      </c>
      <c r="AA1142" s="2">
        <v>3.7561810773687858E-2</v>
      </c>
      <c r="AB1142" s="2">
        <v>4.5783860795951294E-2</v>
      </c>
      <c r="AC1142" s="2">
        <v>5.3912179228726903E-2</v>
      </c>
      <c r="AD1142" s="2">
        <v>6.1429968587274737E-2</v>
      </c>
      <c r="AE1142" s="2">
        <v>6.7877873634152958E-2</v>
      </c>
      <c r="AF1142" s="2">
        <v>7.2945389115346398E-2</v>
      </c>
      <c r="AG1142" s="2">
        <v>7.652968895924156E-2</v>
      </c>
      <c r="AH1142" s="2">
        <v>7.8954401256021531E-2</v>
      </c>
      <c r="AI1142" s="2">
        <v>7.9977979543769354E-2</v>
      </c>
      <c r="AJ1142" s="2">
        <v>8.0657161213342835E-2</v>
      </c>
      <c r="AK1142" s="2">
        <v>8.0356837345277432E-2</v>
      </c>
      <c r="AL1142" s="2">
        <v>7.9737401194810556E-2</v>
      </c>
      <c r="AM1142" s="2">
        <v>7.9122740010073828E-2</v>
      </c>
      <c r="AN1142" s="2">
        <v>7.8512816982918857E-2</v>
      </c>
      <c r="AO1142" s="2">
        <v>7.7907595588935424E-2</v>
      </c>
      <c r="AP1142" s="2">
        <v>7.7307039585264192E-2</v>
      </c>
      <c r="AQ1142" s="2">
        <v>7.6711113008426368E-2</v>
      </c>
      <c r="AR1142" s="2">
        <v>1.3030648109112564</v>
      </c>
    </row>
    <row r="1143" spans="1:44" x14ac:dyDescent="0.25">
      <c r="A1143" t="s">
        <v>435</v>
      </c>
      <c r="B1143" t="s">
        <v>471</v>
      </c>
      <c r="C1143" t="s">
        <v>44</v>
      </c>
      <c r="D1143" t="s">
        <v>472</v>
      </c>
      <c r="E1143" t="s">
        <v>145</v>
      </c>
      <c r="F1143" t="s">
        <v>472</v>
      </c>
      <c r="G1143" t="s">
        <v>33</v>
      </c>
      <c r="H1143" t="s">
        <v>456</v>
      </c>
      <c r="I1143" t="s">
        <v>135</v>
      </c>
      <c r="J1143" t="s">
        <v>39</v>
      </c>
      <c r="K1143" t="s">
        <v>31</v>
      </c>
      <c r="L1143">
        <v>8.3279735676544231E-2</v>
      </c>
      <c r="M1143">
        <v>1</v>
      </c>
      <c r="N1143">
        <v>3.5354592691557718</v>
      </c>
      <c r="O1143">
        <v>5.3471683850504306</v>
      </c>
      <c r="P1143">
        <v>-1.584987198022715</v>
      </c>
      <c r="Q1143">
        <v>0.81921972223879724</v>
      </c>
      <c r="R1143">
        <v>-1.8625523936223525</v>
      </c>
      <c r="S1143" s="2">
        <v>1.0995778438225291E-2</v>
      </c>
      <c r="T1143" s="2">
        <v>2.0530875404679284E-2</v>
      </c>
      <c r="U1143" s="2">
        <v>3.4861656150476407E-2</v>
      </c>
      <c r="V1143" s="2">
        <v>5.5184366624103365E-2</v>
      </c>
      <c r="W1143" s="2">
        <v>8.255307563634201E-2</v>
      </c>
      <c r="X1143" s="2">
        <v>0.11767015473331061</v>
      </c>
      <c r="Y1143" s="2">
        <v>0.16064305645974919</v>
      </c>
      <c r="Z1143" s="2">
        <v>0.21075075790118289</v>
      </c>
      <c r="AA1143" s="2">
        <v>0.26628901266523064</v>
      </c>
      <c r="AB1143" s="2">
        <v>0.32457804446149269</v>
      </c>
      <c r="AC1143" s="2">
        <v>0.38220257974104943</v>
      </c>
      <c r="AD1143" s="2">
        <v>0.43549885764880192</v>
      </c>
      <c r="AE1143" s="2">
        <v>0.48121034581526506</v>
      </c>
      <c r="AF1143" s="2">
        <v>0.51713576225173907</v>
      </c>
      <c r="AG1143" s="2">
        <v>0.54254613642878968</v>
      </c>
      <c r="AH1143" s="2">
        <v>0.55973578277989378</v>
      </c>
      <c r="AI1143" s="2">
        <v>0.56699229267693163</v>
      </c>
      <c r="AJ1143" s="2">
        <v>0.57180725267182464</v>
      </c>
      <c r="AK1143" s="2">
        <v>0.56967815014296141</v>
      </c>
      <c r="AL1143" s="2">
        <v>0.5652867473452956</v>
      </c>
      <c r="AM1143" s="2">
        <v>0.56092919597501267</v>
      </c>
      <c r="AN1143" s="2">
        <v>0.55660523508608095</v>
      </c>
      <c r="AO1143" s="2">
        <v>0.55231460574398816</v>
      </c>
      <c r="AP1143" s="2">
        <v>0.54805705101023672</v>
      </c>
      <c r="AQ1143" s="2">
        <v>0.54383231592695702</v>
      </c>
      <c r="AR1143" s="2">
        <v>9.2378890897196211</v>
      </c>
    </row>
    <row r="1144" spans="1:44" x14ac:dyDescent="0.25">
      <c r="A1144" t="s">
        <v>435</v>
      </c>
      <c r="B1144" t="s">
        <v>471</v>
      </c>
      <c r="C1144" t="s">
        <v>44</v>
      </c>
      <c r="D1144" t="s">
        <v>472</v>
      </c>
      <c r="E1144" t="s">
        <v>145</v>
      </c>
      <c r="F1144" t="s">
        <v>472</v>
      </c>
      <c r="G1144" t="s">
        <v>33</v>
      </c>
      <c r="H1144" t="s">
        <v>456</v>
      </c>
      <c r="I1144" t="s">
        <v>135</v>
      </c>
      <c r="J1144" t="s">
        <v>39</v>
      </c>
      <c r="K1144" t="s">
        <v>33</v>
      </c>
      <c r="L1144">
        <v>8.3279735676544231E-2</v>
      </c>
      <c r="M1144">
        <v>1</v>
      </c>
      <c r="N1144">
        <v>3.5354592691557718</v>
      </c>
      <c r="O1144">
        <v>5.3471683850504306</v>
      </c>
      <c r="P1144">
        <v>-1.584987198022715</v>
      </c>
      <c r="Q1144">
        <v>0.81921972223879724</v>
      </c>
      <c r="R1144">
        <v>-1.8625523936223525</v>
      </c>
      <c r="S1144" s="2">
        <v>1.0152399223180328E-2</v>
      </c>
      <c r="T1144" s="2">
        <v>1.8956151643168228E-2</v>
      </c>
      <c r="U1144" s="2">
        <v>3.2187757584355277E-2</v>
      </c>
      <c r="V1144" s="2">
        <v>5.0951710603644174E-2</v>
      </c>
      <c r="W1144" s="2">
        <v>7.6221232145599338E-2</v>
      </c>
      <c r="X1144" s="2">
        <v>0.1086448216665581</v>
      </c>
      <c r="Y1144" s="2">
        <v>0.14832169007167617</v>
      </c>
      <c r="Z1144" s="2">
        <v>0.19458611710131618</v>
      </c>
      <c r="AA1144" s="2">
        <v>0.24586457252773475</v>
      </c>
      <c r="AB1144" s="2">
        <v>0.29968281963528703</v>
      </c>
      <c r="AC1144" s="2">
        <v>0.35288753729079503</v>
      </c>
      <c r="AD1144" s="2">
        <v>0.40209597609928022</v>
      </c>
      <c r="AE1144" s="2">
        <v>0.44430138061509911</v>
      </c>
      <c r="AF1144" s="2">
        <v>0.47747130778043356</v>
      </c>
      <c r="AG1144" s="2">
        <v>0.50093269930492912</v>
      </c>
      <c r="AH1144" s="2">
        <v>0.51680389507720947</v>
      </c>
      <c r="AI1144" s="2">
        <v>0.52350382867950751</v>
      </c>
      <c r="AJ1144" s="2">
        <v>0.5279494799252491</v>
      </c>
      <c r="AK1144" s="2">
        <v>0.52598368014294727</v>
      </c>
      <c r="AL1144" s="2">
        <v>0.5219290991415052</v>
      </c>
      <c r="AM1144" s="2">
        <v>0.5179057731537029</v>
      </c>
      <c r="AN1144" s="2">
        <v>0.51391346124814052</v>
      </c>
      <c r="AO1144" s="2">
        <v>0.50995192435065384</v>
      </c>
      <c r="AP1144" s="2">
        <v>0.50602092522999831</v>
      </c>
      <c r="AQ1144" s="2">
        <v>0.50212022848364291</v>
      </c>
      <c r="AR1144" s="2">
        <v>8.5293404687256125</v>
      </c>
    </row>
    <row r="1145" spans="1:44" x14ac:dyDescent="0.25">
      <c r="A1145" t="s">
        <v>435</v>
      </c>
      <c r="B1145" t="s">
        <v>471</v>
      </c>
      <c r="C1145" t="s">
        <v>44</v>
      </c>
      <c r="D1145" t="s">
        <v>472</v>
      </c>
      <c r="E1145" t="s">
        <v>145</v>
      </c>
      <c r="F1145" t="s">
        <v>472</v>
      </c>
      <c r="G1145" t="s">
        <v>33</v>
      </c>
      <c r="H1145" t="s">
        <v>456</v>
      </c>
      <c r="I1145" t="s">
        <v>135</v>
      </c>
      <c r="J1145" t="s">
        <v>40</v>
      </c>
      <c r="K1145" t="s">
        <v>33</v>
      </c>
      <c r="L1145">
        <v>8.3279735676544231E-2</v>
      </c>
      <c r="M1145">
        <v>1</v>
      </c>
      <c r="N1145">
        <v>3.5354592691557718</v>
      </c>
      <c r="O1145">
        <v>4.1746294160814532</v>
      </c>
      <c r="P1145">
        <v>-1.584987198022715</v>
      </c>
      <c r="Q1145">
        <v>1.3498045353129324</v>
      </c>
      <c r="R1145">
        <v>-1.7195523936223525</v>
      </c>
      <c r="S1145" s="2">
        <v>3.7479752060817266E-2</v>
      </c>
      <c r="T1145" s="2">
        <v>6.9980686140771881E-2</v>
      </c>
      <c r="U1145" s="2">
        <v>0.11882798805831575</v>
      </c>
      <c r="V1145" s="2">
        <v>0.18809913189178948</v>
      </c>
      <c r="W1145" s="2">
        <v>0.28138697265415014</v>
      </c>
      <c r="X1145" s="2">
        <v>0.40108558472139383</v>
      </c>
      <c r="Y1145" s="2">
        <v>0.54756122635870708</v>
      </c>
      <c r="Z1145" s="2">
        <v>0.71835624891333594</v>
      </c>
      <c r="AA1145" s="2">
        <v>0.90766162916824933</v>
      </c>
      <c r="AB1145" s="2">
        <v>1.1063431933578602</v>
      </c>
      <c r="AC1145" s="2">
        <v>1.3027597824180326</v>
      </c>
      <c r="AD1145" s="2">
        <v>1.484423253810184</v>
      </c>
      <c r="AE1145" s="2">
        <v>1.640233527037783</v>
      </c>
      <c r="AF1145" s="2">
        <v>1.762687404067518</v>
      </c>
      <c r="AG1145" s="2">
        <v>1.8493001463375567</v>
      </c>
      <c r="AH1145" s="2">
        <v>1.9078920583947165</v>
      </c>
      <c r="AI1145" s="2">
        <v>1.932626295565445</v>
      </c>
      <c r="AJ1145" s="2">
        <v>1.9490383675078911</v>
      </c>
      <c r="AK1145" s="2">
        <v>1.9417811973728096</v>
      </c>
      <c r="AL1145" s="2">
        <v>1.9268128448382107</v>
      </c>
      <c r="AM1145" s="2">
        <v>1.9119598768680024</v>
      </c>
      <c r="AN1145" s="2">
        <v>1.8972214040124145</v>
      </c>
      <c r="AO1145" s="2">
        <v>1.8825965436780645</v>
      </c>
      <c r="AP1145" s="2">
        <v>1.8680844200750975</v>
      </c>
      <c r="AQ1145" s="2">
        <v>1.8536841641647464</v>
      </c>
      <c r="AR1145" s="2">
        <v>31.487883699473862</v>
      </c>
    </row>
    <row r="1146" spans="1:44" x14ac:dyDescent="0.25">
      <c r="A1146" t="s">
        <v>435</v>
      </c>
      <c r="B1146" t="s">
        <v>471</v>
      </c>
      <c r="C1146" t="s">
        <v>44</v>
      </c>
      <c r="D1146" t="s">
        <v>472</v>
      </c>
      <c r="E1146" t="s">
        <v>145</v>
      </c>
      <c r="F1146" t="s">
        <v>472</v>
      </c>
      <c r="G1146" t="s">
        <v>33</v>
      </c>
      <c r="H1146" t="s">
        <v>456</v>
      </c>
      <c r="I1146" t="s">
        <v>256</v>
      </c>
      <c r="J1146" t="s">
        <v>40</v>
      </c>
      <c r="K1146" t="s">
        <v>33</v>
      </c>
      <c r="L1146">
        <v>8.3279735676544231E-2</v>
      </c>
      <c r="M1146">
        <v>1</v>
      </c>
      <c r="N1146">
        <v>1.749690553345449</v>
      </c>
      <c r="O1146">
        <v>1.4737622038640097</v>
      </c>
      <c r="P1146">
        <v>-0.12205024667384824</v>
      </c>
      <c r="Q1146">
        <v>1.3498045353129324</v>
      </c>
      <c r="R1146">
        <v>-0.25661544227348537</v>
      </c>
      <c r="S1146" s="2">
        <v>5.6282597263402408E-2</v>
      </c>
      <c r="T1146" s="2">
        <v>0.10508860271771353</v>
      </c>
      <c r="U1146" s="2">
        <v>0.17844162321709722</v>
      </c>
      <c r="V1146" s="2">
        <v>0.28246472038242049</v>
      </c>
      <c r="W1146" s="2">
        <v>0.42255321303521515</v>
      </c>
      <c r="X1146" s="2">
        <v>0.60230223498811031</v>
      </c>
      <c r="Y1146" s="2">
        <v>0.82226178898393232</v>
      </c>
      <c r="Z1146" s="2">
        <v>1.078741272984721</v>
      </c>
      <c r="AA1146" s="2">
        <v>1.3630173925117033</v>
      </c>
      <c r="AB1146" s="2">
        <v>1.6613735407274512</v>
      </c>
      <c r="AC1146" s="2">
        <v>1.9563284208981244</v>
      </c>
      <c r="AD1146" s="2">
        <v>2.2291288380739132</v>
      </c>
      <c r="AE1146" s="2">
        <v>2.4631060224304107</v>
      </c>
      <c r="AF1146" s="2">
        <v>2.6469925709065936</v>
      </c>
      <c r="AG1146" s="2">
        <v>2.7770572010875312</v>
      </c>
      <c r="AH1146" s="2">
        <v>2.865043508570428</v>
      </c>
      <c r="AI1146" s="2">
        <v>2.9021864199493153</v>
      </c>
      <c r="AJ1146" s="2">
        <v>2.9268321015401586</v>
      </c>
      <c r="AK1146" s="2">
        <v>2.9159341536742835</v>
      </c>
      <c r="AL1146" s="2">
        <v>2.893456476766644</v>
      </c>
      <c r="AM1146" s="2">
        <v>2.8711520705614744</v>
      </c>
      <c r="AN1146" s="2">
        <v>2.8490195993897722</v>
      </c>
      <c r="AO1146" s="2">
        <v>2.8270577378786261</v>
      </c>
      <c r="AP1146" s="2">
        <v>2.8052651708718561</v>
      </c>
      <c r="AQ1146" s="2">
        <v>2.7836405933512509</v>
      </c>
      <c r="AR1146" s="2">
        <v>47.284727872762147</v>
      </c>
    </row>
    <row r="1147" spans="1:44" x14ac:dyDescent="0.25">
      <c r="A1147" t="s">
        <v>435</v>
      </c>
      <c r="B1147" t="s">
        <v>471</v>
      </c>
      <c r="C1147" t="s">
        <v>44</v>
      </c>
      <c r="D1147" t="s">
        <v>472</v>
      </c>
      <c r="E1147" t="s">
        <v>145</v>
      </c>
      <c r="F1147" t="s">
        <v>472</v>
      </c>
      <c r="G1147" t="s">
        <v>33</v>
      </c>
      <c r="H1147" t="s">
        <v>457</v>
      </c>
      <c r="I1147" t="s">
        <v>135</v>
      </c>
      <c r="J1147" t="s">
        <v>39</v>
      </c>
      <c r="K1147" t="s">
        <v>31</v>
      </c>
      <c r="L1147">
        <v>8.3279735676544231E-2</v>
      </c>
      <c r="M1147">
        <v>1</v>
      </c>
      <c r="N1147">
        <v>3.5354592691557718</v>
      </c>
      <c r="O1147">
        <v>5.3471683850504306</v>
      </c>
      <c r="P1147">
        <v>-1.584987198022715</v>
      </c>
      <c r="Q1147">
        <v>0.81921972223879724</v>
      </c>
      <c r="R1147">
        <v>-1.8625523936223525</v>
      </c>
      <c r="S1147" s="2">
        <v>4.0651274802834267E-3</v>
      </c>
      <c r="T1147" s="2">
        <v>7.5902425890737894E-3</v>
      </c>
      <c r="U1147" s="2">
        <v>1.2888316841019067E-2</v>
      </c>
      <c r="V1147" s="2">
        <v>2.0401601078630417E-2</v>
      </c>
      <c r="W1147" s="2">
        <v>3.0519783409293025E-2</v>
      </c>
      <c r="X1147" s="2">
        <v>4.3502529839332442E-2</v>
      </c>
      <c r="Y1147" s="2">
        <v>5.9389565459146122E-2</v>
      </c>
      <c r="Z1147" s="2">
        <v>7.7914328871556748E-2</v>
      </c>
      <c r="AA1147" s="2">
        <v>9.844676201548537E-2</v>
      </c>
      <c r="AB1147" s="2">
        <v>0.11999615447417367</v>
      </c>
      <c r="AC1147" s="2">
        <v>0.14129988328423645</v>
      </c>
      <c r="AD1147" s="2">
        <v>0.16100345999204393</v>
      </c>
      <c r="AE1147" s="2">
        <v>0.17790294807777618</v>
      </c>
      <c r="AF1147" s="2">
        <v>0.19118453595416002</v>
      </c>
      <c r="AG1147" s="2">
        <v>0.20057872399930268</v>
      </c>
      <c r="AH1147" s="2">
        <v>0.20693371779540404</v>
      </c>
      <c r="AI1147" s="2">
        <v>0.20961644171159802</v>
      </c>
      <c r="AJ1147" s="2">
        <v>0.2113965272509411</v>
      </c>
      <c r="AK1147" s="2">
        <v>0.2106094003324562</v>
      </c>
      <c r="AL1147" s="2">
        <v>0.20898590343407139</v>
      </c>
      <c r="AM1147" s="2">
        <v>0.20737492137203717</v>
      </c>
      <c r="AN1147" s="2">
        <v>0.20577635767488578</v>
      </c>
      <c r="AO1147" s="2">
        <v>0.2041901166148061</v>
      </c>
      <c r="AP1147" s="2">
        <v>0.20261610320191148</v>
      </c>
      <c r="AQ1147" s="2">
        <v>0.20105422317855134</v>
      </c>
      <c r="AR1147" s="2">
        <v>3.4152376759321759</v>
      </c>
    </row>
    <row r="1148" spans="1:44" x14ac:dyDescent="0.25">
      <c r="A1148" t="s">
        <v>435</v>
      </c>
      <c r="B1148" t="s">
        <v>471</v>
      </c>
      <c r="C1148" t="s">
        <v>44</v>
      </c>
      <c r="D1148" t="s">
        <v>472</v>
      </c>
      <c r="E1148" t="s">
        <v>145</v>
      </c>
      <c r="F1148" t="s">
        <v>472</v>
      </c>
      <c r="G1148" t="s">
        <v>33</v>
      </c>
      <c r="H1148" t="s">
        <v>457</v>
      </c>
      <c r="I1148" t="s">
        <v>135</v>
      </c>
      <c r="J1148" t="s">
        <v>39</v>
      </c>
      <c r="K1148" t="s">
        <v>33</v>
      </c>
      <c r="L1148">
        <v>8.3279735676544231E-2</v>
      </c>
      <c r="M1148">
        <v>1</v>
      </c>
      <c r="N1148">
        <v>3.5354592691557718</v>
      </c>
      <c r="O1148">
        <v>5.3471683850504306</v>
      </c>
      <c r="P1148">
        <v>-1.584987198022715</v>
      </c>
      <c r="Q1148">
        <v>0.81921972223879724</v>
      </c>
      <c r="R1148">
        <v>-1.8625523936223525</v>
      </c>
      <c r="S1148" s="2">
        <v>1.1894342293512397E-3</v>
      </c>
      <c r="T1148" s="2">
        <v>2.2208637707702306E-3</v>
      </c>
      <c r="U1148" s="2">
        <v>3.7710515312949786E-3</v>
      </c>
      <c r="V1148" s="2">
        <v>5.9693977062683142E-3</v>
      </c>
      <c r="W1148" s="2">
        <v>8.9299229201216124E-3</v>
      </c>
      <c r="X1148" s="2">
        <v>1.2728604036463829E-2</v>
      </c>
      <c r="Y1148" s="2">
        <v>1.7377064401060138E-2</v>
      </c>
      <c r="Z1148" s="2">
        <v>2.2797309596376485E-2</v>
      </c>
      <c r="AA1148" s="2">
        <v>2.8804988054605761E-2</v>
      </c>
      <c r="AB1148" s="2">
        <v>3.5110223286810641E-2</v>
      </c>
      <c r="AC1148" s="2">
        <v>4.1343578669244603E-2</v>
      </c>
      <c r="AD1148" s="2">
        <v>4.7108738234493949E-2</v>
      </c>
      <c r="AE1148" s="2">
        <v>5.2053436693564638E-2</v>
      </c>
      <c r="AF1148" s="2">
        <v>5.5939557194564518E-2</v>
      </c>
      <c r="AG1148" s="2">
        <v>5.8688245611360691E-2</v>
      </c>
      <c r="AH1148" s="2">
        <v>6.0547682292020608E-2</v>
      </c>
      <c r="AI1148" s="2">
        <v>6.1332632744201254E-2</v>
      </c>
      <c r="AJ1148" s="2">
        <v>6.1853476108139308E-2</v>
      </c>
      <c r="AK1148" s="2">
        <v>6.1623167045451697E-2</v>
      </c>
      <c r="AL1148" s="2">
        <v>6.1148140667668861E-2</v>
      </c>
      <c r="AM1148" s="2">
        <v>6.0676776063053633E-2</v>
      </c>
      <c r="AN1148" s="2">
        <v>6.0209045004578285E-2</v>
      </c>
      <c r="AO1148" s="2">
        <v>5.9744919482805074E-2</v>
      </c>
      <c r="AP1148" s="2">
        <v>5.9284371704208902E-2</v>
      </c>
      <c r="AQ1148" s="2">
        <v>5.8827374089512954E-2</v>
      </c>
      <c r="AR1148" s="2">
        <v>0.9992800011379922</v>
      </c>
    </row>
    <row r="1149" spans="1:44" x14ac:dyDescent="0.25">
      <c r="A1149" t="s">
        <v>435</v>
      </c>
      <c r="B1149" t="s">
        <v>471</v>
      </c>
      <c r="C1149" t="s">
        <v>44</v>
      </c>
      <c r="D1149" t="s">
        <v>472</v>
      </c>
      <c r="E1149" t="s">
        <v>145</v>
      </c>
      <c r="F1149" t="s">
        <v>472</v>
      </c>
      <c r="G1149" t="s">
        <v>33</v>
      </c>
      <c r="H1149" t="s">
        <v>457</v>
      </c>
      <c r="I1149" t="s">
        <v>256</v>
      </c>
      <c r="J1149" t="s">
        <v>39</v>
      </c>
      <c r="K1149" t="s">
        <v>33</v>
      </c>
      <c r="L1149">
        <v>8.3279735676544231E-2</v>
      </c>
      <c r="M1149">
        <v>1</v>
      </c>
      <c r="N1149">
        <v>1.749690553345449</v>
      </c>
      <c r="O1149">
        <v>2.6463011728329882</v>
      </c>
      <c r="P1149">
        <v>-0.12205024667384824</v>
      </c>
      <c r="Q1149">
        <v>1.3498045353129324</v>
      </c>
      <c r="R1149">
        <v>-0.39961544227348544</v>
      </c>
      <c r="S1149" s="2">
        <v>3.2710239406005845E-3</v>
      </c>
      <c r="T1149" s="2">
        <v>6.1075243874259746E-3</v>
      </c>
      <c r="U1149" s="2">
        <v>1.0370644744966212E-2</v>
      </c>
      <c r="V1149" s="2">
        <v>1.641624423304186E-2</v>
      </c>
      <c r="W1149" s="2">
        <v>2.4557887219512645E-2</v>
      </c>
      <c r="X1149" s="2">
        <v>3.5004515177277165E-2</v>
      </c>
      <c r="Y1149" s="2">
        <v>4.7788093087104883E-2</v>
      </c>
      <c r="Z1149" s="2">
        <v>6.2694131067427258E-2</v>
      </c>
      <c r="AA1149" s="2">
        <v>7.9215649936963131E-2</v>
      </c>
      <c r="AB1149" s="2">
        <v>9.6555469900703211E-2</v>
      </c>
      <c r="AC1149" s="2">
        <v>0.11369761545450498</v>
      </c>
      <c r="AD1149" s="2">
        <v>0.12955219109556326</v>
      </c>
      <c r="AE1149" s="2">
        <v>0.14315044364248478</v>
      </c>
      <c r="AF1149" s="2">
        <v>0.15383753577515583</v>
      </c>
      <c r="AG1149" s="2">
        <v>0.16139661335567562</v>
      </c>
      <c r="AH1149" s="2">
        <v>0.16651018899389064</v>
      </c>
      <c r="AI1149" s="2">
        <v>0.16866885540680243</v>
      </c>
      <c r="AJ1149" s="2">
        <v>0.17010120960571723</v>
      </c>
      <c r="AK1149" s="2">
        <v>0.16946784422981129</v>
      </c>
      <c r="AL1149" s="2">
        <v>0.16816148981709866</v>
      </c>
      <c r="AM1149" s="2">
        <v>0.16686520552629841</v>
      </c>
      <c r="AN1149" s="2">
        <v>0.16557891373119024</v>
      </c>
      <c r="AO1149" s="2">
        <v>0.16430253740394096</v>
      </c>
      <c r="AP1149" s="2">
        <v>0.16303600011049163</v>
      </c>
      <c r="AQ1149" s="2">
        <v>0.16177922600598052</v>
      </c>
      <c r="AR1149" s="2">
        <v>2.7480870538496296</v>
      </c>
    </row>
    <row r="1150" spans="1:44" x14ac:dyDescent="0.25">
      <c r="A1150" t="s">
        <v>435</v>
      </c>
      <c r="B1150" t="s">
        <v>471</v>
      </c>
      <c r="C1150" t="s">
        <v>44</v>
      </c>
      <c r="D1150" t="s">
        <v>472</v>
      </c>
      <c r="E1150" t="s">
        <v>145</v>
      </c>
      <c r="F1150" t="s">
        <v>472</v>
      </c>
      <c r="G1150" t="s">
        <v>33</v>
      </c>
      <c r="H1150" t="s">
        <v>457</v>
      </c>
      <c r="I1150" t="s">
        <v>256</v>
      </c>
      <c r="J1150" t="s">
        <v>40</v>
      </c>
      <c r="K1150" t="s">
        <v>33</v>
      </c>
      <c r="L1150">
        <v>8.3279735676544231E-2</v>
      </c>
      <c r="M1150">
        <v>1</v>
      </c>
      <c r="N1150">
        <v>1.749690553345449</v>
      </c>
      <c r="O1150">
        <v>1.4737622038640097</v>
      </c>
      <c r="P1150">
        <v>-0.12205024667384824</v>
      </c>
      <c r="Q1150">
        <v>1.3498045353129324</v>
      </c>
      <c r="R1150">
        <v>-0.25661544227348537</v>
      </c>
      <c r="S1150" s="2">
        <v>2.9931123869234813E-2</v>
      </c>
      <c r="T1150" s="2">
        <v>5.5886191080843903E-2</v>
      </c>
      <c r="U1150" s="2">
        <v>9.4895377747807041E-2</v>
      </c>
      <c r="V1150" s="2">
        <v>0.15021493224429619</v>
      </c>
      <c r="W1150" s="2">
        <v>0.2247140888241165</v>
      </c>
      <c r="X1150" s="2">
        <v>0.32030474211730248</v>
      </c>
      <c r="Y1150" s="2">
        <v>0.43727938396012989</v>
      </c>
      <c r="Z1150" s="2">
        <v>0.5736753496547834</v>
      </c>
      <c r="AA1150" s="2">
        <v>0.72485358520789378</v>
      </c>
      <c r="AB1150" s="2">
        <v>0.88351958968526945</v>
      </c>
      <c r="AC1150" s="2">
        <v>1.0403767974809075</v>
      </c>
      <c r="AD1150" s="2">
        <v>1.1854522466442476</v>
      </c>
      <c r="AE1150" s="2">
        <v>1.3098814739376179</v>
      </c>
      <c r="AF1150" s="2">
        <v>1.4076724666767815</v>
      </c>
      <c r="AG1150" s="2">
        <v>1.4768409263115196</v>
      </c>
      <c r="AH1150" s="2">
        <v>1.5236321050437711</v>
      </c>
      <c r="AI1150" s="2">
        <v>1.5433847308179975</v>
      </c>
      <c r="AJ1150" s="2">
        <v>1.5564913212101379</v>
      </c>
      <c r="AK1150" s="2">
        <v>1.5506957850523555</v>
      </c>
      <c r="AL1150" s="2">
        <v>1.5387421410393298</v>
      </c>
      <c r="AM1150" s="2">
        <v>1.5268806425048487</v>
      </c>
      <c r="AN1150" s="2">
        <v>1.5151105791392183</v>
      </c>
      <c r="AO1150" s="2">
        <v>1.5034312461082153</v>
      </c>
      <c r="AP1150" s="2">
        <v>1.4918419440108797</v>
      </c>
      <c r="AQ1150" s="2">
        <v>1.4803419788376309</v>
      </c>
      <c r="AR1150" s="2">
        <v>25.146050749207138</v>
      </c>
    </row>
    <row r="1151" spans="1:44" x14ac:dyDescent="0.25">
      <c r="A1151" t="s">
        <v>435</v>
      </c>
      <c r="B1151" t="s">
        <v>473</v>
      </c>
      <c r="C1151" t="s">
        <v>46</v>
      </c>
      <c r="D1151" t="s">
        <v>417</v>
      </c>
      <c r="E1151" t="s">
        <v>134</v>
      </c>
      <c r="F1151" t="s">
        <v>417</v>
      </c>
      <c r="G1151" t="s">
        <v>33</v>
      </c>
      <c r="H1151" t="s">
        <v>450</v>
      </c>
      <c r="I1151" t="s">
        <v>135</v>
      </c>
      <c r="J1151" t="s">
        <v>39</v>
      </c>
      <c r="K1151" t="s">
        <v>31</v>
      </c>
      <c r="L1151">
        <v>3.0101591572287867E-2</v>
      </c>
      <c r="M1151">
        <v>1</v>
      </c>
      <c r="N1151">
        <v>3.1960600759959026</v>
      </c>
      <c r="O1151">
        <v>2.8779545327574696</v>
      </c>
      <c r="P1151">
        <v>-0.57900269369997159</v>
      </c>
      <c r="Q1151">
        <v>0.48774336622694031</v>
      </c>
      <c r="R1151">
        <v>-0.52509153328775182</v>
      </c>
      <c r="S1151" s="2">
        <v>7.4234648814214385E-4</v>
      </c>
      <c r="T1151" s="2">
        <v>1.1982199956741926E-3</v>
      </c>
      <c r="U1151" s="2">
        <v>1.8047107867226657E-3</v>
      </c>
      <c r="V1151" s="2">
        <v>2.5648068944733363E-3</v>
      </c>
      <c r="W1151" s="2">
        <v>3.4619477542872897E-3</v>
      </c>
      <c r="X1151" s="2">
        <v>4.453339107048827E-3</v>
      </c>
      <c r="Y1151" s="2">
        <v>5.4655540584490148E-3</v>
      </c>
      <c r="Z1151" s="2">
        <v>6.3955034256894302E-3</v>
      </c>
      <c r="AA1151" s="2">
        <v>7.1200276236438632E-3</v>
      </c>
      <c r="AB1151" s="2">
        <v>7.5159813083745721E-3</v>
      </c>
      <c r="AC1151" s="2">
        <v>7.4891802025155458E-3</v>
      </c>
      <c r="AD1151" s="2">
        <v>7.0053942980657759E-3</v>
      </c>
      <c r="AE1151" s="2">
        <v>6.1118289419315108E-3</v>
      </c>
      <c r="AF1151" s="2">
        <v>5.0154527021161561E-3</v>
      </c>
      <c r="AG1151" s="2">
        <v>8.9872746088105336E-4</v>
      </c>
      <c r="AH1151" s="2">
        <v>0</v>
      </c>
      <c r="AI1151" s="2">
        <v>0</v>
      </c>
      <c r="AJ1151" s="2">
        <v>0</v>
      </c>
      <c r="AK1151" s="2">
        <v>0</v>
      </c>
      <c r="AL1151" s="2">
        <v>0</v>
      </c>
      <c r="AM1151" s="2">
        <v>0</v>
      </c>
      <c r="AN1151" s="2">
        <v>0</v>
      </c>
      <c r="AO1151" s="2">
        <v>0</v>
      </c>
      <c r="AP1151" s="2">
        <v>0</v>
      </c>
      <c r="AQ1151" s="2">
        <v>0</v>
      </c>
      <c r="AR1151" s="2">
        <v>6.7243021048015383E-2</v>
      </c>
    </row>
    <row r="1152" spans="1:44" x14ac:dyDescent="0.25">
      <c r="A1152" t="s">
        <v>435</v>
      </c>
      <c r="B1152" t="s">
        <v>473</v>
      </c>
      <c r="C1152" t="s">
        <v>46</v>
      </c>
      <c r="D1152" t="s">
        <v>417</v>
      </c>
      <c r="E1152" t="s">
        <v>134</v>
      </c>
      <c r="F1152" t="s">
        <v>417</v>
      </c>
      <c r="G1152" t="s">
        <v>33</v>
      </c>
      <c r="H1152" t="s">
        <v>450</v>
      </c>
      <c r="I1152" t="s">
        <v>135</v>
      </c>
      <c r="J1152" t="s">
        <v>39</v>
      </c>
      <c r="K1152" t="s">
        <v>33</v>
      </c>
      <c r="L1152">
        <v>3.0101591572287867E-2</v>
      </c>
      <c r="M1152">
        <v>1</v>
      </c>
      <c r="N1152">
        <v>3.1960600759959026</v>
      </c>
      <c r="O1152">
        <v>2.8779545327574696</v>
      </c>
      <c r="P1152">
        <v>-0.57900269369997159</v>
      </c>
      <c r="Q1152">
        <v>0.48774336622694031</v>
      </c>
      <c r="R1152">
        <v>-0.52509153328775182</v>
      </c>
      <c r="S1152" s="2">
        <v>4.5734499231328069E-4</v>
      </c>
      <c r="T1152" s="2">
        <v>7.3768506806655659E-4</v>
      </c>
      <c r="U1152" s="2">
        <v>1.1102970969050917E-3</v>
      </c>
      <c r="V1152" s="2">
        <v>1.5768247307857849E-3</v>
      </c>
      <c r="W1152" s="2">
        <v>2.1268968103660764E-3</v>
      </c>
      <c r="X1152" s="2">
        <v>2.7340650113940848E-3</v>
      </c>
      <c r="Y1152" s="2">
        <v>3.3531611441200921E-3</v>
      </c>
      <c r="Z1152" s="2">
        <v>3.9209574274325226E-3</v>
      </c>
      <c r="AA1152" s="2">
        <v>4.3621061499171101E-3</v>
      </c>
      <c r="AB1152" s="2">
        <v>4.6014785586509493E-3</v>
      </c>
      <c r="AC1152" s="2">
        <v>4.5818741056035126E-3</v>
      </c>
      <c r="AD1152" s="2">
        <v>4.2829067245480383E-3</v>
      </c>
      <c r="AE1152" s="2">
        <v>3.7340005924225094E-3</v>
      </c>
      <c r="AF1152" s="2">
        <v>3.0620374019062983E-3</v>
      </c>
      <c r="AG1152" s="2">
        <v>9.7923861913305679E-5</v>
      </c>
      <c r="AH1152" s="2">
        <v>0</v>
      </c>
      <c r="AI1152" s="2">
        <v>0</v>
      </c>
      <c r="AJ1152" s="2">
        <v>0</v>
      </c>
      <c r="AK1152" s="2">
        <v>0</v>
      </c>
      <c r="AL1152" s="2">
        <v>0</v>
      </c>
      <c r="AM1152" s="2">
        <v>0</v>
      </c>
      <c r="AN1152" s="2">
        <v>0</v>
      </c>
      <c r="AO1152" s="2">
        <v>0</v>
      </c>
      <c r="AP1152" s="2">
        <v>0</v>
      </c>
      <c r="AQ1152" s="2">
        <v>0</v>
      </c>
      <c r="AR1152" s="2">
        <v>4.0739559676345211E-2</v>
      </c>
    </row>
    <row r="1153" spans="1:44" x14ac:dyDescent="0.25">
      <c r="A1153" t="s">
        <v>435</v>
      </c>
      <c r="B1153" t="s">
        <v>473</v>
      </c>
      <c r="C1153" t="s">
        <v>46</v>
      </c>
      <c r="D1153" t="s">
        <v>417</v>
      </c>
      <c r="E1153" t="s">
        <v>134</v>
      </c>
      <c r="F1153" t="s">
        <v>417</v>
      </c>
      <c r="G1153" t="s">
        <v>33</v>
      </c>
      <c r="H1153" t="s">
        <v>450</v>
      </c>
      <c r="I1153" t="s">
        <v>256</v>
      </c>
      <c r="J1153" t="s">
        <v>40</v>
      </c>
      <c r="K1153" t="s">
        <v>33</v>
      </c>
      <c r="L1153">
        <v>3.0101591572287867E-2</v>
      </c>
      <c r="M1153">
        <v>1</v>
      </c>
      <c r="N1153">
        <v>2.9388016493259146</v>
      </c>
      <c r="O1153">
        <v>1.4737622038640097</v>
      </c>
      <c r="P1153">
        <v>-0.45352660268570494</v>
      </c>
      <c r="Q1153">
        <v>1.3498045353129324</v>
      </c>
      <c r="R1153">
        <v>-0.25661544227348532</v>
      </c>
      <c r="S1153" s="2">
        <v>1.1946767872930955E-2</v>
      </c>
      <c r="T1153" s="2">
        <v>1.9283254353165219E-2</v>
      </c>
      <c r="U1153" s="2">
        <v>2.904366248260867E-2</v>
      </c>
      <c r="V1153" s="2">
        <v>4.1276079427345153E-2</v>
      </c>
      <c r="W1153" s="2">
        <v>5.5713991874863499E-2</v>
      </c>
      <c r="X1153" s="2">
        <v>7.1668701100086121E-2</v>
      </c>
      <c r="Y1153" s="2">
        <v>8.7958529711186992E-2</v>
      </c>
      <c r="Z1153" s="2">
        <v>0.1029244376820117</v>
      </c>
      <c r="AA1153" s="2">
        <v>0.11458438697731395</v>
      </c>
      <c r="AB1153" s="2">
        <v>0.12095656874885846</v>
      </c>
      <c r="AC1153" s="2">
        <v>0.12052525184287168</v>
      </c>
      <c r="AD1153" s="2">
        <v>0.11273956417144207</v>
      </c>
      <c r="AE1153" s="2">
        <v>9.8359193199733685E-2</v>
      </c>
      <c r="AF1153" s="2">
        <v>8.0714935905203483E-2</v>
      </c>
      <c r="AG1153" s="2">
        <v>1.4463446015681555E-2</v>
      </c>
      <c r="AH1153" s="2">
        <v>0</v>
      </c>
      <c r="AI1153" s="2">
        <v>0</v>
      </c>
      <c r="AJ1153" s="2">
        <v>0</v>
      </c>
      <c r="AK1153" s="2">
        <v>0</v>
      </c>
      <c r="AL1153" s="2">
        <v>0</v>
      </c>
      <c r="AM1153" s="2">
        <v>0</v>
      </c>
      <c r="AN1153" s="2">
        <v>0</v>
      </c>
      <c r="AO1153" s="2">
        <v>0</v>
      </c>
      <c r="AP1153" s="2">
        <v>0</v>
      </c>
      <c r="AQ1153" s="2">
        <v>0</v>
      </c>
      <c r="AR1153" s="2">
        <v>1.0821587713653031</v>
      </c>
    </row>
    <row r="1154" spans="1:44" x14ac:dyDescent="0.25">
      <c r="A1154" t="s">
        <v>435</v>
      </c>
      <c r="B1154" t="s">
        <v>473</v>
      </c>
      <c r="C1154" t="s">
        <v>46</v>
      </c>
      <c r="D1154" t="s">
        <v>417</v>
      </c>
      <c r="E1154" t="s">
        <v>134</v>
      </c>
      <c r="F1154" t="s">
        <v>417</v>
      </c>
      <c r="G1154" t="s">
        <v>33</v>
      </c>
      <c r="H1154" t="s">
        <v>451</v>
      </c>
      <c r="I1154" t="s">
        <v>135</v>
      </c>
      <c r="J1154" t="s">
        <v>39</v>
      </c>
      <c r="K1154" t="s">
        <v>31</v>
      </c>
      <c r="L1154">
        <v>3.0101591572287867E-2</v>
      </c>
      <c r="M1154">
        <v>1</v>
      </c>
      <c r="N1154">
        <v>3.1960600759959026</v>
      </c>
      <c r="O1154">
        <v>2.8779545327574696</v>
      </c>
      <c r="P1154">
        <v>-0.57900269369997159</v>
      </c>
      <c r="Q1154">
        <v>0.48774336622694031</v>
      </c>
      <c r="R1154">
        <v>-0.52509153328775182</v>
      </c>
      <c r="S1154" s="2">
        <v>1.9418508241604432E-4</v>
      </c>
      <c r="T1154" s="2">
        <v>3.1343375678230816E-4</v>
      </c>
      <c r="U1154" s="2">
        <v>4.7208132382214689E-4</v>
      </c>
      <c r="V1154" s="2">
        <v>6.7090940166093685E-4</v>
      </c>
      <c r="W1154" s="2">
        <v>9.0558603121941789E-4</v>
      </c>
      <c r="X1154" s="2">
        <v>1.1649169698278194E-3</v>
      </c>
      <c r="Y1154" s="2">
        <v>1.4296950039400537E-3</v>
      </c>
      <c r="Z1154" s="2">
        <v>1.6729537751538404E-3</v>
      </c>
      <c r="AA1154" s="2">
        <v>1.862476852772631E-3</v>
      </c>
      <c r="AB1154" s="2">
        <v>1.9660515313500108E-3</v>
      </c>
      <c r="AC1154" s="2">
        <v>1.9590408226941363E-3</v>
      </c>
      <c r="AD1154" s="2">
        <v>1.8324907450310611E-3</v>
      </c>
      <c r="AE1154" s="2">
        <v>1.5987494057821726E-3</v>
      </c>
      <c r="AF1154" s="2">
        <v>1.3119562251201909E-3</v>
      </c>
      <c r="AG1154" s="2">
        <v>2.3509165712835598E-4</v>
      </c>
      <c r="AH1154" s="2">
        <v>0</v>
      </c>
      <c r="AI1154" s="2">
        <v>0</v>
      </c>
      <c r="AJ1154" s="2">
        <v>0</v>
      </c>
      <c r="AK1154" s="2">
        <v>0</v>
      </c>
      <c r="AL1154" s="2">
        <v>0</v>
      </c>
      <c r="AM1154" s="2">
        <v>0</v>
      </c>
      <c r="AN1154" s="2">
        <v>0</v>
      </c>
      <c r="AO1154" s="2">
        <v>0</v>
      </c>
      <c r="AP1154" s="2">
        <v>0</v>
      </c>
      <c r="AQ1154" s="2">
        <v>0</v>
      </c>
      <c r="AR1154" s="2">
        <v>1.7589618584701129E-2</v>
      </c>
    </row>
    <row r="1155" spans="1:44" x14ac:dyDescent="0.25">
      <c r="A1155" t="s">
        <v>435</v>
      </c>
      <c r="B1155" t="s">
        <v>473</v>
      </c>
      <c r="C1155" t="s">
        <v>46</v>
      </c>
      <c r="D1155" t="s">
        <v>417</v>
      </c>
      <c r="E1155" t="s">
        <v>134</v>
      </c>
      <c r="F1155" t="s">
        <v>417</v>
      </c>
      <c r="G1155" t="s">
        <v>33</v>
      </c>
      <c r="H1155" t="s">
        <v>451</v>
      </c>
      <c r="I1155" t="s">
        <v>135</v>
      </c>
      <c r="J1155" t="s">
        <v>39</v>
      </c>
      <c r="K1155" t="s">
        <v>33</v>
      </c>
      <c r="L1155">
        <v>3.0101591572287867E-2</v>
      </c>
      <c r="M1155">
        <v>1</v>
      </c>
      <c r="N1155">
        <v>3.1960600759959026</v>
      </c>
      <c r="O1155">
        <v>2.8779545327574696</v>
      </c>
      <c r="P1155">
        <v>-0.57900269369997159</v>
      </c>
      <c r="Q1155">
        <v>0.48774336622694031</v>
      </c>
      <c r="R1155">
        <v>-0.52509153328775182</v>
      </c>
      <c r="S1155" s="2">
        <v>8.7476741233582546E-4</v>
      </c>
      <c r="T1155" s="2">
        <v>1.4119603470451874E-3</v>
      </c>
      <c r="U1155" s="2">
        <v>2.126637911182048E-3</v>
      </c>
      <c r="V1155" s="2">
        <v>3.0223211479514949E-3</v>
      </c>
      <c r="W1155" s="2">
        <v>4.0794953933692476E-3</v>
      </c>
      <c r="X1155" s="2">
        <v>5.2477326816438106E-3</v>
      </c>
      <c r="Y1155" s="2">
        <v>6.4405081145551745E-3</v>
      </c>
      <c r="Z1155" s="2">
        <v>7.536343300116757E-3</v>
      </c>
      <c r="AA1155" s="2">
        <v>8.3901092543485351E-3</v>
      </c>
      <c r="AB1155" s="2">
        <v>8.8566937748243667E-3</v>
      </c>
      <c r="AC1155" s="2">
        <v>8.8251118459077033E-3</v>
      </c>
      <c r="AD1155" s="2">
        <v>8.2550274573909548E-3</v>
      </c>
      <c r="AE1155" s="2">
        <v>7.2020665195750254E-3</v>
      </c>
      <c r="AF1155" s="2">
        <v>5.91011697637719E-3</v>
      </c>
      <c r="AG1155" s="2">
        <v>1.0590438668573875E-3</v>
      </c>
      <c r="AH1155" s="2">
        <v>0</v>
      </c>
      <c r="AI1155" s="2">
        <v>0</v>
      </c>
      <c r="AJ1155" s="2">
        <v>0</v>
      </c>
      <c r="AK1155" s="2">
        <v>0</v>
      </c>
      <c r="AL1155" s="2">
        <v>0</v>
      </c>
      <c r="AM1155" s="2">
        <v>0</v>
      </c>
      <c r="AN1155" s="2">
        <v>0</v>
      </c>
      <c r="AO1155" s="2">
        <v>0</v>
      </c>
      <c r="AP1155" s="2">
        <v>0</v>
      </c>
      <c r="AQ1155" s="2">
        <v>0</v>
      </c>
      <c r="AR1155" s="2">
        <v>7.9237936003480711E-2</v>
      </c>
    </row>
    <row r="1156" spans="1:44" x14ac:dyDescent="0.25">
      <c r="A1156" t="s">
        <v>435</v>
      </c>
      <c r="B1156" t="s">
        <v>473</v>
      </c>
      <c r="C1156" t="s">
        <v>46</v>
      </c>
      <c r="D1156" t="s">
        <v>417</v>
      </c>
      <c r="E1156" t="s">
        <v>134</v>
      </c>
      <c r="F1156" t="s">
        <v>417</v>
      </c>
      <c r="G1156" t="s">
        <v>33</v>
      </c>
      <c r="H1156" t="s">
        <v>452</v>
      </c>
      <c r="I1156" t="s">
        <v>135</v>
      </c>
      <c r="J1156" t="s">
        <v>39</v>
      </c>
      <c r="K1156" t="s">
        <v>31</v>
      </c>
      <c r="L1156">
        <v>3.0101591572287867E-2</v>
      </c>
      <c r="M1156">
        <v>1</v>
      </c>
      <c r="N1156">
        <v>3.1960600759959026</v>
      </c>
      <c r="O1156">
        <v>2.8779545327574696</v>
      </c>
      <c r="P1156">
        <v>-0.57900269369997159</v>
      </c>
      <c r="Q1156">
        <v>0.48774336622694031</v>
      </c>
      <c r="R1156">
        <v>-0.52509153328775182</v>
      </c>
      <c r="S1156" s="2">
        <v>4.3981593445344145E-3</v>
      </c>
      <c r="T1156" s="2">
        <v>7.0990602837920974E-3</v>
      </c>
      <c r="U1156" s="2">
        <v>1.0692319203490999E-2</v>
      </c>
      <c r="V1156" s="2">
        <v>1.5195639219746978E-2</v>
      </c>
      <c r="W1156" s="2">
        <v>2.0510904421350312E-2</v>
      </c>
      <c r="X1156" s="2">
        <v>2.6384572865786812E-2</v>
      </c>
      <c r="Y1156" s="2">
        <v>3.2381614298985791E-2</v>
      </c>
      <c r="Z1156" s="2">
        <v>3.7891259141124692E-2</v>
      </c>
      <c r="AA1156" s="2">
        <v>4.2183827264602396E-2</v>
      </c>
      <c r="AB1156" s="2">
        <v>4.4529722916186253E-2</v>
      </c>
      <c r="AC1156" s="2">
        <v>4.4370935158635549E-2</v>
      </c>
      <c r="AD1156" s="2">
        <v>4.1504662426969624E-2</v>
      </c>
      <c r="AE1156" s="2">
        <v>3.6210580911382767E-2</v>
      </c>
      <c r="AF1156" s="2">
        <v>2.9714911461477485E-2</v>
      </c>
      <c r="AG1156" s="2">
        <v>5.324665292289866E-3</v>
      </c>
      <c r="AH1156" s="2">
        <v>0</v>
      </c>
      <c r="AI1156" s="2">
        <v>0</v>
      </c>
      <c r="AJ1156" s="2">
        <v>0</v>
      </c>
      <c r="AK1156" s="2">
        <v>0</v>
      </c>
      <c r="AL1156" s="2">
        <v>0</v>
      </c>
      <c r="AM1156" s="2">
        <v>0</v>
      </c>
      <c r="AN1156" s="2">
        <v>0</v>
      </c>
      <c r="AO1156" s="2">
        <v>0</v>
      </c>
      <c r="AP1156" s="2">
        <v>0</v>
      </c>
      <c r="AQ1156" s="2">
        <v>0</v>
      </c>
      <c r="AR1156" s="2">
        <v>0.39839283421035609</v>
      </c>
    </row>
    <row r="1157" spans="1:44" x14ac:dyDescent="0.25">
      <c r="A1157" t="s">
        <v>435</v>
      </c>
      <c r="B1157" t="s">
        <v>473</v>
      </c>
      <c r="C1157" t="s">
        <v>46</v>
      </c>
      <c r="D1157" t="s">
        <v>417</v>
      </c>
      <c r="E1157" t="s">
        <v>134</v>
      </c>
      <c r="F1157" t="s">
        <v>417</v>
      </c>
      <c r="G1157" t="s">
        <v>33</v>
      </c>
      <c r="H1157" t="s">
        <v>452</v>
      </c>
      <c r="I1157" t="s">
        <v>135</v>
      </c>
      <c r="J1157" t="s">
        <v>39</v>
      </c>
      <c r="K1157" t="s">
        <v>33</v>
      </c>
      <c r="L1157">
        <v>3.0101591572287867E-2</v>
      </c>
      <c r="M1157">
        <v>1</v>
      </c>
      <c r="N1157">
        <v>3.1960600759959026</v>
      </c>
      <c r="O1157">
        <v>2.8779545327574696</v>
      </c>
      <c r="P1157">
        <v>-0.57900269369997159</v>
      </c>
      <c r="Q1157">
        <v>0.48774336622694031</v>
      </c>
      <c r="R1157">
        <v>-0.52509153328775182</v>
      </c>
      <c r="S1157" s="2">
        <v>8.6972141975714592E-3</v>
      </c>
      <c r="T1157" s="2">
        <v>1.4038156204217354E-2</v>
      </c>
      <c r="U1157" s="2">
        <v>2.114370651375572E-2</v>
      </c>
      <c r="V1157" s="2">
        <v>3.0048872451015632E-2</v>
      </c>
      <c r="W1157" s="2">
        <v>4.0559633056515172E-2</v>
      </c>
      <c r="X1157" s="2">
        <v>5.2174617550031395E-2</v>
      </c>
      <c r="Y1157" s="2">
        <v>6.4033568036001964E-2</v>
      </c>
      <c r="Z1157" s="2">
        <v>7.4928707932234953E-2</v>
      </c>
      <c r="AA1157" s="2">
        <v>8.3417118993090927E-2</v>
      </c>
      <c r="AB1157" s="2">
        <v>8.8056049820445029E-2</v>
      </c>
      <c r="AC1157" s="2">
        <v>8.7742052297575243E-2</v>
      </c>
      <c r="AD1157" s="2">
        <v>8.2074093057550077E-2</v>
      </c>
      <c r="AE1157" s="2">
        <v>7.1605222488392309E-2</v>
      </c>
      <c r="AF1157" s="2">
        <v>5.8760251641064361E-2</v>
      </c>
      <c r="AG1157" s="2">
        <v>1.0529348972989941E-2</v>
      </c>
      <c r="AH1157" s="2">
        <v>0</v>
      </c>
      <c r="AI1157" s="2">
        <v>0</v>
      </c>
      <c r="AJ1157" s="2">
        <v>0</v>
      </c>
      <c r="AK1157" s="2">
        <v>0</v>
      </c>
      <c r="AL1157" s="2">
        <v>0</v>
      </c>
      <c r="AM1157" s="2">
        <v>0</v>
      </c>
      <c r="AN1157" s="2">
        <v>0</v>
      </c>
      <c r="AO1157" s="2">
        <v>0</v>
      </c>
      <c r="AP1157" s="2">
        <v>0</v>
      </c>
      <c r="AQ1157" s="2">
        <v>0</v>
      </c>
      <c r="AR1157" s="2">
        <v>0.78780861321245155</v>
      </c>
    </row>
    <row r="1158" spans="1:44" x14ac:dyDescent="0.25">
      <c r="A1158" t="s">
        <v>435</v>
      </c>
      <c r="B1158" t="s">
        <v>473</v>
      </c>
      <c r="C1158" t="s">
        <v>46</v>
      </c>
      <c r="D1158" t="s">
        <v>417</v>
      </c>
      <c r="E1158" t="s">
        <v>134</v>
      </c>
      <c r="F1158" t="s">
        <v>417</v>
      </c>
      <c r="G1158" t="s">
        <v>33</v>
      </c>
      <c r="H1158" t="s">
        <v>452</v>
      </c>
      <c r="I1158" t="s">
        <v>135</v>
      </c>
      <c r="J1158" t="s">
        <v>40</v>
      </c>
      <c r="K1158" t="s">
        <v>33</v>
      </c>
      <c r="L1158">
        <v>3.0101591572287867E-2</v>
      </c>
      <c r="M1158">
        <v>1</v>
      </c>
      <c r="N1158">
        <v>3.1960600759959026</v>
      </c>
      <c r="O1158">
        <v>1.705415563788492</v>
      </c>
      <c r="P1158">
        <v>-0.57900269369997159</v>
      </c>
      <c r="Q1158">
        <v>1.3498045353129324</v>
      </c>
      <c r="R1158">
        <v>-0.38209153328775192</v>
      </c>
      <c r="S1158" s="2">
        <v>6.3683279449889543E-4</v>
      </c>
      <c r="T1158" s="2">
        <v>1.027910551822452E-3</v>
      </c>
      <c r="U1158" s="2">
        <v>1.5481975491622832E-3</v>
      </c>
      <c r="V1158" s="2">
        <v>2.2002571144981767E-3</v>
      </c>
      <c r="W1158" s="2">
        <v>2.9698825251932748E-3</v>
      </c>
      <c r="X1158" s="2">
        <v>3.820362100036067E-3</v>
      </c>
      <c r="Y1158" s="2">
        <v>4.6887055035955061E-3</v>
      </c>
      <c r="Z1158" s="2">
        <v>5.4864761723358337E-3</v>
      </c>
      <c r="AA1158" s="2">
        <v>6.1080198544782947E-3</v>
      </c>
      <c r="AB1158" s="2">
        <v>6.4476945152559832E-3</v>
      </c>
      <c r="AC1158" s="2">
        <v>6.4247027945265166E-3</v>
      </c>
      <c r="AD1158" s="2">
        <v>6.0096799791819269E-3</v>
      </c>
      <c r="AE1158" s="2">
        <v>5.2431218666238151E-3</v>
      </c>
      <c r="AF1158" s="2">
        <v>4.3025794706178806E-3</v>
      </c>
      <c r="AG1158" s="2">
        <v>7.7098649963062245E-4</v>
      </c>
      <c r="AH1158" s="2">
        <v>0</v>
      </c>
      <c r="AI1158" s="2">
        <v>0</v>
      </c>
      <c r="AJ1158" s="2">
        <v>0</v>
      </c>
      <c r="AK1158" s="2">
        <v>0</v>
      </c>
      <c r="AL1158" s="2">
        <v>0</v>
      </c>
      <c r="AM1158" s="2">
        <v>0</v>
      </c>
      <c r="AN1158" s="2">
        <v>0</v>
      </c>
      <c r="AO1158" s="2">
        <v>0</v>
      </c>
      <c r="AP1158" s="2">
        <v>0</v>
      </c>
      <c r="AQ1158" s="2">
        <v>0</v>
      </c>
      <c r="AR1158" s="2">
        <v>5.7685409291457532E-2</v>
      </c>
    </row>
    <row r="1159" spans="1:44" x14ac:dyDescent="0.25">
      <c r="A1159" t="s">
        <v>435</v>
      </c>
      <c r="B1159" t="s">
        <v>473</v>
      </c>
      <c r="C1159" t="s">
        <v>46</v>
      </c>
      <c r="D1159" t="s">
        <v>417</v>
      </c>
      <c r="E1159" t="s">
        <v>134</v>
      </c>
      <c r="F1159" t="s">
        <v>417</v>
      </c>
      <c r="G1159" t="s">
        <v>33</v>
      </c>
      <c r="H1159" t="s">
        <v>452</v>
      </c>
      <c r="I1159" t="s">
        <v>256</v>
      </c>
      <c r="J1159" t="s">
        <v>40</v>
      </c>
      <c r="K1159" t="s">
        <v>33</v>
      </c>
      <c r="L1159">
        <v>3.0101591572287867E-2</v>
      </c>
      <c r="M1159">
        <v>1</v>
      </c>
      <c r="N1159">
        <v>2.9388016493259146</v>
      </c>
      <c r="O1159">
        <v>1.4737622038640097</v>
      </c>
      <c r="P1159">
        <v>-0.45352660268570494</v>
      </c>
      <c r="Q1159">
        <v>1.3498045353129324</v>
      </c>
      <c r="R1159">
        <v>-0.25661544227348532</v>
      </c>
      <c r="S1159" s="2">
        <v>3.8401733732433491E-3</v>
      </c>
      <c r="T1159" s="2">
        <v>6.1984162330875432E-3</v>
      </c>
      <c r="U1159" s="2">
        <v>9.335805341952946E-3</v>
      </c>
      <c r="V1159" s="2">
        <v>1.3267797855846435E-2</v>
      </c>
      <c r="W1159" s="2">
        <v>1.7908725639486072E-2</v>
      </c>
      <c r="X1159" s="2">
        <v>2.3037213126328709E-2</v>
      </c>
      <c r="Y1159" s="2">
        <v>2.8273421509416682E-2</v>
      </c>
      <c r="Z1159" s="2">
        <v>3.3084068364470351E-2</v>
      </c>
      <c r="AA1159" s="2">
        <v>3.6832046670690011E-2</v>
      </c>
      <c r="AB1159" s="2">
        <v>3.8880323077231459E-2</v>
      </c>
      <c r="AC1159" s="2">
        <v>3.8741680415432266E-2</v>
      </c>
      <c r="AD1159" s="2">
        <v>3.6239046162702127E-2</v>
      </c>
      <c r="AE1159" s="2">
        <v>3.1616614531797101E-2</v>
      </c>
      <c r="AF1159" s="2">
        <v>2.5945038104282021E-2</v>
      </c>
      <c r="AG1159" s="2">
        <v>4.6491353029978243E-3</v>
      </c>
      <c r="AH1159" s="2">
        <v>0</v>
      </c>
      <c r="AI1159" s="2">
        <v>0</v>
      </c>
      <c r="AJ1159" s="2">
        <v>0</v>
      </c>
      <c r="AK1159" s="2">
        <v>0</v>
      </c>
      <c r="AL1159" s="2">
        <v>0</v>
      </c>
      <c r="AM1159" s="2">
        <v>0</v>
      </c>
      <c r="AN1159" s="2">
        <v>0</v>
      </c>
      <c r="AO1159" s="2">
        <v>0</v>
      </c>
      <c r="AP1159" s="2">
        <v>0</v>
      </c>
      <c r="AQ1159" s="2">
        <v>0</v>
      </c>
      <c r="AR1159" s="2">
        <v>0.34784950570896495</v>
      </c>
    </row>
    <row r="1160" spans="1:44" x14ac:dyDescent="0.25">
      <c r="A1160" t="s">
        <v>435</v>
      </c>
      <c r="B1160" t="s">
        <v>473</v>
      </c>
      <c r="C1160" t="s">
        <v>46</v>
      </c>
      <c r="D1160" t="s">
        <v>417</v>
      </c>
      <c r="E1160" t="s">
        <v>134</v>
      </c>
      <c r="F1160" t="s">
        <v>417</v>
      </c>
      <c r="G1160" t="s">
        <v>33</v>
      </c>
      <c r="H1160" t="s">
        <v>453</v>
      </c>
      <c r="I1160" t="s">
        <v>135</v>
      </c>
      <c r="J1160" t="s">
        <v>39</v>
      </c>
      <c r="K1160" t="s">
        <v>31</v>
      </c>
      <c r="L1160">
        <v>3.0101591572287867E-2</v>
      </c>
      <c r="M1160">
        <v>1</v>
      </c>
      <c r="N1160">
        <v>3.1960600759959026</v>
      </c>
      <c r="O1160">
        <v>2.8779545327574696</v>
      </c>
      <c r="P1160">
        <v>-0.57900269369997159</v>
      </c>
      <c r="Q1160">
        <v>0.48774336622694031</v>
      </c>
      <c r="R1160">
        <v>-0.52509153328775182</v>
      </c>
      <c r="S1160" s="2">
        <v>1.345088539437796E-3</v>
      </c>
      <c r="T1160" s="2">
        <v>2.1711047464374237E-3</v>
      </c>
      <c r="U1160" s="2">
        <v>3.2700306864732031E-3</v>
      </c>
      <c r="V1160" s="2">
        <v>4.6472805014018551E-3</v>
      </c>
      <c r="W1160" s="2">
        <v>6.272847413986286E-3</v>
      </c>
      <c r="X1160" s="2">
        <v>8.0691907226676848E-3</v>
      </c>
      <c r="Y1160" s="2">
        <v>9.903265177553874E-3</v>
      </c>
      <c r="Z1160" s="2">
        <v>1.158827919205137E-2</v>
      </c>
      <c r="AA1160" s="2">
        <v>1.290107478114731E-2</v>
      </c>
      <c r="AB1160" s="2">
        <v>1.3618519764031719E-2</v>
      </c>
      <c r="AC1160" s="2">
        <v>1.3569957723379442E-2</v>
      </c>
      <c r="AD1160" s="2">
        <v>1.2693365881144805E-2</v>
      </c>
      <c r="AE1160" s="2">
        <v>1.1074277572688083E-2</v>
      </c>
      <c r="AF1160" s="2">
        <v>9.0877077718686597E-3</v>
      </c>
      <c r="AG1160" s="2">
        <v>1.6284417411801524E-3</v>
      </c>
      <c r="AH1160" s="2">
        <v>0</v>
      </c>
      <c r="AI1160" s="2">
        <v>0</v>
      </c>
      <c r="AJ1160" s="2">
        <v>0</v>
      </c>
      <c r="AK1160" s="2">
        <v>0</v>
      </c>
      <c r="AL1160" s="2">
        <v>0</v>
      </c>
      <c r="AM1160" s="2">
        <v>0</v>
      </c>
      <c r="AN1160" s="2">
        <v>0</v>
      </c>
      <c r="AO1160" s="2">
        <v>0</v>
      </c>
      <c r="AP1160" s="2">
        <v>0</v>
      </c>
      <c r="AQ1160" s="2">
        <v>0</v>
      </c>
      <c r="AR1160" s="2">
        <v>0.12184043221544966</v>
      </c>
    </row>
    <row r="1161" spans="1:44" x14ac:dyDescent="0.25">
      <c r="A1161" t="s">
        <v>435</v>
      </c>
      <c r="B1161" t="s">
        <v>473</v>
      </c>
      <c r="C1161" t="s">
        <v>46</v>
      </c>
      <c r="D1161" t="s">
        <v>417</v>
      </c>
      <c r="E1161" t="s">
        <v>134</v>
      </c>
      <c r="F1161" t="s">
        <v>417</v>
      </c>
      <c r="G1161" t="s">
        <v>33</v>
      </c>
      <c r="H1161" t="s">
        <v>453</v>
      </c>
      <c r="I1161" t="s">
        <v>135</v>
      </c>
      <c r="J1161" t="s">
        <v>39</v>
      </c>
      <c r="K1161" t="s">
        <v>33</v>
      </c>
      <c r="L1161">
        <v>3.0101591572287867E-2</v>
      </c>
      <c r="M1161">
        <v>1</v>
      </c>
      <c r="N1161">
        <v>3.1960600759959026</v>
      </c>
      <c r="O1161">
        <v>2.8779545327574696</v>
      </c>
      <c r="P1161">
        <v>-0.57900269369997159</v>
      </c>
      <c r="Q1161">
        <v>0.48774336622694031</v>
      </c>
      <c r="R1161">
        <v>-0.52509153328775182</v>
      </c>
      <c r="S1161" s="2">
        <v>1.2238744381146199E-3</v>
      </c>
      <c r="T1161" s="2">
        <v>1.9754533056572576E-3</v>
      </c>
      <c r="U1161" s="2">
        <v>2.9753483519365269E-3</v>
      </c>
      <c r="V1161" s="2">
        <v>4.2284858175890023E-3</v>
      </c>
      <c r="W1161" s="2">
        <v>5.7075630184017668E-3</v>
      </c>
      <c r="X1161" s="2">
        <v>7.3420269165867221E-3</v>
      </c>
      <c r="Y1161" s="2">
        <v>9.0108217781297486E-3</v>
      </c>
      <c r="Z1161" s="2">
        <v>1.0543988941289384E-2</v>
      </c>
      <c r="AA1161" s="2">
        <v>1.1738480543036056E-2</v>
      </c>
      <c r="AB1161" s="2">
        <v>1.2391272199169572E-2</v>
      </c>
      <c r="AC1161" s="2">
        <v>1.234708637907341E-2</v>
      </c>
      <c r="AD1161" s="2">
        <v>1.1549489554094747E-2</v>
      </c>
      <c r="AE1161" s="2">
        <v>1.0076307131026412E-2</v>
      </c>
      <c r="AF1161" s="2">
        <v>8.2687592057652561E-3</v>
      </c>
      <c r="AG1161" s="2">
        <v>1.4816929611356706E-3</v>
      </c>
      <c r="AH1161" s="2">
        <v>0</v>
      </c>
      <c r="AI1161" s="2">
        <v>0</v>
      </c>
      <c r="AJ1161" s="2">
        <v>0</v>
      </c>
      <c r="AK1161" s="2">
        <v>0</v>
      </c>
      <c r="AL1161" s="2">
        <v>0</v>
      </c>
      <c r="AM1161" s="2">
        <v>0</v>
      </c>
      <c r="AN1161" s="2">
        <v>0</v>
      </c>
      <c r="AO1161" s="2">
        <v>0</v>
      </c>
      <c r="AP1161" s="2">
        <v>0</v>
      </c>
      <c r="AQ1161" s="2">
        <v>0</v>
      </c>
      <c r="AR1161" s="2">
        <v>0.11086065054100613</v>
      </c>
    </row>
    <row r="1162" spans="1:44" x14ac:dyDescent="0.25">
      <c r="A1162" t="s">
        <v>435</v>
      </c>
      <c r="B1162" t="s">
        <v>473</v>
      </c>
      <c r="C1162" t="s">
        <v>46</v>
      </c>
      <c r="D1162" t="s">
        <v>417</v>
      </c>
      <c r="E1162" t="s">
        <v>134</v>
      </c>
      <c r="F1162" t="s">
        <v>417</v>
      </c>
      <c r="G1162" t="s">
        <v>33</v>
      </c>
      <c r="H1162" t="s">
        <v>453</v>
      </c>
      <c r="I1162" t="s">
        <v>135</v>
      </c>
      <c r="J1162" t="s">
        <v>40</v>
      </c>
      <c r="K1162" t="s">
        <v>33</v>
      </c>
      <c r="L1162">
        <v>3.0101591572287867E-2</v>
      </c>
      <c r="M1162">
        <v>1</v>
      </c>
      <c r="N1162">
        <v>3.1960600759959026</v>
      </c>
      <c r="O1162">
        <v>1.705415563788492</v>
      </c>
      <c r="P1162">
        <v>-0.57900269369997159</v>
      </c>
      <c r="Q1162">
        <v>1.3498045353129324</v>
      </c>
      <c r="R1162">
        <v>-0.38209153328775192</v>
      </c>
      <c r="S1162" s="2">
        <v>2.4923733345476377E-2</v>
      </c>
      <c r="T1162" s="2">
        <v>4.0229348610703028E-2</v>
      </c>
      <c r="U1162" s="2">
        <v>6.0591827579802394E-2</v>
      </c>
      <c r="V1162" s="2">
        <v>8.6111491253195768E-2</v>
      </c>
      <c r="W1162" s="2">
        <v>0.11623233094261699</v>
      </c>
      <c r="X1162" s="2">
        <v>0.14951756110391115</v>
      </c>
      <c r="Y1162" s="2">
        <v>0.18350192816159153</v>
      </c>
      <c r="Z1162" s="2">
        <v>0.21472428918050229</v>
      </c>
      <c r="AA1162" s="2">
        <v>0.23904965233720621</v>
      </c>
      <c r="AB1162" s="2">
        <v>0.25234350394561755</v>
      </c>
      <c r="AC1162" s="2">
        <v>0.25144367667295675</v>
      </c>
      <c r="AD1162" s="2">
        <v>0.23520092336111337</v>
      </c>
      <c r="AE1162" s="2">
        <v>0.20520012855869807</v>
      </c>
      <c r="AF1162" s="2">
        <v>0.16839010859637338</v>
      </c>
      <c r="AG1162" s="2">
        <v>3.0174108644759293E-2</v>
      </c>
      <c r="AH1162" s="2">
        <v>0</v>
      </c>
      <c r="AI1162" s="2">
        <v>0</v>
      </c>
      <c r="AJ1162" s="2">
        <v>0</v>
      </c>
      <c r="AK1162" s="2">
        <v>0</v>
      </c>
      <c r="AL1162" s="2">
        <v>0</v>
      </c>
      <c r="AM1162" s="2">
        <v>0</v>
      </c>
      <c r="AN1162" s="2">
        <v>0</v>
      </c>
      <c r="AO1162" s="2">
        <v>0</v>
      </c>
      <c r="AP1162" s="2">
        <v>0</v>
      </c>
      <c r="AQ1162" s="2">
        <v>0</v>
      </c>
      <c r="AR1162" s="2">
        <v>2.2576346122945239</v>
      </c>
    </row>
    <row r="1163" spans="1:44" x14ac:dyDescent="0.25">
      <c r="A1163" t="s">
        <v>435</v>
      </c>
      <c r="B1163" t="s">
        <v>473</v>
      </c>
      <c r="C1163" t="s">
        <v>46</v>
      </c>
      <c r="D1163" t="s">
        <v>417</v>
      </c>
      <c r="E1163" t="s">
        <v>134</v>
      </c>
      <c r="F1163" t="s">
        <v>417</v>
      </c>
      <c r="G1163" t="s">
        <v>33</v>
      </c>
      <c r="H1163" t="s">
        <v>453</v>
      </c>
      <c r="I1163" t="s">
        <v>256</v>
      </c>
      <c r="J1163" t="s">
        <v>40</v>
      </c>
      <c r="K1163" t="s">
        <v>33</v>
      </c>
      <c r="L1163">
        <v>3.0101591572287867E-2</v>
      </c>
      <c r="M1163">
        <v>1</v>
      </c>
      <c r="N1163">
        <v>2.9388016493259146</v>
      </c>
      <c r="O1163">
        <v>1.4737622038640097</v>
      </c>
      <c r="P1163">
        <v>-0.45352660268570494</v>
      </c>
      <c r="Q1163">
        <v>1.3498045353129324</v>
      </c>
      <c r="R1163">
        <v>-0.25661544227348532</v>
      </c>
      <c r="S1163" s="2">
        <v>1.2830669164623051E-2</v>
      </c>
      <c r="T1163" s="2">
        <v>2.0709957676782104E-2</v>
      </c>
      <c r="U1163" s="2">
        <v>3.1192505672406834E-2</v>
      </c>
      <c r="V1163" s="2">
        <v>4.4329958125740351E-2</v>
      </c>
      <c r="W1163" s="2">
        <v>5.9836083298025387E-2</v>
      </c>
      <c r="X1163" s="2">
        <v>7.697122795505211E-2</v>
      </c>
      <c r="Y1163" s="2">
        <v>9.446628635750258E-2</v>
      </c>
      <c r="Z1163" s="2">
        <v>0.11053947167124194</v>
      </c>
      <c r="AA1163" s="2">
        <v>0.12306210151351737</v>
      </c>
      <c r="AB1163" s="2">
        <v>0.12990573964536559</v>
      </c>
      <c r="AC1163" s="2">
        <v>0.12944251104791668</v>
      </c>
      <c r="AD1163" s="2">
        <v>0.12108078645481218</v>
      </c>
      <c r="AE1163" s="2">
        <v>0.10563646005916819</v>
      </c>
      <c r="AF1163" s="2">
        <v>8.66867633370485E-2</v>
      </c>
      <c r="AG1163" s="2">
        <v>1.5533547883530221E-2</v>
      </c>
      <c r="AH1163" s="2">
        <v>0</v>
      </c>
      <c r="AI1163" s="2">
        <v>0</v>
      </c>
      <c r="AJ1163" s="2">
        <v>0</v>
      </c>
      <c r="AK1163" s="2">
        <v>0</v>
      </c>
      <c r="AL1163" s="2">
        <v>0</v>
      </c>
      <c r="AM1163" s="2">
        <v>0</v>
      </c>
      <c r="AN1163" s="2">
        <v>0</v>
      </c>
      <c r="AO1163" s="2">
        <v>0</v>
      </c>
      <c r="AP1163" s="2">
        <v>0</v>
      </c>
      <c r="AQ1163" s="2">
        <v>0</v>
      </c>
      <c r="AR1163" s="2">
        <v>1.1622240698627333</v>
      </c>
    </row>
    <row r="1164" spans="1:44" x14ac:dyDescent="0.25">
      <c r="A1164" t="s">
        <v>435</v>
      </c>
      <c r="B1164" t="s">
        <v>473</v>
      </c>
      <c r="C1164" t="s">
        <v>46</v>
      </c>
      <c r="D1164" t="s">
        <v>417</v>
      </c>
      <c r="E1164" t="s">
        <v>134</v>
      </c>
      <c r="F1164" t="s">
        <v>417</v>
      </c>
      <c r="G1164" t="s">
        <v>33</v>
      </c>
      <c r="H1164" t="s">
        <v>454</v>
      </c>
      <c r="I1164" t="s">
        <v>135</v>
      </c>
      <c r="J1164" t="s">
        <v>39</v>
      </c>
      <c r="K1164" t="s">
        <v>31</v>
      </c>
      <c r="L1164">
        <v>3.0101591572287867E-2</v>
      </c>
      <c r="M1164">
        <v>1</v>
      </c>
      <c r="N1164">
        <v>3.1960600759959026</v>
      </c>
      <c r="O1164">
        <v>2.8779545327574696</v>
      </c>
      <c r="P1164">
        <v>-0.57900269369997159</v>
      </c>
      <c r="Q1164">
        <v>0.48774336622694031</v>
      </c>
      <c r="R1164">
        <v>-0.52509153328775182</v>
      </c>
      <c r="S1164" s="2">
        <v>7.4066100748601538E-5</v>
      </c>
      <c r="T1164" s="2">
        <v>1.1954994646866346E-4</v>
      </c>
      <c r="U1164" s="2">
        <v>1.8006132323198149E-4</v>
      </c>
      <c r="V1164" s="2">
        <v>2.5589835593105889E-4</v>
      </c>
      <c r="W1164" s="2">
        <v>3.4540874814018041E-4</v>
      </c>
      <c r="X1164" s="2">
        <v>4.4432279028604741E-4</v>
      </c>
      <c r="Y1164" s="2">
        <v>5.4531446434552219E-4</v>
      </c>
      <c r="Z1164" s="2">
        <v>6.3809825820101084E-4</v>
      </c>
      <c r="AA1164" s="2">
        <v>7.103861764409064E-4</v>
      </c>
      <c r="AB1164" s="2">
        <v>7.49891644539018E-4</v>
      </c>
      <c r="AC1164" s="2">
        <v>7.4721761908266187E-4</v>
      </c>
      <c r="AD1164" s="2">
        <v>6.9894887111645763E-4</v>
      </c>
      <c r="AE1164" s="2">
        <v>6.0979521746540451E-4</v>
      </c>
      <c r="AF1164" s="2">
        <v>5.0040652319170297E-4</v>
      </c>
      <c r="AG1164" s="2">
        <v>8.9668692081702788E-5</v>
      </c>
      <c r="AH1164" s="2">
        <v>0</v>
      </c>
      <c r="AI1164" s="2">
        <v>0</v>
      </c>
      <c r="AJ1164" s="2">
        <v>0</v>
      </c>
      <c r="AK1164" s="2">
        <v>0</v>
      </c>
      <c r="AL1164" s="2">
        <v>0</v>
      </c>
      <c r="AM1164" s="2">
        <v>0</v>
      </c>
      <c r="AN1164" s="2">
        <v>0</v>
      </c>
      <c r="AO1164" s="2">
        <v>0</v>
      </c>
      <c r="AP1164" s="2">
        <v>0</v>
      </c>
      <c r="AQ1164" s="2">
        <v>0</v>
      </c>
      <c r="AR1164" s="2">
        <v>6.7090347312709206E-3</v>
      </c>
    </row>
    <row r="1165" spans="1:44" x14ac:dyDescent="0.25">
      <c r="A1165" t="s">
        <v>435</v>
      </c>
      <c r="B1165" t="s">
        <v>473</v>
      </c>
      <c r="C1165" t="s">
        <v>46</v>
      </c>
      <c r="D1165" t="s">
        <v>417</v>
      </c>
      <c r="E1165" t="s">
        <v>134</v>
      </c>
      <c r="F1165" t="s">
        <v>417</v>
      </c>
      <c r="G1165" t="s">
        <v>33</v>
      </c>
      <c r="H1165" t="s">
        <v>454</v>
      </c>
      <c r="I1165" t="s">
        <v>135</v>
      </c>
      <c r="J1165" t="s">
        <v>39</v>
      </c>
      <c r="K1165" t="s">
        <v>33</v>
      </c>
      <c r="L1165">
        <v>3.0101591572287867E-2</v>
      </c>
      <c r="M1165">
        <v>1</v>
      </c>
      <c r="N1165">
        <v>3.1960600759959026</v>
      </c>
      <c r="O1165">
        <v>2.8779545327574696</v>
      </c>
      <c r="P1165">
        <v>-0.57900269369997159</v>
      </c>
      <c r="Q1165">
        <v>0.48774336622694031</v>
      </c>
      <c r="R1165">
        <v>-0.52509153328775182</v>
      </c>
      <c r="S1165" s="2">
        <v>5.9438076844705234E-4</v>
      </c>
      <c r="T1165" s="2">
        <v>9.5938882068379765E-4</v>
      </c>
      <c r="U1165" s="2">
        <v>1.4449928724273907E-3</v>
      </c>
      <c r="V1165" s="2">
        <v>2.0535853771877139E-3</v>
      </c>
      <c r="W1165" s="2">
        <v>2.7719066492341462E-3</v>
      </c>
      <c r="X1165" s="2">
        <v>3.5656922513737951E-3</v>
      </c>
      <c r="Y1165" s="2">
        <v>4.3761508583142761E-3</v>
      </c>
      <c r="Z1165" s="2">
        <v>5.1207411922707929E-3</v>
      </c>
      <c r="AA1165" s="2">
        <v>5.7008520386444368E-3</v>
      </c>
      <c r="AB1165" s="2">
        <v>6.0178835854477085E-3</v>
      </c>
      <c r="AC1165" s="2">
        <v>5.9964245199706327E-3</v>
      </c>
      <c r="AD1165" s="2">
        <v>5.6090676155547995E-3</v>
      </c>
      <c r="AE1165" s="2">
        <v>4.8936091719296842E-3</v>
      </c>
      <c r="AF1165" s="2">
        <v>4.015764442631577E-3</v>
      </c>
      <c r="AG1165" s="2">
        <v>7.1959162918631991E-4</v>
      </c>
      <c r="AH1165" s="2">
        <v>0</v>
      </c>
      <c r="AI1165" s="2">
        <v>0</v>
      </c>
      <c r="AJ1165" s="2">
        <v>0</v>
      </c>
      <c r="AK1165" s="2">
        <v>0</v>
      </c>
      <c r="AL1165" s="2">
        <v>0</v>
      </c>
      <c r="AM1165" s="2">
        <v>0</v>
      </c>
      <c r="AN1165" s="2">
        <v>0</v>
      </c>
      <c r="AO1165" s="2">
        <v>0</v>
      </c>
      <c r="AP1165" s="2">
        <v>0</v>
      </c>
      <c r="AQ1165" s="2">
        <v>0</v>
      </c>
      <c r="AR1165" s="2">
        <v>5.3840031793304113E-2</v>
      </c>
    </row>
    <row r="1166" spans="1:44" x14ac:dyDescent="0.25">
      <c r="A1166" t="s">
        <v>435</v>
      </c>
      <c r="B1166" t="s">
        <v>473</v>
      </c>
      <c r="C1166" t="s">
        <v>46</v>
      </c>
      <c r="D1166" t="s">
        <v>417</v>
      </c>
      <c r="E1166" t="s">
        <v>134</v>
      </c>
      <c r="F1166" t="s">
        <v>417</v>
      </c>
      <c r="G1166" t="s">
        <v>33</v>
      </c>
      <c r="H1166" t="s">
        <v>455</v>
      </c>
      <c r="I1166" t="s">
        <v>135</v>
      </c>
      <c r="J1166" t="s">
        <v>39</v>
      </c>
      <c r="K1166" t="s">
        <v>31</v>
      </c>
      <c r="L1166">
        <v>3.0101591572287867E-2</v>
      </c>
      <c r="M1166">
        <v>1</v>
      </c>
      <c r="N1166">
        <v>3.1960600759959026</v>
      </c>
      <c r="O1166">
        <v>2.8779545327574696</v>
      </c>
      <c r="P1166">
        <v>-0.57900269369997159</v>
      </c>
      <c r="Q1166">
        <v>0.48774336622694031</v>
      </c>
      <c r="R1166">
        <v>-0.52509153328775182</v>
      </c>
      <c r="S1166" s="2">
        <v>1.7451071171686853E-5</v>
      </c>
      <c r="T1166" s="2">
        <v>2.8167739401826031E-5</v>
      </c>
      <c r="U1166" s="2">
        <v>4.2425116689415435E-5</v>
      </c>
      <c r="V1166" s="2">
        <v>6.0293445678047026E-5</v>
      </c>
      <c r="W1166" s="2">
        <v>8.138342083886952E-5</v>
      </c>
      <c r="X1166" s="2">
        <v>1.0468903530918913E-4</v>
      </c>
      <c r="Y1166" s="2">
        <v>1.2848417065378835E-4</v>
      </c>
      <c r="Z1166" s="2">
        <v>1.5034540776207275E-4</v>
      </c>
      <c r="AA1166" s="2">
        <v>1.6737751277782532E-4</v>
      </c>
      <c r="AB1166" s="2">
        <v>1.7668558662649444E-4</v>
      </c>
      <c r="AC1166" s="2">
        <v>1.7605554659357622E-4</v>
      </c>
      <c r="AD1166" s="2">
        <v>1.6468271411538822E-4</v>
      </c>
      <c r="AE1166" s="2">
        <v>1.4367679184655824E-4</v>
      </c>
      <c r="AF1166" s="2">
        <v>1.179031940757278E-4</v>
      </c>
      <c r="AG1166" s="2">
        <v>2.1127272957182471E-5</v>
      </c>
      <c r="AH1166" s="2">
        <v>0</v>
      </c>
      <c r="AI1166" s="2">
        <v>0</v>
      </c>
      <c r="AJ1166" s="2">
        <v>0</v>
      </c>
      <c r="AK1166" s="2">
        <v>0</v>
      </c>
      <c r="AL1166" s="2">
        <v>0</v>
      </c>
      <c r="AM1166" s="2">
        <v>0</v>
      </c>
      <c r="AN1166" s="2">
        <v>0</v>
      </c>
      <c r="AO1166" s="2">
        <v>0</v>
      </c>
      <c r="AP1166" s="2">
        <v>0</v>
      </c>
      <c r="AQ1166" s="2">
        <v>0</v>
      </c>
      <c r="AR1166" s="2">
        <v>1.5807480264976479E-3</v>
      </c>
    </row>
    <row r="1167" spans="1:44" x14ac:dyDescent="0.25">
      <c r="A1167" t="s">
        <v>435</v>
      </c>
      <c r="B1167" t="s">
        <v>473</v>
      </c>
      <c r="C1167" t="s">
        <v>46</v>
      </c>
      <c r="D1167" t="s">
        <v>417</v>
      </c>
      <c r="E1167" t="s">
        <v>134</v>
      </c>
      <c r="F1167" t="s">
        <v>417</v>
      </c>
      <c r="G1167" t="s">
        <v>33</v>
      </c>
      <c r="H1167" t="s">
        <v>455</v>
      </c>
      <c r="I1167" t="s">
        <v>135</v>
      </c>
      <c r="J1167" t="s">
        <v>39</v>
      </c>
      <c r="K1167" t="s">
        <v>33</v>
      </c>
      <c r="L1167">
        <v>3.0101591572287867E-2</v>
      </c>
      <c r="M1167">
        <v>1</v>
      </c>
      <c r="N1167">
        <v>3.1960600759959026</v>
      </c>
      <c r="O1167">
        <v>2.8779545327574696</v>
      </c>
      <c r="P1167">
        <v>-0.57900269369997159</v>
      </c>
      <c r="Q1167">
        <v>0.48774336622694031</v>
      </c>
      <c r="R1167">
        <v>-0.52509153328775182</v>
      </c>
      <c r="S1167" s="2">
        <v>4.4370706284314724E-4</v>
      </c>
      <c r="T1167" s="2">
        <v>7.1618669100341069E-4</v>
      </c>
      <c r="U1167" s="2">
        <v>1.0786916018988837E-3</v>
      </c>
      <c r="V1167" s="2">
        <v>1.5330077693971802E-3</v>
      </c>
      <c r="W1167" s="2">
        <v>2.0692367975170029E-3</v>
      </c>
      <c r="X1167" s="2">
        <v>2.6618001790220647E-3</v>
      </c>
      <c r="Y1167" s="2">
        <v>3.2668100096413465E-3</v>
      </c>
      <c r="Z1167" s="2">
        <v>3.822648972877713E-3</v>
      </c>
      <c r="AA1167" s="2">
        <v>4.2557034952176807E-3</v>
      </c>
      <c r="AB1167" s="2">
        <v>4.4923685152320854E-3</v>
      </c>
      <c r="AC1167" s="2">
        <v>4.4763492571745474E-3</v>
      </c>
      <c r="AD1167" s="2">
        <v>4.1871861424603585E-3</v>
      </c>
      <c r="AE1167" s="2">
        <v>3.6530942245191931E-3</v>
      </c>
      <c r="AF1167" s="2">
        <v>2.9977804473139379E-3</v>
      </c>
      <c r="AG1167" s="2">
        <v>5.3717735361288443E-4</v>
      </c>
      <c r="AH1167" s="2">
        <v>0</v>
      </c>
      <c r="AI1167" s="2">
        <v>0</v>
      </c>
      <c r="AJ1167" s="2">
        <v>0</v>
      </c>
      <c r="AK1167" s="2">
        <v>0</v>
      </c>
      <c r="AL1167" s="2">
        <v>0</v>
      </c>
      <c r="AM1167" s="2">
        <v>0</v>
      </c>
      <c r="AN1167" s="2">
        <v>0</v>
      </c>
      <c r="AO1167" s="2">
        <v>0</v>
      </c>
      <c r="AP1167" s="2">
        <v>0</v>
      </c>
      <c r="AQ1167" s="2">
        <v>0</v>
      </c>
      <c r="AR1167" s="2">
        <v>4.0191748519731438E-2</v>
      </c>
    </row>
    <row r="1168" spans="1:44" x14ac:dyDescent="0.25">
      <c r="A1168" t="s">
        <v>435</v>
      </c>
      <c r="B1168" t="s">
        <v>473</v>
      </c>
      <c r="C1168" t="s">
        <v>46</v>
      </c>
      <c r="D1168" t="s">
        <v>417</v>
      </c>
      <c r="E1168" t="s">
        <v>134</v>
      </c>
      <c r="F1168" t="s">
        <v>417</v>
      </c>
      <c r="G1168" t="s">
        <v>33</v>
      </c>
      <c r="H1168" t="s">
        <v>456</v>
      </c>
      <c r="I1168" t="s">
        <v>135</v>
      </c>
      <c r="J1168" t="s">
        <v>39</v>
      </c>
      <c r="K1168" t="s">
        <v>31</v>
      </c>
      <c r="L1168">
        <v>3.0101591572287867E-2</v>
      </c>
      <c r="M1168">
        <v>1</v>
      </c>
      <c r="N1168">
        <v>3.1960600759959026</v>
      </c>
      <c r="O1168">
        <v>2.8779545327574696</v>
      </c>
      <c r="P1168">
        <v>-0.57900269369997159</v>
      </c>
      <c r="Q1168">
        <v>0.48774336622694031</v>
      </c>
      <c r="R1168">
        <v>-0.52509153328775182</v>
      </c>
      <c r="S1168" s="2">
        <v>3.1455969039665831E-3</v>
      </c>
      <c r="T1168" s="2">
        <v>5.0773017302156147E-3</v>
      </c>
      <c r="U1168" s="2">
        <v>7.6472277486990788E-3</v>
      </c>
      <c r="V1168" s="2">
        <v>1.086803636226356E-2</v>
      </c>
      <c r="W1168" s="2">
        <v>1.4669554327432848E-2</v>
      </c>
      <c r="X1168" s="2">
        <v>1.8870446524916786E-2</v>
      </c>
      <c r="Y1168" s="2">
        <v>2.3159576019206849E-2</v>
      </c>
      <c r="Z1168" s="2">
        <v>2.7100115776804524E-2</v>
      </c>
      <c r="AA1168" s="2">
        <v>3.0170193039024889E-2</v>
      </c>
      <c r="AB1168" s="2">
        <v>3.1847995392370952E-2</v>
      </c>
      <c r="AC1168" s="2">
        <v>3.1734429184461725E-2</v>
      </c>
      <c r="AD1168" s="2">
        <v>2.9684449198662331E-2</v>
      </c>
      <c r="AE1168" s="2">
        <v>2.5898081966317408E-2</v>
      </c>
      <c r="AF1168" s="2">
        <v>2.1252329934571636E-2</v>
      </c>
      <c r="AG1168" s="2">
        <v>3.808240981286778E-3</v>
      </c>
      <c r="AH1168" s="2">
        <v>0</v>
      </c>
      <c r="AI1168" s="2">
        <v>0</v>
      </c>
      <c r="AJ1168" s="2">
        <v>0</v>
      </c>
      <c r="AK1168" s="2">
        <v>0</v>
      </c>
      <c r="AL1168" s="2">
        <v>0</v>
      </c>
      <c r="AM1168" s="2">
        <v>0</v>
      </c>
      <c r="AN1168" s="2">
        <v>0</v>
      </c>
      <c r="AO1168" s="2">
        <v>0</v>
      </c>
      <c r="AP1168" s="2">
        <v>0</v>
      </c>
      <c r="AQ1168" s="2">
        <v>0</v>
      </c>
      <c r="AR1168" s="2">
        <v>0.28493357509020156</v>
      </c>
    </row>
    <row r="1169" spans="1:44" x14ac:dyDescent="0.25">
      <c r="A1169" t="s">
        <v>435</v>
      </c>
      <c r="B1169" t="s">
        <v>473</v>
      </c>
      <c r="C1169" t="s">
        <v>46</v>
      </c>
      <c r="D1169" t="s">
        <v>417</v>
      </c>
      <c r="E1169" t="s">
        <v>134</v>
      </c>
      <c r="F1169" t="s">
        <v>417</v>
      </c>
      <c r="G1169" t="s">
        <v>33</v>
      </c>
      <c r="H1169" t="s">
        <v>456</v>
      </c>
      <c r="I1169" t="s">
        <v>135</v>
      </c>
      <c r="J1169" t="s">
        <v>39</v>
      </c>
      <c r="K1169" t="s">
        <v>33</v>
      </c>
      <c r="L1169">
        <v>3.0101591572287867E-2</v>
      </c>
      <c r="M1169">
        <v>1</v>
      </c>
      <c r="N1169">
        <v>3.1960600759959026</v>
      </c>
      <c r="O1169">
        <v>2.8779545327574696</v>
      </c>
      <c r="P1169">
        <v>-0.57900269369997159</v>
      </c>
      <c r="Q1169">
        <v>0.48774336622694031</v>
      </c>
      <c r="R1169">
        <v>-0.52509153328775182</v>
      </c>
      <c r="S1169" s="2">
        <v>2.9043287606860071E-3</v>
      </c>
      <c r="T1169" s="2">
        <v>4.6878712981791174E-3</v>
      </c>
      <c r="U1169" s="2">
        <v>7.0606832878224333E-3</v>
      </c>
      <c r="V1169" s="2">
        <v>1.0034454999399601E-2</v>
      </c>
      <c r="W1169" s="2">
        <v>1.354439549641091E-2</v>
      </c>
      <c r="X1169" s="2">
        <v>1.7423078112835458E-2</v>
      </c>
      <c r="Y1169" s="2">
        <v>2.1383230201256254E-2</v>
      </c>
      <c r="Z1169" s="2">
        <v>2.5021529481175423E-2</v>
      </c>
      <c r="AA1169" s="2">
        <v>2.7856130977301986E-2</v>
      </c>
      <c r="AB1169" s="2">
        <v>2.9405245431040471E-2</v>
      </c>
      <c r="AC1169" s="2">
        <v>2.9300389782353609E-2</v>
      </c>
      <c r="AD1169" s="2">
        <v>2.7407643822411898E-2</v>
      </c>
      <c r="AE1169" s="2">
        <v>2.3911691992871548E-2</v>
      </c>
      <c r="AF1169" s="2">
        <v>1.962227041320241E-2</v>
      </c>
      <c r="AG1169" s="2">
        <v>3.5161478559529412E-3</v>
      </c>
      <c r="AH1169" s="2">
        <v>0</v>
      </c>
      <c r="AI1169" s="2">
        <v>0</v>
      </c>
      <c r="AJ1169" s="2">
        <v>0</v>
      </c>
      <c r="AK1169" s="2">
        <v>0</v>
      </c>
      <c r="AL1169" s="2">
        <v>0</v>
      </c>
      <c r="AM1169" s="2">
        <v>0</v>
      </c>
      <c r="AN1169" s="2">
        <v>0</v>
      </c>
      <c r="AO1169" s="2">
        <v>0</v>
      </c>
      <c r="AP1169" s="2">
        <v>0</v>
      </c>
      <c r="AQ1169" s="2">
        <v>0</v>
      </c>
      <c r="AR1169" s="2">
        <v>0.26307909191290008</v>
      </c>
    </row>
    <row r="1170" spans="1:44" x14ac:dyDescent="0.25">
      <c r="A1170" t="s">
        <v>435</v>
      </c>
      <c r="B1170" t="s">
        <v>473</v>
      </c>
      <c r="C1170" t="s">
        <v>46</v>
      </c>
      <c r="D1170" t="s">
        <v>417</v>
      </c>
      <c r="E1170" t="s">
        <v>134</v>
      </c>
      <c r="F1170" t="s">
        <v>417</v>
      </c>
      <c r="G1170" t="s">
        <v>33</v>
      </c>
      <c r="H1170" t="s">
        <v>456</v>
      </c>
      <c r="I1170" t="s">
        <v>135</v>
      </c>
      <c r="J1170" t="s">
        <v>40</v>
      </c>
      <c r="K1170" t="s">
        <v>33</v>
      </c>
      <c r="L1170">
        <v>3.0101591572287867E-2</v>
      </c>
      <c r="M1170">
        <v>1</v>
      </c>
      <c r="N1170">
        <v>3.1960600759959026</v>
      </c>
      <c r="O1170">
        <v>1.705415563788492</v>
      </c>
      <c r="P1170">
        <v>-0.57900269369997159</v>
      </c>
      <c r="Q1170">
        <v>1.3498045353129324</v>
      </c>
      <c r="R1170">
        <v>-0.38209153328775192</v>
      </c>
      <c r="S1170" s="2">
        <v>1.0721950492753863E-2</v>
      </c>
      <c r="T1170" s="2">
        <v>1.7306279046593209E-2</v>
      </c>
      <c r="U1170" s="2">
        <v>2.6066021754081736E-2</v>
      </c>
      <c r="V1170" s="2">
        <v>3.7044335745212376E-2</v>
      </c>
      <c r="W1170" s="2">
        <v>5.0002031427218457E-2</v>
      </c>
      <c r="X1170" s="2">
        <v>6.4321017470859748E-2</v>
      </c>
      <c r="Y1170" s="2">
        <v>7.8940765486506012E-2</v>
      </c>
      <c r="Z1170" s="2">
        <v>9.237232505550648E-2</v>
      </c>
      <c r="AA1170" s="2">
        <v>0.10283686244519796</v>
      </c>
      <c r="AB1170" s="2">
        <v>0.10855574961300959</v>
      </c>
      <c r="AC1170" s="2">
        <v>0.10816865257037291</v>
      </c>
      <c r="AD1170" s="2">
        <v>0.10118117623761042</v>
      </c>
      <c r="AE1170" s="2">
        <v>8.8275122711999832E-2</v>
      </c>
      <c r="AF1170" s="2">
        <v>7.2439805979847421E-2</v>
      </c>
      <c r="AG1170" s="2">
        <v>1.2980611474516856E-2</v>
      </c>
      <c r="AH1170" s="2">
        <v>0</v>
      </c>
      <c r="AI1170" s="2">
        <v>0</v>
      </c>
      <c r="AJ1170" s="2">
        <v>0</v>
      </c>
      <c r="AK1170" s="2">
        <v>0</v>
      </c>
      <c r="AL1170" s="2">
        <v>0</v>
      </c>
      <c r="AM1170" s="2">
        <v>0</v>
      </c>
      <c r="AN1170" s="2">
        <v>0</v>
      </c>
      <c r="AO1170" s="2">
        <v>0</v>
      </c>
      <c r="AP1170" s="2">
        <v>0</v>
      </c>
      <c r="AQ1170" s="2">
        <v>0</v>
      </c>
      <c r="AR1170" s="2">
        <v>0.97121270751128685</v>
      </c>
    </row>
    <row r="1171" spans="1:44" x14ac:dyDescent="0.25">
      <c r="A1171" t="s">
        <v>435</v>
      </c>
      <c r="B1171" t="s">
        <v>473</v>
      </c>
      <c r="C1171" t="s">
        <v>46</v>
      </c>
      <c r="D1171" t="s">
        <v>417</v>
      </c>
      <c r="E1171" t="s">
        <v>134</v>
      </c>
      <c r="F1171" t="s">
        <v>417</v>
      </c>
      <c r="G1171" t="s">
        <v>33</v>
      </c>
      <c r="H1171" t="s">
        <v>456</v>
      </c>
      <c r="I1171" t="s">
        <v>256</v>
      </c>
      <c r="J1171" t="s">
        <v>40</v>
      </c>
      <c r="K1171" t="s">
        <v>33</v>
      </c>
      <c r="L1171">
        <v>3.0101591572287867E-2</v>
      </c>
      <c r="M1171">
        <v>1</v>
      </c>
      <c r="N1171">
        <v>2.9388016493259146</v>
      </c>
      <c r="O1171">
        <v>1.4737622038640097</v>
      </c>
      <c r="P1171">
        <v>-0.45352660268570494</v>
      </c>
      <c r="Q1171">
        <v>1.3498045353129324</v>
      </c>
      <c r="R1171">
        <v>-0.25661544227348532</v>
      </c>
      <c r="S1171" s="2">
        <v>1.6100939528164153E-2</v>
      </c>
      <c r="T1171" s="2">
        <v>2.5988494591077237E-2</v>
      </c>
      <c r="U1171" s="2">
        <v>3.9142825765322804E-2</v>
      </c>
      <c r="V1171" s="2">
        <v>5.5628741253540372E-2</v>
      </c>
      <c r="W1171" s="2">
        <v>7.5087054807714243E-2</v>
      </c>
      <c r="X1171" s="2">
        <v>9.6589590987964768E-2</v>
      </c>
      <c r="Y1171" s="2">
        <v>0.11854377543192404</v>
      </c>
      <c r="Z1171" s="2">
        <v>0.13871368094823516</v>
      </c>
      <c r="AA1171" s="2">
        <v>0.15442806834589234</v>
      </c>
      <c r="AB1171" s="2">
        <v>0.163016007314605</v>
      </c>
      <c r="AC1171" s="2">
        <v>0.16243471139468477</v>
      </c>
      <c r="AD1171" s="2">
        <v>0.1519417573408193</v>
      </c>
      <c r="AE1171" s="2">
        <v>0.13256099378445504</v>
      </c>
      <c r="AF1171" s="2">
        <v>0.10878141400687429</v>
      </c>
      <c r="AG1171" s="2">
        <v>1.9492725743421251E-2</v>
      </c>
      <c r="AH1171" s="2">
        <v>0</v>
      </c>
      <c r="AI1171" s="2">
        <v>0</v>
      </c>
      <c r="AJ1171" s="2">
        <v>0</v>
      </c>
      <c r="AK1171" s="2">
        <v>0</v>
      </c>
      <c r="AL1171" s="2">
        <v>0</v>
      </c>
      <c r="AM1171" s="2">
        <v>0</v>
      </c>
      <c r="AN1171" s="2">
        <v>0</v>
      </c>
      <c r="AO1171" s="2">
        <v>0</v>
      </c>
      <c r="AP1171" s="2">
        <v>0</v>
      </c>
      <c r="AQ1171" s="2">
        <v>0</v>
      </c>
      <c r="AR1171" s="2">
        <v>1.4584507812446947</v>
      </c>
    </row>
    <row r="1172" spans="1:44" x14ac:dyDescent="0.25">
      <c r="A1172" t="s">
        <v>435</v>
      </c>
      <c r="B1172" t="s">
        <v>473</v>
      </c>
      <c r="C1172" t="s">
        <v>46</v>
      </c>
      <c r="D1172" t="s">
        <v>417</v>
      </c>
      <c r="E1172" t="s">
        <v>134</v>
      </c>
      <c r="F1172" t="s">
        <v>417</v>
      </c>
      <c r="G1172" t="s">
        <v>33</v>
      </c>
      <c r="H1172" t="s">
        <v>457</v>
      </c>
      <c r="I1172" t="s">
        <v>135</v>
      </c>
      <c r="J1172" t="s">
        <v>39</v>
      </c>
      <c r="K1172" t="s">
        <v>31</v>
      </c>
      <c r="L1172">
        <v>3.0101591572287867E-2</v>
      </c>
      <c r="M1172">
        <v>1</v>
      </c>
      <c r="N1172">
        <v>3.1960600759959026</v>
      </c>
      <c r="O1172">
        <v>2.8779545327574696</v>
      </c>
      <c r="P1172">
        <v>-0.57900269369997159</v>
      </c>
      <c r="Q1172">
        <v>0.48774336622694031</v>
      </c>
      <c r="R1172">
        <v>-0.52509153328775182</v>
      </c>
      <c r="S1172" s="2">
        <v>1.1629237973508017E-3</v>
      </c>
      <c r="T1172" s="2">
        <v>1.8770729971639313E-3</v>
      </c>
      <c r="U1172" s="2">
        <v>2.8271718863625982E-3</v>
      </c>
      <c r="V1172" s="2">
        <v>4.017901371982149E-3</v>
      </c>
      <c r="W1172" s="2">
        <v>5.4233184812682283E-3</v>
      </c>
      <c r="X1172" s="2">
        <v>6.9763838153544273E-3</v>
      </c>
      <c r="Y1172" s="2">
        <v>8.5620703833121231E-3</v>
      </c>
      <c r="Z1172" s="2">
        <v>1.0018883699963956E-2</v>
      </c>
      <c r="AA1172" s="2">
        <v>1.1153887966861462E-2</v>
      </c>
      <c r="AB1172" s="2">
        <v>1.1774169695107355E-2</v>
      </c>
      <c r="AC1172" s="2">
        <v>1.1732184390001675E-2</v>
      </c>
      <c r="AD1172" s="2">
        <v>1.097430899071806E-2</v>
      </c>
      <c r="AE1172" s="2">
        <v>9.5744930910868255E-3</v>
      </c>
      <c r="AF1172" s="2">
        <v>7.8569635540074647E-3</v>
      </c>
      <c r="AG1172" s="2">
        <v>1.407902601124905E-3</v>
      </c>
      <c r="AH1172" s="2">
        <v>0</v>
      </c>
      <c r="AI1172" s="2">
        <v>0</v>
      </c>
      <c r="AJ1172" s="2">
        <v>0</v>
      </c>
      <c r="AK1172" s="2">
        <v>0</v>
      </c>
      <c r="AL1172" s="2">
        <v>0</v>
      </c>
      <c r="AM1172" s="2">
        <v>0</v>
      </c>
      <c r="AN1172" s="2">
        <v>0</v>
      </c>
      <c r="AO1172" s="2">
        <v>0</v>
      </c>
      <c r="AP1172" s="2">
        <v>0</v>
      </c>
      <c r="AQ1172" s="2">
        <v>0</v>
      </c>
      <c r="AR1172" s="2">
        <v>0.10533963672166596</v>
      </c>
    </row>
    <row r="1173" spans="1:44" x14ac:dyDescent="0.25">
      <c r="A1173" t="s">
        <v>435</v>
      </c>
      <c r="B1173" t="s">
        <v>473</v>
      </c>
      <c r="C1173" t="s">
        <v>46</v>
      </c>
      <c r="D1173" t="s">
        <v>417</v>
      </c>
      <c r="E1173" t="s">
        <v>134</v>
      </c>
      <c r="F1173" t="s">
        <v>417</v>
      </c>
      <c r="G1173" t="s">
        <v>33</v>
      </c>
      <c r="H1173" t="s">
        <v>457</v>
      </c>
      <c r="I1173" t="s">
        <v>135</v>
      </c>
      <c r="J1173" t="s">
        <v>39</v>
      </c>
      <c r="K1173" t="s">
        <v>33</v>
      </c>
      <c r="L1173">
        <v>3.0101591572287867E-2</v>
      </c>
      <c r="M1173">
        <v>1</v>
      </c>
      <c r="N1173">
        <v>3.1960600759959026</v>
      </c>
      <c r="O1173">
        <v>2.8779545327574696</v>
      </c>
      <c r="P1173">
        <v>-0.57900269369997159</v>
      </c>
      <c r="Q1173">
        <v>0.48774336622694031</v>
      </c>
      <c r="R1173">
        <v>-0.52509153328775182</v>
      </c>
      <c r="S1173" s="2">
        <v>3.4026518907587309E-4</v>
      </c>
      <c r="T1173" s="2">
        <v>5.4922136750851366E-4</v>
      </c>
      <c r="U1173" s="2">
        <v>8.272151439798715E-4</v>
      </c>
      <c r="V1173" s="2">
        <v>1.1756161264737687E-3</v>
      </c>
      <c r="W1173" s="2">
        <v>1.5868335420181853E-3</v>
      </c>
      <c r="X1173" s="2">
        <v>2.0412520264914327E-3</v>
      </c>
      <c r="Y1173" s="2">
        <v>2.5052153068803348E-3</v>
      </c>
      <c r="Z1173" s="2">
        <v>2.9314709736471701E-3</v>
      </c>
      <c r="AA1173" s="2">
        <v>3.263567059699921E-3</v>
      </c>
      <c r="AB1173" s="2">
        <v>3.4450581256001141E-3</v>
      </c>
      <c r="AC1173" s="2">
        <v>3.432773453283031E-3</v>
      </c>
      <c r="AD1173" s="2">
        <v>3.2110232262942515E-3</v>
      </c>
      <c r="AE1173" s="2">
        <v>2.8014446942833931E-3</v>
      </c>
      <c r="AF1173" s="2">
        <v>2.2989048769634342E-3</v>
      </c>
      <c r="AG1173" s="2">
        <v>4.119446569616167E-4</v>
      </c>
      <c r="AH1173" s="2">
        <v>0</v>
      </c>
      <c r="AI1173" s="2">
        <v>0</v>
      </c>
      <c r="AJ1173" s="2">
        <v>0</v>
      </c>
      <c r="AK1173" s="2">
        <v>0</v>
      </c>
      <c r="AL1173" s="2">
        <v>0</v>
      </c>
      <c r="AM1173" s="2">
        <v>0</v>
      </c>
      <c r="AN1173" s="2">
        <v>0</v>
      </c>
      <c r="AO1173" s="2">
        <v>0</v>
      </c>
      <c r="AP1173" s="2">
        <v>0</v>
      </c>
      <c r="AQ1173" s="2">
        <v>0</v>
      </c>
      <c r="AR1173" s="2">
        <v>3.0821805769160916E-2</v>
      </c>
    </row>
    <row r="1174" spans="1:44" x14ac:dyDescent="0.25">
      <c r="A1174" t="s">
        <v>435</v>
      </c>
      <c r="B1174" t="s">
        <v>473</v>
      </c>
      <c r="C1174" t="s">
        <v>46</v>
      </c>
      <c r="D1174" t="s">
        <v>417</v>
      </c>
      <c r="E1174" t="s">
        <v>134</v>
      </c>
      <c r="F1174" t="s">
        <v>417</v>
      </c>
      <c r="G1174" t="s">
        <v>33</v>
      </c>
      <c r="H1174" t="s">
        <v>457</v>
      </c>
      <c r="I1174" t="s">
        <v>256</v>
      </c>
      <c r="J1174" t="s">
        <v>39</v>
      </c>
      <c r="K1174" t="s">
        <v>33</v>
      </c>
      <c r="L1174">
        <v>3.0101591572287867E-2</v>
      </c>
      <c r="M1174">
        <v>1</v>
      </c>
      <c r="N1174">
        <v>2.9388016493259146</v>
      </c>
      <c r="O1174">
        <v>2.6463011728329877</v>
      </c>
      <c r="P1174">
        <v>-0.45352660268570494</v>
      </c>
      <c r="Q1174">
        <v>1.3498045353129324</v>
      </c>
      <c r="R1174">
        <v>-0.39961544227348528</v>
      </c>
      <c r="S1174" s="2">
        <v>9.3575210142324945E-4</v>
      </c>
      <c r="T1174" s="2">
        <v>1.5103956128701844E-3</v>
      </c>
      <c r="U1174" s="2">
        <v>2.274897151279548E-3</v>
      </c>
      <c r="V1174" s="2">
        <v>3.233023230506222E-3</v>
      </c>
      <c r="W1174" s="2">
        <v>4.3638987155436362E-3</v>
      </c>
      <c r="X1174" s="2">
        <v>5.6135800388852118E-3</v>
      </c>
      <c r="Y1174" s="2">
        <v>6.8895101914414041E-3</v>
      </c>
      <c r="Z1174" s="2">
        <v>8.0617418763925582E-3</v>
      </c>
      <c r="AA1174" s="2">
        <v>8.9750283963633201E-3</v>
      </c>
      <c r="AB1174" s="2">
        <v>9.4741410054635777E-3</v>
      </c>
      <c r="AC1174" s="2">
        <v>9.4403573323019845E-3</v>
      </c>
      <c r="AD1174" s="2">
        <v>8.8305293288574067E-3</v>
      </c>
      <c r="AE1174" s="2">
        <v>7.7041608835047744E-3</v>
      </c>
      <c r="AF1174" s="2">
        <v>6.3221426659399145E-3</v>
      </c>
      <c r="AG1174" s="2">
        <v>1.1328754477319247E-3</v>
      </c>
      <c r="AH1174" s="2">
        <v>0</v>
      </c>
      <c r="AI1174" s="2">
        <v>0</v>
      </c>
      <c r="AJ1174" s="2">
        <v>0</v>
      </c>
      <c r="AK1174" s="2">
        <v>0</v>
      </c>
      <c r="AL1174" s="2">
        <v>0</v>
      </c>
      <c r="AM1174" s="2">
        <v>0</v>
      </c>
      <c r="AN1174" s="2">
        <v>0</v>
      </c>
      <c r="AO1174" s="2">
        <v>0</v>
      </c>
      <c r="AP1174" s="2">
        <v>0</v>
      </c>
      <c r="AQ1174" s="2">
        <v>0</v>
      </c>
      <c r="AR1174" s="2">
        <v>8.4762033978504916E-2</v>
      </c>
    </row>
    <row r="1175" spans="1:44" x14ac:dyDescent="0.25">
      <c r="A1175" t="s">
        <v>435</v>
      </c>
      <c r="B1175" t="s">
        <v>473</v>
      </c>
      <c r="C1175" t="s">
        <v>46</v>
      </c>
      <c r="D1175" t="s">
        <v>417</v>
      </c>
      <c r="E1175" t="s">
        <v>134</v>
      </c>
      <c r="F1175" t="s">
        <v>417</v>
      </c>
      <c r="G1175" t="s">
        <v>33</v>
      </c>
      <c r="H1175" t="s">
        <v>457</v>
      </c>
      <c r="I1175" t="s">
        <v>256</v>
      </c>
      <c r="J1175" t="s">
        <v>40</v>
      </c>
      <c r="K1175" t="s">
        <v>33</v>
      </c>
      <c r="L1175">
        <v>3.0101591572287867E-2</v>
      </c>
      <c r="M1175">
        <v>1</v>
      </c>
      <c r="N1175">
        <v>2.9388016493259146</v>
      </c>
      <c r="O1175">
        <v>1.4737622038640097</v>
      </c>
      <c r="P1175">
        <v>-0.45352660268570494</v>
      </c>
      <c r="Q1175">
        <v>1.3498045353129324</v>
      </c>
      <c r="R1175">
        <v>-0.25661544227348532</v>
      </c>
      <c r="S1175" s="2">
        <v>8.5624906962477199E-3</v>
      </c>
      <c r="T1175" s="2">
        <v>1.3820699267662899E-2</v>
      </c>
      <c r="U1175" s="2">
        <v>2.0816181618106923E-2</v>
      </c>
      <c r="V1175" s="2">
        <v>2.9583402794241872E-2</v>
      </c>
      <c r="W1175" s="2">
        <v>3.9931347302749824E-2</v>
      </c>
      <c r="X1175" s="2">
        <v>5.1366410807402216E-2</v>
      </c>
      <c r="Y1175" s="2">
        <v>6.3041661168804039E-2</v>
      </c>
      <c r="Z1175" s="2">
        <v>7.3768030771367329E-2</v>
      </c>
      <c r="AA1175" s="2">
        <v>8.2124952779198374E-2</v>
      </c>
      <c r="AB1175" s="2">
        <v>8.6692024619379998E-2</v>
      </c>
      <c r="AC1175" s="2">
        <v>8.6382891050039073E-2</v>
      </c>
      <c r="AD1175" s="2">
        <v>8.0802730879558485E-2</v>
      </c>
      <c r="AE1175" s="2">
        <v>7.0496027513132789E-2</v>
      </c>
      <c r="AF1175" s="2">
        <v>5.7850030659964587E-2</v>
      </c>
      <c r="AG1175" s="2">
        <v>1.0366244934377414E-2</v>
      </c>
      <c r="AH1175" s="2">
        <v>0</v>
      </c>
      <c r="AI1175" s="2">
        <v>0</v>
      </c>
      <c r="AJ1175" s="2">
        <v>0</v>
      </c>
      <c r="AK1175" s="2">
        <v>0</v>
      </c>
      <c r="AL1175" s="2">
        <v>0</v>
      </c>
      <c r="AM1175" s="2">
        <v>0</v>
      </c>
      <c r="AN1175" s="2">
        <v>0</v>
      </c>
      <c r="AO1175" s="2">
        <v>0</v>
      </c>
      <c r="AP1175" s="2">
        <v>0</v>
      </c>
      <c r="AQ1175" s="2">
        <v>0</v>
      </c>
      <c r="AR1175" s="2">
        <v>0.7756051268622336</v>
      </c>
    </row>
    <row r="1176" spans="1:44" x14ac:dyDescent="0.25">
      <c r="A1176" t="s">
        <v>435</v>
      </c>
      <c r="B1176" t="s">
        <v>474</v>
      </c>
      <c r="C1176" t="s">
        <v>44</v>
      </c>
      <c r="D1176" t="s">
        <v>475</v>
      </c>
      <c r="E1176" t="s">
        <v>134</v>
      </c>
      <c r="F1176" t="s">
        <v>475</v>
      </c>
      <c r="G1176" t="s">
        <v>33</v>
      </c>
      <c r="H1176" t="s">
        <v>450</v>
      </c>
      <c r="I1176" t="s">
        <v>135</v>
      </c>
      <c r="J1176" t="s">
        <v>39</v>
      </c>
      <c r="K1176" t="s">
        <v>31</v>
      </c>
      <c r="L1176">
        <v>7.9536631333358532E-2</v>
      </c>
      <c r="M1176">
        <v>1</v>
      </c>
      <c r="N1176">
        <v>5.0242646361273096</v>
      </c>
      <c r="O1176">
        <v>2.8779545327574687</v>
      </c>
      <c r="P1176">
        <v>-0.75648033687548133</v>
      </c>
      <c r="Q1176">
        <v>0.31026572305143058</v>
      </c>
      <c r="R1176">
        <v>-0.52509153328775171</v>
      </c>
      <c r="S1176" s="2">
        <v>3.962590496869675E-3</v>
      </c>
      <c r="T1176" s="2">
        <v>6.396009469783635E-3</v>
      </c>
      <c r="U1176" s="2">
        <v>9.6334123314342386E-3</v>
      </c>
      <c r="V1176" s="2">
        <v>1.3690748981356816E-2</v>
      </c>
      <c r="W1176" s="2">
        <v>1.8479620353738863E-2</v>
      </c>
      <c r="X1176" s="2">
        <v>2.3771593867297693E-2</v>
      </c>
      <c r="Y1176" s="2">
        <v>2.9174722205987647E-2</v>
      </c>
      <c r="Z1176" s="2">
        <v>3.4138722957737996E-2</v>
      </c>
      <c r="AA1176" s="2">
        <v>3.8006179391392773E-2</v>
      </c>
      <c r="AB1176" s="2">
        <v>4.0119750794203803E-2</v>
      </c>
      <c r="AC1176" s="2">
        <v>3.9976688478857818E-2</v>
      </c>
      <c r="AD1176" s="2">
        <v>3.739427520134652E-2</v>
      </c>
      <c r="AE1176" s="2">
        <v>3.2624489602426025E-2</v>
      </c>
      <c r="AF1176" s="2">
        <v>2.6772114548077874E-2</v>
      </c>
      <c r="AG1176" s="2">
        <v>4.7973405312064848E-3</v>
      </c>
      <c r="AH1176" s="2">
        <v>0</v>
      </c>
      <c r="AI1176" s="2">
        <v>0</v>
      </c>
      <c r="AJ1176" s="2">
        <v>0</v>
      </c>
      <c r="AK1176" s="2">
        <v>0</v>
      </c>
      <c r="AL1176" s="2">
        <v>0</v>
      </c>
      <c r="AM1176" s="2">
        <v>0</v>
      </c>
      <c r="AN1176" s="2">
        <v>0</v>
      </c>
      <c r="AO1176" s="2">
        <v>0</v>
      </c>
      <c r="AP1176" s="2">
        <v>0</v>
      </c>
      <c r="AQ1176" s="2">
        <v>0</v>
      </c>
      <c r="AR1176" s="2">
        <v>0.35893825921171785</v>
      </c>
    </row>
    <row r="1177" spans="1:44" x14ac:dyDescent="0.25">
      <c r="A1177" t="s">
        <v>435</v>
      </c>
      <c r="B1177" t="s">
        <v>474</v>
      </c>
      <c r="C1177" t="s">
        <v>44</v>
      </c>
      <c r="D1177" t="s">
        <v>475</v>
      </c>
      <c r="E1177" t="s">
        <v>134</v>
      </c>
      <c r="F1177" t="s">
        <v>475</v>
      </c>
      <c r="G1177" t="s">
        <v>33</v>
      </c>
      <c r="H1177" t="s">
        <v>450</v>
      </c>
      <c r="I1177" t="s">
        <v>135</v>
      </c>
      <c r="J1177" t="s">
        <v>39</v>
      </c>
      <c r="K1177" t="s">
        <v>33</v>
      </c>
      <c r="L1177">
        <v>7.9536631333358532E-2</v>
      </c>
      <c r="M1177">
        <v>1</v>
      </c>
      <c r="N1177">
        <v>5.0242646361273096</v>
      </c>
      <c r="O1177">
        <v>2.8779545327574687</v>
      </c>
      <c r="P1177">
        <v>-0.75648033687548133</v>
      </c>
      <c r="Q1177">
        <v>0.31026572305143058</v>
      </c>
      <c r="R1177">
        <v>-0.52509153328775171</v>
      </c>
      <c r="S1177" s="2">
        <v>2.4412736495421101E-3</v>
      </c>
      <c r="T1177" s="2">
        <v>3.937708182224841E-3</v>
      </c>
      <c r="U1177" s="2">
        <v>5.9266835570395571E-3</v>
      </c>
      <c r="V1177" s="2">
        <v>8.4169734662291728E-3</v>
      </c>
      <c r="W1177" s="2">
        <v>1.1353217430409998E-2</v>
      </c>
      <c r="X1177" s="2">
        <v>1.4594236256290605E-2</v>
      </c>
      <c r="Y1177" s="2">
        <v>1.7898925496928734E-2</v>
      </c>
      <c r="Z1177" s="2">
        <v>2.0929779946099295E-2</v>
      </c>
      <c r="AA1177" s="2">
        <v>2.3284599108507591E-2</v>
      </c>
      <c r="AB1177" s="2">
        <v>2.4562351273046547E-2</v>
      </c>
      <c r="AC1177" s="2">
        <v>2.4457704156662232E-2</v>
      </c>
      <c r="AD1177" s="2">
        <v>2.2861838449788164E-2</v>
      </c>
      <c r="AE1177" s="2">
        <v>1.9931818226647264E-2</v>
      </c>
      <c r="AF1177" s="2">
        <v>1.6344928552460631E-2</v>
      </c>
      <c r="AG1177" s="2">
        <v>5.227103122769593E-4</v>
      </c>
      <c r="AH1177" s="2">
        <v>0</v>
      </c>
      <c r="AI1177" s="2">
        <v>0</v>
      </c>
      <c r="AJ1177" s="2">
        <v>0</v>
      </c>
      <c r="AK1177" s="2">
        <v>0</v>
      </c>
      <c r="AL1177" s="2">
        <v>0</v>
      </c>
      <c r="AM1177" s="2">
        <v>0</v>
      </c>
      <c r="AN1177" s="2">
        <v>0</v>
      </c>
      <c r="AO1177" s="2">
        <v>0</v>
      </c>
      <c r="AP1177" s="2">
        <v>0</v>
      </c>
      <c r="AQ1177" s="2">
        <v>0</v>
      </c>
      <c r="AR1177" s="2">
        <v>0.2174647480641537</v>
      </c>
    </row>
    <row r="1178" spans="1:44" x14ac:dyDescent="0.25">
      <c r="A1178" t="s">
        <v>435</v>
      </c>
      <c r="B1178" t="s">
        <v>474</v>
      </c>
      <c r="C1178" t="s">
        <v>44</v>
      </c>
      <c r="D1178" t="s">
        <v>475</v>
      </c>
      <c r="E1178" t="s">
        <v>134</v>
      </c>
      <c r="F1178" t="s">
        <v>475</v>
      </c>
      <c r="G1178" t="s">
        <v>33</v>
      </c>
      <c r="H1178" t="s">
        <v>450</v>
      </c>
      <c r="I1178" t="s">
        <v>256</v>
      </c>
      <c r="J1178" t="s">
        <v>40</v>
      </c>
      <c r="K1178" t="s">
        <v>33</v>
      </c>
      <c r="L1178">
        <v>7.9536631333358532E-2</v>
      </c>
      <c r="M1178">
        <v>1</v>
      </c>
      <c r="N1178">
        <v>4.6198497050152856</v>
      </c>
      <c r="O1178">
        <v>1.473762203864009</v>
      </c>
      <c r="P1178">
        <v>-0.63100424586121473</v>
      </c>
      <c r="Q1178">
        <v>1.3498045353129324</v>
      </c>
      <c r="R1178">
        <v>-0.25661544227348515</v>
      </c>
      <c r="S1178" s="2">
        <v>6.3770960862307588E-2</v>
      </c>
      <c r="T1178" s="2">
        <v>0.10293258157630301</v>
      </c>
      <c r="U1178" s="2">
        <v>0.1550329162813234</v>
      </c>
      <c r="V1178" s="2">
        <v>0.22032865070349394</v>
      </c>
      <c r="W1178" s="2">
        <v>0.29739715654684318</v>
      </c>
      <c r="X1178" s="2">
        <v>0.38256221109490268</v>
      </c>
      <c r="Y1178" s="2">
        <v>0.46951610807033234</v>
      </c>
      <c r="Z1178" s="2">
        <v>0.54940301485780096</v>
      </c>
      <c r="AA1178" s="2">
        <v>0.61164295942489899</v>
      </c>
      <c r="AB1178" s="2">
        <v>0.64565719312248426</v>
      </c>
      <c r="AC1178" s="2">
        <v>0.64335485546735482</v>
      </c>
      <c r="AD1178" s="2">
        <v>0.60179543211019226</v>
      </c>
      <c r="AE1178" s="2">
        <v>0.52503407839709837</v>
      </c>
      <c r="AF1178" s="2">
        <v>0.43085034156201396</v>
      </c>
      <c r="AG1178" s="2">
        <v>7.7204802136483508E-2</v>
      </c>
      <c r="AH1178" s="2">
        <v>0</v>
      </c>
      <c r="AI1178" s="2">
        <v>0</v>
      </c>
      <c r="AJ1178" s="2">
        <v>0</v>
      </c>
      <c r="AK1178" s="2">
        <v>0</v>
      </c>
      <c r="AL1178" s="2">
        <v>0</v>
      </c>
      <c r="AM1178" s="2">
        <v>0</v>
      </c>
      <c r="AN1178" s="2">
        <v>0</v>
      </c>
      <c r="AO1178" s="2">
        <v>0</v>
      </c>
      <c r="AP1178" s="2">
        <v>0</v>
      </c>
      <c r="AQ1178" s="2">
        <v>0</v>
      </c>
      <c r="AR1178" s="2">
        <v>5.7764832622138345</v>
      </c>
    </row>
    <row r="1179" spans="1:44" x14ac:dyDescent="0.25">
      <c r="A1179" t="s">
        <v>435</v>
      </c>
      <c r="B1179" t="s">
        <v>474</v>
      </c>
      <c r="C1179" t="s">
        <v>44</v>
      </c>
      <c r="D1179" t="s">
        <v>475</v>
      </c>
      <c r="E1179" t="s">
        <v>134</v>
      </c>
      <c r="F1179" t="s">
        <v>475</v>
      </c>
      <c r="G1179" t="s">
        <v>33</v>
      </c>
      <c r="H1179" t="s">
        <v>451</v>
      </c>
      <c r="I1179" t="s">
        <v>135</v>
      </c>
      <c r="J1179" t="s">
        <v>39</v>
      </c>
      <c r="K1179" t="s">
        <v>31</v>
      </c>
      <c r="L1179">
        <v>7.9536631333358532E-2</v>
      </c>
      <c r="M1179">
        <v>1</v>
      </c>
      <c r="N1179">
        <v>5.0242646361273096</v>
      </c>
      <c r="O1179">
        <v>2.8779545327574687</v>
      </c>
      <c r="P1179">
        <v>-0.75648033687548133</v>
      </c>
      <c r="Q1179">
        <v>0.31026572305143058</v>
      </c>
      <c r="R1179">
        <v>-0.52509153328775171</v>
      </c>
      <c r="S1179" s="2">
        <v>1.0365455680155827E-3</v>
      </c>
      <c r="T1179" s="2">
        <v>1.6730861475913875E-3</v>
      </c>
      <c r="U1179" s="2">
        <v>2.5199350942024011E-3</v>
      </c>
      <c r="V1179" s="2">
        <v>3.58126462743243E-3</v>
      </c>
      <c r="W1179" s="2">
        <v>4.8339510710002486E-3</v>
      </c>
      <c r="X1179" s="2">
        <v>6.2182403877662721E-3</v>
      </c>
      <c r="Y1179" s="2">
        <v>7.6316058963427375E-3</v>
      </c>
      <c r="Z1179" s="2">
        <v>8.9301031755638846E-3</v>
      </c>
      <c r="AA1179" s="2">
        <v>9.9417633077337423E-3</v>
      </c>
      <c r="AB1179" s="2">
        <v>1.0494637260265281E-2</v>
      </c>
      <c r="AC1179" s="2">
        <v>1.0457214617416099E-2</v>
      </c>
      <c r="AD1179" s="2">
        <v>9.7816996885574329E-3</v>
      </c>
      <c r="AE1179" s="2">
        <v>8.5340057552955231E-3</v>
      </c>
      <c r="AF1179" s="2">
        <v>7.0031250272107829E-3</v>
      </c>
      <c r="AG1179" s="2">
        <v>1.2549018299549089E-3</v>
      </c>
      <c r="AH1179" s="2">
        <v>0</v>
      </c>
      <c r="AI1179" s="2">
        <v>0</v>
      </c>
      <c r="AJ1179" s="2">
        <v>0</v>
      </c>
      <c r="AK1179" s="2">
        <v>0</v>
      </c>
      <c r="AL1179" s="2">
        <v>0</v>
      </c>
      <c r="AM1179" s="2">
        <v>0</v>
      </c>
      <c r="AN1179" s="2">
        <v>0</v>
      </c>
      <c r="AO1179" s="2">
        <v>0</v>
      </c>
      <c r="AP1179" s="2">
        <v>0</v>
      </c>
      <c r="AQ1179" s="2">
        <v>0</v>
      </c>
      <c r="AR1179" s="2">
        <v>9.3892079454348701E-2</v>
      </c>
    </row>
    <row r="1180" spans="1:44" x14ac:dyDescent="0.25">
      <c r="A1180" t="s">
        <v>435</v>
      </c>
      <c r="B1180" t="s">
        <v>474</v>
      </c>
      <c r="C1180" t="s">
        <v>44</v>
      </c>
      <c r="D1180" t="s">
        <v>475</v>
      </c>
      <c r="E1180" t="s">
        <v>134</v>
      </c>
      <c r="F1180" t="s">
        <v>475</v>
      </c>
      <c r="G1180" t="s">
        <v>33</v>
      </c>
      <c r="H1180" t="s">
        <v>451</v>
      </c>
      <c r="I1180" t="s">
        <v>135</v>
      </c>
      <c r="J1180" t="s">
        <v>39</v>
      </c>
      <c r="K1180" t="s">
        <v>33</v>
      </c>
      <c r="L1180">
        <v>7.9536631333358532E-2</v>
      </c>
      <c r="M1180">
        <v>1</v>
      </c>
      <c r="N1180">
        <v>5.0242646361273096</v>
      </c>
      <c r="O1180">
        <v>2.8779545327574687</v>
      </c>
      <c r="P1180">
        <v>-0.75648033687548133</v>
      </c>
      <c r="Q1180">
        <v>0.31026572305143058</v>
      </c>
      <c r="R1180">
        <v>-0.52509153328775171</v>
      </c>
      <c r="S1180" s="2">
        <v>4.6694435690918037E-3</v>
      </c>
      <c r="T1180" s="2">
        <v>7.5369396131456292E-3</v>
      </c>
      <c r="U1180" s="2">
        <v>1.135183544576716E-2</v>
      </c>
      <c r="V1180" s="2">
        <v>1.6132926134443629E-2</v>
      </c>
      <c r="W1180" s="2">
        <v>2.1776043850150556E-2</v>
      </c>
      <c r="X1180" s="2">
        <v>2.8012007851530973E-2</v>
      </c>
      <c r="Y1180" s="2">
        <v>3.4378954649087801E-2</v>
      </c>
      <c r="Z1180" s="2">
        <v>4.0228441595957093E-2</v>
      </c>
      <c r="AA1180" s="2">
        <v>4.4785780939282621E-2</v>
      </c>
      <c r="AB1180" s="2">
        <v>4.7276374504898029E-2</v>
      </c>
      <c r="AC1180" s="2">
        <v>4.7107792510644661E-2</v>
      </c>
      <c r="AD1180" s="2">
        <v>4.4064724325592941E-2</v>
      </c>
      <c r="AE1180" s="2">
        <v>3.8444096933380585E-2</v>
      </c>
      <c r="AF1180" s="2">
        <v>3.1547766090456772E-2</v>
      </c>
      <c r="AG1180" s="2">
        <v>5.653097616289556E-3</v>
      </c>
      <c r="AH1180" s="2">
        <v>0</v>
      </c>
      <c r="AI1180" s="2">
        <v>0</v>
      </c>
      <c r="AJ1180" s="2">
        <v>0</v>
      </c>
      <c r="AK1180" s="2">
        <v>0</v>
      </c>
      <c r="AL1180" s="2">
        <v>0</v>
      </c>
      <c r="AM1180" s="2">
        <v>0</v>
      </c>
      <c r="AN1180" s="2">
        <v>0</v>
      </c>
      <c r="AO1180" s="2">
        <v>0</v>
      </c>
      <c r="AP1180" s="2">
        <v>0</v>
      </c>
      <c r="AQ1180" s="2">
        <v>0</v>
      </c>
      <c r="AR1180" s="2">
        <v>0.42296622562971969</v>
      </c>
    </row>
    <row r="1181" spans="1:44" x14ac:dyDescent="0.25">
      <c r="A1181" t="s">
        <v>435</v>
      </c>
      <c r="B1181" t="s">
        <v>474</v>
      </c>
      <c r="C1181" t="s">
        <v>44</v>
      </c>
      <c r="D1181" t="s">
        <v>475</v>
      </c>
      <c r="E1181" t="s">
        <v>134</v>
      </c>
      <c r="F1181" t="s">
        <v>475</v>
      </c>
      <c r="G1181" t="s">
        <v>33</v>
      </c>
      <c r="H1181" t="s">
        <v>452</v>
      </c>
      <c r="I1181" t="s">
        <v>135</v>
      </c>
      <c r="J1181" t="s">
        <v>39</v>
      </c>
      <c r="K1181" t="s">
        <v>31</v>
      </c>
      <c r="L1181">
        <v>7.9536631333358532E-2</v>
      </c>
      <c r="M1181">
        <v>1</v>
      </c>
      <c r="N1181">
        <v>5.0242646361273096</v>
      </c>
      <c r="O1181">
        <v>2.8779545327574687</v>
      </c>
      <c r="P1181">
        <v>-0.75648033687548133</v>
      </c>
      <c r="Q1181">
        <v>0.31026572305143058</v>
      </c>
      <c r="R1181">
        <v>-0.52509153328775171</v>
      </c>
      <c r="S1181" s="2">
        <v>2.3477048387455308E-2</v>
      </c>
      <c r="T1181" s="2">
        <v>3.7894257286326748E-2</v>
      </c>
      <c r="U1181" s="2">
        <v>5.707480690221535E-2</v>
      </c>
      <c r="V1181" s="2">
        <v>8.1113195155979187E-2</v>
      </c>
      <c r="W1181" s="2">
        <v>0.10948568659044051</v>
      </c>
      <c r="X1181" s="2">
        <v>0.14083889312063791</v>
      </c>
      <c r="Y1181" s="2">
        <v>0.17285065551477438</v>
      </c>
      <c r="Z1181" s="2">
        <v>0.20226073105406378</v>
      </c>
      <c r="AA1181" s="2">
        <v>0.22517414133479166</v>
      </c>
      <c r="AB1181" s="2">
        <v>0.23769635833736491</v>
      </c>
      <c r="AC1181" s="2">
        <v>0.23684876106420427</v>
      </c>
      <c r="AD1181" s="2">
        <v>0.22154880980241387</v>
      </c>
      <c r="AE1181" s="2">
        <v>0.19328939531280026</v>
      </c>
      <c r="AF1181" s="2">
        <v>0.15861599354670639</v>
      </c>
      <c r="AG1181" s="2">
        <v>2.8422668421379214E-2</v>
      </c>
      <c r="AH1181" s="2">
        <v>0</v>
      </c>
      <c r="AI1181" s="2">
        <v>0</v>
      </c>
      <c r="AJ1181" s="2">
        <v>0</v>
      </c>
      <c r="AK1181" s="2">
        <v>0</v>
      </c>
      <c r="AL1181" s="2">
        <v>0</v>
      </c>
      <c r="AM1181" s="2">
        <v>0</v>
      </c>
      <c r="AN1181" s="2">
        <v>0</v>
      </c>
      <c r="AO1181" s="2">
        <v>0</v>
      </c>
      <c r="AP1181" s="2">
        <v>0</v>
      </c>
      <c r="AQ1181" s="2">
        <v>0</v>
      </c>
      <c r="AR1181" s="2">
        <v>2.1265914018315533</v>
      </c>
    </row>
    <row r="1182" spans="1:44" x14ac:dyDescent="0.25">
      <c r="A1182" t="s">
        <v>435</v>
      </c>
      <c r="B1182" t="s">
        <v>474</v>
      </c>
      <c r="C1182" t="s">
        <v>44</v>
      </c>
      <c r="D1182" t="s">
        <v>475</v>
      </c>
      <c r="E1182" t="s">
        <v>134</v>
      </c>
      <c r="F1182" t="s">
        <v>475</v>
      </c>
      <c r="G1182" t="s">
        <v>33</v>
      </c>
      <c r="H1182" t="s">
        <v>452</v>
      </c>
      <c r="I1182" t="s">
        <v>135</v>
      </c>
      <c r="J1182" t="s">
        <v>39</v>
      </c>
      <c r="K1182" t="s">
        <v>33</v>
      </c>
      <c r="L1182">
        <v>7.9536631333358532E-2</v>
      </c>
      <c r="M1182">
        <v>1</v>
      </c>
      <c r="N1182">
        <v>5.0242646361273096</v>
      </c>
      <c r="O1182">
        <v>2.8779545327574687</v>
      </c>
      <c r="P1182">
        <v>-0.75648033687548133</v>
      </c>
      <c r="Q1182">
        <v>0.31026572305143058</v>
      </c>
      <c r="R1182">
        <v>-0.52509153328775171</v>
      </c>
      <c r="S1182" s="2">
        <v>4.6425084349476488E-2</v>
      </c>
      <c r="T1182" s="2">
        <v>7.4934636664910376E-2</v>
      </c>
      <c r="U1182" s="2">
        <v>0.11286353722733178</v>
      </c>
      <c r="V1182" s="2">
        <v>0.16039865254032673</v>
      </c>
      <c r="W1182" s="2">
        <v>0.21650431311192975</v>
      </c>
      <c r="X1182" s="2">
        <v>0.27850423890195125</v>
      </c>
      <c r="Y1182" s="2">
        <v>0.34180643706572428</v>
      </c>
      <c r="Z1182" s="2">
        <v>0.39996388578340686</v>
      </c>
      <c r="AA1182" s="2">
        <v>0.44527439447517936</v>
      </c>
      <c r="AB1182" s="2">
        <v>0.47003666318088017</v>
      </c>
      <c r="AC1182" s="2">
        <v>0.46836056769172602</v>
      </c>
      <c r="AD1182" s="2">
        <v>0.43810542163805766</v>
      </c>
      <c r="AE1182" s="2">
        <v>0.38222336697363263</v>
      </c>
      <c r="AF1182" s="2">
        <v>0.31365786525007155</v>
      </c>
      <c r="AG1182" s="2">
        <v>5.6204883898643039E-2</v>
      </c>
      <c r="AH1182" s="2">
        <v>0</v>
      </c>
      <c r="AI1182" s="2">
        <v>0</v>
      </c>
      <c r="AJ1182" s="2">
        <v>0</v>
      </c>
      <c r="AK1182" s="2">
        <v>0</v>
      </c>
      <c r="AL1182" s="2">
        <v>0</v>
      </c>
      <c r="AM1182" s="2">
        <v>0</v>
      </c>
      <c r="AN1182" s="2">
        <v>0</v>
      </c>
      <c r="AO1182" s="2">
        <v>0</v>
      </c>
      <c r="AP1182" s="2">
        <v>0</v>
      </c>
      <c r="AQ1182" s="2">
        <v>0</v>
      </c>
      <c r="AR1182" s="2">
        <v>4.2052639487532479</v>
      </c>
    </row>
    <row r="1183" spans="1:44" x14ac:dyDescent="0.25">
      <c r="A1183" t="s">
        <v>435</v>
      </c>
      <c r="B1183" t="s">
        <v>474</v>
      </c>
      <c r="C1183" t="s">
        <v>44</v>
      </c>
      <c r="D1183" t="s">
        <v>475</v>
      </c>
      <c r="E1183" t="s">
        <v>134</v>
      </c>
      <c r="F1183" t="s">
        <v>475</v>
      </c>
      <c r="G1183" t="s">
        <v>33</v>
      </c>
      <c r="H1183" t="s">
        <v>452</v>
      </c>
      <c r="I1183" t="s">
        <v>135</v>
      </c>
      <c r="J1183" t="s">
        <v>40</v>
      </c>
      <c r="K1183" t="s">
        <v>33</v>
      </c>
      <c r="L1183">
        <v>7.9536631333358532E-2</v>
      </c>
      <c r="M1183">
        <v>1</v>
      </c>
      <c r="N1183">
        <v>5.0242646361273096</v>
      </c>
      <c r="O1183">
        <v>1.7054155637884916</v>
      </c>
      <c r="P1183">
        <v>-0.75648033687548133</v>
      </c>
      <c r="Q1183">
        <v>1.3498045353129324</v>
      </c>
      <c r="R1183">
        <v>-0.38209153328775169</v>
      </c>
      <c r="S1183" s="2">
        <v>3.3993662257254223E-3</v>
      </c>
      <c r="T1183" s="2">
        <v>5.486910289664873E-3</v>
      </c>
      <c r="U1183" s="2">
        <v>8.2641636938850654E-3</v>
      </c>
      <c r="V1183" s="2">
        <v>1.1744809293030444E-2</v>
      </c>
      <c r="W1183" s="2">
        <v>1.5853012655320568E-2</v>
      </c>
      <c r="X1183" s="2">
        <v>2.0392809549205117E-2</v>
      </c>
      <c r="Y1183" s="2">
        <v>2.5027962235891286E-2</v>
      </c>
      <c r="Z1183" s="2">
        <v>2.9286402898207012E-2</v>
      </c>
      <c r="AA1183" s="2">
        <v>3.2604156976105345E-2</v>
      </c>
      <c r="AB1183" s="2">
        <v>3.4417315123042476E-2</v>
      </c>
      <c r="AC1183" s="2">
        <v>3.4294587022991416E-2</v>
      </c>
      <c r="AD1183" s="2">
        <v>3.2079226015243684E-2</v>
      </c>
      <c r="AE1183" s="2">
        <v>2.7987395662919714E-2</v>
      </c>
      <c r="AF1183" s="2">
        <v>2.2966850109261066E-2</v>
      </c>
      <c r="AG1183" s="2">
        <v>4.1154687540813986E-3</v>
      </c>
      <c r="AH1183" s="2">
        <v>0</v>
      </c>
      <c r="AI1183" s="2">
        <v>0</v>
      </c>
      <c r="AJ1183" s="2">
        <v>0</v>
      </c>
      <c r="AK1183" s="2">
        <v>0</v>
      </c>
      <c r="AL1183" s="2">
        <v>0</v>
      </c>
      <c r="AM1183" s="2">
        <v>0</v>
      </c>
      <c r="AN1183" s="2">
        <v>0</v>
      </c>
      <c r="AO1183" s="2">
        <v>0</v>
      </c>
      <c r="AP1183" s="2">
        <v>0</v>
      </c>
      <c r="AQ1183" s="2">
        <v>0</v>
      </c>
      <c r="AR1183" s="2">
        <v>0.3079204365045749</v>
      </c>
    </row>
    <row r="1184" spans="1:44" x14ac:dyDescent="0.25">
      <c r="A1184" t="s">
        <v>435</v>
      </c>
      <c r="B1184" t="s">
        <v>474</v>
      </c>
      <c r="C1184" t="s">
        <v>44</v>
      </c>
      <c r="D1184" t="s">
        <v>475</v>
      </c>
      <c r="E1184" t="s">
        <v>134</v>
      </c>
      <c r="F1184" t="s">
        <v>475</v>
      </c>
      <c r="G1184" t="s">
        <v>33</v>
      </c>
      <c r="H1184" t="s">
        <v>452</v>
      </c>
      <c r="I1184" t="s">
        <v>256</v>
      </c>
      <c r="J1184" t="s">
        <v>40</v>
      </c>
      <c r="K1184" t="s">
        <v>33</v>
      </c>
      <c r="L1184">
        <v>7.9536631333358532E-2</v>
      </c>
      <c r="M1184">
        <v>1</v>
      </c>
      <c r="N1184">
        <v>4.6198497050152856</v>
      </c>
      <c r="O1184">
        <v>1.473762203864009</v>
      </c>
      <c r="P1184">
        <v>-0.63100424586121473</v>
      </c>
      <c r="Q1184">
        <v>1.3498045353129324</v>
      </c>
      <c r="R1184">
        <v>-0.25661544227348515</v>
      </c>
      <c r="S1184" s="2">
        <v>2.0498560656263667E-2</v>
      </c>
      <c r="T1184" s="2">
        <v>3.3086686140788156E-2</v>
      </c>
      <c r="U1184" s="2">
        <v>4.9833836516465502E-2</v>
      </c>
      <c r="V1184" s="2">
        <v>7.0822520935665753E-2</v>
      </c>
      <c r="W1184" s="2">
        <v>9.5595449245912623E-2</v>
      </c>
      <c r="X1184" s="2">
        <v>0.12297093509152819</v>
      </c>
      <c r="Y1184" s="2">
        <v>0.1509214270920787</v>
      </c>
      <c r="Z1184" s="2">
        <v>0.17660030321815731</v>
      </c>
      <c r="AA1184" s="2">
        <v>0.19660673344438337</v>
      </c>
      <c r="AB1184" s="2">
        <v>0.2075402809901345</v>
      </c>
      <c r="AC1184" s="2">
        <v>0.20680021674401527</v>
      </c>
      <c r="AD1184" s="2">
        <v>0.19344134071319055</v>
      </c>
      <c r="AE1184" s="2">
        <v>0.16876714349445629</v>
      </c>
      <c r="AF1184" s="2">
        <v>0.13849268916223881</v>
      </c>
      <c r="AG1184" s="2">
        <v>2.4816739439861998E-2</v>
      </c>
      <c r="AH1184" s="2">
        <v>0</v>
      </c>
      <c r="AI1184" s="2">
        <v>0</v>
      </c>
      <c r="AJ1184" s="2">
        <v>0</v>
      </c>
      <c r="AK1184" s="2">
        <v>0</v>
      </c>
      <c r="AL1184" s="2">
        <v>0</v>
      </c>
      <c r="AM1184" s="2">
        <v>0</v>
      </c>
      <c r="AN1184" s="2">
        <v>0</v>
      </c>
      <c r="AO1184" s="2">
        <v>0</v>
      </c>
      <c r="AP1184" s="2">
        <v>0</v>
      </c>
      <c r="AQ1184" s="2">
        <v>0</v>
      </c>
      <c r="AR1184" s="2">
        <v>1.8567948628851405</v>
      </c>
    </row>
    <row r="1185" spans="1:44" x14ac:dyDescent="0.25">
      <c r="A1185" t="s">
        <v>435</v>
      </c>
      <c r="B1185" t="s">
        <v>474</v>
      </c>
      <c r="C1185" t="s">
        <v>44</v>
      </c>
      <c r="D1185" t="s">
        <v>475</v>
      </c>
      <c r="E1185" t="s">
        <v>134</v>
      </c>
      <c r="F1185" t="s">
        <v>475</v>
      </c>
      <c r="G1185" t="s">
        <v>33</v>
      </c>
      <c r="H1185" t="s">
        <v>453</v>
      </c>
      <c r="I1185" t="s">
        <v>135</v>
      </c>
      <c r="J1185" t="s">
        <v>39</v>
      </c>
      <c r="K1185" t="s">
        <v>31</v>
      </c>
      <c r="L1185">
        <v>7.9536631333358532E-2</v>
      </c>
      <c r="M1185">
        <v>1</v>
      </c>
      <c r="N1185">
        <v>5.0242646361273096</v>
      </c>
      <c r="O1185">
        <v>2.8779545327574687</v>
      </c>
      <c r="P1185">
        <v>-0.75648033687548133</v>
      </c>
      <c r="Q1185">
        <v>0.31026572305143058</v>
      </c>
      <c r="R1185">
        <v>-0.52509153328775171</v>
      </c>
      <c r="S1185" s="2">
        <v>7.1799828637485663E-3</v>
      </c>
      <c r="T1185" s="2">
        <v>1.1589196114435244E-2</v>
      </c>
      <c r="U1185" s="2">
        <v>1.7455181279459067E-2</v>
      </c>
      <c r="V1185" s="2">
        <v>2.4806838646506253E-2</v>
      </c>
      <c r="W1185" s="2">
        <v>3.3483994264166331E-2</v>
      </c>
      <c r="X1185" s="2">
        <v>4.3072741618398268E-2</v>
      </c>
      <c r="Y1185" s="2">
        <v>5.2862895032705026E-2</v>
      </c>
      <c r="Z1185" s="2">
        <v>6.1857374871426216E-2</v>
      </c>
      <c r="AA1185" s="2">
        <v>6.8864980361287326E-2</v>
      </c>
      <c r="AB1185" s="2">
        <v>7.2694648469935008E-2</v>
      </c>
      <c r="AC1185" s="2">
        <v>7.243542789858308E-2</v>
      </c>
      <c r="AD1185" s="2">
        <v>6.7756245658002007E-2</v>
      </c>
      <c r="AE1185" s="2">
        <v>5.9113672348683789E-2</v>
      </c>
      <c r="AF1185" s="2">
        <v>4.8509510087747738E-2</v>
      </c>
      <c r="AG1185" s="2">
        <v>8.692501239489581E-3</v>
      </c>
      <c r="AH1185" s="2">
        <v>0</v>
      </c>
      <c r="AI1185" s="2">
        <v>0</v>
      </c>
      <c r="AJ1185" s="2">
        <v>0</v>
      </c>
      <c r="AK1185" s="2">
        <v>0</v>
      </c>
      <c r="AL1185" s="2">
        <v>0</v>
      </c>
      <c r="AM1185" s="2">
        <v>0</v>
      </c>
      <c r="AN1185" s="2">
        <v>0</v>
      </c>
      <c r="AO1185" s="2">
        <v>0</v>
      </c>
      <c r="AP1185" s="2">
        <v>0</v>
      </c>
      <c r="AQ1185" s="2">
        <v>0</v>
      </c>
      <c r="AR1185" s="2">
        <v>0.65037519075457351</v>
      </c>
    </row>
    <row r="1186" spans="1:44" x14ac:dyDescent="0.25">
      <c r="A1186" t="s">
        <v>435</v>
      </c>
      <c r="B1186" t="s">
        <v>474</v>
      </c>
      <c r="C1186" t="s">
        <v>44</v>
      </c>
      <c r="D1186" t="s">
        <v>475</v>
      </c>
      <c r="E1186" t="s">
        <v>134</v>
      </c>
      <c r="F1186" t="s">
        <v>475</v>
      </c>
      <c r="G1186" t="s">
        <v>33</v>
      </c>
      <c r="H1186" t="s">
        <v>453</v>
      </c>
      <c r="I1186" t="s">
        <v>135</v>
      </c>
      <c r="J1186" t="s">
        <v>39</v>
      </c>
      <c r="K1186" t="s">
        <v>33</v>
      </c>
      <c r="L1186">
        <v>7.9536631333358532E-2</v>
      </c>
      <c r="M1186">
        <v>1</v>
      </c>
      <c r="N1186">
        <v>5.0242646361273096</v>
      </c>
      <c r="O1186">
        <v>2.8779545327574687</v>
      </c>
      <c r="P1186">
        <v>-0.75648033687548133</v>
      </c>
      <c r="Q1186">
        <v>0.31026572305143058</v>
      </c>
      <c r="R1186">
        <v>-0.52509153328775171</v>
      </c>
      <c r="S1186" s="2">
        <v>6.532950980844522E-3</v>
      </c>
      <c r="T1186" s="2">
        <v>1.0544823234225837E-2</v>
      </c>
      <c r="U1186" s="2">
        <v>1.5882188833097801E-2</v>
      </c>
      <c r="V1186" s="2">
        <v>2.2571343684619136E-2</v>
      </c>
      <c r="W1186" s="2">
        <v>3.0466548085390822E-2</v>
      </c>
      <c r="X1186" s="2">
        <v>3.9191195152333116E-2</v>
      </c>
      <c r="Y1186" s="2">
        <v>4.8099098355492267E-2</v>
      </c>
      <c r="Z1186" s="2">
        <v>5.6283030963638056E-2</v>
      </c>
      <c r="AA1186" s="2">
        <v>6.2659138543156467E-2</v>
      </c>
      <c r="AB1186" s="2">
        <v>6.6143691988683362E-2</v>
      </c>
      <c r="AC1186" s="2">
        <v>6.5907831358093402E-2</v>
      </c>
      <c r="AD1186" s="2">
        <v>6.1650318660884149E-2</v>
      </c>
      <c r="AE1186" s="2">
        <v>5.3786580146520421E-2</v>
      </c>
      <c r="AF1186" s="2">
        <v>4.4138023379986811E-2</v>
      </c>
      <c r="AG1186" s="2">
        <v>7.9091671353748675E-3</v>
      </c>
      <c r="AH1186" s="2">
        <v>0</v>
      </c>
      <c r="AI1186" s="2">
        <v>0</v>
      </c>
      <c r="AJ1186" s="2">
        <v>0</v>
      </c>
      <c r="AK1186" s="2">
        <v>0</v>
      </c>
      <c r="AL1186" s="2">
        <v>0</v>
      </c>
      <c r="AM1186" s="2">
        <v>0</v>
      </c>
      <c r="AN1186" s="2">
        <v>0</v>
      </c>
      <c r="AO1186" s="2">
        <v>0</v>
      </c>
      <c r="AP1186" s="2">
        <v>0</v>
      </c>
      <c r="AQ1186" s="2">
        <v>0</v>
      </c>
      <c r="AR1186" s="2">
        <v>0.59176593050234094</v>
      </c>
    </row>
    <row r="1187" spans="1:44" x14ac:dyDescent="0.25">
      <c r="A1187" t="s">
        <v>435</v>
      </c>
      <c r="B1187" t="s">
        <v>474</v>
      </c>
      <c r="C1187" t="s">
        <v>44</v>
      </c>
      <c r="D1187" t="s">
        <v>475</v>
      </c>
      <c r="E1187" t="s">
        <v>134</v>
      </c>
      <c r="F1187" t="s">
        <v>475</v>
      </c>
      <c r="G1187" t="s">
        <v>33</v>
      </c>
      <c r="H1187" t="s">
        <v>453</v>
      </c>
      <c r="I1187" t="s">
        <v>135</v>
      </c>
      <c r="J1187" t="s">
        <v>40</v>
      </c>
      <c r="K1187" t="s">
        <v>33</v>
      </c>
      <c r="L1187">
        <v>7.9536631333358532E-2</v>
      </c>
      <c r="M1187">
        <v>1</v>
      </c>
      <c r="N1187">
        <v>5.0242646361273096</v>
      </c>
      <c r="O1187">
        <v>1.7054155637884916</v>
      </c>
      <c r="P1187">
        <v>-0.75648033687548133</v>
      </c>
      <c r="Q1187">
        <v>1.3498045353129324</v>
      </c>
      <c r="R1187">
        <v>-0.38209153328775169</v>
      </c>
      <c r="S1187" s="2">
        <v>0.13304104010577272</v>
      </c>
      <c r="T1187" s="2">
        <v>0.21474127923604447</v>
      </c>
      <c r="U1187" s="2">
        <v>0.32343468177048418</v>
      </c>
      <c r="V1187" s="2">
        <v>0.4596567537689385</v>
      </c>
      <c r="W1187" s="2">
        <v>0.62043956209035567</v>
      </c>
      <c r="X1187" s="2">
        <v>0.79811365206060247</v>
      </c>
      <c r="Y1187" s="2">
        <v>0.97951968293160652</v>
      </c>
      <c r="Z1187" s="2">
        <v>1.146182330414462</v>
      </c>
      <c r="AA1187" s="2">
        <v>1.2760293148312614</v>
      </c>
      <c r="AB1187" s="2">
        <v>1.3469909087658174</v>
      </c>
      <c r="AC1187" s="2">
        <v>1.3421876975208995</v>
      </c>
      <c r="AD1187" s="2">
        <v>1.2554850850015213</v>
      </c>
      <c r="AE1187" s="2">
        <v>1.095343067383699</v>
      </c>
      <c r="AF1187" s="2">
        <v>0.89885391087493793</v>
      </c>
      <c r="AG1187" s="2">
        <v>0.16106715405426791</v>
      </c>
      <c r="AH1187" s="2">
        <v>0</v>
      </c>
      <c r="AI1187" s="2">
        <v>0</v>
      </c>
      <c r="AJ1187" s="2">
        <v>0</v>
      </c>
      <c r="AK1187" s="2">
        <v>0</v>
      </c>
      <c r="AL1187" s="2">
        <v>0</v>
      </c>
      <c r="AM1187" s="2">
        <v>0</v>
      </c>
      <c r="AN1187" s="2">
        <v>0</v>
      </c>
      <c r="AO1187" s="2">
        <v>0</v>
      </c>
      <c r="AP1187" s="2">
        <v>0</v>
      </c>
      <c r="AQ1187" s="2">
        <v>0</v>
      </c>
      <c r="AR1187" s="2">
        <v>12.051086120810671</v>
      </c>
    </row>
    <row r="1188" spans="1:44" x14ac:dyDescent="0.25">
      <c r="A1188" t="s">
        <v>435</v>
      </c>
      <c r="B1188" t="s">
        <v>474</v>
      </c>
      <c r="C1188" t="s">
        <v>44</v>
      </c>
      <c r="D1188" t="s">
        <v>475</v>
      </c>
      <c r="E1188" t="s">
        <v>134</v>
      </c>
      <c r="F1188" t="s">
        <v>475</v>
      </c>
      <c r="G1188" t="s">
        <v>33</v>
      </c>
      <c r="H1188" t="s">
        <v>453</v>
      </c>
      <c r="I1188" t="s">
        <v>256</v>
      </c>
      <c r="J1188" t="s">
        <v>40</v>
      </c>
      <c r="K1188" t="s">
        <v>33</v>
      </c>
      <c r="L1188">
        <v>7.9536631333358532E-2</v>
      </c>
      <c r="M1188">
        <v>1</v>
      </c>
      <c r="N1188">
        <v>4.6198497050152856</v>
      </c>
      <c r="O1188">
        <v>1.473762203864009</v>
      </c>
      <c r="P1188">
        <v>-0.63100424586121473</v>
      </c>
      <c r="Q1188">
        <v>1.3498045353129324</v>
      </c>
      <c r="R1188">
        <v>-0.25661544227348515</v>
      </c>
      <c r="S1188" s="2">
        <v>6.8489160401980317E-2</v>
      </c>
      <c r="T1188" s="2">
        <v>0.11054821810496149</v>
      </c>
      <c r="U1188" s="2">
        <v>0.16650328185746777</v>
      </c>
      <c r="V1188" s="2">
        <v>0.23663002870171029</v>
      </c>
      <c r="W1188" s="2">
        <v>0.31940057484485174</v>
      </c>
      <c r="X1188" s="2">
        <v>0.41086670617976534</v>
      </c>
      <c r="Y1188" s="2">
        <v>0.50425403039440586</v>
      </c>
      <c r="Z1188" s="2">
        <v>0.59005150151607599</v>
      </c>
      <c r="AA1188" s="2">
        <v>0.65689637086139407</v>
      </c>
      <c r="AB1188" s="2">
        <v>0.69342720364427102</v>
      </c>
      <c r="AC1188" s="2">
        <v>0.69095452374687794</v>
      </c>
      <c r="AD1188" s="2">
        <v>0.64632025802414073</v>
      </c>
      <c r="AE1188" s="2">
        <v>0.56387958916734415</v>
      </c>
      <c r="AF1188" s="2">
        <v>0.46272751348694341</v>
      </c>
      <c r="AG1188" s="2">
        <v>8.2916926541935998E-2</v>
      </c>
      <c r="AH1188" s="2">
        <v>0</v>
      </c>
      <c r="AI1188" s="2">
        <v>0</v>
      </c>
      <c r="AJ1188" s="2">
        <v>0</v>
      </c>
      <c r="AK1188" s="2">
        <v>0</v>
      </c>
      <c r="AL1188" s="2">
        <v>0</v>
      </c>
      <c r="AM1188" s="2">
        <v>0</v>
      </c>
      <c r="AN1188" s="2">
        <v>0</v>
      </c>
      <c r="AO1188" s="2">
        <v>0</v>
      </c>
      <c r="AP1188" s="2">
        <v>0</v>
      </c>
      <c r="AQ1188" s="2">
        <v>0</v>
      </c>
      <c r="AR1188" s="2">
        <v>6.2038658874741248</v>
      </c>
    </row>
    <row r="1189" spans="1:44" x14ac:dyDescent="0.25">
      <c r="A1189" t="s">
        <v>435</v>
      </c>
      <c r="B1189" t="s">
        <v>474</v>
      </c>
      <c r="C1189" t="s">
        <v>44</v>
      </c>
      <c r="D1189" t="s">
        <v>475</v>
      </c>
      <c r="E1189" t="s">
        <v>134</v>
      </c>
      <c r="F1189" t="s">
        <v>475</v>
      </c>
      <c r="G1189" t="s">
        <v>33</v>
      </c>
      <c r="H1189" t="s">
        <v>454</v>
      </c>
      <c r="I1189" t="s">
        <v>135</v>
      </c>
      <c r="J1189" t="s">
        <v>39</v>
      </c>
      <c r="K1189" t="s">
        <v>31</v>
      </c>
      <c r="L1189">
        <v>7.9536631333358532E-2</v>
      </c>
      <c r="M1189">
        <v>1</v>
      </c>
      <c r="N1189">
        <v>5.0242646361273096</v>
      </c>
      <c r="O1189">
        <v>2.8779545327574687</v>
      </c>
      <c r="P1189">
        <v>-0.75648033687548133</v>
      </c>
      <c r="Q1189">
        <v>0.31026572305143058</v>
      </c>
      <c r="R1189">
        <v>-0.52509153328775171</v>
      </c>
      <c r="S1189" s="2">
        <v>3.9535935261325356E-4</v>
      </c>
      <c r="T1189" s="2">
        <v>6.3814874771428204E-4</v>
      </c>
      <c r="U1189" s="2">
        <v>9.611539889930839E-4</v>
      </c>
      <c r="V1189" s="2">
        <v>1.365966445015126E-3</v>
      </c>
      <c r="W1189" s="2">
        <v>1.8437662800040748E-3</v>
      </c>
      <c r="X1189" s="2">
        <v>2.3717621009247333E-3</v>
      </c>
      <c r="Y1189" s="2">
        <v>2.9108481669106842E-3</v>
      </c>
      <c r="Z1189" s="2">
        <v>3.4061211771129964E-3</v>
      </c>
      <c r="AA1189" s="2">
        <v>3.7919887233753727E-3</v>
      </c>
      <c r="AB1189" s="2">
        <v>4.0028659821224905E-3</v>
      </c>
      <c r="AC1189" s="2">
        <v>3.9885922325581021E-3</v>
      </c>
      <c r="AD1189" s="2">
        <v>3.7309372358120892E-3</v>
      </c>
      <c r="AE1189" s="2">
        <v>3.2550416447882538E-3</v>
      </c>
      <c r="AF1189" s="2">
        <v>2.6711329076717491E-3</v>
      </c>
      <c r="AG1189" s="2">
        <v>4.7864482796833134E-4</v>
      </c>
      <c r="AH1189" s="2">
        <v>0</v>
      </c>
      <c r="AI1189" s="2">
        <v>0</v>
      </c>
      <c r="AJ1189" s="2">
        <v>0</v>
      </c>
      <c r="AK1189" s="2">
        <v>0</v>
      </c>
      <c r="AL1189" s="2">
        <v>0</v>
      </c>
      <c r="AM1189" s="2">
        <v>0</v>
      </c>
      <c r="AN1189" s="2">
        <v>0</v>
      </c>
      <c r="AO1189" s="2">
        <v>0</v>
      </c>
      <c r="AP1189" s="2">
        <v>0</v>
      </c>
      <c r="AQ1189" s="2">
        <v>0</v>
      </c>
      <c r="AR1189" s="2">
        <v>3.5812329813584627E-2</v>
      </c>
    </row>
    <row r="1190" spans="1:44" x14ac:dyDescent="0.25">
      <c r="A1190" t="s">
        <v>435</v>
      </c>
      <c r="B1190" t="s">
        <v>474</v>
      </c>
      <c r="C1190" t="s">
        <v>44</v>
      </c>
      <c r="D1190" t="s">
        <v>475</v>
      </c>
      <c r="E1190" t="s">
        <v>134</v>
      </c>
      <c r="F1190" t="s">
        <v>475</v>
      </c>
      <c r="G1190" t="s">
        <v>33</v>
      </c>
      <c r="H1190" t="s">
        <v>454</v>
      </c>
      <c r="I1190" t="s">
        <v>135</v>
      </c>
      <c r="J1190" t="s">
        <v>39</v>
      </c>
      <c r="K1190" t="s">
        <v>33</v>
      </c>
      <c r="L1190">
        <v>7.9536631333358532E-2</v>
      </c>
      <c r="M1190">
        <v>1</v>
      </c>
      <c r="N1190">
        <v>5.0242646361273096</v>
      </c>
      <c r="O1190">
        <v>2.8779545327574687</v>
      </c>
      <c r="P1190">
        <v>-0.75648033687548133</v>
      </c>
      <c r="Q1190">
        <v>0.31026572305143058</v>
      </c>
      <c r="R1190">
        <v>-0.52509153328775171</v>
      </c>
      <c r="S1190" s="2">
        <v>3.1727604591555579E-3</v>
      </c>
      <c r="T1190" s="2">
        <v>5.1211463708260739E-3</v>
      </c>
      <c r="U1190" s="2">
        <v>7.7132647837471818E-3</v>
      </c>
      <c r="V1190" s="2">
        <v>1.0961886437316043E-2</v>
      </c>
      <c r="W1190" s="2">
        <v>1.4796232112519805E-2</v>
      </c>
      <c r="X1190" s="2">
        <v>1.9033400784877363E-2</v>
      </c>
      <c r="Y1190" s="2">
        <v>2.3359568720292514E-2</v>
      </c>
      <c r="Z1190" s="2">
        <v>2.7334136699702354E-2</v>
      </c>
      <c r="AA1190" s="2">
        <v>3.0430725373172391E-2</v>
      </c>
      <c r="AB1190" s="2">
        <v>3.2123016257062161E-2</v>
      </c>
      <c r="AC1190" s="2">
        <v>3.2008469357077539E-2</v>
      </c>
      <c r="AD1190" s="2">
        <v>2.9940786929998912E-2</v>
      </c>
      <c r="AE1190" s="2">
        <v>2.6121722820583754E-2</v>
      </c>
      <c r="AF1190" s="2">
        <v>2.1435852761779433E-2</v>
      </c>
      <c r="AG1190" s="2">
        <v>3.8411267473992508E-3</v>
      </c>
      <c r="AH1190" s="2">
        <v>0</v>
      </c>
      <c r="AI1190" s="2">
        <v>0</v>
      </c>
      <c r="AJ1190" s="2">
        <v>0</v>
      </c>
      <c r="AK1190" s="2">
        <v>0</v>
      </c>
      <c r="AL1190" s="2">
        <v>0</v>
      </c>
      <c r="AM1190" s="2">
        <v>0</v>
      </c>
      <c r="AN1190" s="2">
        <v>0</v>
      </c>
      <c r="AO1190" s="2">
        <v>0</v>
      </c>
      <c r="AP1190" s="2">
        <v>0</v>
      </c>
      <c r="AQ1190" s="2">
        <v>0</v>
      </c>
      <c r="AR1190" s="2">
        <v>0.28739409661551035</v>
      </c>
    </row>
    <row r="1191" spans="1:44" x14ac:dyDescent="0.25">
      <c r="A1191" t="s">
        <v>435</v>
      </c>
      <c r="B1191" t="s">
        <v>474</v>
      </c>
      <c r="C1191" t="s">
        <v>44</v>
      </c>
      <c r="D1191" t="s">
        <v>475</v>
      </c>
      <c r="E1191" t="s">
        <v>134</v>
      </c>
      <c r="F1191" t="s">
        <v>475</v>
      </c>
      <c r="G1191" t="s">
        <v>33</v>
      </c>
      <c r="H1191" t="s">
        <v>455</v>
      </c>
      <c r="I1191" t="s">
        <v>135</v>
      </c>
      <c r="J1191" t="s">
        <v>39</v>
      </c>
      <c r="K1191" t="s">
        <v>31</v>
      </c>
      <c r="L1191">
        <v>7.9536631333358532E-2</v>
      </c>
      <c r="M1191">
        <v>1</v>
      </c>
      <c r="N1191">
        <v>5.0242646361273096</v>
      </c>
      <c r="O1191">
        <v>2.8779545327574687</v>
      </c>
      <c r="P1191">
        <v>-0.75648033687548133</v>
      </c>
      <c r="Q1191">
        <v>0.31026572305143058</v>
      </c>
      <c r="R1191">
        <v>-0.52509153328775171</v>
      </c>
      <c r="S1191" s="2">
        <v>9.3152523639179128E-5</v>
      </c>
      <c r="T1191" s="2">
        <v>1.5035730383977376E-4</v>
      </c>
      <c r="U1191" s="2">
        <v>2.2646212638898408E-4</v>
      </c>
      <c r="V1191" s="2">
        <v>3.2184194130869149E-4</v>
      </c>
      <c r="W1191" s="2">
        <v>4.3441866455910257E-4</v>
      </c>
      <c r="X1191" s="2">
        <v>5.5882230611861337E-4</v>
      </c>
      <c r="Y1191" s="2">
        <v>6.8583897379924765E-4</v>
      </c>
      <c r="Z1191" s="2">
        <v>8.025326361238346E-4</v>
      </c>
      <c r="AA1191" s="2">
        <v>8.9344874949566001E-4</v>
      </c>
      <c r="AB1191" s="2">
        <v>9.4313455735770891E-4</v>
      </c>
      <c r="AC1191" s="2">
        <v>9.397714503895097E-4</v>
      </c>
      <c r="AD1191" s="2">
        <v>8.7906411409787539E-4</v>
      </c>
      <c r="AE1191" s="2">
        <v>7.6693605895105787E-4</v>
      </c>
      <c r="AF1191" s="2">
        <v>6.2935850557374845E-4</v>
      </c>
      <c r="AG1191" s="2">
        <v>1.1277581612115334E-4</v>
      </c>
      <c r="AH1191" s="2">
        <v>0</v>
      </c>
      <c r="AI1191" s="2">
        <v>0</v>
      </c>
      <c r="AJ1191" s="2">
        <v>0</v>
      </c>
      <c r="AK1191" s="2">
        <v>0</v>
      </c>
      <c r="AL1191" s="2">
        <v>0</v>
      </c>
      <c r="AM1191" s="2">
        <v>0</v>
      </c>
      <c r="AN1191" s="2">
        <v>0</v>
      </c>
      <c r="AO1191" s="2">
        <v>0</v>
      </c>
      <c r="AP1191" s="2">
        <v>0</v>
      </c>
      <c r="AQ1191" s="2">
        <v>0</v>
      </c>
      <c r="AR1191" s="2">
        <v>8.4379157277641413E-3</v>
      </c>
    </row>
    <row r="1192" spans="1:44" x14ac:dyDescent="0.25">
      <c r="A1192" t="s">
        <v>435</v>
      </c>
      <c r="B1192" t="s">
        <v>474</v>
      </c>
      <c r="C1192" t="s">
        <v>44</v>
      </c>
      <c r="D1192" t="s">
        <v>475</v>
      </c>
      <c r="E1192" t="s">
        <v>134</v>
      </c>
      <c r="F1192" t="s">
        <v>475</v>
      </c>
      <c r="G1192" t="s">
        <v>33</v>
      </c>
      <c r="H1192" t="s">
        <v>455</v>
      </c>
      <c r="I1192" t="s">
        <v>135</v>
      </c>
      <c r="J1192" t="s">
        <v>39</v>
      </c>
      <c r="K1192" t="s">
        <v>33</v>
      </c>
      <c r="L1192">
        <v>7.9536631333358532E-2</v>
      </c>
      <c r="M1192">
        <v>1</v>
      </c>
      <c r="N1192">
        <v>5.0242646361273096</v>
      </c>
      <c r="O1192">
        <v>2.8779545327574687</v>
      </c>
      <c r="P1192">
        <v>-0.75648033687548133</v>
      </c>
      <c r="Q1192">
        <v>0.31026572305143058</v>
      </c>
      <c r="R1192">
        <v>-0.52509153328775171</v>
      </c>
      <c r="S1192" s="2">
        <v>2.3684753935005443E-3</v>
      </c>
      <c r="T1192" s="2">
        <v>3.8229514399093427E-3</v>
      </c>
      <c r="U1192" s="2">
        <v>5.7579757687480065E-3</v>
      </c>
      <c r="V1192" s="2">
        <v>8.1830817760634028E-3</v>
      </c>
      <c r="W1192" s="2">
        <v>1.1045432558231318E-2</v>
      </c>
      <c r="X1192" s="2">
        <v>1.4208491940678761E-2</v>
      </c>
      <c r="Y1192" s="2">
        <v>1.7437989545395178E-2</v>
      </c>
      <c r="Z1192" s="2">
        <v>2.0405016706825724E-2</v>
      </c>
      <c r="AA1192" s="2">
        <v>2.2716629629176085E-2</v>
      </c>
      <c r="AB1192" s="2">
        <v>2.3979929953526758E-2</v>
      </c>
      <c r="AC1192" s="2">
        <v>2.3894420342099123E-2</v>
      </c>
      <c r="AD1192" s="2">
        <v>2.2350889081812108E-2</v>
      </c>
      <c r="AE1192" s="2">
        <v>1.9499946035277063E-2</v>
      </c>
      <c r="AF1192" s="2">
        <v>1.6001929694524741E-2</v>
      </c>
      <c r="AG1192" s="2">
        <v>2.8674128733164176E-3</v>
      </c>
      <c r="AH1192" s="2">
        <v>0</v>
      </c>
      <c r="AI1192" s="2">
        <v>0</v>
      </c>
      <c r="AJ1192" s="2">
        <v>0</v>
      </c>
      <c r="AK1192" s="2">
        <v>0</v>
      </c>
      <c r="AL1192" s="2">
        <v>0</v>
      </c>
      <c r="AM1192" s="2">
        <v>0</v>
      </c>
      <c r="AN1192" s="2">
        <v>0</v>
      </c>
      <c r="AO1192" s="2">
        <v>0</v>
      </c>
      <c r="AP1192" s="2">
        <v>0</v>
      </c>
      <c r="AQ1192" s="2">
        <v>0</v>
      </c>
      <c r="AR1192" s="2">
        <v>0.21454057273908458</v>
      </c>
    </row>
    <row r="1193" spans="1:44" x14ac:dyDescent="0.25">
      <c r="A1193" t="s">
        <v>435</v>
      </c>
      <c r="B1193" t="s">
        <v>474</v>
      </c>
      <c r="C1193" t="s">
        <v>44</v>
      </c>
      <c r="D1193" t="s">
        <v>475</v>
      </c>
      <c r="E1193" t="s">
        <v>134</v>
      </c>
      <c r="F1193" t="s">
        <v>475</v>
      </c>
      <c r="G1193" t="s">
        <v>33</v>
      </c>
      <c r="H1193" t="s">
        <v>457</v>
      </c>
      <c r="I1193" t="s">
        <v>135</v>
      </c>
      <c r="J1193" t="s">
        <v>39</v>
      </c>
      <c r="K1193" t="s">
        <v>31</v>
      </c>
      <c r="L1193">
        <v>7.9536631333358532E-2</v>
      </c>
      <c r="M1193">
        <v>1</v>
      </c>
      <c r="N1193">
        <v>5.0242646361273096</v>
      </c>
      <c r="O1193">
        <v>2.8779545327574687</v>
      </c>
      <c r="P1193">
        <v>-0.75648033687548133</v>
      </c>
      <c r="Q1193">
        <v>0.31026572305143058</v>
      </c>
      <c r="R1193">
        <v>-0.52509153328775171</v>
      </c>
      <c r="S1193" s="2">
        <v>6.2076009809094845E-3</v>
      </c>
      <c r="T1193" s="2">
        <v>1.0019676443957581E-2</v>
      </c>
      <c r="U1193" s="2">
        <v>1.5091233849512622E-2</v>
      </c>
      <c r="V1193" s="2">
        <v>2.1447259532165378E-2</v>
      </c>
      <c r="W1193" s="2">
        <v>2.8949271827438349E-2</v>
      </c>
      <c r="X1193" s="2">
        <v>3.7239419396223369E-2</v>
      </c>
      <c r="Y1193" s="2">
        <v>4.5703696692029623E-2</v>
      </c>
      <c r="Z1193" s="2">
        <v>5.348005813037239E-2</v>
      </c>
      <c r="AA1193" s="2">
        <v>5.9538626728400719E-2</v>
      </c>
      <c r="AB1193" s="2">
        <v>6.2849644589993162E-2</v>
      </c>
      <c r="AC1193" s="2">
        <v>6.2625530145219127E-2</v>
      </c>
      <c r="AD1193" s="2">
        <v>5.8580047472392711E-2</v>
      </c>
      <c r="AE1193" s="2">
        <v>5.1107934018838286E-2</v>
      </c>
      <c r="AF1193" s="2">
        <v>4.1939888732119748E-2</v>
      </c>
      <c r="AG1193" s="2">
        <v>7.515279666369723E-3</v>
      </c>
      <c r="AH1193" s="2">
        <v>0</v>
      </c>
      <c r="AI1193" s="2">
        <v>0</v>
      </c>
      <c r="AJ1193" s="2">
        <v>0</v>
      </c>
      <c r="AK1193" s="2">
        <v>0</v>
      </c>
      <c r="AL1193" s="2">
        <v>0</v>
      </c>
      <c r="AM1193" s="2">
        <v>0</v>
      </c>
      <c r="AN1193" s="2">
        <v>0</v>
      </c>
      <c r="AO1193" s="2">
        <v>0</v>
      </c>
      <c r="AP1193" s="2">
        <v>0</v>
      </c>
      <c r="AQ1193" s="2">
        <v>0</v>
      </c>
      <c r="AR1193" s="2">
        <v>0.56229516820594239</v>
      </c>
    </row>
    <row r="1194" spans="1:44" x14ac:dyDescent="0.25">
      <c r="A1194" t="s">
        <v>435</v>
      </c>
      <c r="B1194" t="s">
        <v>474</v>
      </c>
      <c r="C1194" t="s">
        <v>44</v>
      </c>
      <c r="D1194" t="s">
        <v>475</v>
      </c>
      <c r="E1194" t="s">
        <v>134</v>
      </c>
      <c r="F1194" t="s">
        <v>475</v>
      </c>
      <c r="G1194" t="s">
        <v>33</v>
      </c>
      <c r="H1194" t="s">
        <v>457</v>
      </c>
      <c r="I1194" t="s">
        <v>135</v>
      </c>
      <c r="J1194" t="s">
        <v>39</v>
      </c>
      <c r="K1194" t="s">
        <v>33</v>
      </c>
      <c r="L1194">
        <v>7.9536631333358532E-2</v>
      </c>
      <c r="M1194">
        <v>1</v>
      </c>
      <c r="N1194">
        <v>5.0242646361273096</v>
      </c>
      <c r="O1194">
        <v>2.8779545327574687</v>
      </c>
      <c r="P1194">
        <v>-0.75648033687548133</v>
      </c>
      <c r="Q1194">
        <v>0.31026572305143058</v>
      </c>
      <c r="R1194">
        <v>-0.52509153328775171</v>
      </c>
      <c r="S1194" s="2">
        <v>1.8163103431957511E-3</v>
      </c>
      <c r="T1194" s="2">
        <v>2.9317029262355449E-3</v>
      </c>
      <c r="U1194" s="2">
        <v>4.4156130873669146E-3</v>
      </c>
      <c r="V1194" s="2">
        <v>6.2753516924292227E-3</v>
      </c>
      <c r="W1194" s="2">
        <v>8.470399758274726E-3</v>
      </c>
      <c r="X1194" s="2">
        <v>1.0896051926013971E-2</v>
      </c>
      <c r="Y1194" s="2">
        <v>1.3372653506452123E-2</v>
      </c>
      <c r="Z1194" s="2">
        <v>1.5647974641996697E-2</v>
      </c>
      <c r="AA1194" s="2">
        <v>1.7420678919124313E-2</v>
      </c>
      <c r="AB1194" s="2">
        <v>1.8389464768442085E-2</v>
      </c>
      <c r="AC1194" s="2">
        <v>1.8323890098717897E-2</v>
      </c>
      <c r="AD1194" s="2">
        <v>1.7140203833368214E-2</v>
      </c>
      <c r="AE1194" s="2">
        <v>1.4953904006275489E-2</v>
      </c>
      <c r="AF1194" s="2">
        <v>1.2271383732764894E-2</v>
      </c>
      <c r="AG1194" s="2">
        <v>2.1989300265939284E-3</v>
      </c>
      <c r="AH1194" s="2">
        <v>0</v>
      </c>
      <c r="AI1194" s="2">
        <v>0</v>
      </c>
      <c r="AJ1194" s="2">
        <v>0</v>
      </c>
      <c r="AK1194" s="2">
        <v>0</v>
      </c>
      <c r="AL1194" s="2">
        <v>0</v>
      </c>
      <c r="AM1194" s="2">
        <v>0</v>
      </c>
      <c r="AN1194" s="2">
        <v>0</v>
      </c>
      <c r="AO1194" s="2">
        <v>0</v>
      </c>
      <c r="AP1194" s="2">
        <v>0</v>
      </c>
      <c r="AQ1194" s="2">
        <v>0</v>
      </c>
      <c r="AR1194" s="2">
        <v>0.16452451326725179</v>
      </c>
    </row>
    <row r="1195" spans="1:44" x14ac:dyDescent="0.25">
      <c r="A1195" t="s">
        <v>435</v>
      </c>
      <c r="B1195" t="s">
        <v>474</v>
      </c>
      <c r="C1195" t="s">
        <v>44</v>
      </c>
      <c r="D1195" t="s">
        <v>475</v>
      </c>
      <c r="E1195" t="s">
        <v>134</v>
      </c>
      <c r="F1195" t="s">
        <v>475</v>
      </c>
      <c r="G1195" t="s">
        <v>33</v>
      </c>
      <c r="H1195" t="s">
        <v>457</v>
      </c>
      <c r="I1195" t="s">
        <v>256</v>
      </c>
      <c r="J1195" t="s">
        <v>39</v>
      </c>
      <c r="K1195" t="s">
        <v>33</v>
      </c>
      <c r="L1195">
        <v>7.9536631333358532E-2</v>
      </c>
      <c r="M1195">
        <v>1</v>
      </c>
      <c r="N1195">
        <v>4.6198497050152856</v>
      </c>
      <c r="O1195">
        <v>2.6463011728329868</v>
      </c>
      <c r="P1195">
        <v>-0.63100424586121473</v>
      </c>
      <c r="Q1195">
        <v>1.3498045353129324</v>
      </c>
      <c r="R1195">
        <v>-0.39961544227348506</v>
      </c>
      <c r="S1195" s="2">
        <v>4.994975316453024E-3</v>
      </c>
      <c r="T1195" s="2">
        <v>8.0623797615743866E-3</v>
      </c>
      <c r="U1195" s="2">
        <v>1.2143232273620116E-2</v>
      </c>
      <c r="V1195" s="2">
        <v>1.725763822420048E-2</v>
      </c>
      <c r="W1195" s="2">
        <v>2.329416769087465E-2</v>
      </c>
      <c r="X1195" s="2">
        <v>2.9964873911068494E-2</v>
      </c>
      <c r="Y1195" s="2">
        <v>3.6775694434840571E-2</v>
      </c>
      <c r="Z1195" s="2">
        <v>4.3032980229432402E-2</v>
      </c>
      <c r="AA1195" s="2">
        <v>4.7908035938273266E-2</v>
      </c>
      <c r="AB1195" s="2">
        <v>5.0572262028489245E-2</v>
      </c>
      <c r="AC1195" s="2">
        <v>5.0391927286750897E-2</v>
      </c>
      <c r="AD1195" s="2">
        <v>4.7136710632837413E-2</v>
      </c>
      <c r="AE1195" s="2">
        <v>4.1124239409731728E-2</v>
      </c>
      <c r="AF1195" s="2">
        <v>3.3747128663065583E-2</v>
      </c>
      <c r="AG1195" s="2">
        <v>6.0472051192082708E-3</v>
      </c>
      <c r="AH1195" s="2">
        <v>0</v>
      </c>
      <c r="AI1195" s="2">
        <v>0</v>
      </c>
      <c r="AJ1195" s="2">
        <v>0</v>
      </c>
      <c r="AK1195" s="2">
        <v>0</v>
      </c>
      <c r="AL1195" s="2">
        <v>0</v>
      </c>
      <c r="AM1195" s="2">
        <v>0</v>
      </c>
      <c r="AN1195" s="2">
        <v>0</v>
      </c>
      <c r="AO1195" s="2">
        <v>0</v>
      </c>
      <c r="AP1195" s="2">
        <v>0</v>
      </c>
      <c r="AQ1195" s="2">
        <v>0</v>
      </c>
      <c r="AR1195" s="2">
        <v>0.45245345092042044</v>
      </c>
    </row>
    <row r="1196" spans="1:44" x14ac:dyDescent="0.25">
      <c r="A1196" t="s">
        <v>435</v>
      </c>
      <c r="B1196" t="s">
        <v>474</v>
      </c>
      <c r="C1196" t="s">
        <v>44</v>
      </c>
      <c r="D1196" t="s">
        <v>475</v>
      </c>
      <c r="E1196" t="s">
        <v>134</v>
      </c>
      <c r="F1196" t="s">
        <v>475</v>
      </c>
      <c r="G1196" t="s">
        <v>33</v>
      </c>
      <c r="H1196" t="s">
        <v>457</v>
      </c>
      <c r="I1196" t="s">
        <v>256</v>
      </c>
      <c r="J1196" t="s">
        <v>40</v>
      </c>
      <c r="K1196" t="s">
        <v>33</v>
      </c>
      <c r="L1196">
        <v>7.9536631333358532E-2</v>
      </c>
      <c r="M1196">
        <v>1</v>
      </c>
      <c r="N1196">
        <v>4.6198497050152856</v>
      </c>
      <c r="O1196">
        <v>1.473762203864009</v>
      </c>
      <c r="P1196">
        <v>-0.63100424586121473</v>
      </c>
      <c r="Q1196">
        <v>1.3498045353129324</v>
      </c>
      <c r="R1196">
        <v>-0.25661544227348515</v>
      </c>
      <c r="S1196" s="2">
        <v>4.5705940291306923E-2</v>
      </c>
      <c r="T1196" s="2">
        <v>7.3773867665483148E-2</v>
      </c>
      <c r="U1196" s="2">
        <v>0.11111523362555378</v>
      </c>
      <c r="V1196" s="2">
        <v>0.15791401003446809</v>
      </c>
      <c r="W1196" s="2">
        <v>0.21315057035574056</v>
      </c>
      <c r="X1196" s="2">
        <v>0.27419009125121813</v>
      </c>
      <c r="Y1196" s="2">
        <v>0.33651171177433775</v>
      </c>
      <c r="Z1196" s="2">
        <v>0.39376827718142066</v>
      </c>
      <c r="AA1196" s="2">
        <v>0.43837690706015653</v>
      </c>
      <c r="AB1196" s="2">
        <v>0.46275559782182085</v>
      </c>
      <c r="AC1196" s="2">
        <v>0.46110546575586414</v>
      </c>
      <c r="AD1196" s="2">
        <v>0.4313189846237232</v>
      </c>
      <c r="AE1196" s="2">
        <v>0.37630256646019733</v>
      </c>
      <c r="AF1196" s="2">
        <v>0.30879917316036526</v>
      </c>
      <c r="AG1196" s="2">
        <v>5.5334246637296046E-2</v>
      </c>
      <c r="AH1196" s="2">
        <v>0</v>
      </c>
      <c r="AI1196" s="2">
        <v>0</v>
      </c>
      <c r="AJ1196" s="2">
        <v>0</v>
      </c>
      <c r="AK1196" s="2">
        <v>0</v>
      </c>
      <c r="AL1196" s="2">
        <v>0</v>
      </c>
      <c r="AM1196" s="2">
        <v>0</v>
      </c>
      <c r="AN1196" s="2">
        <v>0</v>
      </c>
      <c r="AO1196" s="2">
        <v>0</v>
      </c>
      <c r="AP1196" s="2">
        <v>0</v>
      </c>
      <c r="AQ1196" s="2">
        <v>0</v>
      </c>
      <c r="AR1196" s="2">
        <v>4.1401226436989527</v>
      </c>
    </row>
    <row r="1197" spans="1:44" x14ac:dyDescent="0.25">
      <c r="A1197" t="s">
        <v>435</v>
      </c>
      <c r="B1197" t="s">
        <v>478</v>
      </c>
      <c r="C1197" t="s">
        <v>45</v>
      </c>
      <c r="D1197" t="s">
        <v>358</v>
      </c>
      <c r="E1197" t="s">
        <v>145</v>
      </c>
      <c r="F1197" t="s">
        <v>358</v>
      </c>
      <c r="G1197" t="s">
        <v>33</v>
      </c>
      <c r="H1197" t="s">
        <v>450</v>
      </c>
      <c r="I1197" t="s">
        <v>135</v>
      </c>
      <c r="J1197" t="s">
        <v>39</v>
      </c>
      <c r="K1197" t="s">
        <v>31</v>
      </c>
      <c r="L1197">
        <v>2.2326092598625055E-2</v>
      </c>
      <c r="M1197">
        <v>1</v>
      </c>
      <c r="N1197">
        <v>2.0723427924853257</v>
      </c>
      <c r="O1197">
        <v>3.1523474906593343</v>
      </c>
      <c r="P1197">
        <v>-0.39143361450399961</v>
      </c>
      <c r="Q1197">
        <v>0.82393863314836524</v>
      </c>
      <c r="R1197">
        <v>-0.67371772101320482</v>
      </c>
      <c r="S1197" s="2">
        <v>5.1505174170563353E-4</v>
      </c>
      <c r="T1197" s="2">
        <v>9.6168390399362449E-4</v>
      </c>
      <c r="U1197" s="2">
        <v>1.6329500289516375E-3</v>
      </c>
      <c r="V1197" s="2">
        <v>2.5848833081120251E-3</v>
      </c>
      <c r="W1197" s="2">
        <v>3.8668572333035662E-3</v>
      </c>
      <c r="X1197" s="2">
        <v>5.5117714932736315E-3</v>
      </c>
      <c r="Y1197" s="2">
        <v>7.5246592578546269E-3</v>
      </c>
      <c r="Z1197" s="2">
        <v>9.8717471921256732E-3</v>
      </c>
      <c r="AA1197" s="2">
        <v>1.2473206925806056E-2</v>
      </c>
      <c r="AB1197" s="2">
        <v>1.5203515427169899E-2</v>
      </c>
      <c r="AC1197" s="2">
        <v>1.7902698338816823E-2</v>
      </c>
      <c r="AD1197" s="2">
        <v>2.0399141943699597E-2</v>
      </c>
      <c r="AE1197" s="2">
        <v>2.2540307458116169E-2</v>
      </c>
      <c r="AF1197" s="2">
        <v>2.4223084935950889E-2</v>
      </c>
      <c r="AG1197" s="2">
        <v>2.5413328769146391E-2</v>
      </c>
      <c r="AH1197" s="2">
        <v>2.6218506623736645E-2</v>
      </c>
      <c r="AI1197" s="2">
        <v>2.6558407803282134E-2</v>
      </c>
      <c r="AJ1197" s="2">
        <v>2.6783944680506887E-2</v>
      </c>
      <c r="AK1197" s="2">
        <v>2.6684215682517193E-2</v>
      </c>
      <c r="AL1197" s="2">
        <v>2.647851858956686E-2</v>
      </c>
      <c r="AM1197" s="2">
        <v>2.6274407126659082E-2</v>
      </c>
      <c r="AN1197" s="2">
        <v>2.6071869070856755E-2</v>
      </c>
      <c r="AO1197" s="2">
        <v>2.5870892293444091E-2</v>
      </c>
      <c r="AP1197" s="2">
        <v>2.5671464759200353E-2</v>
      </c>
      <c r="AQ1197" s="2">
        <v>2.5473574525679121E-2</v>
      </c>
      <c r="AR1197" s="2">
        <v>0.43271068911347532</v>
      </c>
    </row>
    <row r="1198" spans="1:44" x14ac:dyDescent="0.25">
      <c r="A1198" t="s">
        <v>435</v>
      </c>
      <c r="B1198" t="s">
        <v>478</v>
      </c>
      <c r="C1198" t="s">
        <v>45</v>
      </c>
      <c r="D1198" t="s">
        <v>358</v>
      </c>
      <c r="E1198" t="s">
        <v>145</v>
      </c>
      <c r="F1198" t="s">
        <v>358</v>
      </c>
      <c r="G1198" t="s">
        <v>33</v>
      </c>
      <c r="H1198" t="s">
        <v>450</v>
      </c>
      <c r="I1198" t="s">
        <v>135</v>
      </c>
      <c r="J1198" t="s">
        <v>39</v>
      </c>
      <c r="K1198" t="s">
        <v>33</v>
      </c>
      <c r="L1198">
        <v>2.2326092598625055E-2</v>
      </c>
      <c r="M1198">
        <v>1</v>
      </c>
      <c r="N1198">
        <v>2.0723427924853257</v>
      </c>
      <c r="O1198">
        <v>3.1523474906593343</v>
      </c>
      <c r="P1198">
        <v>-0.39143361450399961</v>
      </c>
      <c r="Q1198">
        <v>0.82393863314836524</v>
      </c>
      <c r="R1198">
        <v>-0.67371772101320482</v>
      </c>
      <c r="S1198" s="2">
        <v>3.1731319352076007E-4</v>
      </c>
      <c r="T1198" s="2">
        <v>5.920614400837848E-4</v>
      </c>
      <c r="U1198" s="2">
        <v>1.0046261649649603E-3</v>
      </c>
      <c r="V1198" s="2">
        <v>1.5891675647040748E-3</v>
      </c>
      <c r="W1198" s="2">
        <v>2.3756587041122179E-3</v>
      </c>
      <c r="X1198" s="2">
        <v>3.3838747125064911E-3</v>
      </c>
      <c r="Y1198" s="2">
        <v>4.6164386586163755E-3</v>
      </c>
      <c r="Z1198" s="2">
        <v>6.0521741446067237E-3</v>
      </c>
      <c r="AA1198" s="2">
        <v>7.6417474083340401E-3</v>
      </c>
      <c r="AB1198" s="2">
        <v>9.3079861942033885E-3</v>
      </c>
      <c r="AC1198" s="2">
        <v>1.0952855682589057E-2</v>
      </c>
      <c r="AD1198" s="2">
        <v>1.2471478190714197E-2</v>
      </c>
      <c r="AE1198" s="2">
        <v>1.3770922288834966E-2</v>
      </c>
      <c r="AF1198" s="2">
        <v>1.4788693358057081E-2</v>
      </c>
      <c r="AG1198" s="2">
        <v>1.5504546471602485E-2</v>
      </c>
      <c r="AH1198" s="2">
        <v>1.5984631305189158E-2</v>
      </c>
      <c r="AI1198" s="2">
        <v>1.6180571902410425E-2</v>
      </c>
      <c r="AJ1198" s="2">
        <v>1.6306604275712767E-2</v>
      </c>
      <c r="AK1198" s="2">
        <v>1.6234562712054219E-2</v>
      </c>
      <c r="AL1198" s="2">
        <v>1.6098188065849804E-2</v>
      </c>
      <c r="AM1198" s="2">
        <v>1.5962959002957806E-2</v>
      </c>
      <c r="AN1198" s="2">
        <v>1.5828865900173614E-2</v>
      </c>
      <c r="AO1198" s="2">
        <v>1.569589921513008E-2</v>
      </c>
      <c r="AP1198" s="2">
        <v>1.5564049485618471E-2</v>
      </c>
      <c r="AQ1198" s="2">
        <v>1.5433307328915156E-2</v>
      </c>
      <c r="AR1198" s="2">
        <v>0.26365918337146216</v>
      </c>
    </row>
    <row r="1199" spans="1:44" x14ac:dyDescent="0.25">
      <c r="A1199" t="s">
        <v>435</v>
      </c>
      <c r="B1199" t="s">
        <v>478</v>
      </c>
      <c r="C1199" t="s">
        <v>45</v>
      </c>
      <c r="D1199" t="s">
        <v>358</v>
      </c>
      <c r="E1199" t="s">
        <v>145</v>
      </c>
      <c r="F1199" t="s">
        <v>358</v>
      </c>
      <c r="G1199" t="s">
        <v>33</v>
      </c>
      <c r="H1199" t="s">
        <v>450</v>
      </c>
      <c r="I1199" t="s">
        <v>256</v>
      </c>
      <c r="J1199" t="s">
        <v>40</v>
      </c>
      <c r="K1199" t="s">
        <v>33</v>
      </c>
      <c r="L1199">
        <v>2.2326092598625055E-2</v>
      </c>
      <c r="M1199">
        <v>1</v>
      </c>
      <c r="N1199">
        <v>1.7396696203434354</v>
      </c>
      <c r="O1199">
        <v>1.4737622038640092</v>
      </c>
      <c r="P1199">
        <v>-0.11733133576427998</v>
      </c>
      <c r="Q1199">
        <v>1.3498045353129324</v>
      </c>
      <c r="R1199">
        <v>-0.25661544227348509</v>
      </c>
      <c r="S1199" s="2">
        <v>8.2888566174880111E-3</v>
      </c>
      <c r="T1199" s="2">
        <v>1.5476619815228305E-2</v>
      </c>
      <c r="U1199" s="2">
        <v>2.6279473609155977E-2</v>
      </c>
      <c r="V1199" s="2">
        <v>4.1599174177968441E-2</v>
      </c>
      <c r="W1199" s="2">
        <v>6.2230301485842097E-2</v>
      </c>
      <c r="X1199" s="2">
        <v>8.8702318459907101E-2</v>
      </c>
      <c r="Y1199" s="2">
        <v>0.1210962251622817</v>
      </c>
      <c r="Z1199" s="2">
        <v>0.15886849885925661</v>
      </c>
      <c r="AA1199" s="2">
        <v>0.20073444160364426</v>
      </c>
      <c r="AB1199" s="2">
        <v>0.24467397982240416</v>
      </c>
      <c r="AC1199" s="2">
        <v>0.28811260613385936</v>
      </c>
      <c r="AD1199" s="2">
        <v>0.32828849802773552</v>
      </c>
      <c r="AE1199" s="2">
        <v>0.36274681067130743</v>
      </c>
      <c r="AF1199" s="2">
        <v>0.38982816988915847</v>
      </c>
      <c r="AG1199" s="2">
        <v>0.40898306186279915</v>
      </c>
      <c r="AH1199" s="2">
        <v>0.42194099064520407</v>
      </c>
      <c r="AI1199" s="2">
        <v>0.4274111054186005</v>
      </c>
      <c r="AJ1199" s="2">
        <v>0.43104072684475297</v>
      </c>
      <c r="AK1199" s="2">
        <v>0.42943576311391535</v>
      </c>
      <c r="AL1199" s="2">
        <v>0.42612542830278904</v>
      </c>
      <c r="AM1199" s="2">
        <v>0.42284061143288482</v>
      </c>
      <c r="AN1199" s="2">
        <v>0.41958111579741558</v>
      </c>
      <c r="AO1199" s="2">
        <v>0.41634674620592227</v>
      </c>
      <c r="AP1199" s="2">
        <v>0.41313730897258438</v>
      </c>
      <c r="AQ1199" s="2">
        <v>0.40995261190462229</v>
      </c>
      <c r="AR1199" s="2">
        <v>6.9637214448367288</v>
      </c>
    </row>
    <row r="1200" spans="1:44" x14ac:dyDescent="0.25">
      <c r="A1200" t="s">
        <v>435</v>
      </c>
      <c r="B1200" t="s">
        <v>478</v>
      </c>
      <c r="C1200" t="s">
        <v>45</v>
      </c>
      <c r="D1200" t="s">
        <v>358</v>
      </c>
      <c r="E1200" t="s">
        <v>145</v>
      </c>
      <c r="F1200" t="s">
        <v>358</v>
      </c>
      <c r="G1200" t="s">
        <v>33</v>
      </c>
      <c r="H1200" t="s">
        <v>451</v>
      </c>
      <c r="I1200" t="s">
        <v>135</v>
      </c>
      <c r="J1200" t="s">
        <v>39</v>
      </c>
      <c r="K1200" t="s">
        <v>31</v>
      </c>
      <c r="L1200">
        <v>2.2326092598625055E-2</v>
      </c>
      <c r="M1200">
        <v>1</v>
      </c>
      <c r="N1200">
        <v>2.0723427924853257</v>
      </c>
      <c r="O1200">
        <v>3.1523474906593343</v>
      </c>
      <c r="P1200">
        <v>-0.39143361450399961</v>
      </c>
      <c r="Q1200">
        <v>0.82393863314836524</v>
      </c>
      <c r="R1200">
        <v>-0.67371772101320482</v>
      </c>
      <c r="S1200" s="2">
        <v>1.3472868331598374E-4</v>
      </c>
      <c r="T1200" s="2">
        <v>2.5155998059955457E-4</v>
      </c>
      <c r="U1200" s="2">
        <v>4.2715166168138272E-4</v>
      </c>
      <c r="V1200" s="2">
        <v>6.7616104641082212E-4</v>
      </c>
      <c r="W1200" s="2">
        <v>1.0115033916565804E-3</v>
      </c>
      <c r="X1200" s="2">
        <v>1.4417846905403595E-3</v>
      </c>
      <c r="Y1200" s="2">
        <v>1.968321533784055E-3</v>
      </c>
      <c r="Z1200" s="2">
        <v>2.5822793974425349E-3</v>
      </c>
      <c r="AA1200" s="2">
        <v>3.262776551879152E-3</v>
      </c>
      <c r="AB1200" s="2">
        <v>3.9769783293879942E-3</v>
      </c>
      <c r="AC1200" s="2">
        <v>4.6830381875896457E-3</v>
      </c>
      <c r="AD1200" s="2">
        <v>5.336064927669467E-3</v>
      </c>
      <c r="AE1200" s="2">
        <v>5.896157025530595E-3</v>
      </c>
      <c r="AF1200" s="2">
        <v>6.336342691443825E-3</v>
      </c>
      <c r="AG1200" s="2">
        <v>6.6476900212098719E-3</v>
      </c>
      <c r="AH1200" s="2">
        <v>6.8583107091914168E-3</v>
      </c>
      <c r="AI1200" s="2">
        <v>6.9472230157997996E-3</v>
      </c>
      <c r="AJ1200" s="2">
        <v>7.0062195865269704E-3</v>
      </c>
      <c r="AK1200" s="2">
        <v>6.980132194718376E-3</v>
      </c>
      <c r="AL1200" s="2">
        <v>6.9263253705664019E-3</v>
      </c>
      <c r="AM1200" s="2">
        <v>6.8729333199809674E-3</v>
      </c>
      <c r="AN1200" s="2">
        <v>6.8199528456518018E-3</v>
      </c>
      <c r="AO1200" s="2">
        <v>6.7673807749153167E-3</v>
      </c>
      <c r="AP1200" s="2">
        <v>6.7152139595646207E-3</v>
      </c>
      <c r="AQ1200" s="2">
        <v>6.6634492756609855E-3</v>
      </c>
      <c r="AR1200" s="2">
        <v>0.11318967917271848</v>
      </c>
    </row>
    <row r="1201" spans="1:44" x14ac:dyDescent="0.25">
      <c r="A1201" t="s">
        <v>435</v>
      </c>
      <c r="B1201" t="s">
        <v>478</v>
      </c>
      <c r="C1201" t="s">
        <v>45</v>
      </c>
      <c r="D1201" t="s">
        <v>358</v>
      </c>
      <c r="E1201" t="s">
        <v>145</v>
      </c>
      <c r="F1201" t="s">
        <v>358</v>
      </c>
      <c r="G1201" t="s">
        <v>33</v>
      </c>
      <c r="H1201" t="s">
        <v>451</v>
      </c>
      <c r="I1201" t="s">
        <v>135</v>
      </c>
      <c r="J1201" t="s">
        <v>39</v>
      </c>
      <c r="K1201" t="s">
        <v>33</v>
      </c>
      <c r="L1201">
        <v>2.2326092598625055E-2</v>
      </c>
      <c r="M1201">
        <v>1</v>
      </c>
      <c r="N1201">
        <v>2.0723427924853257</v>
      </c>
      <c r="O1201">
        <v>3.1523474906593343</v>
      </c>
      <c r="P1201">
        <v>-0.39143361450399961</v>
      </c>
      <c r="Q1201">
        <v>0.82393863314836524</v>
      </c>
      <c r="R1201">
        <v>-0.67371772101320482</v>
      </c>
      <c r="S1201" s="2">
        <v>6.0692747457926407E-4</v>
      </c>
      <c r="T1201" s="2">
        <v>1.1332305784686834E-3</v>
      </c>
      <c r="U1201" s="2">
        <v>1.9242382015905977E-3</v>
      </c>
      <c r="V1201" s="2">
        <v>3.045978823562855E-3</v>
      </c>
      <c r="W1201" s="2">
        <v>4.5566332566812544E-3</v>
      </c>
      <c r="X1201" s="2">
        <v>6.4949698874767516E-3</v>
      </c>
      <c r="Y1201" s="2">
        <v>8.8669197104653454E-3</v>
      </c>
      <c r="Z1201" s="2">
        <v>1.1632684850575744E-2</v>
      </c>
      <c r="AA1201" s="2">
        <v>1.4698197028349642E-2</v>
      </c>
      <c r="AB1201" s="2">
        <v>1.7915542217917284E-2</v>
      </c>
      <c r="AC1201" s="2">
        <v>2.109620958653606E-2</v>
      </c>
      <c r="AD1201" s="2">
        <v>2.4037972694691923E-2</v>
      </c>
      <c r="AE1201" s="2">
        <v>2.6561082652572184E-2</v>
      </c>
      <c r="AF1201" s="2">
        <v>2.8544036601080156E-2</v>
      </c>
      <c r="AG1201" s="2">
        <v>2.9946597985345429E-2</v>
      </c>
      <c r="AH1201" s="2">
        <v>3.0895404721257617E-2</v>
      </c>
      <c r="AI1201" s="2">
        <v>3.1295938003263218E-2</v>
      </c>
      <c r="AJ1201" s="2">
        <v>3.1561706500356744E-2</v>
      </c>
      <c r="AK1201" s="2">
        <v>3.1444187688185056E-2</v>
      </c>
      <c r="AL1201" s="2">
        <v>3.1201798027023608E-2</v>
      </c>
      <c r="AM1201" s="2">
        <v>3.0961276843064395E-2</v>
      </c>
      <c r="AN1201" s="2">
        <v>3.0722609733023709E-2</v>
      </c>
      <c r="AO1201" s="2">
        <v>3.0485782404646559E-2</v>
      </c>
      <c r="AP1201" s="2">
        <v>3.0250780675850731E-2</v>
      </c>
      <c r="AQ1201" s="2">
        <v>3.0017590473877614E-2</v>
      </c>
      <c r="AR1201" s="2">
        <v>0.5098982966204425</v>
      </c>
    </row>
    <row r="1202" spans="1:44" x14ac:dyDescent="0.25">
      <c r="A1202" t="s">
        <v>435</v>
      </c>
      <c r="B1202" t="s">
        <v>478</v>
      </c>
      <c r="C1202" t="s">
        <v>45</v>
      </c>
      <c r="D1202" t="s">
        <v>358</v>
      </c>
      <c r="E1202" t="s">
        <v>145</v>
      </c>
      <c r="F1202" t="s">
        <v>358</v>
      </c>
      <c r="G1202" t="s">
        <v>33</v>
      </c>
      <c r="H1202" t="s">
        <v>452</v>
      </c>
      <c r="I1202" t="s">
        <v>135</v>
      </c>
      <c r="J1202" t="s">
        <v>39</v>
      </c>
      <c r="K1202" t="s">
        <v>31</v>
      </c>
      <c r="L1202">
        <v>2.2326092598625055E-2</v>
      </c>
      <c r="M1202">
        <v>1</v>
      </c>
      <c r="N1202">
        <v>2.0723427924853257</v>
      </c>
      <c r="O1202">
        <v>3.1523474906593343</v>
      </c>
      <c r="P1202">
        <v>-0.39143361450399961</v>
      </c>
      <c r="Q1202">
        <v>0.82393863314836524</v>
      </c>
      <c r="R1202">
        <v>-0.67371772101320482</v>
      </c>
      <c r="S1202" s="2">
        <v>3.0515125576610846E-3</v>
      </c>
      <c r="T1202" s="2">
        <v>5.6976615588541831E-3</v>
      </c>
      <c r="U1202" s="2">
        <v>9.6746930762285598E-3</v>
      </c>
      <c r="V1202" s="2">
        <v>1.5314585382570113E-2</v>
      </c>
      <c r="W1202" s="2">
        <v>2.2909860215271974E-2</v>
      </c>
      <c r="X1202" s="2">
        <v>3.2655437434275368E-2</v>
      </c>
      <c r="Y1202" s="2">
        <v>4.458113691922496E-2</v>
      </c>
      <c r="Z1202" s="2">
        <v>5.8486862743284566E-2</v>
      </c>
      <c r="AA1202" s="2">
        <v>7.3899658007866645E-2</v>
      </c>
      <c r="AB1202" s="2">
        <v>9.0075839939821573E-2</v>
      </c>
      <c r="AC1202" s="2">
        <v>0.106067612966428</v>
      </c>
      <c r="AD1202" s="2">
        <v>0.12085822212846117</v>
      </c>
      <c r="AE1202" s="2">
        <v>0.13354392518741182</v>
      </c>
      <c r="AF1202" s="2">
        <v>0.14351382954761627</v>
      </c>
      <c r="AG1202" s="2">
        <v>0.15056563368606454</v>
      </c>
      <c r="AH1202" s="2">
        <v>0.15533604825896974</v>
      </c>
      <c r="AI1202" s="2">
        <v>0.15734985121071213</v>
      </c>
      <c r="AJ1202" s="2">
        <v>0.15868608319934277</v>
      </c>
      <c r="AK1202" s="2">
        <v>0.15809522161188225</v>
      </c>
      <c r="AL1202" s="2">
        <v>0.15687653383474032</v>
      </c>
      <c r="AM1202" s="2">
        <v>0.15566724039528307</v>
      </c>
      <c r="AN1202" s="2">
        <v>0.15446726887661905</v>
      </c>
      <c r="AO1202" s="2">
        <v>0.15327654742008714</v>
      </c>
      <c r="AP1202" s="2">
        <v>0.15209500472095389</v>
      </c>
      <c r="AQ1202" s="2">
        <v>0.15092257002414308</v>
      </c>
      <c r="AR1202" s="2">
        <v>2.5636688409037744</v>
      </c>
    </row>
    <row r="1203" spans="1:44" x14ac:dyDescent="0.25">
      <c r="A1203" t="s">
        <v>435</v>
      </c>
      <c r="B1203" t="s">
        <v>478</v>
      </c>
      <c r="C1203" t="s">
        <v>45</v>
      </c>
      <c r="D1203" t="s">
        <v>358</v>
      </c>
      <c r="E1203" t="s">
        <v>145</v>
      </c>
      <c r="F1203" t="s">
        <v>358</v>
      </c>
      <c r="G1203" t="s">
        <v>33</v>
      </c>
      <c r="H1203" t="s">
        <v>452</v>
      </c>
      <c r="I1203" t="s">
        <v>135</v>
      </c>
      <c r="J1203" t="s">
        <v>39</v>
      </c>
      <c r="K1203" t="s">
        <v>33</v>
      </c>
      <c r="L1203">
        <v>2.2326092598625055E-2</v>
      </c>
      <c r="M1203">
        <v>1</v>
      </c>
      <c r="N1203">
        <v>2.0723427924853257</v>
      </c>
      <c r="O1203">
        <v>3.1523474906593343</v>
      </c>
      <c r="P1203">
        <v>-0.39143361450399961</v>
      </c>
      <c r="Q1203">
        <v>0.82393863314836524</v>
      </c>
      <c r="R1203">
        <v>-0.67371772101320482</v>
      </c>
      <c r="S1203" s="2">
        <v>6.0342648507126923E-3</v>
      </c>
      <c r="T1203" s="2">
        <v>1.1266936716197917E-2</v>
      </c>
      <c r="U1203" s="2">
        <v>1.9131384606218407E-2</v>
      </c>
      <c r="V1203" s="2">
        <v>3.02840845420322E-2</v>
      </c>
      <c r="W1203" s="2">
        <v>4.5303488555104549E-2</v>
      </c>
      <c r="X1203" s="2">
        <v>6.457504420212215E-2</v>
      </c>
      <c r="Y1203" s="2">
        <v>8.8157719305825971E-2</v>
      </c>
      <c r="Z1203" s="2">
        <v>0.11565583080895751</v>
      </c>
      <c r="AA1203" s="2">
        <v>0.14613412213461563</v>
      </c>
      <c r="AB1203" s="2">
        <v>0.17812198527011799</v>
      </c>
      <c r="AC1203" s="2">
        <v>0.20974518591294622</v>
      </c>
      <c r="AD1203" s="2">
        <v>0.23899312486145713</v>
      </c>
      <c r="AE1203" s="2">
        <v>0.26407868182009459</v>
      </c>
      <c r="AF1203" s="2">
        <v>0.28379383694692151</v>
      </c>
      <c r="AG1203" s="2">
        <v>0.29773854569141511</v>
      </c>
      <c r="AH1203" s="2">
        <v>0.30717188225375036</v>
      </c>
      <c r="AI1203" s="2">
        <v>0.31115411078414013</v>
      </c>
      <c r="AJ1203" s="2">
        <v>0.31379646521297855</v>
      </c>
      <c r="AK1203" s="2">
        <v>0.31262805602524701</v>
      </c>
      <c r="AL1203" s="2">
        <v>0.31021814137517029</v>
      </c>
      <c r="AM1203" s="2">
        <v>0.30782680371621346</v>
      </c>
      <c r="AN1203" s="2">
        <v>0.30545389984637639</v>
      </c>
      <c r="AO1203" s="2">
        <v>0.30309928766754035</v>
      </c>
      <c r="AP1203" s="2">
        <v>0.30076282617696054</v>
      </c>
      <c r="AQ1203" s="2">
        <v>0.29844437545882091</v>
      </c>
      <c r="AR1203" s="2">
        <v>5.0695700847419367</v>
      </c>
    </row>
    <row r="1204" spans="1:44" x14ac:dyDescent="0.25">
      <c r="A1204" t="s">
        <v>435</v>
      </c>
      <c r="B1204" t="s">
        <v>478</v>
      </c>
      <c r="C1204" t="s">
        <v>45</v>
      </c>
      <c r="D1204" t="s">
        <v>358</v>
      </c>
      <c r="E1204" t="s">
        <v>145</v>
      </c>
      <c r="F1204" t="s">
        <v>358</v>
      </c>
      <c r="G1204" t="s">
        <v>33</v>
      </c>
      <c r="H1204" t="s">
        <v>452</v>
      </c>
      <c r="I1204" t="s">
        <v>135</v>
      </c>
      <c r="J1204" t="s">
        <v>40</v>
      </c>
      <c r="K1204" t="s">
        <v>33</v>
      </c>
      <c r="L1204">
        <v>2.2326092598625055E-2</v>
      </c>
      <c r="M1204">
        <v>1</v>
      </c>
      <c r="N1204">
        <v>2.0723427924853257</v>
      </c>
      <c r="O1204">
        <v>1.979808521690356</v>
      </c>
      <c r="P1204">
        <v>-0.39143361450399961</v>
      </c>
      <c r="Q1204">
        <v>1.3498045353129324</v>
      </c>
      <c r="R1204">
        <v>-0.5307177210132048</v>
      </c>
      <c r="S1204" s="2">
        <v>4.4184467121654436E-4</v>
      </c>
      <c r="T1204" s="2">
        <v>8.2499460533259688E-4</v>
      </c>
      <c r="U1204" s="2">
        <v>1.4008500704528169E-3</v>
      </c>
      <c r="V1204" s="2">
        <v>2.217479959632178E-3</v>
      </c>
      <c r="W1204" s="2">
        <v>3.3172400451114571E-3</v>
      </c>
      <c r="X1204" s="2">
        <v>4.7283538061659025E-3</v>
      </c>
      <c r="Y1204" s="2">
        <v>6.4551390211655289E-3</v>
      </c>
      <c r="Z1204" s="2">
        <v>8.4686227406847413E-3</v>
      </c>
      <c r="AA1204" s="2">
        <v>1.0700323029484123E-2</v>
      </c>
      <c r="AB1204" s="2">
        <v>1.3042558118544984E-2</v>
      </c>
      <c r="AC1204" s="2">
        <v>1.5358091665136827E-2</v>
      </c>
      <c r="AD1204" s="2">
        <v>1.7499702331586119E-2</v>
      </c>
      <c r="AE1204" s="2">
        <v>1.93365324908331E-2</v>
      </c>
      <c r="AF1204" s="2">
        <v>2.0780127767226576E-2</v>
      </c>
      <c r="AG1204" s="2">
        <v>2.1801195851384923E-2</v>
      </c>
      <c r="AH1204" s="2">
        <v>2.2491929452739486E-2</v>
      </c>
      <c r="AI1204" s="2">
        <v>2.2783518651962553E-2</v>
      </c>
      <c r="AJ1204" s="2">
        <v>2.2976998761426056E-2</v>
      </c>
      <c r="AK1204" s="2">
        <v>2.2891444781583975E-2</v>
      </c>
      <c r="AL1204" s="2">
        <v>2.2714984521292728E-2</v>
      </c>
      <c r="AM1204" s="2">
        <v>2.253988451692937E-2</v>
      </c>
      <c r="AN1204" s="2">
        <v>2.2366134282868481E-2</v>
      </c>
      <c r="AO1204" s="2">
        <v>2.2193723414313818E-2</v>
      </c>
      <c r="AP1204" s="2">
        <v>2.2022641586675207E-2</v>
      </c>
      <c r="AQ1204" s="2">
        <v>2.1852878554950276E-2</v>
      </c>
      <c r="AR1204" s="2">
        <v>0.37120719469870028</v>
      </c>
    </row>
    <row r="1205" spans="1:44" x14ac:dyDescent="0.25">
      <c r="A1205" t="s">
        <v>435</v>
      </c>
      <c r="B1205" t="s">
        <v>478</v>
      </c>
      <c r="C1205" t="s">
        <v>45</v>
      </c>
      <c r="D1205" t="s">
        <v>358</v>
      </c>
      <c r="E1205" t="s">
        <v>145</v>
      </c>
      <c r="F1205" t="s">
        <v>358</v>
      </c>
      <c r="G1205" t="s">
        <v>33</v>
      </c>
      <c r="H1205" t="s">
        <v>452</v>
      </c>
      <c r="I1205" t="s">
        <v>256</v>
      </c>
      <c r="J1205" t="s">
        <v>40</v>
      </c>
      <c r="K1205" t="s">
        <v>33</v>
      </c>
      <c r="L1205">
        <v>2.2326092598625055E-2</v>
      </c>
      <c r="M1205">
        <v>1</v>
      </c>
      <c r="N1205">
        <v>1.7396696203434354</v>
      </c>
      <c r="O1205">
        <v>1.4737622038640092</v>
      </c>
      <c r="P1205">
        <v>-0.11733133576427998</v>
      </c>
      <c r="Q1205">
        <v>1.3498045353129324</v>
      </c>
      <c r="R1205">
        <v>-0.25661544227348509</v>
      </c>
      <c r="S1205" s="2">
        <v>2.6643730602007778E-3</v>
      </c>
      <c r="T1205" s="2">
        <v>4.9748102544884543E-3</v>
      </c>
      <c r="U1205" s="2">
        <v>8.4472834736658738E-3</v>
      </c>
      <c r="V1205" s="2">
        <v>1.3371653548999185E-2</v>
      </c>
      <c r="W1205" s="2">
        <v>2.0003330550709689E-2</v>
      </c>
      <c r="X1205" s="2">
        <v>2.8512505233025707E-2</v>
      </c>
      <c r="Y1205" s="2">
        <v>3.8925214285124236E-2</v>
      </c>
      <c r="Z1205" s="2">
        <v>5.1066747563480036E-2</v>
      </c>
      <c r="AA1205" s="2">
        <v>6.4524151296669427E-2</v>
      </c>
      <c r="AB1205" s="2">
        <v>7.8648092306907988E-2</v>
      </c>
      <c r="AC1205" s="2">
        <v>9.2611020013026846E-2</v>
      </c>
      <c r="AD1205" s="2">
        <v>0.10552517319137228</v>
      </c>
      <c r="AE1205" s="2">
        <v>0.1166014656336624</v>
      </c>
      <c r="AF1205" s="2">
        <v>0.12530650750655817</v>
      </c>
      <c r="AG1205" s="2">
        <v>0.1314636628900821</v>
      </c>
      <c r="AH1205" s="2">
        <v>0.13562886419070522</v>
      </c>
      <c r="AI1205" s="2">
        <v>0.13738717985606427</v>
      </c>
      <c r="AJ1205" s="2">
        <v>0.13855388667617802</v>
      </c>
      <c r="AK1205" s="2">
        <v>0.1380379865557656</v>
      </c>
      <c r="AL1205" s="2">
        <v>0.13697391134032505</v>
      </c>
      <c r="AM1205" s="2">
        <v>0.13591803862111299</v>
      </c>
      <c r="AN1205" s="2">
        <v>0.13487030516862888</v>
      </c>
      <c r="AO1205" s="2">
        <v>0.1338306482407812</v>
      </c>
      <c r="AP1205" s="2">
        <v>0.13279900557913002</v>
      </c>
      <c r="AQ1205" s="2">
        <v>0.13177531540515883</v>
      </c>
      <c r="AR1205" s="2">
        <v>2.2384211324418231</v>
      </c>
    </row>
    <row r="1206" spans="1:44" x14ac:dyDescent="0.25">
      <c r="A1206" t="s">
        <v>435</v>
      </c>
      <c r="B1206" t="s">
        <v>478</v>
      </c>
      <c r="C1206" t="s">
        <v>45</v>
      </c>
      <c r="D1206" t="s">
        <v>358</v>
      </c>
      <c r="E1206" t="s">
        <v>145</v>
      </c>
      <c r="F1206" t="s">
        <v>358</v>
      </c>
      <c r="G1206" t="s">
        <v>33</v>
      </c>
      <c r="H1206" t="s">
        <v>453</v>
      </c>
      <c r="I1206" t="s">
        <v>135</v>
      </c>
      <c r="J1206" t="s">
        <v>39</v>
      </c>
      <c r="K1206" t="s">
        <v>31</v>
      </c>
      <c r="L1206">
        <v>2.2326092598625055E-2</v>
      </c>
      <c r="M1206">
        <v>1</v>
      </c>
      <c r="N1206">
        <v>2.0723427924853257</v>
      </c>
      <c r="O1206">
        <v>3.1523474906593343</v>
      </c>
      <c r="P1206">
        <v>-0.39143361450399961</v>
      </c>
      <c r="Q1206">
        <v>0.82393863314836524</v>
      </c>
      <c r="R1206">
        <v>-0.67371772101320482</v>
      </c>
      <c r="S1206" s="2">
        <v>9.3324371577422824E-4</v>
      </c>
      <c r="T1206" s="2">
        <v>1.7425151441895607E-3</v>
      </c>
      <c r="U1206" s="2">
        <v>2.9588102112727819E-3</v>
      </c>
      <c r="V1206" s="2">
        <v>4.6836577919659918E-3</v>
      </c>
      <c r="W1206" s="2">
        <v>7.0065197737728575E-3</v>
      </c>
      <c r="X1206" s="2">
        <v>9.987008473841822E-3</v>
      </c>
      <c r="Y1206" s="2">
        <v>1.363424370235149E-2</v>
      </c>
      <c r="Z1206" s="2">
        <v>1.78870301462421E-2</v>
      </c>
      <c r="AA1206" s="2">
        <v>2.2600723454524251E-2</v>
      </c>
      <c r="AB1206" s="2">
        <v>2.7547883214793619E-2</v>
      </c>
      <c r="AC1206" s="2">
        <v>3.2438645221884076E-2</v>
      </c>
      <c r="AD1206" s="2">
        <v>3.6962055429810597E-2</v>
      </c>
      <c r="AE1206" s="2">
        <v>4.0841722459271514E-2</v>
      </c>
      <c r="AF1206" s="2">
        <v>4.3890817101753486E-2</v>
      </c>
      <c r="AG1206" s="2">
        <v>4.6047469506986176E-2</v>
      </c>
      <c r="AH1206" s="2">
        <v>4.7506404817812466E-2</v>
      </c>
      <c r="AI1206" s="2">
        <v>4.812228593054222E-2</v>
      </c>
      <c r="AJ1206" s="2">
        <v>4.8530945597721128E-2</v>
      </c>
      <c r="AK1206" s="2">
        <v>4.835024247001958E-2</v>
      </c>
      <c r="AL1206" s="2">
        <v>4.7977531334798075E-2</v>
      </c>
      <c r="AM1206" s="2">
        <v>4.7607693268732411E-2</v>
      </c>
      <c r="AN1206" s="2">
        <v>4.7240706124573428E-2</v>
      </c>
      <c r="AO1206" s="2">
        <v>4.687654792579557E-2</v>
      </c>
      <c r="AP1206" s="2">
        <v>4.6515196865280765E-2</v>
      </c>
      <c r="AQ1206" s="2">
        <v>4.6156631304012687E-2</v>
      </c>
      <c r="AR1206" s="2">
        <v>0.78404653098772281</v>
      </c>
    </row>
    <row r="1207" spans="1:44" x14ac:dyDescent="0.25">
      <c r="A1207" t="s">
        <v>435</v>
      </c>
      <c r="B1207" t="s">
        <v>478</v>
      </c>
      <c r="C1207" t="s">
        <v>45</v>
      </c>
      <c r="D1207" t="s">
        <v>358</v>
      </c>
      <c r="E1207" t="s">
        <v>145</v>
      </c>
      <c r="F1207" t="s">
        <v>358</v>
      </c>
      <c r="G1207" t="s">
        <v>33</v>
      </c>
      <c r="H1207" t="s">
        <v>453</v>
      </c>
      <c r="I1207" t="s">
        <v>135</v>
      </c>
      <c r="J1207" t="s">
        <v>39</v>
      </c>
      <c r="K1207" t="s">
        <v>33</v>
      </c>
      <c r="L1207">
        <v>2.2326092598625055E-2</v>
      </c>
      <c r="M1207">
        <v>1</v>
      </c>
      <c r="N1207">
        <v>2.0723427924853257</v>
      </c>
      <c r="O1207">
        <v>3.1523474906593343</v>
      </c>
      <c r="P1207">
        <v>-0.39143361450399961</v>
      </c>
      <c r="Q1207">
        <v>0.82393863314836524</v>
      </c>
      <c r="R1207">
        <v>-0.67371772101320482</v>
      </c>
      <c r="S1207" s="2">
        <v>8.4914345396517579E-4</v>
      </c>
      <c r="T1207" s="2">
        <v>1.5854865166664651E-3</v>
      </c>
      <c r="U1207" s="2">
        <v>2.6921738447959909E-3</v>
      </c>
      <c r="V1207" s="2">
        <v>4.2615849294645094E-3</v>
      </c>
      <c r="W1207" s="2">
        <v>6.3751197039039137E-3</v>
      </c>
      <c r="X1207" s="2">
        <v>9.0870184571477091E-3</v>
      </c>
      <c r="Y1207" s="2">
        <v>1.2405579157865464E-2</v>
      </c>
      <c r="Z1207" s="2">
        <v>1.6275121174492539E-2</v>
      </c>
      <c r="AA1207" s="2">
        <v>2.0564034937395986E-2</v>
      </c>
      <c r="AB1207" s="2">
        <v>2.5065376071707935E-2</v>
      </c>
      <c r="AC1207" s="2">
        <v>2.9515401797064252E-2</v>
      </c>
      <c r="AD1207" s="2">
        <v>3.3631180025984371E-2</v>
      </c>
      <c r="AE1207" s="2">
        <v>3.7161226685766248E-2</v>
      </c>
      <c r="AF1207" s="2">
        <v>3.9935548883088402E-2</v>
      </c>
      <c r="AG1207" s="2">
        <v>4.1897852235822271E-2</v>
      </c>
      <c r="AH1207" s="2">
        <v>4.3225314020999196E-2</v>
      </c>
      <c r="AI1207" s="2">
        <v>4.3785694344440643E-2</v>
      </c>
      <c r="AJ1207" s="2">
        <v>4.4157527205909944E-2</v>
      </c>
      <c r="AK1207" s="2">
        <v>4.3993108335034906E-2</v>
      </c>
      <c r="AL1207" s="2">
        <v>4.3653984464877685E-2</v>
      </c>
      <c r="AM1207" s="2">
        <v>4.3317474754157301E-2</v>
      </c>
      <c r="AN1207" s="2">
        <v>4.2983559051447816E-2</v>
      </c>
      <c r="AO1207" s="2">
        <v>4.2652217360661888E-2</v>
      </c>
      <c r="AP1207" s="2">
        <v>4.2323429839853405E-2</v>
      </c>
      <c r="AQ1207" s="2">
        <v>4.1997176800029228E-2</v>
      </c>
      <c r="AR1207" s="2">
        <v>0.71339133405254329</v>
      </c>
    </row>
    <row r="1208" spans="1:44" x14ac:dyDescent="0.25">
      <c r="A1208" t="s">
        <v>435</v>
      </c>
      <c r="B1208" t="s">
        <v>478</v>
      </c>
      <c r="C1208" t="s">
        <v>45</v>
      </c>
      <c r="D1208" t="s">
        <v>358</v>
      </c>
      <c r="E1208" t="s">
        <v>145</v>
      </c>
      <c r="F1208" t="s">
        <v>358</v>
      </c>
      <c r="G1208" t="s">
        <v>33</v>
      </c>
      <c r="H1208" t="s">
        <v>453</v>
      </c>
      <c r="I1208" t="s">
        <v>135</v>
      </c>
      <c r="J1208" t="s">
        <v>40</v>
      </c>
      <c r="K1208" t="s">
        <v>33</v>
      </c>
      <c r="L1208">
        <v>2.2326092598625055E-2</v>
      </c>
      <c r="M1208">
        <v>1</v>
      </c>
      <c r="N1208">
        <v>2.0723427924853257</v>
      </c>
      <c r="O1208">
        <v>1.979808521690356</v>
      </c>
      <c r="P1208">
        <v>-0.39143361450399961</v>
      </c>
      <c r="Q1208">
        <v>1.3498045353129324</v>
      </c>
      <c r="R1208">
        <v>-0.5307177210132048</v>
      </c>
      <c r="S1208" s="2">
        <v>1.7292480633297424E-2</v>
      </c>
      <c r="T1208" s="2">
        <v>3.2287824578735379E-2</v>
      </c>
      <c r="U1208" s="2">
        <v>5.4825087392729045E-2</v>
      </c>
      <c r="V1208" s="2">
        <v>8.6785541966786978E-2</v>
      </c>
      <c r="W1208" s="2">
        <v>0.12982686670894644</v>
      </c>
      <c r="X1208" s="2">
        <v>0.1850536442939916</v>
      </c>
      <c r="Y1208" s="2">
        <v>0.25263485967004179</v>
      </c>
      <c r="Z1208" s="2">
        <v>0.33143659813930942</v>
      </c>
      <c r="AA1208" s="2">
        <v>0.4187786813133173</v>
      </c>
      <c r="AB1208" s="2">
        <v>0.51044676640008846</v>
      </c>
      <c r="AC1208" s="2">
        <v>0.60106983287261817</v>
      </c>
      <c r="AD1208" s="2">
        <v>0.68488607732719409</v>
      </c>
      <c r="AE1208" s="2">
        <v>0.7567741231148235</v>
      </c>
      <c r="AF1208" s="2">
        <v>0.81327213018735767</v>
      </c>
      <c r="AG1208" s="2">
        <v>0.85323368505226371</v>
      </c>
      <c r="AH1208" s="2">
        <v>0.88026693497537445</v>
      </c>
      <c r="AI1208" s="2">
        <v>0.89167886525069151</v>
      </c>
      <c r="AJ1208" s="2">
        <v>0.89925109880646592</v>
      </c>
      <c r="AK1208" s="2">
        <v>0.89590277158675014</v>
      </c>
      <c r="AL1208" s="2">
        <v>0.88899664408897716</v>
      </c>
      <c r="AM1208" s="2">
        <v>0.88214375294511227</v>
      </c>
      <c r="AN1208" s="2">
        <v>0.8753436877790981</v>
      </c>
      <c r="AO1208" s="2">
        <v>0.86859604137828794</v>
      </c>
      <c r="AP1208" s="2">
        <v>0.86190040966906212</v>
      </c>
      <c r="AQ1208" s="2">
        <v>0.85525639169263046</v>
      </c>
      <c r="AR1208" s="2">
        <v>14.52794079782395</v>
      </c>
    </row>
    <row r="1209" spans="1:44" x14ac:dyDescent="0.25">
      <c r="A1209" t="s">
        <v>435</v>
      </c>
      <c r="B1209" t="s">
        <v>478</v>
      </c>
      <c r="C1209" t="s">
        <v>45</v>
      </c>
      <c r="D1209" t="s">
        <v>358</v>
      </c>
      <c r="E1209" t="s">
        <v>145</v>
      </c>
      <c r="F1209" t="s">
        <v>358</v>
      </c>
      <c r="G1209" t="s">
        <v>33</v>
      </c>
      <c r="H1209" t="s">
        <v>453</v>
      </c>
      <c r="I1209" t="s">
        <v>256</v>
      </c>
      <c r="J1209" t="s">
        <v>40</v>
      </c>
      <c r="K1209" t="s">
        <v>33</v>
      </c>
      <c r="L1209">
        <v>2.2326092598625055E-2</v>
      </c>
      <c r="M1209">
        <v>1</v>
      </c>
      <c r="N1209">
        <v>1.7396696203434354</v>
      </c>
      <c r="O1209">
        <v>1.4737622038640092</v>
      </c>
      <c r="P1209">
        <v>-0.11733133576427998</v>
      </c>
      <c r="Q1209">
        <v>1.3498045353129324</v>
      </c>
      <c r="R1209">
        <v>-0.25661544227348509</v>
      </c>
      <c r="S1209" s="2">
        <v>8.9021213221156716E-3</v>
      </c>
      <c r="T1209" s="2">
        <v>1.6621683014849318E-2</v>
      </c>
      <c r="U1209" s="2">
        <v>2.8223803733854597E-2</v>
      </c>
      <c r="V1209" s="2">
        <v>4.4676957573471045E-2</v>
      </c>
      <c r="W1209" s="2">
        <v>6.6834512804817822E-2</v>
      </c>
      <c r="X1209" s="2">
        <v>9.5265105541461087E-2</v>
      </c>
      <c r="Y1209" s="2">
        <v>0.13005572876848323</v>
      </c>
      <c r="Z1209" s="2">
        <v>0.17062264632779953</v>
      </c>
      <c r="AA1209" s="2">
        <v>0.21558610977931658</v>
      </c>
      <c r="AB1209" s="2">
        <v>0.26277658708059726</v>
      </c>
      <c r="AC1209" s="2">
        <v>0.30942909168234911</v>
      </c>
      <c r="AD1209" s="2">
        <v>0.3525774630884741</v>
      </c>
      <c r="AE1209" s="2">
        <v>0.38958523072934226</v>
      </c>
      <c r="AF1209" s="2">
        <v>0.41867024889897331</v>
      </c>
      <c r="AG1209" s="2">
        <v>0.43924234709423027</v>
      </c>
      <c r="AH1209" s="2">
        <v>0.45315898957311318</v>
      </c>
      <c r="AI1209" s="2">
        <v>0.45903381979468233</v>
      </c>
      <c r="AJ1209" s="2">
        <v>0.46293198473829955</v>
      </c>
      <c r="AK1209" s="2">
        <v>0.46120827512322821</v>
      </c>
      <c r="AL1209" s="2">
        <v>0.45765301974056233</v>
      </c>
      <c r="AM1209" s="2">
        <v>0.45412517028601579</v>
      </c>
      <c r="AN1209" s="2">
        <v>0.45062451549912586</v>
      </c>
      <c r="AO1209" s="2">
        <v>0.44715084574794595</v>
      </c>
      <c r="AP1209" s="2">
        <v>0.4437039530164914</v>
      </c>
      <c r="AQ1209" s="2">
        <v>0.44028363089228301</v>
      </c>
      <c r="AR1209" s="2">
        <v>7.4789438418518808</v>
      </c>
    </row>
    <row r="1210" spans="1:44" x14ac:dyDescent="0.25">
      <c r="A1210" t="s">
        <v>435</v>
      </c>
      <c r="B1210" t="s">
        <v>478</v>
      </c>
      <c r="C1210" t="s">
        <v>45</v>
      </c>
      <c r="D1210" t="s">
        <v>358</v>
      </c>
      <c r="E1210" t="s">
        <v>145</v>
      </c>
      <c r="F1210" t="s">
        <v>358</v>
      </c>
      <c r="G1210" t="s">
        <v>33</v>
      </c>
      <c r="H1210" t="s">
        <v>454</v>
      </c>
      <c r="I1210" t="s">
        <v>135</v>
      </c>
      <c r="J1210" t="s">
        <v>39</v>
      </c>
      <c r="K1210" t="s">
        <v>31</v>
      </c>
      <c r="L1210">
        <v>2.2326092598625055E-2</v>
      </c>
      <c r="M1210">
        <v>1</v>
      </c>
      <c r="N1210">
        <v>2.0723427924853257</v>
      </c>
      <c r="O1210">
        <v>3.1523474906593343</v>
      </c>
      <c r="P1210">
        <v>-0.39143361450399961</v>
      </c>
      <c r="Q1210">
        <v>0.82393863314836524</v>
      </c>
      <c r="R1210">
        <v>-0.67371772101320482</v>
      </c>
      <c r="S1210" s="2">
        <v>5.1388232855231906E-5</v>
      </c>
      <c r="T1210" s="2">
        <v>9.5950042277106459E-5</v>
      </c>
      <c r="U1210" s="2">
        <v>1.6292424534054652E-4</v>
      </c>
      <c r="V1210" s="2">
        <v>2.5790143899130907E-4</v>
      </c>
      <c r="W1210" s="2">
        <v>3.8580776227431989E-4</v>
      </c>
      <c r="X1210" s="2">
        <v>5.4992571426552784E-4</v>
      </c>
      <c r="Y1210" s="2">
        <v>7.5075746917851983E-4</v>
      </c>
      <c r="Z1210" s="2">
        <v>9.8493336167935347E-4</v>
      </c>
      <c r="AA1210" s="2">
        <v>1.2444886795881342E-3</v>
      </c>
      <c r="AB1210" s="2">
        <v>1.5168996194484122E-3</v>
      </c>
      <c r="AC1210" s="2">
        <v>1.7862050673306744E-3</v>
      </c>
      <c r="AD1210" s="2">
        <v>2.0352826160306078E-3</v>
      </c>
      <c r="AE1210" s="2">
        <v>2.2489130207585988E-3</v>
      </c>
      <c r="AF1210" s="2">
        <v>2.416808697779594E-3</v>
      </c>
      <c r="AG1210" s="2">
        <v>2.5355628389697659E-3</v>
      </c>
      <c r="AH1210" s="2">
        <v>2.6158978106456954E-3</v>
      </c>
      <c r="AI1210" s="2">
        <v>2.6498107548178834E-3</v>
      </c>
      <c r="AJ1210" s="2">
        <v>2.6723132349102453E-3</v>
      </c>
      <c r="AK1210" s="2">
        <v>2.662362978351279E-3</v>
      </c>
      <c r="AL1210" s="2">
        <v>2.6418399721088947E-3</v>
      </c>
      <c r="AM1210" s="2">
        <v>2.6214751688571052E-3</v>
      </c>
      <c r="AN1210" s="2">
        <v>2.6012673490773898E-3</v>
      </c>
      <c r="AO1210" s="2">
        <v>2.5812153026519668E-3</v>
      </c>
      <c r="AP1210" s="2">
        <v>2.5613178287913325E-3</v>
      </c>
      <c r="AQ1210" s="2">
        <v>2.5415737359623489E-3</v>
      </c>
      <c r="AR1210" s="2">
        <v>4.3172822942941842E-2</v>
      </c>
    </row>
    <row r="1211" spans="1:44" x14ac:dyDescent="0.25">
      <c r="A1211" t="s">
        <v>435</v>
      </c>
      <c r="B1211" t="s">
        <v>478</v>
      </c>
      <c r="C1211" t="s">
        <v>45</v>
      </c>
      <c r="D1211" t="s">
        <v>358</v>
      </c>
      <c r="E1211" t="s">
        <v>145</v>
      </c>
      <c r="F1211" t="s">
        <v>358</v>
      </c>
      <c r="G1211" t="s">
        <v>33</v>
      </c>
      <c r="H1211" t="s">
        <v>454</v>
      </c>
      <c r="I1211" t="s">
        <v>135</v>
      </c>
      <c r="J1211" t="s">
        <v>39</v>
      </c>
      <c r="K1211" t="s">
        <v>33</v>
      </c>
      <c r="L1211">
        <v>2.2326092598625055E-2</v>
      </c>
      <c r="M1211">
        <v>1</v>
      </c>
      <c r="N1211">
        <v>2.0723427924853257</v>
      </c>
      <c r="O1211">
        <v>3.1523474906593343</v>
      </c>
      <c r="P1211">
        <v>-0.39143361450399961</v>
      </c>
      <c r="Q1211">
        <v>0.82393863314836524</v>
      </c>
      <c r="R1211">
        <v>-0.67371772101320482</v>
      </c>
      <c r="S1211" s="2">
        <v>4.1239078370418358E-4</v>
      </c>
      <c r="T1211" s="2">
        <v>7.6999949078959088E-4</v>
      </c>
      <c r="U1211" s="2">
        <v>1.3074677506362256E-3</v>
      </c>
      <c r="V1211" s="2">
        <v>2.0696601271283908E-3</v>
      </c>
      <c r="W1211" s="2">
        <v>3.0961089067157044E-3</v>
      </c>
      <c r="X1211" s="2">
        <v>4.4131561582187156E-3</v>
      </c>
      <c r="Y1211" s="2">
        <v>6.0248318318028684E-3</v>
      </c>
      <c r="Z1211" s="2">
        <v>7.9040943490624668E-3</v>
      </c>
      <c r="AA1211" s="2">
        <v>9.9870268614244487E-3</v>
      </c>
      <c r="AB1211" s="2">
        <v>1.2173125793743265E-2</v>
      </c>
      <c r="AC1211" s="2">
        <v>1.4334303139943159E-2</v>
      </c>
      <c r="AD1211" s="2">
        <v>1.6333151510558509E-2</v>
      </c>
      <c r="AE1211" s="2">
        <v>1.8047536402465696E-2</v>
      </c>
      <c r="AF1211" s="2">
        <v>1.9394899913141153E-2</v>
      </c>
      <c r="AG1211" s="2">
        <v>2.0347902393134894E-2</v>
      </c>
      <c r="AH1211" s="2">
        <v>2.0992590877006681E-2</v>
      </c>
      <c r="AI1211" s="2">
        <v>2.1264742395901759E-2</v>
      </c>
      <c r="AJ1211" s="2">
        <v>2.1445324892807604E-2</v>
      </c>
      <c r="AK1211" s="2">
        <v>2.1365474042283714E-2</v>
      </c>
      <c r="AL1211" s="2">
        <v>2.1200776831307305E-2</v>
      </c>
      <c r="AM1211" s="2">
        <v>2.103734919999245E-2</v>
      </c>
      <c r="AN1211" s="2">
        <v>2.08751813616979E-2</v>
      </c>
      <c r="AO1211" s="2">
        <v>2.071426360522341E-2</v>
      </c>
      <c r="AP1211" s="2">
        <v>2.0554586294228173E-2</v>
      </c>
      <c r="AQ1211" s="2">
        <v>2.0396139866653777E-2</v>
      </c>
      <c r="AR1211" s="2">
        <v>0.34646208477957208</v>
      </c>
    </row>
    <row r="1212" spans="1:44" x14ac:dyDescent="0.25">
      <c r="A1212" t="s">
        <v>435</v>
      </c>
      <c r="B1212" t="s">
        <v>478</v>
      </c>
      <c r="C1212" t="s">
        <v>45</v>
      </c>
      <c r="D1212" t="s">
        <v>358</v>
      </c>
      <c r="E1212" t="s">
        <v>145</v>
      </c>
      <c r="F1212" t="s">
        <v>358</v>
      </c>
      <c r="G1212" t="s">
        <v>33</v>
      </c>
      <c r="H1212" t="s">
        <v>455</v>
      </c>
      <c r="I1212" t="s">
        <v>135</v>
      </c>
      <c r="J1212" t="s">
        <v>39</v>
      </c>
      <c r="K1212" t="s">
        <v>31</v>
      </c>
      <c r="L1212">
        <v>2.2326092598625055E-2</v>
      </c>
      <c r="M1212">
        <v>1</v>
      </c>
      <c r="N1212">
        <v>2.0723427924853257</v>
      </c>
      <c r="O1212">
        <v>3.1523474906593343</v>
      </c>
      <c r="P1212">
        <v>-0.39143361450399961</v>
      </c>
      <c r="Q1212">
        <v>0.82393863314836524</v>
      </c>
      <c r="R1212">
        <v>-0.67371772101320482</v>
      </c>
      <c r="S1212" s="2">
        <v>1.2107829356209235E-5</v>
      </c>
      <c r="T1212" s="2">
        <v>2.2607252167730232E-5</v>
      </c>
      <c r="U1212" s="2">
        <v>3.8387367126045585E-5</v>
      </c>
      <c r="V1212" s="2">
        <v>6.0765401737484708E-5</v>
      </c>
      <c r="W1212" s="2">
        <v>9.0902027378098776E-5</v>
      </c>
      <c r="X1212" s="2">
        <v>1.2957064948460457E-4</v>
      </c>
      <c r="Y1212" s="2">
        <v>1.768895877451362E-4</v>
      </c>
      <c r="Z1212" s="2">
        <v>2.320648990605831E-4</v>
      </c>
      <c r="AA1212" s="2">
        <v>2.9321997918543304E-4</v>
      </c>
      <c r="AB1212" s="2">
        <v>3.5740403439286976E-4</v>
      </c>
      <c r="AC1212" s="2">
        <v>4.20856389659528E-4</v>
      </c>
      <c r="AD1212" s="2">
        <v>4.7954275205337813E-4</v>
      </c>
      <c r="AE1212" s="2">
        <v>5.2987724191667538E-4</v>
      </c>
      <c r="AF1212" s="2">
        <v>5.6943595203504571E-4</v>
      </c>
      <c r="AG1212" s="2">
        <v>5.9741618791753703E-4</v>
      </c>
      <c r="AH1212" s="2">
        <v>6.1634429799924074E-4</v>
      </c>
      <c r="AI1212" s="2">
        <v>6.2433469031649097E-4</v>
      </c>
      <c r="AJ1212" s="2">
        <v>6.2963660816638773E-4</v>
      </c>
      <c r="AK1212" s="2">
        <v>6.2729218023468872E-4</v>
      </c>
      <c r="AL1212" s="2">
        <v>6.224566557643447E-4</v>
      </c>
      <c r="AM1212" s="2">
        <v>6.1765840626352856E-4</v>
      </c>
      <c r="AN1212" s="2">
        <v>6.1289714439560035E-4</v>
      </c>
      <c r="AO1212" s="2">
        <v>6.0817258503887415E-4</v>
      </c>
      <c r="AP1212" s="2">
        <v>6.0348444526954449E-4</v>
      </c>
      <c r="AQ1212" s="2">
        <v>5.9883244434474241E-4</v>
      </c>
      <c r="AR1212" s="2">
        <v>1.0172157009009803E-2</v>
      </c>
    </row>
    <row r="1213" spans="1:44" x14ac:dyDescent="0.25">
      <c r="A1213" t="s">
        <v>435</v>
      </c>
      <c r="B1213" t="s">
        <v>478</v>
      </c>
      <c r="C1213" t="s">
        <v>45</v>
      </c>
      <c r="D1213" t="s">
        <v>358</v>
      </c>
      <c r="E1213" t="s">
        <v>145</v>
      </c>
      <c r="F1213" t="s">
        <v>358</v>
      </c>
      <c r="G1213" t="s">
        <v>33</v>
      </c>
      <c r="H1213" t="s">
        <v>455</v>
      </c>
      <c r="I1213" t="s">
        <v>135</v>
      </c>
      <c r="J1213" t="s">
        <v>39</v>
      </c>
      <c r="K1213" t="s">
        <v>33</v>
      </c>
      <c r="L1213">
        <v>2.2326092598625055E-2</v>
      </c>
      <c r="M1213">
        <v>1</v>
      </c>
      <c r="N1213">
        <v>2.0723427924853257</v>
      </c>
      <c r="O1213">
        <v>3.1523474906593343</v>
      </c>
      <c r="P1213">
        <v>-0.39143361450399961</v>
      </c>
      <c r="Q1213">
        <v>0.82393863314836524</v>
      </c>
      <c r="R1213">
        <v>-0.67371772101320482</v>
      </c>
      <c r="S1213" s="2">
        <v>3.0785098222313521E-4</v>
      </c>
      <c r="T1213" s="2">
        <v>5.7480697658104517E-4</v>
      </c>
      <c r="U1213" s="2">
        <v>9.7602867756414432E-4</v>
      </c>
      <c r="V1213" s="2">
        <v>1.5450076194272393E-3</v>
      </c>
      <c r="W1213" s="2">
        <v>2.311254774999856E-3</v>
      </c>
      <c r="X1213" s="2">
        <v>3.2944345792806501E-3</v>
      </c>
      <c r="Y1213" s="2">
        <v>4.4975554024024346E-3</v>
      </c>
      <c r="Z1213" s="2">
        <v>5.9004306233202764E-3</v>
      </c>
      <c r="AA1213" s="2">
        <v>7.4553461189466484E-3</v>
      </c>
      <c r="AB1213" s="2">
        <v>9.087275662828128E-3</v>
      </c>
      <c r="AC1213" s="2">
        <v>1.0700601166395336E-2</v>
      </c>
      <c r="AD1213" s="2">
        <v>1.2192747592854882E-2</v>
      </c>
      <c r="AE1213" s="2">
        <v>1.3472541161812802E-2</v>
      </c>
      <c r="AF1213" s="2">
        <v>1.4478352146353584E-2</v>
      </c>
      <c r="AG1213" s="2">
        <v>1.5189771414485458E-2</v>
      </c>
      <c r="AH1213" s="2">
        <v>1.5671033340867977E-2</v>
      </c>
      <c r="AI1213" s="2">
        <v>1.587419528268641E-2</v>
      </c>
      <c r="AJ1213" s="2">
        <v>1.6009000669328241E-2</v>
      </c>
      <c r="AK1213" s="2">
        <v>1.5949391765015856E-2</v>
      </c>
      <c r="AL1213" s="2">
        <v>1.5826444792939813E-2</v>
      </c>
      <c r="AM1213" s="2">
        <v>1.5704445565966858E-2</v>
      </c>
      <c r="AN1213" s="2">
        <v>1.5583386778339368E-2</v>
      </c>
      <c r="AO1213" s="2">
        <v>1.5463261180616623E-2</v>
      </c>
      <c r="AP1213" s="2">
        <v>1.5344061579240727E-2</v>
      </c>
      <c r="AQ1213" s="2">
        <v>1.5225780836105807E-2</v>
      </c>
      <c r="AR1213" s="2">
        <v>0.25863500669058331</v>
      </c>
    </row>
    <row r="1214" spans="1:44" x14ac:dyDescent="0.25">
      <c r="A1214" t="s">
        <v>435</v>
      </c>
      <c r="B1214" t="s">
        <v>478</v>
      </c>
      <c r="C1214" t="s">
        <v>45</v>
      </c>
      <c r="D1214" t="s">
        <v>358</v>
      </c>
      <c r="E1214" t="s">
        <v>145</v>
      </c>
      <c r="F1214" t="s">
        <v>358</v>
      </c>
      <c r="G1214" t="s">
        <v>33</v>
      </c>
      <c r="H1214" t="s">
        <v>457</v>
      </c>
      <c r="I1214" t="s">
        <v>135</v>
      </c>
      <c r="J1214" t="s">
        <v>39</v>
      </c>
      <c r="K1214" t="s">
        <v>31</v>
      </c>
      <c r="L1214">
        <v>2.2326092598625055E-2</v>
      </c>
      <c r="M1214">
        <v>1</v>
      </c>
      <c r="N1214">
        <v>2.0723427924853257</v>
      </c>
      <c r="O1214">
        <v>3.1523474906593343</v>
      </c>
      <c r="P1214">
        <v>-0.39143361450399961</v>
      </c>
      <c r="Q1214">
        <v>0.82393863314836524</v>
      </c>
      <c r="R1214">
        <v>-0.67371772101320482</v>
      </c>
      <c r="S1214" s="2">
        <v>8.068549348101314E-4</v>
      </c>
      <c r="T1214" s="2">
        <v>1.5065270939481645E-3</v>
      </c>
      <c r="U1214" s="2">
        <v>2.5580998615688487E-3</v>
      </c>
      <c r="V1214" s="2">
        <v>4.0493521022796934E-3</v>
      </c>
      <c r="W1214" s="2">
        <v>6.0576299199865593E-3</v>
      </c>
      <c r="X1214" s="2">
        <v>8.6344723622647918E-3</v>
      </c>
      <c r="Y1214" s="2">
        <v>1.1787764147460491E-2</v>
      </c>
      <c r="Z1214" s="2">
        <v>1.5464597616518527E-2</v>
      </c>
      <c r="AA1214" s="2">
        <v>1.9539917538510955E-2</v>
      </c>
      <c r="AB1214" s="2">
        <v>2.3817085654833006E-2</v>
      </c>
      <c r="AC1214" s="2">
        <v>2.8045493940581895E-2</v>
      </c>
      <c r="AD1214" s="2">
        <v>3.1956300717789279E-2</v>
      </c>
      <c r="AE1214" s="2">
        <v>3.531054616860782E-2</v>
      </c>
      <c r="AF1214" s="2">
        <v>3.794670328106018E-2</v>
      </c>
      <c r="AG1214" s="2">
        <v>3.9811281211154827E-2</v>
      </c>
      <c r="AH1214" s="2">
        <v>4.1072633562327494E-2</v>
      </c>
      <c r="AI1214" s="2">
        <v>4.1605106170139391E-2</v>
      </c>
      <c r="AJ1214" s="2">
        <v>4.1958421240520134E-2</v>
      </c>
      <c r="AK1214" s="2">
        <v>4.180219065695745E-2</v>
      </c>
      <c r="AL1214" s="2">
        <v>4.1479955624854743E-2</v>
      </c>
      <c r="AM1214" s="2">
        <v>4.1160204563431141E-2</v>
      </c>
      <c r="AN1214" s="2">
        <v>4.0842918324829586E-2</v>
      </c>
      <c r="AO1214" s="2">
        <v>4.0528077908795555E-2</v>
      </c>
      <c r="AP1214" s="2">
        <v>4.0215664461539333E-2</v>
      </c>
      <c r="AQ1214" s="2">
        <v>3.9905659274606896E-2</v>
      </c>
      <c r="AR1214" s="2">
        <v>0.67786345833937678</v>
      </c>
    </row>
    <row r="1215" spans="1:44" x14ac:dyDescent="0.25">
      <c r="A1215" t="s">
        <v>435</v>
      </c>
      <c r="B1215" t="s">
        <v>478</v>
      </c>
      <c r="C1215" t="s">
        <v>45</v>
      </c>
      <c r="D1215" t="s">
        <v>358</v>
      </c>
      <c r="E1215" t="s">
        <v>145</v>
      </c>
      <c r="F1215" t="s">
        <v>358</v>
      </c>
      <c r="G1215" t="s">
        <v>33</v>
      </c>
      <c r="H1215" t="s">
        <v>457</v>
      </c>
      <c r="I1215" t="s">
        <v>135</v>
      </c>
      <c r="J1215" t="s">
        <v>39</v>
      </c>
      <c r="K1215" t="s">
        <v>33</v>
      </c>
      <c r="L1215">
        <v>2.2326092598625055E-2</v>
      </c>
      <c r="M1215">
        <v>1</v>
      </c>
      <c r="N1215">
        <v>2.0723427924853257</v>
      </c>
      <c r="O1215">
        <v>3.1523474906593343</v>
      </c>
      <c r="P1215">
        <v>-0.39143361450399961</v>
      </c>
      <c r="Q1215">
        <v>0.82393863314836524</v>
      </c>
      <c r="R1215">
        <v>-0.67371772101320482</v>
      </c>
      <c r="S1215" s="2">
        <v>2.3608137315221946E-4</v>
      </c>
      <c r="T1215" s="2">
        <v>4.408016480856001E-4</v>
      </c>
      <c r="U1215" s="2">
        <v>7.4848613043655774E-4</v>
      </c>
      <c r="V1215" s="2">
        <v>1.1848184393988697E-3</v>
      </c>
      <c r="W1215" s="2">
        <v>1.7724296250290947E-3</v>
      </c>
      <c r="X1215" s="2">
        <v>2.526399732819437E-3</v>
      </c>
      <c r="Y1215" s="2">
        <v>3.4490357885483308E-3</v>
      </c>
      <c r="Z1215" s="2">
        <v>4.5248572984353912E-3</v>
      </c>
      <c r="AA1215" s="2">
        <v>5.7172737808913977E-3</v>
      </c>
      <c r="AB1215" s="2">
        <v>6.968749949084899E-3</v>
      </c>
      <c r="AC1215" s="2">
        <v>8.2059592555914374E-3</v>
      </c>
      <c r="AD1215" s="2">
        <v>9.3502400850981569E-3</v>
      </c>
      <c r="AE1215" s="2">
        <v>1.0331674092321733E-2</v>
      </c>
      <c r="AF1215" s="2">
        <v>1.1102999350559382E-2</v>
      </c>
      <c r="AG1215" s="2">
        <v>1.1648564729284676E-2</v>
      </c>
      <c r="AH1215" s="2">
        <v>1.2017629578796563E-2</v>
      </c>
      <c r="AI1215" s="2">
        <v>1.2173428172812424E-2</v>
      </c>
      <c r="AJ1215" s="2">
        <v>1.2276806244101646E-2</v>
      </c>
      <c r="AK1215" s="2">
        <v>1.2231094023596316E-2</v>
      </c>
      <c r="AL1215" s="2">
        <v>1.213680980275994E-2</v>
      </c>
      <c r="AM1215" s="2">
        <v>1.2043252378257695E-2</v>
      </c>
      <c r="AN1215" s="2">
        <v>1.1950416147530563E-2</v>
      </c>
      <c r="AO1215" s="2">
        <v>1.1858295551207237E-2</v>
      </c>
      <c r="AP1215" s="2">
        <v>1.1766885072771207E-2</v>
      </c>
      <c r="AQ1215" s="2">
        <v>1.1676179238230399E-2</v>
      </c>
      <c r="AR1215" s="2">
        <v>0.19833916748880118</v>
      </c>
    </row>
    <row r="1216" spans="1:44" x14ac:dyDescent="0.25">
      <c r="A1216" t="s">
        <v>435</v>
      </c>
      <c r="B1216" t="s">
        <v>478</v>
      </c>
      <c r="C1216" t="s">
        <v>45</v>
      </c>
      <c r="D1216" t="s">
        <v>358</v>
      </c>
      <c r="E1216" t="s">
        <v>145</v>
      </c>
      <c r="F1216" t="s">
        <v>358</v>
      </c>
      <c r="G1216" t="s">
        <v>33</v>
      </c>
      <c r="H1216" t="s">
        <v>457</v>
      </c>
      <c r="I1216" t="s">
        <v>256</v>
      </c>
      <c r="J1216" t="s">
        <v>39</v>
      </c>
      <c r="K1216" t="s">
        <v>33</v>
      </c>
      <c r="L1216">
        <v>2.2326092598625055E-2</v>
      </c>
      <c r="M1216">
        <v>1</v>
      </c>
      <c r="N1216">
        <v>1.7396696203434354</v>
      </c>
      <c r="O1216">
        <v>2.6463011728329873</v>
      </c>
      <c r="P1216">
        <v>-0.11733133576427998</v>
      </c>
      <c r="Q1216">
        <v>1.3498045353129324</v>
      </c>
      <c r="R1216">
        <v>-0.39961544227348522</v>
      </c>
      <c r="S1216" s="2">
        <v>6.4923961700006825E-4</v>
      </c>
      <c r="T1216" s="2">
        <v>1.2122341095990165E-3</v>
      </c>
      <c r="U1216" s="2">
        <v>2.0583870813948848E-3</v>
      </c>
      <c r="V1216" s="2">
        <v>3.2583302085165342E-3</v>
      </c>
      <c r="W1216" s="2">
        <v>4.8743003971410343E-3</v>
      </c>
      <c r="X1216" s="2">
        <v>6.9477687842283958E-3</v>
      </c>
      <c r="Y1216" s="2">
        <v>9.4850798454685064E-3</v>
      </c>
      <c r="Z1216" s="2">
        <v>1.2443661184239171E-2</v>
      </c>
      <c r="AA1216" s="2">
        <v>1.572288652098416E-2</v>
      </c>
      <c r="AB1216" s="2">
        <v>1.9164529956354971E-2</v>
      </c>
      <c r="AC1216" s="2">
        <v>2.2566938564794026E-2</v>
      </c>
      <c r="AD1216" s="2">
        <v>2.5713787626072775E-2</v>
      </c>
      <c r="AE1216" s="2">
        <v>2.8412796999208862E-2</v>
      </c>
      <c r="AF1216" s="2">
        <v>3.0533993214540103E-2</v>
      </c>
      <c r="AG1216" s="2">
        <v>3.2034334612943145E-2</v>
      </c>
      <c r="AH1216" s="2">
        <v>3.3049287712994743E-2</v>
      </c>
      <c r="AI1216" s="2">
        <v>3.3477744300473095E-2</v>
      </c>
      <c r="AJ1216" s="2">
        <v>3.37620409330869E-2</v>
      </c>
      <c r="AK1216" s="2">
        <v>3.3636329259451536E-2</v>
      </c>
      <c r="AL1216" s="2">
        <v>3.3377041325771614E-2</v>
      </c>
      <c r="AM1216" s="2">
        <v>3.3119752130777877E-2</v>
      </c>
      <c r="AN1216" s="2">
        <v>3.2864446267057104E-2</v>
      </c>
      <c r="AO1216" s="2">
        <v>3.2611108445965174E-2</v>
      </c>
      <c r="AP1216" s="2">
        <v>3.2359723496711519E-2</v>
      </c>
      <c r="AQ1216" s="2">
        <v>3.211027636545067E-2</v>
      </c>
      <c r="AR1216" s="2">
        <v>0.54544601896022593</v>
      </c>
    </row>
    <row r="1217" spans="1:44" x14ac:dyDescent="0.25">
      <c r="A1217" t="s">
        <v>435</v>
      </c>
      <c r="B1217" t="s">
        <v>478</v>
      </c>
      <c r="C1217" t="s">
        <v>45</v>
      </c>
      <c r="D1217" t="s">
        <v>358</v>
      </c>
      <c r="E1217" t="s">
        <v>145</v>
      </c>
      <c r="F1217" t="s">
        <v>358</v>
      </c>
      <c r="G1217" t="s">
        <v>33</v>
      </c>
      <c r="H1217" t="s">
        <v>457</v>
      </c>
      <c r="I1217" t="s">
        <v>256</v>
      </c>
      <c r="J1217" t="s">
        <v>40</v>
      </c>
      <c r="K1217" t="s">
        <v>33</v>
      </c>
      <c r="L1217">
        <v>2.2326092598625055E-2</v>
      </c>
      <c r="M1217">
        <v>1</v>
      </c>
      <c r="N1217">
        <v>1.7396696203434354</v>
      </c>
      <c r="O1217">
        <v>1.4737622038640092</v>
      </c>
      <c r="P1217">
        <v>-0.11733133576427998</v>
      </c>
      <c r="Q1217">
        <v>1.3498045353129324</v>
      </c>
      <c r="R1217">
        <v>-0.25661544227348509</v>
      </c>
      <c r="S1217" s="2">
        <v>5.9407915533860808E-3</v>
      </c>
      <c r="T1217" s="2">
        <v>1.1092407133607771E-2</v>
      </c>
      <c r="U1217" s="2">
        <v>1.8835031422225236E-2</v>
      </c>
      <c r="V1217" s="2">
        <v>2.9814971351164014E-2</v>
      </c>
      <c r="W1217" s="2">
        <v>4.4601718486933971E-2</v>
      </c>
      <c r="X1217" s="2">
        <v>6.3574749641655326E-2</v>
      </c>
      <c r="Y1217" s="2">
        <v>8.6792119201724457E-2</v>
      </c>
      <c r="Z1217" s="2">
        <v>0.11386427340665278</v>
      </c>
      <c r="AA1217" s="2">
        <v>0.14387044319678466</v>
      </c>
      <c r="AB1217" s="2">
        <v>0.17536280089530668</v>
      </c>
      <c r="AC1217" s="2">
        <v>0.20649614487634826</v>
      </c>
      <c r="AD1217" s="2">
        <v>0.2352910209644842</v>
      </c>
      <c r="AE1217" s="2">
        <v>0.25998799210824447</v>
      </c>
      <c r="AF1217" s="2">
        <v>0.27939775120049193</v>
      </c>
      <c r="AG1217" s="2">
        <v>0.29312645054883629</v>
      </c>
      <c r="AH1217" s="2">
        <v>0.30241366076519777</v>
      </c>
      <c r="AI1217" s="2">
        <v>0.30633420290285318</v>
      </c>
      <c r="AJ1217" s="2">
        <v>0.30893562615162584</v>
      </c>
      <c r="AK1217" s="2">
        <v>0.30778531611302112</v>
      </c>
      <c r="AL1217" s="2">
        <v>0.30541273205319713</v>
      </c>
      <c r="AM1217" s="2">
        <v>0.3030584372190972</v>
      </c>
      <c r="AN1217" s="2">
        <v>0.30072229062697975</v>
      </c>
      <c r="AO1217" s="2">
        <v>0.29840415237988627</v>
      </c>
      <c r="AP1217" s="2">
        <v>0.29610388365926338</v>
      </c>
      <c r="AQ1217" s="2">
        <v>0.29382134671664983</v>
      </c>
      <c r="AR1217" s="2">
        <v>4.9910403145756179</v>
      </c>
    </row>
    <row r="1218" spans="1:44" x14ac:dyDescent="0.25">
      <c r="A1218" t="s">
        <v>435</v>
      </c>
      <c r="B1218" t="s">
        <v>442</v>
      </c>
      <c r="C1218" t="s">
        <v>44</v>
      </c>
      <c r="D1218" t="s">
        <v>443</v>
      </c>
      <c r="E1218" t="s">
        <v>134</v>
      </c>
      <c r="F1218" t="s">
        <v>443</v>
      </c>
      <c r="G1218" t="s">
        <v>33</v>
      </c>
      <c r="H1218" t="s">
        <v>437</v>
      </c>
      <c r="I1218" t="s">
        <v>135</v>
      </c>
      <c r="J1218" t="s">
        <v>39</v>
      </c>
      <c r="K1218" t="s">
        <v>31</v>
      </c>
      <c r="L1218">
        <v>0.10334179344805128</v>
      </c>
      <c r="M1218">
        <v>1</v>
      </c>
      <c r="N1218">
        <v>5.5922831563196285</v>
      </c>
      <c r="O1218">
        <v>5.3471683850504297</v>
      </c>
      <c r="P1218">
        <v>-1.8862935958635241</v>
      </c>
      <c r="Q1218">
        <v>0.5179133243979881</v>
      </c>
      <c r="R1218">
        <v>-1.8625523936223525</v>
      </c>
      <c r="S1218" s="2">
        <v>5.5956310364642901E-2</v>
      </c>
      <c r="T1218" s="2">
        <v>9.0318969691452075E-2</v>
      </c>
      <c r="U1218" s="2">
        <v>0.13603480115195996</v>
      </c>
      <c r="V1218" s="2">
        <v>0.19332903557165529</v>
      </c>
      <c r="W1218" s="2">
        <v>0.26095337702733923</v>
      </c>
      <c r="X1218" s="2">
        <v>0.3356820961821681</v>
      </c>
      <c r="Y1218" s="2">
        <v>0.41198044861060379</v>
      </c>
      <c r="Z1218" s="2">
        <v>0.48207781722204379</v>
      </c>
      <c r="AA1218" s="2">
        <v>0.53669072579644173</v>
      </c>
      <c r="AB1218" s="2">
        <v>0.56653677158062143</v>
      </c>
      <c r="AC1218" s="2">
        <v>0.56451656804828365</v>
      </c>
      <c r="AD1218" s="2">
        <v>0.52804993871569195</v>
      </c>
      <c r="AE1218" s="2">
        <v>0.46069511021225668</v>
      </c>
      <c r="AF1218" s="2">
        <v>0.37805288029470763</v>
      </c>
      <c r="AG1218" s="2">
        <v>6.7743935665603244E-2</v>
      </c>
      <c r="AH1218" s="2">
        <v>0</v>
      </c>
      <c r="AI1218" s="2">
        <v>0</v>
      </c>
      <c r="AJ1218" s="2">
        <v>0</v>
      </c>
      <c r="AK1218" s="2">
        <v>0</v>
      </c>
      <c r="AL1218" s="2">
        <v>0</v>
      </c>
      <c r="AM1218" s="2">
        <v>0</v>
      </c>
      <c r="AN1218" s="2">
        <v>0</v>
      </c>
      <c r="AO1218" s="2">
        <v>0</v>
      </c>
      <c r="AP1218" s="2">
        <v>0</v>
      </c>
      <c r="AQ1218" s="2">
        <v>0</v>
      </c>
      <c r="AR1218" s="2">
        <v>5.0686187861354712</v>
      </c>
    </row>
    <row r="1219" spans="1:44" x14ac:dyDescent="0.25">
      <c r="A1219" t="s">
        <v>435</v>
      </c>
      <c r="B1219" t="s">
        <v>444</v>
      </c>
      <c r="C1219" t="s">
        <v>44</v>
      </c>
      <c r="D1219" t="s">
        <v>445</v>
      </c>
      <c r="E1219" t="s">
        <v>134</v>
      </c>
      <c r="F1219" t="s">
        <v>445</v>
      </c>
      <c r="G1219" t="s">
        <v>33</v>
      </c>
      <c r="H1219" t="s">
        <v>437</v>
      </c>
      <c r="I1219" t="s">
        <v>135</v>
      </c>
      <c r="J1219" t="s">
        <v>39</v>
      </c>
      <c r="K1219" t="s">
        <v>31</v>
      </c>
      <c r="L1219">
        <v>0.14174605833793252</v>
      </c>
      <c r="M1219">
        <v>1</v>
      </c>
      <c r="N1219">
        <v>5.8001361532849725</v>
      </c>
      <c r="O1219">
        <v>5.3471683850504297</v>
      </c>
      <c r="P1219">
        <v>-1.9048534768386352</v>
      </c>
      <c r="Q1219">
        <v>0.49935344342287746</v>
      </c>
      <c r="R1219">
        <v>-1.8625523936223525</v>
      </c>
      <c r="S1219" s="2">
        <v>7.6751004300203554E-2</v>
      </c>
      <c r="T1219" s="2">
        <v>0.12388364397161468</v>
      </c>
      <c r="U1219" s="2">
        <v>0.18658856418790337</v>
      </c>
      <c r="V1219" s="2">
        <v>0.26517469689870993</v>
      </c>
      <c r="W1219" s="2">
        <v>0.35792984976781661</v>
      </c>
      <c r="X1219" s="2">
        <v>0.46042953582333362</v>
      </c>
      <c r="Y1219" s="2">
        <v>0.5650821681568895</v>
      </c>
      <c r="Z1219" s="2">
        <v>0.6612293838090687</v>
      </c>
      <c r="AA1219" s="2">
        <v>0.73613774630697881</v>
      </c>
      <c r="AB1219" s="2">
        <v>0.7770752915703828</v>
      </c>
      <c r="AC1219" s="2">
        <v>0.77430433242408925</v>
      </c>
      <c r="AD1219" s="2">
        <v>0.72428583752189168</v>
      </c>
      <c r="AE1219" s="2">
        <v>0.63190035501922281</v>
      </c>
      <c r="AF1219" s="2">
        <v>0.51854630964978232</v>
      </c>
      <c r="AG1219" s="2">
        <v>9.2919191127883591E-2</v>
      </c>
      <c r="AH1219" s="2">
        <v>0</v>
      </c>
      <c r="AI1219" s="2">
        <v>0</v>
      </c>
      <c r="AJ1219" s="2">
        <v>0</v>
      </c>
      <c r="AK1219" s="2">
        <v>0</v>
      </c>
      <c r="AL1219" s="2">
        <v>0</v>
      </c>
      <c r="AM1219" s="2">
        <v>0</v>
      </c>
      <c r="AN1219" s="2">
        <v>0</v>
      </c>
      <c r="AO1219" s="2">
        <v>0</v>
      </c>
      <c r="AP1219" s="2">
        <v>0</v>
      </c>
      <c r="AQ1219" s="2">
        <v>0</v>
      </c>
      <c r="AR1219" s="2">
        <v>6.9522379105357714</v>
      </c>
    </row>
    <row r="1220" spans="1:44" x14ac:dyDescent="0.25">
      <c r="A1220" t="s">
        <v>435</v>
      </c>
      <c r="B1220" t="s">
        <v>480</v>
      </c>
      <c r="C1220" t="s">
        <v>44</v>
      </c>
      <c r="D1220" t="s">
        <v>212</v>
      </c>
      <c r="E1220" t="s">
        <v>134</v>
      </c>
      <c r="F1220" t="s">
        <v>481</v>
      </c>
      <c r="G1220" t="s">
        <v>33</v>
      </c>
      <c r="H1220" t="s">
        <v>450</v>
      </c>
      <c r="I1220" t="s">
        <v>135</v>
      </c>
      <c r="J1220" t="s">
        <v>39</v>
      </c>
      <c r="K1220" t="s">
        <v>31</v>
      </c>
      <c r="L1220">
        <v>0.10518942197789628</v>
      </c>
      <c r="M1220">
        <v>1</v>
      </c>
      <c r="N1220">
        <v>3.1302248495983953</v>
      </c>
      <c r="O1220">
        <v>5.3471683850504315</v>
      </c>
      <c r="P1220">
        <v>-1.4789321877336017</v>
      </c>
      <c r="Q1220">
        <v>0.92527473252791004</v>
      </c>
      <c r="R1220">
        <v>-1.862552393622352</v>
      </c>
      <c r="S1220" s="2">
        <v>1.5572571464267097E-2</v>
      </c>
      <c r="T1220" s="2">
        <v>3.0888592384366927E-2</v>
      </c>
      <c r="U1220" s="2">
        <v>5.4421325112488553E-2</v>
      </c>
      <c r="V1220" s="2">
        <v>8.7841353037267589E-2</v>
      </c>
      <c r="W1220" s="2">
        <v>0.13230311455240976</v>
      </c>
      <c r="X1220" s="2">
        <v>0.18802566198462145</v>
      </c>
      <c r="Y1220" s="2">
        <v>0.25379494248034057</v>
      </c>
      <c r="Z1220" s="2">
        <v>0.32647371443408441</v>
      </c>
      <c r="AA1220" s="2">
        <v>0.40067906171300022</v>
      </c>
      <c r="AB1220" s="2">
        <v>0.46885352964831972</v>
      </c>
      <c r="AC1220" s="2">
        <v>0.52196830497031632</v>
      </c>
      <c r="AD1220" s="2">
        <v>0.55099561842894973</v>
      </c>
      <c r="AE1220" s="2">
        <v>0.54903083282192322</v>
      </c>
      <c r="AF1220" s="2">
        <v>0.51356455068621665</v>
      </c>
      <c r="AG1220" s="2">
        <v>0.44805738990319449</v>
      </c>
      <c r="AH1220" s="2">
        <v>0.36768218944670039</v>
      </c>
      <c r="AI1220" s="2">
        <v>0.13317105447305286</v>
      </c>
      <c r="AJ1220" s="2">
        <v>0</v>
      </c>
      <c r="AK1220" s="2">
        <v>0</v>
      </c>
      <c r="AL1220" s="2">
        <v>0</v>
      </c>
      <c r="AM1220" s="2">
        <v>0</v>
      </c>
      <c r="AN1220" s="2">
        <v>0</v>
      </c>
      <c r="AO1220" s="2">
        <v>0</v>
      </c>
      <c r="AP1220" s="2">
        <v>0</v>
      </c>
      <c r="AQ1220" s="2">
        <v>0</v>
      </c>
      <c r="AR1220" s="2">
        <v>5.0433238075415199</v>
      </c>
    </row>
    <row r="1221" spans="1:44" x14ac:dyDescent="0.25">
      <c r="A1221" t="s">
        <v>435</v>
      </c>
      <c r="B1221" t="s">
        <v>480</v>
      </c>
      <c r="C1221" t="s">
        <v>44</v>
      </c>
      <c r="D1221" t="s">
        <v>212</v>
      </c>
      <c r="E1221" t="s">
        <v>134</v>
      </c>
      <c r="F1221" t="s">
        <v>481</v>
      </c>
      <c r="G1221" t="s">
        <v>33</v>
      </c>
      <c r="H1221" t="s">
        <v>450</v>
      </c>
      <c r="I1221" t="s">
        <v>135</v>
      </c>
      <c r="J1221" t="s">
        <v>39</v>
      </c>
      <c r="K1221" t="s">
        <v>33</v>
      </c>
      <c r="L1221">
        <v>0.10518942197789628</v>
      </c>
      <c r="M1221">
        <v>1</v>
      </c>
      <c r="N1221">
        <v>3.1302248495983953</v>
      </c>
      <c r="O1221">
        <v>5.3471683850504315</v>
      </c>
      <c r="P1221">
        <v>-1.4789321877336017</v>
      </c>
      <c r="Q1221">
        <v>0.92527473252791004</v>
      </c>
      <c r="R1221">
        <v>-1.862552393622352</v>
      </c>
      <c r="S1221" s="2">
        <v>9.5939533497995423E-3</v>
      </c>
      <c r="T1221" s="2">
        <v>1.9016585817132021E-2</v>
      </c>
      <c r="U1221" s="2">
        <v>3.3481175890710549E-2</v>
      </c>
      <c r="V1221" s="2">
        <v>5.4004228604232062E-2</v>
      </c>
      <c r="W1221" s="2">
        <v>8.1282298958595539E-2</v>
      </c>
      <c r="X1221" s="2">
        <v>0.11543571493638964</v>
      </c>
      <c r="Y1221" s="2">
        <v>0.15570522779547222</v>
      </c>
      <c r="Z1221" s="2">
        <v>0.20015461649663877</v>
      </c>
      <c r="AA1221" s="2">
        <v>0.24547722166656571</v>
      </c>
      <c r="AB1221" s="2">
        <v>0.28704428274997007</v>
      </c>
      <c r="AC1221" s="2">
        <v>0.31933976694617877</v>
      </c>
      <c r="AD1221" s="2">
        <v>0.33686367090249625</v>
      </c>
      <c r="AE1221" s="2">
        <v>0.33542847394668757</v>
      </c>
      <c r="AF1221" s="2">
        <v>0.3135417590182627</v>
      </c>
      <c r="AG1221" s="2">
        <v>0.27335760249295088</v>
      </c>
      <c r="AH1221" s="2">
        <v>0.22416472151275382</v>
      </c>
      <c r="AI1221" s="2">
        <v>5.1634581337342549E-2</v>
      </c>
      <c r="AJ1221" s="2">
        <v>0</v>
      </c>
      <c r="AK1221" s="2">
        <v>0</v>
      </c>
      <c r="AL1221" s="2">
        <v>0</v>
      </c>
      <c r="AM1221" s="2">
        <v>0</v>
      </c>
      <c r="AN1221" s="2">
        <v>0</v>
      </c>
      <c r="AO1221" s="2">
        <v>0</v>
      </c>
      <c r="AP1221" s="2">
        <v>0</v>
      </c>
      <c r="AQ1221" s="2">
        <v>0</v>
      </c>
      <c r="AR1221" s="2">
        <v>3.0555258824221783</v>
      </c>
    </row>
    <row r="1222" spans="1:44" x14ac:dyDescent="0.25">
      <c r="A1222" t="s">
        <v>435</v>
      </c>
      <c r="B1222" t="s">
        <v>480</v>
      </c>
      <c r="C1222" t="s">
        <v>44</v>
      </c>
      <c r="D1222" t="s">
        <v>212</v>
      </c>
      <c r="E1222" t="s">
        <v>134</v>
      </c>
      <c r="F1222" t="s">
        <v>481</v>
      </c>
      <c r="G1222" t="s">
        <v>33</v>
      </c>
      <c r="H1222" t="s">
        <v>450</v>
      </c>
      <c r="I1222" t="s">
        <v>256</v>
      </c>
      <c r="J1222" t="s">
        <v>40</v>
      </c>
      <c r="K1222" t="s">
        <v>33</v>
      </c>
      <c r="L1222">
        <v>0.10518942197789628</v>
      </c>
      <c r="M1222">
        <v>1</v>
      </c>
      <c r="N1222">
        <v>1.5491409834562504</v>
      </c>
      <c r="O1222">
        <v>1.4737622038640092</v>
      </c>
      <c r="P1222">
        <v>-1.5995236384734907E-2</v>
      </c>
      <c r="Q1222">
        <v>1.3498045353129324</v>
      </c>
      <c r="R1222">
        <v>-0.25661544227348509</v>
      </c>
      <c r="S1222" s="2">
        <v>0.25061329101701674</v>
      </c>
      <c r="T1222" s="2">
        <v>0.49709784990180378</v>
      </c>
      <c r="U1222" s="2">
        <v>0.8758160088873711</v>
      </c>
      <c r="V1222" s="2">
        <v>1.4136528846614171</v>
      </c>
      <c r="W1222" s="2">
        <v>2.1291871432963281</v>
      </c>
      <c r="X1222" s="2">
        <v>3.0259440487234195</v>
      </c>
      <c r="Y1222" s="2">
        <v>4.0843855444439319</v>
      </c>
      <c r="Z1222" s="2">
        <v>5.2540232159227598</v>
      </c>
      <c r="AA1222" s="2">
        <v>6.4482284462729398</v>
      </c>
      <c r="AB1222" s="2">
        <v>7.5453772255743417</v>
      </c>
      <c r="AC1222" s="2">
        <v>8.400166601601228</v>
      </c>
      <c r="AD1222" s="2">
        <v>8.8673104237980365</v>
      </c>
      <c r="AE1222" s="2">
        <v>8.8356906371590966</v>
      </c>
      <c r="AF1222" s="2">
        <v>8.2649228801086565</v>
      </c>
      <c r="AG1222" s="2">
        <v>7.2106997425437047</v>
      </c>
      <c r="AH1222" s="2">
        <v>5.917201520443724</v>
      </c>
      <c r="AI1222" s="2">
        <v>2.1431551177196058</v>
      </c>
      <c r="AJ1222" s="2">
        <v>0</v>
      </c>
      <c r="AK1222" s="2">
        <v>0</v>
      </c>
      <c r="AL1222" s="2">
        <v>0</v>
      </c>
      <c r="AM1222" s="2">
        <v>0</v>
      </c>
      <c r="AN1222" s="2">
        <v>0</v>
      </c>
      <c r="AO1222" s="2">
        <v>0</v>
      </c>
      <c r="AP1222" s="2">
        <v>0</v>
      </c>
      <c r="AQ1222" s="2">
        <v>0</v>
      </c>
      <c r="AR1222" s="2">
        <v>81.163472582075386</v>
      </c>
    </row>
    <row r="1223" spans="1:44" x14ac:dyDescent="0.25">
      <c r="A1223" t="s">
        <v>435</v>
      </c>
      <c r="B1223" t="s">
        <v>480</v>
      </c>
      <c r="C1223" t="s">
        <v>44</v>
      </c>
      <c r="D1223" t="s">
        <v>212</v>
      </c>
      <c r="E1223" t="s">
        <v>134</v>
      </c>
      <c r="F1223" t="s">
        <v>481</v>
      </c>
      <c r="G1223" t="s">
        <v>33</v>
      </c>
      <c r="H1223" t="s">
        <v>451</v>
      </c>
      <c r="I1223" t="s">
        <v>135</v>
      </c>
      <c r="J1223" t="s">
        <v>39</v>
      </c>
      <c r="K1223" t="s">
        <v>31</v>
      </c>
      <c r="L1223">
        <v>0.10518942197789628</v>
      </c>
      <c r="M1223">
        <v>1</v>
      </c>
      <c r="N1223">
        <v>3.1302248495983953</v>
      </c>
      <c r="O1223">
        <v>5.3471683850504315</v>
      </c>
      <c r="P1223">
        <v>-1.4789321877336017</v>
      </c>
      <c r="Q1223">
        <v>0.92527473252791004</v>
      </c>
      <c r="R1223">
        <v>-1.862552393622352</v>
      </c>
      <c r="S1223" s="2">
        <v>4.0735170456405786E-3</v>
      </c>
      <c r="T1223" s="2">
        <v>8.0799248783209408E-3</v>
      </c>
      <c r="U1223" s="2">
        <v>1.4235683297440767E-2</v>
      </c>
      <c r="V1223" s="2">
        <v>2.297778820476146E-2</v>
      </c>
      <c r="W1223" s="2">
        <v>3.460822084247496E-2</v>
      </c>
      <c r="X1223" s="2">
        <v>4.9184281534344315E-2</v>
      </c>
      <c r="Y1223" s="2">
        <v>6.6388394920086746E-2</v>
      </c>
      <c r="Z1223" s="2">
        <v>8.5399912516209944E-2</v>
      </c>
      <c r="AA1223" s="2">
        <v>0.10481075597979261</v>
      </c>
      <c r="AB1223" s="2">
        <v>0.12264402506121792</v>
      </c>
      <c r="AC1223" s="2">
        <v>0.13653793738944148</v>
      </c>
      <c r="AD1223" s="2">
        <v>0.14413098369102481</v>
      </c>
      <c r="AE1223" s="2">
        <v>0.14361702954545441</v>
      </c>
      <c r="AF1223" s="2">
        <v>0.13433965970600265</v>
      </c>
      <c r="AG1223" s="2">
        <v>0.11720411233198917</v>
      </c>
      <c r="AH1223" s="2">
        <v>9.6179341319855227E-2</v>
      </c>
      <c r="AI1223" s="2">
        <v>3.4835259008229563E-2</v>
      </c>
      <c r="AJ1223" s="2">
        <v>0</v>
      </c>
      <c r="AK1223" s="2">
        <v>0</v>
      </c>
      <c r="AL1223" s="2">
        <v>0</v>
      </c>
      <c r="AM1223" s="2">
        <v>0</v>
      </c>
      <c r="AN1223" s="2">
        <v>0</v>
      </c>
      <c r="AO1223" s="2">
        <v>0</v>
      </c>
      <c r="AP1223" s="2">
        <v>0</v>
      </c>
      <c r="AQ1223" s="2">
        <v>0</v>
      </c>
      <c r="AR1223" s="2">
        <v>1.3192468272722875</v>
      </c>
    </row>
    <row r="1224" spans="1:44" x14ac:dyDescent="0.25">
      <c r="A1224" t="s">
        <v>435</v>
      </c>
      <c r="B1224" t="s">
        <v>480</v>
      </c>
      <c r="C1224" t="s">
        <v>44</v>
      </c>
      <c r="D1224" t="s">
        <v>212</v>
      </c>
      <c r="E1224" t="s">
        <v>134</v>
      </c>
      <c r="F1224" t="s">
        <v>481</v>
      </c>
      <c r="G1224" t="s">
        <v>33</v>
      </c>
      <c r="H1224" t="s">
        <v>451</v>
      </c>
      <c r="I1224" t="s">
        <v>135</v>
      </c>
      <c r="J1224" t="s">
        <v>39</v>
      </c>
      <c r="K1224" t="s">
        <v>33</v>
      </c>
      <c r="L1224">
        <v>0.10518942197789628</v>
      </c>
      <c r="M1224">
        <v>1</v>
      </c>
      <c r="N1224">
        <v>3.1302248495983953</v>
      </c>
      <c r="O1224">
        <v>5.3471683850504315</v>
      </c>
      <c r="P1224">
        <v>-1.4789321877336017</v>
      </c>
      <c r="Q1224">
        <v>0.92527473252791004</v>
      </c>
      <c r="R1224">
        <v>-1.862552393622352</v>
      </c>
      <c r="S1224" s="2">
        <v>1.8350431046429683E-2</v>
      </c>
      <c r="T1224" s="2">
        <v>3.6398547662550421E-2</v>
      </c>
      <c r="U1224" s="2">
        <v>6.4129085952411374E-2</v>
      </c>
      <c r="V1224" s="2">
        <v>0.10351063057467427</v>
      </c>
      <c r="W1224" s="2">
        <v>0.15590355044398221</v>
      </c>
      <c r="X1224" s="2">
        <v>0.22156597278267667</v>
      </c>
      <c r="Y1224" s="2">
        <v>0.2990672800959443</v>
      </c>
      <c r="Z1224" s="2">
        <v>0.38471060472840135</v>
      </c>
      <c r="AA1224" s="2">
        <v>0.47215281757312511</v>
      </c>
      <c r="AB1224" s="2">
        <v>0.55248835341219527</v>
      </c>
      <c r="AC1224" s="2">
        <v>0.61507782518501108</v>
      </c>
      <c r="AD1224" s="2">
        <v>0.64928307608451785</v>
      </c>
      <c r="AE1224" s="2">
        <v>0.64696780895696016</v>
      </c>
      <c r="AF1224" s="2">
        <v>0.60517499610663039</v>
      </c>
      <c r="AG1224" s="2">
        <v>0.52798256582916814</v>
      </c>
      <c r="AH1224" s="2">
        <v>0.43326991177558333</v>
      </c>
      <c r="AI1224" s="2">
        <v>0.1569263148411634</v>
      </c>
      <c r="AJ1224" s="2">
        <v>0</v>
      </c>
      <c r="AK1224" s="2">
        <v>0</v>
      </c>
      <c r="AL1224" s="2">
        <v>0</v>
      </c>
      <c r="AM1224" s="2">
        <v>0</v>
      </c>
      <c r="AN1224" s="2">
        <v>0</v>
      </c>
      <c r="AO1224" s="2">
        <v>0</v>
      </c>
      <c r="AP1224" s="2">
        <v>0</v>
      </c>
      <c r="AQ1224" s="2">
        <v>0</v>
      </c>
      <c r="AR1224" s="2">
        <v>5.9429597730514256</v>
      </c>
    </row>
    <row r="1225" spans="1:44" x14ac:dyDescent="0.25">
      <c r="A1225" t="s">
        <v>435</v>
      </c>
      <c r="B1225" t="s">
        <v>480</v>
      </c>
      <c r="C1225" t="s">
        <v>44</v>
      </c>
      <c r="D1225" t="s">
        <v>212</v>
      </c>
      <c r="E1225" t="s">
        <v>134</v>
      </c>
      <c r="F1225" t="s">
        <v>481</v>
      </c>
      <c r="G1225" t="s">
        <v>33</v>
      </c>
      <c r="H1225" t="s">
        <v>452</v>
      </c>
      <c r="I1225" t="s">
        <v>135</v>
      </c>
      <c r="J1225" t="s">
        <v>39</v>
      </c>
      <c r="K1225" t="s">
        <v>31</v>
      </c>
      <c r="L1225">
        <v>0.10518942197789628</v>
      </c>
      <c r="M1225">
        <v>1</v>
      </c>
      <c r="N1225">
        <v>3.1302248495983953</v>
      </c>
      <c r="O1225">
        <v>5.3471683850504315</v>
      </c>
      <c r="P1225">
        <v>-1.4789321877336017</v>
      </c>
      <c r="Q1225">
        <v>0.92527473252791004</v>
      </c>
      <c r="R1225">
        <v>-1.862552393622352</v>
      </c>
      <c r="S1225" s="2">
        <v>9.2262375855520662E-2</v>
      </c>
      <c r="T1225" s="2">
        <v>0.18300477392277362</v>
      </c>
      <c r="U1225" s="2">
        <v>0.32242849317501665</v>
      </c>
      <c r="V1225" s="2">
        <v>0.52043119199538646</v>
      </c>
      <c r="W1225" s="2">
        <v>0.78385253904274999</v>
      </c>
      <c r="X1225" s="2">
        <v>1.1139903474717929</v>
      </c>
      <c r="Y1225" s="2">
        <v>1.5036517525112192</v>
      </c>
      <c r="Z1225" s="2">
        <v>1.9342496271204639</v>
      </c>
      <c r="AA1225" s="2">
        <v>2.3738919595924308</v>
      </c>
      <c r="AB1225" s="2">
        <v>2.7778033109598987</v>
      </c>
      <c r="AC1225" s="2">
        <v>3.0924909253647699</v>
      </c>
      <c r="AD1225" s="2">
        <v>3.2644682324229963</v>
      </c>
      <c r="AE1225" s="2">
        <v>3.2528275224370482</v>
      </c>
      <c r="AF1225" s="2">
        <v>3.0427014388861777</v>
      </c>
      <c r="AG1225" s="2">
        <v>2.6545930071310577</v>
      </c>
      <c r="AH1225" s="2">
        <v>2.178396319191898</v>
      </c>
      <c r="AI1225" s="2">
        <v>0.78899479826193364</v>
      </c>
      <c r="AJ1225" s="2">
        <v>0</v>
      </c>
      <c r="AK1225" s="2">
        <v>0</v>
      </c>
      <c r="AL1225" s="2">
        <v>0</v>
      </c>
      <c r="AM1225" s="2">
        <v>0</v>
      </c>
      <c r="AN1225" s="2">
        <v>0</v>
      </c>
      <c r="AO1225" s="2">
        <v>0</v>
      </c>
      <c r="AP1225" s="2">
        <v>0</v>
      </c>
      <c r="AQ1225" s="2">
        <v>0</v>
      </c>
      <c r="AR1225" s="2">
        <v>29.880038615343139</v>
      </c>
    </row>
    <row r="1226" spans="1:44" x14ac:dyDescent="0.25">
      <c r="A1226" t="s">
        <v>435</v>
      </c>
      <c r="B1226" t="s">
        <v>480</v>
      </c>
      <c r="C1226" t="s">
        <v>44</v>
      </c>
      <c r="D1226" t="s">
        <v>212</v>
      </c>
      <c r="E1226" t="s">
        <v>134</v>
      </c>
      <c r="F1226" t="s">
        <v>481</v>
      </c>
      <c r="G1226" t="s">
        <v>33</v>
      </c>
      <c r="H1226" t="s">
        <v>452</v>
      </c>
      <c r="I1226" t="s">
        <v>135</v>
      </c>
      <c r="J1226" t="s">
        <v>39</v>
      </c>
      <c r="K1226" t="s">
        <v>33</v>
      </c>
      <c r="L1226">
        <v>0.10518942197789628</v>
      </c>
      <c r="M1226">
        <v>1</v>
      </c>
      <c r="N1226">
        <v>3.1302248495983953</v>
      </c>
      <c r="O1226">
        <v>5.3471683850504315</v>
      </c>
      <c r="P1226">
        <v>-1.4789321877336017</v>
      </c>
      <c r="Q1226">
        <v>0.92527473252791004</v>
      </c>
      <c r="R1226">
        <v>-1.862552393622352</v>
      </c>
      <c r="S1226" s="2">
        <v>0.18244578750642163</v>
      </c>
      <c r="T1226" s="2">
        <v>0.36188586936087702</v>
      </c>
      <c r="U1226" s="2">
        <v>0.63759164888560482</v>
      </c>
      <c r="V1226" s="2">
        <v>1.029135417184496</v>
      </c>
      <c r="W1226" s="2">
        <v>1.550042392128637</v>
      </c>
      <c r="X1226" s="2">
        <v>2.2028789561772619</v>
      </c>
      <c r="Y1226" s="2">
        <v>2.9734214578640206</v>
      </c>
      <c r="Z1226" s="2">
        <v>3.8249144700827631</v>
      </c>
      <c r="AA1226" s="2">
        <v>4.6942925976806835</v>
      </c>
      <c r="AB1226" s="2">
        <v>5.4930138954978913</v>
      </c>
      <c r="AC1226" s="2">
        <v>6.1152982134144525</v>
      </c>
      <c r="AD1226" s="2">
        <v>6.4553776328801549</v>
      </c>
      <c r="AE1226" s="2">
        <v>6.4323585150563725</v>
      </c>
      <c r="AF1226" s="2">
        <v>6.0168411556387857</v>
      </c>
      <c r="AG1226" s="2">
        <v>5.2493696071028069</v>
      </c>
      <c r="AH1226" s="2">
        <v>4.3077064542368895</v>
      </c>
      <c r="AI1226" s="2">
        <v>1.5602110391432615</v>
      </c>
      <c r="AJ1226" s="2">
        <v>0</v>
      </c>
      <c r="AK1226" s="2">
        <v>0</v>
      </c>
      <c r="AL1226" s="2">
        <v>0</v>
      </c>
      <c r="AM1226" s="2">
        <v>0</v>
      </c>
      <c r="AN1226" s="2">
        <v>0</v>
      </c>
      <c r="AO1226" s="2">
        <v>0</v>
      </c>
      <c r="AP1226" s="2">
        <v>0</v>
      </c>
      <c r="AQ1226" s="2">
        <v>0</v>
      </c>
      <c r="AR1226" s="2">
        <v>59.086785109841365</v>
      </c>
    </row>
    <row r="1227" spans="1:44" x14ac:dyDescent="0.25">
      <c r="A1227" t="s">
        <v>435</v>
      </c>
      <c r="B1227" t="s">
        <v>480</v>
      </c>
      <c r="C1227" t="s">
        <v>44</v>
      </c>
      <c r="D1227" t="s">
        <v>212</v>
      </c>
      <c r="E1227" t="s">
        <v>134</v>
      </c>
      <c r="F1227" t="s">
        <v>481</v>
      </c>
      <c r="G1227" t="s">
        <v>33</v>
      </c>
      <c r="H1227" t="s">
        <v>452</v>
      </c>
      <c r="I1227" t="s">
        <v>135</v>
      </c>
      <c r="J1227" t="s">
        <v>40</v>
      </c>
      <c r="K1227" t="s">
        <v>33</v>
      </c>
      <c r="L1227">
        <v>0.10518942197789628</v>
      </c>
      <c r="M1227">
        <v>1</v>
      </c>
      <c r="N1227">
        <v>3.1302248495983953</v>
      </c>
      <c r="O1227">
        <v>4.1746294160814532</v>
      </c>
      <c r="P1227">
        <v>-1.4789321877336017</v>
      </c>
      <c r="Q1227">
        <v>1.3498045353129324</v>
      </c>
      <c r="R1227">
        <v>-1.719552393622352</v>
      </c>
      <c r="S1227" s="2">
        <v>1.335915823881967E-2</v>
      </c>
      <c r="T1227" s="2">
        <v>2.6498230840296143E-2</v>
      </c>
      <c r="U1227" s="2">
        <v>4.6686129867004704E-2</v>
      </c>
      <c r="V1227" s="2">
        <v>7.5355989717534377E-2</v>
      </c>
      <c r="W1227" s="2">
        <v>0.11349816225598622</v>
      </c>
      <c r="X1227" s="2">
        <v>0.16130056472530027</v>
      </c>
      <c r="Y1227" s="2">
        <v>0.217721704124899</v>
      </c>
      <c r="Z1227" s="2">
        <v>0.28007025184940593</v>
      </c>
      <c r="AA1227" s="2">
        <v>0.34372839454859305</v>
      </c>
      <c r="AB1227" s="2">
        <v>0.40221285917828437</v>
      </c>
      <c r="AC1227" s="2">
        <v>0.44777814619424627</v>
      </c>
      <c r="AD1227" s="2">
        <v>0.47267965167980502</v>
      </c>
      <c r="AE1227" s="2">
        <v>0.470994131604341</v>
      </c>
      <c r="AF1227" s="2">
        <v>0.44056886264470191</v>
      </c>
      <c r="AG1227" s="2">
        <v>0.38437258647513967</v>
      </c>
      <c r="AH1227" s="2">
        <v>0.31542154496995373</v>
      </c>
      <c r="AI1227" s="2">
        <v>0.11424273721383774</v>
      </c>
      <c r="AJ1227" s="2">
        <v>0</v>
      </c>
      <c r="AK1227" s="2">
        <v>0</v>
      </c>
      <c r="AL1227" s="2">
        <v>0</v>
      </c>
      <c r="AM1227" s="2">
        <v>0</v>
      </c>
      <c r="AN1227" s="2">
        <v>0</v>
      </c>
      <c r="AO1227" s="2">
        <v>0</v>
      </c>
      <c r="AP1227" s="2">
        <v>0</v>
      </c>
      <c r="AQ1227" s="2">
        <v>0</v>
      </c>
      <c r="AR1227" s="2">
        <v>4.3264891061281494</v>
      </c>
    </row>
    <row r="1228" spans="1:44" x14ac:dyDescent="0.25">
      <c r="A1228" t="s">
        <v>435</v>
      </c>
      <c r="B1228" t="s">
        <v>480</v>
      </c>
      <c r="C1228" t="s">
        <v>44</v>
      </c>
      <c r="D1228" t="s">
        <v>212</v>
      </c>
      <c r="E1228" t="s">
        <v>134</v>
      </c>
      <c r="F1228" t="s">
        <v>481</v>
      </c>
      <c r="G1228" t="s">
        <v>33</v>
      </c>
      <c r="H1228" t="s">
        <v>452</v>
      </c>
      <c r="I1228" t="s">
        <v>256</v>
      </c>
      <c r="J1228" t="s">
        <v>40</v>
      </c>
      <c r="K1228" t="s">
        <v>33</v>
      </c>
      <c r="L1228">
        <v>0.10518942197789628</v>
      </c>
      <c r="M1228">
        <v>1</v>
      </c>
      <c r="N1228">
        <v>1.5491409834562504</v>
      </c>
      <c r="O1228">
        <v>1.4737622038640092</v>
      </c>
      <c r="P1228">
        <v>-1.5995236384734907E-2</v>
      </c>
      <c r="Q1228">
        <v>1.3498045353129324</v>
      </c>
      <c r="R1228">
        <v>-0.25661544227348509</v>
      </c>
      <c r="S1228" s="2">
        <v>8.0557226639101379E-2</v>
      </c>
      <c r="T1228" s="2">
        <v>0.15978731213274142</v>
      </c>
      <c r="U1228" s="2">
        <v>0.28152261372802684</v>
      </c>
      <c r="V1228" s="2">
        <v>0.4544050930281936</v>
      </c>
      <c r="W1228" s="2">
        <v>0.68440668315527109</v>
      </c>
      <c r="X1228" s="2">
        <v>0.97266054621860043</v>
      </c>
      <c r="Y1228" s="2">
        <v>1.3128863622915288</v>
      </c>
      <c r="Z1228" s="2">
        <v>1.6888551171990762</v>
      </c>
      <c r="AA1228" s="2">
        <v>2.0727208770896306</v>
      </c>
      <c r="AB1228" s="2">
        <v>2.4253887763551774</v>
      </c>
      <c r="AC1228" s="2">
        <v>2.7001525816340388</v>
      </c>
      <c r="AD1228" s="2">
        <v>2.8503114602994528</v>
      </c>
      <c r="AE1228" s="2">
        <v>2.8401475846797033</v>
      </c>
      <c r="AF1228" s="2">
        <v>2.6566797910267232</v>
      </c>
      <c r="AG1228" s="2">
        <v>2.3178099255205171</v>
      </c>
      <c r="AH1228" s="2">
        <v>1.9020273905554912</v>
      </c>
      <c r="AI1228" s="2">
        <v>0.68889655389093674</v>
      </c>
      <c r="AJ1228" s="2">
        <v>0</v>
      </c>
      <c r="AK1228" s="2">
        <v>0</v>
      </c>
      <c r="AL1228" s="2">
        <v>0</v>
      </c>
      <c r="AM1228" s="2">
        <v>0</v>
      </c>
      <c r="AN1228" s="2">
        <v>0</v>
      </c>
      <c r="AO1228" s="2">
        <v>0</v>
      </c>
      <c r="AP1228" s="2">
        <v>0</v>
      </c>
      <c r="AQ1228" s="2">
        <v>0</v>
      </c>
      <c r="AR1228" s="2">
        <v>26.089215895444212</v>
      </c>
    </row>
    <row r="1229" spans="1:44" x14ac:dyDescent="0.25">
      <c r="A1229" t="s">
        <v>435</v>
      </c>
      <c r="B1229" t="s">
        <v>480</v>
      </c>
      <c r="C1229" t="s">
        <v>44</v>
      </c>
      <c r="D1229" t="s">
        <v>212</v>
      </c>
      <c r="E1229" t="s">
        <v>134</v>
      </c>
      <c r="F1229" t="s">
        <v>481</v>
      </c>
      <c r="G1229" t="s">
        <v>33</v>
      </c>
      <c r="H1229" t="s">
        <v>453</v>
      </c>
      <c r="I1229" t="s">
        <v>135</v>
      </c>
      <c r="J1229" t="s">
        <v>39</v>
      </c>
      <c r="K1229" t="s">
        <v>31</v>
      </c>
      <c r="L1229">
        <v>0.10518942197789628</v>
      </c>
      <c r="M1229">
        <v>1</v>
      </c>
      <c r="N1229">
        <v>3.1302248495983953</v>
      </c>
      <c r="O1229">
        <v>5.3471683850504315</v>
      </c>
      <c r="P1229">
        <v>-1.4789321877336017</v>
      </c>
      <c r="Q1229">
        <v>0.92527473252791004</v>
      </c>
      <c r="R1229">
        <v>-1.862552393622352</v>
      </c>
      <c r="S1229" s="2">
        <v>2.8216591228961141E-2</v>
      </c>
      <c r="T1229" s="2">
        <v>5.5968327835103839E-2</v>
      </c>
      <c r="U1229" s="2">
        <v>9.8608267000799901E-2</v>
      </c>
      <c r="V1229" s="2">
        <v>0.15916340839011814</v>
      </c>
      <c r="W1229" s="2">
        <v>0.23972552704027433</v>
      </c>
      <c r="X1229" s="2">
        <v>0.34069153299111715</v>
      </c>
      <c r="Y1229" s="2">
        <v>0.45986163328116147</v>
      </c>
      <c r="Z1229" s="2">
        <v>0.59155132909969266</v>
      </c>
      <c r="AA1229" s="2">
        <v>0.72600709037051236</v>
      </c>
      <c r="AB1229" s="2">
        <v>0.8495352500194725</v>
      </c>
      <c r="AC1229" s="2">
        <v>0.94577612500391928</v>
      </c>
      <c r="AD1229" s="2">
        <v>0.99837192398397712</v>
      </c>
      <c r="AE1229" s="2">
        <v>0.99481184705941639</v>
      </c>
      <c r="AF1229" s="2">
        <v>0.93054901238689391</v>
      </c>
      <c r="AG1229" s="2">
        <v>0.81185385772822394</v>
      </c>
      <c r="AH1229" s="2">
        <v>0.66621868235396586</v>
      </c>
      <c r="AI1229" s="2">
        <v>0.24129818355421753</v>
      </c>
      <c r="AJ1229" s="2">
        <v>0</v>
      </c>
      <c r="AK1229" s="2">
        <v>0</v>
      </c>
      <c r="AL1229" s="2">
        <v>0</v>
      </c>
      <c r="AM1229" s="2">
        <v>0</v>
      </c>
      <c r="AN1229" s="2">
        <v>0</v>
      </c>
      <c r="AO1229" s="2">
        <v>0</v>
      </c>
      <c r="AP1229" s="2">
        <v>0</v>
      </c>
      <c r="AQ1229" s="2">
        <v>0</v>
      </c>
      <c r="AR1229" s="2">
        <v>9.138208589327828</v>
      </c>
    </row>
    <row r="1230" spans="1:44" x14ac:dyDescent="0.25">
      <c r="A1230" t="s">
        <v>435</v>
      </c>
      <c r="B1230" t="s">
        <v>480</v>
      </c>
      <c r="C1230" t="s">
        <v>44</v>
      </c>
      <c r="D1230" t="s">
        <v>212</v>
      </c>
      <c r="E1230" t="s">
        <v>134</v>
      </c>
      <c r="F1230" t="s">
        <v>481</v>
      </c>
      <c r="G1230" t="s">
        <v>33</v>
      </c>
      <c r="H1230" t="s">
        <v>453</v>
      </c>
      <c r="I1230" t="s">
        <v>135</v>
      </c>
      <c r="J1230" t="s">
        <v>39</v>
      </c>
      <c r="K1230" t="s">
        <v>33</v>
      </c>
      <c r="L1230">
        <v>0.10518942197789628</v>
      </c>
      <c r="M1230">
        <v>1</v>
      </c>
      <c r="N1230">
        <v>3.1302248495983953</v>
      </c>
      <c r="O1230">
        <v>5.3471683850504315</v>
      </c>
      <c r="P1230">
        <v>-1.4789321877336017</v>
      </c>
      <c r="Q1230">
        <v>0.92527473252791004</v>
      </c>
      <c r="R1230">
        <v>-1.862552393622352</v>
      </c>
      <c r="S1230" s="2">
        <v>2.567382274351148E-2</v>
      </c>
      <c r="T1230" s="2">
        <v>5.0924681738818929E-2</v>
      </c>
      <c r="U1230" s="2">
        <v>8.9722076897259501E-2</v>
      </c>
      <c r="V1230" s="2">
        <v>0.14482022655050064</v>
      </c>
      <c r="W1230" s="2">
        <v>0.21812240317709958</v>
      </c>
      <c r="X1230" s="2">
        <v>0.30998974884150715</v>
      </c>
      <c r="Y1230" s="2">
        <v>0.41842070729239172</v>
      </c>
      <c r="Z1230" s="2">
        <v>0.53824304444705595</v>
      </c>
      <c r="AA1230" s="2">
        <v>0.66058218008892011</v>
      </c>
      <c r="AB1230" s="2">
        <v>0.7729784666894246</v>
      </c>
      <c r="AC1230" s="2">
        <v>0.86054649164968477</v>
      </c>
      <c r="AD1230" s="2">
        <v>0.90840256360076455</v>
      </c>
      <c r="AE1230" s="2">
        <v>0.90516330683963508</v>
      </c>
      <c r="AF1230" s="2">
        <v>0.84669158667364564</v>
      </c>
      <c r="AG1230" s="2">
        <v>0.7386927736174248</v>
      </c>
      <c r="AH1230" s="2">
        <v>0.60618166880540092</v>
      </c>
      <c r="AI1230" s="2">
        <v>0.21955333805678545</v>
      </c>
      <c r="AJ1230" s="2">
        <v>0</v>
      </c>
      <c r="AK1230" s="2">
        <v>0</v>
      </c>
      <c r="AL1230" s="2">
        <v>0</v>
      </c>
      <c r="AM1230" s="2">
        <v>0</v>
      </c>
      <c r="AN1230" s="2">
        <v>0</v>
      </c>
      <c r="AO1230" s="2">
        <v>0</v>
      </c>
      <c r="AP1230" s="2">
        <v>0</v>
      </c>
      <c r="AQ1230" s="2">
        <v>0</v>
      </c>
      <c r="AR1230" s="2">
        <v>8.3147090877098329</v>
      </c>
    </row>
    <row r="1231" spans="1:44" x14ac:dyDescent="0.25">
      <c r="A1231" t="s">
        <v>435</v>
      </c>
      <c r="B1231" t="s">
        <v>480</v>
      </c>
      <c r="C1231" t="s">
        <v>44</v>
      </c>
      <c r="D1231" t="s">
        <v>212</v>
      </c>
      <c r="E1231" t="s">
        <v>134</v>
      </c>
      <c r="F1231" t="s">
        <v>481</v>
      </c>
      <c r="G1231" t="s">
        <v>33</v>
      </c>
      <c r="H1231" t="s">
        <v>453</v>
      </c>
      <c r="I1231" t="s">
        <v>135</v>
      </c>
      <c r="J1231" t="s">
        <v>40</v>
      </c>
      <c r="K1231" t="s">
        <v>33</v>
      </c>
      <c r="L1231">
        <v>0.10518942197789628</v>
      </c>
      <c r="M1231">
        <v>1</v>
      </c>
      <c r="N1231">
        <v>3.1302248495983953</v>
      </c>
      <c r="O1231">
        <v>4.1746294160814532</v>
      </c>
      <c r="P1231">
        <v>-1.4789321877336017</v>
      </c>
      <c r="Q1231">
        <v>1.3498045353129324</v>
      </c>
      <c r="R1231">
        <v>-1.719552393622352</v>
      </c>
      <c r="S1231" s="2">
        <v>0.522837549417287</v>
      </c>
      <c r="T1231" s="2">
        <v>1.0370616043887873</v>
      </c>
      <c r="U1231" s="2">
        <v>1.8271556706703549</v>
      </c>
      <c r="V1231" s="2">
        <v>2.9492083478240918</v>
      </c>
      <c r="W1231" s="2">
        <v>4.4419790496117706</v>
      </c>
      <c r="X1231" s="2">
        <v>6.3128222956098243</v>
      </c>
      <c r="Y1231" s="2">
        <v>8.5209771607342955</v>
      </c>
      <c r="Z1231" s="2">
        <v>10.961113082418548</v>
      </c>
      <c r="AA1231" s="2">
        <v>13.452502639627628</v>
      </c>
      <c r="AB1231" s="2">
        <v>15.741409891067711</v>
      </c>
      <c r="AC1231" s="2">
        <v>17.52469912052635</v>
      </c>
      <c r="AD1231" s="2">
        <v>18.49926966397857</v>
      </c>
      <c r="AE1231" s="2">
        <v>18.433303442904208</v>
      </c>
      <c r="AF1231" s="2">
        <v>17.242549296659064</v>
      </c>
      <c r="AG1231" s="2">
        <v>15.04319490668764</v>
      </c>
      <c r="AH1231" s="2">
        <v>12.344657100197352</v>
      </c>
      <c r="AI1231" s="2">
        <v>4.4711194894031339</v>
      </c>
      <c r="AJ1231" s="2">
        <v>0</v>
      </c>
      <c r="AK1231" s="2">
        <v>0</v>
      </c>
      <c r="AL1231" s="2">
        <v>0</v>
      </c>
      <c r="AM1231" s="2">
        <v>0</v>
      </c>
      <c r="AN1231" s="2">
        <v>0</v>
      </c>
      <c r="AO1231" s="2">
        <v>0</v>
      </c>
      <c r="AP1231" s="2">
        <v>0</v>
      </c>
      <c r="AQ1231" s="2">
        <v>0</v>
      </c>
      <c r="AR1231" s="2">
        <v>169.32586031172661</v>
      </c>
    </row>
    <row r="1232" spans="1:44" x14ac:dyDescent="0.25">
      <c r="A1232" t="s">
        <v>435</v>
      </c>
      <c r="B1232" t="s">
        <v>480</v>
      </c>
      <c r="C1232" t="s">
        <v>44</v>
      </c>
      <c r="D1232" t="s">
        <v>212</v>
      </c>
      <c r="E1232" t="s">
        <v>134</v>
      </c>
      <c r="F1232" t="s">
        <v>481</v>
      </c>
      <c r="G1232" t="s">
        <v>33</v>
      </c>
      <c r="H1232" t="s">
        <v>453</v>
      </c>
      <c r="I1232" t="s">
        <v>256</v>
      </c>
      <c r="J1232" t="s">
        <v>40</v>
      </c>
      <c r="K1232" t="s">
        <v>33</v>
      </c>
      <c r="L1232">
        <v>0.10518942197789628</v>
      </c>
      <c r="M1232">
        <v>1</v>
      </c>
      <c r="N1232">
        <v>1.5491409834562504</v>
      </c>
      <c r="O1232">
        <v>1.4737622038640092</v>
      </c>
      <c r="P1232">
        <v>-1.5995236384734907E-2</v>
      </c>
      <c r="Q1232">
        <v>1.3498045353129324</v>
      </c>
      <c r="R1232">
        <v>-0.25661544227348509</v>
      </c>
      <c r="S1232" s="2">
        <v>0.26915532799314845</v>
      </c>
      <c r="T1232" s="2">
        <v>0.53387645280921681</v>
      </c>
      <c r="U1232" s="2">
        <v>0.94061469835502221</v>
      </c>
      <c r="V1232" s="2">
        <v>1.5182443209433321</v>
      </c>
      <c r="W1232" s="2">
        <v>2.2867185598460753</v>
      </c>
      <c r="X1232" s="2">
        <v>3.2498235014509511</v>
      </c>
      <c r="Y1232" s="2">
        <v>4.386575533979304</v>
      </c>
      <c r="Z1232" s="2">
        <v>5.6427507744163723</v>
      </c>
      <c r="AA1232" s="2">
        <v>6.9253112450189134</v>
      </c>
      <c r="AB1232" s="2">
        <v>8.1036343832362707</v>
      </c>
      <c r="AC1232" s="2">
        <v>9.021666758677819</v>
      </c>
      <c r="AD1232" s="2">
        <v>9.5233729857223253</v>
      </c>
      <c r="AE1232" s="2">
        <v>9.489413757106238</v>
      </c>
      <c r="AF1232" s="2">
        <v>8.8764168077688836</v>
      </c>
      <c r="AG1232" s="2">
        <v>7.744195235569852</v>
      </c>
      <c r="AH1232" s="2">
        <v>6.3549954177348313</v>
      </c>
      <c r="AI1232" s="2">
        <v>2.3017199778556181</v>
      </c>
      <c r="AJ1232" s="2">
        <v>0</v>
      </c>
      <c r="AK1232" s="2">
        <v>0</v>
      </c>
      <c r="AL1232" s="2">
        <v>0</v>
      </c>
      <c r="AM1232" s="2">
        <v>0</v>
      </c>
      <c r="AN1232" s="2">
        <v>0</v>
      </c>
      <c r="AO1232" s="2">
        <v>0</v>
      </c>
      <c r="AP1232" s="2">
        <v>0</v>
      </c>
      <c r="AQ1232" s="2">
        <v>0</v>
      </c>
      <c r="AR1232" s="2">
        <v>87.168485738484179</v>
      </c>
    </row>
    <row r="1233" spans="1:44" x14ac:dyDescent="0.25">
      <c r="A1233" t="s">
        <v>435</v>
      </c>
      <c r="B1233" t="s">
        <v>480</v>
      </c>
      <c r="C1233" t="s">
        <v>44</v>
      </c>
      <c r="D1233" t="s">
        <v>212</v>
      </c>
      <c r="E1233" t="s">
        <v>134</v>
      </c>
      <c r="F1233" t="s">
        <v>481</v>
      </c>
      <c r="G1233" t="s">
        <v>33</v>
      </c>
      <c r="H1233" t="s">
        <v>454</v>
      </c>
      <c r="I1233" t="s">
        <v>135</v>
      </c>
      <c r="J1233" t="s">
        <v>39</v>
      </c>
      <c r="K1233" t="s">
        <v>31</v>
      </c>
      <c r="L1233">
        <v>0.10518942197789628</v>
      </c>
      <c r="M1233">
        <v>1</v>
      </c>
      <c r="N1233">
        <v>3.1302248495983953</v>
      </c>
      <c r="O1233">
        <v>5.3471683850504315</v>
      </c>
      <c r="P1233">
        <v>-1.4789321877336017</v>
      </c>
      <c r="Q1233">
        <v>0.92527473252791004</v>
      </c>
      <c r="R1233">
        <v>-1.862552393622352</v>
      </c>
      <c r="S1233" s="2">
        <v>1.5537214298323072E-3</v>
      </c>
      <c r="T1233" s="2">
        <v>3.0818460544598698E-3</v>
      </c>
      <c r="U1233" s="2">
        <v>5.4297762743401911E-3</v>
      </c>
      <c r="V1233" s="2">
        <v>8.7641911262143126E-3</v>
      </c>
      <c r="W1233" s="2">
        <v>1.3200272336866249E-2</v>
      </c>
      <c r="X1233" s="2">
        <v>1.8759875403638829E-2</v>
      </c>
      <c r="Y1233" s="2">
        <v>2.532187068908863E-2</v>
      </c>
      <c r="Z1233" s="2">
        <v>3.2573246336170404E-2</v>
      </c>
      <c r="AA1233" s="2">
        <v>3.9976932910347013E-2</v>
      </c>
      <c r="AB1233" s="2">
        <v>4.67789008474713E-2</v>
      </c>
      <c r="AC1233" s="2">
        <v>5.2078318791892231E-2</v>
      </c>
      <c r="AD1233" s="2">
        <v>5.4974459552885095E-2</v>
      </c>
      <c r="AE1233" s="2">
        <v>5.4778427092243134E-2</v>
      </c>
      <c r="AF1233" s="2">
        <v>5.1239851416596399E-2</v>
      </c>
      <c r="AG1233" s="2">
        <v>4.4704008588737375E-2</v>
      </c>
      <c r="AH1233" s="2">
        <v>3.6684737547800168E-2</v>
      </c>
      <c r="AI1233" s="2">
        <v>1.3286869265164444E-2</v>
      </c>
      <c r="AJ1233" s="2">
        <v>0</v>
      </c>
      <c r="AK1233" s="2">
        <v>0</v>
      </c>
      <c r="AL1233" s="2">
        <v>0</v>
      </c>
      <c r="AM1233" s="2">
        <v>0</v>
      </c>
      <c r="AN1233" s="2">
        <v>0</v>
      </c>
      <c r="AO1233" s="2">
        <v>0</v>
      </c>
      <c r="AP1233" s="2">
        <v>0</v>
      </c>
      <c r="AQ1233" s="2">
        <v>0</v>
      </c>
      <c r="AR1233" s="2">
        <v>0.50318730566374792</v>
      </c>
    </row>
    <row r="1234" spans="1:44" x14ac:dyDescent="0.25">
      <c r="A1234" t="s">
        <v>435</v>
      </c>
      <c r="B1234" t="s">
        <v>480</v>
      </c>
      <c r="C1234" t="s">
        <v>44</v>
      </c>
      <c r="D1234" t="s">
        <v>212</v>
      </c>
      <c r="E1234" t="s">
        <v>134</v>
      </c>
      <c r="F1234" t="s">
        <v>481</v>
      </c>
      <c r="G1234" t="s">
        <v>33</v>
      </c>
      <c r="H1234" t="s">
        <v>454</v>
      </c>
      <c r="I1234" t="s">
        <v>135</v>
      </c>
      <c r="J1234" t="s">
        <v>39</v>
      </c>
      <c r="K1234" t="s">
        <v>33</v>
      </c>
      <c r="L1234">
        <v>0.10518942197789628</v>
      </c>
      <c r="M1234">
        <v>1</v>
      </c>
      <c r="N1234">
        <v>3.1302248495983953</v>
      </c>
      <c r="O1234">
        <v>5.3471683850504315</v>
      </c>
      <c r="P1234">
        <v>-1.4789321877336017</v>
      </c>
      <c r="Q1234">
        <v>0.92527473252791004</v>
      </c>
      <c r="R1234">
        <v>-1.862552393622352</v>
      </c>
      <c r="S1234" s="2">
        <v>1.2468620976159823E-2</v>
      </c>
      <c r="T1234" s="2">
        <v>2.4731827483438305E-2</v>
      </c>
      <c r="U1234" s="2">
        <v>4.3573977323206559E-2</v>
      </c>
      <c r="V1234" s="2">
        <v>7.0332670462802227E-2</v>
      </c>
      <c r="W1234" s="2">
        <v>0.10593224074166036</v>
      </c>
      <c r="X1234" s="2">
        <v>0.15054807861741448</v>
      </c>
      <c r="Y1234" s="2">
        <v>0.2032081182426978</v>
      </c>
      <c r="Z1234" s="2">
        <v>0.26140043815488234</v>
      </c>
      <c r="AA1234" s="2">
        <v>0.32081505389436837</v>
      </c>
      <c r="AB1234" s="2">
        <v>0.3754008750535372</v>
      </c>
      <c r="AC1234" s="2">
        <v>0.41792872623363975</v>
      </c>
      <c r="AD1234" s="2">
        <v>0.44117026795989672</v>
      </c>
      <c r="AE1234" s="2">
        <v>0.4395971066429209</v>
      </c>
      <c r="AF1234" s="2">
        <v>0.41120002203821171</v>
      </c>
      <c r="AG1234" s="2">
        <v>0.35874985599453268</v>
      </c>
      <c r="AH1234" s="2">
        <v>0.29439517233329726</v>
      </c>
      <c r="AI1234" s="2">
        <v>0.10662718145362991</v>
      </c>
      <c r="AJ1234" s="2">
        <v>0</v>
      </c>
      <c r="AK1234" s="2">
        <v>0</v>
      </c>
      <c r="AL1234" s="2">
        <v>0</v>
      </c>
      <c r="AM1234" s="2">
        <v>0</v>
      </c>
      <c r="AN1234" s="2">
        <v>0</v>
      </c>
      <c r="AO1234" s="2">
        <v>0</v>
      </c>
      <c r="AP1234" s="2">
        <v>0</v>
      </c>
      <c r="AQ1234" s="2">
        <v>0</v>
      </c>
      <c r="AR1234" s="2">
        <v>4.0380802336062969</v>
      </c>
    </row>
    <row r="1235" spans="1:44" x14ac:dyDescent="0.25">
      <c r="A1235" t="s">
        <v>435</v>
      </c>
      <c r="B1235" t="s">
        <v>480</v>
      </c>
      <c r="C1235" t="s">
        <v>44</v>
      </c>
      <c r="D1235" t="s">
        <v>212</v>
      </c>
      <c r="E1235" t="s">
        <v>134</v>
      </c>
      <c r="F1235" t="s">
        <v>481</v>
      </c>
      <c r="G1235" t="s">
        <v>33</v>
      </c>
      <c r="H1235" t="s">
        <v>455</v>
      </c>
      <c r="I1235" t="s">
        <v>135</v>
      </c>
      <c r="J1235" t="s">
        <v>39</v>
      </c>
      <c r="K1235" t="s">
        <v>31</v>
      </c>
      <c r="L1235">
        <v>0.10518942197789628</v>
      </c>
      <c r="M1235">
        <v>1</v>
      </c>
      <c r="N1235">
        <v>3.1302248495983953</v>
      </c>
      <c r="O1235">
        <v>5.3471683850504315</v>
      </c>
      <c r="P1235">
        <v>-1.4789321877336017</v>
      </c>
      <c r="Q1235">
        <v>0.92527473252791004</v>
      </c>
      <c r="R1235">
        <v>-1.862552393622352</v>
      </c>
      <c r="S1235" s="2">
        <v>3.6607979870589591E-4</v>
      </c>
      <c r="T1235" s="2">
        <v>7.2612861070017883E-4</v>
      </c>
      <c r="U1235" s="2">
        <v>1.2793357723997164E-3</v>
      </c>
      <c r="V1235" s="2">
        <v>2.0649733354394266E-3</v>
      </c>
      <c r="W1235" s="2">
        <v>3.1101798219160546E-3</v>
      </c>
      <c r="X1235" s="2">
        <v>4.4201047109538871E-3</v>
      </c>
      <c r="Y1235" s="2">
        <v>5.9662080645426774E-3</v>
      </c>
      <c r="Z1235" s="2">
        <v>7.6747396495843037E-3</v>
      </c>
      <c r="AA1235" s="2">
        <v>9.4191579466587298E-3</v>
      </c>
      <c r="AB1235" s="2">
        <v>1.1021802413946001E-2</v>
      </c>
      <c r="AC1235" s="2">
        <v>1.2270423831597047E-2</v>
      </c>
      <c r="AD1235" s="2">
        <v>1.2952797522563415E-2</v>
      </c>
      <c r="AE1235" s="2">
        <v>1.2906609369170064E-2</v>
      </c>
      <c r="AF1235" s="2">
        <v>1.2072868489901797E-2</v>
      </c>
      <c r="AG1235" s="2">
        <v>1.0532927042962856E-2</v>
      </c>
      <c r="AH1235" s="2">
        <v>8.6434679210975127E-3</v>
      </c>
      <c r="AI1235" s="2">
        <v>3.1305833417950134E-3</v>
      </c>
      <c r="AJ1235" s="2">
        <v>0</v>
      </c>
      <c r="AK1235" s="2">
        <v>0</v>
      </c>
      <c r="AL1235" s="2">
        <v>0</v>
      </c>
      <c r="AM1235" s="2">
        <v>0</v>
      </c>
      <c r="AN1235" s="2">
        <v>0</v>
      </c>
      <c r="AO1235" s="2">
        <v>0</v>
      </c>
      <c r="AP1235" s="2">
        <v>0</v>
      </c>
      <c r="AQ1235" s="2">
        <v>0</v>
      </c>
      <c r="AR1235" s="2">
        <v>0.11855838764393456</v>
      </c>
    </row>
    <row r="1236" spans="1:44" x14ac:dyDescent="0.25">
      <c r="A1236" t="s">
        <v>435</v>
      </c>
      <c r="B1236" t="s">
        <v>480</v>
      </c>
      <c r="C1236" t="s">
        <v>44</v>
      </c>
      <c r="D1236" t="s">
        <v>212</v>
      </c>
      <c r="E1236" t="s">
        <v>134</v>
      </c>
      <c r="F1236" t="s">
        <v>481</v>
      </c>
      <c r="G1236" t="s">
        <v>33</v>
      </c>
      <c r="H1236" t="s">
        <v>455</v>
      </c>
      <c r="I1236" t="s">
        <v>135</v>
      </c>
      <c r="J1236" t="s">
        <v>39</v>
      </c>
      <c r="K1236" t="s">
        <v>33</v>
      </c>
      <c r="L1236">
        <v>0.10518942197789628</v>
      </c>
      <c r="M1236">
        <v>1</v>
      </c>
      <c r="N1236">
        <v>3.1302248495983953</v>
      </c>
      <c r="O1236">
        <v>5.3471683850504315</v>
      </c>
      <c r="P1236">
        <v>-1.4789321877336017</v>
      </c>
      <c r="Q1236">
        <v>0.92527473252791004</v>
      </c>
      <c r="R1236">
        <v>-1.862552393622352</v>
      </c>
      <c r="S1236" s="2">
        <v>9.3078637209123658E-3</v>
      </c>
      <c r="T1236" s="2">
        <v>1.8462384912100969E-2</v>
      </c>
      <c r="U1236" s="2">
        <v>3.2528107436901682E-2</v>
      </c>
      <c r="V1236" s="2">
        <v>5.2503553764870675E-2</v>
      </c>
      <c r="W1236" s="2">
        <v>7.9078741936217875E-2</v>
      </c>
      <c r="X1236" s="2">
        <v>0.11238460146437718</v>
      </c>
      <c r="Y1236" s="2">
        <v>0.15169548221912627</v>
      </c>
      <c r="Z1236" s="2">
        <v>0.1951362271404759</v>
      </c>
      <c r="AA1236" s="2">
        <v>0.23948941963793807</v>
      </c>
      <c r="AB1236" s="2">
        <v>0.28023790220189515</v>
      </c>
      <c r="AC1236" s="2">
        <v>0.31198507327113323</v>
      </c>
      <c r="AD1236" s="2">
        <v>0.3293349553042404</v>
      </c>
      <c r="AE1236" s="2">
        <v>0.32816058556620614</v>
      </c>
      <c r="AF1236" s="2">
        <v>0.30696207499497064</v>
      </c>
      <c r="AG1236" s="2">
        <v>0.26780786551124086</v>
      </c>
      <c r="AH1236" s="2">
        <v>0.21976689719032463</v>
      </c>
      <c r="AI1236" s="2">
        <v>7.9597517304680968E-2</v>
      </c>
      <c r="AJ1236" s="2">
        <v>0</v>
      </c>
      <c r="AK1236" s="2">
        <v>0</v>
      </c>
      <c r="AL1236" s="2">
        <v>0</v>
      </c>
      <c r="AM1236" s="2">
        <v>0</v>
      </c>
      <c r="AN1236" s="2">
        <v>0</v>
      </c>
      <c r="AO1236" s="2">
        <v>0</v>
      </c>
      <c r="AP1236" s="2">
        <v>0</v>
      </c>
      <c r="AQ1236" s="2">
        <v>0</v>
      </c>
      <c r="AR1236" s="2">
        <v>3.0144392535776134</v>
      </c>
    </row>
    <row r="1237" spans="1:44" x14ac:dyDescent="0.25">
      <c r="A1237" t="s">
        <v>435</v>
      </c>
      <c r="B1237" t="s">
        <v>480</v>
      </c>
      <c r="C1237" t="s">
        <v>44</v>
      </c>
      <c r="D1237" t="s">
        <v>212</v>
      </c>
      <c r="E1237" t="s">
        <v>134</v>
      </c>
      <c r="F1237" t="s">
        <v>481</v>
      </c>
      <c r="G1237" t="s">
        <v>33</v>
      </c>
      <c r="H1237" t="s">
        <v>456</v>
      </c>
      <c r="I1237" t="s">
        <v>135</v>
      </c>
      <c r="J1237" t="s">
        <v>39</v>
      </c>
      <c r="K1237" t="s">
        <v>31</v>
      </c>
      <c r="L1237">
        <v>0.10518942197789628</v>
      </c>
      <c r="M1237">
        <v>1</v>
      </c>
      <c r="N1237">
        <v>3.1302248495983953</v>
      </c>
      <c r="O1237">
        <v>5.3471683850504315</v>
      </c>
      <c r="P1237">
        <v>-1.4789321877336017</v>
      </c>
      <c r="Q1237">
        <v>0.92527473252791004</v>
      </c>
      <c r="R1237">
        <v>-1.862552393622352</v>
      </c>
      <c r="S1237" s="2">
        <v>6.5986750617478926E-2</v>
      </c>
      <c r="T1237" s="2">
        <v>0.13088640159842135</v>
      </c>
      <c r="U1237" s="2">
        <v>0.23060330252525421</v>
      </c>
      <c r="V1237" s="2">
        <v>0.37221633370394047</v>
      </c>
      <c r="W1237" s="2">
        <v>0.56061727800820138</v>
      </c>
      <c r="X1237" s="2">
        <v>0.79673434124449127</v>
      </c>
      <c r="Y1237" s="2">
        <v>1.0754231320020351</v>
      </c>
      <c r="Z1237" s="2">
        <v>1.3833899961195555</v>
      </c>
      <c r="AA1237" s="2">
        <v>1.6978255250630532</v>
      </c>
      <c r="AB1237" s="2">
        <v>1.9867059854577784</v>
      </c>
      <c r="AC1237" s="2">
        <v>2.2117729528059971</v>
      </c>
      <c r="AD1237" s="2">
        <v>2.3347724265079073</v>
      </c>
      <c r="AE1237" s="2">
        <v>2.3264469024822083</v>
      </c>
      <c r="AF1237" s="2">
        <v>2.1761631346415475</v>
      </c>
      <c r="AG1237" s="2">
        <v>1.8985850421494337</v>
      </c>
      <c r="AH1237" s="2">
        <v>1.5580055610712797</v>
      </c>
      <c r="AI1237" s="2">
        <v>0.56429506078324765</v>
      </c>
      <c r="AJ1237" s="2">
        <v>0</v>
      </c>
      <c r="AK1237" s="2">
        <v>0</v>
      </c>
      <c r="AL1237" s="2">
        <v>0</v>
      </c>
      <c r="AM1237" s="2">
        <v>0</v>
      </c>
      <c r="AN1237" s="2">
        <v>0</v>
      </c>
      <c r="AO1237" s="2">
        <v>0</v>
      </c>
      <c r="AP1237" s="2">
        <v>0</v>
      </c>
      <c r="AQ1237" s="2">
        <v>0</v>
      </c>
      <c r="AR1237" s="2">
        <v>21.37043012678183</v>
      </c>
    </row>
    <row r="1238" spans="1:44" x14ac:dyDescent="0.25">
      <c r="A1238" t="s">
        <v>435</v>
      </c>
      <c r="B1238" t="s">
        <v>480</v>
      </c>
      <c r="C1238" t="s">
        <v>44</v>
      </c>
      <c r="D1238" t="s">
        <v>212</v>
      </c>
      <c r="E1238" t="s">
        <v>134</v>
      </c>
      <c r="F1238" t="s">
        <v>481</v>
      </c>
      <c r="G1238" t="s">
        <v>33</v>
      </c>
      <c r="H1238" t="s">
        <v>456</v>
      </c>
      <c r="I1238" t="s">
        <v>135</v>
      </c>
      <c r="J1238" t="s">
        <v>39</v>
      </c>
      <c r="K1238" t="s">
        <v>33</v>
      </c>
      <c r="L1238">
        <v>0.10518942197789628</v>
      </c>
      <c r="M1238">
        <v>1</v>
      </c>
      <c r="N1238">
        <v>3.1302248495983953</v>
      </c>
      <c r="O1238">
        <v>5.3471683850504315</v>
      </c>
      <c r="P1238">
        <v>-1.4789321877336017</v>
      </c>
      <c r="Q1238">
        <v>0.92527473252791004</v>
      </c>
      <c r="R1238">
        <v>-1.862552393622352</v>
      </c>
      <c r="S1238" s="2">
        <v>6.0925548788814295E-2</v>
      </c>
      <c r="T1238" s="2">
        <v>0.12084737878068325</v>
      </c>
      <c r="U1238" s="2">
        <v>0.21291596612036431</v>
      </c>
      <c r="V1238" s="2">
        <v>0.34366723905732177</v>
      </c>
      <c r="W1238" s="2">
        <v>0.51761777938029774</v>
      </c>
      <c r="X1238" s="2">
        <v>0.73562459925640167</v>
      </c>
      <c r="Y1238" s="2">
        <v>0.99293788350375256</v>
      </c>
      <c r="Z1238" s="2">
        <v>1.2772836048728551</v>
      </c>
      <c r="AA1238" s="2">
        <v>1.5676018427057274</v>
      </c>
      <c r="AB1238" s="2">
        <v>1.8343250927402872</v>
      </c>
      <c r="AC1238" s="2">
        <v>2.0421293621066323</v>
      </c>
      <c r="AD1238" s="2">
        <v>2.1556947425186079</v>
      </c>
      <c r="AE1238" s="2">
        <v>2.148007788463838</v>
      </c>
      <c r="AF1238" s="2">
        <v>2.0092508267394984</v>
      </c>
      <c r="AG1238" s="2">
        <v>1.752963049896693</v>
      </c>
      <c r="AH1238" s="2">
        <v>1.4385061082118007</v>
      </c>
      <c r="AI1238" s="2">
        <v>0.52101347521012686</v>
      </c>
      <c r="AJ1238" s="2">
        <v>0</v>
      </c>
      <c r="AK1238" s="2">
        <v>0</v>
      </c>
      <c r="AL1238" s="2">
        <v>0</v>
      </c>
      <c r="AM1238" s="2">
        <v>0</v>
      </c>
      <c r="AN1238" s="2">
        <v>0</v>
      </c>
      <c r="AO1238" s="2">
        <v>0</v>
      </c>
      <c r="AP1238" s="2">
        <v>0</v>
      </c>
      <c r="AQ1238" s="2">
        <v>0</v>
      </c>
      <c r="AR1238" s="2">
        <v>19.731312288353703</v>
      </c>
    </row>
    <row r="1239" spans="1:44" x14ac:dyDescent="0.25">
      <c r="A1239" t="s">
        <v>435</v>
      </c>
      <c r="B1239" t="s">
        <v>480</v>
      </c>
      <c r="C1239" t="s">
        <v>44</v>
      </c>
      <c r="D1239" t="s">
        <v>212</v>
      </c>
      <c r="E1239" t="s">
        <v>134</v>
      </c>
      <c r="F1239" t="s">
        <v>481</v>
      </c>
      <c r="G1239" t="s">
        <v>33</v>
      </c>
      <c r="H1239" t="s">
        <v>456</v>
      </c>
      <c r="I1239" t="s">
        <v>135</v>
      </c>
      <c r="J1239" t="s">
        <v>40</v>
      </c>
      <c r="K1239" t="s">
        <v>33</v>
      </c>
      <c r="L1239">
        <v>0.10518942197789628</v>
      </c>
      <c r="M1239">
        <v>1</v>
      </c>
      <c r="N1239">
        <v>3.1302248495983953</v>
      </c>
      <c r="O1239">
        <v>4.1746294160814532</v>
      </c>
      <c r="P1239">
        <v>-1.4789321877336017</v>
      </c>
      <c r="Q1239">
        <v>1.3498045353129324</v>
      </c>
      <c r="R1239">
        <v>-1.719552393622352</v>
      </c>
      <c r="S1239" s="2">
        <v>0.22491968770891843</v>
      </c>
      <c r="T1239" s="2">
        <v>0.44613393290899628</v>
      </c>
      <c r="U1239" s="2">
        <v>0.78602480502936811</v>
      </c>
      <c r="V1239" s="2">
        <v>1.2687210804205435</v>
      </c>
      <c r="W1239" s="2">
        <v>1.9108966862876275</v>
      </c>
      <c r="X1239" s="2">
        <v>2.7157154662532208</v>
      </c>
      <c r="Y1239" s="2">
        <v>3.6656424621819945</v>
      </c>
      <c r="Z1239" s="2">
        <v>4.715365478603105</v>
      </c>
      <c r="AA1239" s="2">
        <v>5.787137316324519</v>
      </c>
      <c r="AB1239" s="2">
        <v>6.7718032125715641</v>
      </c>
      <c r="AC1239" s="2">
        <v>7.5389570962808472</v>
      </c>
      <c r="AD1239" s="2">
        <v>7.9582079755030586</v>
      </c>
      <c r="AE1239" s="2">
        <v>7.929829941331799</v>
      </c>
      <c r="AF1239" s="2">
        <v>7.417578954366431</v>
      </c>
      <c r="AG1239" s="2">
        <v>6.4714378382493116</v>
      </c>
      <c r="AH1239" s="2">
        <v>5.3105528150084078</v>
      </c>
      <c r="AI1239" s="2">
        <v>1.9234326233580978</v>
      </c>
      <c r="AJ1239" s="2">
        <v>0</v>
      </c>
      <c r="AK1239" s="2">
        <v>0</v>
      </c>
      <c r="AL1239" s="2">
        <v>0</v>
      </c>
      <c r="AM1239" s="2">
        <v>0</v>
      </c>
      <c r="AN1239" s="2">
        <v>0</v>
      </c>
      <c r="AO1239" s="2">
        <v>0</v>
      </c>
      <c r="AP1239" s="2">
        <v>0</v>
      </c>
      <c r="AQ1239" s="2">
        <v>0</v>
      </c>
      <c r="AR1239" s="2">
        <v>72.842357372387809</v>
      </c>
    </row>
    <row r="1240" spans="1:44" x14ac:dyDescent="0.25">
      <c r="A1240" t="s">
        <v>435</v>
      </c>
      <c r="B1240" t="s">
        <v>480</v>
      </c>
      <c r="C1240" t="s">
        <v>44</v>
      </c>
      <c r="D1240" t="s">
        <v>212</v>
      </c>
      <c r="E1240" t="s">
        <v>134</v>
      </c>
      <c r="F1240" t="s">
        <v>481</v>
      </c>
      <c r="G1240" t="s">
        <v>33</v>
      </c>
      <c r="H1240" t="s">
        <v>456</v>
      </c>
      <c r="I1240" t="s">
        <v>256</v>
      </c>
      <c r="J1240" t="s">
        <v>40</v>
      </c>
      <c r="K1240" t="s">
        <v>33</v>
      </c>
      <c r="L1240">
        <v>0.10518942197789628</v>
      </c>
      <c r="M1240">
        <v>1</v>
      </c>
      <c r="N1240">
        <v>1.5491409834562504</v>
      </c>
      <c r="O1240">
        <v>1.4737622038640092</v>
      </c>
      <c r="P1240">
        <v>-1.5995236384734907E-2</v>
      </c>
      <c r="Q1240">
        <v>1.3498045353129324</v>
      </c>
      <c r="R1240">
        <v>-0.25661544227348509</v>
      </c>
      <c r="S1240" s="2">
        <v>0.33775741577451773</v>
      </c>
      <c r="T1240" s="2">
        <v>0.66995044232710699</v>
      </c>
      <c r="U1240" s="2">
        <v>1.1803577960901712</v>
      </c>
      <c r="V1240" s="2">
        <v>1.9052131799865804</v>
      </c>
      <c r="W1240" s="2">
        <v>2.8695554984402847</v>
      </c>
      <c r="X1240" s="2">
        <v>4.0781358324116459</v>
      </c>
      <c r="Y1240" s="2">
        <v>5.5046222844761603</v>
      </c>
      <c r="Z1240" s="2">
        <v>7.080970433084083</v>
      </c>
      <c r="AA1240" s="2">
        <v>8.690428857538123</v>
      </c>
      <c r="AB1240" s="2">
        <v>10.169082024388109</v>
      </c>
      <c r="AC1240" s="2">
        <v>11.321101733744825</v>
      </c>
      <c r="AD1240" s="2">
        <v>11.950682429724395</v>
      </c>
      <c r="AE1240" s="2">
        <v>11.908067700955744</v>
      </c>
      <c r="AF1240" s="2">
        <v>11.138830595268141</v>
      </c>
      <c r="AG1240" s="2">
        <v>9.7180293235212876</v>
      </c>
      <c r="AH1240" s="2">
        <v>7.9747514030547375</v>
      </c>
      <c r="AI1240" s="2">
        <v>2.8883804654867777</v>
      </c>
      <c r="AJ1240" s="2">
        <v>0</v>
      </c>
      <c r="AK1240" s="2">
        <v>0</v>
      </c>
      <c r="AL1240" s="2">
        <v>0</v>
      </c>
      <c r="AM1240" s="2">
        <v>0</v>
      </c>
      <c r="AN1240" s="2">
        <v>0</v>
      </c>
      <c r="AO1240" s="2">
        <v>0</v>
      </c>
      <c r="AP1240" s="2">
        <v>0</v>
      </c>
      <c r="AQ1240" s="2">
        <v>0</v>
      </c>
      <c r="AR1240" s="2">
        <v>109.3859174162727</v>
      </c>
    </row>
    <row r="1241" spans="1:44" x14ac:dyDescent="0.25">
      <c r="A1241" t="s">
        <v>435</v>
      </c>
      <c r="B1241" t="s">
        <v>480</v>
      </c>
      <c r="C1241" t="s">
        <v>44</v>
      </c>
      <c r="D1241" t="s">
        <v>212</v>
      </c>
      <c r="E1241" t="s">
        <v>134</v>
      </c>
      <c r="F1241" t="s">
        <v>481</v>
      </c>
      <c r="G1241" t="s">
        <v>33</v>
      </c>
      <c r="H1241" t="s">
        <v>457</v>
      </c>
      <c r="I1241" t="s">
        <v>135</v>
      </c>
      <c r="J1241" t="s">
        <v>39</v>
      </c>
      <c r="K1241" t="s">
        <v>31</v>
      </c>
      <c r="L1241">
        <v>0.10518942197789628</v>
      </c>
      <c r="M1241">
        <v>1</v>
      </c>
      <c r="N1241">
        <v>3.1302248495983953</v>
      </c>
      <c r="O1241">
        <v>5.3471683850504315</v>
      </c>
      <c r="P1241">
        <v>-1.4789321877336017</v>
      </c>
      <c r="Q1241">
        <v>0.92527473252791004</v>
      </c>
      <c r="R1241">
        <v>-1.862552393622352</v>
      </c>
      <c r="S1241" s="2">
        <v>2.4395230840338518E-2</v>
      </c>
      <c r="T1241" s="2">
        <v>4.8388562112482048E-2</v>
      </c>
      <c r="U1241" s="2">
        <v>8.5253793299496852E-2</v>
      </c>
      <c r="V1241" s="2">
        <v>0.13760797884851242</v>
      </c>
      <c r="W1241" s="2">
        <v>0.20725960563467477</v>
      </c>
      <c r="X1241" s="2">
        <v>0.29455183034783278</v>
      </c>
      <c r="Y1241" s="2">
        <v>0.39758277700796768</v>
      </c>
      <c r="Z1241" s="2">
        <v>0.51143779594766381</v>
      </c>
      <c r="AA1241" s="2">
        <v>0.62768427332684684</v>
      </c>
      <c r="AB1241" s="2">
        <v>0.73448306930704899</v>
      </c>
      <c r="AC1241" s="2">
        <v>0.81769008543704713</v>
      </c>
      <c r="AD1241" s="2">
        <v>0.86316285877593357</v>
      </c>
      <c r="AE1241" s="2">
        <v>0.8600849214843842</v>
      </c>
      <c r="AF1241" s="2">
        <v>0.80452517390291067</v>
      </c>
      <c r="AG1241" s="2">
        <v>0.70190485119873025</v>
      </c>
      <c r="AH1241" s="2">
        <v>0.57599298279126476</v>
      </c>
      <c r="AI1241" s="2">
        <v>0.20861927797705088</v>
      </c>
      <c r="AJ1241" s="2">
        <v>0</v>
      </c>
      <c r="AK1241" s="2">
        <v>0</v>
      </c>
      <c r="AL1241" s="2">
        <v>0</v>
      </c>
      <c r="AM1241" s="2">
        <v>0</v>
      </c>
      <c r="AN1241" s="2">
        <v>0</v>
      </c>
      <c r="AO1241" s="2">
        <v>0</v>
      </c>
      <c r="AP1241" s="2">
        <v>0</v>
      </c>
      <c r="AQ1241" s="2">
        <v>0</v>
      </c>
      <c r="AR1241" s="2">
        <v>7.9006250682401857</v>
      </c>
    </row>
    <row r="1242" spans="1:44" x14ac:dyDescent="0.25">
      <c r="A1242" t="s">
        <v>435</v>
      </c>
      <c r="B1242" t="s">
        <v>480</v>
      </c>
      <c r="C1242" t="s">
        <v>44</v>
      </c>
      <c r="D1242" t="s">
        <v>212</v>
      </c>
      <c r="E1242" t="s">
        <v>134</v>
      </c>
      <c r="F1242" t="s">
        <v>481</v>
      </c>
      <c r="G1242" t="s">
        <v>33</v>
      </c>
      <c r="H1242" t="s">
        <v>457</v>
      </c>
      <c r="I1242" t="s">
        <v>135</v>
      </c>
      <c r="J1242" t="s">
        <v>39</v>
      </c>
      <c r="K1242" t="s">
        <v>33</v>
      </c>
      <c r="L1242">
        <v>0.10518942197789628</v>
      </c>
      <c r="M1242">
        <v>1</v>
      </c>
      <c r="N1242">
        <v>3.1302248495983953</v>
      </c>
      <c r="O1242">
        <v>5.3471683850504315</v>
      </c>
      <c r="P1242">
        <v>-1.4789321877336017</v>
      </c>
      <c r="Q1242">
        <v>0.92527473252791004</v>
      </c>
      <c r="R1242">
        <v>-1.862552393622352</v>
      </c>
      <c r="S1242" s="2">
        <v>7.137912091357234E-3</v>
      </c>
      <c r="T1242" s="2">
        <v>1.4158230551151582E-2</v>
      </c>
      <c r="U1242" s="2">
        <v>2.4944797038784841E-2</v>
      </c>
      <c r="V1242" s="2">
        <v>4.0263347476338009E-2</v>
      </c>
      <c r="W1242" s="2">
        <v>6.0643035304401648E-2</v>
      </c>
      <c r="X1242" s="2">
        <v>8.6184266307275728E-2</v>
      </c>
      <c r="Y1242" s="2">
        <v>0.1163305618993347</v>
      </c>
      <c r="Z1242" s="2">
        <v>0.14964392227170523</v>
      </c>
      <c r="AA1242" s="2">
        <v>0.18365701039918134</v>
      </c>
      <c r="AB1242" s="2">
        <v>0.21490575824496722</v>
      </c>
      <c r="AC1242" s="2">
        <v>0.23925167939681763</v>
      </c>
      <c r="AD1242" s="2">
        <v>0.25255676598392524</v>
      </c>
      <c r="AE1242" s="2">
        <v>0.25165617824390435</v>
      </c>
      <c r="AF1242" s="2">
        <v>0.23539969776007172</v>
      </c>
      <c r="AG1242" s="2">
        <v>0.20537354850806541</v>
      </c>
      <c r="AH1242" s="2">
        <v>0.16853241944340772</v>
      </c>
      <c r="AI1242" s="2">
        <v>6.1040868049517243E-2</v>
      </c>
      <c r="AJ1242" s="2">
        <v>0</v>
      </c>
      <c r="AK1242" s="2">
        <v>0</v>
      </c>
      <c r="AL1242" s="2">
        <v>0</v>
      </c>
      <c r="AM1242" s="2">
        <v>0</v>
      </c>
      <c r="AN1242" s="2">
        <v>0</v>
      </c>
      <c r="AO1242" s="2">
        <v>0</v>
      </c>
      <c r="AP1242" s="2">
        <v>0</v>
      </c>
      <c r="AQ1242" s="2">
        <v>0</v>
      </c>
      <c r="AR1242" s="2">
        <v>2.3116799989702068</v>
      </c>
    </row>
    <row r="1243" spans="1:44" x14ac:dyDescent="0.25">
      <c r="A1243" t="s">
        <v>435</v>
      </c>
      <c r="B1243" t="s">
        <v>480</v>
      </c>
      <c r="C1243" t="s">
        <v>44</v>
      </c>
      <c r="D1243" t="s">
        <v>212</v>
      </c>
      <c r="E1243" t="s">
        <v>134</v>
      </c>
      <c r="F1243" t="s">
        <v>481</v>
      </c>
      <c r="G1243" t="s">
        <v>33</v>
      </c>
      <c r="H1243" t="s">
        <v>457</v>
      </c>
      <c r="I1243" t="s">
        <v>256</v>
      </c>
      <c r="J1243" t="s">
        <v>39</v>
      </c>
      <c r="K1243" t="s">
        <v>33</v>
      </c>
      <c r="L1243">
        <v>0.10518942197789628</v>
      </c>
      <c r="M1243">
        <v>1</v>
      </c>
      <c r="N1243">
        <v>1.5491409834562504</v>
      </c>
      <c r="O1243">
        <v>2.6463011728329877</v>
      </c>
      <c r="P1243">
        <v>-1.5995236384734907E-2</v>
      </c>
      <c r="Q1243">
        <v>1.3498045353129324</v>
      </c>
      <c r="R1243">
        <v>-0.39961544227348506</v>
      </c>
      <c r="S1243" s="2">
        <v>1.9629737198219786E-2</v>
      </c>
      <c r="T1243" s="2">
        <v>3.8936084019222848E-2</v>
      </c>
      <c r="U1243" s="2">
        <v>6.8599865628377513E-2</v>
      </c>
      <c r="V1243" s="2">
        <v>0.11072690719154521</v>
      </c>
      <c r="W1243" s="2">
        <v>0.16677241617603322</v>
      </c>
      <c r="X1243" s="2">
        <v>0.23701251522579742</v>
      </c>
      <c r="Y1243" s="2">
        <v>0.31991685089119343</v>
      </c>
      <c r="Z1243" s="2">
        <v>0.41153082720942524</v>
      </c>
      <c r="AA1243" s="2">
        <v>0.505069101805252</v>
      </c>
      <c r="AB1243" s="2">
        <v>0.5910052551418753</v>
      </c>
      <c r="AC1243" s="2">
        <v>0.65795817189719119</v>
      </c>
      <c r="AD1243" s="2">
        <v>0.69454805277015974</v>
      </c>
      <c r="AE1243" s="2">
        <v>0.69207137605653724</v>
      </c>
      <c r="AF1243" s="2">
        <v>0.64736496393190335</v>
      </c>
      <c r="AG1243" s="2">
        <v>0.56479103876335546</v>
      </c>
      <c r="AH1243" s="2">
        <v>0.46347546183147154</v>
      </c>
      <c r="AI1243" s="2">
        <v>0.16786648291929146</v>
      </c>
      <c r="AJ1243" s="2">
        <v>0</v>
      </c>
      <c r="AK1243" s="2">
        <v>0</v>
      </c>
      <c r="AL1243" s="2">
        <v>0</v>
      </c>
      <c r="AM1243" s="2">
        <v>0</v>
      </c>
      <c r="AN1243" s="2">
        <v>0</v>
      </c>
      <c r="AO1243" s="2">
        <v>0</v>
      </c>
      <c r="AP1243" s="2">
        <v>0</v>
      </c>
      <c r="AQ1243" s="2">
        <v>0</v>
      </c>
      <c r="AR1243" s="2">
        <v>6.3572751086568511</v>
      </c>
    </row>
    <row r="1244" spans="1:44" x14ac:dyDescent="0.25">
      <c r="A1244" t="s">
        <v>435</v>
      </c>
      <c r="B1244" t="s">
        <v>480</v>
      </c>
      <c r="C1244" t="s">
        <v>44</v>
      </c>
      <c r="D1244" t="s">
        <v>212</v>
      </c>
      <c r="E1244" t="s">
        <v>134</v>
      </c>
      <c r="F1244" t="s">
        <v>481</v>
      </c>
      <c r="G1244" t="s">
        <v>33</v>
      </c>
      <c r="H1244" t="s">
        <v>457</v>
      </c>
      <c r="I1244" t="s">
        <v>256</v>
      </c>
      <c r="J1244" t="s">
        <v>40</v>
      </c>
      <c r="K1244" t="s">
        <v>33</v>
      </c>
      <c r="L1244">
        <v>0.10518942197789628</v>
      </c>
      <c r="M1244">
        <v>1</v>
      </c>
      <c r="N1244">
        <v>1.5491409834562504</v>
      </c>
      <c r="O1244">
        <v>1.4737622038640092</v>
      </c>
      <c r="P1244">
        <v>-1.5995236384734907E-2</v>
      </c>
      <c r="Q1244">
        <v>1.3498045353129324</v>
      </c>
      <c r="R1244">
        <v>-0.25661544227348509</v>
      </c>
      <c r="S1244" s="2">
        <v>0.17961962561868799</v>
      </c>
      <c r="T1244" s="2">
        <v>0.35628010522855313</v>
      </c>
      <c r="U1244" s="2">
        <v>0.62771508641383855</v>
      </c>
      <c r="V1244" s="2">
        <v>1.0131936772675829</v>
      </c>
      <c r="W1244" s="2">
        <v>1.5260315843545671</v>
      </c>
      <c r="X1244" s="2">
        <v>2.1687554357916814</v>
      </c>
      <c r="Y1244" s="2">
        <v>2.9273619104486603</v>
      </c>
      <c r="Z1244" s="2">
        <v>3.7656649382249325</v>
      </c>
      <c r="AA1244" s="2">
        <v>4.6215760334302285</v>
      </c>
      <c r="AB1244" s="2">
        <v>5.4079248028286449</v>
      </c>
      <c r="AC1244" s="2">
        <v>6.0205696752602371</v>
      </c>
      <c r="AD1244" s="2">
        <v>6.3553811216626386</v>
      </c>
      <c r="AE1244" s="2">
        <v>6.3327185796434948</v>
      </c>
      <c r="AF1244" s="2">
        <v>5.9236377586679723</v>
      </c>
      <c r="AG1244" s="2">
        <v>5.1680546668074632</v>
      </c>
      <c r="AH1244" s="2">
        <v>4.2409782717400475</v>
      </c>
      <c r="AI1244" s="2">
        <v>1.5360427147554303</v>
      </c>
      <c r="AJ1244" s="2">
        <v>0</v>
      </c>
      <c r="AK1244" s="2">
        <v>0</v>
      </c>
      <c r="AL1244" s="2">
        <v>0</v>
      </c>
      <c r="AM1244" s="2">
        <v>0</v>
      </c>
      <c r="AN1244" s="2">
        <v>0</v>
      </c>
      <c r="AO1244" s="2">
        <v>0</v>
      </c>
      <c r="AP1244" s="2">
        <v>0</v>
      </c>
      <c r="AQ1244" s="2">
        <v>0</v>
      </c>
      <c r="AR1244" s="2">
        <v>58.171505988144673</v>
      </c>
    </row>
    <row r="1245" spans="1:44" x14ac:dyDescent="0.25">
      <c r="A1245" t="s">
        <v>435</v>
      </c>
      <c r="B1245" t="s">
        <v>482</v>
      </c>
      <c r="C1245" t="s">
        <v>44</v>
      </c>
      <c r="D1245" t="s">
        <v>212</v>
      </c>
      <c r="E1245" t="s">
        <v>134</v>
      </c>
      <c r="F1245" t="s">
        <v>483</v>
      </c>
      <c r="G1245" t="s">
        <v>33</v>
      </c>
      <c r="H1245" t="s">
        <v>450</v>
      </c>
      <c r="I1245" t="s">
        <v>135</v>
      </c>
      <c r="J1245" t="s">
        <v>39</v>
      </c>
      <c r="K1245" t="s">
        <v>31</v>
      </c>
      <c r="L1245">
        <v>8.2931909248260549E-3</v>
      </c>
      <c r="M1245">
        <v>0</v>
      </c>
      <c r="N1245">
        <v>0.54981264760003967</v>
      </c>
      <c r="O1245">
        <v>5.3471683850504297</v>
      </c>
      <c r="P1245">
        <v>2.8636201715795879</v>
      </c>
      <c r="Q1245">
        <v>5.2678270918411005</v>
      </c>
      <c r="R1245">
        <v>-1.8625523936223525</v>
      </c>
      <c r="S1245" s="2">
        <v>1.2277499573179792E-3</v>
      </c>
      <c r="T1245" s="2">
        <v>2.4352733309677427E-3</v>
      </c>
      <c r="U1245" s="2">
        <v>4.2906067079134308E-3</v>
      </c>
      <c r="V1245" s="2">
        <v>6.9254597861198213E-3</v>
      </c>
      <c r="W1245" s="2">
        <v>1.0430849112972852E-2</v>
      </c>
      <c r="X1245" s="2">
        <v>1.4824044892393654E-2</v>
      </c>
      <c r="Y1245" s="2">
        <v>2.0009330540736229E-2</v>
      </c>
      <c r="Z1245" s="2">
        <v>2.5739364232916288E-2</v>
      </c>
      <c r="AA1245" s="2">
        <v>3.1589753949444875E-2</v>
      </c>
      <c r="AB1245" s="2">
        <v>3.6964665876471542E-2</v>
      </c>
      <c r="AC1245" s="2">
        <v>4.1152263492200615E-2</v>
      </c>
      <c r="AD1245" s="2">
        <v>4.3440792585913143E-2</v>
      </c>
      <c r="AE1245" s="2">
        <v>4.3285887825918884E-2</v>
      </c>
      <c r="AF1245" s="2">
        <v>4.0489706958920978E-2</v>
      </c>
      <c r="AG1245" s="2">
        <v>3.5325086970505813E-2</v>
      </c>
      <c r="AH1245" s="2">
        <v>2.8988262692234382E-2</v>
      </c>
      <c r="AI1245" s="2">
        <v>1.0499277965777881E-2</v>
      </c>
      <c r="AJ1245" s="2">
        <v>0</v>
      </c>
      <c r="AK1245" s="2">
        <v>0</v>
      </c>
      <c r="AL1245" s="2">
        <v>0</v>
      </c>
      <c r="AM1245" s="2">
        <v>0</v>
      </c>
      <c r="AN1245" s="2">
        <v>0</v>
      </c>
      <c r="AO1245" s="2">
        <v>0</v>
      </c>
      <c r="AP1245" s="2">
        <v>0</v>
      </c>
      <c r="AQ1245" s="2">
        <v>0</v>
      </c>
      <c r="AR1245" s="2">
        <v>0.39761837687872609</v>
      </c>
    </row>
    <row r="1246" spans="1:44" x14ac:dyDescent="0.25">
      <c r="A1246" t="s">
        <v>435</v>
      </c>
      <c r="B1246" t="s">
        <v>482</v>
      </c>
      <c r="C1246" t="s">
        <v>44</v>
      </c>
      <c r="D1246" t="s">
        <v>212</v>
      </c>
      <c r="E1246" t="s">
        <v>134</v>
      </c>
      <c r="F1246" t="s">
        <v>483</v>
      </c>
      <c r="G1246" t="s">
        <v>33</v>
      </c>
      <c r="H1246" t="s">
        <v>450</v>
      </c>
      <c r="I1246" t="s">
        <v>135</v>
      </c>
      <c r="J1246" t="s">
        <v>39</v>
      </c>
      <c r="K1246" t="s">
        <v>33</v>
      </c>
      <c r="L1246">
        <v>8.2931909248260549E-3</v>
      </c>
      <c r="M1246">
        <v>0</v>
      </c>
      <c r="N1246">
        <v>0.54981264760003967</v>
      </c>
      <c r="O1246">
        <v>5.3471683850504297</v>
      </c>
      <c r="P1246">
        <v>2.8636201715795879</v>
      </c>
      <c r="Q1246">
        <v>5.2678270918411005</v>
      </c>
      <c r="R1246">
        <v>-1.8625523936223525</v>
      </c>
      <c r="S1246" s="2">
        <v>7.5639247138824641E-4</v>
      </c>
      <c r="T1246" s="2">
        <v>1.4992779117367406E-3</v>
      </c>
      <c r="U1246" s="2">
        <v>2.6396740169148591E-3</v>
      </c>
      <c r="V1246" s="2">
        <v>4.2577225935984371E-3</v>
      </c>
      <c r="W1246" s="2">
        <v>6.4083404148191922E-3</v>
      </c>
      <c r="X1246" s="2">
        <v>9.1010142038088233E-3</v>
      </c>
      <c r="Y1246" s="2">
        <v>1.2275884379065478E-2</v>
      </c>
      <c r="Z1246" s="2">
        <v>1.5780298226572318E-2</v>
      </c>
      <c r="AA1246" s="2">
        <v>1.93535569327918E-2</v>
      </c>
      <c r="AB1246" s="2">
        <v>2.2630726511887089E-2</v>
      </c>
      <c r="AC1246" s="2">
        <v>2.5176919954276591E-2</v>
      </c>
      <c r="AD1246" s="2">
        <v>2.6558514020727432E-2</v>
      </c>
      <c r="AE1246" s="2">
        <v>2.6445362316445304E-2</v>
      </c>
      <c r="AF1246" s="2">
        <v>2.4719801873145129E-2</v>
      </c>
      <c r="AG1246" s="2">
        <v>2.1551661237411496E-2</v>
      </c>
      <c r="AH1246" s="2">
        <v>1.7673267892910134E-2</v>
      </c>
      <c r="AI1246" s="2">
        <v>4.0708983213542512E-3</v>
      </c>
      <c r="AJ1246" s="2">
        <v>0</v>
      </c>
      <c r="AK1246" s="2">
        <v>0</v>
      </c>
      <c r="AL1246" s="2">
        <v>0</v>
      </c>
      <c r="AM1246" s="2">
        <v>0</v>
      </c>
      <c r="AN1246" s="2">
        <v>0</v>
      </c>
      <c r="AO1246" s="2">
        <v>0</v>
      </c>
      <c r="AP1246" s="2">
        <v>0</v>
      </c>
      <c r="AQ1246" s="2">
        <v>0</v>
      </c>
      <c r="AR1246" s="2">
        <v>0.24089931327885333</v>
      </c>
    </row>
    <row r="1247" spans="1:44" x14ac:dyDescent="0.25">
      <c r="A1247" t="s">
        <v>435</v>
      </c>
      <c r="B1247" t="s">
        <v>482</v>
      </c>
      <c r="C1247" t="s">
        <v>44</v>
      </c>
      <c r="D1247" t="s">
        <v>212</v>
      </c>
      <c r="E1247" t="s">
        <v>134</v>
      </c>
      <c r="F1247" t="s">
        <v>483</v>
      </c>
      <c r="G1247" t="s">
        <v>33</v>
      </c>
      <c r="H1247" t="s">
        <v>450</v>
      </c>
      <c r="I1247" t="s">
        <v>256</v>
      </c>
      <c r="J1247" t="s">
        <v>40</v>
      </c>
      <c r="K1247" t="s">
        <v>33</v>
      </c>
      <c r="L1247">
        <v>8.2931909248260549E-3</v>
      </c>
      <c r="M1247">
        <v>0</v>
      </c>
      <c r="N1247">
        <v>0.27210099802545729</v>
      </c>
      <c r="O1247">
        <v>1.4737622038640097</v>
      </c>
      <c r="P1247">
        <v>4.3265571229284552</v>
      </c>
      <c r="Q1247">
        <v>1.3498045353129324</v>
      </c>
      <c r="R1247">
        <v>-0.25661544227348526</v>
      </c>
      <c r="S1247" s="2">
        <v>1.9758487418438806E-2</v>
      </c>
      <c r="T1247" s="2">
        <v>3.9191463362375542E-2</v>
      </c>
      <c r="U1247" s="2">
        <v>6.9049807862318888E-2</v>
      </c>
      <c r="V1247" s="2">
        <v>0.1114531580598643</v>
      </c>
      <c r="W1247" s="2">
        <v>0.16786626603720561</v>
      </c>
      <c r="X1247" s="2">
        <v>0.23856706550947387</v>
      </c>
      <c r="Y1247" s="2">
        <v>0.32201516553433362</v>
      </c>
      <c r="Z1247" s="2">
        <v>0.41423003220107113</v>
      </c>
      <c r="AA1247" s="2">
        <v>0.50838181849761555</v>
      </c>
      <c r="AB1247" s="2">
        <v>0.59488162169644221</v>
      </c>
      <c r="AC1247" s="2">
        <v>0.66227367845090879</v>
      </c>
      <c r="AD1247" s="2">
        <v>0.69910355006713643</v>
      </c>
      <c r="AE1247" s="2">
        <v>0.6966106289856413</v>
      </c>
      <c r="AF1247" s="2">
        <v>0.65161099029622349</v>
      </c>
      <c r="AG1247" s="2">
        <v>0.56849546791002314</v>
      </c>
      <c r="AH1247" s="2">
        <v>0.46651536843716612</v>
      </c>
      <c r="AI1247" s="2">
        <v>0.16896750869589874</v>
      </c>
      <c r="AJ1247" s="2">
        <v>0</v>
      </c>
      <c r="AK1247" s="2">
        <v>0</v>
      </c>
      <c r="AL1247" s="2">
        <v>0</v>
      </c>
      <c r="AM1247" s="2">
        <v>0</v>
      </c>
      <c r="AN1247" s="2">
        <v>0</v>
      </c>
      <c r="AO1247" s="2">
        <v>0</v>
      </c>
      <c r="AP1247" s="2">
        <v>0</v>
      </c>
      <c r="AQ1247" s="2">
        <v>0</v>
      </c>
      <c r="AR1247" s="2">
        <v>6.3989720790221378</v>
      </c>
    </row>
    <row r="1248" spans="1:44" x14ac:dyDescent="0.25">
      <c r="A1248" t="s">
        <v>435</v>
      </c>
      <c r="B1248" t="s">
        <v>482</v>
      </c>
      <c r="C1248" t="s">
        <v>44</v>
      </c>
      <c r="D1248" t="s">
        <v>212</v>
      </c>
      <c r="E1248" t="s">
        <v>134</v>
      </c>
      <c r="F1248" t="s">
        <v>483</v>
      </c>
      <c r="G1248" t="s">
        <v>33</v>
      </c>
      <c r="H1248" t="s">
        <v>451</v>
      </c>
      <c r="I1248" t="s">
        <v>135</v>
      </c>
      <c r="J1248" t="s">
        <v>39</v>
      </c>
      <c r="K1248" t="s">
        <v>31</v>
      </c>
      <c r="L1248">
        <v>8.2931909248260549E-3</v>
      </c>
      <c r="M1248">
        <v>0</v>
      </c>
      <c r="N1248">
        <v>0.54981264760003967</v>
      </c>
      <c r="O1248">
        <v>5.3471683850504297</v>
      </c>
      <c r="P1248">
        <v>2.8636201715795879</v>
      </c>
      <c r="Q1248">
        <v>5.2678270918411005</v>
      </c>
      <c r="R1248">
        <v>-1.8625523936223525</v>
      </c>
      <c r="S1248" s="2">
        <v>3.2115828720999606E-4</v>
      </c>
      <c r="T1248" s="2">
        <v>6.3702564777139018E-4</v>
      </c>
      <c r="U1248" s="2">
        <v>1.1223489711336345E-3</v>
      </c>
      <c r="V1248" s="2">
        <v>1.8115812505590685E-3</v>
      </c>
      <c r="W1248" s="2">
        <v>2.7285308505212622E-3</v>
      </c>
      <c r="X1248" s="2">
        <v>3.8777153595389653E-3</v>
      </c>
      <c r="Y1248" s="2">
        <v>5.2340969644335961E-3</v>
      </c>
      <c r="Z1248" s="2">
        <v>6.7329752948846423E-3</v>
      </c>
      <c r="AA1248" s="2">
        <v>8.2633366927182539E-3</v>
      </c>
      <c r="AB1248" s="2">
        <v>9.6693212729656378E-3</v>
      </c>
      <c r="AC1248" s="2">
        <v>1.0764724836025096E-2</v>
      </c>
      <c r="AD1248" s="2">
        <v>1.1363364713457896E-2</v>
      </c>
      <c r="AE1248" s="2">
        <v>1.1322844290627576E-2</v>
      </c>
      <c r="AF1248" s="2">
        <v>1.0591411434432553E-2</v>
      </c>
      <c r="AG1248" s="2">
        <v>9.2404356109894222E-3</v>
      </c>
      <c r="AH1248" s="2">
        <v>7.5828312922679606E-3</v>
      </c>
      <c r="AI1248" s="2">
        <v>2.7464306623124221E-3</v>
      </c>
      <c r="AJ1248" s="2">
        <v>0</v>
      </c>
      <c r="AK1248" s="2">
        <v>0</v>
      </c>
      <c r="AL1248" s="2">
        <v>0</v>
      </c>
      <c r="AM1248" s="2">
        <v>0</v>
      </c>
      <c r="AN1248" s="2">
        <v>0</v>
      </c>
      <c r="AO1248" s="2">
        <v>0</v>
      </c>
      <c r="AP1248" s="2">
        <v>0</v>
      </c>
      <c r="AQ1248" s="2">
        <v>0</v>
      </c>
      <c r="AR1248" s="2">
        <v>0.10401013343184937</v>
      </c>
    </row>
    <row r="1249" spans="1:44" x14ac:dyDescent="0.25">
      <c r="A1249" t="s">
        <v>435</v>
      </c>
      <c r="B1249" t="s">
        <v>482</v>
      </c>
      <c r="C1249" t="s">
        <v>44</v>
      </c>
      <c r="D1249" t="s">
        <v>212</v>
      </c>
      <c r="E1249" t="s">
        <v>134</v>
      </c>
      <c r="F1249" t="s">
        <v>483</v>
      </c>
      <c r="G1249" t="s">
        <v>33</v>
      </c>
      <c r="H1249" t="s">
        <v>451</v>
      </c>
      <c r="I1249" t="s">
        <v>135</v>
      </c>
      <c r="J1249" t="s">
        <v>39</v>
      </c>
      <c r="K1249" t="s">
        <v>33</v>
      </c>
      <c r="L1249">
        <v>8.2931909248260549E-3</v>
      </c>
      <c r="M1249">
        <v>0</v>
      </c>
      <c r="N1249">
        <v>0.54981264760003967</v>
      </c>
      <c r="O1249">
        <v>5.3471683850504297</v>
      </c>
      <c r="P1249">
        <v>2.8636201715795879</v>
      </c>
      <c r="Q1249">
        <v>5.2678270918411005</v>
      </c>
      <c r="R1249">
        <v>-1.8625523936223525</v>
      </c>
      <c r="S1249" s="2">
        <v>1.4467579092969603E-3</v>
      </c>
      <c r="T1249" s="2">
        <v>2.8696811853889874E-3</v>
      </c>
      <c r="U1249" s="2">
        <v>5.0559718233805281E-3</v>
      </c>
      <c r="V1249" s="2">
        <v>8.1608341025516395E-3</v>
      </c>
      <c r="W1249" s="2">
        <v>1.2291520243945087E-2</v>
      </c>
      <c r="X1249" s="2">
        <v>1.746838113738915E-2</v>
      </c>
      <c r="Y1249" s="2">
        <v>2.3578626125783562E-2</v>
      </c>
      <c r="Z1249" s="2">
        <v>3.0330792163572727E-2</v>
      </c>
      <c r="AA1249" s="2">
        <v>3.7224783521020759E-2</v>
      </c>
      <c r="AB1249" s="2">
        <v>4.3558480619400229E-2</v>
      </c>
      <c r="AC1249" s="2">
        <v>4.8493068428096864E-2</v>
      </c>
      <c r="AD1249" s="2">
        <v>5.1189828910351405E-2</v>
      </c>
      <c r="AE1249" s="2">
        <v>5.1007291997705907E-2</v>
      </c>
      <c r="AF1249" s="2">
        <v>4.7712324027198952E-2</v>
      </c>
      <c r="AG1249" s="2">
        <v>4.1626431071376466E-2</v>
      </c>
      <c r="AH1249" s="2">
        <v>3.4159234196500285E-2</v>
      </c>
      <c r="AI1249" s="2">
        <v>1.2372155542223659E-2</v>
      </c>
      <c r="AJ1249" s="2">
        <v>0</v>
      </c>
      <c r="AK1249" s="2">
        <v>0</v>
      </c>
      <c r="AL1249" s="2">
        <v>0</v>
      </c>
      <c r="AM1249" s="2">
        <v>0</v>
      </c>
      <c r="AN1249" s="2">
        <v>0</v>
      </c>
      <c r="AO1249" s="2">
        <v>0</v>
      </c>
      <c r="AP1249" s="2">
        <v>0</v>
      </c>
      <c r="AQ1249" s="2">
        <v>0</v>
      </c>
      <c r="AR1249" s="2">
        <v>0.4685461630051832</v>
      </c>
    </row>
    <row r="1250" spans="1:44" x14ac:dyDescent="0.25">
      <c r="A1250" t="s">
        <v>435</v>
      </c>
      <c r="B1250" t="s">
        <v>482</v>
      </c>
      <c r="C1250" t="s">
        <v>44</v>
      </c>
      <c r="D1250" t="s">
        <v>212</v>
      </c>
      <c r="E1250" t="s">
        <v>134</v>
      </c>
      <c r="F1250" t="s">
        <v>483</v>
      </c>
      <c r="G1250" t="s">
        <v>33</v>
      </c>
      <c r="H1250" t="s">
        <v>452</v>
      </c>
      <c r="I1250" t="s">
        <v>135</v>
      </c>
      <c r="J1250" t="s">
        <v>39</v>
      </c>
      <c r="K1250" t="s">
        <v>31</v>
      </c>
      <c r="L1250">
        <v>8.2931909248260549E-3</v>
      </c>
      <c r="M1250">
        <v>0</v>
      </c>
      <c r="N1250">
        <v>0.54981264760003967</v>
      </c>
      <c r="O1250">
        <v>5.3471683850504297</v>
      </c>
      <c r="P1250">
        <v>2.8636201715795879</v>
      </c>
      <c r="Q1250">
        <v>5.2678270918411005</v>
      </c>
      <c r="R1250">
        <v>-1.8625523936223525</v>
      </c>
      <c r="S1250" s="2">
        <v>7.2740156164055846E-3</v>
      </c>
      <c r="T1250" s="2">
        <v>1.4428195361840724E-2</v>
      </c>
      <c r="U1250" s="2">
        <v>2.5420436800824651E-2</v>
      </c>
      <c r="V1250" s="2">
        <v>4.1031076673845444E-2</v>
      </c>
      <c r="W1250" s="2">
        <v>6.1799358157488403E-2</v>
      </c>
      <c r="X1250" s="2">
        <v>8.7827601542845371E-2</v>
      </c>
      <c r="Y1250" s="2">
        <v>0.11854871748078628</v>
      </c>
      <c r="Z1250" s="2">
        <v>0.1524972868218096</v>
      </c>
      <c r="AA1250" s="2">
        <v>0.18715892611280247</v>
      </c>
      <c r="AB1250" s="2">
        <v>0.21900351552692429</v>
      </c>
      <c r="AC1250" s="2">
        <v>0.24381365725853332</v>
      </c>
      <c r="AD1250" s="2">
        <v>0.25737244116810748</v>
      </c>
      <c r="AE1250" s="2">
        <v>0.25645468129645155</v>
      </c>
      <c r="AF1250" s="2">
        <v>0.23988822721383948</v>
      </c>
      <c r="AG1250" s="2">
        <v>0.20928954852962373</v>
      </c>
      <c r="AH1250" s="2">
        <v>0.17174594408164875</v>
      </c>
      <c r="AI1250" s="2">
        <v>6.2204776655734338E-2</v>
      </c>
      <c r="AJ1250" s="2">
        <v>0</v>
      </c>
      <c r="AK1250" s="2">
        <v>0</v>
      </c>
      <c r="AL1250" s="2">
        <v>0</v>
      </c>
      <c r="AM1250" s="2">
        <v>0</v>
      </c>
      <c r="AN1250" s="2">
        <v>0</v>
      </c>
      <c r="AO1250" s="2">
        <v>0</v>
      </c>
      <c r="AP1250" s="2">
        <v>0</v>
      </c>
      <c r="AQ1250" s="2">
        <v>0</v>
      </c>
      <c r="AR1250" s="2">
        <v>2.3557584062995112</v>
      </c>
    </row>
    <row r="1251" spans="1:44" x14ac:dyDescent="0.25">
      <c r="A1251" t="s">
        <v>435</v>
      </c>
      <c r="B1251" t="s">
        <v>482</v>
      </c>
      <c r="C1251" t="s">
        <v>44</v>
      </c>
      <c r="D1251" t="s">
        <v>212</v>
      </c>
      <c r="E1251" t="s">
        <v>134</v>
      </c>
      <c r="F1251" t="s">
        <v>483</v>
      </c>
      <c r="G1251" t="s">
        <v>33</v>
      </c>
      <c r="H1251" t="s">
        <v>452</v>
      </c>
      <c r="I1251" t="s">
        <v>135</v>
      </c>
      <c r="J1251" t="s">
        <v>39</v>
      </c>
      <c r="K1251" t="s">
        <v>33</v>
      </c>
      <c r="L1251">
        <v>8.2931909248260549E-3</v>
      </c>
      <c r="M1251">
        <v>0</v>
      </c>
      <c r="N1251">
        <v>0.54981264760003967</v>
      </c>
      <c r="O1251">
        <v>5.3471683850504297</v>
      </c>
      <c r="P1251">
        <v>2.8636201715795879</v>
      </c>
      <c r="Q1251">
        <v>5.2678270918411005</v>
      </c>
      <c r="R1251">
        <v>-1.8625523936223525</v>
      </c>
      <c r="S1251" s="2">
        <v>1.4384124570424405E-2</v>
      </c>
      <c r="T1251" s="2">
        <v>2.8531277681486451E-2</v>
      </c>
      <c r="U1251" s="2">
        <v>5.0268070466192784E-2</v>
      </c>
      <c r="V1251" s="2">
        <v>8.1137592941664602E-2</v>
      </c>
      <c r="W1251" s="2">
        <v>0.12220618060053692</v>
      </c>
      <c r="X1251" s="2">
        <v>0.1736761684240308</v>
      </c>
      <c r="Y1251" s="2">
        <v>0.23442615603708369</v>
      </c>
      <c r="Z1251" s="2">
        <v>0.30155832568594004</v>
      </c>
      <c r="AA1251" s="2">
        <v>0.37010056750520198</v>
      </c>
      <c r="AB1251" s="2">
        <v>0.43307218664685726</v>
      </c>
      <c r="AC1251" s="2">
        <v>0.48213341885984184</v>
      </c>
      <c r="AD1251" s="2">
        <v>0.50894546423666431</v>
      </c>
      <c r="AE1251" s="2">
        <v>0.50713062453658675</v>
      </c>
      <c r="AF1251" s="2">
        <v>0.47437101117019975</v>
      </c>
      <c r="AG1251" s="2">
        <v>0.41386313916460749</v>
      </c>
      <c r="AH1251" s="2">
        <v>0.33962190685484422</v>
      </c>
      <c r="AI1251" s="2">
        <v>0.12300788223130703</v>
      </c>
      <c r="AJ1251" s="2">
        <v>0</v>
      </c>
      <c r="AK1251" s="2">
        <v>0</v>
      </c>
      <c r="AL1251" s="2">
        <v>0</v>
      </c>
      <c r="AM1251" s="2">
        <v>0</v>
      </c>
      <c r="AN1251" s="2">
        <v>0</v>
      </c>
      <c r="AO1251" s="2">
        <v>0</v>
      </c>
      <c r="AP1251" s="2">
        <v>0</v>
      </c>
      <c r="AQ1251" s="2">
        <v>0</v>
      </c>
      <c r="AR1251" s="2">
        <v>4.6584340976134699</v>
      </c>
    </row>
    <row r="1252" spans="1:44" x14ac:dyDescent="0.25">
      <c r="A1252" t="s">
        <v>435</v>
      </c>
      <c r="B1252" t="s">
        <v>482</v>
      </c>
      <c r="C1252" t="s">
        <v>44</v>
      </c>
      <c r="D1252" t="s">
        <v>212</v>
      </c>
      <c r="E1252" t="s">
        <v>134</v>
      </c>
      <c r="F1252" t="s">
        <v>483</v>
      </c>
      <c r="G1252" t="s">
        <v>33</v>
      </c>
      <c r="H1252" t="s">
        <v>452</v>
      </c>
      <c r="I1252" t="s">
        <v>135</v>
      </c>
      <c r="J1252" t="s">
        <v>40</v>
      </c>
      <c r="K1252" t="s">
        <v>33</v>
      </c>
      <c r="L1252">
        <v>8.2931909248260549E-3</v>
      </c>
      <c r="M1252">
        <v>0</v>
      </c>
      <c r="N1252">
        <v>0.54981264760003967</v>
      </c>
      <c r="O1252">
        <v>4.1746294160814532</v>
      </c>
      <c r="P1252">
        <v>2.8636201715795879</v>
      </c>
      <c r="Q1252">
        <v>1.3498045353129324</v>
      </c>
      <c r="R1252">
        <v>-1.7195523936223529</v>
      </c>
      <c r="S1252" s="2">
        <v>1.0532432614067896E-3</v>
      </c>
      <c r="T1252" s="2">
        <v>2.0891348521229398E-3</v>
      </c>
      <c r="U1252" s="2">
        <v>3.680759730856326E-3</v>
      </c>
      <c r="V1252" s="2">
        <v>5.9411069887622568E-3</v>
      </c>
      <c r="W1252" s="2">
        <v>8.9482565024795908E-3</v>
      </c>
      <c r="X1252" s="2">
        <v>1.2717023769084608E-2</v>
      </c>
      <c r="Y1252" s="2">
        <v>1.7165296917076821E-2</v>
      </c>
      <c r="Z1252" s="2">
        <v>2.2080890143490954E-2</v>
      </c>
      <c r="AA1252" s="2">
        <v>2.7099732546057971E-2</v>
      </c>
      <c r="AB1252" s="2">
        <v>3.1710679371226243E-2</v>
      </c>
      <c r="AC1252" s="2">
        <v>3.5303071245451727E-2</v>
      </c>
      <c r="AD1252" s="2">
        <v>3.7266319406951624E-2</v>
      </c>
      <c r="AE1252" s="2">
        <v>3.7133432092518161E-2</v>
      </c>
      <c r="AF1252" s="2">
        <v>3.4734687430963772E-2</v>
      </c>
      <c r="AG1252" s="2">
        <v>3.03041426216543E-2</v>
      </c>
      <c r="AH1252" s="2">
        <v>2.486800521433713E-2</v>
      </c>
      <c r="AI1252" s="2">
        <v>9.0069591948910444E-3</v>
      </c>
      <c r="AJ1252" s="2">
        <v>0</v>
      </c>
      <c r="AK1252" s="2">
        <v>0</v>
      </c>
      <c r="AL1252" s="2">
        <v>0</v>
      </c>
      <c r="AM1252" s="2">
        <v>0</v>
      </c>
      <c r="AN1252" s="2">
        <v>0</v>
      </c>
      <c r="AO1252" s="2">
        <v>0</v>
      </c>
      <c r="AP1252" s="2">
        <v>0</v>
      </c>
      <c r="AQ1252" s="2">
        <v>0</v>
      </c>
      <c r="AR1252" s="2">
        <v>0.34110274128933227</v>
      </c>
    </row>
    <row r="1253" spans="1:44" x14ac:dyDescent="0.25">
      <c r="A1253" t="s">
        <v>435</v>
      </c>
      <c r="B1253" t="s">
        <v>482</v>
      </c>
      <c r="C1253" t="s">
        <v>44</v>
      </c>
      <c r="D1253" t="s">
        <v>212</v>
      </c>
      <c r="E1253" t="s">
        <v>134</v>
      </c>
      <c r="F1253" t="s">
        <v>483</v>
      </c>
      <c r="G1253" t="s">
        <v>33</v>
      </c>
      <c r="H1253" t="s">
        <v>452</v>
      </c>
      <c r="I1253" t="s">
        <v>256</v>
      </c>
      <c r="J1253" t="s">
        <v>40</v>
      </c>
      <c r="K1253" t="s">
        <v>33</v>
      </c>
      <c r="L1253">
        <v>8.2931909248260549E-3</v>
      </c>
      <c r="M1253">
        <v>0</v>
      </c>
      <c r="N1253">
        <v>0.27210099802545729</v>
      </c>
      <c r="O1253">
        <v>1.4737622038640097</v>
      </c>
      <c r="P1253">
        <v>4.3265571229284552</v>
      </c>
      <c r="Q1253">
        <v>1.3498045353129324</v>
      </c>
      <c r="R1253">
        <v>-0.25661544227348526</v>
      </c>
      <c r="S1253" s="2">
        <v>6.3511753209646478E-3</v>
      </c>
      <c r="T1253" s="2">
        <v>1.2597718116181451E-2</v>
      </c>
      <c r="U1253" s="2">
        <v>2.2195395139571958E-2</v>
      </c>
      <c r="V1253" s="2">
        <v>3.5825543318300887E-2</v>
      </c>
      <c r="W1253" s="2">
        <v>5.3958993089878275E-2</v>
      </c>
      <c r="X1253" s="2">
        <v>7.6685083567922599E-2</v>
      </c>
      <c r="Y1253" s="2">
        <v>0.10350867093244343</v>
      </c>
      <c r="Z1253" s="2">
        <v>0.13315025092774574</v>
      </c>
      <c r="AA1253" s="2">
        <v>0.16341443506733305</v>
      </c>
      <c r="AB1253" s="2">
        <v>0.19121896300057983</v>
      </c>
      <c r="AC1253" s="2">
        <v>0.21288149002623594</v>
      </c>
      <c r="AD1253" s="2">
        <v>0.22472009723991321</v>
      </c>
      <c r="AE1253" s="2">
        <v>0.22391877178849592</v>
      </c>
      <c r="AF1253" s="2">
        <v>0.2094540717006822</v>
      </c>
      <c r="AG1253" s="2">
        <v>0.18273738821226418</v>
      </c>
      <c r="AH1253" s="2">
        <v>0.1499568682622858</v>
      </c>
      <c r="AI1253" s="2">
        <v>5.4312976927212119E-2</v>
      </c>
      <c r="AJ1253" s="2">
        <v>0</v>
      </c>
      <c r="AK1253" s="2">
        <v>0</v>
      </c>
      <c r="AL1253" s="2">
        <v>0</v>
      </c>
      <c r="AM1253" s="2">
        <v>0</v>
      </c>
      <c r="AN1253" s="2">
        <v>0</v>
      </c>
      <c r="AO1253" s="2">
        <v>0</v>
      </c>
      <c r="AP1253" s="2">
        <v>0</v>
      </c>
      <c r="AQ1253" s="2">
        <v>0</v>
      </c>
      <c r="AR1253" s="2">
        <v>2.0568878926380112</v>
      </c>
    </row>
    <row r="1254" spans="1:44" x14ac:dyDescent="0.25">
      <c r="A1254" t="s">
        <v>435</v>
      </c>
      <c r="B1254" t="s">
        <v>482</v>
      </c>
      <c r="C1254" t="s">
        <v>44</v>
      </c>
      <c r="D1254" t="s">
        <v>212</v>
      </c>
      <c r="E1254" t="s">
        <v>134</v>
      </c>
      <c r="F1254" t="s">
        <v>483</v>
      </c>
      <c r="G1254" t="s">
        <v>33</v>
      </c>
      <c r="H1254" t="s">
        <v>453</v>
      </c>
      <c r="I1254" t="s">
        <v>135</v>
      </c>
      <c r="J1254" t="s">
        <v>39</v>
      </c>
      <c r="K1254" t="s">
        <v>31</v>
      </c>
      <c r="L1254">
        <v>8.2931909248260549E-3</v>
      </c>
      <c r="M1254">
        <v>0</v>
      </c>
      <c r="N1254">
        <v>0.54981264760003967</v>
      </c>
      <c r="O1254">
        <v>5.3471683850504297</v>
      </c>
      <c r="P1254">
        <v>2.8636201715795879</v>
      </c>
      <c r="Q1254">
        <v>5.2678270918411005</v>
      </c>
      <c r="R1254">
        <v>-1.8625523936223525</v>
      </c>
      <c r="S1254" s="2">
        <v>2.2246113146122161E-3</v>
      </c>
      <c r="T1254" s="2">
        <v>4.4125732393254036E-3</v>
      </c>
      <c r="U1254" s="2">
        <v>7.7743291067394575E-3</v>
      </c>
      <c r="V1254" s="2">
        <v>1.2548529207648656E-2</v>
      </c>
      <c r="W1254" s="2">
        <v>1.8900090217410914E-2</v>
      </c>
      <c r="X1254" s="2">
        <v>2.6860304738253262E-2</v>
      </c>
      <c r="Y1254" s="2">
        <v>3.6255739903242379E-2</v>
      </c>
      <c r="Z1254" s="2">
        <v>4.6638226751443135E-2</v>
      </c>
      <c r="AA1254" s="2">
        <v>5.7238791696044226E-2</v>
      </c>
      <c r="AB1254" s="2">
        <v>6.6977818618128557E-2</v>
      </c>
      <c r="AC1254" s="2">
        <v>7.4565501257795958E-2</v>
      </c>
      <c r="AD1254" s="2">
        <v>7.8712182498016564E-2</v>
      </c>
      <c r="AE1254" s="2">
        <v>7.8431504107668026E-2</v>
      </c>
      <c r="AF1254" s="2">
        <v>7.3364987462850348E-2</v>
      </c>
      <c r="AG1254" s="2">
        <v>6.4006997268332963E-2</v>
      </c>
      <c r="AH1254" s="2">
        <v>5.2525041268964109E-2</v>
      </c>
      <c r="AI1254" s="2">
        <v>1.9024079307607102E-2</v>
      </c>
      <c r="AJ1254" s="2">
        <v>0</v>
      </c>
      <c r="AK1254" s="2">
        <v>0</v>
      </c>
      <c r="AL1254" s="2">
        <v>0</v>
      </c>
      <c r="AM1254" s="2">
        <v>0</v>
      </c>
      <c r="AN1254" s="2">
        <v>0</v>
      </c>
      <c r="AO1254" s="2">
        <v>0</v>
      </c>
      <c r="AP1254" s="2">
        <v>0</v>
      </c>
      <c r="AQ1254" s="2">
        <v>0</v>
      </c>
      <c r="AR1254" s="2">
        <v>0.72046130796408314</v>
      </c>
    </row>
    <row r="1255" spans="1:44" x14ac:dyDescent="0.25">
      <c r="A1255" t="s">
        <v>435</v>
      </c>
      <c r="B1255" t="s">
        <v>482</v>
      </c>
      <c r="C1255" t="s">
        <v>44</v>
      </c>
      <c r="D1255" t="s">
        <v>212</v>
      </c>
      <c r="E1255" t="s">
        <v>134</v>
      </c>
      <c r="F1255" t="s">
        <v>483</v>
      </c>
      <c r="G1255" t="s">
        <v>33</v>
      </c>
      <c r="H1255" t="s">
        <v>453</v>
      </c>
      <c r="I1255" t="s">
        <v>135</v>
      </c>
      <c r="J1255" t="s">
        <v>39</v>
      </c>
      <c r="K1255" t="s">
        <v>33</v>
      </c>
      <c r="L1255">
        <v>8.2931909248260549E-3</v>
      </c>
      <c r="M1255">
        <v>0</v>
      </c>
      <c r="N1255">
        <v>0.54981264760003967</v>
      </c>
      <c r="O1255">
        <v>5.3471683850504297</v>
      </c>
      <c r="P1255">
        <v>2.8636201715795879</v>
      </c>
      <c r="Q1255">
        <v>5.2678270918411005</v>
      </c>
      <c r="R1255">
        <v>-1.8625523936223525</v>
      </c>
      <c r="S1255" s="2">
        <v>2.0241380718569132E-3</v>
      </c>
      <c r="T1255" s="2">
        <v>4.0149294530278257E-3</v>
      </c>
      <c r="U1255" s="2">
        <v>7.0737370725095705E-3</v>
      </c>
      <c r="V1255" s="2">
        <v>1.1417704993304736E-2</v>
      </c>
      <c r="W1255" s="2">
        <v>1.7196888247087119E-2</v>
      </c>
      <c r="X1255" s="2">
        <v>2.4439759469556784E-2</v>
      </c>
      <c r="Y1255" s="2">
        <v>3.2988514883233518E-2</v>
      </c>
      <c r="Z1255" s="2">
        <v>4.2435372755418796E-2</v>
      </c>
      <c r="AA1255" s="2">
        <v>5.2080656381650423E-2</v>
      </c>
      <c r="AB1255" s="2">
        <v>6.0942040411456393E-2</v>
      </c>
      <c r="AC1255" s="2">
        <v>6.784595086414405E-2</v>
      </c>
      <c r="AD1255" s="2">
        <v>7.1618949461720871E-2</v>
      </c>
      <c r="AE1255" s="2">
        <v>7.1363564706586224E-2</v>
      </c>
      <c r="AF1255" s="2">
        <v>6.6753622661829576E-2</v>
      </c>
      <c r="AG1255" s="2">
        <v>5.8238937824812001E-2</v>
      </c>
      <c r="AH1255" s="2">
        <v>4.7791690647270957E-2</v>
      </c>
      <c r="AI1255" s="2">
        <v>1.73097039269824E-2</v>
      </c>
      <c r="AJ1255" s="2">
        <v>0</v>
      </c>
      <c r="AK1255" s="2">
        <v>0</v>
      </c>
      <c r="AL1255" s="2">
        <v>0</v>
      </c>
      <c r="AM1255" s="2">
        <v>0</v>
      </c>
      <c r="AN1255" s="2">
        <v>0</v>
      </c>
      <c r="AO1255" s="2">
        <v>0</v>
      </c>
      <c r="AP1255" s="2">
        <v>0</v>
      </c>
      <c r="AQ1255" s="2">
        <v>0</v>
      </c>
      <c r="AR1255" s="2">
        <v>0.65553616183244823</v>
      </c>
    </row>
    <row r="1256" spans="1:44" x14ac:dyDescent="0.25">
      <c r="A1256" t="s">
        <v>435</v>
      </c>
      <c r="B1256" t="s">
        <v>482</v>
      </c>
      <c r="C1256" t="s">
        <v>44</v>
      </c>
      <c r="D1256" t="s">
        <v>212</v>
      </c>
      <c r="E1256" t="s">
        <v>134</v>
      </c>
      <c r="F1256" t="s">
        <v>483</v>
      </c>
      <c r="G1256" t="s">
        <v>33</v>
      </c>
      <c r="H1256" t="s">
        <v>453</v>
      </c>
      <c r="I1256" t="s">
        <v>135</v>
      </c>
      <c r="J1256" t="s">
        <v>40</v>
      </c>
      <c r="K1256" t="s">
        <v>33</v>
      </c>
      <c r="L1256">
        <v>8.2931909248260549E-3</v>
      </c>
      <c r="M1256">
        <v>0</v>
      </c>
      <c r="N1256">
        <v>0.54981264760003967</v>
      </c>
      <c r="O1256">
        <v>4.1746294160814532</v>
      </c>
      <c r="P1256">
        <v>2.8636201715795879</v>
      </c>
      <c r="Q1256">
        <v>1.3498045353129324</v>
      </c>
      <c r="R1256">
        <v>-1.7195523936223529</v>
      </c>
      <c r="S1256" s="2">
        <v>4.1220795194566916E-2</v>
      </c>
      <c r="T1256" s="2">
        <v>8.1762497828060068E-2</v>
      </c>
      <c r="U1256" s="2">
        <v>0.14405394136904734</v>
      </c>
      <c r="V1256" s="2">
        <v>0.23251718134486463</v>
      </c>
      <c r="W1256" s="2">
        <v>0.35020803090113661</v>
      </c>
      <c r="X1256" s="2">
        <v>0.49770632433926804</v>
      </c>
      <c r="Y1256" s="2">
        <v>0.6717984482783923</v>
      </c>
      <c r="Z1256" s="2">
        <v>0.86418008419332537</v>
      </c>
      <c r="AA1256" s="2">
        <v>1.0606025844557037</v>
      </c>
      <c r="AB1256" s="2">
        <v>1.2410612702102488</v>
      </c>
      <c r="AC1256" s="2">
        <v>1.3816567576271692</v>
      </c>
      <c r="AD1256" s="2">
        <v>1.4584924264100922</v>
      </c>
      <c r="AE1256" s="2">
        <v>1.453291613860006</v>
      </c>
      <c r="AF1256" s="2">
        <v>1.3594119129009652</v>
      </c>
      <c r="AG1256" s="2">
        <v>1.1860136231830114</v>
      </c>
      <c r="AH1256" s="2">
        <v>0.97325944290252742</v>
      </c>
      <c r="AI1256" s="2">
        <v>0.35250547893611067</v>
      </c>
      <c r="AJ1256" s="2">
        <v>0</v>
      </c>
      <c r="AK1256" s="2">
        <v>0</v>
      </c>
      <c r="AL1256" s="2">
        <v>0</v>
      </c>
      <c r="AM1256" s="2">
        <v>0</v>
      </c>
      <c r="AN1256" s="2">
        <v>0</v>
      </c>
      <c r="AO1256" s="2">
        <v>0</v>
      </c>
      <c r="AP1256" s="2">
        <v>0</v>
      </c>
      <c r="AQ1256" s="2">
        <v>0</v>
      </c>
      <c r="AR1256" s="2">
        <v>13.349742413934496</v>
      </c>
    </row>
    <row r="1257" spans="1:44" x14ac:dyDescent="0.25">
      <c r="A1257" t="s">
        <v>435</v>
      </c>
      <c r="B1257" t="s">
        <v>482</v>
      </c>
      <c r="C1257" t="s">
        <v>44</v>
      </c>
      <c r="D1257" t="s">
        <v>212</v>
      </c>
      <c r="E1257" t="s">
        <v>134</v>
      </c>
      <c r="F1257" t="s">
        <v>483</v>
      </c>
      <c r="G1257" t="s">
        <v>33</v>
      </c>
      <c r="H1257" t="s">
        <v>453</v>
      </c>
      <c r="I1257" t="s">
        <v>256</v>
      </c>
      <c r="J1257" t="s">
        <v>40</v>
      </c>
      <c r="K1257" t="s">
        <v>33</v>
      </c>
      <c r="L1257">
        <v>8.2931909248260549E-3</v>
      </c>
      <c r="M1257">
        <v>0</v>
      </c>
      <c r="N1257">
        <v>0.27210099802545729</v>
      </c>
      <c r="O1257">
        <v>1.4737622038640097</v>
      </c>
      <c r="P1257">
        <v>4.3265571229284552</v>
      </c>
      <c r="Q1257">
        <v>1.3498045353129324</v>
      </c>
      <c r="R1257">
        <v>-0.25661544227348526</v>
      </c>
      <c r="S1257" s="2">
        <v>2.1220351642871543E-2</v>
      </c>
      <c r="T1257" s="2">
        <v>4.2091108308838242E-2</v>
      </c>
      <c r="U1257" s="2">
        <v>7.4158571589023919E-2</v>
      </c>
      <c r="V1257" s="2">
        <v>0.11969920346897367</v>
      </c>
      <c r="W1257" s="2">
        <v>0.18028612812542855</v>
      </c>
      <c r="X1257" s="2">
        <v>0.25621784265705755</v>
      </c>
      <c r="Y1257" s="2">
        <v>0.34583998776136937</v>
      </c>
      <c r="Z1257" s="2">
        <v>0.44487752317223012</v>
      </c>
      <c r="AA1257" s="2">
        <v>0.54599528440088974</v>
      </c>
      <c r="AB1257" s="2">
        <v>0.63889491796318998</v>
      </c>
      <c r="AC1257" s="2">
        <v>0.71127308699912384</v>
      </c>
      <c r="AD1257" s="2">
        <v>0.75082787730806333</v>
      </c>
      <c r="AE1257" s="2">
        <v>0.74815051335570482</v>
      </c>
      <c r="AF1257" s="2">
        <v>0.69982150230496587</v>
      </c>
      <c r="AG1257" s="2">
        <v>0.61055654114350622</v>
      </c>
      <c r="AH1257" s="2">
        <v>0.50103127609869658</v>
      </c>
      <c r="AI1257" s="2">
        <v>0.18146884803544389</v>
      </c>
      <c r="AJ1257" s="2">
        <v>0</v>
      </c>
      <c r="AK1257" s="2">
        <v>0</v>
      </c>
      <c r="AL1257" s="2">
        <v>0</v>
      </c>
      <c r="AM1257" s="2">
        <v>0</v>
      </c>
      <c r="AN1257" s="2">
        <v>0</v>
      </c>
      <c r="AO1257" s="2">
        <v>0</v>
      </c>
      <c r="AP1257" s="2">
        <v>0</v>
      </c>
      <c r="AQ1257" s="2">
        <v>0</v>
      </c>
      <c r="AR1257" s="2">
        <v>6.8724105643353761</v>
      </c>
    </row>
    <row r="1258" spans="1:44" x14ac:dyDescent="0.25">
      <c r="A1258" t="s">
        <v>435</v>
      </c>
      <c r="B1258" t="s">
        <v>482</v>
      </c>
      <c r="C1258" t="s">
        <v>44</v>
      </c>
      <c r="D1258" t="s">
        <v>212</v>
      </c>
      <c r="E1258" t="s">
        <v>134</v>
      </c>
      <c r="F1258" t="s">
        <v>483</v>
      </c>
      <c r="G1258" t="s">
        <v>33</v>
      </c>
      <c r="H1258" t="s">
        <v>454</v>
      </c>
      <c r="I1258" t="s">
        <v>135</v>
      </c>
      <c r="J1258" t="s">
        <v>39</v>
      </c>
      <c r="K1258" t="s">
        <v>31</v>
      </c>
      <c r="L1258">
        <v>8.2931909248260549E-3</v>
      </c>
      <c r="M1258">
        <v>0</v>
      </c>
      <c r="N1258">
        <v>0.54981264760003967</v>
      </c>
      <c r="O1258">
        <v>5.3471683850504297</v>
      </c>
      <c r="P1258">
        <v>2.8636201715795879</v>
      </c>
      <c r="Q1258">
        <v>5.2678270918411005</v>
      </c>
      <c r="R1258">
        <v>-1.8625523936223525</v>
      </c>
      <c r="S1258" s="2">
        <v>1.2249623792305535E-4</v>
      </c>
      <c r="T1258" s="2">
        <v>2.4297440987866835E-4</v>
      </c>
      <c r="U1258" s="2">
        <v>4.2808649839007768E-4</v>
      </c>
      <c r="V1258" s="2">
        <v>6.9097356886926007E-4</v>
      </c>
      <c r="W1258" s="2">
        <v>1.0407166109567109E-3</v>
      </c>
      <c r="X1258" s="2">
        <v>1.4790387238843969E-3</v>
      </c>
      <c r="Y1258" s="2">
        <v>1.9963899815182589E-3</v>
      </c>
      <c r="Z1258" s="2">
        <v>2.5680923597433242E-3</v>
      </c>
      <c r="AA1258" s="2">
        <v>3.1518030138442672E-3</v>
      </c>
      <c r="AB1258" s="2">
        <v>3.6880738451353689E-3</v>
      </c>
      <c r="AC1258" s="2">
        <v>4.1058828222848686E-3</v>
      </c>
      <c r="AD1258" s="2">
        <v>4.3342161263801408E-3</v>
      </c>
      <c r="AE1258" s="2">
        <v>4.3187608211507911E-3</v>
      </c>
      <c r="AF1258" s="2">
        <v>4.0397776008964745E-3</v>
      </c>
      <c r="AG1258" s="2">
        <v>3.5244882171647177E-3</v>
      </c>
      <c r="AH1258" s="2">
        <v>2.89224455073982E-3</v>
      </c>
      <c r="AI1258" s="2">
        <v>1.0475439596233033E-3</v>
      </c>
      <c r="AJ1258" s="2">
        <v>0</v>
      </c>
      <c r="AK1258" s="2">
        <v>0</v>
      </c>
      <c r="AL1258" s="2">
        <v>0</v>
      </c>
      <c r="AM1258" s="2">
        <v>0</v>
      </c>
      <c r="AN1258" s="2">
        <v>0</v>
      </c>
      <c r="AO1258" s="2">
        <v>0</v>
      </c>
      <c r="AP1258" s="2">
        <v>0</v>
      </c>
      <c r="AQ1258" s="2">
        <v>0</v>
      </c>
      <c r="AR1258" s="2">
        <v>3.9671559348383505E-2</v>
      </c>
    </row>
    <row r="1259" spans="1:44" x14ac:dyDescent="0.25">
      <c r="A1259" t="s">
        <v>435</v>
      </c>
      <c r="B1259" t="s">
        <v>482</v>
      </c>
      <c r="C1259" t="s">
        <v>44</v>
      </c>
      <c r="D1259" t="s">
        <v>212</v>
      </c>
      <c r="E1259" t="s">
        <v>134</v>
      </c>
      <c r="F1259" t="s">
        <v>483</v>
      </c>
      <c r="G1259" t="s">
        <v>33</v>
      </c>
      <c r="H1259" t="s">
        <v>454</v>
      </c>
      <c r="I1259" t="s">
        <v>135</v>
      </c>
      <c r="J1259" t="s">
        <v>39</v>
      </c>
      <c r="K1259" t="s">
        <v>33</v>
      </c>
      <c r="L1259">
        <v>8.2931909248260549E-3</v>
      </c>
      <c r="M1259">
        <v>0</v>
      </c>
      <c r="N1259">
        <v>0.54981264760003967</v>
      </c>
      <c r="O1259">
        <v>5.3471683850504297</v>
      </c>
      <c r="P1259">
        <v>2.8636201715795879</v>
      </c>
      <c r="Q1259">
        <v>5.2678270918411005</v>
      </c>
      <c r="R1259">
        <v>-1.8625523936223525</v>
      </c>
      <c r="S1259" s="2">
        <v>9.8303282193444412E-4</v>
      </c>
      <c r="T1259" s="2">
        <v>1.9498706560352953E-3</v>
      </c>
      <c r="U1259" s="2">
        <v>3.435395940965699E-3</v>
      </c>
      <c r="V1259" s="2">
        <v>5.5450657816473181E-3</v>
      </c>
      <c r="W1259" s="2">
        <v>8.3517551579457422E-3</v>
      </c>
      <c r="X1259" s="2">
        <v>1.1869291948408051E-2</v>
      </c>
      <c r="Y1259" s="2">
        <v>1.6021037955845464E-2</v>
      </c>
      <c r="Z1259" s="2">
        <v>2.0608951933466835E-2</v>
      </c>
      <c r="AA1259" s="2">
        <v>2.5293232375242371E-2</v>
      </c>
      <c r="AB1259" s="2">
        <v>2.9596808040450624E-2</v>
      </c>
      <c r="AC1259" s="2">
        <v>3.2949726830453024E-2</v>
      </c>
      <c r="AD1259" s="2">
        <v>3.4782102551308897E-2</v>
      </c>
      <c r="AE1259" s="2">
        <v>3.4658073662168568E-2</v>
      </c>
      <c r="AF1259" s="2">
        <v>3.2419232152185E-2</v>
      </c>
      <c r="AG1259" s="2">
        <v>2.8284032691440159E-2</v>
      </c>
      <c r="AH1259" s="2">
        <v>2.3210274622672007E-2</v>
      </c>
      <c r="AI1259" s="2">
        <v>8.4065446595651093E-3</v>
      </c>
      <c r="AJ1259" s="2">
        <v>0</v>
      </c>
      <c r="AK1259" s="2">
        <v>0</v>
      </c>
      <c r="AL1259" s="2">
        <v>0</v>
      </c>
      <c r="AM1259" s="2">
        <v>0</v>
      </c>
      <c r="AN1259" s="2">
        <v>0</v>
      </c>
      <c r="AO1259" s="2">
        <v>0</v>
      </c>
      <c r="AP1259" s="2">
        <v>0</v>
      </c>
      <c r="AQ1259" s="2">
        <v>0</v>
      </c>
      <c r="AR1259" s="2">
        <v>0.31836442978173463</v>
      </c>
    </row>
    <row r="1260" spans="1:44" x14ac:dyDescent="0.25">
      <c r="A1260" t="s">
        <v>435</v>
      </c>
      <c r="B1260" t="s">
        <v>482</v>
      </c>
      <c r="C1260" t="s">
        <v>44</v>
      </c>
      <c r="D1260" t="s">
        <v>212</v>
      </c>
      <c r="E1260" t="s">
        <v>134</v>
      </c>
      <c r="F1260" t="s">
        <v>483</v>
      </c>
      <c r="G1260" t="s">
        <v>33</v>
      </c>
      <c r="H1260" t="s">
        <v>455</v>
      </c>
      <c r="I1260" t="s">
        <v>135</v>
      </c>
      <c r="J1260" t="s">
        <v>39</v>
      </c>
      <c r="K1260" t="s">
        <v>31</v>
      </c>
      <c r="L1260">
        <v>8.2931909248260549E-3</v>
      </c>
      <c r="M1260">
        <v>0</v>
      </c>
      <c r="N1260">
        <v>0.54981264760003967</v>
      </c>
      <c r="O1260">
        <v>5.3471683850504297</v>
      </c>
      <c r="P1260">
        <v>2.8636201715795879</v>
      </c>
      <c r="Q1260">
        <v>5.2678270918411005</v>
      </c>
      <c r="R1260">
        <v>-1.8625523936223525</v>
      </c>
      <c r="S1260" s="2">
        <v>2.8861929339509455E-5</v>
      </c>
      <c r="T1260" s="2">
        <v>5.7248372424564486E-5</v>
      </c>
      <c r="U1260" s="2">
        <v>1.0086352427813624E-4</v>
      </c>
      <c r="V1260" s="2">
        <v>1.6280361469304974E-4</v>
      </c>
      <c r="W1260" s="2">
        <v>2.452082594304145E-4</v>
      </c>
      <c r="X1260" s="2">
        <v>3.4848344620970017E-4</v>
      </c>
      <c r="Y1260" s="2">
        <v>4.7037907088116215E-4</v>
      </c>
      <c r="Z1260" s="2">
        <v>6.0508062517645328E-4</v>
      </c>
      <c r="AA1260" s="2">
        <v>7.4261150725923636E-4</v>
      </c>
      <c r="AB1260" s="2">
        <v>8.6896486391730755E-4</v>
      </c>
      <c r="AC1260" s="2">
        <v>9.6740685185391811E-4</v>
      </c>
      <c r="AD1260" s="2">
        <v>1.0212055627399944E-3</v>
      </c>
      <c r="AE1260" s="2">
        <v>1.0175640637436723E-3</v>
      </c>
      <c r="AF1260" s="2">
        <v>9.5183148185861333E-4</v>
      </c>
      <c r="AG1260" s="2">
        <v>8.3042166524034981E-4</v>
      </c>
      <c r="AH1260" s="2">
        <v>6.8145568607966809E-4</v>
      </c>
      <c r="AI1260" s="2">
        <v>2.4681688397376681E-4</v>
      </c>
      <c r="AJ1260" s="2">
        <v>0</v>
      </c>
      <c r="AK1260" s="2">
        <v>0</v>
      </c>
      <c r="AL1260" s="2">
        <v>0</v>
      </c>
      <c r="AM1260" s="2">
        <v>0</v>
      </c>
      <c r="AN1260" s="2">
        <v>0</v>
      </c>
      <c r="AO1260" s="2">
        <v>0</v>
      </c>
      <c r="AP1260" s="2">
        <v>0</v>
      </c>
      <c r="AQ1260" s="2">
        <v>0</v>
      </c>
      <c r="AR1260" s="2">
        <v>9.3472074090995162E-3</v>
      </c>
    </row>
    <row r="1261" spans="1:44" x14ac:dyDescent="0.25">
      <c r="A1261" t="s">
        <v>435</v>
      </c>
      <c r="B1261" t="s">
        <v>482</v>
      </c>
      <c r="C1261" t="s">
        <v>44</v>
      </c>
      <c r="D1261" t="s">
        <v>212</v>
      </c>
      <c r="E1261" t="s">
        <v>134</v>
      </c>
      <c r="F1261" t="s">
        <v>483</v>
      </c>
      <c r="G1261" t="s">
        <v>33</v>
      </c>
      <c r="H1261" t="s">
        <v>455</v>
      </c>
      <c r="I1261" t="s">
        <v>135</v>
      </c>
      <c r="J1261" t="s">
        <v>39</v>
      </c>
      <c r="K1261" t="s">
        <v>33</v>
      </c>
      <c r="L1261">
        <v>8.2931909248260549E-3</v>
      </c>
      <c r="M1261">
        <v>0</v>
      </c>
      <c r="N1261">
        <v>0.54981264760003967</v>
      </c>
      <c r="O1261">
        <v>5.3471683850504297</v>
      </c>
      <c r="P1261">
        <v>2.8636201715795879</v>
      </c>
      <c r="Q1261">
        <v>5.2678270918411005</v>
      </c>
      <c r="R1261">
        <v>-1.8625523936223525</v>
      </c>
      <c r="S1261" s="2">
        <v>7.3383701030326637E-4</v>
      </c>
      <c r="T1261" s="2">
        <v>1.4555844126214045E-3</v>
      </c>
      <c r="U1261" s="2">
        <v>2.5645335845097201E-3</v>
      </c>
      <c r="V1261" s="2">
        <v>4.1394085775605712E-3</v>
      </c>
      <c r="W1261" s="2">
        <v>6.2346107872891599E-3</v>
      </c>
      <c r="X1261" s="2">
        <v>8.8604627673533071E-3</v>
      </c>
      <c r="Y1261" s="2">
        <v>1.1959753868988132E-2</v>
      </c>
      <c r="Z1261" s="2">
        <v>1.5384645695327125E-2</v>
      </c>
      <c r="AA1261" s="2">
        <v>1.8881475382102181E-2</v>
      </c>
      <c r="AB1261" s="2">
        <v>2.2094107787961895E-2</v>
      </c>
      <c r="AC1261" s="2">
        <v>2.4597071926842993E-2</v>
      </c>
      <c r="AD1261" s="2">
        <v>2.5964946010740921E-2</v>
      </c>
      <c r="AE1261" s="2">
        <v>2.5872358065387412E-2</v>
      </c>
      <c r="AF1261" s="2">
        <v>2.420105602585209E-2</v>
      </c>
      <c r="AG1261" s="2">
        <v>2.1114116971966627E-2</v>
      </c>
      <c r="AH1261" s="2">
        <v>1.7326541044582998E-2</v>
      </c>
      <c r="AI1261" s="2">
        <v>6.2755113179400988E-3</v>
      </c>
      <c r="AJ1261" s="2">
        <v>0</v>
      </c>
      <c r="AK1261" s="2">
        <v>0</v>
      </c>
      <c r="AL1261" s="2">
        <v>0</v>
      </c>
      <c r="AM1261" s="2">
        <v>0</v>
      </c>
      <c r="AN1261" s="2">
        <v>0</v>
      </c>
      <c r="AO1261" s="2">
        <v>0</v>
      </c>
      <c r="AP1261" s="2">
        <v>0</v>
      </c>
      <c r="AQ1261" s="2">
        <v>0</v>
      </c>
      <c r="AR1261" s="2">
        <v>0.23766002123732985</v>
      </c>
    </row>
    <row r="1262" spans="1:44" x14ac:dyDescent="0.25">
      <c r="A1262" t="s">
        <v>435</v>
      </c>
      <c r="B1262" t="s">
        <v>482</v>
      </c>
      <c r="C1262" t="s">
        <v>44</v>
      </c>
      <c r="D1262" t="s">
        <v>212</v>
      </c>
      <c r="E1262" t="s">
        <v>134</v>
      </c>
      <c r="F1262" t="s">
        <v>483</v>
      </c>
      <c r="G1262" t="s">
        <v>33</v>
      </c>
      <c r="H1262" t="s">
        <v>456</v>
      </c>
      <c r="I1262" t="s">
        <v>135</v>
      </c>
      <c r="J1262" t="s">
        <v>39</v>
      </c>
      <c r="K1262" t="s">
        <v>31</v>
      </c>
      <c r="L1262">
        <v>8.2931909248260549E-3</v>
      </c>
      <c r="M1262">
        <v>0</v>
      </c>
      <c r="N1262">
        <v>0.54981264760003967</v>
      </c>
      <c r="O1262">
        <v>5.3471683850504297</v>
      </c>
      <c r="P1262">
        <v>2.8636201715795879</v>
      </c>
      <c r="Q1262">
        <v>5.2678270918411005</v>
      </c>
      <c r="R1262">
        <v>-1.8625523936223525</v>
      </c>
      <c r="S1262" s="2">
        <v>5.2024311103699133E-3</v>
      </c>
      <c r="T1262" s="2">
        <v>1.0319154697392084E-2</v>
      </c>
      <c r="U1262" s="2">
        <v>1.8180889102510901E-2</v>
      </c>
      <c r="V1262" s="2">
        <v>2.9345737077956333E-2</v>
      </c>
      <c r="W1262" s="2">
        <v>4.4199369431417466E-2</v>
      </c>
      <c r="X1262" s="2">
        <v>6.2814966410734002E-2</v>
      </c>
      <c r="Y1262" s="2">
        <v>8.4786941414521672E-2</v>
      </c>
      <c r="Z1262" s="2">
        <v>0.10906721555827772</v>
      </c>
      <c r="AA1262" s="2">
        <v>0.13385748273576112</v>
      </c>
      <c r="AB1262" s="2">
        <v>0.15663297448633404</v>
      </c>
      <c r="AC1262" s="2">
        <v>0.17437737592892955</v>
      </c>
      <c r="AD1262" s="2">
        <v>0.18407472096498659</v>
      </c>
      <c r="AE1262" s="2">
        <v>0.18341833214759337</v>
      </c>
      <c r="AF1262" s="2">
        <v>0.17156987860378806</v>
      </c>
      <c r="AG1262" s="2">
        <v>0.14968547165201443</v>
      </c>
      <c r="AH1262" s="2">
        <v>0.12283400114718714</v>
      </c>
      <c r="AI1262" s="2">
        <v>4.4489327814684405E-2</v>
      </c>
      <c r="AJ1262" s="2">
        <v>0</v>
      </c>
      <c r="AK1262" s="2">
        <v>0</v>
      </c>
      <c r="AL1262" s="2">
        <v>0</v>
      </c>
      <c r="AM1262" s="2">
        <v>0</v>
      </c>
      <c r="AN1262" s="2">
        <v>0</v>
      </c>
      <c r="AO1262" s="2">
        <v>0</v>
      </c>
      <c r="AP1262" s="2">
        <v>0</v>
      </c>
      <c r="AQ1262" s="2">
        <v>0</v>
      </c>
      <c r="AR1262" s="2">
        <v>1.6848562702844589</v>
      </c>
    </row>
    <row r="1263" spans="1:44" x14ac:dyDescent="0.25">
      <c r="A1263" t="s">
        <v>435</v>
      </c>
      <c r="B1263" t="s">
        <v>482</v>
      </c>
      <c r="C1263" t="s">
        <v>44</v>
      </c>
      <c r="D1263" t="s">
        <v>212</v>
      </c>
      <c r="E1263" t="s">
        <v>134</v>
      </c>
      <c r="F1263" t="s">
        <v>483</v>
      </c>
      <c r="G1263" t="s">
        <v>33</v>
      </c>
      <c r="H1263" t="s">
        <v>456</v>
      </c>
      <c r="I1263" t="s">
        <v>135</v>
      </c>
      <c r="J1263" t="s">
        <v>39</v>
      </c>
      <c r="K1263" t="s">
        <v>33</v>
      </c>
      <c r="L1263">
        <v>8.2931909248260549E-3</v>
      </c>
      <c r="M1263">
        <v>0</v>
      </c>
      <c r="N1263">
        <v>0.54981264760003967</v>
      </c>
      <c r="O1263">
        <v>5.3471683850504297</v>
      </c>
      <c r="P1263">
        <v>2.8636201715795879</v>
      </c>
      <c r="Q1263">
        <v>5.2678270918411005</v>
      </c>
      <c r="R1263">
        <v>-1.8625523936223525</v>
      </c>
      <c r="S1263" s="2">
        <v>4.803403220635767E-3</v>
      </c>
      <c r="T1263" s="2">
        <v>9.5276727084171644E-3</v>
      </c>
      <c r="U1263" s="2">
        <v>1.6786409933415351E-2</v>
      </c>
      <c r="V1263" s="2">
        <v>2.7094911014047648E-2</v>
      </c>
      <c r="W1263" s="2">
        <v>4.0809265701520228E-2</v>
      </c>
      <c r="X1263" s="2">
        <v>5.7997041298638786E-2</v>
      </c>
      <c r="Y1263" s="2">
        <v>7.8283759807328102E-2</v>
      </c>
      <c r="Z1263" s="2">
        <v>0.10070173028031805</v>
      </c>
      <c r="AA1263" s="2">
        <v>0.1235905771817964</v>
      </c>
      <c r="AB1263" s="2">
        <v>0.14461918248292194</v>
      </c>
      <c r="AC1263" s="2">
        <v>0.16100258347937588</v>
      </c>
      <c r="AD1263" s="2">
        <v>0.16995613949763144</v>
      </c>
      <c r="AE1263" s="2">
        <v>0.16935009588214348</v>
      </c>
      <c r="AF1263" s="2">
        <v>0.15841042196730309</v>
      </c>
      <c r="AG1263" s="2">
        <v>0.13820455501707665</v>
      </c>
      <c r="AH1263" s="2">
        <v>0.11341259964747968</v>
      </c>
      <c r="AI1263" s="2">
        <v>4.107698419744775E-2</v>
      </c>
      <c r="AJ1263" s="2">
        <v>0</v>
      </c>
      <c r="AK1263" s="2">
        <v>0</v>
      </c>
      <c r="AL1263" s="2">
        <v>0</v>
      </c>
      <c r="AM1263" s="2">
        <v>0</v>
      </c>
      <c r="AN1263" s="2">
        <v>0</v>
      </c>
      <c r="AO1263" s="2">
        <v>0</v>
      </c>
      <c r="AP1263" s="2">
        <v>0</v>
      </c>
      <c r="AQ1263" s="2">
        <v>0</v>
      </c>
      <c r="AR1263" s="2">
        <v>1.555627333317497</v>
      </c>
    </row>
    <row r="1264" spans="1:44" x14ac:dyDescent="0.25">
      <c r="A1264" t="s">
        <v>435</v>
      </c>
      <c r="B1264" t="s">
        <v>482</v>
      </c>
      <c r="C1264" t="s">
        <v>44</v>
      </c>
      <c r="D1264" t="s">
        <v>212</v>
      </c>
      <c r="E1264" t="s">
        <v>134</v>
      </c>
      <c r="F1264" t="s">
        <v>483</v>
      </c>
      <c r="G1264" t="s">
        <v>33</v>
      </c>
      <c r="H1264" t="s">
        <v>456</v>
      </c>
      <c r="I1264" t="s">
        <v>135</v>
      </c>
      <c r="J1264" t="s">
        <v>40</v>
      </c>
      <c r="K1264" t="s">
        <v>33</v>
      </c>
      <c r="L1264">
        <v>8.2931909248260549E-3</v>
      </c>
      <c r="M1264">
        <v>0</v>
      </c>
      <c r="N1264">
        <v>0.54981264760003967</v>
      </c>
      <c r="O1264">
        <v>4.1746294160814532</v>
      </c>
      <c r="P1264">
        <v>2.8636201715795879</v>
      </c>
      <c r="Q1264">
        <v>1.3498045353129324</v>
      </c>
      <c r="R1264">
        <v>-1.7195523936223529</v>
      </c>
      <c r="S1264" s="2">
        <v>1.7732789836170725E-2</v>
      </c>
      <c r="T1264" s="2">
        <v>3.5173440580701244E-2</v>
      </c>
      <c r="U1264" s="2">
        <v>6.1970620782834086E-2</v>
      </c>
      <c r="V1264" s="2">
        <v>0.10002665622109912</v>
      </c>
      <c r="W1264" s="2">
        <v>0.15065612833513617</v>
      </c>
      <c r="X1264" s="2">
        <v>0.21410847626744786</v>
      </c>
      <c r="Y1264" s="2">
        <v>0.28900123443413117</v>
      </c>
      <c r="Z1264" s="2">
        <v>0.37176196483527263</v>
      </c>
      <c r="AA1264" s="2">
        <v>0.4562610362337553</v>
      </c>
      <c r="AB1264" s="2">
        <v>0.53389262809151516</v>
      </c>
      <c r="AC1264" s="2">
        <v>0.5943754552303484</v>
      </c>
      <c r="AD1264" s="2">
        <v>0.62742942131756196</v>
      </c>
      <c r="AE1264" s="2">
        <v>0.62519208175405572</v>
      </c>
      <c r="AF1264" s="2">
        <v>0.58480593686938231</v>
      </c>
      <c r="AG1264" s="2">
        <v>0.51021165951480085</v>
      </c>
      <c r="AH1264" s="2">
        <v>0.41868685636937641</v>
      </c>
      <c r="AI1264" s="2">
        <v>0.15164446839435677</v>
      </c>
      <c r="AJ1264" s="2">
        <v>0</v>
      </c>
      <c r="AK1264" s="2">
        <v>0</v>
      </c>
      <c r="AL1264" s="2">
        <v>0</v>
      </c>
      <c r="AM1264" s="2">
        <v>0</v>
      </c>
      <c r="AN1264" s="2">
        <v>0</v>
      </c>
      <c r="AO1264" s="2">
        <v>0</v>
      </c>
      <c r="AP1264" s="2">
        <v>0</v>
      </c>
      <c r="AQ1264" s="2">
        <v>0</v>
      </c>
      <c r="AR1264" s="2">
        <v>5.7429308550679465</v>
      </c>
    </row>
    <row r="1265" spans="1:44" x14ac:dyDescent="0.25">
      <c r="A1265" t="s">
        <v>435</v>
      </c>
      <c r="B1265" t="s">
        <v>482</v>
      </c>
      <c r="C1265" t="s">
        <v>44</v>
      </c>
      <c r="D1265" t="s">
        <v>212</v>
      </c>
      <c r="E1265" t="s">
        <v>134</v>
      </c>
      <c r="F1265" t="s">
        <v>483</v>
      </c>
      <c r="G1265" t="s">
        <v>33</v>
      </c>
      <c r="H1265" t="s">
        <v>456</v>
      </c>
      <c r="I1265" t="s">
        <v>256</v>
      </c>
      <c r="J1265" t="s">
        <v>40</v>
      </c>
      <c r="K1265" t="s">
        <v>33</v>
      </c>
      <c r="L1265">
        <v>8.2931909248260549E-3</v>
      </c>
      <c r="M1265">
        <v>0</v>
      </c>
      <c r="N1265">
        <v>0.27210099802545729</v>
      </c>
      <c r="O1265">
        <v>1.4737622038640097</v>
      </c>
      <c r="P1265">
        <v>4.3265571229284552</v>
      </c>
      <c r="Q1265">
        <v>1.3498045353129324</v>
      </c>
      <c r="R1265">
        <v>-0.25661544227348526</v>
      </c>
      <c r="S1265" s="2">
        <v>2.6628977349856819E-2</v>
      </c>
      <c r="T1265" s="2">
        <v>5.2819255243724661E-2</v>
      </c>
      <c r="U1265" s="2">
        <v>9.3060047089522605E-2</v>
      </c>
      <c r="V1265" s="2">
        <v>0.15020803762420001</v>
      </c>
      <c r="W1265" s="2">
        <v>0.22623730761587757</v>
      </c>
      <c r="X1265" s="2">
        <v>0.3215224348572906</v>
      </c>
      <c r="Y1265" s="2">
        <v>0.43398739831278554</v>
      </c>
      <c r="Z1265" s="2">
        <v>0.55826753898271564</v>
      </c>
      <c r="AA1265" s="2">
        <v>0.68515811170942809</v>
      </c>
      <c r="AB1265" s="2">
        <v>0.80173592717515429</v>
      </c>
      <c r="AC1265" s="2">
        <v>0.89256178417877452</v>
      </c>
      <c r="AD1265" s="2">
        <v>0.94219826678479746</v>
      </c>
      <c r="AE1265" s="2">
        <v>0.93883849851872236</v>
      </c>
      <c r="AF1265" s="2">
        <v>0.87819142903232084</v>
      </c>
      <c r="AG1265" s="2">
        <v>0.76617468826813717</v>
      </c>
      <c r="AH1265" s="2">
        <v>0.62873371409393952</v>
      </c>
      <c r="AI1265" s="2">
        <v>0.22772147820009211</v>
      </c>
      <c r="AJ1265" s="2">
        <v>0</v>
      </c>
      <c r="AK1265" s="2">
        <v>0</v>
      </c>
      <c r="AL1265" s="2">
        <v>0</v>
      </c>
      <c r="AM1265" s="2">
        <v>0</v>
      </c>
      <c r="AN1265" s="2">
        <v>0</v>
      </c>
      <c r="AO1265" s="2">
        <v>0</v>
      </c>
      <c r="AP1265" s="2">
        <v>0</v>
      </c>
      <c r="AQ1265" s="2">
        <v>0</v>
      </c>
      <c r="AR1265" s="2">
        <v>8.6240448950373398</v>
      </c>
    </row>
    <row r="1266" spans="1:44" x14ac:dyDescent="0.25">
      <c r="A1266" t="s">
        <v>435</v>
      </c>
      <c r="B1266" t="s">
        <v>482</v>
      </c>
      <c r="C1266" t="s">
        <v>44</v>
      </c>
      <c r="D1266" t="s">
        <v>212</v>
      </c>
      <c r="E1266" t="s">
        <v>134</v>
      </c>
      <c r="F1266" t="s">
        <v>483</v>
      </c>
      <c r="G1266" t="s">
        <v>33</v>
      </c>
      <c r="H1266" t="s">
        <v>457</v>
      </c>
      <c r="I1266" t="s">
        <v>135</v>
      </c>
      <c r="J1266" t="s">
        <v>39</v>
      </c>
      <c r="K1266" t="s">
        <v>31</v>
      </c>
      <c r="L1266">
        <v>8.2931909248260549E-3</v>
      </c>
      <c r="M1266">
        <v>0</v>
      </c>
      <c r="N1266">
        <v>0.54981264760003967</v>
      </c>
      <c r="O1266">
        <v>5.3471683850504297</v>
      </c>
      <c r="P1266">
        <v>2.8636201715795879</v>
      </c>
      <c r="Q1266">
        <v>5.2678270918411005</v>
      </c>
      <c r="R1266">
        <v>-1.8625523936223525</v>
      </c>
      <c r="S1266" s="2">
        <v>1.9233331946309673E-3</v>
      </c>
      <c r="T1266" s="2">
        <v>3.8149804099212865E-3</v>
      </c>
      <c r="U1266" s="2">
        <v>6.7214551768043076E-3</v>
      </c>
      <c r="V1266" s="2">
        <v>1.0849087483434827E-2</v>
      </c>
      <c r="W1266" s="2">
        <v>1.6340459413244961E-2</v>
      </c>
      <c r="X1266" s="2">
        <v>2.3222625625273014E-2</v>
      </c>
      <c r="Y1266" s="2">
        <v>3.1345641188545305E-2</v>
      </c>
      <c r="Z1266" s="2">
        <v>4.0322032464989416E-2</v>
      </c>
      <c r="AA1266" s="2">
        <v>4.9486967618322782E-2</v>
      </c>
      <c r="AB1266" s="2">
        <v>5.7907042459987713E-2</v>
      </c>
      <c r="AC1266" s="2">
        <v>6.4467128617663891E-2</v>
      </c>
      <c r="AD1266" s="2">
        <v>6.8052226663548862E-2</v>
      </c>
      <c r="AE1266" s="2">
        <v>6.7809560422652279E-2</v>
      </c>
      <c r="AF1266" s="2">
        <v>6.342919987152075E-2</v>
      </c>
      <c r="AG1266" s="2">
        <v>5.5338558123039033E-2</v>
      </c>
      <c r="AH1266" s="2">
        <v>4.5411598313105782E-2</v>
      </c>
      <c r="AI1266" s="2">
        <v>1.6447656716153423E-2</v>
      </c>
      <c r="AJ1266" s="2">
        <v>0</v>
      </c>
      <c r="AK1266" s="2">
        <v>0</v>
      </c>
      <c r="AL1266" s="2">
        <v>0</v>
      </c>
      <c r="AM1266" s="2">
        <v>0</v>
      </c>
      <c r="AN1266" s="2">
        <v>0</v>
      </c>
      <c r="AO1266" s="2">
        <v>0</v>
      </c>
      <c r="AP1266" s="2">
        <v>0</v>
      </c>
      <c r="AQ1266" s="2">
        <v>0</v>
      </c>
      <c r="AR1266" s="2">
        <v>0.62288955376283861</v>
      </c>
    </row>
    <row r="1267" spans="1:44" x14ac:dyDescent="0.25">
      <c r="A1267" t="s">
        <v>435</v>
      </c>
      <c r="B1267" t="s">
        <v>482</v>
      </c>
      <c r="C1267" t="s">
        <v>44</v>
      </c>
      <c r="D1267" t="s">
        <v>212</v>
      </c>
      <c r="E1267" t="s">
        <v>134</v>
      </c>
      <c r="F1267" t="s">
        <v>483</v>
      </c>
      <c r="G1267" t="s">
        <v>33</v>
      </c>
      <c r="H1267" t="s">
        <v>457</v>
      </c>
      <c r="I1267" t="s">
        <v>135</v>
      </c>
      <c r="J1267" t="s">
        <v>39</v>
      </c>
      <c r="K1267" t="s">
        <v>33</v>
      </c>
      <c r="L1267">
        <v>8.2931909248260549E-3</v>
      </c>
      <c r="M1267">
        <v>0</v>
      </c>
      <c r="N1267">
        <v>0.54981264760003967</v>
      </c>
      <c r="O1267">
        <v>5.3471683850504297</v>
      </c>
      <c r="P1267">
        <v>2.8636201715795879</v>
      </c>
      <c r="Q1267">
        <v>5.2678270918411005</v>
      </c>
      <c r="R1267">
        <v>-1.8625523936223525</v>
      </c>
      <c r="S1267" s="2">
        <v>5.6275685012024306E-4</v>
      </c>
      <c r="T1267" s="2">
        <v>1.1162425547226451E-3</v>
      </c>
      <c r="U1267" s="2">
        <v>1.9666612909722881E-3</v>
      </c>
      <c r="V1267" s="2">
        <v>3.1743840931462682E-3</v>
      </c>
      <c r="W1267" s="2">
        <v>4.7811297047154651E-3</v>
      </c>
      <c r="X1267" s="2">
        <v>6.7948141720227499E-3</v>
      </c>
      <c r="Y1267" s="2">
        <v>9.1715644223827348E-3</v>
      </c>
      <c r="Z1267" s="2">
        <v>1.179800777306164E-2</v>
      </c>
      <c r="AA1267" s="2">
        <v>1.447961803843003E-2</v>
      </c>
      <c r="AB1267" s="2">
        <v>1.6943286220781152E-2</v>
      </c>
      <c r="AC1267" s="2">
        <v>1.8862731812900515E-2</v>
      </c>
      <c r="AD1267" s="2">
        <v>1.9911712036039416E-2</v>
      </c>
      <c r="AE1267" s="2">
        <v>1.9840709211495704E-2</v>
      </c>
      <c r="AF1267" s="2">
        <v>1.8559039497154442E-2</v>
      </c>
      <c r="AG1267" s="2">
        <v>1.6191761649230377E-2</v>
      </c>
      <c r="AH1267" s="2">
        <v>1.3287187106710627E-2</v>
      </c>
      <c r="AI1267" s="2">
        <v>4.8124950535248217E-3</v>
      </c>
      <c r="AJ1267" s="2">
        <v>0</v>
      </c>
      <c r="AK1267" s="2">
        <v>0</v>
      </c>
      <c r="AL1267" s="2">
        <v>0</v>
      </c>
      <c r="AM1267" s="2">
        <v>0</v>
      </c>
      <c r="AN1267" s="2">
        <v>0</v>
      </c>
      <c r="AO1267" s="2">
        <v>0</v>
      </c>
      <c r="AP1267" s="2">
        <v>0</v>
      </c>
      <c r="AQ1267" s="2">
        <v>0</v>
      </c>
      <c r="AR1267" s="2">
        <v>0.18225410148741111</v>
      </c>
    </row>
    <row r="1268" spans="1:44" x14ac:dyDescent="0.25">
      <c r="A1268" t="s">
        <v>435</v>
      </c>
      <c r="B1268" t="s">
        <v>482</v>
      </c>
      <c r="C1268" t="s">
        <v>44</v>
      </c>
      <c r="D1268" t="s">
        <v>212</v>
      </c>
      <c r="E1268" t="s">
        <v>134</v>
      </c>
      <c r="F1268" t="s">
        <v>483</v>
      </c>
      <c r="G1268" t="s">
        <v>33</v>
      </c>
      <c r="H1268" t="s">
        <v>457</v>
      </c>
      <c r="I1268" t="s">
        <v>256</v>
      </c>
      <c r="J1268" t="s">
        <v>39</v>
      </c>
      <c r="K1268" t="s">
        <v>33</v>
      </c>
      <c r="L1268">
        <v>8.2931909248260549E-3</v>
      </c>
      <c r="M1268">
        <v>0</v>
      </c>
      <c r="N1268">
        <v>0.27210099802545729</v>
      </c>
      <c r="O1268">
        <v>2.6463011728329868</v>
      </c>
      <c r="P1268">
        <v>4.3265571229284552</v>
      </c>
      <c r="Q1268">
        <v>1.3498045353129324</v>
      </c>
      <c r="R1268">
        <v>-0.39961544227348522</v>
      </c>
      <c r="S1268" s="2">
        <v>1.5476190982702128E-3</v>
      </c>
      <c r="T1268" s="2">
        <v>3.0697419242814777E-3</v>
      </c>
      <c r="U1268" s="2">
        <v>5.4084505112414636E-3</v>
      </c>
      <c r="V1268" s="2">
        <v>8.7297692542501089E-3</v>
      </c>
      <c r="W1268" s="2">
        <v>1.3148427497139605E-2</v>
      </c>
      <c r="X1268" s="2">
        <v>1.8686194898511893E-2</v>
      </c>
      <c r="Y1268" s="2">
        <v>2.522241756464148E-2</v>
      </c>
      <c r="Z1268" s="2">
        <v>3.2445313010813263E-2</v>
      </c>
      <c r="AA1268" s="2">
        <v>3.9819921174027668E-2</v>
      </c>
      <c r="AB1268" s="2">
        <v>4.6595173985241919E-2</v>
      </c>
      <c r="AC1268" s="2">
        <v>5.1873778156510182E-2</v>
      </c>
      <c r="AD1268" s="2">
        <v>5.4758544155699071E-2</v>
      </c>
      <c r="AE1268" s="2">
        <v>5.456328162398312E-2</v>
      </c>
      <c r="AF1268" s="2">
        <v>5.1038603910748277E-2</v>
      </c>
      <c r="AG1268" s="2">
        <v>4.4528430986906495E-2</v>
      </c>
      <c r="AH1268" s="2">
        <v>3.6540656100838807E-2</v>
      </c>
      <c r="AI1268" s="2">
        <v>1.323468431094974E-2</v>
      </c>
      <c r="AJ1268" s="2">
        <v>0</v>
      </c>
      <c r="AK1268" s="2">
        <v>0</v>
      </c>
      <c r="AL1268" s="2">
        <v>0</v>
      </c>
      <c r="AM1268" s="2">
        <v>0</v>
      </c>
      <c r="AN1268" s="2">
        <v>0</v>
      </c>
      <c r="AO1268" s="2">
        <v>0</v>
      </c>
      <c r="AP1268" s="2">
        <v>0</v>
      </c>
      <c r="AQ1268" s="2">
        <v>0</v>
      </c>
      <c r="AR1268" s="2">
        <v>0.50121100816405484</v>
      </c>
    </row>
    <row r="1269" spans="1:44" x14ac:dyDescent="0.25">
      <c r="A1269" t="s">
        <v>435</v>
      </c>
      <c r="B1269" t="s">
        <v>482</v>
      </c>
      <c r="C1269" t="s">
        <v>44</v>
      </c>
      <c r="D1269" t="s">
        <v>212</v>
      </c>
      <c r="E1269" t="s">
        <v>134</v>
      </c>
      <c r="F1269" t="s">
        <v>483</v>
      </c>
      <c r="G1269" t="s">
        <v>33</v>
      </c>
      <c r="H1269" t="s">
        <v>457</v>
      </c>
      <c r="I1269" t="s">
        <v>256</v>
      </c>
      <c r="J1269" t="s">
        <v>40</v>
      </c>
      <c r="K1269" t="s">
        <v>33</v>
      </c>
      <c r="L1269">
        <v>8.2931909248260549E-3</v>
      </c>
      <c r="M1269">
        <v>0</v>
      </c>
      <c r="N1269">
        <v>0.27210099802545729</v>
      </c>
      <c r="O1269">
        <v>1.4737622038640097</v>
      </c>
      <c r="P1269">
        <v>4.3265571229284552</v>
      </c>
      <c r="Q1269">
        <v>1.3498045353129324</v>
      </c>
      <c r="R1269">
        <v>-0.25661544227348526</v>
      </c>
      <c r="S1269" s="2">
        <v>1.4161308438547885E-2</v>
      </c>
      <c r="T1269" s="2">
        <v>2.8089316205182562E-2</v>
      </c>
      <c r="U1269" s="2">
        <v>4.9489396938767742E-2</v>
      </c>
      <c r="V1269" s="2">
        <v>7.9880737543859853E-2</v>
      </c>
      <c r="W1269" s="2">
        <v>0.12031315552838182</v>
      </c>
      <c r="X1269" s="2">
        <v>0.17098585161970156</v>
      </c>
      <c r="Y1269" s="2">
        <v>0.23079479640562831</v>
      </c>
      <c r="Z1269" s="2">
        <v>0.29688706054668673</v>
      </c>
      <c r="AA1269" s="2">
        <v>0.36436755424790762</v>
      </c>
      <c r="AB1269" s="2">
        <v>0.42636371655682714</v>
      </c>
      <c r="AC1269" s="2">
        <v>0.47466496967388033</v>
      </c>
      <c r="AD1269" s="2">
        <v>0.50106168520498906</v>
      </c>
      <c r="AE1269" s="2">
        <v>0.49927495813421813</v>
      </c>
      <c r="AF1269" s="2">
        <v>0.46702280494007387</v>
      </c>
      <c r="AG1269" s="2">
        <v>0.4074522252891436</v>
      </c>
      <c r="AH1269" s="2">
        <v>0.33436102085407093</v>
      </c>
      <c r="AI1269" s="2">
        <v>0.12110243846412357</v>
      </c>
      <c r="AJ1269" s="2">
        <v>0</v>
      </c>
      <c r="AK1269" s="2">
        <v>0</v>
      </c>
      <c r="AL1269" s="2">
        <v>0</v>
      </c>
      <c r="AM1269" s="2">
        <v>0</v>
      </c>
      <c r="AN1269" s="2">
        <v>0</v>
      </c>
      <c r="AO1269" s="2">
        <v>0</v>
      </c>
      <c r="AP1269" s="2">
        <v>0</v>
      </c>
      <c r="AQ1269" s="2">
        <v>0</v>
      </c>
      <c r="AR1269" s="2">
        <v>4.5862729965919913</v>
      </c>
    </row>
    <row r="1270" spans="1:44" x14ac:dyDescent="0.25">
      <c r="A1270" t="s">
        <v>131</v>
      </c>
      <c r="B1270" t="s">
        <v>237</v>
      </c>
      <c r="C1270" t="s">
        <v>46</v>
      </c>
      <c r="D1270" t="s">
        <v>238</v>
      </c>
      <c r="E1270" t="s">
        <v>148</v>
      </c>
      <c r="F1270" t="s">
        <v>238</v>
      </c>
      <c r="G1270" t="s">
        <v>28</v>
      </c>
      <c r="H1270" t="s">
        <v>55</v>
      </c>
      <c r="I1270" t="s">
        <v>135</v>
      </c>
      <c r="J1270" t="s">
        <v>39</v>
      </c>
      <c r="K1270" t="s">
        <v>28</v>
      </c>
      <c r="L1270">
        <v>3.72</v>
      </c>
      <c r="M1270">
        <v>1</v>
      </c>
      <c r="N1270">
        <v>1.0975767883104532</v>
      </c>
      <c r="O1270">
        <v>3.688844026831072</v>
      </c>
      <c r="P1270">
        <v>0.27234300754259277</v>
      </c>
      <c r="Q1270">
        <v>2.4468562968171641</v>
      </c>
      <c r="R1270">
        <v>-1.4464769027578752</v>
      </c>
      <c r="S1270" s="2">
        <v>2.3775387530046026E-5</v>
      </c>
      <c r="T1270" s="2">
        <v>1.5048058089790059E-5</v>
      </c>
      <c r="U1270" s="2">
        <v>3.9399762110044201E-5</v>
      </c>
      <c r="V1270" s="2">
        <v>7.5241341172753765E-5</v>
      </c>
      <c r="W1270" s="2">
        <v>1.2631878341293101E-4</v>
      </c>
      <c r="X1270" s="2">
        <v>1.9529448435098005E-4</v>
      </c>
      <c r="Y1270" s="2">
        <v>2.8151551245641799E-4</v>
      </c>
      <c r="Z1270" s="2">
        <v>3.871943059723018E-4</v>
      </c>
      <c r="AA1270" s="2">
        <v>5.089601138197037E-4</v>
      </c>
      <c r="AB1270" s="2">
        <v>6.4069986123270906E-4</v>
      </c>
      <c r="AC1270" s="2">
        <v>7.7459404971055694E-4</v>
      </c>
      <c r="AD1270" s="2">
        <v>9.0056025622725243E-4</v>
      </c>
      <c r="AE1270" s="2">
        <v>1.007948381802209E-3</v>
      </c>
      <c r="AF1270" s="2">
        <v>1.0873546962627107E-3</v>
      </c>
      <c r="AG1270" s="2">
        <v>1.132447716930742E-3</v>
      </c>
      <c r="AH1270" s="2">
        <v>1.1412123638800836E-3</v>
      </c>
      <c r="AI1270" s="2">
        <v>1.1161189033807345E-3</v>
      </c>
      <c r="AJ1270" s="2">
        <v>1.0660210211974714E-3</v>
      </c>
      <c r="AK1270" s="2">
        <v>9.9153069215891614E-4</v>
      </c>
      <c r="AL1270" s="2">
        <v>9.0913426302889383E-4</v>
      </c>
      <c r="AM1270" s="2">
        <v>8.1352356022700901E-4</v>
      </c>
      <c r="AN1270" s="2">
        <v>7.1400930157811994E-4</v>
      </c>
      <c r="AO1270" s="2">
        <v>6.1427439450115261E-4</v>
      </c>
      <c r="AP1270" s="2">
        <v>5.1435486091279685E-4</v>
      </c>
      <c r="AQ1270" s="2">
        <v>4.1429285978211131E-4</v>
      </c>
      <c r="AR1270" s="2">
        <v>1.5490824931728434E-2</v>
      </c>
    </row>
    <row r="1271" spans="1:44" x14ac:dyDescent="0.25">
      <c r="A1271" t="s">
        <v>131</v>
      </c>
      <c r="B1271" t="s">
        <v>237</v>
      </c>
      <c r="C1271" t="s">
        <v>46</v>
      </c>
      <c r="D1271" t="s">
        <v>238</v>
      </c>
      <c r="E1271" t="s">
        <v>148</v>
      </c>
      <c r="F1271" t="s">
        <v>238</v>
      </c>
      <c r="G1271" t="s">
        <v>28</v>
      </c>
      <c r="H1271" t="s">
        <v>136</v>
      </c>
      <c r="I1271" t="s">
        <v>135</v>
      </c>
      <c r="J1271" t="s">
        <v>39</v>
      </c>
      <c r="K1271" t="s">
        <v>28</v>
      </c>
      <c r="L1271">
        <v>3.72</v>
      </c>
      <c r="M1271">
        <v>1</v>
      </c>
      <c r="N1271">
        <v>1.0975767883104532</v>
      </c>
      <c r="O1271">
        <v>3.688844026831072</v>
      </c>
      <c r="P1271">
        <v>0.27234300754259277</v>
      </c>
      <c r="Q1271">
        <v>2.4468562968171641</v>
      </c>
      <c r="R1271">
        <v>-1.4464769027578752</v>
      </c>
      <c r="S1271" s="2">
        <v>2.985131989883556E-5</v>
      </c>
      <c r="T1271" s="2">
        <v>1.8893672934958632E-5</v>
      </c>
      <c r="U1271" s="2">
        <v>4.946859020483329E-5</v>
      </c>
      <c r="V1271" s="2">
        <v>9.4469683916901918E-5</v>
      </c>
      <c r="W1271" s="2">
        <v>1.5860025028512472E-4</v>
      </c>
      <c r="X1271" s="2">
        <v>2.4520307479623045E-4</v>
      </c>
      <c r="Y1271" s="2">
        <v>3.5345836563972451E-4</v>
      </c>
      <c r="Z1271" s="2">
        <v>4.8614396194300081E-4</v>
      </c>
      <c r="AA1271" s="2">
        <v>6.3902769846251625E-4</v>
      </c>
      <c r="AB1271" s="2">
        <v>8.0443427021440221E-4</v>
      </c>
      <c r="AC1271" s="2">
        <v>9.7254586241436508E-4</v>
      </c>
      <c r="AD1271" s="2">
        <v>1.1307034328186612E-3</v>
      </c>
      <c r="AE1271" s="2">
        <v>1.2655351904849999E-3</v>
      </c>
      <c r="AF1271" s="2">
        <v>1.3652342297520771E-3</v>
      </c>
      <c r="AG1271" s="2">
        <v>1.4218510223685942E-3</v>
      </c>
      <c r="AH1271" s="2">
        <v>1.432855523538318E-3</v>
      </c>
      <c r="AI1271" s="2">
        <v>1.4013492898002507E-3</v>
      </c>
      <c r="AJ1271" s="2">
        <v>1.3384486155035079E-3</v>
      </c>
      <c r="AK1271" s="2">
        <v>1.244921869043967E-3</v>
      </c>
      <c r="AL1271" s="2">
        <v>1.1414685746918385E-3</v>
      </c>
      <c r="AM1271" s="2">
        <v>1.0214240256183381E-3</v>
      </c>
      <c r="AN1271" s="2">
        <v>8.9647834531476813E-4</v>
      </c>
      <c r="AO1271" s="2">
        <v>7.7125562865144751E-4</v>
      </c>
      <c r="AP1271" s="2">
        <v>6.4580110314606124E-4</v>
      </c>
      <c r="AQ1271" s="2">
        <v>5.2016770172642185E-4</v>
      </c>
      <c r="AR1271" s="2">
        <v>1.9449591303170147E-2</v>
      </c>
    </row>
    <row r="1272" spans="1:44" x14ac:dyDescent="0.25">
      <c r="A1272" t="s">
        <v>131</v>
      </c>
      <c r="B1272" t="s">
        <v>237</v>
      </c>
      <c r="C1272" t="s">
        <v>46</v>
      </c>
      <c r="D1272" t="s">
        <v>238</v>
      </c>
      <c r="E1272" t="s">
        <v>148</v>
      </c>
      <c r="F1272" t="s">
        <v>238</v>
      </c>
      <c r="G1272" t="s">
        <v>28</v>
      </c>
      <c r="H1272" t="s">
        <v>54</v>
      </c>
      <c r="I1272" t="s">
        <v>135</v>
      </c>
      <c r="J1272" t="s">
        <v>39</v>
      </c>
      <c r="K1272" t="s">
        <v>28</v>
      </c>
      <c r="L1272">
        <v>3.72</v>
      </c>
      <c r="M1272">
        <v>1</v>
      </c>
      <c r="N1272">
        <v>1.0975767883104532</v>
      </c>
      <c r="O1272">
        <v>3.688844026831072</v>
      </c>
      <c r="P1272">
        <v>0.27234300754259277</v>
      </c>
      <c r="Q1272">
        <v>2.4468562968171641</v>
      </c>
      <c r="R1272">
        <v>-1.4464769027578752</v>
      </c>
      <c r="S1272" s="2">
        <v>2.9923661407174965E-3</v>
      </c>
      <c r="T1272" s="2">
        <v>1.8939459747830472E-3</v>
      </c>
      <c r="U1272" s="2">
        <v>4.9588472087542914E-3</v>
      </c>
      <c r="V1272" s="2">
        <v>9.4698621178304406E-3</v>
      </c>
      <c r="W1272" s="2">
        <v>1.5898460117371237E-2</v>
      </c>
      <c r="X1272" s="2">
        <v>2.4579729844665263E-2</v>
      </c>
      <c r="Y1272" s="2">
        <v>3.5431493450810994E-2</v>
      </c>
      <c r="Z1272" s="2">
        <v>4.8732208028403917E-2</v>
      </c>
      <c r="AA1272" s="2">
        <v>6.4057631432720905E-2</v>
      </c>
      <c r="AB1272" s="2">
        <v>8.0638373136601132E-2</v>
      </c>
      <c r="AC1272" s="2">
        <v>9.749027241831093E-2</v>
      </c>
      <c r="AD1272" s="2">
        <v>0.11334435726882541</v>
      </c>
      <c r="AE1272" s="2">
        <v>0.12686020808217294</v>
      </c>
      <c r="AF1272" s="2">
        <v>0.13685427301383898</v>
      </c>
      <c r="AG1272" s="2">
        <v>0.14252967275481629</v>
      </c>
      <c r="AH1272" s="2">
        <v>0.14363278969595389</v>
      </c>
      <c r="AI1272" s="2">
        <v>0.1404745311204923</v>
      </c>
      <c r="AJ1272" s="2">
        <v>0.13416922037940246</v>
      </c>
      <c r="AK1272" s="2">
        <v>0.12479388051820348</v>
      </c>
      <c r="AL1272" s="2">
        <v>0.11442348027411982</v>
      </c>
      <c r="AM1272" s="2">
        <v>0.10238993384325956</v>
      </c>
      <c r="AN1272" s="2">
        <v>8.9865086552198756E-2</v>
      </c>
      <c r="AO1272" s="2">
        <v>7.7312468488347663E-2</v>
      </c>
      <c r="AP1272" s="2">
        <v>6.4736613363877288E-2</v>
      </c>
      <c r="AQ1272" s="2">
        <v>5.2142827299295751E-2</v>
      </c>
      <c r="AR1272" s="2">
        <v>1.9496725325257747</v>
      </c>
    </row>
    <row r="1273" spans="1:44" x14ac:dyDescent="0.25">
      <c r="A1273" t="s">
        <v>131</v>
      </c>
      <c r="B1273" t="s">
        <v>237</v>
      </c>
      <c r="C1273" t="s">
        <v>46</v>
      </c>
      <c r="D1273" t="s">
        <v>238</v>
      </c>
      <c r="E1273" t="s">
        <v>148</v>
      </c>
      <c r="F1273" t="s">
        <v>238</v>
      </c>
      <c r="G1273" t="s">
        <v>28</v>
      </c>
      <c r="H1273" t="s">
        <v>142</v>
      </c>
      <c r="I1273" t="s">
        <v>135</v>
      </c>
      <c r="J1273" t="s">
        <v>39</v>
      </c>
      <c r="K1273" t="s">
        <v>28</v>
      </c>
      <c r="L1273">
        <v>3.72</v>
      </c>
      <c r="M1273">
        <v>1</v>
      </c>
      <c r="N1273">
        <v>1.0975767883104532</v>
      </c>
      <c r="O1273">
        <v>3.688844026831072</v>
      </c>
      <c r="P1273">
        <v>0.27234300754259277</v>
      </c>
      <c r="Q1273">
        <v>2.4468562968171641</v>
      </c>
      <c r="R1273">
        <v>-1.4464769027578752</v>
      </c>
      <c r="S1273" s="2">
        <v>2.3984040173087471E-3</v>
      </c>
      <c r="T1273" s="2">
        <v>1.5180119747632964E-3</v>
      </c>
      <c r="U1273" s="2">
        <v>3.9745534160618556E-3</v>
      </c>
      <c r="V1273" s="2">
        <v>7.5901658683113441E-3</v>
      </c>
      <c r="W1273" s="2">
        <v>1.274273562171211E-2</v>
      </c>
      <c r="X1273" s="2">
        <v>1.9700838744844799E-2</v>
      </c>
      <c r="Y1273" s="2">
        <v>2.839860907238359E-2</v>
      </c>
      <c r="Z1273" s="2">
        <v>3.9059232062967006E-2</v>
      </c>
      <c r="AA1273" s="2">
        <v>5.1342674439793998E-2</v>
      </c>
      <c r="AB1273" s="2">
        <v>6.4632263895919029E-2</v>
      </c>
      <c r="AC1273" s="2">
        <v>7.8139188194575548E-2</v>
      </c>
      <c r="AD1273" s="2">
        <v>9.0846356705415271E-2</v>
      </c>
      <c r="AE1273" s="2">
        <v>0.10167941301058651</v>
      </c>
      <c r="AF1273" s="2">
        <v>0.10968973138546366</v>
      </c>
      <c r="AG1273" s="2">
        <v>0.11423860705725238</v>
      </c>
      <c r="AH1273" s="2">
        <v>0.11512276360052534</v>
      </c>
      <c r="AI1273" s="2">
        <v>0.11259139554632484</v>
      </c>
      <c r="AJ1273" s="2">
        <v>0.10753764145987263</v>
      </c>
      <c r="AK1273" s="2">
        <v>0.10002323589273049</v>
      </c>
      <c r="AL1273" s="2">
        <v>9.1711281928251093E-2</v>
      </c>
      <c r="AM1273" s="2">
        <v>8.2066303758794715E-2</v>
      </c>
      <c r="AN1273" s="2">
        <v>7.202754424661223E-2</v>
      </c>
      <c r="AO1273" s="2">
        <v>6.1966526250709669E-2</v>
      </c>
      <c r="AP1273" s="2">
        <v>5.1886883575569552E-2</v>
      </c>
      <c r="AQ1273" s="2">
        <v>4.1792869116772102E-2</v>
      </c>
      <c r="AR1273" s="2">
        <v>1.5626772308435217</v>
      </c>
    </row>
    <row r="1274" spans="1:44" x14ac:dyDescent="0.25">
      <c r="A1274" t="s">
        <v>131</v>
      </c>
      <c r="B1274" t="s">
        <v>237</v>
      </c>
      <c r="C1274" t="s">
        <v>46</v>
      </c>
      <c r="D1274" t="s">
        <v>238</v>
      </c>
      <c r="E1274" t="s">
        <v>148</v>
      </c>
      <c r="F1274" t="s">
        <v>238</v>
      </c>
      <c r="G1274" t="s">
        <v>28</v>
      </c>
      <c r="H1274" t="s">
        <v>53</v>
      </c>
      <c r="I1274" t="s">
        <v>135</v>
      </c>
      <c r="J1274" t="s">
        <v>39</v>
      </c>
      <c r="K1274" t="s">
        <v>28</v>
      </c>
      <c r="L1274">
        <v>3.72</v>
      </c>
      <c r="M1274">
        <v>1</v>
      </c>
      <c r="N1274">
        <v>1.0975767883104532</v>
      </c>
      <c r="O1274">
        <v>3.688844026831072</v>
      </c>
      <c r="P1274">
        <v>0.27234300754259277</v>
      </c>
      <c r="Q1274">
        <v>2.4468562968171641</v>
      </c>
      <c r="R1274">
        <v>-1.4464769027578752</v>
      </c>
      <c r="S1274" s="2">
        <v>1.3017298925107681E-3</v>
      </c>
      <c r="T1274" s="2">
        <v>8.2389853856065711E-4</v>
      </c>
      <c r="U1274" s="2">
        <v>2.1571824236994198E-3</v>
      </c>
      <c r="V1274" s="2">
        <v>4.119550221143544E-3</v>
      </c>
      <c r="W1274" s="2">
        <v>6.9160991023344848E-3</v>
      </c>
      <c r="X1274" s="2">
        <v>1.0692598293124645E-2</v>
      </c>
      <c r="Y1274" s="2">
        <v>1.5413299039054458E-2</v>
      </c>
      <c r="Z1274" s="2">
        <v>2.1199334886009696E-2</v>
      </c>
      <c r="AA1274" s="2">
        <v>2.7866153324210663E-2</v>
      </c>
      <c r="AB1274" s="2">
        <v>3.507905645870657E-2</v>
      </c>
      <c r="AC1274" s="2">
        <v>4.2409917726680423E-2</v>
      </c>
      <c r="AD1274" s="2">
        <v>4.9306712837244172E-2</v>
      </c>
      <c r="AE1274" s="2">
        <v>5.5186336586172335E-2</v>
      </c>
      <c r="AF1274" s="2">
        <v>5.9533923899175223E-2</v>
      </c>
      <c r="AG1274" s="2">
        <v>6.2002818796176459E-2</v>
      </c>
      <c r="AH1274" s="2">
        <v>6.2482693326794701E-2</v>
      </c>
      <c r="AI1274" s="2">
        <v>6.1108797418799279E-2</v>
      </c>
      <c r="AJ1274" s="2">
        <v>5.8365880580661347E-2</v>
      </c>
      <c r="AK1274" s="2">
        <v>5.4287449140168337E-2</v>
      </c>
      <c r="AL1274" s="2">
        <v>4.9776149599869098E-2</v>
      </c>
      <c r="AM1274" s="2">
        <v>4.4541353333190203E-2</v>
      </c>
      <c r="AN1274" s="2">
        <v>3.9092832881077948E-2</v>
      </c>
      <c r="AO1274" s="2">
        <v>3.3632231673008627E-2</v>
      </c>
      <c r="AP1274" s="2">
        <v>2.8161521950473924E-2</v>
      </c>
      <c r="AQ1274" s="2">
        <v>2.2683011965656523E-2</v>
      </c>
      <c r="AR1274" s="2">
        <v>0.8481405338945035</v>
      </c>
    </row>
    <row r="1275" spans="1:44" x14ac:dyDescent="0.25">
      <c r="A1275" t="s">
        <v>131</v>
      </c>
      <c r="B1275" t="s">
        <v>237</v>
      </c>
      <c r="C1275" t="s">
        <v>46</v>
      </c>
      <c r="D1275" t="s">
        <v>238</v>
      </c>
      <c r="E1275" t="s">
        <v>148</v>
      </c>
      <c r="F1275" t="s">
        <v>238</v>
      </c>
      <c r="G1275" t="s">
        <v>28</v>
      </c>
      <c r="H1275" t="s">
        <v>141</v>
      </c>
      <c r="I1275" t="s">
        <v>135</v>
      </c>
      <c r="J1275" t="s">
        <v>39</v>
      </c>
      <c r="K1275" t="s">
        <v>28</v>
      </c>
      <c r="L1275">
        <v>3.72</v>
      </c>
      <c r="M1275">
        <v>1</v>
      </c>
      <c r="N1275">
        <v>1.0975767883104532</v>
      </c>
      <c r="O1275">
        <v>3.688844026831072</v>
      </c>
      <c r="P1275">
        <v>0.27234300754259277</v>
      </c>
      <c r="Q1275">
        <v>2.4468562968171641</v>
      </c>
      <c r="R1275">
        <v>-1.4464769027578752</v>
      </c>
      <c r="S1275" s="2">
        <v>1.0956226595298961E-3</v>
      </c>
      <c r="T1275" s="2">
        <v>6.934479366218862E-4</v>
      </c>
      <c r="U1275" s="2">
        <v>1.81562853994701E-3</v>
      </c>
      <c r="V1275" s="2">
        <v>3.4672881027958181E-3</v>
      </c>
      <c r="W1275" s="2">
        <v>5.8210500777981875E-3</v>
      </c>
      <c r="X1275" s="2">
        <v>8.9996035633799036E-3</v>
      </c>
      <c r="Y1275" s="2">
        <v>1.29728600245375E-2</v>
      </c>
      <c r="Z1275" s="2">
        <v>1.7842773529058161E-2</v>
      </c>
      <c r="AA1275" s="2">
        <v>2.345401238121067E-2</v>
      </c>
      <c r="AB1275" s="2">
        <v>2.9524872519411379E-2</v>
      </c>
      <c r="AC1275" s="2">
        <v>3.569501408662263E-2</v>
      </c>
      <c r="AD1275" s="2">
        <v>4.1499816638013984E-2</v>
      </c>
      <c r="AE1275" s="2">
        <v>4.6448499960028131E-2</v>
      </c>
      <c r="AF1275" s="2">
        <v>5.0107719281805713E-2</v>
      </c>
      <c r="AG1275" s="2">
        <v>5.2185705820115676E-2</v>
      </c>
      <c r="AH1275" s="2">
        <v>5.2589600216718713E-2</v>
      </c>
      <c r="AI1275" s="2">
        <v>5.143323782748932E-2</v>
      </c>
      <c r="AJ1275" s="2">
        <v>4.9124616155390065E-2</v>
      </c>
      <c r="AK1275" s="2">
        <v>4.5691936359641458E-2</v>
      </c>
      <c r="AL1275" s="2">
        <v>4.1894925913223358E-2</v>
      </c>
      <c r="AM1275" s="2">
        <v>3.748897238876811E-2</v>
      </c>
      <c r="AN1275" s="2">
        <v>3.2903134341574103E-2</v>
      </c>
      <c r="AO1275" s="2">
        <v>2.8307128324782438E-2</v>
      </c>
      <c r="AP1275" s="2">
        <v>2.3702614308315311E-2</v>
      </c>
      <c r="AQ1275" s="2">
        <v>1.9091535071094214E-2</v>
      </c>
      <c r="AR1275" s="2">
        <v>0.7138516160278735</v>
      </c>
    </row>
    <row r="1276" spans="1:44" x14ac:dyDescent="0.25">
      <c r="A1276" t="s">
        <v>131</v>
      </c>
      <c r="B1276" t="s">
        <v>237</v>
      </c>
      <c r="C1276" t="s">
        <v>46</v>
      </c>
      <c r="D1276" t="s">
        <v>238</v>
      </c>
      <c r="E1276" t="s">
        <v>148</v>
      </c>
      <c r="F1276" t="s">
        <v>238</v>
      </c>
      <c r="G1276" t="s">
        <v>28</v>
      </c>
      <c r="H1276" t="s">
        <v>52</v>
      </c>
      <c r="I1276" t="s">
        <v>135</v>
      </c>
      <c r="J1276" t="s">
        <v>39</v>
      </c>
      <c r="K1276" t="s">
        <v>28</v>
      </c>
      <c r="L1276">
        <v>3.72</v>
      </c>
      <c r="M1276">
        <v>1</v>
      </c>
      <c r="N1276">
        <v>1.0975767883104532</v>
      </c>
      <c r="O1276">
        <v>3.688844026831072</v>
      </c>
      <c r="P1276">
        <v>0.27234300754259277</v>
      </c>
      <c r="Q1276">
        <v>2.4468562968171641</v>
      </c>
      <c r="R1276">
        <v>-1.4464769027578752</v>
      </c>
      <c r="S1276" s="2">
        <v>1.2386712732181419E-2</v>
      </c>
      <c r="T1276" s="2">
        <v>7.8398710641351798E-3</v>
      </c>
      <c r="U1276" s="2">
        <v>2.0526838284198459E-2</v>
      </c>
      <c r="V1276" s="2">
        <v>3.9199902736102799E-2</v>
      </c>
      <c r="W1276" s="2">
        <v>6.5810682616099167E-2</v>
      </c>
      <c r="X1276" s="2">
        <v>0.10174625640814558</v>
      </c>
      <c r="Y1276" s="2">
        <v>0.14666645403965492</v>
      </c>
      <c r="Z1276" s="2">
        <v>0.20172393125261423</v>
      </c>
      <c r="AA1276" s="2">
        <v>0.26516256418768963</v>
      </c>
      <c r="AB1276" s="2">
        <v>0.33379750881489423</v>
      </c>
      <c r="AC1276" s="2">
        <v>0.40355489329864774</v>
      </c>
      <c r="AD1276" s="2">
        <v>0.46918188726933036</v>
      </c>
      <c r="AE1276" s="2">
        <v>0.52512990749248722</v>
      </c>
      <c r="AF1276" s="2">
        <v>0.56649971503402441</v>
      </c>
      <c r="AG1276" s="2">
        <v>0.58999267776850695</v>
      </c>
      <c r="AH1276" s="2">
        <v>0.59455896144414622</v>
      </c>
      <c r="AI1276" s="2">
        <v>0.58148554734021185</v>
      </c>
      <c r="AJ1276" s="2">
        <v>0.55538510736587332</v>
      </c>
      <c r="AK1276" s="2">
        <v>0.51657647360710268</v>
      </c>
      <c r="AL1276" s="2">
        <v>0.47364884954624642</v>
      </c>
      <c r="AM1276" s="2">
        <v>0.42383673572759756</v>
      </c>
      <c r="AN1276" s="2">
        <v>0.37199091268551948</v>
      </c>
      <c r="AO1276" s="2">
        <v>0.32003013426404903</v>
      </c>
      <c r="AP1276" s="2">
        <v>0.26797316748155425</v>
      </c>
      <c r="AQ1276" s="2">
        <v>0.21584197669248154</v>
      </c>
      <c r="AR1276" s="2">
        <v>8.0705476691534948</v>
      </c>
    </row>
    <row r="1277" spans="1:44" x14ac:dyDescent="0.25">
      <c r="A1277" t="s">
        <v>131</v>
      </c>
      <c r="B1277" t="s">
        <v>237</v>
      </c>
      <c r="C1277" t="s">
        <v>46</v>
      </c>
      <c r="D1277" t="s">
        <v>238</v>
      </c>
      <c r="E1277" t="s">
        <v>148</v>
      </c>
      <c r="F1277" t="s">
        <v>238</v>
      </c>
      <c r="G1277" t="s">
        <v>28</v>
      </c>
      <c r="H1277" t="s">
        <v>138</v>
      </c>
      <c r="I1277" t="s">
        <v>135</v>
      </c>
      <c r="J1277" t="s">
        <v>39</v>
      </c>
      <c r="K1277" t="s">
        <v>28</v>
      </c>
      <c r="L1277">
        <v>3.72</v>
      </c>
      <c r="M1277">
        <v>1</v>
      </c>
      <c r="N1277">
        <v>1.0975767883104532</v>
      </c>
      <c r="O1277">
        <v>3.688844026831072</v>
      </c>
      <c r="P1277">
        <v>0.27234300754259277</v>
      </c>
      <c r="Q1277">
        <v>2.4468562968171641</v>
      </c>
      <c r="R1277">
        <v>-1.4464769027578752</v>
      </c>
      <c r="S1277" s="2">
        <v>4.296740868624427E-3</v>
      </c>
      <c r="T1277" s="2">
        <v>2.7195184981159493E-3</v>
      </c>
      <c r="U1277" s="2">
        <v>7.1204125635540962E-3</v>
      </c>
      <c r="V1277" s="2">
        <v>1.359778237972045E-2</v>
      </c>
      <c r="W1277" s="2">
        <v>2.2828611246792498E-2</v>
      </c>
      <c r="X1277" s="2">
        <v>3.5294053199652113E-2</v>
      </c>
      <c r="Y1277" s="2">
        <v>5.0876109001151464E-2</v>
      </c>
      <c r="Z1277" s="2">
        <v>6.9974615407105464E-2</v>
      </c>
      <c r="AA1277" s="2">
        <v>9.1980402791971866E-2</v>
      </c>
      <c r="AB1277" s="2">
        <v>0.11578870269944472</v>
      </c>
      <c r="AC1277" s="2">
        <v>0.13998635798380177</v>
      </c>
      <c r="AD1277" s="2">
        <v>0.16275125075040392</v>
      </c>
      <c r="AE1277" s="2">
        <v>0.18215867144458792</v>
      </c>
      <c r="AF1277" s="2">
        <v>0.19650915705236696</v>
      </c>
      <c r="AG1277" s="2">
        <v>0.20465846795420586</v>
      </c>
      <c r="AH1277" s="2">
        <v>0.20624243442788343</v>
      </c>
      <c r="AI1277" s="2">
        <v>0.20170748848319542</v>
      </c>
      <c r="AJ1277" s="2">
        <v>0.19265368788641168</v>
      </c>
      <c r="AK1277" s="2">
        <v>0.17919163008849637</v>
      </c>
      <c r="AL1277" s="2">
        <v>0.16430076431294308</v>
      </c>
      <c r="AM1277" s="2">
        <v>0.14702178563435905</v>
      </c>
      <c r="AN1277" s="2">
        <v>0.12903734766853542</v>
      </c>
      <c r="AO1277" s="2">
        <v>0.11101303362845735</v>
      </c>
      <c r="AP1277" s="2">
        <v>9.2955353474963906E-2</v>
      </c>
      <c r="AQ1277" s="2">
        <v>7.4871926270621239E-2</v>
      </c>
      <c r="AR1277" s="2">
        <v>2.7995363057173659</v>
      </c>
    </row>
    <row r="1278" spans="1:44" x14ac:dyDescent="0.25">
      <c r="A1278" t="s">
        <v>131</v>
      </c>
      <c r="B1278" t="s">
        <v>237</v>
      </c>
      <c r="C1278" t="s">
        <v>46</v>
      </c>
      <c r="D1278" t="s">
        <v>238</v>
      </c>
      <c r="E1278" t="s">
        <v>134</v>
      </c>
      <c r="F1278" t="s">
        <v>238</v>
      </c>
      <c r="G1278" t="s">
        <v>28</v>
      </c>
      <c r="H1278" t="s">
        <v>55</v>
      </c>
      <c r="I1278" t="s">
        <v>135</v>
      </c>
      <c r="J1278" t="s">
        <v>39</v>
      </c>
      <c r="K1278" t="s">
        <v>28</v>
      </c>
      <c r="L1278">
        <v>3.72</v>
      </c>
      <c r="M1278">
        <v>1</v>
      </c>
      <c r="N1278">
        <v>1.0975767883104532</v>
      </c>
      <c r="O1278">
        <v>3.688844026831072</v>
      </c>
      <c r="P1278">
        <v>0.27234300754259277</v>
      </c>
      <c r="Q1278">
        <v>2.4468562968171641</v>
      </c>
      <c r="R1278">
        <v>-1.4464769027578752</v>
      </c>
      <c r="S1278" s="2">
        <v>2.1469187922113797E-3</v>
      </c>
      <c r="T1278" s="2">
        <v>3.9013477650075472E-3</v>
      </c>
      <c r="U1278" s="2">
        <v>6.1579152519399419E-3</v>
      </c>
      <c r="V1278" s="2">
        <v>8.769398020181559E-3</v>
      </c>
      <c r="W1278" s="2">
        <v>1.1348258860590198E-2</v>
      </c>
      <c r="X1278" s="2">
        <v>1.3446714788415132E-2</v>
      </c>
      <c r="Y1278" s="2">
        <v>1.4687070799464559E-2</v>
      </c>
      <c r="Z1278" s="2">
        <v>1.4871313289819872E-2</v>
      </c>
      <c r="AA1278" s="2">
        <v>1.4030365951287397E-2</v>
      </c>
      <c r="AB1278" s="2">
        <v>1.2388024103907746E-2</v>
      </c>
      <c r="AC1278" s="2">
        <v>1.027617818068797E-2</v>
      </c>
      <c r="AD1278" s="2">
        <v>8.0366063583868566E-3</v>
      </c>
      <c r="AE1278" s="2">
        <v>5.9443442355607817E-3</v>
      </c>
      <c r="AF1278" s="2">
        <v>4.1705603579704929E-3</v>
      </c>
      <c r="AG1278" s="2">
        <v>7.7038300785221728E-4</v>
      </c>
      <c r="AH1278" s="2">
        <v>3.0825117325133076E-4</v>
      </c>
      <c r="AI1278" s="2">
        <v>1.8887675381196848E-4</v>
      </c>
      <c r="AJ1278" s="2">
        <v>1.2835742372992076E-4</v>
      </c>
      <c r="AK1278" s="2">
        <v>0</v>
      </c>
      <c r="AL1278" s="2">
        <v>0</v>
      </c>
      <c r="AM1278" s="2">
        <v>0</v>
      </c>
      <c r="AN1278" s="2">
        <v>0</v>
      </c>
      <c r="AO1278" s="2">
        <v>0</v>
      </c>
      <c r="AP1278" s="2">
        <v>0</v>
      </c>
      <c r="AQ1278" s="2">
        <v>0</v>
      </c>
      <c r="AR1278" s="2">
        <v>0.13157088511407689</v>
      </c>
    </row>
    <row r="1279" spans="1:44" x14ac:dyDescent="0.25">
      <c r="A1279" t="s">
        <v>131</v>
      </c>
      <c r="B1279" t="s">
        <v>237</v>
      </c>
      <c r="C1279" t="s">
        <v>46</v>
      </c>
      <c r="D1279" t="s">
        <v>238</v>
      </c>
      <c r="E1279" t="s">
        <v>134</v>
      </c>
      <c r="F1279" t="s">
        <v>238</v>
      </c>
      <c r="G1279" t="s">
        <v>28</v>
      </c>
      <c r="H1279" t="s">
        <v>136</v>
      </c>
      <c r="I1279" t="s">
        <v>135</v>
      </c>
      <c r="J1279" t="s">
        <v>39</v>
      </c>
      <c r="K1279" t="s">
        <v>28</v>
      </c>
      <c r="L1279">
        <v>3.72</v>
      </c>
      <c r="M1279">
        <v>1</v>
      </c>
      <c r="N1279">
        <v>1.0975767883104532</v>
      </c>
      <c r="O1279">
        <v>3.688844026831072</v>
      </c>
      <c r="P1279">
        <v>0.27234300754259277</v>
      </c>
      <c r="Q1279">
        <v>2.4468562968171641</v>
      </c>
      <c r="R1279">
        <v>-1.4464769027578752</v>
      </c>
      <c r="S1279" s="2">
        <v>2.6955758168876204E-3</v>
      </c>
      <c r="T1279" s="2">
        <v>4.8983588605094773E-3</v>
      </c>
      <c r="U1279" s="2">
        <v>7.7316047052134818E-3</v>
      </c>
      <c r="V1279" s="2">
        <v>1.1010466403116849E-2</v>
      </c>
      <c r="W1279" s="2">
        <v>1.4248369458296578E-2</v>
      </c>
      <c r="X1279" s="2">
        <v>1.6883097456565667E-2</v>
      </c>
      <c r="Y1279" s="2">
        <v>1.8440433337105499E-2</v>
      </c>
      <c r="Z1279" s="2">
        <v>1.8671760019440504E-2</v>
      </c>
      <c r="AA1279" s="2">
        <v>1.7615903916616403E-2</v>
      </c>
      <c r="AB1279" s="2">
        <v>1.5553852486017504E-2</v>
      </c>
      <c r="AC1279" s="2">
        <v>1.290231260464156E-2</v>
      </c>
      <c r="AD1279" s="2">
        <v>1.0090405761085721E-2</v>
      </c>
      <c r="AE1279" s="2">
        <v>7.4634544290929803E-3</v>
      </c>
      <c r="AF1279" s="2">
        <v>5.2363702272296185E-3</v>
      </c>
      <c r="AG1279" s="2">
        <v>9.6725866541442595E-4</v>
      </c>
      <c r="AH1279" s="2">
        <v>3.8702647308222634E-4</v>
      </c>
      <c r="AI1279" s="2">
        <v>2.3714525756391599E-4</v>
      </c>
      <c r="AJ1279" s="2">
        <v>1.6115987646090054E-4</v>
      </c>
      <c r="AK1279" s="2">
        <v>0</v>
      </c>
      <c r="AL1279" s="2">
        <v>0</v>
      </c>
      <c r="AM1279" s="2">
        <v>0</v>
      </c>
      <c r="AN1279" s="2">
        <v>0</v>
      </c>
      <c r="AO1279" s="2">
        <v>0</v>
      </c>
      <c r="AP1279" s="2">
        <v>0</v>
      </c>
      <c r="AQ1279" s="2">
        <v>0</v>
      </c>
      <c r="AR1279" s="2">
        <v>0.16519455575434094</v>
      </c>
    </row>
    <row r="1280" spans="1:44" x14ac:dyDescent="0.25">
      <c r="A1280" t="s">
        <v>131</v>
      </c>
      <c r="B1280" t="s">
        <v>237</v>
      </c>
      <c r="C1280" t="s">
        <v>46</v>
      </c>
      <c r="D1280" t="s">
        <v>238</v>
      </c>
      <c r="E1280" t="s">
        <v>134</v>
      </c>
      <c r="F1280" t="s">
        <v>238</v>
      </c>
      <c r="G1280" t="s">
        <v>28</v>
      </c>
      <c r="H1280" t="s">
        <v>54</v>
      </c>
      <c r="I1280" t="s">
        <v>135</v>
      </c>
      <c r="J1280" t="s">
        <v>39</v>
      </c>
      <c r="K1280" t="s">
        <v>28</v>
      </c>
      <c r="L1280">
        <v>3.72</v>
      </c>
      <c r="M1280">
        <v>1</v>
      </c>
      <c r="N1280">
        <v>1.0975767883104532</v>
      </c>
      <c r="O1280">
        <v>3.688844026831072</v>
      </c>
      <c r="P1280">
        <v>0.27234300754259277</v>
      </c>
      <c r="Q1280">
        <v>2.4468562968171641</v>
      </c>
      <c r="R1280">
        <v>-1.4464769027578752</v>
      </c>
      <c r="S1280" s="2">
        <v>0.24292713339614436</v>
      </c>
      <c r="T1280" s="2">
        <v>0.4433080360978523</v>
      </c>
      <c r="U1280" s="2">
        <v>0.70086829000247297</v>
      </c>
      <c r="V1280" s="2">
        <v>0.99997780555172</v>
      </c>
      <c r="W1280" s="2">
        <v>1.2964007129917996</v>
      </c>
      <c r="X1280" s="2">
        <v>1.5387151590355057</v>
      </c>
      <c r="Y1280" s="2">
        <v>1.6832257060017557</v>
      </c>
      <c r="Z1280" s="2">
        <v>1.7066578742816376</v>
      </c>
      <c r="AA1280" s="2">
        <v>1.6120662605411653</v>
      </c>
      <c r="AB1280" s="2">
        <v>1.4248184863934343</v>
      </c>
      <c r="AC1280" s="2">
        <v>1.1829335627598139</v>
      </c>
      <c r="AD1280" s="2">
        <v>0.92577001302977258</v>
      </c>
      <c r="AE1280" s="2">
        <v>0.68512746437914196</v>
      </c>
      <c r="AF1280" s="2">
        <v>0.48088495949197146</v>
      </c>
      <c r="AG1280" s="2">
        <v>9.3258723327464446E-2</v>
      </c>
      <c r="AH1280" s="2">
        <v>3.8796439069943456E-2</v>
      </c>
      <c r="AI1280" s="2">
        <v>2.3771995394872712E-2</v>
      </c>
      <c r="AJ1280" s="2">
        <v>1.6155043033210213E-2</v>
      </c>
      <c r="AK1280" s="2">
        <v>0</v>
      </c>
      <c r="AL1280" s="2">
        <v>0</v>
      </c>
      <c r="AM1280" s="2">
        <v>0</v>
      </c>
      <c r="AN1280" s="2">
        <v>0</v>
      </c>
      <c r="AO1280" s="2">
        <v>0</v>
      </c>
      <c r="AP1280" s="2">
        <v>0</v>
      </c>
      <c r="AQ1280" s="2">
        <v>0</v>
      </c>
      <c r="AR1280" s="2">
        <v>15.095663664779678</v>
      </c>
    </row>
    <row r="1281" spans="1:44" x14ac:dyDescent="0.25">
      <c r="A1281" t="s">
        <v>131</v>
      </c>
      <c r="B1281" t="s">
        <v>237</v>
      </c>
      <c r="C1281" t="s">
        <v>46</v>
      </c>
      <c r="D1281" t="s">
        <v>238</v>
      </c>
      <c r="E1281" t="s">
        <v>134</v>
      </c>
      <c r="F1281" t="s">
        <v>238</v>
      </c>
      <c r="G1281" t="s">
        <v>28</v>
      </c>
      <c r="H1281" t="s">
        <v>142</v>
      </c>
      <c r="I1281" t="s">
        <v>135</v>
      </c>
      <c r="J1281" t="s">
        <v>39</v>
      </c>
      <c r="K1281" t="s">
        <v>28</v>
      </c>
      <c r="L1281">
        <v>3.72</v>
      </c>
      <c r="M1281">
        <v>1</v>
      </c>
      <c r="N1281">
        <v>1.0975767883104532</v>
      </c>
      <c r="O1281">
        <v>3.688844026831072</v>
      </c>
      <c r="P1281">
        <v>0.27234300754259277</v>
      </c>
      <c r="Q1281">
        <v>2.4468562968171641</v>
      </c>
      <c r="R1281">
        <v>-1.4464769027578752</v>
      </c>
      <c r="S1281" s="2">
        <v>0.19470792852605545</v>
      </c>
      <c r="T1281" s="2">
        <v>0.35531473245028866</v>
      </c>
      <c r="U1281" s="2">
        <v>0.56175121736379119</v>
      </c>
      <c r="V1281" s="2">
        <v>0.80148974867085088</v>
      </c>
      <c r="W1281" s="2">
        <v>1.0390749433275981</v>
      </c>
      <c r="X1281" s="2">
        <v>1.2332917983224279</v>
      </c>
      <c r="Y1281" s="2">
        <v>1.3491180909913572</v>
      </c>
      <c r="Z1281" s="2">
        <v>1.3678991504920663</v>
      </c>
      <c r="AA1281" s="2">
        <v>1.2920832590769638</v>
      </c>
      <c r="AB1281" s="2">
        <v>1.1420027566821747</v>
      </c>
      <c r="AC1281" s="2">
        <v>0.94813016713663478</v>
      </c>
      <c r="AD1281" s="2">
        <v>0.74201164360929017</v>
      </c>
      <c r="AE1281" s="2">
        <v>0.54913482697725202</v>
      </c>
      <c r="AF1281" s="2">
        <v>0.38543291979381644</v>
      </c>
      <c r="AG1281" s="2">
        <v>7.4747569702160288E-2</v>
      </c>
      <c r="AH1281" s="2">
        <v>3.1095638350030048E-2</v>
      </c>
      <c r="AI1281" s="2">
        <v>1.9053433494885412E-2</v>
      </c>
      <c r="AJ1281" s="2">
        <v>1.2948388762799138E-2</v>
      </c>
      <c r="AK1281" s="2">
        <v>0</v>
      </c>
      <c r="AL1281" s="2">
        <v>0</v>
      </c>
      <c r="AM1281" s="2">
        <v>0</v>
      </c>
      <c r="AN1281" s="2">
        <v>0</v>
      </c>
      <c r="AO1281" s="2">
        <v>0</v>
      </c>
      <c r="AP1281" s="2">
        <v>0</v>
      </c>
      <c r="AQ1281" s="2">
        <v>0</v>
      </c>
      <c r="AR1281" s="2">
        <v>12.099288213730443</v>
      </c>
    </row>
    <row r="1282" spans="1:44" x14ac:dyDescent="0.25">
      <c r="A1282" t="s">
        <v>131</v>
      </c>
      <c r="B1282" t="s">
        <v>237</v>
      </c>
      <c r="C1282" t="s">
        <v>46</v>
      </c>
      <c r="D1282" t="s">
        <v>238</v>
      </c>
      <c r="E1282" t="s">
        <v>134</v>
      </c>
      <c r="F1282" t="s">
        <v>238</v>
      </c>
      <c r="G1282" t="s">
        <v>28</v>
      </c>
      <c r="H1282" t="s">
        <v>53</v>
      </c>
      <c r="I1282" t="s">
        <v>135</v>
      </c>
      <c r="J1282" t="s">
        <v>39</v>
      </c>
      <c r="K1282" t="s">
        <v>28</v>
      </c>
      <c r="L1282">
        <v>3.72</v>
      </c>
      <c r="M1282">
        <v>1</v>
      </c>
      <c r="N1282">
        <v>1.0975767883104532</v>
      </c>
      <c r="O1282">
        <v>3.688844026831072</v>
      </c>
      <c r="P1282">
        <v>0.27234300754259277</v>
      </c>
      <c r="Q1282">
        <v>2.4468562968171641</v>
      </c>
      <c r="R1282">
        <v>-1.4464769027578752</v>
      </c>
      <c r="S1282" s="2">
        <v>0.10567741258022952</v>
      </c>
      <c r="T1282" s="2">
        <v>0.19284649506174747</v>
      </c>
      <c r="U1282" s="2">
        <v>0.30488956260892852</v>
      </c>
      <c r="V1282" s="2">
        <v>0.43500726185261462</v>
      </c>
      <c r="W1282" s="2">
        <v>0.56395624111996578</v>
      </c>
      <c r="X1282" s="2">
        <v>0.66936712433716739</v>
      </c>
      <c r="Y1282" s="2">
        <v>0.73223165692539671</v>
      </c>
      <c r="Z1282" s="2">
        <v>0.74242504652475616</v>
      </c>
      <c r="AA1282" s="2">
        <v>0.7012760943590024</v>
      </c>
      <c r="AB1282" s="2">
        <v>0.61982014496914528</v>
      </c>
      <c r="AC1282" s="2">
        <v>0.51459611126648153</v>
      </c>
      <c r="AD1282" s="2">
        <v>0.40272561674621288</v>
      </c>
      <c r="AE1282" s="2">
        <v>0.29804203717817485</v>
      </c>
      <c r="AF1282" s="2">
        <v>0.20919309241997835</v>
      </c>
      <c r="AG1282" s="2">
        <v>4.0569122287836976E-2</v>
      </c>
      <c r="AH1282" s="2">
        <v>1.6877107307533161E-2</v>
      </c>
      <c r="AI1282" s="2">
        <v>1.0341220143172165E-2</v>
      </c>
      <c r="AJ1282" s="2">
        <v>7.0277170112896682E-3</v>
      </c>
      <c r="AK1282" s="2">
        <v>0</v>
      </c>
      <c r="AL1282" s="2">
        <v>0</v>
      </c>
      <c r="AM1282" s="2">
        <v>0</v>
      </c>
      <c r="AN1282" s="2">
        <v>0</v>
      </c>
      <c r="AO1282" s="2">
        <v>0</v>
      </c>
      <c r="AP1282" s="2">
        <v>0</v>
      </c>
      <c r="AQ1282" s="2">
        <v>0</v>
      </c>
      <c r="AR1282" s="2">
        <v>6.5668690646996328</v>
      </c>
    </row>
    <row r="1283" spans="1:44" x14ac:dyDescent="0.25">
      <c r="A1283" t="s">
        <v>131</v>
      </c>
      <c r="B1283" t="s">
        <v>237</v>
      </c>
      <c r="C1283" t="s">
        <v>46</v>
      </c>
      <c r="D1283" t="s">
        <v>238</v>
      </c>
      <c r="E1283" t="s">
        <v>134</v>
      </c>
      <c r="F1283" t="s">
        <v>238</v>
      </c>
      <c r="G1283" t="s">
        <v>28</v>
      </c>
      <c r="H1283" t="s">
        <v>141</v>
      </c>
      <c r="I1283" t="s">
        <v>135</v>
      </c>
      <c r="J1283" t="s">
        <v>39</v>
      </c>
      <c r="K1283" t="s">
        <v>28</v>
      </c>
      <c r="L1283">
        <v>3.72</v>
      </c>
      <c r="M1283">
        <v>1</v>
      </c>
      <c r="N1283">
        <v>1.0975767883104532</v>
      </c>
      <c r="O1283">
        <v>3.688844026831072</v>
      </c>
      <c r="P1283">
        <v>0.27234300754259277</v>
      </c>
      <c r="Q1283">
        <v>2.4468562968171641</v>
      </c>
      <c r="R1283">
        <v>-1.4464769027578752</v>
      </c>
      <c r="S1283" s="2">
        <v>8.8945155588359873E-2</v>
      </c>
      <c r="T1283" s="2">
        <v>0.16231246667697072</v>
      </c>
      <c r="U1283" s="2">
        <v>0.25661538186251487</v>
      </c>
      <c r="V1283" s="2">
        <v>0.36613111205928395</v>
      </c>
      <c r="W1283" s="2">
        <v>0.47466316960930444</v>
      </c>
      <c r="X1283" s="2">
        <v>0.56338399631711589</v>
      </c>
      <c r="Y1283" s="2">
        <v>0.61629497791220877</v>
      </c>
      <c r="Z1283" s="2">
        <v>0.62487441415833622</v>
      </c>
      <c r="AA1283" s="2">
        <v>0.59024071275216006</v>
      </c>
      <c r="AB1283" s="2">
        <v>0.52168195534903061</v>
      </c>
      <c r="AC1283" s="2">
        <v>0.43311839364928845</v>
      </c>
      <c r="AD1283" s="2">
        <v>0.33896072742806244</v>
      </c>
      <c r="AE1283" s="2">
        <v>0.25085204795829713</v>
      </c>
      <c r="AF1283" s="2">
        <v>0.17607085278681509</v>
      </c>
      <c r="AG1283" s="2">
        <v>3.4145677925595815E-2</v>
      </c>
      <c r="AH1283" s="2">
        <v>1.4204898650507074E-2</v>
      </c>
      <c r="AI1283" s="2">
        <v>8.7038602871699067E-3</v>
      </c>
      <c r="AJ1283" s="2">
        <v>5.9149951511688033E-3</v>
      </c>
      <c r="AK1283" s="2">
        <v>0</v>
      </c>
      <c r="AL1283" s="2">
        <v>0</v>
      </c>
      <c r="AM1283" s="2">
        <v>0</v>
      </c>
      <c r="AN1283" s="2">
        <v>0</v>
      </c>
      <c r="AO1283" s="2">
        <v>0</v>
      </c>
      <c r="AP1283" s="2">
        <v>0</v>
      </c>
      <c r="AQ1283" s="2">
        <v>0</v>
      </c>
      <c r="AR1283" s="2">
        <v>5.5271147961221896</v>
      </c>
    </row>
    <row r="1284" spans="1:44" x14ac:dyDescent="0.25">
      <c r="A1284" t="s">
        <v>131</v>
      </c>
      <c r="B1284" t="s">
        <v>237</v>
      </c>
      <c r="C1284" t="s">
        <v>46</v>
      </c>
      <c r="D1284" t="s">
        <v>238</v>
      </c>
      <c r="E1284" t="s">
        <v>134</v>
      </c>
      <c r="F1284" t="s">
        <v>238</v>
      </c>
      <c r="G1284" t="s">
        <v>28</v>
      </c>
      <c r="H1284" t="s">
        <v>52</v>
      </c>
      <c r="I1284" t="s">
        <v>135</v>
      </c>
      <c r="J1284" t="s">
        <v>39</v>
      </c>
      <c r="K1284" t="s">
        <v>28</v>
      </c>
      <c r="L1284">
        <v>3.72</v>
      </c>
      <c r="M1284">
        <v>1</v>
      </c>
      <c r="N1284">
        <v>1.0975767883104532</v>
      </c>
      <c r="O1284">
        <v>3.688844026831072</v>
      </c>
      <c r="P1284">
        <v>0.27234300754259277</v>
      </c>
      <c r="Q1284">
        <v>2.4468562968171641</v>
      </c>
      <c r="R1284">
        <v>-1.4464769027578752</v>
      </c>
      <c r="S1284" s="2">
        <v>1.1185208360888819</v>
      </c>
      <c r="T1284" s="2">
        <v>2.0325588372604324</v>
      </c>
      <c r="U1284" s="2">
        <v>3.2082054249801328</v>
      </c>
      <c r="V1284" s="2">
        <v>4.5687589307588121</v>
      </c>
      <c r="W1284" s="2">
        <v>5.9123167746023721</v>
      </c>
      <c r="X1284" s="2">
        <v>7.0055889968221905</v>
      </c>
      <c r="Y1284" s="2">
        <v>7.6518006968454841</v>
      </c>
      <c r="Z1284" s="2">
        <v>7.7477889871818206</v>
      </c>
      <c r="AA1284" s="2">
        <v>7.30966476766572</v>
      </c>
      <c r="AB1284" s="2">
        <v>6.4540229134236684</v>
      </c>
      <c r="AC1284" s="2">
        <v>5.3537746523808689</v>
      </c>
      <c r="AD1284" s="2">
        <v>4.1869826170933484</v>
      </c>
      <c r="AE1284" s="2">
        <v>3.096937298457882</v>
      </c>
      <c r="AF1284" s="2">
        <v>2.1728156069430935</v>
      </c>
      <c r="AG1284" s="2">
        <v>0.40136098727979908</v>
      </c>
      <c r="AH1284" s="2">
        <v>0.16059543625090711</v>
      </c>
      <c r="AI1284" s="2">
        <v>9.8402690105437632E-2</v>
      </c>
      <c r="AJ1284" s="2">
        <v>6.6872791569691697E-2</v>
      </c>
      <c r="AK1284" s="2">
        <v>0</v>
      </c>
      <c r="AL1284" s="2">
        <v>0</v>
      </c>
      <c r="AM1284" s="2">
        <v>0</v>
      </c>
      <c r="AN1284" s="2">
        <v>0</v>
      </c>
      <c r="AO1284" s="2">
        <v>0</v>
      </c>
      <c r="AP1284" s="2">
        <v>0</v>
      </c>
      <c r="AQ1284" s="2">
        <v>0</v>
      </c>
      <c r="AR1284" s="2">
        <v>68.546969245710542</v>
      </c>
    </row>
    <row r="1285" spans="1:44" x14ac:dyDescent="0.25">
      <c r="A1285" t="s">
        <v>131</v>
      </c>
      <c r="B1285" t="s">
        <v>237</v>
      </c>
      <c r="C1285" t="s">
        <v>46</v>
      </c>
      <c r="D1285" t="s">
        <v>238</v>
      </c>
      <c r="E1285" t="s">
        <v>134</v>
      </c>
      <c r="F1285" t="s">
        <v>238</v>
      </c>
      <c r="G1285" t="s">
        <v>28</v>
      </c>
      <c r="H1285" t="s">
        <v>138</v>
      </c>
      <c r="I1285" t="s">
        <v>135</v>
      </c>
      <c r="J1285" t="s">
        <v>39</v>
      </c>
      <c r="K1285" t="s">
        <v>28</v>
      </c>
      <c r="L1285">
        <v>3.72</v>
      </c>
      <c r="M1285">
        <v>1</v>
      </c>
      <c r="N1285">
        <v>1.0975767883104532</v>
      </c>
      <c r="O1285">
        <v>3.688844026831072</v>
      </c>
      <c r="P1285">
        <v>0.27234300754259277</v>
      </c>
      <c r="Q1285">
        <v>2.4468562968171641</v>
      </c>
      <c r="R1285">
        <v>-1.4464769027578752</v>
      </c>
      <c r="S1285" s="2">
        <v>0.38799593505908975</v>
      </c>
      <c r="T1285" s="2">
        <v>0.70506023775386395</v>
      </c>
      <c r="U1285" s="2">
        <v>1.1128721285867016</v>
      </c>
      <c r="V1285" s="2">
        <v>1.5848250977583678</v>
      </c>
      <c r="W1285" s="2">
        <v>2.0508825596388829</v>
      </c>
      <c r="X1285" s="2">
        <v>2.4301201781508017</v>
      </c>
      <c r="Y1285" s="2">
        <v>2.6542800728143443</v>
      </c>
      <c r="Z1285" s="2">
        <v>2.6875767850991128</v>
      </c>
      <c r="AA1285" s="2">
        <v>2.5355989133076622</v>
      </c>
      <c r="AB1285" s="2">
        <v>2.2387912450006606</v>
      </c>
      <c r="AC1285" s="2">
        <v>1.8571337567654427</v>
      </c>
      <c r="AD1285" s="2">
        <v>1.4523933602129138</v>
      </c>
      <c r="AE1285" s="2">
        <v>1.0742750999044013</v>
      </c>
      <c r="AF1285" s="2">
        <v>0.75371293580433396</v>
      </c>
      <c r="AG1285" s="2">
        <v>0.13922532914128821</v>
      </c>
      <c r="AH1285" s="2">
        <v>5.5707837032587693E-2</v>
      </c>
      <c r="AI1285" s="2">
        <v>3.4134226675018517E-2</v>
      </c>
      <c r="AJ1285" s="2">
        <v>2.3197038855190675E-2</v>
      </c>
      <c r="AK1285" s="2">
        <v>0</v>
      </c>
      <c r="AL1285" s="2">
        <v>0</v>
      </c>
      <c r="AM1285" s="2">
        <v>0</v>
      </c>
      <c r="AN1285" s="2">
        <v>0</v>
      </c>
      <c r="AO1285" s="2">
        <v>0</v>
      </c>
      <c r="AP1285" s="2">
        <v>0</v>
      </c>
      <c r="AQ1285" s="2">
        <v>0</v>
      </c>
      <c r="AR1285" s="2">
        <v>23.777782737560667</v>
      </c>
    </row>
    <row r="1286" spans="1:44" x14ac:dyDescent="0.25">
      <c r="A1286" t="s">
        <v>131</v>
      </c>
      <c r="B1286" t="s">
        <v>169</v>
      </c>
      <c r="C1286" t="s">
        <v>44</v>
      </c>
      <c r="D1286" t="s">
        <v>170</v>
      </c>
      <c r="E1286" t="s">
        <v>134</v>
      </c>
      <c r="F1286" t="s">
        <v>170</v>
      </c>
      <c r="G1286" t="s">
        <v>28</v>
      </c>
      <c r="H1286" t="s">
        <v>54</v>
      </c>
      <c r="I1286" t="s">
        <v>135</v>
      </c>
      <c r="J1286" t="s">
        <v>39</v>
      </c>
      <c r="K1286" t="s">
        <v>28</v>
      </c>
      <c r="L1286">
        <v>0.18512678951486083</v>
      </c>
      <c r="M1286">
        <v>0</v>
      </c>
      <c r="N1286">
        <v>6.2430348562854286E-3</v>
      </c>
      <c r="O1286">
        <v>3.7403155854968446</v>
      </c>
      <c r="P1286">
        <v>434.00531046353086</v>
      </c>
      <c r="Q1286">
        <v>436.17982375280542</v>
      </c>
      <c r="R1286">
        <v>-1.4464769027578743</v>
      </c>
      <c r="S1286" s="2">
        <v>0</v>
      </c>
      <c r="T1286" s="2">
        <v>0</v>
      </c>
      <c r="U1286" s="2">
        <v>0</v>
      </c>
      <c r="V1286" s="2">
        <v>0</v>
      </c>
      <c r="W1286" s="2">
        <v>0</v>
      </c>
      <c r="X1286" s="2">
        <v>0</v>
      </c>
      <c r="Y1286" s="2">
        <v>0</v>
      </c>
      <c r="Z1286" s="2">
        <v>0</v>
      </c>
      <c r="AA1286" s="2">
        <v>0</v>
      </c>
      <c r="AB1286" s="2">
        <v>0</v>
      </c>
      <c r="AC1286" s="2">
        <v>0</v>
      </c>
      <c r="AD1286" s="2">
        <v>0</v>
      </c>
      <c r="AE1286" s="2">
        <v>0</v>
      </c>
      <c r="AF1286" s="2">
        <v>0</v>
      </c>
      <c r="AG1286" s="2">
        <v>0</v>
      </c>
      <c r="AH1286" s="2">
        <v>0</v>
      </c>
      <c r="AI1286" s="2">
        <v>0</v>
      </c>
      <c r="AJ1286" s="2">
        <v>0</v>
      </c>
      <c r="AK1286" s="2">
        <v>0</v>
      </c>
      <c r="AL1286" s="2">
        <v>0</v>
      </c>
      <c r="AM1286" s="2">
        <v>0</v>
      </c>
      <c r="AN1286" s="2">
        <v>0</v>
      </c>
      <c r="AO1286" s="2">
        <v>0</v>
      </c>
      <c r="AP1286" s="2">
        <v>0</v>
      </c>
      <c r="AQ1286" s="2">
        <v>0</v>
      </c>
      <c r="AR1286" s="2">
        <v>0</v>
      </c>
    </row>
    <row r="1287" spans="1:44" x14ac:dyDescent="0.25">
      <c r="A1287" t="s">
        <v>131</v>
      </c>
      <c r="B1287" t="s">
        <v>169</v>
      </c>
      <c r="C1287" t="s">
        <v>44</v>
      </c>
      <c r="D1287" t="s">
        <v>170</v>
      </c>
      <c r="E1287" t="s">
        <v>134</v>
      </c>
      <c r="F1287" t="s">
        <v>170</v>
      </c>
      <c r="G1287" t="s">
        <v>28</v>
      </c>
      <c r="H1287" t="s">
        <v>142</v>
      </c>
      <c r="I1287" t="s">
        <v>135</v>
      </c>
      <c r="J1287" t="s">
        <v>39</v>
      </c>
      <c r="K1287" t="s">
        <v>28</v>
      </c>
      <c r="L1287">
        <v>0.18512678951486083</v>
      </c>
      <c r="M1287">
        <v>0</v>
      </c>
      <c r="N1287">
        <v>6.2430348562854286E-3</v>
      </c>
      <c r="O1287">
        <v>3.7403155854968446</v>
      </c>
      <c r="P1287">
        <v>434.00531046353086</v>
      </c>
      <c r="Q1287">
        <v>436.17982375280542</v>
      </c>
      <c r="R1287">
        <v>-1.4464769027578743</v>
      </c>
      <c r="S1287" s="2">
        <v>0</v>
      </c>
      <c r="T1287" s="2">
        <v>0</v>
      </c>
      <c r="U1287" s="2">
        <v>0</v>
      </c>
      <c r="V1287" s="2">
        <v>0</v>
      </c>
      <c r="W1287" s="2">
        <v>0</v>
      </c>
      <c r="X1287" s="2">
        <v>0</v>
      </c>
      <c r="Y1287" s="2">
        <v>0</v>
      </c>
      <c r="Z1287" s="2">
        <v>0</v>
      </c>
      <c r="AA1287" s="2">
        <v>0</v>
      </c>
      <c r="AB1287" s="2">
        <v>0</v>
      </c>
      <c r="AC1287" s="2">
        <v>0</v>
      </c>
      <c r="AD1287" s="2">
        <v>0</v>
      </c>
      <c r="AE1287" s="2">
        <v>0</v>
      </c>
      <c r="AF1287" s="2">
        <v>0</v>
      </c>
      <c r="AG1287" s="2">
        <v>0</v>
      </c>
      <c r="AH1287" s="2">
        <v>0</v>
      </c>
      <c r="AI1287" s="2">
        <v>0</v>
      </c>
      <c r="AJ1287" s="2">
        <v>0</v>
      </c>
      <c r="AK1287" s="2">
        <v>0</v>
      </c>
      <c r="AL1287" s="2">
        <v>0</v>
      </c>
      <c r="AM1287" s="2">
        <v>0</v>
      </c>
      <c r="AN1287" s="2">
        <v>0</v>
      </c>
      <c r="AO1287" s="2">
        <v>0</v>
      </c>
      <c r="AP1287" s="2">
        <v>0</v>
      </c>
      <c r="AQ1287" s="2">
        <v>0</v>
      </c>
      <c r="AR1287" s="2">
        <v>0</v>
      </c>
    </row>
    <row r="1288" spans="1:44" x14ac:dyDescent="0.25">
      <c r="A1288" t="s">
        <v>131</v>
      </c>
      <c r="B1288" t="s">
        <v>169</v>
      </c>
      <c r="C1288" t="s">
        <v>44</v>
      </c>
      <c r="D1288" t="s">
        <v>170</v>
      </c>
      <c r="E1288" t="s">
        <v>134</v>
      </c>
      <c r="F1288" t="s">
        <v>170</v>
      </c>
      <c r="G1288" t="s">
        <v>28</v>
      </c>
      <c r="H1288" t="s">
        <v>53</v>
      </c>
      <c r="I1288" t="s">
        <v>135</v>
      </c>
      <c r="J1288" t="s">
        <v>39</v>
      </c>
      <c r="K1288" t="s">
        <v>28</v>
      </c>
      <c r="L1288">
        <v>0.18512678951486083</v>
      </c>
      <c r="M1288">
        <v>0</v>
      </c>
      <c r="N1288">
        <v>6.2430348562854286E-3</v>
      </c>
      <c r="O1288">
        <v>3.7403155854968446</v>
      </c>
      <c r="P1288">
        <v>434.00531046353086</v>
      </c>
      <c r="Q1288">
        <v>436.17982375280542</v>
      </c>
      <c r="R1288">
        <v>-1.4464769027578743</v>
      </c>
      <c r="S1288" s="2">
        <v>1.4403742663891404E-2</v>
      </c>
      <c r="T1288" s="2">
        <v>1.4394225954000301E-2</v>
      </c>
      <c r="U1288" s="2">
        <v>1.4383104244088528E-2</v>
      </c>
      <c r="V1288" s="2">
        <v>1.2932938971838342E-2</v>
      </c>
      <c r="W1288" s="2">
        <v>1.033539052845381E-2</v>
      </c>
      <c r="X1288" s="2">
        <v>8.2583887285496115E-3</v>
      </c>
      <c r="Y1288" s="2">
        <v>6.5978669182179322E-3</v>
      </c>
      <c r="Z1288" s="2">
        <v>5.2705194542677497E-3</v>
      </c>
      <c r="AA1288" s="2">
        <v>4.2096545421928212E-3</v>
      </c>
      <c r="AB1288" s="2">
        <v>3.3618940686568465E-3</v>
      </c>
      <c r="AC1288" s="2">
        <v>2.6845249139138649E-3</v>
      </c>
      <c r="AD1288" s="2">
        <v>5.9493896557267665E-4</v>
      </c>
      <c r="AE1288" s="2">
        <v>0</v>
      </c>
      <c r="AF1288" s="2">
        <v>0</v>
      </c>
      <c r="AG1288" s="2">
        <v>0</v>
      </c>
      <c r="AH1288" s="2">
        <v>0</v>
      </c>
      <c r="AI1288" s="2">
        <v>0</v>
      </c>
      <c r="AJ1288" s="2">
        <v>0</v>
      </c>
      <c r="AK1288" s="2">
        <v>0</v>
      </c>
      <c r="AL1288" s="2">
        <v>0</v>
      </c>
      <c r="AM1288" s="2">
        <v>0</v>
      </c>
      <c r="AN1288" s="2">
        <v>0</v>
      </c>
      <c r="AO1288" s="2">
        <v>0</v>
      </c>
      <c r="AP1288" s="2">
        <v>0</v>
      </c>
      <c r="AQ1288" s="2">
        <v>0</v>
      </c>
      <c r="AR1288" s="2">
        <v>9.7427189953643883E-2</v>
      </c>
    </row>
    <row r="1289" spans="1:44" x14ac:dyDescent="0.25">
      <c r="A1289" t="s">
        <v>131</v>
      </c>
      <c r="B1289" t="s">
        <v>169</v>
      </c>
      <c r="C1289" t="s">
        <v>44</v>
      </c>
      <c r="D1289" t="s">
        <v>170</v>
      </c>
      <c r="E1289" t="s">
        <v>134</v>
      </c>
      <c r="F1289" t="s">
        <v>170</v>
      </c>
      <c r="G1289" t="s">
        <v>28</v>
      </c>
      <c r="H1289" t="s">
        <v>141</v>
      </c>
      <c r="I1289" t="s">
        <v>135</v>
      </c>
      <c r="J1289" t="s">
        <v>39</v>
      </c>
      <c r="K1289" t="s">
        <v>28</v>
      </c>
      <c r="L1289">
        <v>0.18512678951486083</v>
      </c>
      <c r="M1289">
        <v>0</v>
      </c>
      <c r="N1289">
        <v>6.2430348562854286E-3</v>
      </c>
      <c r="O1289">
        <v>3.7403155854968446</v>
      </c>
      <c r="P1289">
        <v>434.00531046353086</v>
      </c>
      <c r="Q1289">
        <v>436.17982375280542</v>
      </c>
      <c r="R1289">
        <v>-1.4464769027578743</v>
      </c>
      <c r="S1289" s="2">
        <v>1.2123150075441935E-2</v>
      </c>
      <c r="T1289" s="2">
        <v>1.2115140177950253E-2</v>
      </c>
      <c r="U1289" s="2">
        <v>1.2105779405441176E-2</v>
      </c>
      <c r="V1289" s="2">
        <v>1.0885223634630601E-2</v>
      </c>
      <c r="W1289" s="2">
        <v>8.6989536947819548E-3</v>
      </c>
      <c r="X1289" s="2">
        <v>6.9508105131959241E-3</v>
      </c>
      <c r="Y1289" s="2">
        <v>5.5532046561667598E-3</v>
      </c>
      <c r="Z1289" s="2">
        <v>4.4360205406753549E-3</v>
      </c>
      <c r="AA1289" s="2">
        <v>3.5431259063456234E-3</v>
      </c>
      <c r="AB1289" s="2">
        <v>2.8295941744528458E-3</v>
      </c>
      <c r="AC1289" s="2">
        <v>2.2594751358775023E-3</v>
      </c>
      <c r="AD1289" s="2">
        <v>5.0074029602364424E-4</v>
      </c>
      <c r="AE1289" s="2">
        <v>0</v>
      </c>
      <c r="AF1289" s="2">
        <v>0</v>
      </c>
      <c r="AG1289" s="2">
        <v>0</v>
      </c>
      <c r="AH1289" s="2">
        <v>0</v>
      </c>
      <c r="AI1289" s="2">
        <v>0</v>
      </c>
      <c r="AJ1289" s="2">
        <v>0</v>
      </c>
      <c r="AK1289" s="2">
        <v>0</v>
      </c>
      <c r="AL1289" s="2">
        <v>0</v>
      </c>
      <c r="AM1289" s="2">
        <v>0</v>
      </c>
      <c r="AN1289" s="2">
        <v>0</v>
      </c>
      <c r="AO1289" s="2">
        <v>0</v>
      </c>
      <c r="AP1289" s="2">
        <v>0</v>
      </c>
      <c r="AQ1289" s="2">
        <v>0</v>
      </c>
      <c r="AR1289" s="2">
        <v>8.2001218210983606E-2</v>
      </c>
    </row>
    <row r="1290" spans="1:44" x14ac:dyDescent="0.25">
      <c r="A1290" t="s">
        <v>131</v>
      </c>
      <c r="B1290" t="s">
        <v>194</v>
      </c>
      <c r="C1290" t="s">
        <v>44</v>
      </c>
      <c r="D1290" t="s">
        <v>191</v>
      </c>
      <c r="E1290" t="s">
        <v>134</v>
      </c>
      <c r="F1290" t="s">
        <v>192</v>
      </c>
      <c r="G1290" t="s">
        <v>28</v>
      </c>
      <c r="H1290" t="s">
        <v>55</v>
      </c>
      <c r="I1290" t="s">
        <v>135</v>
      </c>
      <c r="J1290" t="s">
        <v>39</v>
      </c>
      <c r="K1290" t="s">
        <v>28</v>
      </c>
      <c r="L1290">
        <v>0.04</v>
      </c>
      <c r="M1290">
        <v>1</v>
      </c>
      <c r="N1290">
        <v>1.3188966528496373</v>
      </c>
      <c r="O1290">
        <v>3.8461052289768833</v>
      </c>
      <c r="P1290">
        <v>-0.13956329883334065</v>
      </c>
      <c r="Q1290">
        <v>2.1230659331929727</v>
      </c>
      <c r="R1290">
        <v>-1.5345928455096165</v>
      </c>
      <c r="S1290" s="2">
        <v>5.4841251689243054E-3</v>
      </c>
      <c r="T1290" s="2">
        <v>8.9147872564929887E-3</v>
      </c>
      <c r="U1290" s="2">
        <v>1.3520946858461282E-2</v>
      </c>
      <c r="V1290" s="2">
        <v>1.93471506554828E-2</v>
      </c>
      <c r="W1290" s="2">
        <v>2.6289558046456767E-2</v>
      </c>
      <c r="X1290" s="2">
        <v>3.4039858344905256E-2</v>
      </c>
      <c r="Y1290" s="2">
        <v>4.2045079037700252E-2</v>
      </c>
      <c r="Z1290" s="2">
        <v>4.950811098896115E-2</v>
      </c>
      <c r="AA1290" s="2">
        <v>5.5455816904904892E-2</v>
      </c>
      <c r="AB1290" s="2">
        <v>5.8892427885985005E-2</v>
      </c>
      <c r="AC1290" s="2">
        <v>5.9028566082057685E-2</v>
      </c>
      <c r="AD1290" s="2">
        <v>5.5534362548157981E-2</v>
      </c>
      <c r="AE1290" s="2">
        <v>4.8724775806998091E-2</v>
      </c>
      <c r="AF1290" s="2">
        <v>4.0205687249522754E-2</v>
      </c>
      <c r="AG1290" s="2">
        <v>3.0673974258309748E-2</v>
      </c>
      <c r="AH1290" s="2">
        <v>2.101663435433769E-2</v>
      </c>
      <c r="AI1290" s="2">
        <v>0</v>
      </c>
      <c r="AJ1290" s="2">
        <v>0</v>
      </c>
      <c r="AK1290" s="2">
        <v>0</v>
      </c>
      <c r="AL1290" s="2">
        <v>0</v>
      </c>
      <c r="AM1290" s="2">
        <v>0</v>
      </c>
      <c r="AN1290" s="2">
        <v>0</v>
      </c>
      <c r="AO1290" s="2">
        <v>0</v>
      </c>
      <c r="AP1290" s="2">
        <v>0</v>
      </c>
      <c r="AQ1290" s="2">
        <v>0</v>
      </c>
      <c r="AR1290" s="2">
        <v>0.56868186144765853</v>
      </c>
    </row>
    <row r="1291" spans="1:44" x14ac:dyDescent="0.25">
      <c r="A1291" t="s">
        <v>131</v>
      </c>
      <c r="B1291" t="s">
        <v>194</v>
      </c>
      <c r="C1291" t="s">
        <v>44</v>
      </c>
      <c r="D1291" t="s">
        <v>191</v>
      </c>
      <c r="E1291" t="s">
        <v>134</v>
      </c>
      <c r="F1291" t="s">
        <v>192</v>
      </c>
      <c r="G1291" t="s">
        <v>28</v>
      </c>
      <c r="H1291" t="s">
        <v>136</v>
      </c>
      <c r="I1291" t="s">
        <v>135</v>
      </c>
      <c r="J1291" t="s">
        <v>39</v>
      </c>
      <c r="K1291" t="s">
        <v>28</v>
      </c>
      <c r="L1291">
        <v>0.04</v>
      </c>
      <c r="M1291">
        <v>1</v>
      </c>
      <c r="N1291">
        <v>1.3188966528496373</v>
      </c>
      <c r="O1291">
        <v>3.8461052289768833</v>
      </c>
      <c r="P1291">
        <v>-0.13956329883334065</v>
      </c>
      <c r="Q1291">
        <v>2.1230659331929727</v>
      </c>
      <c r="R1291">
        <v>-1.5345928455096165</v>
      </c>
      <c r="S1291" s="2">
        <v>6.8856238232049621E-3</v>
      </c>
      <c r="T1291" s="2">
        <v>1.1193010666485639E-2</v>
      </c>
      <c r="U1291" s="2">
        <v>1.69762999445125E-2</v>
      </c>
      <c r="V1291" s="2">
        <v>2.4291422489661742E-2</v>
      </c>
      <c r="W1291" s="2">
        <v>3.3008000658329054E-2</v>
      </c>
      <c r="X1291" s="2">
        <v>4.2738933255269944E-2</v>
      </c>
      <c r="Y1291" s="2">
        <v>5.2789932569556983E-2</v>
      </c>
      <c r="Z1291" s="2">
        <v>6.216018379725121E-2</v>
      </c>
      <c r="AA1291" s="2">
        <v>6.962785900282506E-2</v>
      </c>
      <c r="AB1291" s="2">
        <v>7.3942715012403362E-2</v>
      </c>
      <c r="AC1291" s="2">
        <v>7.4113644080805743E-2</v>
      </c>
      <c r="AD1291" s="2">
        <v>6.9726477421576144E-2</v>
      </c>
      <c r="AE1291" s="2">
        <v>6.1176662957675383E-2</v>
      </c>
      <c r="AF1291" s="2">
        <v>5.0480473991067434E-2</v>
      </c>
      <c r="AG1291" s="2">
        <v>3.85128787909889E-2</v>
      </c>
      <c r="AH1291" s="2">
        <v>2.6387552022668403E-2</v>
      </c>
      <c r="AI1291" s="2">
        <v>0</v>
      </c>
      <c r="AJ1291" s="2">
        <v>0</v>
      </c>
      <c r="AK1291" s="2">
        <v>0</v>
      </c>
      <c r="AL1291" s="2">
        <v>0</v>
      </c>
      <c r="AM1291" s="2">
        <v>0</v>
      </c>
      <c r="AN1291" s="2">
        <v>0</v>
      </c>
      <c r="AO1291" s="2">
        <v>0</v>
      </c>
      <c r="AP1291" s="2">
        <v>0</v>
      </c>
      <c r="AQ1291" s="2">
        <v>0</v>
      </c>
      <c r="AR1291" s="2">
        <v>0.71401167048428238</v>
      </c>
    </row>
    <row r="1292" spans="1:44" x14ac:dyDescent="0.25">
      <c r="A1292" t="s">
        <v>131</v>
      </c>
      <c r="B1292" t="s">
        <v>198</v>
      </c>
      <c r="C1292" t="s">
        <v>44</v>
      </c>
      <c r="D1292" t="s">
        <v>191</v>
      </c>
      <c r="E1292" t="s">
        <v>134</v>
      </c>
      <c r="F1292" t="s">
        <v>196</v>
      </c>
      <c r="G1292" t="s">
        <v>28</v>
      </c>
      <c r="H1292" t="s">
        <v>55</v>
      </c>
      <c r="I1292" t="s">
        <v>135</v>
      </c>
      <c r="J1292" t="s">
        <v>39</v>
      </c>
      <c r="K1292" t="s">
        <v>28</v>
      </c>
      <c r="L1292">
        <v>0.02</v>
      </c>
      <c r="M1292">
        <v>0</v>
      </c>
      <c r="N1292">
        <v>-3.8181723353430251E-2</v>
      </c>
      <c r="O1292">
        <v>3.8057611178016471</v>
      </c>
      <c r="P1292">
        <v>-74.800242939593787</v>
      </c>
      <c r="Q1292">
        <v>-72.566985688484721</v>
      </c>
      <c r="R1292">
        <v>-1.5052208645923697</v>
      </c>
      <c r="S1292" s="2">
        <v>8.8731317618431533E-4</v>
      </c>
      <c r="T1292" s="2">
        <v>1.4423828690835322E-3</v>
      </c>
      <c r="U1292" s="2">
        <v>2.1876441424027266E-3</v>
      </c>
      <c r="V1292" s="2">
        <v>3.1303045006173978E-3</v>
      </c>
      <c r="W1292" s="2">
        <v>4.2535628805239339E-3</v>
      </c>
      <c r="X1292" s="2">
        <v>5.5075356405124651E-3</v>
      </c>
      <c r="Y1292" s="2">
        <v>6.8027536707700774E-3</v>
      </c>
      <c r="Z1292" s="2">
        <v>8.0102473695211618E-3</v>
      </c>
      <c r="AA1292" s="2">
        <v>8.9725663656649787E-3</v>
      </c>
      <c r="AB1292" s="2">
        <v>9.5285985697093328E-3</v>
      </c>
      <c r="AC1292" s="2">
        <v>9.5506252761458944E-3</v>
      </c>
      <c r="AD1292" s="2">
        <v>8.9852747889856716E-3</v>
      </c>
      <c r="AE1292" s="2">
        <v>7.8835063475869577E-3</v>
      </c>
      <c r="AF1292" s="2">
        <v>6.5051462093168822E-3</v>
      </c>
      <c r="AG1292" s="2">
        <v>4.962946812294468E-3</v>
      </c>
      <c r="AH1292" s="2">
        <v>3.4004213994462272E-3</v>
      </c>
      <c r="AI1292" s="2">
        <v>0</v>
      </c>
      <c r="AJ1292" s="2">
        <v>0</v>
      </c>
      <c r="AK1292" s="2">
        <v>0</v>
      </c>
      <c r="AL1292" s="2">
        <v>0</v>
      </c>
      <c r="AM1292" s="2">
        <v>0</v>
      </c>
      <c r="AN1292" s="2">
        <v>0</v>
      </c>
      <c r="AO1292" s="2">
        <v>0</v>
      </c>
      <c r="AP1292" s="2">
        <v>0</v>
      </c>
      <c r="AQ1292" s="2">
        <v>0</v>
      </c>
      <c r="AR1292" s="2">
        <v>9.2010830018766018E-2</v>
      </c>
    </row>
    <row r="1293" spans="1:44" x14ac:dyDescent="0.25">
      <c r="A1293" t="s">
        <v>131</v>
      </c>
      <c r="B1293" t="s">
        <v>198</v>
      </c>
      <c r="C1293" t="s">
        <v>44</v>
      </c>
      <c r="D1293" t="s">
        <v>191</v>
      </c>
      <c r="E1293" t="s">
        <v>134</v>
      </c>
      <c r="F1293" t="s">
        <v>196</v>
      </c>
      <c r="G1293" t="s">
        <v>28</v>
      </c>
      <c r="H1293" t="s">
        <v>136</v>
      </c>
      <c r="I1293" t="s">
        <v>135</v>
      </c>
      <c r="J1293" t="s">
        <v>39</v>
      </c>
      <c r="K1293" t="s">
        <v>28</v>
      </c>
      <c r="L1293">
        <v>0.02</v>
      </c>
      <c r="M1293">
        <v>0</v>
      </c>
      <c r="N1293">
        <v>-3.8181723353430251E-2</v>
      </c>
      <c r="O1293">
        <v>3.8057611178016471</v>
      </c>
      <c r="P1293">
        <v>-74.800242939593787</v>
      </c>
      <c r="Q1293">
        <v>-72.566985688484721</v>
      </c>
      <c r="R1293">
        <v>-1.5052208645923697</v>
      </c>
      <c r="S1293" s="2">
        <v>1.1140709878758627E-3</v>
      </c>
      <c r="T1293" s="2">
        <v>1.8109918245159905E-3</v>
      </c>
      <c r="U1293" s="2">
        <v>2.7467087565723118E-3</v>
      </c>
      <c r="V1293" s="2">
        <v>3.9302712063307328E-3</v>
      </c>
      <c r="W1293" s="2">
        <v>5.3405845055467171E-3</v>
      </c>
      <c r="X1293" s="2">
        <v>6.9150169708656522E-3</v>
      </c>
      <c r="Y1293" s="2">
        <v>8.5412351644113191E-3</v>
      </c>
      <c r="Z1293" s="2">
        <v>1.0057310586176567E-2</v>
      </c>
      <c r="AA1293" s="2">
        <v>1.1265555548001589E-2</v>
      </c>
      <c r="AB1293" s="2">
        <v>1.1963684870857269E-2</v>
      </c>
      <c r="AC1293" s="2">
        <v>1.1991340624494284E-2</v>
      </c>
      <c r="AD1293" s="2">
        <v>1.1281511679504232E-2</v>
      </c>
      <c r="AE1293" s="2">
        <v>9.8981801919702916E-3</v>
      </c>
      <c r="AF1293" s="2">
        <v>8.1675724628089731E-3</v>
      </c>
      <c r="AG1293" s="2">
        <v>6.2312554421030545E-3</v>
      </c>
      <c r="AH1293" s="2">
        <v>4.2694179793046827E-3</v>
      </c>
      <c r="AI1293" s="2">
        <v>0</v>
      </c>
      <c r="AJ1293" s="2">
        <v>0</v>
      </c>
      <c r="AK1293" s="2">
        <v>0</v>
      </c>
      <c r="AL1293" s="2">
        <v>0</v>
      </c>
      <c r="AM1293" s="2">
        <v>0</v>
      </c>
      <c r="AN1293" s="2">
        <v>0</v>
      </c>
      <c r="AO1293" s="2">
        <v>0</v>
      </c>
      <c r="AP1293" s="2">
        <v>0</v>
      </c>
      <c r="AQ1293" s="2">
        <v>0</v>
      </c>
      <c r="AR1293" s="2">
        <v>0.11552470880133954</v>
      </c>
    </row>
    <row r="1294" spans="1:44" x14ac:dyDescent="0.25">
      <c r="A1294" t="s">
        <v>131</v>
      </c>
      <c r="B1294" t="s">
        <v>193</v>
      </c>
      <c r="C1294" t="s">
        <v>44</v>
      </c>
      <c r="D1294" t="s">
        <v>191</v>
      </c>
      <c r="E1294" t="s">
        <v>134</v>
      </c>
      <c r="F1294" t="s">
        <v>192</v>
      </c>
      <c r="G1294" t="s">
        <v>28</v>
      </c>
      <c r="H1294" t="s">
        <v>53</v>
      </c>
      <c r="I1294" t="s">
        <v>135</v>
      </c>
      <c r="J1294" t="s">
        <v>39</v>
      </c>
      <c r="K1294" t="s">
        <v>28</v>
      </c>
      <c r="L1294">
        <v>0.11</v>
      </c>
      <c r="M1294">
        <v>1</v>
      </c>
      <c r="N1294">
        <v>2.8725566782435208</v>
      </c>
      <c r="O1294">
        <v>3.8323065028823287</v>
      </c>
      <c r="P1294">
        <v>-1.2779614084288315</v>
      </c>
      <c r="Q1294">
        <v>0.97128060153331008</v>
      </c>
      <c r="R1294">
        <v>-1.5212056234454441</v>
      </c>
      <c r="S1294" s="2">
        <v>9.7918451496002618E-2</v>
      </c>
      <c r="T1294" s="2">
        <v>0.15917254560827462</v>
      </c>
      <c r="U1294" s="2">
        <v>0.24141501850512265</v>
      </c>
      <c r="V1294" s="2">
        <v>0.34544124626833361</v>
      </c>
      <c r="W1294" s="2">
        <v>0.46939716639039636</v>
      </c>
      <c r="X1294" s="2">
        <v>0.60777792548637055</v>
      </c>
      <c r="Y1294" s="2">
        <v>0.75071026017558673</v>
      </c>
      <c r="Z1294" s="2">
        <v>0.88396187453944985</v>
      </c>
      <c r="AA1294" s="2">
        <v>0.99015750926765245</v>
      </c>
      <c r="AB1294" s="2">
        <v>1.0515178202190387</v>
      </c>
      <c r="AC1294" s="2">
        <v>1.0539485527312058</v>
      </c>
      <c r="AD1294" s="2">
        <v>0.99155993308589074</v>
      </c>
      <c r="AE1294" s="2">
        <v>0.86997551105256266</v>
      </c>
      <c r="AF1294" s="2">
        <v>0.71786812217819074</v>
      </c>
      <c r="AG1294" s="2">
        <v>0.54768043545422451</v>
      </c>
      <c r="AH1294" s="2">
        <v>0.37524969402514413</v>
      </c>
      <c r="AI1294" s="2">
        <v>0</v>
      </c>
      <c r="AJ1294" s="2">
        <v>0</v>
      </c>
      <c r="AK1294" s="2">
        <v>0</v>
      </c>
      <c r="AL1294" s="2">
        <v>0</v>
      </c>
      <c r="AM1294" s="2">
        <v>0</v>
      </c>
      <c r="AN1294" s="2">
        <v>0</v>
      </c>
      <c r="AO1294" s="2">
        <v>0</v>
      </c>
      <c r="AP1294" s="2">
        <v>0</v>
      </c>
      <c r="AQ1294" s="2">
        <v>0</v>
      </c>
      <c r="AR1294" s="2">
        <v>10.153752066483449</v>
      </c>
    </row>
    <row r="1295" spans="1:44" x14ac:dyDescent="0.25">
      <c r="A1295" t="s">
        <v>131</v>
      </c>
      <c r="B1295" t="s">
        <v>193</v>
      </c>
      <c r="C1295" t="s">
        <v>44</v>
      </c>
      <c r="D1295" t="s">
        <v>191</v>
      </c>
      <c r="E1295" t="s">
        <v>134</v>
      </c>
      <c r="F1295" t="s">
        <v>192</v>
      </c>
      <c r="G1295" t="s">
        <v>28</v>
      </c>
      <c r="H1295" t="s">
        <v>141</v>
      </c>
      <c r="I1295" t="s">
        <v>135</v>
      </c>
      <c r="J1295" t="s">
        <v>39</v>
      </c>
      <c r="K1295" t="s">
        <v>28</v>
      </c>
      <c r="L1295">
        <v>0.11</v>
      </c>
      <c r="M1295">
        <v>1</v>
      </c>
      <c r="N1295">
        <v>2.8725566782435208</v>
      </c>
      <c r="O1295">
        <v>3.8323065028823287</v>
      </c>
      <c r="P1295">
        <v>-1.2779614084288315</v>
      </c>
      <c r="Q1295">
        <v>0.97128060153331008</v>
      </c>
      <c r="R1295">
        <v>-1.5212056234454441</v>
      </c>
      <c r="S1295" s="2">
        <v>8.2414696675802215E-2</v>
      </c>
      <c r="T1295" s="2">
        <v>0.13397022588696444</v>
      </c>
      <c r="U1295" s="2">
        <v>0.20319097390847823</v>
      </c>
      <c r="V1295" s="2">
        <v>0.29074638227584754</v>
      </c>
      <c r="W1295" s="2">
        <v>0.3950759483785834</v>
      </c>
      <c r="X1295" s="2">
        <v>0.51154642061769529</v>
      </c>
      <c r="Y1295" s="2">
        <v>0.63184780231445203</v>
      </c>
      <c r="Z1295" s="2">
        <v>0.74400124440403681</v>
      </c>
      <c r="AA1295" s="2">
        <v>0.83338257030027396</v>
      </c>
      <c r="AB1295" s="2">
        <v>0.88502749868435759</v>
      </c>
      <c r="AC1295" s="2">
        <v>0.88707336521543123</v>
      </c>
      <c r="AD1295" s="2">
        <v>0.83456294368062434</v>
      </c>
      <c r="AE1295" s="2">
        <v>0.73222938846924024</v>
      </c>
      <c r="AF1295" s="2">
        <v>0.60420566949997701</v>
      </c>
      <c r="AG1295" s="2">
        <v>0.46096436650730555</v>
      </c>
      <c r="AH1295" s="2">
        <v>0.31583515913782739</v>
      </c>
      <c r="AI1295" s="2">
        <v>0</v>
      </c>
      <c r="AJ1295" s="2">
        <v>0</v>
      </c>
      <c r="AK1295" s="2">
        <v>0</v>
      </c>
      <c r="AL1295" s="2">
        <v>0</v>
      </c>
      <c r="AM1295" s="2">
        <v>0</v>
      </c>
      <c r="AN1295" s="2">
        <v>0</v>
      </c>
      <c r="AO1295" s="2">
        <v>0</v>
      </c>
      <c r="AP1295" s="2">
        <v>0</v>
      </c>
      <c r="AQ1295" s="2">
        <v>0</v>
      </c>
      <c r="AR1295" s="2">
        <v>8.5460746559568967</v>
      </c>
    </row>
    <row r="1296" spans="1:44" x14ac:dyDescent="0.25">
      <c r="A1296" t="s">
        <v>131</v>
      </c>
      <c r="B1296" t="s">
        <v>197</v>
      </c>
      <c r="C1296" t="s">
        <v>44</v>
      </c>
      <c r="D1296" t="s">
        <v>191</v>
      </c>
      <c r="E1296" t="s">
        <v>134</v>
      </c>
      <c r="F1296" t="s">
        <v>196</v>
      </c>
      <c r="G1296" t="s">
        <v>28</v>
      </c>
      <c r="H1296" t="s">
        <v>53</v>
      </c>
      <c r="I1296" t="s">
        <v>135</v>
      </c>
      <c r="J1296" t="s">
        <v>39</v>
      </c>
      <c r="K1296" t="s">
        <v>28</v>
      </c>
      <c r="L1296">
        <v>0.06</v>
      </c>
      <c r="M1296">
        <v>0</v>
      </c>
      <c r="N1296">
        <v>-19.148169275544213</v>
      </c>
      <c r="O1296">
        <v>3.8640773301877118</v>
      </c>
      <c r="P1296">
        <v>-2.419289187851335</v>
      </c>
      <c r="Q1296">
        <v>-0.14691685958113598</v>
      </c>
      <c r="R1296">
        <v>-1.544335941753501</v>
      </c>
      <c r="S1296" s="2">
        <v>1.6745035810850732E-2</v>
      </c>
      <c r="T1296" s="2">
        <v>2.7220099333613742E-2</v>
      </c>
      <c r="U1296" s="2">
        <v>4.1284385816808995E-2</v>
      </c>
      <c r="V1296" s="2">
        <v>5.9073912535721564E-2</v>
      </c>
      <c r="W1296" s="2">
        <v>8.0271616234044732E-2</v>
      </c>
      <c r="X1296" s="2">
        <v>0.10393611185456007</v>
      </c>
      <c r="Y1296" s="2">
        <v>0.12837897248330615</v>
      </c>
      <c r="Z1296" s="2">
        <v>0.15116633298877383</v>
      </c>
      <c r="AA1296" s="2">
        <v>0.16932685002424153</v>
      </c>
      <c r="AB1296" s="2">
        <v>0.17982007769020233</v>
      </c>
      <c r="AC1296" s="2">
        <v>0.18023575729237107</v>
      </c>
      <c r="AD1296" s="2">
        <v>0.16956667854174362</v>
      </c>
      <c r="AE1296" s="2">
        <v>0.14877452476597874</v>
      </c>
      <c r="AF1296" s="2">
        <v>0.12276263798792507</v>
      </c>
      <c r="AG1296" s="2">
        <v>9.3658839212318407E-2</v>
      </c>
      <c r="AH1296" s="2">
        <v>6.4171455619049675E-2</v>
      </c>
      <c r="AI1296" s="2">
        <v>0</v>
      </c>
      <c r="AJ1296" s="2">
        <v>0</v>
      </c>
      <c r="AK1296" s="2">
        <v>0</v>
      </c>
      <c r="AL1296" s="2">
        <v>0</v>
      </c>
      <c r="AM1296" s="2">
        <v>0</v>
      </c>
      <c r="AN1296" s="2">
        <v>0</v>
      </c>
      <c r="AO1296" s="2">
        <v>0</v>
      </c>
      <c r="AP1296" s="2">
        <v>0</v>
      </c>
      <c r="AQ1296" s="2">
        <v>0</v>
      </c>
      <c r="AR1296" s="2">
        <v>1.7363932881915103</v>
      </c>
    </row>
    <row r="1297" spans="1:44" x14ac:dyDescent="0.25">
      <c r="A1297" t="s">
        <v>131</v>
      </c>
      <c r="B1297" t="s">
        <v>197</v>
      </c>
      <c r="C1297" t="s">
        <v>44</v>
      </c>
      <c r="D1297" t="s">
        <v>191</v>
      </c>
      <c r="E1297" t="s">
        <v>134</v>
      </c>
      <c r="F1297" t="s">
        <v>196</v>
      </c>
      <c r="G1297" t="s">
        <v>28</v>
      </c>
      <c r="H1297" t="s">
        <v>141</v>
      </c>
      <c r="I1297" t="s">
        <v>135</v>
      </c>
      <c r="J1297" t="s">
        <v>39</v>
      </c>
      <c r="K1297" t="s">
        <v>28</v>
      </c>
      <c r="L1297">
        <v>0.06</v>
      </c>
      <c r="M1297">
        <v>0</v>
      </c>
      <c r="N1297">
        <v>-19.148169275544213</v>
      </c>
      <c r="O1297">
        <v>3.8640773301877118</v>
      </c>
      <c r="P1297">
        <v>-2.419289187851335</v>
      </c>
      <c r="Q1297">
        <v>-0.14691685958113598</v>
      </c>
      <c r="R1297">
        <v>-1.544335941753501</v>
      </c>
      <c r="S1297" s="2">
        <v>1.4093738474132702E-2</v>
      </c>
      <c r="T1297" s="2">
        <v>2.2910250272458223E-2</v>
      </c>
      <c r="U1297" s="2">
        <v>3.4747691395814247E-2</v>
      </c>
      <c r="V1297" s="2">
        <v>4.9720543050898992E-2</v>
      </c>
      <c r="W1297" s="2">
        <v>6.7561943663654284E-2</v>
      </c>
      <c r="X1297" s="2">
        <v>8.7479560810921411E-2</v>
      </c>
      <c r="Y1297" s="2">
        <v>0.10805230184011599</v>
      </c>
      <c r="Z1297" s="2">
        <v>0.1272316635988846</v>
      </c>
      <c r="AA1297" s="2">
        <v>0.1425167654370699</v>
      </c>
      <c r="AB1297" s="2">
        <v>0.15134856538925368</v>
      </c>
      <c r="AC1297" s="2">
        <v>0.15169842905441228</v>
      </c>
      <c r="AD1297" s="2">
        <v>0.14271862110596753</v>
      </c>
      <c r="AE1297" s="2">
        <v>0.12521855834469875</v>
      </c>
      <c r="AF1297" s="2">
        <v>0.1033252203065036</v>
      </c>
      <c r="AG1297" s="2">
        <v>7.8829523003701329E-2</v>
      </c>
      <c r="AH1297" s="2">
        <v>5.4010975146033272E-2</v>
      </c>
      <c r="AI1297" s="2">
        <v>0</v>
      </c>
      <c r="AJ1297" s="2">
        <v>0</v>
      </c>
      <c r="AK1297" s="2">
        <v>0</v>
      </c>
      <c r="AL1297" s="2">
        <v>0</v>
      </c>
      <c r="AM1297" s="2">
        <v>0</v>
      </c>
      <c r="AN1297" s="2">
        <v>0</v>
      </c>
      <c r="AO1297" s="2">
        <v>0</v>
      </c>
      <c r="AP1297" s="2">
        <v>0</v>
      </c>
      <c r="AQ1297" s="2">
        <v>0</v>
      </c>
      <c r="AR1297" s="2">
        <v>1.4614643508945209</v>
      </c>
    </row>
    <row r="1298" spans="1:44" x14ac:dyDescent="0.25">
      <c r="A1298" t="s">
        <v>131</v>
      </c>
      <c r="B1298" t="s">
        <v>190</v>
      </c>
      <c r="C1298" t="s">
        <v>44</v>
      </c>
      <c r="D1298" t="s">
        <v>191</v>
      </c>
      <c r="E1298" t="s">
        <v>134</v>
      </c>
      <c r="F1298" t="s">
        <v>192</v>
      </c>
      <c r="G1298" t="s">
        <v>28</v>
      </c>
      <c r="H1298" t="s">
        <v>52</v>
      </c>
      <c r="I1298" t="s">
        <v>135</v>
      </c>
      <c r="J1298" t="s">
        <v>39</v>
      </c>
      <c r="K1298" t="s">
        <v>28</v>
      </c>
      <c r="L1298">
        <v>0.11</v>
      </c>
      <c r="M1298">
        <v>1</v>
      </c>
      <c r="N1298">
        <v>2.8725566782435208</v>
      </c>
      <c r="O1298">
        <v>3.8323065028823287</v>
      </c>
      <c r="P1298">
        <v>-1.2779614084288315</v>
      </c>
      <c r="Q1298">
        <v>0.97128060153331008</v>
      </c>
      <c r="R1298">
        <v>-1.5212056234454441</v>
      </c>
      <c r="S1298" s="2">
        <v>1.8121798339510236</v>
      </c>
      <c r="T1298" s="2">
        <v>2.9458112629746833</v>
      </c>
      <c r="U1298" s="2">
        <v>4.4678752723714812</v>
      </c>
      <c r="V1298" s="2">
        <v>6.3930919120788907</v>
      </c>
      <c r="W1298" s="2">
        <v>8.6871479894793353</v>
      </c>
      <c r="X1298" s="2">
        <v>11.248165011391665</v>
      </c>
      <c r="Y1298" s="2">
        <v>13.893418184680558</v>
      </c>
      <c r="Z1298" s="2">
        <v>16.359509965160452</v>
      </c>
      <c r="AA1298" s="2">
        <v>18.324875887189293</v>
      </c>
      <c r="AB1298" s="2">
        <v>19.460473074565222</v>
      </c>
      <c r="AC1298" s="2">
        <v>19.505458716933735</v>
      </c>
      <c r="AD1298" s="2">
        <v>18.35083058850693</v>
      </c>
      <c r="AE1298" s="2">
        <v>16.100663900154203</v>
      </c>
      <c r="AF1298" s="2">
        <v>13.285607713074528</v>
      </c>
      <c r="AG1298" s="2">
        <v>10.135938890130197</v>
      </c>
      <c r="AH1298" s="2">
        <v>6.944757783842304</v>
      </c>
      <c r="AI1298" s="2">
        <v>0</v>
      </c>
      <c r="AJ1298" s="2">
        <v>0</v>
      </c>
      <c r="AK1298" s="2">
        <v>0</v>
      </c>
      <c r="AL1298" s="2">
        <v>0</v>
      </c>
      <c r="AM1298" s="2">
        <v>0</v>
      </c>
      <c r="AN1298" s="2">
        <v>0</v>
      </c>
      <c r="AO1298" s="2">
        <v>0</v>
      </c>
      <c r="AP1298" s="2">
        <v>0</v>
      </c>
      <c r="AQ1298" s="2">
        <v>0</v>
      </c>
      <c r="AR1298" s="2">
        <v>187.91580598648451</v>
      </c>
    </row>
    <row r="1299" spans="1:44" x14ac:dyDescent="0.25">
      <c r="A1299" t="s">
        <v>131</v>
      </c>
      <c r="B1299" t="s">
        <v>190</v>
      </c>
      <c r="C1299" t="s">
        <v>44</v>
      </c>
      <c r="D1299" t="s">
        <v>191</v>
      </c>
      <c r="E1299" t="s">
        <v>134</v>
      </c>
      <c r="F1299" t="s">
        <v>192</v>
      </c>
      <c r="G1299" t="s">
        <v>28</v>
      </c>
      <c r="H1299" t="s">
        <v>138</v>
      </c>
      <c r="I1299" t="s">
        <v>135</v>
      </c>
      <c r="J1299" t="s">
        <v>39</v>
      </c>
      <c r="K1299" t="s">
        <v>28</v>
      </c>
      <c r="L1299">
        <v>0.11</v>
      </c>
      <c r="M1299">
        <v>1</v>
      </c>
      <c r="N1299">
        <v>2.8725566782435208</v>
      </c>
      <c r="O1299">
        <v>3.8323065028823287</v>
      </c>
      <c r="P1299">
        <v>-1.2779614084288315</v>
      </c>
      <c r="Q1299">
        <v>0.97128060153331008</v>
      </c>
      <c r="R1299">
        <v>-1.5212056234454441</v>
      </c>
      <c r="S1299" s="2">
        <v>0.62861449378774115</v>
      </c>
      <c r="T1299" s="2">
        <v>1.0218520376268043</v>
      </c>
      <c r="U1299" s="2">
        <v>1.5498302652033979</v>
      </c>
      <c r="V1299" s="2">
        <v>2.2176553125458671</v>
      </c>
      <c r="W1299" s="2">
        <v>3.0134245142545457</v>
      </c>
      <c r="X1299" s="2">
        <v>3.9017979464327541</v>
      </c>
      <c r="Y1299" s="2">
        <v>4.8193914729217786</v>
      </c>
      <c r="Z1299" s="2">
        <v>5.6748369464764616</v>
      </c>
      <c r="AA1299" s="2">
        <v>6.3565890998983532</v>
      </c>
      <c r="AB1299" s="2">
        <v>6.7505085320182419</v>
      </c>
      <c r="AC1299" s="2">
        <v>6.7661132894906535</v>
      </c>
      <c r="AD1299" s="2">
        <v>6.3655923462233197</v>
      </c>
      <c r="AE1299" s="2">
        <v>5.5850476302759313</v>
      </c>
      <c r="AF1299" s="2">
        <v>4.6085523140428917</v>
      </c>
      <c r="AG1299" s="2">
        <v>3.5159855413416294</v>
      </c>
      <c r="AH1299" s="2">
        <v>2.4090188605898235</v>
      </c>
      <c r="AI1299" s="2">
        <v>0</v>
      </c>
      <c r="AJ1299" s="2">
        <v>0</v>
      </c>
      <c r="AK1299" s="2">
        <v>0</v>
      </c>
      <c r="AL1299" s="2">
        <v>0</v>
      </c>
      <c r="AM1299" s="2">
        <v>0</v>
      </c>
      <c r="AN1299" s="2">
        <v>0</v>
      </c>
      <c r="AO1299" s="2">
        <v>0</v>
      </c>
      <c r="AP1299" s="2">
        <v>0</v>
      </c>
      <c r="AQ1299" s="2">
        <v>0</v>
      </c>
      <c r="AR1299" s="2">
        <v>65.184810603130188</v>
      </c>
    </row>
    <row r="1300" spans="1:44" x14ac:dyDescent="0.25">
      <c r="A1300" t="s">
        <v>131</v>
      </c>
      <c r="B1300" t="s">
        <v>195</v>
      </c>
      <c r="C1300" t="s">
        <v>44</v>
      </c>
      <c r="D1300" t="s">
        <v>191</v>
      </c>
      <c r="E1300" t="s">
        <v>134</v>
      </c>
      <c r="F1300" t="s">
        <v>196</v>
      </c>
      <c r="G1300" t="s">
        <v>28</v>
      </c>
      <c r="H1300" t="s">
        <v>52</v>
      </c>
      <c r="I1300" t="s">
        <v>135</v>
      </c>
      <c r="J1300" t="s">
        <v>39</v>
      </c>
      <c r="K1300" t="s">
        <v>28</v>
      </c>
      <c r="L1300">
        <v>0.06</v>
      </c>
      <c r="M1300">
        <v>1</v>
      </c>
      <c r="N1300">
        <v>1.8510868588862583</v>
      </c>
      <c r="O1300">
        <v>3.8640773301877118</v>
      </c>
      <c r="P1300">
        <v>-0.75262252118466844</v>
      </c>
      <c r="Q1300">
        <v>1.5197498070855304</v>
      </c>
      <c r="R1300">
        <v>-1.544335941753501</v>
      </c>
      <c r="S1300" s="2">
        <v>5.6817210090962842</v>
      </c>
      <c r="T1300" s="2">
        <v>9.2359916097201573</v>
      </c>
      <c r="U1300" s="2">
        <v>14.008113502570243</v>
      </c>
      <c r="V1300" s="2">
        <v>20.044238408032008</v>
      </c>
      <c r="W1300" s="2">
        <v>27.23678429493398</v>
      </c>
      <c r="X1300" s="2">
        <v>35.266331884770892</v>
      </c>
      <c r="Y1300" s="2">
        <v>43.559984781396331</v>
      </c>
      <c r="Z1300" s="2">
        <v>51.291913598286015</v>
      </c>
      <c r="AA1300" s="2">
        <v>57.453918406278447</v>
      </c>
      <c r="AB1300" s="2">
        <v>61.014352242095462</v>
      </c>
      <c r="AC1300" s="2">
        <v>61.155395567136551</v>
      </c>
      <c r="AD1300" s="2">
        <v>57.5352940893086</v>
      </c>
      <c r="AE1300" s="2">
        <v>50.480354448297334</v>
      </c>
      <c r="AF1300" s="2">
        <v>41.654318764495919</v>
      </c>
      <c r="AG1300" s="2">
        <v>31.779173269690652</v>
      </c>
      <c r="AH1300" s="2">
        <v>21.773874460082116</v>
      </c>
      <c r="AI1300" s="2">
        <v>0</v>
      </c>
      <c r="AJ1300" s="2">
        <v>0</v>
      </c>
      <c r="AK1300" s="2">
        <v>0</v>
      </c>
      <c r="AL1300" s="2">
        <v>0</v>
      </c>
      <c r="AM1300" s="2">
        <v>0</v>
      </c>
      <c r="AN1300" s="2">
        <v>0</v>
      </c>
      <c r="AO1300" s="2">
        <v>0</v>
      </c>
      <c r="AP1300" s="2">
        <v>0</v>
      </c>
      <c r="AQ1300" s="2">
        <v>0</v>
      </c>
      <c r="AR1300" s="2">
        <v>589.17176033619103</v>
      </c>
    </row>
    <row r="1301" spans="1:44" x14ac:dyDescent="0.25">
      <c r="A1301" t="s">
        <v>131</v>
      </c>
      <c r="B1301" t="s">
        <v>195</v>
      </c>
      <c r="C1301" t="s">
        <v>44</v>
      </c>
      <c r="D1301" t="s">
        <v>191</v>
      </c>
      <c r="E1301" t="s">
        <v>134</v>
      </c>
      <c r="F1301" t="s">
        <v>196</v>
      </c>
      <c r="G1301" t="s">
        <v>28</v>
      </c>
      <c r="H1301" t="s">
        <v>138</v>
      </c>
      <c r="I1301" t="s">
        <v>135</v>
      </c>
      <c r="J1301" t="s">
        <v>39</v>
      </c>
      <c r="K1301" t="s">
        <v>28</v>
      </c>
      <c r="L1301">
        <v>0.06</v>
      </c>
      <c r="M1301">
        <v>1</v>
      </c>
      <c r="N1301">
        <v>1.8510868588862583</v>
      </c>
      <c r="O1301">
        <v>3.8640773301877118</v>
      </c>
      <c r="P1301">
        <v>-0.75262252118466844</v>
      </c>
      <c r="Q1301">
        <v>1.5197498070855304</v>
      </c>
      <c r="R1301">
        <v>-1.544335941753501</v>
      </c>
      <c r="S1301" s="2">
        <v>1.9708927938951797</v>
      </c>
      <c r="T1301" s="2">
        <v>3.203809071042214</v>
      </c>
      <c r="U1301" s="2">
        <v>4.8591773362474129</v>
      </c>
      <c r="V1301" s="2">
        <v>6.9530068396988769</v>
      </c>
      <c r="W1301" s="2">
        <v>9.447979196764722</v>
      </c>
      <c r="X1301" s="2">
        <v>12.233293269333926</v>
      </c>
      <c r="Y1301" s="2">
        <v>15.110221000008771</v>
      </c>
      <c r="Z1301" s="2">
        <v>17.792296160637296</v>
      </c>
      <c r="AA1301" s="2">
        <v>19.929791270407115</v>
      </c>
      <c r="AB1301" s="2">
        <v>21.164845469463682</v>
      </c>
      <c r="AC1301" s="2">
        <v>21.213771010247097</v>
      </c>
      <c r="AD1301" s="2">
        <v>19.958019116692711</v>
      </c>
      <c r="AE1301" s="2">
        <v>17.510780035862489</v>
      </c>
      <c r="AF1301" s="2">
        <v>14.449177732613746</v>
      </c>
      <c r="AG1301" s="2">
        <v>11.023657003380722</v>
      </c>
      <c r="AH1301" s="2">
        <v>7.5529882934853694</v>
      </c>
      <c r="AI1301" s="2">
        <v>0</v>
      </c>
      <c r="AJ1301" s="2">
        <v>0</v>
      </c>
      <c r="AK1301" s="2">
        <v>0</v>
      </c>
      <c r="AL1301" s="2">
        <v>0</v>
      </c>
      <c r="AM1301" s="2">
        <v>0</v>
      </c>
      <c r="AN1301" s="2">
        <v>0</v>
      </c>
      <c r="AO1301" s="2">
        <v>0</v>
      </c>
      <c r="AP1301" s="2">
        <v>0</v>
      </c>
      <c r="AQ1301" s="2">
        <v>0</v>
      </c>
      <c r="AR1301" s="2">
        <v>204.37370559978135</v>
      </c>
    </row>
    <row r="1302" spans="1:44" x14ac:dyDescent="0.25">
      <c r="A1302" t="s">
        <v>131</v>
      </c>
      <c r="B1302" t="s">
        <v>199</v>
      </c>
      <c r="C1302" t="s">
        <v>44</v>
      </c>
      <c r="D1302" t="s">
        <v>191</v>
      </c>
      <c r="E1302" t="s">
        <v>134</v>
      </c>
      <c r="F1302" t="s">
        <v>200</v>
      </c>
      <c r="G1302" t="s">
        <v>28</v>
      </c>
      <c r="H1302" t="s">
        <v>55</v>
      </c>
      <c r="I1302" t="s">
        <v>135</v>
      </c>
      <c r="J1302" t="s">
        <v>39</v>
      </c>
      <c r="K1302" t="s">
        <v>28</v>
      </c>
      <c r="L1302">
        <v>9.8838117015195223E-3</v>
      </c>
      <c r="M1302">
        <v>0</v>
      </c>
      <c r="N1302">
        <v>0.27106254108678052</v>
      </c>
      <c r="O1302">
        <v>3.8137772217585497</v>
      </c>
      <c r="P1302">
        <v>8.0075245929314374</v>
      </c>
      <c r="Q1302">
        <v>10.243276612019471</v>
      </c>
      <c r="R1302">
        <v>-1.5077156325713348</v>
      </c>
      <c r="S1302" s="2">
        <v>0</v>
      </c>
      <c r="T1302" s="2">
        <v>0</v>
      </c>
      <c r="U1302" s="2">
        <v>2.3998792446652654E-4</v>
      </c>
      <c r="V1302" s="2">
        <v>3.9001574817680926E-4</v>
      </c>
      <c r="W1302" s="2">
        <v>5.913622934990777E-4</v>
      </c>
      <c r="X1302" s="2">
        <v>8.4594064049039422E-4</v>
      </c>
      <c r="Y1302" s="2">
        <v>1.1491711862731803E-3</v>
      </c>
      <c r="Z1302" s="2">
        <v>1.4875467591852719E-3</v>
      </c>
      <c r="AA1302" s="2">
        <v>1.8368887840760374E-3</v>
      </c>
      <c r="AB1302" s="2">
        <v>2.162378641222683E-3</v>
      </c>
      <c r="AC1302" s="2">
        <v>2.421546823945991E-3</v>
      </c>
      <c r="AD1302" s="2">
        <v>2.5709766815803824E-3</v>
      </c>
      <c r="AE1302" s="2">
        <v>2.5762984905286401E-3</v>
      </c>
      <c r="AF1302" s="2">
        <v>2.4232218429136396E-3</v>
      </c>
      <c r="AG1302" s="2">
        <v>2.1255957233421124E-3</v>
      </c>
      <c r="AH1302" s="2">
        <v>1.7535557002970688E-3</v>
      </c>
      <c r="AI1302" s="2">
        <v>1.3375346235575763E-3</v>
      </c>
      <c r="AJ1302" s="2">
        <v>9.235231130886014E-4</v>
      </c>
      <c r="AK1302" s="2">
        <v>2.6943030772079001E-4</v>
      </c>
      <c r="AL1302" s="2">
        <v>0</v>
      </c>
      <c r="AM1302" s="2">
        <v>0</v>
      </c>
      <c r="AN1302" s="2">
        <v>0</v>
      </c>
      <c r="AO1302" s="2">
        <v>0</v>
      </c>
      <c r="AP1302" s="2">
        <v>0</v>
      </c>
      <c r="AQ1302" s="2">
        <v>0</v>
      </c>
      <c r="AR1302" s="2">
        <v>2.510497528436478E-2</v>
      </c>
    </row>
    <row r="1303" spans="1:44" x14ac:dyDescent="0.25">
      <c r="A1303" t="s">
        <v>131</v>
      </c>
      <c r="B1303" t="s">
        <v>199</v>
      </c>
      <c r="C1303" t="s">
        <v>44</v>
      </c>
      <c r="D1303" t="s">
        <v>191</v>
      </c>
      <c r="E1303" t="s">
        <v>134</v>
      </c>
      <c r="F1303" t="s">
        <v>200</v>
      </c>
      <c r="G1303" t="s">
        <v>28</v>
      </c>
      <c r="H1303" t="s">
        <v>136</v>
      </c>
      <c r="I1303" t="s">
        <v>135</v>
      </c>
      <c r="J1303" t="s">
        <v>39</v>
      </c>
      <c r="K1303" t="s">
        <v>28</v>
      </c>
      <c r="L1303">
        <v>9.8838117015195223E-3</v>
      </c>
      <c r="M1303">
        <v>0</v>
      </c>
      <c r="N1303">
        <v>0.27106254108678052</v>
      </c>
      <c r="O1303">
        <v>3.8137772217585497</v>
      </c>
      <c r="P1303">
        <v>8.0075245929314374</v>
      </c>
      <c r="Q1303">
        <v>10.243276612019471</v>
      </c>
      <c r="R1303">
        <v>-1.5077156325713348</v>
      </c>
      <c r="S1303" s="2">
        <v>0</v>
      </c>
      <c r="T1303" s="2">
        <v>0</v>
      </c>
      <c r="U1303" s="2">
        <v>3.0131817183019441E-4</v>
      </c>
      <c r="V1303" s="2">
        <v>4.8968643937754945E-4</v>
      </c>
      <c r="W1303" s="2">
        <v>7.4248821294884185E-4</v>
      </c>
      <c r="X1303" s="2">
        <v>1.0621254708379393E-3</v>
      </c>
      <c r="Y1303" s="2">
        <v>1.4428482672096594E-3</v>
      </c>
      <c r="Z1303" s="2">
        <v>1.8676975976437298E-3</v>
      </c>
      <c r="AA1303" s="2">
        <v>2.3063159177843591E-3</v>
      </c>
      <c r="AB1303" s="2">
        <v>2.7149865162018117E-3</v>
      </c>
      <c r="AC1303" s="2">
        <v>3.0403865678432997E-3</v>
      </c>
      <c r="AD1303" s="2">
        <v>3.2280040557620352E-3</v>
      </c>
      <c r="AE1303" s="2">
        <v>3.2346858825526253E-3</v>
      </c>
      <c r="AF1303" s="2">
        <v>3.042489647213791E-3</v>
      </c>
      <c r="AG1303" s="2">
        <v>2.6688035193073193E-3</v>
      </c>
      <c r="AH1303" s="2">
        <v>2.2016866014840969E-3</v>
      </c>
      <c r="AI1303" s="2">
        <v>1.6793490273556233E-3</v>
      </c>
      <c r="AJ1303" s="2">
        <v>1.1595345753223553E-3</v>
      </c>
      <c r="AK1303" s="2">
        <v>3.3828471969388684E-4</v>
      </c>
      <c r="AL1303" s="2">
        <v>0</v>
      </c>
      <c r="AM1303" s="2">
        <v>0</v>
      </c>
      <c r="AN1303" s="2">
        <v>0</v>
      </c>
      <c r="AO1303" s="2">
        <v>0</v>
      </c>
      <c r="AP1303" s="2">
        <v>0</v>
      </c>
      <c r="AQ1303" s="2">
        <v>0</v>
      </c>
      <c r="AR1303" s="2">
        <v>3.1520691190369113E-2</v>
      </c>
    </row>
    <row r="1304" spans="1:44" x14ac:dyDescent="0.25">
      <c r="A1304" t="s">
        <v>131</v>
      </c>
      <c r="B1304" t="s">
        <v>199</v>
      </c>
      <c r="C1304" t="s">
        <v>44</v>
      </c>
      <c r="D1304" t="s">
        <v>191</v>
      </c>
      <c r="E1304" t="s">
        <v>134</v>
      </c>
      <c r="F1304" t="s">
        <v>200</v>
      </c>
      <c r="G1304" t="s">
        <v>28</v>
      </c>
      <c r="H1304" t="s">
        <v>52</v>
      </c>
      <c r="I1304" t="s">
        <v>135</v>
      </c>
      <c r="J1304" t="s">
        <v>39</v>
      </c>
      <c r="K1304" t="s">
        <v>28</v>
      </c>
      <c r="L1304">
        <v>9.8838117015195223E-3</v>
      </c>
      <c r="M1304">
        <v>0</v>
      </c>
      <c r="N1304">
        <v>0.27106254108678052</v>
      </c>
      <c r="O1304">
        <v>3.8137772217585497</v>
      </c>
      <c r="P1304">
        <v>8.0075245929314374</v>
      </c>
      <c r="Q1304">
        <v>10.243276612019471</v>
      </c>
      <c r="R1304">
        <v>-1.5077156325713348</v>
      </c>
      <c r="S1304" s="2">
        <v>0</v>
      </c>
      <c r="T1304" s="2">
        <v>0</v>
      </c>
      <c r="U1304" s="2">
        <v>0.91535074198910582</v>
      </c>
      <c r="V1304" s="2">
        <v>1.487579865839763</v>
      </c>
      <c r="W1304" s="2">
        <v>2.2555464627732178</v>
      </c>
      <c r="X1304" s="2">
        <v>3.2265473134654554</v>
      </c>
      <c r="Y1304" s="2">
        <v>4.3831151103370374</v>
      </c>
      <c r="Z1304" s="2">
        <v>5.6737314295730208</v>
      </c>
      <c r="AA1304" s="2">
        <v>7.0061754781748968</v>
      </c>
      <c r="AB1304" s="2">
        <v>8.2476437016757238</v>
      </c>
      <c r="AC1304" s="2">
        <v>9.2361508896231665</v>
      </c>
      <c r="AD1304" s="2">
        <v>9.8060992791724253</v>
      </c>
      <c r="AE1304" s="2">
        <v>9.8263974745101255</v>
      </c>
      <c r="AF1304" s="2">
        <v>9.2425396688014967</v>
      </c>
      <c r="AG1304" s="2">
        <v>8.1073480128432607</v>
      </c>
      <c r="AH1304" s="2">
        <v>6.6883303189283128</v>
      </c>
      <c r="AI1304" s="2">
        <v>5.1015621424748545</v>
      </c>
      <c r="AJ1304" s="2">
        <v>3.5224587599100183</v>
      </c>
      <c r="AK1304" s="2">
        <v>1.0276485062104908</v>
      </c>
      <c r="AL1304" s="2">
        <v>0</v>
      </c>
      <c r="AM1304" s="2">
        <v>0</v>
      </c>
      <c r="AN1304" s="2">
        <v>0</v>
      </c>
      <c r="AO1304" s="2">
        <v>0</v>
      </c>
      <c r="AP1304" s="2">
        <v>0</v>
      </c>
      <c r="AQ1304" s="2">
        <v>0</v>
      </c>
      <c r="AR1304" s="2">
        <v>95.754225156302368</v>
      </c>
    </row>
    <row r="1305" spans="1:44" x14ac:dyDescent="0.25">
      <c r="A1305" t="s">
        <v>131</v>
      </c>
      <c r="B1305" t="s">
        <v>199</v>
      </c>
      <c r="C1305" t="s">
        <v>44</v>
      </c>
      <c r="D1305" t="s">
        <v>191</v>
      </c>
      <c r="E1305" t="s">
        <v>134</v>
      </c>
      <c r="F1305" t="s">
        <v>200</v>
      </c>
      <c r="G1305" t="s">
        <v>28</v>
      </c>
      <c r="H1305" t="s">
        <v>138</v>
      </c>
      <c r="I1305" t="s">
        <v>135</v>
      </c>
      <c r="J1305" t="s">
        <v>39</v>
      </c>
      <c r="K1305" t="s">
        <v>28</v>
      </c>
      <c r="L1305">
        <v>9.8838117015195223E-3</v>
      </c>
      <c r="M1305">
        <v>0</v>
      </c>
      <c r="N1305">
        <v>0.27106254108678052</v>
      </c>
      <c r="O1305">
        <v>3.8137772217585497</v>
      </c>
      <c r="P1305">
        <v>8.0075245929314374</v>
      </c>
      <c r="Q1305">
        <v>10.243276612019471</v>
      </c>
      <c r="R1305">
        <v>-1.5077156325713348</v>
      </c>
      <c r="S1305" s="2">
        <v>0</v>
      </c>
      <c r="T1305" s="2">
        <v>0</v>
      </c>
      <c r="U1305" s="2">
        <v>0.31751967025214456</v>
      </c>
      <c r="V1305" s="2">
        <v>0.51601626219121211</v>
      </c>
      <c r="W1305" s="2">
        <v>0.78241086858338604</v>
      </c>
      <c r="X1305" s="2">
        <v>1.1192346190687716</v>
      </c>
      <c r="Y1305" s="2">
        <v>1.520428400469874</v>
      </c>
      <c r="Z1305" s="2">
        <v>1.9681213440680165</v>
      </c>
      <c r="AA1305" s="2">
        <v>2.4303236185995587</v>
      </c>
      <c r="AB1305" s="2">
        <v>2.8609679201466363</v>
      </c>
      <c r="AC1305" s="2">
        <v>3.2038643225430445</v>
      </c>
      <c r="AD1305" s="2">
        <v>3.4015697663788842</v>
      </c>
      <c r="AE1305" s="2">
        <v>3.408610866576538</v>
      </c>
      <c r="AF1305" s="2">
        <v>3.2060804818412909</v>
      </c>
      <c r="AG1305" s="2">
        <v>2.8123017217022257</v>
      </c>
      <c r="AH1305" s="2">
        <v>2.3200685158004868</v>
      </c>
      <c r="AI1305" s="2">
        <v>1.769645508485008</v>
      </c>
      <c r="AJ1305" s="2">
        <v>1.2218812883605208</v>
      </c>
      <c r="AK1305" s="2">
        <v>0.35647386281459176</v>
      </c>
      <c r="AL1305" s="2">
        <v>0</v>
      </c>
      <c r="AM1305" s="2">
        <v>0</v>
      </c>
      <c r="AN1305" s="2">
        <v>0</v>
      </c>
      <c r="AO1305" s="2">
        <v>0</v>
      </c>
      <c r="AP1305" s="2">
        <v>0</v>
      </c>
      <c r="AQ1305" s="2">
        <v>0</v>
      </c>
      <c r="AR1305" s="2">
        <v>33.215519037882196</v>
      </c>
    </row>
    <row r="1306" spans="1:44" x14ac:dyDescent="0.25">
      <c r="A1306" t="s">
        <v>131</v>
      </c>
      <c r="B1306" t="s">
        <v>171</v>
      </c>
      <c r="C1306" t="s">
        <v>43</v>
      </c>
      <c r="D1306" t="s">
        <v>172</v>
      </c>
      <c r="E1306" t="s">
        <v>145</v>
      </c>
      <c r="F1306" t="s">
        <v>172</v>
      </c>
      <c r="G1306" t="s">
        <v>28</v>
      </c>
      <c r="H1306" t="s">
        <v>55</v>
      </c>
      <c r="I1306" t="s">
        <v>135</v>
      </c>
      <c r="J1306" t="s">
        <v>39</v>
      </c>
      <c r="K1306" t="s">
        <v>28</v>
      </c>
      <c r="L1306">
        <v>1.6000000000000014</v>
      </c>
      <c r="M1306">
        <v>1</v>
      </c>
      <c r="N1306">
        <v>1.0868938912758126</v>
      </c>
      <c r="O1306">
        <v>2.2991652021706153</v>
      </c>
      <c r="P1306">
        <v>0.35237906657670803</v>
      </c>
      <c r="Q1306">
        <v>1.5400545897156579</v>
      </c>
      <c r="R1306">
        <v>-0.4596391366222527</v>
      </c>
      <c r="S1306" s="2">
        <v>4.5534761561347572E-7</v>
      </c>
      <c r="T1306" s="2">
        <v>6.9990366028861949E-7</v>
      </c>
      <c r="U1306" s="2">
        <v>1.5270494462571596E-6</v>
      </c>
      <c r="V1306" s="2">
        <v>2.8707636348216128E-6</v>
      </c>
      <c r="W1306" s="2">
        <v>4.9072526535007994E-6</v>
      </c>
      <c r="X1306" s="2">
        <v>7.8189001611458437E-6</v>
      </c>
      <c r="Y1306" s="2">
        <v>1.1771772624415163E-5</v>
      </c>
      <c r="Z1306" s="2">
        <v>1.6884786449480256E-5</v>
      </c>
      <c r="AA1306" s="2">
        <v>2.3192897834566629E-5</v>
      </c>
      <c r="AB1306" s="2">
        <v>3.0610508228505138E-5</v>
      </c>
      <c r="AC1306" s="2">
        <v>3.8905305333298942E-5</v>
      </c>
      <c r="AD1306" s="2">
        <v>4.7695342711857513E-5</v>
      </c>
      <c r="AE1306" s="2">
        <v>5.6480677900828979E-5</v>
      </c>
      <c r="AF1306" s="2">
        <v>6.4713069320621727E-5</v>
      </c>
      <c r="AG1306" s="2">
        <v>7.1893366569939927E-5</v>
      </c>
      <c r="AH1306" s="2">
        <v>7.7670908774124468E-5</v>
      </c>
      <c r="AI1306" s="2">
        <v>8.191101070162624E-5</v>
      </c>
      <c r="AJ1306" s="2">
        <v>8.4936237442037726E-5</v>
      </c>
      <c r="AK1306" s="2">
        <v>8.6465844924508322E-5</v>
      </c>
      <c r="AL1306" s="2">
        <v>8.7625043256516657E-5</v>
      </c>
      <c r="AM1306" s="2">
        <v>8.7714901536661575E-5</v>
      </c>
      <c r="AN1306" s="2">
        <v>8.744444826555308E-5</v>
      </c>
      <c r="AO1306" s="2">
        <v>6.4809478677461474E-5</v>
      </c>
      <c r="AP1306" s="2">
        <v>0</v>
      </c>
      <c r="AQ1306" s="2">
        <v>0</v>
      </c>
      <c r="AR1306" s="2">
        <v>1.0390048177236313E-3</v>
      </c>
    </row>
    <row r="1307" spans="1:44" x14ac:dyDescent="0.25">
      <c r="A1307" t="s">
        <v>131</v>
      </c>
      <c r="B1307" t="s">
        <v>171</v>
      </c>
      <c r="C1307" t="s">
        <v>43</v>
      </c>
      <c r="D1307" t="s">
        <v>172</v>
      </c>
      <c r="E1307" t="s">
        <v>145</v>
      </c>
      <c r="F1307" t="s">
        <v>172</v>
      </c>
      <c r="G1307" t="s">
        <v>28</v>
      </c>
      <c r="H1307" t="s">
        <v>136</v>
      </c>
      <c r="I1307" t="s">
        <v>135</v>
      </c>
      <c r="J1307" t="s">
        <v>39</v>
      </c>
      <c r="K1307" t="s">
        <v>28</v>
      </c>
      <c r="L1307">
        <v>1.6000000000000014</v>
      </c>
      <c r="M1307">
        <v>1</v>
      </c>
      <c r="N1307">
        <v>1.0868938912758126</v>
      </c>
      <c r="O1307">
        <v>2.2991652021706153</v>
      </c>
      <c r="P1307">
        <v>0.35237906657670803</v>
      </c>
      <c r="Q1307">
        <v>1.5400545897156579</v>
      </c>
      <c r="R1307">
        <v>-0.4596391366222527</v>
      </c>
      <c r="S1307" s="2">
        <v>5.7171422849247513E-7</v>
      </c>
      <c r="T1307" s="2">
        <v>8.7876792902904453E-7</v>
      </c>
      <c r="U1307" s="2">
        <v>1.9172954158562112E-6</v>
      </c>
      <c r="V1307" s="2">
        <v>3.6044032303871358E-6</v>
      </c>
      <c r="W1307" s="2">
        <v>6.1613283316176684E-6</v>
      </c>
      <c r="X1307" s="2">
        <v>9.8170635356608915E-6</v>
      </c>
      <c r="Y1307" s="2">
        <v>1.4780114517321262E-5</v>
      </c>
      <c r="Z1307" s="2">
        <v>2.1199787431014095E-5</v>
      </c>
      <c r="AA1307" s="2">
        <v>2.9119971725622551E-5</v>
      </c>
      <c r="AB1307" s="2">
        <v>3.8433193664678664E-5</v>
      </c>
      <c r="AC1307" s="2">
        <v>4.8847772251808652E-5</v>
      </c>
      <c r="AD1307" s="2">
        <v>5.9884152515998885E-5</v>
      </c>
      <c r="AE1307" s="2">
        <v>7.0914628919929718E-5</v>
      </c>
      <c r="AF1307" s="2">
        <v>8.1250853702558376E-5</v>
      </c>
      <c r="AG1307" s="2">
        <v>9.0266115804480093E-5</v>
      </c>
      <c r="AH1307" s="2">
        <v>9.7520141016400747E-5</v>
      </c>
      <c r="AI1307" s="2">
        <v>1.0284382454759737E-4</v>
      </c>
      <c r="AJ1307" s="2">
        <v>1.0664216478833628E-4</v>
      </c>
      <c r="AK1307" s="2">
        <v>1.0856267196077154E-4</v>
      </c>
      <c r="AL1307" s="2">
        <v>1.1001810986651534E-4</v>
      </c>
      <c r="AM1307" s="2">
        <v>1.1013093192936396E-4</v>
      </c>
      <c r="AN1307" s="2">
        <v>1.0979136282230553E-4</v>
      </c>
      <c r="AO1307" s="2">
        <v>8.1371901006146121E-5</v>
      </c>
      <c r="AP1307" s="2">
        <v>0</v>
      </c>
      <c r="AQ1307" s="2">
        <v>0</v>
      </c>
      <c r="AR1307" s="2">
        <v>1.3045282711418927E-3</v>
      </c>
    </row>
    <row r="1308" spans="1:44" x14ac:dyDescent="0.25">
      <c r="A1308" t="s">
        <v>131</v>
      </c>
      <c r="B1308" t="s">
        <v>171</v>
      </c>
      <c r="C1308" t="s">
        <v>43</v>
      </c>
      <c r="D1308" t="s">
        <v>172</v>
      </c>
      <c r="E1308" t="s">
        <v>145</v>
      </c>
      <c r="F1308" t="s">
        <v>172</v>
      </c>
      <c r="G1308" t="s">
        <v>28</v>
      </c>
      <c r="H1308" t="s">
        <v>54</v>
      </c>
      <c r="I1308" t="s">
        <v>135</v>
      </c>
      <c r="J1308" t="s">
        <v>39</v>
      </c>
      <c r="K1308" t="s">
        <v>28</v>
      </c>
      <c r="L1308">
        <v>1.6000000000000014</v>
      </c>
      <c r="M1308">
        <v>1</v>
      </c>
      <c r="N1308">
        <v>1.0868938912758126</v>
      </c>
      <c r="O1308">
        <v>2.2991652021706153</v>
      </c>
      <c r="P1308">
        <v>0.35237906657670803</v>
      </c>
      <c r="Q1308">
        <v>1.5400545897156579</v>
      </c>
      <c r="R1308">
        <v>-0.4596391366222527</v>
      </c>
      <c r="S1308" s="2">
        <v>0</v>
      </c>
      <c r="T1308" s="2">
        <v>0</v>
      </c>
      <c r="U1308" s="2">
        <v>0</v>
      </c>
      <c r="V1308" s="2">
        <v>0</v>
      </c>
      <c r="W1308" s="2">
        <v>0</v>
      </c>
      <c r="X1308" s="2">
        <v>0</v>
      </c>
      <c r="Y1308" s="2">
        <v>0</v>
      </c>
      <c r="Z1308" s="2">
        <v>0</v>
      </c>
      <c r="AA1308" s="2">
        <v>0</v>
      </c>
      <c r="AB1308" s="2">
        <v>0</v>
      </c>
      <c r="AC1308" s="2">
        <v>0</v>
      </c>
      <c r="AD1308" s="2">
        <v>0</v>
      </c>
      <c r="AE1308" s="2">
        <v>1.029236592923289E-3</v>
      </c>
      <c r="AF1308" s="2">
        <v>4.8502495975124318E-4</v>
      </c>
      <c r="AG1308" s="2">
        <v>6.4170235191805358E-4</v>
      </c>
      <c r="AH1308" s="2">
        <v>6.9469703402174569E-4</v>
      </c>
      <c r="AI1308" s="2">
        <v>7.0388518811424826E-4</v>
      </c>
      <c r="AJ1308" s="2">
        <v>6.8512296156619064E-4</v>
      </c>
      <c r="AK1308" s="2">
        <v>6.3669984048325061E-4</v>
      </c>
      <c r="AL1308" s="2">
        <v>5.7916486761424473E-4</v>
      </c>
      <c r="AM1308" s="2">
        <v>5.0761698154197607E-4</v>
      </c>
      <c r="AN1308" s="2">
        <v>4.2947936133994736E-4</v>
      </c>
      <c r="AO1308" s="2">
        <v>3.5041394999193879E-4</v>
      </c>
      <c r="AP1308" s="2">
        <v>2.739080679864381E-4</v>
      </c>
      <c r="AQ1308" s="2">
        <v>2.0364453223306253E-4</v>
      </c>
      <c r="AR1308" s="2">
        <v>7.2205966894856276E-3</v>
      </c>
    </row>
    <row r="1309" spans="1:44" x14ac:dyDescent="0.25">
      <c r="A1309" t="s">
        <v>131</v>
      </c>
      <c r="B1309" t="s">
        <v>171</v>
      </c>
      <c r="C1309" t="s">
        <v>43</v>
      </c>
      <c r="D1309" t="s">
        <v>172</v>
      </c>
      <c r="E1309" t="s">
        <v>145</v>
      </c>
      <c r="F1309" t="s">
        <v>172</v>
      </c>
      <c r="G1309" t="s">
        <v>28</v>
      </c>
      <c r="H1309" t="s">
        <v>142</v>
      </c>
      <c r="I1309" t="s">
        <v>135</v>
      </c>
      <c r="J1309" t="s">
        <v>39</v>
      </c>
      <c r="K1309" t="s">
        <v>28</v>
      </c>
      <c r="L1309">
        <v>1.6000000000000014</v>
      </c>
      <c r="M1309">
        <v>1</v>
      </c>
      <c r="N1309">
        <v>1.0868938912758126</v>
      </c>
      <c r="O1309">
        <v>2.2991652021706153</v>
      </c>
      <c r="P1309">
        <v>0.35237906657670803</v>
      </c>
      <c r="Q1309">
        <v>1.5400545897156579</v>
      </c>
      <c r="R1309">
        <v>-0.4596391366222527</v>
      </c>
      <c r="S1309" s="2">
        <v>0</v>
      </c>
      <c r="T1309" s="2">
        <v>0</v>
      </c>
      <c r="U1309" s="2">
        <v>0</v>
      </c>
      <c r="V1309" s="2">
        <v>0</v>
      </c>
      <c r="W1309" s="2">
        <v>0</v>
      </c>
      <c r="X1309" s="2">
        <v>0</v>
      </c>
      <c r="Y1309" s="2">
        <v>0</v>
      </c>
      <c r="Z1309" s="2">
        <v>0</v>
      </c>
      <c r="AA1309" s="2">
        <v>0</v>
      </c>
      <c r="AB1309" s="2">
        <v>0</v>
      </c>
      <c r="AC1309" s="2">
        <v>0</v>
      </c>
      <c r="AD1309" s="2">
        <v>0</v>
      </c>
      <c r="AE1309" s="2">
        <v>8.2494088729278701E-4</v>
      </c>
      <c r="AF1309" s="2">
        <v>3.8875116120765471E-4</v>
      </c>
      <c r="AG1309" s="2">
        <v>5.1432927201472119E-4</v>
      </c>
      <c r="AH1309" s="2">
        <v>5.5680490917823405E-4</v>
      </c>
      <c r="AI1309" s="2">
        <v>5.6416928394081639E-4</v>
      </c>
      <c r="AJ1309" s="2">
        <v>5.4913121793873185E-4</v>
      </c>
      <c r="AK1309" s="2">
        <v>5.1031972139235239E-4</v>
      </c>
      <c r="AL1309" s="2">
        <v>4.6420500695714637E-4</v>
      </c>
      <c r="AM1309" s="2">
        <v>4.0685883696454938E-4</v>
      </c>
      <c r="AN1309" s="2">
        <v>3.4423094539558615E-4</v>
      </c>
      <c r="AO1309" s="2">
        <v>2.8085942222971869E-4</v>
      </c>
      <c r="AP1309" s="2">
        <v>2.1953938112480824E-4</v>
      </c>
      <c r="AQ1309" s="2">
        <v>1.6322262759383766E-4</v>
      </c>
      <c r="AR1309" s="2">
        <v>5.7873626732309448E-3</v>
      </c>
    </row>
    <row r="1310" spans="1:44" x14ac:dyDescent="0.25">
      <c r="A1310" t="s">
        <v>131</v>
      </c>
      <c r="B1310" t="s">
        <v>171</v>
      </c>
      <c r="C1310" t="s">
        <v>43</v>
      </c>
      <c r="D1310" t="s">
        <v>172</v>
      </c>
      <c r="E1310" t="s">
        <v>145</v>
      </c>
      <c r="F1310" t="s">
        <v>172</v>
      </c>
      <c r="G1310" t="s">
        <v>28</v>
      </c>
      <c r="H1310" t="s">
        <v>53</v>
      </c>
      <c r="I1310" t="s">
        <v>135</v>
      </c>
      <c r="J1310" t="s">
        <v>39</v>
      </c>
      <c r="K1310" t="s">
        <v>28</v>
      </c>
      <c r="L1310">
        <v>1.6000000000000014</v>
      </c>
      <c r="M1310">
        <v>1</v>
      </c>
      <c r="N1310">
        <v>1.0868938912758126</v>
      </c>
      <c r="O1310">
        <v>2.2991652021706153</v>
      </c>
      <c r="P1310">
        <v>0.35237906657670803</v>
      </c>
      <c r="Q1310">
        <v>1.5400545897156579</v>
      </c>
      <c r="R1310">
        <v>-0.4596391366222527</v>
      </c>
      <c r="S1310" s="2">
        <v>0</v>
      </c>
      <c r="T1310" s="2">
        <v>0</v>
      </c>
      <c r="U1310" s="2">
        <v>0</v>
      </c>
      <c r="V1310" s="2">
        <v>0</v>
      </c>
      <c r="W1310" s="2">
        <v>0</v>
      </c>
      <c r="X1310" s="2">
        <v>0</v>
      </c>
      <c r="Y1310" s="2">
        <v>0</v>
      </c>
      <c r="Z1310" s="2">
        <v>0</v>
      </c>
      <c r="AA1310" s="2">
        <v>0</v>
      </c>
      <c r="AB1310" s="2">
        <v>0</v>
      </c>
      <c r="AC1310" s="2">
        <v>0</v>
      </c>
      <c r="AD1310" s="2">
        <v>0</v>
      </c>
      <c r="AE1310" s="2">
        <v>0</v>
      </c>
      <c r="AF1310" s="2">
        <v>0</v>
      </c>
      <c r="AG1310" s="2">
        <v>0</v>
      </c>
      <c r="AH1310" s="2">
        <v>0</v>
      </c>
      <c r="AI1310" s="2">
        <v>0</v>
      </c>
      <c r="AJ1310" s="2">
        <v>0</v>
      </c>
      <c r="AK1310" s="2">
        <v>0</v>
      </c>
      <c r="AL1310" s="2">
        <v>0</v>
      </c>
      <c r="AM1310" s="2">
        <v>0</v>
      </c>
      <c r="AN1310" s="2">
        <v>0</v>
      </c>
      <c r="AO1310" s="2">
        <v>0</v>
      </c>
      <c r="AP1310" s="2">
        <v>0</v>
      </c>
      <c r="AQ1310" s="2">
        <v>0</v>
      </c>
      <c r="AR1310" s="2">
        <v>0</v>
      </c>
    </row>
    <row r="1311" spans="1:44" x14ac:dyDescent="0.25">
      <c r="A1311" t="s">
        <v>131</v>
      </c>
      <c r="B1311" t="s">
        <v>171</v>
      </c>
      <c r="C1311" t="s">
        <v>43</v>
      </c>
      <c r="D1311" t="s">
        <v>172</v>
      </c>
      <c r="E1311" t="s">
        <v>145</v>
      </c>
      <c r="F1311" t="s">
        <v>172</v>
      </c>
      <c r="G1311" t="s">
        <v>28</v>
      </c>
      <c r="H1311" t="s">
        <v>141</v>
      </c>
      <c r="I1311" t="s">
        <v>135</v>
      </c>
      <c r="J1311" t="s">
        <v>39</v>
      </c>
      <c r="K1311" t="s">
        <v>28</v>
      </c>
      <c r="L1311">
        <v>1.6000000000000014</v>
      </c>
      <c r="M1311">
        <v>1</v>
      </c>
      <c r="N1311">
        <v>1.0868938912758126</v>
      </c>
      <c r="O1311">
        <v>2.2991652021706153</v>
      </c>
      <c r="P1311">
        <v>0.35237906657670803</v>
      </c>
      <c r="Q1311">
        <v>1.5400545897156579</v>
      </c>
      <c r="R1311">
        <v>-0.4596391366222527</v>
      </c>
      <c r="S1311" s="2">
        <v>0</v>
      </c>
      <c r="T1311" s="2">
        <v>0</v>
      </c>
      <c r="U1311" s="2">
        <v>0</v>
      </c>
      <c r="V1311" s="2">
        <v>0</v>
      </c>
      <c r="W1311" s="2">
        <v>0</v>
      </c>
      <c r="X1311" s="2">
        <v>0</v>
      </c>
      <c r="Y1311" s="2">
        <v>0</v>
      </c>
      <c r="Z1311" s="2">
        <v>0</v>
      </c>
      <c r="AA1311" s="2">
        <v>0</v>
      </c>
      <c r="AB1311" s="2">
        <v>0</v>
      </c>
      <c r="AC1311" s="2">
        <v>0</v>
      </c>
      <c r="AD1311" s="2">
        <v>0</v>
      </c>
      <c r="AE1311" s="2">
        <v>0</v>
      </c>
      <c r="AF1311" s="2">
        <v>0</v>
      </c>
      <c r="AG1311" s="2">
        <v>0</v>
      </c>
      <c r="AH1311" s="2">
        <v>0</v>
      </c>
      <c r="AI1311" s="2">
        <v>0</v>
      </c>
      <c r="AJ1311" s="2">
        <v>0</v>
      </c>
      <c r="AK1311" s="2">
        <v>0</v>
      </c>
      <c r="AL1311" s="2">
        <v>0</v>
      </c>
      <c r="AM1311" s="2">
        <v>0</v>
      </c>
      <c r="AN1311" s="2">
        <v>0</v>
      </c>
      <c r="AO1311" s="2">
        <v>0</v>
      </c>
      <c r="AP1311" s="2">
        <v>0</v>
      </c>
      <c r="AQ1311" s="2">
        <v>0</v>
      </c>
      <c r="AR1311" s="2">
        <v>0</v>
      </c>
    </row>
    <row r="1312" spans="1:44" x14ac:dyDescent="0.25">
      <c r="A1312" t="s">
        <v>131</v>
      </c>
      <c r="B1312" t="s">
        <v>171</v>
      </c>
      <c r="C1312" t="s">
        <v>43</v>
      </c>
      <c r="D1312" t="s">
        <v>172</v>
      </c>
      <c r="E1312" t="s">
        <v>145</v>
      </c>
      <c r="F1312" t="s">
        <v>172</v>
      </c>
      <c r="G1312" t="s">
        <v>28</v>
      </c>
      <c r="H1312" t="s">
        <v>52</v>
      </c>
      <c r="I1312" t="s">
        <v>135</v>
      </c>
      <c r="J1312" t="s">
        <v>39</v>
      </c>
      <c r="K1312" t="s">
        <v>28</v>
      </c>
      <c r="L1312">
        <v>1.6000000000000014</v>
      </c>
      <c r="M1312">
        <v>1</v>
      </c>
      <c r="N1312">
        <v>1.0868938912758126</v>
      </c>
      <c r="O1312">
        <v>2.2991652021706153</v>
      </c>
      <c r="P1312">
        <v>0.35237906657670803</v>
      </c>
      <c r="Q1312">
        <v>1.5400545897156579</v>
      </c>
      <c r="R1312">
        <v>-0.4596391366222527</v>
      </c>
      <c r="S1312" s="2">
        <v>2.3723104831666961E-4</v>
      </c>
      <c r="T1312" s="2">
        <v>3.646420303030341E-4</v>
      </c>
      <c r="U1312" s="2">
        <v>7.9557579428391053E-4</v>
      </c>
      <c r="V1312" s="2">
        <v>1.4956359563683395E-3</v>
      </c>
      <c r="W1312" s="2">
        <v>2.5566241074444322E-3</v>
      </c>
      <c r="X1312" s="2">
        <v>4.0735601072885265E-3</v>
      </c>
      <c r="Y1312" s="2">
        <v>6.1329627398466939E-3</v>
      </c>
      <c r="Z1312" s="2">
        <v>8.7967861314408834E-3</v>
      </c>
      <c r="AA1312" s="2">
        <v>1.2083242072944388E-2</v>
      </c>
      <c r="AB1312" s="2">
        <v>1.594773467029308E-2</v>
      </c>
      <c r="AC1312" s="2">
        <v>2.0269231797478374E-2</v>
      </c>
      <c r="AD1312" s="2">
        <v>2.4848743604625415E-2</v>
      </c>
      <c r="AE1312" s="2">
        <v>4.344758202696053E-2</v>
      </c>
      <c r="AF1312" s="2">
        <v>4.0322514275400304E-2</v>
      </c>
      <c r="AG1312" s="2">
        <v>4.6197859502340059E-2</v>
      </c>
      <c r="AH1312" s="2">
        <v>4.9929866389270584E-2</v>
      </c>
      <c r="AI1312" s="2">
        <v>5.2264086945717755E-2</v>
      </c>
      <c r="AJ1312" s="2">
        <v>5.3584589786716576E-2</v>
      </c>
      <c r="AK1312" s="2">
        <v>5.3721807231758657E-2</v>
      </c>
      <c r="AL1312" s="2">
        <v>5.3541910562977038E-2</v>
      </c>
      <c r="AM1312" s="2">
        <v>5.2613995071278521E-2</v>
      </c>
      <c r="AN1312" s="2">
        <v>5.1408586203241798E-2</v>
      </c>
      <c r="AO1312" s="2">
        <v>3.8538873091534025E-2</v>
      </c>
      <c r="AP1312" s="2">
        <v>3.7315790274919233E-3</v>
      </c>
      <c r="AQ1312" s="2">
        <v>2.7743456814931164E-3</v>
      </c>
      <c r="AR1312" s="2">
        <v>0.63967956585681451</v>
      </c>
    </row>
    <row r="1313" spans="1:44" x14ac:dyDescent="0.25">
      <c r="A1313" t="s">
        <v>131</v>
      </c>
      <c r="B1313" t="s">
        <v>171</v>
      </c>
      <c r="C1313" t="s">
        <v>43</v>
      </c>
      <c r="D1313" t="s">
        <v>172</v>
      </c>
      <c r="E1313" t="s">
        <v>145</v>
      </c>
      <c r="F1313" t="s">
        <v>172</v>
      </c>
      <c r="G1313" t="s">
        <v>28</v>
      </c>
      <c r="H1313" t="s">
        <v>138</v>
      </c>
      <c r="I1313" t="s">
        <v>135</v>
      </c>
      <c r="J1313" t="s">
        <v>39</v>
      </c>
      <c r="K1313" t="s">
        <v>28</v>
      </c>
      <c r="L1313">
        <v>1.6000000000000014</v>
      </c>
      <c r="M1313">
        <v>1</v>
      </c>
      <c r="N1313">
        <v>1.0868938912758126</v>
      </c>
      <c r="O1313">
        <v>2.2991652021706153</v>
      </c>
      <c r="P1313">
        <v>0.35237906657670803</v>
      </c>
      <c r="Q1313">
        <v>1.5400545897156579</v>
      </c>
      <c r="R1313">
        <v>-0.4596391366222527</v>
      </c>
      <c r="S1313" s="2">
        <v>8.2291432977257592E-5</v>
      </c>
      <c r="T1313" s="2">
        <v>1.2648814482882662E-4</v>
      </c>
      <c r="U1313" s="2">
        <v>2.7597176937080764E-4</v>
      </c>
      <c r="V1313" s="2">
        <v>5.1881078355970592E-4</v>
      </c>
      <c r="W1313" s="2">
        <v>8.8684960454656092E-4</v>
      </c>
      <c r="X1313" s="2">
        <v>1.4130490124559679E-3</v>
      </c>
      <c r="Y1313" s="2">
        <v>2.127420908179029E-3</v>
      </c>
      <c r="Z1313" s="2">
        <v>3.0514561288977368E-3</v>
      </c>
      <c r="AA1313" s="2">
        <v>4.1914720364358473E-3</v>
      </c>
      <c r="AB1313" s="2">
        <v>5.5319990704070666E-3</v>
      </c>
      <c r="AC1313" s="2">
        <v>7.0310532360678569E-3</v>
      </c>
      <c r="AD1313" s="2">
        <v>8.6196083245373631E-3</v>
      </c>
      <c r="AE1313" s="2">
        <v>1.5071230388119031E-2</v>
      </c>
      <c r="AF1313" s="2">
        <v>1.3987197310443513E-2</v>
      </c>
      <c r="AG1313" s="2">
        <v>1.6025255066338829E-2</v>
      </c>
      <c r="AH1313" s="2">
        <v>1.7319825051109773E-2</v>
      </c>
      <c r="AI1313" s="2">
        <v>1.8129526630384515E-2</v>
      </c>
      <c r="AJ1313" s="2">
        <v>1.8587586702231762E-2</v>
      </c>
      <c r="AK1313" s="2">
        <v>1.8635185110037637E-2</v>
      </c>
      <c r="AL1313" s="2">
        <v>1.8572782002320827E-2</v>
      </c>
      <c r="AM1313" s="2">
        <v>1.8250903833187851E-2</v>
      </c>
      <c r="AN1313" s="2">
        <v>1.7832767911359338E-2</v>
      </c>
      <c r="AO1313" s="2">
        <v>1.3368482391047003E-2</v>
      </c>
      <c r="AP1313" s="2">
        <v>1.2944215675778198E-3</v>
      </c>
      <c r="AQ1313" s="2">
        <v>9.6237353130767145E-4</v>
      </c>
      <c r="AR1313" s="2">
        <v>0.22189400794772959</v>
      </c>
    </row>
    <row r="1314" spans="1:44" x14ac:dyDescent="0.25">
      <c r="A1314" t="s">
        <v>131</v>
      </c>
      <c r="B1314" t="s">
        <v>171</v>
      </c>
      <c r="C1314" t="s">
        <v>43</v>
      </c>
      <c r="D1314" t="s">
        <v>172</v>
      </c>
      <c r="E1314" t="s">
        <v>148</v>
      </c>
      <c r="F1314" t="s">
        <v>172</v>
      </c>
      <c r="G1314" t="s">
        <v>28</v>
      </c>
      <c r="H1314" t="s">
        <v>55</v>
      </c>
      <c r="I1314" t="s">
        <v>135</v>
      </c>
      <c r="J1314" t="s">
        <v>39</v>
      </c>
      <c r="K1314" t="s">
        <v>28</v>
      </c>
      <c r="L1314">
        <v>1.6000000000000014</v>
      </c>
      <c r="M1314">
        <v>1</v>
      </c>
      <c r="N1314">
        <v>1.0868938912758126</v>
      </c>
      <c r="O1314">
        <v>2.2991652021706153</v>
      </c>
      <c r="P1314">
        <v>0.35237906657670803</v>
      </c>
      <c r="Q1314">
        <v>1.5400545897156579</v>
      </c>
      <c r="R1314">
        <v>-0.4596391366222527</v>
      </c>
      <c r="S1314" s="2">
        <v>0</v>
      </c>
      <c r="T1314" s="2">
        <v>0</v>
      </c>
      <c r="U1314" s="2">
        <v>0</v>
      </c>
      <c r="V1314" s="2">
        <v>0</v>
      </c>
      <c r="W1314" s="2">
        <v>0</v>
      </c>
      <c r="X1314" s="2">
        <v>0</v>
      </c>
      <c r="Y1314" s="2">
        <v>0</v>
      </c>
      <c r="Z1314" s="2">
        <v>0</v>
      </c>
      <c r="AA1314" s="2">
        <v>0</v>
      </c>
      <c r="AB1314" s="2">
        <v>0</v>
      </c>
      <c r="AC1314" s="2">
        <v>0</v>
      </c>
      <c r="AD1314" s="2">
        <v>0</v>
      </c>
      <c r="AE1314" s="2">
        <v>0</v>
      </c>
      <c r="AF1314" s="2">
        <v>0</v>
      </c>
      <c r="AG1314" s="2">
        <v>0</v>
      </c>
      <c r="AH1314" s="2">
        <v>0</v>
      </c>
      <c r="AI1314" s="2">
        <v>0</v>
      </c>
      <c r="AJ1314" s="2">
        <v>0</v>
      </c>
      <c r="AK1314" s="2">
        <v>0</v>
      </c>
      <c r="AL1314" s="2">
        <v>0</v>
      </c>
      <c r="AM1314" s="2">
        <v>0</v>
      </c>
      <c r="AN1314" s="2">
        <v>0</v>
      </c>
      <c r="AO1314" s="2">
        <v>0</v>
      </c>
      <c r="AP1314" s="2">
        <v>0</v>
      </c>
      <c r="AQ1314" s="2">
        <v>0</v>
      </c>
      <c r="AR1314" s="2">
        <v>0</v>
      </c>
    </row>
    <row r="1315" spans="1:44" x14ac:dyDescent="0.25">
      <c r="A1315" t="s">
        <v>131</v>
      </c>
      <c r="B1315" t="s">
        <v>171</v>
      </c>
      <c r="C1315" t="s">
        <v>43</v>
      </c>
      <c r="D1315" t="s">
        <v>172</v>
      </c>
      <c r="E1315" t="s">
        <v>148</v>
      </c>
      <c r="F1315" t="s">
        <v>172</v>
      </c>
      <c r="G1315" t="s">
        <v>28</v>
      </c>
      <c r="H1315" t="s">
        <v>136</v>
      </c>
      <c r="I1315" t="s">
        <v>135</v>
      </c>
      <c r="J1315" t="s">
        <v>39</v>
      </c>
      <c r="K1315" t="s">
        <v>28</v>
      </c>
      <c r="L1315">
        <v>1.6000000000000014</v>
      </c>
      <c r="M1315">
        <v>1</v>
      </c>
      <c r="N1315">
        <v>1.0868938912758126</v>
      </c>
      <c r="O1315">
        <v>2.2991652021706153</v>
      </c>
      <c r="P1315">
        <v>0.35237906657670803</v>
      </c>
      <c r="Q1315">
        <v>1.5400545897156579</v>
      </c>
      <c r="R1315">
        <v>-0.4596391366222527</v>
      </c>
      <c r="S1315" s="2">
        <v>0</v>
      </c>
      <c r="T1315" s="2">
        <v>0</v>
      </c>
      <c r="U1315" s="2">
        <v>0</v>
      </c>
      <c r="V1315" s="2">
        <v>0</v>
      </c>
      <c r="W1315" s="2">
        <v>0</v>
      </c>
      <c r="X1315" s="2">
        <v>0</v>
      </c>
      <c r="Y1315" s="2">
        <v>0</v>
      </c>
      <c r="Z1315" s="2">
        <v>0</v>
      </c>
      <c r="AA1315" s="2">
        <v>0</v>
      </c>
      <c r="AB1315" s="2">
        <v>0</v>
      </c>
      <c r="AC1315" s="2">
        <v>0</v>
      </c>
      <c r="AD1315" s="2">
        <v>0</v>
      </c>
      <c r="AE1315" s="2">
        <v>0</v>
      </c>
      <c r="AF1315" s="2">
        <v>0</v>
      </c>
      <c r="AG1315" s="2">
        <v>0</v>
      </c>
      <c r="AH1315" s="2">
        <v>0</v>
      </c>
      <c r="AI1315" s="2">
        <v>0</v>
      </c>
      <c r="AJ1315" s="2">
        <v>0</v>
      </c>
      <c r="AK1315" s="2">
        <v>0</v>
      </c>
      <c r="AL1315" s="2">
        <v>0</v>
      </c>
      <c r="AM1315" s="2">
        <v>0</v>
      </c>
      <c r="AN1315" s="2">
        <v>0</v>
      </c>
      <c r="AO1315" s="2">
        <v>0</v>
      </c>
      <c r="AP1315" s="2">
        <v>0</v>
      </c>
      <c r="AQ1315" s="2">
        <v>0</v>
      </c>
      <c r="AR1315" s="2">
        <v>0</v>
      </c>
    </row>
    <row r="1316" spans="1:44" x14ac:dyDescent="0.25">
      <c r="A1316" t="s">
        <v>131</v>
      </c>
      <c r="B1316" t="s">
        <v>171</v>
      </c>
      <c r="C1316" t="s">
        <v>43</v>
      </c>
      <c r="D1316" t="s">
        <v>172</v>
      </c>
      <c r="E1316" t="s">
        <v>148</v>
      </c>
      <c r="F1316" t="s">
        <v>172</v>
      </c>
      <c r="G1316" t="s">
        <v>28</v>
      </c>
      <c r="H1316" t="s">
        <v>54</v>
      </c>
      <c r="I1316" t="s">
        <v>135</v>
      </c>
      <c r="J1316" t="s">
        <v>39</v>
      </c>
      <c r="K1316" t="s">
        <v>28</v>
      </c>
      <c r="L1316">
        <v>1.6000000000000014</v>
      </c>
      <c r="M1316">
        <v>1</v>
      </c>
      <c r="N1316">
        <v>1.0868938912758126</v>
      </c>
      <c r="O1316">
        <v>2.2991652021706153</v>
      </c>
      <c r="P1316">
        <v>0.35237906657670803</v>
      </c>
      <c r="Q1316">
        <v>1.5400545897156579</v>
      </c>
      <c r="R1316">
        <v>-0.4596391366222527</v>
      </c>
      <c r="S1316" s="2">
        <v>8.2013275867829664E-6</v>
      </c>
      <c r="T1316" s="2">
        <v>5.1908324852052898E-6</v>
      </c>
      <c r="U1316" s="2">
        <v>1.3590960630922933E-5</v>
      </c>
      <c r="V1316" s="2">
        <v>2.5954524873540876E-5</v>
      </c>
      <c r="W1316" s="2">
        <v>4.3573705026852611E-5</v>
      </c>
      <c r="X1316" s="2">
        <v>6.7366895283205635E-5</v>
      </c>
      <c r="Y1316" s="2">
        <v>9.7108866700844617E-5</v>
      </c>
      <c r="Z1316" s="2">
        <v>1.3356280056436027E-4</v>
      </c>
      <c r="AA1316" s="2">
        <v>1.7556595520332342E-4</v>
      </c>
      <c r="AB1316" s="2">
        <v>2.2100962350814855E-4</v>
      </c>
      <c r="AC1316" s="2">
        <v>2.6719646695225852E-4</v>
      </c>
      <c r="AD1316" s="2">
        <v>3.1064855046518912E-4</v>
      </c>
      <c r="AE1316" s="2">
        <v>3.4769211897307611E-4</v>
      </c>
      <c r="AF1316" s="2">
        <v>3.7508335272380959E-4</v>
      </c>
      <c r="AG1316" s="2">
        <v>3.9063820472816276E-4</v>
      </c>
      <c r="AH1316" s="2">
        <v>3.9366157251651446E-4</v>
      </c>
      <c r="AI1316" s="2">
        <v>3.8500557523440487E-4</v>
      </c>
      <c r="AJ1316" s="2">
        <v>3.677242946382611E-4</v>
      </c>
      <c r="AK1316" s="2">
        <v>3.4202883164231873E-4</v>
      </c>
      <c r="AL1316" s="2">
        <v>3.1360615687318406E-4</v>
      </c>
      <c r="AM1316" s="2">
        <v>2.8062521414450308E-4</v>
      </c>
      <c r="AN1316" s="2">
        <v>2.4629773856900709E-4</v>
      </c>
      <c r="AO1316" s="2">
        <v>2.1189415024718241E-4</v>
      </c>
      <c r="AP1316" s="2">
        <v>1.7742687495079279E-4</v>
      </c>
      <c r="AQ1316" s="2">
        <v>1.4291045542977454E-4</v>
      </c>
      <c r="AR1316" s="2">
        <v>5.3435650499516259E-3</v>
      </c>
    </row>
    <row r="1317" spans="1:44" x14ac:dyDescent="0.25">
      <c r="A1317" t="s">
        <v>131</v>
      </c>
      <c r="B1317" t="s">
        <v>171</v>
      </c>
      <c r="C1317" t="s">
        <v>43</v>
      </c>
      <c r="D1317" t="s">
        <v>172</v>
      </c>
      <c r="E1317" t="s">
        <v>148</v>
      </c>
      <c r="F1317" t="s">
        <v>172</v>
      </c>
      <c r="G1317" t="s">
        <v>28</v>
      </c>
      <c r="H1317" t="s">
        <v>142</v>
      </c>
      <c r="I1317" t="s">
        <v>135</v>
      </c>
      <c r="J1317" t="s">
        <v>39</v>
      </c>
      <c r="K1317" t="s">
        <v>28</v>
      </c>
      <c r="L1317">
        <v>1.6000000000000014</v>
      </c>
      <c r="M1317">
        <v>1</v>
      </c>
      <c r="N1317">
        <v>1.0868938912758126</v>
      </c>
      <c r="O1317">
        <v>2.2991652021706153</v>
      </c>
      <c r="P1317">
        <v>0.35237906657670803</v>
      </c>
      <c r="Q1317">
        <v>1.5400545897156579</v>
      </c>
      <c r="R1317">
        <v>-0.4596391366222527</v>
      </c>
      <c r="S1317" s="2">
        <v>6.5734258798587093E-6</v>
      </c>
      <c r="T1317" s="2">
        <v>4.1604913637700676E-6</v>
      </c>
      <c r="U1317" s="2">
        <v>1.0893257390111592E-5</v>
      </c>
      <c r="V1317" s="2">
        <v>2.08027473232652E-5</v>
      </c>
      <c r="W1317" s="2">
        <v>3.4924653024035094E-5</v>
      </c>
      <c r="X1317" s="2">
        <v>5.3995074360157382E-5</v>
      </c>
      <c r="Y1317" s="2">
        <v>7.7833488637108869E-5</v>
      </c>
      <c r="Z1317" s="2">
        <v>1.0705159140711301E-4</v>
      </c>
      <c r="AA1317" s="2">
        <v>1.4071743645693537E-4</v>
      </c>
      <c r="AB1317" s="2">
        <v>1.7714087914346593E-4</v>
      </c>
      <c r="AC1317" s="2">
        <v>2.1415998230595512E-4</v>
      </c>
      <c r="AD1317" s="2">
        <v>2.4898715476983735E-4</v>
      </c>
      <c r="AE1317" s="2">
        <v>2.7867785415178897E-4</v>
      </c>
      <c r="AF1317" s="2">
        <v>3.0063213446958537E-4</v>
      </c>
      <c r="AG1317" s="2">
        <v>3.1309946559870359E-4</v>
      </c>
      <c r="AH1317" s="2">
        <v>3.1552271767027021E-4</v>
      </c>
      <c r="AI1317" s="2">
        <v>3.0858487060245188E-4</v>
      </c>
      <c r="AJ1317" s="2">
        <v>2.9473379394373127E-4</v>
      </c>
      <c r="AK1317" s="2">
        <v>2.7413868666808843E-4</v>
      </c>
      <c r="AL1317" s="2">
        <v>2.5135769859935915E-4</v>
      </c>
      <c r="AM1317" s="2">
        <v>2.2492322440225587E-4</v>
      </c>
      <c r="AN1317" s="2">
        <v>1.9740949397867834E-4</v>
      </c>
      <c r="AO1317" s="2">
        <v>1.6983475861520082E-4</v>
      </c>
      <c r="AP1317" s="2">
        <v>1.4220897766156391E-4</v>
      </c>
      <c r="AQ1317" s="2">
        <v>1.1454380724145215E-4</v>
      </c>
      <c r="AR1317" s="2">
        <v>4.2829076656647445E-3</v>
      </c>
    </row>
    <row r="1318" spans="1:44" x14ac:dyDescent="0.25">
      <c r="A1318" t="s">
        <v>131</v>
      </c>
      <c r="B1318" t="s">
        <v>171</v>
      </c>
      <c r="C1318" t="s">
        <v>43</v>
      </c>
      <c r="D1318" t="s">
        <v>172</v>
      </c>
      <c r="E1318" t="s">
        <v>148</v>
      </c>
      <c r="F1318" t="s">
        <v>172</v>
      </c>
      <c r="G1318" t="s">
        <v>28</v>
      </c>
      <c r="H1318" t="s">
        <v>53</v>
      </c>
      <c r="I1318" t="s">
        <v>135</v>
      </c>
      <c r="J1318" t="s">
        <v>39</v>
      </c>
      <c r="K1318" t="s">
        <v>28</v>
      </c>
      <c r="L1318">
        <v>1.6000000000000014</v>
      </c>
      <c r="M1318">
        <v>1</v>
      </c>
      <c r="N1318">
        <v>1.0868938912758126</v>
      </c>
      <c r="O1318">
        <v>2.2991652021706153</v>
      </c>
      <c r="P1318">
        <v>0.35237906657670803</v>
      </c>
      <c r="Q1318">
        <v>1.5400545897156579</v>
      </c>
      <c r="R1318">
        <v>-0.4596391366222527</v>
      </c>
      <c r="S1318" s="2">
        <v>0</v>
      </c>
      <c r="T1318" s="2">
        <v>0</v>
      </c>
      <c r="U1318" s="2">
        <v>0</v>
      </c>
      <c r="V1318" s="2">
        <v>0</v>
      </c>
      <c r="W1318" s="2">
        <v>0</v>
      </c>
      <c r="X1318" s="2">
        <v>0</v>
      </c>
      <c r="Y1318" s="2">
        <v>0</v>
      </c>
      <c r="Z1318" s="2">
        <v>0</v>
      </c>
      <c r="AA1318" s="2">
        <v>0</v>
      </c>
      <c r="AB1318" s="2">
        <v>0</v>
      </c>
      <c r="AC1318" s="2">
        <v>0</v>
      </c>
      <c r="AD1318" s="2">
        <v>0</v>
      </c>
      <c r="AE1318" s="2">
        <v>0</v>
      </c>
      <c r="AF1318" s="2">
        <v>0</v>
      </c>
      <c r="AG1318" s="2">
        <v>0</v>
      </c>
      <c r="AH1318" s="2">
        <v>0</v>
      </c>
      <c r="AI1318" s="2">
        <v>0</v>
      </c>
      <c r="AJ1318" s="2">
        <v>0</v>
      </c>
      <c r="AK1318" s="2">
        <v>0</v>
      </c>
      <c r="AL1318" s="2">
        <v>0</v>
      </c>
      <c r="AM1318" s="2">
        <v>0</v>
      </c>
      <c r="AN1318" s="2">
        <v>0</v>
      </c>
      <c r="AO1318" s="2">
        <v>0</v>
      </c>
      <c r="AP1318" s="2">
        <v>0</v>
      </c>
      <c r="AQ1318" s="2">
        <v>0</v>
      </c>
      <c r="AR1318" s="2">
        <v>0</v>
      </c>
    </row>
    <row r="1319" spans="1:44" x14ac:dyDescent="0.25">
      <c r="A1319" t="s">
        <v>131</v>
      </c>
      <c r="B1319" t="s">
        <v>171</v>
      </c>
      <c r="C1319" t="s">
        <v>43</v>
      </c>
      <c r="D1319" t="s">
        <v>172</v>
      </c>
      <c r="E1319" t="s">
        <v>148</v>
      </c>
      <c r="F1319" t="s">
        <v>172</v>
      </c>
      <c r="G1319" t="s">
        <v>28</v>
      </c>
      <c r="H1319" t="s">
        <v>141</v>
      </c>
      <c r="I1319" t="s">
        <v>135</v>
      </c>
      <c r="J1319" t="s">
        <v>39</v>
      </c>
      <c r="K1319" t="s">
        <v>28</v>
      </c>
      <c r="L1319">
        <v>1.6000000000000014</v>
      </c>
      <c r="M1319">
        <v>1</v>
      </c>
      <c r="N1319">
        <v>1.0868938912758126</v>
      </c>
      <c r="O1319">
        <v>2.2991652021706153</v>
      </c>
      <c r="P1319">
        <v>0.35237906657670803</v>
      </c>
      <c r="Q1319">
        <v>1.5400545897156579</v>
      </c>
      <c r="R1319">
        <v>-0.4596391366222527</v>
      </c>
      <c r="S1319" s="2">
        <v>0</v>
      </c>
      <c r="T1319" s="2">
        <v>0</v>
      </c>
      <c r="U1319" s="2">
        <v>0</v>
      </c>
      <c r="V1319" s="2">
        <v>0</v>
      </c>
      <c r="W1319" s="2">
        <v>0</v>
      </c>
      <c r="X1319" s="2">
        <v>0</v>
      </c>
      <c r="Y1319" s="2">
        <v>0</v>
      </c>
      <c r="Z1319" s="2">
        <v>0</v>
      </c>
      <c r="AA1319" s="2">
        <v>0</v>
      </c>
      <c r="AB1319" s="2">
        <v>0</v>
      </c>
      <c r="AC1319" s="2">
        <v>0</v>
      </c>
      <c r="AD1319" s="2">
        <v>0</v>
      </c>
      <c r="AE1319" s="2">
        <v>0</v>
      </c>
      <c r="AF1319" s="2">
        <v>0</v>
      </c>
      <c r="AG1319" s="2">
        <v>0</v>
      </c>
      <c r="AH1319" s="2">
        <v>0</v>
      </c>
      <c r="AI1319" s="2">
        <v>0</v>
      </c>
      <c r="AJ1319" s="2">
        <v>0</v>
      </c>
      <c r="AK1319" s="2">
        <v>0</v>
      </c>
      <c r="AL1319" s="2">
        <v>0</v>
      </c>
      <c r="AM1319" s="2">
        <v>0</v>
      </c>
      <c r="AN1319" s="2">
        <v>0</v>
      </c>
      <c r="AO1319" s="2">
        <v>0</v>
      </c>
      <c r="AP1319" s="2">
        <v>0</v>
      </c>
      <c r="AQ1319" s="2">
        <v>0</v>
      </c>
      <c r="AR1319" s="2">
        <v>0</v>
      </c>
    </row>
    <row r="1320" spans="1:44" x14ac:dyDescent="0.25">
      <c r="A1320" t="s">
        <v>131</v>
      </c>
      <c r="B1320" t="s">
        <v>171</v>
      </c>
      <c r="C1320" t="s">
        <v>43</v>
      </c>
      <c r="D1320" t="s">
        <v>172</v>
      </c>
      <c r="E1320" t="s">
        <v>148</v>
      </c>
      <c r="F1320" t="s">
        <v>172</v>
      </c>
      <c r="G1320" t="s">
        <v>28</v>
      </c>
      <c r="H1320" t="s">
        <v>52</v>
      </c>
      <c r="I1320" t="s">
        <v>135</v>
      </c>
      <c r="J1320" t="s">
        <v>39</v>
      </c>
      <c r="K1320" t="s">
        <v>28</v>
      </c>
      <c r="L1320">
        <v>1.6000000000000014</v>
      </c>
      <c r="M1320">
        <v>1</v>
      </c>
      <c r="N1320">
        <v>1.0868938912758126</v>
      </c>
      <c r="O1320">
        <v>2.2991652021706153</v>
      </c>
      <c r="P1320">
        <v>0.35237906657670803</v>
      </c>
      <c r="Q1320">
        <v>1.5400545897156579</v>
      </c>
      <c r="R1320">
        <v>-0.4596391366222527</v>
      </c>
      <c r="S1320" s="2">
        <v>1.117305607147928E-4</v>
      </c>
      <c r="T1320" s="2">
        <v>7.071716353376988E-5</v>
      </c>
      <c r="U1320" s="2">
        <v>1.8515607819310958E-4</v>
      </c>
      <c r="V1320" s="2">
        <v>3.5359075546258955E-4</v>
      </c>
      <c r="W1320" s="2">
        <v>5.9362517148043052E-4</v>
      </c>
      <c r="X1320" s="2">
        <v>9.1777104425599595E-4</v>
      </c>
      <c r="Y1320" s="2">
        <v>1.3229599734985622E-3</v>
      </c>
      <c r="Z1320" s="2">
        <v>1.8195891384394458E-3</v>
      </c>
      <c r="AA1320" s="2">
        <v>2.3918179599249681E-3</v>
      </c>
      <c r="AB1320" s="2">
        <v>3.0109185246698653E-3</v>
      </c>
      <c r="AC1320" s="2">
        <v>3.6401437154759625E-3</v>
      </c>
      <c r="AD1320" s="2">
        <v>4.2321119796079236E-3</v>
      </c>
      <c r="AE1320" s="2">
        <v>4.7367740159022786E-3</v>
      </c>
      <c r="AF1320" s="2">
        <v>5.1099377352214551E-3</v>
      </c>
      <c r="AG1320" s="2">
        <v>5.3218488335030718E-3</v>
      </c>
      <c r="AH1320" s="2">
        <v>5.3630376013782217E-3</v>
      </c>
      <c r="AI1320" s="2">
        <v>5.2451128605796177E-3</v>
      </c>
      <c r="AJ1320" s="2">
        <v>5.0096818098813046E-3</v>
      </c>
      <c r="AK1320" s="2">
        <v>4.6596203767799299E-3</v>
      </c>
      <c r="AL1320" s="2">
        <v>4.2724048491272898E-3</v>
      </c>
      <c r="AM1320" s="2">
        <v>3.8230898833505238E-3</v>
      </c>
      <c r="AN1320" s="2">
        <v>3.355430464386092E-3</v>
      </c>
      <c r="AO1320" s="2">
        <v>2.8867341255160799E-3</v>
      </c>
      <c r="AP1320" s="2">
        <v>2.4171701489003753E-3</v>
      </c>
      <c r="AQ1320" s="2">
        <v>1.9469366572928597E-3</v>
      </c>
      <c r="AR1320" s="2">
        <v>7.279791142707652E-2</v>
      </c>
    </row>
    <row r="1321" spans="1:44" x14ac:dyDescent="0.25">
      <c r="A1321" t="s">
        <v>131</v>
      </c>
      <c r="B1321" t="s">
        <v>171</v>
      </c>
      <c r="C1321" t="s">
        <v>43</v>
      </c>
      <c r="D1321" t="s">
        <v>172</v>
      </c>
      <c r="E1321" t="s">
        <v>148</v>
      </c>
      <c r="F1321" t="s">
        <v>172</v>
      </c>
      <c r="G1321" t="s">
        <v>28</v>
      </c>
      <c r="H1321" t="s">
        <v>138</v>
      </c>
      <c r="I1321" t="s">
        <v>135</v>
      </c>
      <c r="J1321" t="s">
        <v>39</v>
      </c>
      <c r="K1321" t="s">
        <v>28</v>
      </c>
      <c r="L1321">
        <v>1.6000000000000014</v>
      </c>
      <c r="M1321">
        <v>1</v>
      </c>
      <c r="N1321">
        <v>1.0868938912758126</v>
      </c>
      <c r="O1321">
        <v>2.2991652021706153</v>
      </c>
      <c r="P1321">
        <v>0.35237906657670803</v>
      </c>
      <c r="Q1321">
        <v>1.5400545897156579</v>
      </c>
      <c r="R1321">
        <v>-0.4596391366222527</v>
      </c>
      <c r="S1321" s="2">
        <v>3.8757439272027656E-5</v>
      </c>
      <c r="T1321" s="2">
        <v>2.4530586382238207E-5</v>
      </c>
      <c r="U1321" s="2">
        <v>6.4227507769645931E-5</v>
      </c>
      <c r="V1321" s="2">
        <v>1.2265464474821433E-4</v>
      </c>
      <c r="W1321" s="2">
        <v>2.0591851850389653E-4</v>
      </c>
      <c r="X1321" s="2">
        <v>3.1835923211891431E-4</v>
      </c>
      <c r="Y1321" s="2">
        <v>4.5891240949805153E-4</v>
      </c>
      <c r="Z1321" s="2">
        <v>6.3118465603270604E-4</v>
      </c>
      <c r="AA1321" s="2">
        <v>8.296811430864294E-4</v>
      </c>
      <c r="AB1321" s="2">
        <v>1.0444366440690873E-3</v>
      </c>
      <c r="AC1321" s="2">
        <v>1.2627042063643142E-3</v>
      </c>
      <c r="AD1321" s="2">
        <v>1.4680479717699923E-3</v>
      </c>
      <c r="AE1321" s="2">
        <v>1.6431066853345208E-3</v>
      </c>
      <c r="AF1321" s="2">
        <v>1.7725508597619313E-3</v>
      </c>
      <c r="AG1321" s="2">
        <v>1.8460592308841607E-3</v>
      </c>
      <c r="AH1321" s="2">
        <v>1.8603469168977092E-3</v>
      </c>
      <c r="AI1321" s="2">
        <v>1.8194408214576446E-3</v>
      </c>
      <c r="AJ1321" s="2">
        <v>1.7377737771699048E-3</v>
      </c>
      <c r="AK1321" s="2">
        <v>1.6163433945770949E-3</v>
      </c>
      <c r="AL1321" s="2">
        <v>1.482024885816596E-3</v>
      </c>
      <c r="AM1321" s="2">
        <v>1.3261651336709476E-3</v>
      </c>
      <c r="AN1321" s="2">
        <v>1.163942001391363E-3</v>
      </c>
      <c r="AO1321" s="2">
        <v>1.0013591791575604E-3</v>
      </c>
      <c r="AP1321" s="2">
        <v>8.3847538808388988E-4</v>
      </c>
      <c r="AQ1321" s="2">
        <v>6.7535935359824015E-4</v>
      </c>
      <c r="AR1321" s="2">
        <v>2.5252362587417084E-2</v>
      </c>
    </row>
    <row r="1322" spans="1:44" x14ac:dyDescent="0.25">
      <c r="A1322" t="s">
        <v>131</v>
      </c>
      <c r="B1322" t="s">
        <v>173</v>
      </c>
      <c r="C1322" t="s">
        <v>43</v>
      </c>
      <c r="D1322" t="s">
        <v>174</v>
      </c>
      <c r="E1322" t="s">
        <v>145</v>
      </c>
      <c r="F1322" t="s">
        <v>174</v>
      </c>
      <c r="G1322" t="s">
        <v>28</v>
      </c>
      <c r="H1322" t="s">
        <v>55</v>
      </c>
      <c r="I1322" t="s">
        <v>135</v>
      </c>
      <c r="J1322" t="s">
        <v>39</v>
      </c>
      <c r="K1322" t="s">
        <v>28</v>
      </c>
      <c r="L1322">
        <v>5.5</v>
      </c>
      <c r="M1322">
        <v>0</v>
      </c>
      <c r="N1322">
        <v>-0.36087965082923606</v>
      </c>
      <c r="O1322">
        <v>2.2991652021706162</v>
      </c>
      <c r="P1322">
        <v>-5.8259972515793415</v>
      </c>
      <c r="Q1322">
        <v>-4.638321728440391</v>
      </c>
      <c r="R1322">
        <v>-0.45963913662225314</v>
      </c>
      <c r="S1322" s="2">
        <v>1.7334001752980922E-3</v>
      </c>
      <c r="T1322" s="2">
        <v>2.3096731985262648E-3</v>
      </c>
      <c r="U1322" s="2">
        <v>2.8848607846596649E-3</v>
      </c>
      <c r="V1322" s="2">
        <v>3.4010182169118626E-3</v>
      </c>
      <c r="W1322" s="2">
        <v>3.8120150981547549E-3</v>
      </c>
      <c r="X1322" s="2">
        <v>4.1387216660894481E-3</v>
      </c>
      <c r="Y1322" s="2">
        <v>4.3978520190471109E-3</v>
      </c>
      <c r="Z1322" s="2">
        <v>4.6027993516587771E-3</v>
      </c>
      <c r="AA1322" s="2">
        <v>4.7642872795789536E-3</v>
      </c>
      <c r="AB1322" s="2">
        <v>4.8909012099042195E-3</v>
      </c>
      <c r="AC1322" s="2">
        <v>4.9895148259218904E-3</v>
      </c>
      <c r="AD1322" s="2">
        <v>5.0656304624027391E-3</v>
      </c>
      <c r="AE1322" s="2">
        <v>5.1236523333693948E-3</v>
      </c>
      <c r="AF1322" s="2">
        <v>5.1671054631270853E-3</v>
      </c>
      <c r="AG1322" s="2">
        <v>5.531361304854647E-3</v>
      </c>
      <c r="AH1322" s="2">
        <v>5.2725172129161144E-3</v>
      </c>
      <c r="AI1322" s="2">
        <v>2.8609242199863286E-3</v>
      </c>
      <c r="AJ1322" s="2">
        <v>9.9382803653620626E-5</v>
      </c>
      <c r="AK1322" s="2">
        <v>7.609224043662714E-5</v>
      </c>
      <c r="AL1322" s="2">
        <v>5.6908450438328839E-5</v>
      </c>
      <c r="AM1322" s="2">
        <v>4.1535068137755734E-5</v>
      </c>
      <c r="AN1322" s="2">
        <v>2.990410577239687E-5</v>
      </c>
      <c r="AO1322" s="2">
        <v>2.103086947810108E-5</v>
      </c>
      <c r="AP1322" s="2">
        <v>1.4280804975604991E-5</v>
      </c>
      <c r="AQ1322" s="2">
        <v>9.1963367658605827E-6</v>
      </c>
      <c r="AR1322" s="2">
        <v>7.1294565502065629E-2</v>
      </c>
    </row>
    <row r="1323" spans="1:44" x14ac:dyDescent="0.25">
      <c r="A1323" t="s">
        <v>131</v>
      </c>
      <c r="B1323" t="s">
        <v>173</v>
      </c>
      <c r="C1323" t="s">
        <v>43</v>
      </c>
      <c r="D1323" t="s">
        <v>174</v>
      </c>
      <c r="E1323" t="s">
        <v>145</v>
      </c>
      <c r="F1323" t="s">
        <v>174</v>
      </c>
      <c r="G1323" t="s">
        <v>28</v>
      </c>
      <c r="H1323" t="s">
        <v>136</v>
      </c>
      <c r="I1323" t="s">
        <v>135</v>
      </c>
      <c r="J1323" t="s">
        <v>39</v>
      </c>
      <c r="K1323" t="s">
        <v>28</v>
      </c>
      <c r="L1323">
        <v>5.5</v>
      </c>
      <c r="M1323">
        <v>0</v>
      </c>
      <c r="N1323">
        <v>-0.36087965082923606</v>
      </c>
      <c r="O1323">
        <v>2.2991652021706162</v>
      </c>
      <c r="P1323">
        <v>-5.8259972515793415</v>
      </c>
      <c r="Q1323">
        <v>-4.638321728440391</v>
      </c>
      <c r="R1323">
        <v>-0.45963913662225314</v>
      </c>
      <c r="S1323" s="2">
        <v>2.1763802200964934E-3</v>
      </c>
      <c r="T1323" s="2">
        <v>2.8999230159274221E-3</v>
      </c>
      <c r="U1323" s="2">
        <v>3.6221029851838007E-3</v>
      </c>
      <c r="V1323" s="2">
        <v>4.2701673167893387E-3</v>
      </c>
      <c r="W1323" s="2">
        <v>4.7861967343498573E-3</v>
      </c>
      <c r="X1323" s="2">
        <v>5.1963949807567501E-3</v>
      </c>
      <c r="Y1323" s="2">
        <v>5.5217475350258175E-3</v>
      </c>
      <c r="Z1323" s="2">
        <v>5.7790702970826856E-3</v>
      </c>
      <c r="AA1323" s="2">
        <v>5.9818273621380204E-3</v>
      </c>
      <c r="AB1323" s="2">
        <v>6.1407981857686308E-3</v>
      </c>
      <c r="AC1323" s="2">
        <v>6.2646130592130377E-3</v>
      </c>
      <c r="AD1323" s="2">
        <v>6.3601804694612164E-3</v>
      </c>
      <c r="AE1323" s="2">
        <v>6.433030151897127E-3</v>
      </c>
      <c r="AF1323" s="2">
        <v>6.4875879703706731E-3</v>
      </c>
      <c r="AG1323" s="2">
        <v>6.9449314160952768E-3</v>
      </c>
      <c r="AH1323" s="2">
        <v>6.6199382784391239E-3</v>
      </c>
      <c r="AI1323" s="2">
        <v>3.5920492984272785E-3</v>
      </c>
      <c r="AJ1323" s="2">
        <v>1.2478063125399033E-4</v>
      </c>
      <c r="AK1323" s="2">
        <v>9.5538035214876377E-5</v>
      </c>
      <c r="AL1323" s="2">
        <v>7.1451721105901747E-5</v>
      </c>
      <c r="AM1323" s="2">
        <v>5.2149585550737711E-5</v>
      </c>
      <c r="AN1323" s="2">
        <v>3.7546266136453827E-5</v>
      </c>
      <c r="AO1323" s="2">
        <v>2.6405425011393557E-5</v>
      </c>
      <c r="AP1323" s="2">
        <v>1.793034402492629E-5</v>
      </c>
      <c r="AQ1323" s="2">
        <v>1.1546511717136054E-5</v>
      </c>
      <c r="AR1323" s="2">
        <v>8.9514287797037975E-2</v>
      </c>
    </row>
    <row r="1324" spans="1:44" x14ac:dyDescent="0.25">
      <c r="A1324" t="s">
        <v>131</v>
      </c>
      <c r="B1324" t="s">
        <v>173</v>
      </c>
      <c r="C1324" t="s">
        <v>43</v>
      </c>
      <c r="D1324" t="s">
        <v>174</v>
      </c>
      <c r="E1324" t="s">
        <v>145</v>
      </c>
      <c r="F1324" t="s">
        <v>174</v>
      </c>
      <c r="G1324" t="s">
        <v>28</v>
      </c>
      <c r="H1324" t="s">
        <v>54</v>
      </c>
      <c r="I1324" t="s">
        <v>135</v>
      </c>
      <c r="J1324" t="s">
        <v>39</v>
      </c>
      <c r="K1324" t="s">
        <v>28</v>
      </c>
      <c r="L1324">
        <v>5.5</v>
      </c>
      <c r="M1324">
        <v>0</v>
      </c>
      <c r="N1324">
        <v>-0.36087965082923606</v>
      </c>
      <c r="O1324">
        <v>2.2991652021706162</v>
      </c>
      <c r="P1324">
        <v>-5.8259972515793415</v>
      </c>
      <c r="Q1324">
        <v>-4.638321728440391</v>
      </c>
      <c r="R1324">
        <v>-0.45963913662225314</v>
      </c>
      <c r="S1324" s="2">
        <v>0</v>
      </c>
      <c r="T1324" s="2">
        <v>0</v>
      </c>
      <c r="U1324" s="2">
        <v>0</v>
      </c>
      <c r="V1324" s="2">
        <v>0</v>
      </c>
      <c r="W1324" s="2">
        <v>0</v>
      </c>
      <c r="X1324" s="2">
        <v>0</v>
      </c>
      <c r="Y1324" s="2">
        <v>0</v>
      </c>
      <c r="Z1324" s="2">
        <v>0</v>
      </c>
      <c r="AA1324" s="2">
        <v>0</v>
      </c>
      <c r="AB1324" s="2">
        <v>0</v>
      </c>
      <c r="AC1324" s="2">
        <v>0</v>
      </c>
      <c r="AD1324" s="2">
        <v>0</v>
      </c>
      <c r="AE1324" s="2">
        <v>0</v>
      </c>
      <c r="AF1324" s="2">
        <v>0</v>
      </c>
      <c r="AG1324" s="2">
        <v>0</v>
      </c>
      <c r="AH1324" s="2">
        <v>0</v>
      </c>
      <c r="AI1324" s="2">
        <v>0</v>
      </c>
      <c r="AJ1324" s="2">
        <v>0</v>
      </c>
      <c r="AK1324" s="2">
        <v>0</v>
      </c>
      <c r="AL1324" s="2">
        <v>0</v>
      </c>
      <c r="AM1324" s="2">
        <v>0</v>
      </c>
      <c r="AN1324" s="2">
        <v>0</v>
      </c>
      <c r="AO1324" s="2">
        <v>0</v>
      </c>
      <c r="AP1324" s="2">
        <v>0</v>
      </c>
      <c r="AQ1324" s="2">
        <v>0</v>
      </c>
      <c r="AR1324" s="2">
        <v>0</v>
      </c>
    </row>
    <row r="1325" spans="1:44" x14ac:dyDescent="0.25">
      <c r="A1325" t="s">
        <v>131</v>
      </c>
      <c r="B1325" t="s">
        <v>173</v>
      </c>
      <c r="C1325" t="s">
        <v>43</v>
      </c>
      <c r="D1325" t="s">
        <v>174</v>
      </c>
      <c r="E1325" t="s">
        <v>145</v>
      </c>
      <c r="F1325" t="s">
        <v>174</v>
      </c>
      <c r="G1325" t="s">
        <v>28</v>
      </c>
      <c r="H1325" t="s">
        <v>142</v>
      </c>
      <c r="I1325" t="s">
        <v>135</v>
      </c>
      <c r="J1325" t="s">
        <v>39</v>
      </c>
      <c r="K1325" t="s">
        <v>28</v>
      </c>
      <c r="L1325">
        <v>5.5</v>
      </c>
      <c r="M1325">
        <v>0</v>
      </c>
      <c r="N1325">
        <v>-0.36087965082923606</v>
      </c>
      <c r="O1325">
        <v>2.2991652021706162</v>
      </c>
      <c r="P1325">
        <v>-5.8259972515793415</v>
      </c>
      <c r="Q1325">
        <v>-4.638321728440391</v>
      </c>
      <c r="R1325">
        <v>-0.45963913662225314</v>
      </c>
      <c r="S1325" s="2">
        <v>0</v>
      </c>
      <c r="T1325" s="2">
        <v>0</v>
      </c>
      <c r="U1325" s="2">
        <v>0</v>
      </c>
      <c r="V1325" s="2">
        <v>0</v>
      </c>
      <c r="W1325" s="2">
        <v>0</v>
      </c>
      <c r="X1325" s="2">
        <v>0</v>
      </c>
      <c r="Y1325" s="2">
        <v>0</v>
      </c>
      <c r="Z1325" s="2">
        <v>0</v>
      </c>
      <c r="AA1325" s="2">
        <v>0</v>
      </c>
      <c r="AB1325" s="2">
        <v>0</v>
      </c>
      <c r="AC1325" s="2">
        <v>0</v>
      </c>
      <c r="AD1325" s="2">
        <v>0</v>
      </c>
      <c r="AE1325" s="2">
        <v>0</v>
      </c>
      <c r="AF1325" s="2">
        <v>0</v>
      </c>
      <c r="AG1325" s="2">
        <v>0</v>
      </c>
      <c r="AH1325" s="2">
        <v>0</v>
      </c>
      <c r="AI1325" s="2">
        <v>0</v>
      </c>
      <c r="AJ1325" s="2">
        <v>0</v>
      </c>
      <c r="AK1325" s="2">
        <v>0</v>
      </c>
      <c r="AL1325" s="2">
        <v>0</v>
      </c>
      <c r="AM1325" s="2">
        <v>0</v>
      </c>
      <c r="AN1325" s="2">
        <v>0</v>
      </c>
      <c r="AO1325" s="2">
        <v>0</v>
      </c>
      <c r="AP1325" s="2">
        <v>0</v>
      </c>
      <c r="AQ1325" s="2">
        <v>0</v>
      </c>
      <c r="AR1325" s="2">
        <v>0</v>
      </c>
    </row>
    <row r="1326" spans="1:44" x14ac:dyDescent="0.25">
      <c r="A1326" t="s">
        <v>131</v>
      </c>
      <c r="B1326" t="s">
        <v>173</v>
      </c>
      <c r="C1326" t="s">
        <v>43</v>
      </c>
      <c r="D1326" t="s">
        <v>174</v>
      </c>
      <c r="E1326" t="s">
        <v>145</v>
      </c>
      <c r="F1326" t="s">
        <v>174</v>
      </c>
      <c r="G1326" t="s">
        <v>28</v>
      </c>
      <c r="H1326" t="s">
        <v>53</v>
      </c>
      <c r="I1326" t="s">
        <v>135</v>
      </c>
      <c r="J1326" t="s">
        <v>39</v>
      </c>
      <c r="K1326" t="s">
        <v>28</v>
      </c>
      <c r="L1326">
        <v>5.5</v>
      </c>
      <c r="M1326">
        <v>0</v>
      </c>
      <c r="N1326">
        <v>-0.36087965082923606</v>
      </c>
      <c r="O1326">
        <v>2.2991652021706162</v>
      </c>
      <c r="P1326">
        <v>-5.8259972515793415</v>
      </c>
      <c r="Q1326">
        <v>-4.638321728440391</v>
      </c>
      <c r="R1326">
        <v>-0.45963913662225314</v>
      </c>
      <c r="S1326" s="2">
        <v>1.1753602815859545E-2</v>
      </c>
      <c r="T1326" s="2">
        <v>1.5661116109697629E-2</v>
      </c>
      <c r="U1326" s="2">
        <v>1.9561269420148502E-2</v>
      </c>
      <c r="V1326" s="2">
        <v>2.3061159137249151E-2</v>
      </c>
      <c r="W1326" s="2">
        <v>2.5847990573824503E-2</v>
      </c>
      <c r="X1326" s="2">
        <v>2.8063277783067254E-2</v>
      </c>
      <c r="Y1326" s="2">
        <v>2.9820353436803192E-2</v>
      </c>
      <c r="Z1326" s="2">
        <v>3.1210032277278171E-2</v>
      </c>
      <c r="AA1326" s="2">
        <v>3.2305027530756501E-2</v>
      </c>
      <c r="AB1326" s="2">
        <v>3.3163553951374956E-2</v>
      </c>
      <c r="AC1326" s="2">
        <v>3.3832219670592426E-2</v>
      </c>
      <c r="AD1326" s="2">
        <v>3.4348334167418532E-2</v>
      </c>
      <c r="AE1326" s="2">
        <v>3.4741760933893757E-2</v>
      </c>
      <c r="AF1326" s="2">
        <v>3.5036401972677579E-2</v>
      </c>
      <c r="AG1326" s="2">
        <v>4.96205454375966E-2</v>
      </c>
      <c r="AH1326" s="2">
        <v>3.9924782356697226E-2</v>
      </c>
      <c r="AI1326" s="2">
        <v>2.343054482825354E-2</v>
      </c>
      <c r="AJ1326" s="2">
        <v>3.8766545183391236E-3</v>
      </c>
      <c r="AK1326" s="2">
        <v>2.9681526064338584E-3</v>
      </c>
      <c r="AL1326" s="2">
        <v>2.2198448163359783E-3</v>
      </c>
      <c r="AM1326" s="2">
        <v>1.6201707302095011E-3</v>
      </c>
      <c r="AN1326" s="2">
        <v>1.1664783292238104E-3</v>
      </c>
      <c r="AO1326" s="2">
        <v>8.2035736756869647E-4</v>
      </c>
      <c r="AP1326" s="2">
        <v>5.5705559814101489E-4</v>
      </c>
      <c r="AQ1326" s="2">
        <v>3.5872423764372858E-4</v>
      </c>
      <c r="AR1326" s="2">
        <v>0.51496941060708457</v>
      </c>
    </row>
    <row r="1327" spans="1:44" x14ac:dyDescent="0.25">
      <c r="A1327" t="s">
        <v>131</v>
      </c>
      <c r="B1327" t="s">
        <v>173</v>
      </c>
      <c r="C1327" t="s">
        <v>43</v>
      </c>
      <c r="D1327" t="s">
        <v>174</v>
      </c>
      <c r="E1327" t="s">
        <v>145</v>
      </c>
      <c r="F1327" t="s">
        <v>174</v>
      </c>
      <c r="G1327" t="s">
        <v>28</v>
      </c>
      <c r="H1327" t="s">
        <v>141</v>
      </c>
      <c r="I1327" t="s">
        <v>135</v>
      </c>
      <c r="J1327" t="s">
        <v>39</v>
      </c>
      <c r="K1327" t="s">
        <v>28</v>
      </c>
      <c r="L1327">
        <v>5.5</v>
      </c>
      <c r="M1327">
        <v>0</v>
      </c>
      <c r="N1327">
        <v>-0.36087965082923606</v>
      </c>
      <c r="O1327">
        <v>2.2991652021706162</v>
      </c>
      <c r="P1327">
        <v>-5.8259972515793415</v>
      </c>
      <c r="Q1327">
        <v>-4.638321728440391</v>
      </c>
      <c r="R1327">
        <v>-0.45963913662225314</v>
      </c>
      <c r="S1327" s="2">
        <v>9.8926157033484511E-3</v>
      </c>
      <c r="T1327" s="2">
        <v>1.3181439392328832E-2</v>
      </c>
      <c r="U1327" s="2">
        <v>1.6464068428624985E-2</v>
      </c>
      <c r="V1327" s="2">
        <v>1.9409808940518036E-2</v>
      </c>
      <c r="W1327" s="2">
        <v>2.1755392066302285E-2</v>
      </c>
      <c r="X1327" s="2">
        <v>2.361992546741494E-2</v>
      </c>
      <c r="Y1327" s="2">
        <v>2.5098797475976018E-2</v>
      </c>
      <c r="Z1327" s="2">
        <v>2.6268443833375784E-2</v>
      </c>
      <c r="AA1327" s="2">
        <v>2.7190064838386714E-2</v>
      </c>
      <c r="AB1327" s="2">
        <v>2.7912657909073914E-2</v>
      </c>
      <c r="AC1327" s="2">
        <v>2.8475451556081954E-2</v>
      </c>
      <c r="AD1327" s="2">
        <v>2.8909847924243923E-2</v>
      </c>
      <c r="AE1327" s="2">
        <v>2.9240982119360569E-2</v>
      </c>
      <c r="AF1327" s="2">
        <v>2.9488971660336961E-2</v>
      </c>
      <c r="AG1327" s="2">
        <v>4.1763959076643799E-2</v>
      </c>
      <c r="AH1327" s="2">
        <v>3.3603358483553489E-2</v>
      </c>
      <c r="AI1327" s="2">
        <v>1.9720708563780096E-2</v>
      </c>
      <c r="AJ1327" s="2">
        <v>3.2628508862687666E-3</v>
      </c>
      <c r="AK1327" s="2">
        <v>2.4981951104151618E-3</v>
      </c>
      <c r="AL1327" s="2">
        <v>1.8683693870827803E-3</v>
      </c>
      <c r="AM1327" s="2">
        <v>1.3636436979263299E-3</v>
      </c>
      <c r="AN1327" s="2">
        <v>9.8178592709670712E-4</v>
      </c>
      <c r="AO1327" s="2">
        <v>6.9046745103698668E-4</v>
      </c>
      <c r="AP1327" s="2">
        <v>4.6885512843535443E-4</v>
      </c>
      <c r="AQ1327" s="2">
        <v>3.0192623335013771E-4</v>
      </c>
      <c r="AR1327" s="2">
        <v>0.43343258726096295</v>
      </c>
    </row>
    <row r="1328" spans="1:44" x14ac:dyDescent="0.25">
      <c r="A1328" t="s">
        <v>131</v>
      </c>
      <c r="B1328" t="s">
        <v>173</v>
      </c>
      <c r="C1328" t="s">
        <v>43</v>
      </c>
      <c r="D1328" t="s">
        <v>174</v>
      </c>
      <c r="E1328" t="s">
        <v>145</v>
      </c>
      <c r="F1328" t="s">
        <v>174</v>
      </c>
      <c r="G1328" t="s">
        <v>28</v>
      </c>
      <c r="H1328" t="s">
        <v>52</v>
      </c>
      <c r="I1328" t="s">
        <v>135</v>
      </c>
      <c r="J1328" t="s">
        <v>39</v>
      </c>
      <c r="K1328" t="s">
        <v>28</v>
      </c>
      <c r="L1328">
        <v>5.5</v>
      </c>
      <c r="M1328">
        <v>0</v>
      </c>
      <c r="N1328">
        <v>-0.36087965082923606</v>
      </c>
      <c r="O1328">
        <v>2.2991652021706162</v>
      </c>
      <c r="P1328">
        <v>-5.8259972515793415</v>
      </c>
      <c r="Q1328">
        <v>-4.638321728440391</v>
      </c>
      <c r="R1328">
        <v>-0.45963913662225314</v>
      </c>
      <c r="S1328" s="2">
        <v>0.7871730179115467</v>
      </c>
      <c r="T1328" s="2">
        <v>1.0488705654830539</v>
      </c>
      <c r="U1328" s="2">
        <v>1.3100751935280597</v>
      </c>
      <c r="V1328" s="2">
        <v>1.5444730027895965</v>
      </c>
      <c r="W1328" s="2">
        <v>1.731115221920885</v>
      </c>
      <c r="X1328" s="2">
        <v>1.879479459283703</v>
      </c>
      <c r="Y1328" s="2">
        <v>1.9971559340395053</v>
      </c>
      <c r="Z1328" s="2">
        <v>2.0902267740127973</v>
      </c>
      <c r="AA1328" s="2">
        <v>2.1635617957744904</v>
      </c>
      <c r="AB1328" s="2">
        <v>2.2210598109841873</v>
      </c>
      <c r="AC1328" s="2">
        <v>2.2658423019715612</v>
      </c>
      <c r="AD1328" s="2">
        <v>2.3004079932255066</v>
      </c>
      <c r="AE1328" s="2">
        <v>2.3267569297980106</v>
      </c>
      <c r="AF1328" s="2">
        <v>2.3464898984318592</v>
      </c>
      <c r="AG1328" s="2">
        <v>2.5119060408268394</v>
      </c>
      <c r="AH1328" s="2">
        <v>2.394359563144739</v>
      </c>
      <c r="AI1328" s="2">
        <v>1.2992051024083848</v>
      </c>
      <c r="AJ1328" s="2">
        <v>4.5131795066928396E-2</v>
      </c>
      <c r="AK1328" s="2">
        <v>3.4555066624387662E-2</v>
      </c>
      <c r="AL1328" s="2">
        <v>2.5843309187680966E-2</v>
      </c>
      <c r="AM1328" s="2">
        <v>1.8861937018978439E-2</v>
      </c>
      <c r="AN1328" s="2">
        <v>1.3580075463391289E-2</v>
      </c>
      <c r="AO1328" s="2">
        <v>9.5505545876235429E-3</v>
      </c>
      <c r="AP1328" s="2">
        <v>6.4852101153849324E-3</v>
      </c>
      <c r="AQ1328" s="2">
        <v>4.1762475098795224E-3</v>
      </c>
      <c r="AR1328" s="2">
        <v>32.376342801108983</v>
      </c>
    </row>
    <row r="1329" spans="1:44" x14ac:dyDescent="0.25">
      <c r="A1329" t="s">
        <v>131</v>
      </c>
      <c r="B1329" t="s">
        <v>173</v>
      </c>
      <c r="C1329" t="s">
        <v>43</v>
      </c>
      <c r="D1329" t="s">
        <v>174</v>
      </c>
      <c r="E1329" t="s">
        <v>145</v>
      </c>
      <c r="F1329" t="s">
        <v>174</v>
      </c>
      <c r="G1329" t="s">
        <v>28</v>
      </c>
      <c r="H1329" t="s">
        <v>138</v>
      </c>
      <c r="I1329" t="s">
        <v>135</v>
      </c>
      <c r="J1329" t="s">
        <v>39</v>
      </c>
      <c r="K1329" t="s">
        <v>28</v>
      </c>
      <c r="L1329">
        <v>5.5</v>
      </c>
      <c r="M1329">
        <v>0</v>
      </c>
      <c r="N1329">
        <v>-0.36087965082923606</v>
      </c>
      <c r="O1329">
        <v>2.2991652021706162</v>
      </c>
      <c r="P1329">
        <v>-5.8259972515793415</v>
      </c>
      <c r="Q1329">
        <v>-4.638321728440391</v>
      </c>
      <c r="R1329">
        <v>-0.45963913662225314</v>
      </c>
      <c r="S1329" s="2">
        <v>0.27305698855448618</v>
      </c>
      <c r="T1329" s="2">
        <v>0.36383543576493149</v>
      </c>
      <c r="U1329" s="2">
        <v>0.45444289753959105</v>
      </c>
      <c r="V1329" s="2">
        <v>0.53575152787162861</v>
      </c>
      <c r="W1329" s="2">
        <v>0.60049455276382924</v>
      </c>
      <c r="X1329" s="2">
        <v>0.65195959404656589</v>
      </c>
      <c r="Y1329" s="2">
        <v>0.69277957020095426</v>
      </c>
      <c r="Z1329" s="2">
        <v>0.7250642683639692</v>
      </c>
      <c r="AA1329" s="2">
        <v>0.75050294543010276</v>
      </c>
      <c r="AB1329" s="2">
        <v>0.7704480331348037</v>
      </c>
      <c r="AC1329" s="2">
        <v>0.78598232083361685</v>
      </c>
      <c r="AD1329" s="2">
        <v>0.797972573733986</v>
      </c>
      <c r="AE1329" s="2">
        <v>0.80711257359219957</v>
      </c>
      <c r="AF1329" s="2">
        <v>0.81395760621881863</v>
      </c>
      <c r="AG1329" s="2">
        <v>0.87133766457055106</v>
      </c>
      <c r="AH1329" s="2">
        <v>0.83056278219943225</v>
      </c>
      <c r="AI1329" s="2">
        <v>0.45067224702323261</v>
      </c>
      <c r="AJ1329" s="2">
        <v>1.5655455368286601E-2</v>
      </c>
      <c r="AK1329" s="2">
        <v>1.1986567396311831E-2</v>
      </c>
      <c r="AL1329" s="2">
        <v>8.9646062815933562E-3</v>
      </c>
      <c r="AM1329" s="2">
        <v>6.5428865109873266E-3</v>
      </c>
      <c r="AN1329" s="2">
        <v>4.7106981895979668E-3</v>
      </c>
      <c r="AO1329" s="2">
        <v>3.3129256407195043E-3</v>
      </c>
      <c r="AP1329" s="2">
        <v>2.2496095571826265E-3</v>
      </c>
      <c r="AQ1329" s="2">
        <v>1.448669533327437E-3</v>
      </c>
      <c r="AR1329" s="2">
        <v>11.230805000320705</v>
      </c>
    </row>
    <row r="1330" spans="1:44" x14ac:dyDescent="0.25">
      <c r="A1330" t="s">
        <v>131</v>
      </c>
      <c r="B1330" t="s">
        <v>173</v>
      </c>
      <c r="C1330" t="s">
        <v>43</v>
      </c>
      <c r="D1330" t="s">
        <v>174</v>
      </c>
      <c r="E1330" t="s">
        <v>148</v>
      </c>
      <c r="F1330" t="s">
        <v>174</v>
      </c>
      <c r="G1330" t="s">
        <v>28</v>
      </c>
      <c r="H1330" t="s">
        <v>55</v>
      </c>
      <c r="I1330" t="s">
        <v>135</v>
      </c>
      <c r="J1330" t="s">
        <v>39</v>
      </c>
      <c r="K1330" t="s">
        <v>28</v>
      </c>
      <c r="L1330">
        <v>5.5</v>
      </c>
      <c r="M1330">
        <v>0</v>
      </c>
      <c r="N1330">
        <v>-0.36087965082923606</v>
      </c>
      <c r="O1330">
        <v>2.2991652021706162</v>
      </c>
      <c r="P1330">
        <v>-5.8259972515793415</v>
      </c>
      <c r="Q1330">
        <v>-4.638321728440391</v>
      </c>
      <c r="R1330">
        <v>-0.45963913662225314</v>
      </c>
      <c r="S1330" s="2">
        <v>1.8416161521835861E-4</v>
      </c>
      <c r="T1330" s="2">
        <v>1.0104352081087441E-4</v>
      </c>
      <c r="U1330" s="2">
        <v>1.5145412330507148E-4</v>
      </c>
      <c r="V1330" s="2">
        <v>1.8137765874374321E-4</v>
      </c>
      <c r="W1330" s="2">
        <v>1.996640468637567E-4</v>
      </c>
      <c r="X1330" s="2">
        <v>2.1034213228236806E-4</v>
      </c>
      <c r="Y1330" s="2">
        <v>2.1400150094153322E-4</v>
      </c>
      <c r="Z1330" s="2">
        <v>2.1476879203650352E-4</v>
      </c>
      <c r="AA1330" s="2">
        <v>2.1273669913890624E-4</v>
      </c>
      <c r="AB1330" s="2">
        <v>2.082997371036775E-4</v>
      </c>
      <c r="AC1330" s="2">
        <v>2.0213400794297898E-4</v>
      </c>
      <c r="AD1330" s="2">
        <v>1.9461936410817895E-4</v>
      </c>
      <c r="AE1330" s="2">
        <v>1.8605176129820003E-4</v>
      </c>
      <c r="AF1330" s="2">
        <v>1.7666165839751136E-4</v>
      </c>
      <c r="AG1330" s="2">
        <v>1.6523876645689858E-4</v>
      </c>
      <c r="AH1330" s="2">
        <v>1.5375919409386205E-4</v>
      </c>
      <c r="AI1330" s="2">
        <v>1.4223158574841945E-4</v>
      </c>
      <c r="AJ1330" s="2">
        <v>1.3066084099696244E-4</v>
      </c>
      <c r="AK1330" s="2">
        <v>1.1942187625656142E-4</v>
      </c>
      <c r="AL1330" s="2">
        <v>1.077388885432843E-4</v>
      </c>
      <c r="AM1330" s="2">
        <v>9.6022705595827463E-5</v>
      </c>
      <c r="AN1330" s="2">
        <v>8.4276729415170968E-5</v>
      </c>
      <c r="AO1330" s="2">
        <v>7.2504709417118944E-5</v>
      </c>
      <c r="AP1330" s="2">
        <v>6.0710897380071368E-5</v>
      </c>
      <c r="AQ1330" s="2">
        <v>4.8900269457728167E-5</v>
      </c>
      <c r="AR1330" s="2">
        <v>3.8187830815535674E-3</v>
      </c>
    </row>
    <row r="1331" spans="1:44" x14ac:dyDescent="0.25">
      <c r="A1331" t="s">
        <v>131</v>
      </c>
      <c r="B1331" t="s">
        <v>173</v>
      </c>
      <c r="C1331" t="s">
        <v>43</v>
      </c>
      <c r="D1331" t="s">
        <v>174</v>
      </c>
      <c r="E1331" t="s">
        <v>148</v>
      </c>
      <c r="F1331" t="s">
        <v>174</v>
      </c>
      <c r="G1331" t="s">
        <v>28</v>
      </c>
      <c r="H1331" t="s">
        <v>136</v>
      </c>
      <c r="I1331" t="s">
        <v>135</v>
      </c>
      <c r="J1331" t="s">
        <v>39</v>
      </c>
      <c r="K1331" t="s">
        <v>28</v>
      </c>
      <c r="L1331">
        <v>5.5</v>
      </c>
      <c r="M1331">
        <v>0</v>
      </c>
      <c r="N1331">
        <v>-0.36087965082923606</v>
      </c>
      <c r="O1331">
        <v>2.2991652021706162</v>
      </c>
      <c r="P1331">
        <v>-5.8259972515793415</v>
      </c>
      <c r="Q1331">
        <v>-4.638321728440391</v>
      </c>
      <c r="R1331">
        <v>-0.45963913662225314</v>
      </c>
      <c r="S1331" s="2">
        <v>2.3122513910749467E-4</v>
      </c>
      <c r="T1331" s="2">
        <v>1.2686575390698674E-4</v>
      </c>
      <c r="U1331" s="2">
        <v>1.9015906592747867E-4</v>
      </c>
      <c r="V1331" s="2">
        <v>2.2772972708936644E-4</v>
      </c>
      <c r="W1331" s="2">
        <v>2.5068930328449475E-4</v>
      </c>
      <c r="X1331" s="2">
        <v>2.6409623275452866E-4</v>
      </c>
      <c r="Y1331" s="2">
        <v>2.6869077340436922E-4</v>
      </c>
      <c r="Z1331" s="2">
        <v>2.6965415000138759E-4</v>
      </c>
      <c r="AA1331" s="2">
        <v>2.6710274447440423E-4</v>
      </c>
      <c r="AB1331" s="2">
        <v>2.6153189214128431E-4</v>
      </c>
      <c r="AC1331" s="2">
        <v>2.5379047663951778E-4</v>
      </c>
      <c r="AD1331" s="2">
        <v>2.4435542382471347E-4</v>
      </c>
      <c r="AE1331" s="2">
        <v>2.3359832251885194E-4</v>
      </c>
      <c r="AF1331" s="2">
        <v>2.2180852665465431E-4</v>
      </c>
      <c r="AG1331" s="2">
        <v>2.074664512181054E-4</v>
      </c>
      <c r="AH1331" s="2">
        <v>1.930532103622922E-4</v>
      </c>
      <c r="AI1331" s="2">
        <v>1.785796576619038E-4</v>
      </c>
      <c r="AJ1331" s="2">
        <v>1.6405194480729915E-4</v>
      </c>
      <c r="AK1331" s="2">
        <v>1.4994080018879309E-4</v>
      </c>
      <c r="AL1331" s="2">
        <v>1.3527216005990199E-4</v>
      </c>
      <c r="AM1331" s="2">
        <v>1.205618414703146E-4</v>
      </c>
      <c r="AN1331" s="2">
        <v>1.0581411582127228E-4</v>
      </c>
      <c r="AO1331" s="2">
        <v>9.1033690712604917E-5</v>
      </c>
      <c r="AP1331" s="2">
        <v>7.6225904488311149E-5</v>
      </c>
      <c r="AQ1331" s="2">
        <v>6.1397004985813461E-5</v>
      </c>
      <c r="AR1331" s="2">
        <v>4.794694313506145E-3</v>
      </c>
    </row>
    <row r="1332" spans="1:44" x14ac:dyDescent="0.25">
      <c r="A1332" t="s">
        <v>131</v>
      </c>
      <c r="B1332" t="s">
        <v>173</v>
      </c>
      <c r="C1332" t="s">
        <v>43</v>
      </c>
      <c r="D1332" t="s">
        <v>174</v>
      </c>
      <c r="E1332" t="s">
        <v>148</v>
      </c>
      <c r="F1332" t="s">
        <v>174</v>
      </c>
      <c r="G1332" t="s">
        <v>28</v>
      </c>
      <c r="H1332" t="s">
        <v>54</v>
      </c>
      <c r="I1332" t="s">
        <v>135</v>
      </c>
      <c r="J1332" t="s">
        <v>39</v>
      </c>
      <c r="K1332" t="s">
        <v>28</v>
      </c>
      <c r="L1332">
        <v>5.5</v>
      </c>
      <c r="M1332">
        <v>0</v>
      </c>
      <c r="N1332">
        <v>-0.36087965082923606</v>
      </c>
      <c r="O1332">
        <v>2.2991652021706162</v>
      </c>
      <c r="P1332">
        <v>-5.8259972515793415</v>
      </c>
      <c r="Q1332">
        <v>-4.638321728440391</v>
      </c>
      <c r="R1332">
        <v>-0.45963913662225314</v>
      </c>
      <c r="S1332" s="2">
        <v>0</v>
      </c>
      <c r="T1332" s="2">
        <v>0</v>
      </c>
      <c r="U1332" s="2">
        <v>0</v>
      </c>
      <c r="V1332" s="2">
        <v>0</v>
      </c>
      <c r="W1332" s="2">
        <v>0</v>
      </c>
      <c r="X1332" s="2">
        <v>0</v>
      </c>
      <c r="Y1332" s="2">
        <v>0</v>
      </c>
      <c r="Z1332" s="2">
        <v>0</v>
      </c>
      <c r="AA1332" s="2">
        <v>0</v>
      </c>
      <c r="AB1332" s="2">
        <v>0</v>
      </c>
      <c r="AC1332" s="2">
        <v>0</v>
      </c>
      <c r="AD1332" s="2">
        <v>0</v>
      </c>
      <c r="AE1332" s="2">
        <v>0</v>
      </c>
      <c r="AF1332" s="2">
        <v>0</v>
      </c>
      <c r="AG1332" s="2">
        <v>0</v>
      </c>
      <c r="AH1332" s="2">
        <v>0</v>
      </c>
      <c r="AI1332" s="2">
        <v>0</v>
      </c>
      <c r="AJ1332" s="2">
        <v>0</v>
      </c>
      <c r="AK1332" s="2">
        <v>0</v>
      </c>
      <c r="AL1332" s="2">
        <v>0</v>
      </c>
      <c r="AM1332" s="2">
        <v>0</v>
      </c>
      <c r="AN1332" s="2">
        <v>0</v>
      </c>
      <c r="AO1332" s="2">
        <v>0</v>
      </c>
      <c r="AP1332" s="2">
        <v>0</v>
      </c>
      <c r="AQ1332" s="2">
        <v>0</v>
      </c>
      <c r="AR1332" s="2">
        <v>0</v>
      </c>
    </row>
    <row r="1333" spans="1:44" x14ac:dyDescent="0.25">
      <c r="A1333" t="s">
        <v>131</v>
      </c>
      <c r="B1333" t="s">
        <v>173</v>
      </c>
      <c r="C1333" t="s">
        <v>43</v>
      </c>
      <c r="D1333" t="s">
        <v>174</v>
      </c>
      <c r="E1333" t="s">
        <v>148</v>
      </c>
      <c r="F1333" t="s">
        <v>174</v>
      </c>
      <c r="G1333" t="s">
        <v>28</v>
      </c>
      <c r="H1333" t="s">
        <v>142</v>
      </c>
      <c r="I1333" t="s">
        <v>135</v>
      </c>
      <c r="J1333" t="s">
        <v>39</v>
      </c>
      <c r="K1333" t="s">
        <v>28</v>
      </c>
      <c r="L1333">
        <v>5.5</v>
      </c>
      <c r="M1333">
        <v>0</v>
      </c>
      <c r="N1333">
        <v>-0.36087965082923606</v>
      </c>
      <c r="O1333">
        <v>2.2991652021706162</v>
      </c>
      <c r="P1333">
        <v>-5.8259972515793415</v>
      </c>
      <c r="Q1333">
        <v>-4.638321728440391</v>
      </c>
      <c r="R1333">
        <v>-0.45963913662225314</v>
      </c>
      <c r="S1333" s="2">
        <v>0</v>
      </c>
      <c r="T1333" s="2">
        <v>0</v>
      </c>
      <c r="U1333" s="2">
        <v>0</v>
      </c>
      <c r="V1333" s="2">
        <v>0</v>
      </c>
      <c r="W1333" s="2">
        <v>0</v>
      </c>
      <c r="X1333" s="2">
        <v>0</v>
      </c>
      <c r="Y1333" s="2">
        <v>0</v>
      </c>
      <c r="Z1333" s="2">
        <v>0</v>
      </c>
      <c r="AA1333" s="2">
        <v>0</v>
      </c>
      <c r="AB1333" s="2">
        <v>0</v>
      </c>
      <c r="AC1333" s="2">
        <v>0</v>
      </c>
      <c r="AD1333" s="2">
        <v>0</v>
      </c>
      <c r="AE1333" s="2">
        <v>0</v>
      </c>
      <c r="AF1333" s="2">
        <v>0</v>
      </c>
      <c r="AG1333" s="2">
        <v>0</v>
      </c>
      <c r="AH1333" s="2">
        <v>0</v>
      </c>
      <c r="AI1333" s="2">
        <v>0</v>
      </c>
      <c r="AJ1333" s="2">
        <v>0</v>
      </c>
      <c r="AK1333" s="2">
        <v>0</v>
      </c>
      <c r="AL1333" s="2">
        <v>0</v>
      </c>
      <c r="AM1333" s="2">
        <v>0</v>
      </c>
      <c r="AN1333" s="2">
        <v>0</v>
      </c>
      <c r="AO1333" s="2">
        <v>0</v>
      </c>
      <c r="AP1333" s="2">
        <v>0</v>
      </c>
      <c r="AQ1333" s="2">
        <v>0</v>
      </c>
      <c r="AR1333" s="2">
        <v>0</v>
      </c>
    </row>
    <row r="1334" spans="1:44" x14ac:dyDescent="0.25">
      <c r="A1334" t="s">
        <v>131</v>
      </c>
      <c r="B1334" t="s">
        <v>173</v>
      </c>
      <c r="C1334" t="s">
        <v>43</v>
      </c>
      <c r="D1334" t="s">
        <v>174</v>
      </c>
      <c r="E1334" t="s">
        <v>148</v>
      </c>
      <c r="F1334" t="s">
        <v>174</v>
      </c>
      <c r="G1334" t="s">
        <v>28</v>
      </c>
      <c r="H1334" t="s">
        <v>53</v>
      </c>
      <c r="I1334" t="s">
        <v>135</v>
      </c>
      <c r="J1334" t="s">
        <v>39</v>
      </c>
      <c r="K1334" t="s">
        <v>28</v>
      </c>
      <c r="L1334">
        <v>5.5</v>
      </c>
      <c r="M1334">
        <v>0</v>
      </c>
      <c r="N1334">
        <v>-0.36087965082923606</v>
      </c>
      <c r="O1334">
        <v>2.2991652021706162</v>
      </c>
      <c r="P1334">
        <v>-5.8259972515793415</v>
      </c>
      <c r="Q1334">
        <v>-4.638321728440391</v>
      </c>
      <c r="R1334">
        <v>-0.45963913662225314</v>
      </c>
      <c r="S1334" s="2">
        <v>7.1836467828896213E-3</v>
      </c>
      <c r="T1334" s="2">
        <v>3.9414346053830577E-3</v>
      </c>
      <c r="U1334" s="2">
        <v>5.9078159384398383E-3</v>
      </c>
      <c r="V1334" s="2">
        <v>7.075052166422631E-3</v>
      </c>
      <c r="W1334" s="2">
        <v>7.7883547351107613E-3</v>
      </c>
      <c r="X1334" s="2">
        <v>8.2048779822264818E-3</v>
      </c>
      <c r="Y1334" s="2">
        <v>8.3476200615932705E-3</v>
      </c>
      <c r="Z1334" s="2">
        <v>8.3775500130621929E-3</v>
      </c>
      <c r="AA1334" s="2">
        <v>8.2982835622925789E-3</v>
      </c>
      <c r="AB1334" s="2">
        <v>8.1252096673205595E-3</v>
      </c>
      <c r="AC1334" s="2">
        <v>7.884701239997606E-3</v>
      </c>
      <c r="AD1334" s="2">
        <v>7.5915752976322614E-3</v>
      </c>
      <c r="AE1334" s="2">
        <v>7.2573762720101274E-3</v>
      </c>
      <c r="AF1334" s="2">
        <v>6.891093741236567E-3</v>
      </c>
      <c r="AG1334" s="2">
        <v>6.445517605062883E-3</v>
      </c>
      <c r="AH1334" s="2">
        <v>5.9977305188293707E-3</v>
      </c>
      <c r="AI1334" s="2">
        <v>5.548069678773429E-3</v>
      </c>
      <c r="AJ1334" s="2">
        <v>5.096726204125504E-3</v>
      </c>
      <c r="AK1334" s="2">
        <v>4.6583245708391122E-3</v>
      </c>
      <c r="AL1334" s="2">
        <v>4.2026028016662253E-3</v>
      </c>
      <c r="AM1334" s="2">
        <v>3.7455861761418446E-3</v>
      </c>
      <c r="AN1334" s="2">
        <v>3.2874073971272712E-3</v>
      </c>
      <c r="AO1334" s="2">
        <v>2.8282127191980055E-3</v>
      </c>
      <c r="AP1334" s="2">
        <v>2.3681679927360956E-3</v>
      </c>
      <c r="AQ1334" s="2">
        <v>1.9074673240454484E-3</v>
      </c>
      <c r="AR1334" s="2">
        <v>0.14896040505416272</v>
      </c>
    </row>
    <row r="1335" spans="1:44" x14ac:dyDescent="0.25">
      <c r="A1335" t="s">
        <v>131</v>
      </c>
      <c r="B1335" t="s">
        <v>173</v>
      </c>
      <c r="C1335" t="s">
        <v>43</v>
      </c>
      <c r="D1335" t="s">
        <v>174</v>
      </c>
      <c r="E1335" t="s">
        <v>148</v>
      </c>
      <c r="F1335" t="s">
        <v>174</v>
      </c>
      <c r="G1335" t="s">
        <v>28</v>
      </c>
      <c r="H1335" t="s">
        <v>141</v>
      </c>
      <c r="I1335" t="s">
        <v>135</v>
      </c>
      <c r="J1335" t="s">
        <v>39</v>
      </c>
      <c r="K1335" t="s">
        <v>28</v>
      </c>
      <c r="L1335">
        <v>5.5</v>
      </c>
      <c r="M1335">
        <v>0</v>
      </c>
      <c r="N1335">
        <v>-0.36087965082923606</v>
      </c>
      <c r="O1335">
        <v>2.2991652021706162</v>
      </c>
      <c r="P1335">
        <v>-5.8259972515793415</v>
      </c>
      <c r="Q1335">
        <v>-4.638321728440391</v>
      </c>
      <c r="R1335">
        <v>-0.45963913662225314</v>
      </c>
      <c r="S1335" s="2">
        <v>6.046236042265429E-3</v>
      </c>
      <c r="T1335" s="2">
        <v>3.3173741261974068E-3</v>
      </c>
      <c r="U1335" s="2">
        <v>4.9724117481868609E-3</v>
      </c>
      <c r="V1335" s="2">
        <v>5.9548355734057208E-3</v>
      </c>
      <c r="W1335" s="2">
        <v>6.5551985687182183E-3</v>
      </c>
      <c r="X1335" s="2">
        <v>6.9057723017072843E-3</v>
      </c>
      <c r="Y1335" s="2">
        <v>7.0259135518409999E-3</v>
      </c>
      <c r="Z1335" s="2">
        <v>7.0511045943273459E-3</v>
      </c>
      <c r="AA1335" s="2">
        <v>6.9843886649295899E-3</v>
      </c>
      <c r="AB1335" s="2">
        <v>6.8387181366614735E-3</v>
      </c>
      <c r="AC1335" s="2">
        <v>6.6362902103313066E-3</v>
      </c>
      <c r="AD1335" s="2">
        <v>6.3895758755071743E-3</v>
      </c>
      <c r="AE1335" s="2">
        <v>6.1082916956084901E-3</v>
      </c>
      <c r="AF1335" s="2">
        <v>5.800003898874099E-3</v>
      </c>
      <c r="AG1335" s="2">
        <v>5.4249773175946434E-3</v>
      </c>
      <c r="AH1335" s="2">
        <v>5.0480898533480385E-3</v>
      </c>
      <c r="AI1335" s="2">
        <v>4.6696253129676311E-3</v>
      </c>
      <c r="AJ1335" s="2">
        <v>4.2897445551389737E-3</v>
      </c>
      <c r="AK1335" s="2">
        <v>3.9207565137895682E-3</v>
      </c>
      <c r="AL1335" s="2">
        <v>3.5371906914024222E-3</v>
      </c>
      <c r="AM1335" s="2">
        <v>3.1525350315860269E-3</v>
      </c>
      <c r="AN1335" s="2">
        <v>2.7669012259154665E-3</v>
      </c>
      <c r="AO1335" s="2">
        <v>2.3804123719916694E-3</v>
      </c>
      <c r="AP1335" s="2">
        <v>1.9932080605528603E-3</v>
      </c>
      <c r="AQ1335" s="2">
        <v>1.6054516644049171E-3</v>
      </c>
      <c r="AR1335" s="2">
        <v>0.12537500758725362</v>
      </c>
    </row>
    <row r="1336" spans="1:44" x14ac:dyDescent="0.25">
      <c r="A1336" t="s">
        <v>131</v>
      </c>
      <c r="B1336" t="s">
        <v>173</v>
      </c>
      <c r="C1336" t="s">
        <v>43</v>
      </c>
      <c r="D1336" t="s">
        <v>174</v>
      </c>
      <c r="E1336" t="s">
        <v>148</v>
      </c>
      <c r="F1336" t="s">
        <v>174</v>
      </c>
      <c r="G1336" t="s">
        <v>28</v>
      </c>
      <c r="H1336" t="s">
        <v>52</v>
      </c>
      <c r="I1336" t="s">
        <v>135</v>
      </c>
      <c r="J1336" t="s">
        <v>39</v>
      </c>
      <c r="K1336" t="s">
        <v>28</v>
      </c>
      <c r="L1336">
        <v>5.5</v>
      </c>
      <c r="M1336">
        <v>0</v>
      </c>
      <c r="N1336">
        <v>-0.36087965082923606</v>
      </c>
      <c r="O1336">
        <v>2.2991652021706162</v>
      </c>
      <c r="P1336">
        <v>-5.8259972515793415</v>
      </c>
      <c r="Q1336">
        <v>-4.638321728440391</v>
      </c>
      <c r="R1336">
        <v>-0.45963913662225314</v>
      </c>
      <c r="S1336" s="2">
        <v>8.3631614038558871E-2</v>
      </c>
      <c r="T1336" s="2">
        <v>4.5885961216904768E-2</v>
      </c>
      <c r="U1336" s="2">
        <v>6.8778462709396124E-2</v>
      </c>
      <c r="V1336" s="2">
        <v>8.2367361587747559E-2</v>
      </c>
      <c r="W1336" s="2">
        <v>9.0671590194772764E-2</v>
      </c>
      <c r="X1336" s="2">
        <v>9.5520730540013588E-2</v>
      </c>
      <c r="Y1336" s="2">
        <v>9.7182525843911099E-2</v>
      </c>
      <c r="Z1336" s="2">
        <v>9.7530968664820195E-2</v>
      </c>
      <c r="AA1336" s="2">
        <v>9.6608153078624928E-2</v>
      </c>
      <c r="AB1336" s="2">
        <v>9.4593236474021888E-2</v>
      </c>
      <c r="AC1336" s="2">
        <v>9.1793250815651026E-2</v>
      </c>
      <c r="AD1336" s="2">
        <v>8.8380694990247172E-2</v>
      </c>
      <c r="AE1336" s="2">
        <v>8.4489968626937084E-2</v>
      </c>
      <c r="AF1336" s="2">
        <v>8.0225727891202595E-2</v>
      </c>
      <c r="AG1336" s="2">
        <v>7.5038355436585713E-2</v>
      </c>
      <c r="AH1336" s="2">
        <v>6.9825243225037803E-2</v>
      </c>
      <c r="AI1336" s="2">
        <v>6.4590316876294296E-2</v>
      </c>
      <c r="AJ1336" s="2">
        <v>5.9335801389747075E-2</v>
      </c>
      <c r="AK1336" s="2">
        <v>5.4231954096445281E-2</v>
      </c>
      <c r="AL1336" s="2">
        <v>4.8926466749934991E-2</v>
      </c>
      <c r="AM1336" s="2">
        <v>4.3605904758201586E-2</v>
      </c>
      <c r="AN1336" s="2">
        <v>3.8271813040544424E-2</v>
      </c>
      <c r="AO1336" s="2">
        <v>3.2925894284542831E-2</v>
      </c>
      <c r="AP1336" s="2">
        <v>2.7570079311068536E-2</v>
      </c>
      <c r="AQ1336" s="2">
        <v>2.2206627894858687E-2</v>
      </c>
      <c r="AR1336" s="2">
        <v>1.734188703736071</v>
      </c>
    </row>
    <row r="1337" spans="1:44" x14ac:dyDescent="0.25">
      <c r="A1337" t="s">
        <v>131</v>
      </c>
      <c r="B1337" t="s">
        <v>173</v>
      </c>
      <c r="C1337" t="s">
        <v>43</v>
      </c>
      <c r="D1337" t="s">
        <v>174</v>
      </c>
      <c r="E1337" t="s">
        <v>148</v>
      </c>
      <c r="F1337" t="s">
        <v>174</v>
      </c>
      <c r="G1337" t="s">
        <v>28</v>
      </c>
      <c r="H1337" t="s">
        <v>138</v>
      </c>
      <c r="I1337" t="s">
        <v>135</v>
      </c>
      <c r="J1337" t="s">
        <v>39</v>
      </c>
      <c r="K1337" t="s">
        <v>28</v>
      </c>
      <c r="L1337">
        <v>5.5</v>
      </c>
      <c r="M1337">
        <v>0</v>
      </c>
      <c r="N1337">
        <v>-0.36087965082923606</v>
      </c>
      <c r="O1337">
        <v>2.2991652021706162</v>
      </c>
      <c r="P1337">
        <v>-5.8259972515793415</v>
      </c>
      <c r="Q1337">
        <v>-4.638321728440391</v>
      </c>
      <c r="R1337">
        <v>-0.45963913662225314</v>
      </c>
      <c r="S1337" s="2">
        <v>2.9010390546549514E-2</v>
      </c>
      <c r="T1337" s="2">
        <v>1.5917062833350176E-2</v>
      </c>
      <c r="U1337" s="2">
        <v>2.3858083899599654E-2</v>
      </c>
      <c r="V1337" s="2">
        <v>2.8571842782416226E-2</v>
      </c>
      <c r="W1337" s="2">
        <v>3.1452439047921256E-2</v>
      </c>
      <c r="X1337" s="2">
        <v>3.3134523709896155E-2</v>
      </c>
      <c r="Y1337" s="2">
        <v>3.3710972357081967E-2</v>
      </c>
      <c r="Z1337" s="2">
        <v>3.3831841270517575E-2</v>
      </c>
      <c r="AA1337" s="2">
        <v>3.3511732172233015E-2</v>
      </c>
      <c r="AB1337" s="2">
        <v>3.2812791726203792E-2</v>
      </c>
      <c r="AC1337" s="2">
        <v>3.1841524121149066E-2</v>
      </c>
      <c r="AD1337" s="2">
        <v>3.0657766299481248E-2</v>
      </c>
      <c r="AE1337" s="2">
        <v>2.9308139216386097E-2</v>
      </c>
      <c r="AF1337" s="2">
        <v>2.7828946323240296E-2</v>
      </c>
      <c r="AG1337" s="2">
        <v>2.6029534670734412E-2</v>
      </c>
      <c r="AH1337" s="2">
        <v>2.4221194332471128E-2</v>
      </c>
      <c r="AI1337" s="2">
        <v>2.2405287039453329E-2</v>
      </c>
      <c r="AJ1337" s="2">
        <v>2.0582584606288028E-2</v>
      </c>
      <c r="AK1337" s="2">
        <v>1.8812146417681773E-2</v>
      </c>
      <c r="AL1337" s="2">
        <v>1.6971762709541288E-2</v>
      </c>
      <c r="AM1337" s="2">
        <v>1.5126149862273832E-2</v>
      </c>
      <c r="AN1337" s="2">
        <v>1.3275843782218709E-2</v>
      </c>
      <c r="AO1337" s="2">
        <v>1.14214351028618E-2</v>
      </c>
      <c r="AP1337" s="2">
        <v>9.5635935932636678E-3</v>
      </c>
      <c r="AQ1337" s="2">
        <v>7.7031031310087891E-3</v>
      </c>
      <c r="AR1337" s="2">
        <v>0.60156069155382286</v>
      </c>
    </row>
    <row r="1338" spans="1:44" x14ac:dyDescent="0.25">
      <c r="A1338" t="s">
        <v>131</v>
      </c>
      <c r="B1338" t="s">
        <v>175</v>
      </c>
      <c r="C1338" t="s">
        <v>45</v>
      </c>
      <c r="D1338" t="s">
        <v>176</v>
      </c>
      <c r="E1338" t="s">
        <v>134</v>
      </c>
      <c r="F1338" t="s">
        <v>176</v>
      </c>
      <c r="G1338" t="s">
        <v>28</v>
      </c>
      <c r="H1338" t="s">
        <v>54</v>
      </c>
      <c r="I1338" t="s">
        <v>135</v>
      </c>
      <c r="J1338" t="s">
        <v>39</v>
      </c>
      <c r="K1338" t="s">
        <v>28</v>
      </c>
      <c r="L1338">
        <v>69.128</v>
      </c>
      <c r="M1338">
        <v>1</v>
      </c>
      <c r="N1338">
        <v>2.5984710356372855</v>
      </c>
      <c r="O1338">
        <v>2.7834253468235053</v>
      </c>
      <c r="P1338">
        <v>-0.74748036655043748</v>
      </c>
      <c r="Q1338">
        <v>0.77985665564418205</v>
      </c>
      <c r="R1338">
        <v>-0.79930063567792309</v>
      </c>
      <c r="S1338" s="2">
        <v>2.0801048503138724E-4</v>
      </c>
      <c r="T1338" s="2">
        <v>4.1552459263274774E-4</v>
      </c>
      <c r="U1338" s="2">
        <v>7.3721268258078866E-4</v>
      </c>
      <c r="V1338" s="2">
        <v>1.1980792642018233E-3</v>
      </c>
      <c r="W1338" s="2">
        <v>1.8165904961121918E-3</v>
      </c>
      <c r="X1338" s="2">
        <v>2.5986231193354014E-3</v>
      </c>
      <c r="Y1338" s="2">
        <v>3.5301091705352153E-3</v>
      </c>
      <c r="Z1338" s="2">
        <v>4.5695563193067701E-3</v>
      </c>
      <c r="AA1338" s="2">
        <v>5.6426910275651767E-3</v>
      </c>
      <c r="AB1338" s="2">
        <v>6.6425548801874144E-3</v>
      </c>
      <c r="AC1338" s="2">
        <v>7.4386869007870065E-3</v>
      </c>
      <c r="AD1338" s="2">
        <v>7.8977166059240253E-3</v>
      </c>
      <c r="AE1338" s="2">
        <v>7.9140645328443018E-3</v>
      </c>
      <c r="AF1338" s="2">
        <v>7.4438323481225699E-3</v>
      </c>
      <c r="AG1338" s="2">
        <v>6.5295623884853307E-3</v>
      </c>
      <c r="AH1338" s="2">
        <v>5.3867022882276164E-3</v>
      </c>
      <c r="AI1338" s="2">
        <v>4.1087379294998628E-3</v>
      </c>
      <c r="AJ1338" s="2">
        <v>2.8369467052929624E-3</v>
      </c>
      <c r="AK1338" s="2">
        <v>2.0412089863111743E-4</v>
      </c>
      <c r="AL1338" s="2">
        <v>0</v>
      </c>
      <c r="AM1338" s="2">
        <v>0</v>
      </c>
      <c r="AN1338" s="2">
        <v>0</v>
      </c>
      <c r="AO1338" s="2">
        <v>0</v>
      </c>
      <c r="AP1338" s="2">
        <v>0</v>
      </c>
      <c r="AQ1338" s="2">
        <v>0</v>
      </c>
      <c r="AR1338" s="2">
        <v>7.711932263530373E-2</v>
      </c>
    </row>
    <row r="1339" spans="1:44" x14ac:dyDescent="0.25">
      <c r="A1339" t="s">
        <v>131</v>
      </c>
      <c r="B1339" t="s">
        <v>175</v>
      </c>
      <c r="C1339" t="s">
        <v>45</v>
      </c>
      <c r="D1339" t="s">
        <v>176</v>
      </c>
      <c r="E1339" t="s">
        <v>134</v>
      </c>
      <c r="F1339" t="s">
        <v>176</v>
      </c>
      <c r="G1339" t="s">
        <v>28</v>
      </c>
      <c r="H1339" t="s">
        <v>142</v>
      </c>
      <c r="I1339" t="s">
        <v>135</v>
      </c>
      <c r="J1339" t="s">
        <v>39</v>
      </c>
      <c r="K1339" t="s">
        <v>28</v>
      </c>
      <c r="L1339">
        <v>69.128</v>
      </c>
      <c r="M1339">
        <v>1</v>
      </c>
      <c r="N1339">
        <v>2.5984710356372855</v>
      </c>
      <c r="O1339">
        <v>2.7834253468235053</v>
      </c>
      <c r="P1339">
        <v>-0.74748036655043748</v>
      </c>
      <c r="Q1339">
        <v>0.77985665564418205</v>
      </c>
      <c r="R1339">
        <v>-0.79930063567792309</v>
      </c>
      <c r="S1339" s="2">
        <v>1.6672197167088581E-4</v>
      </c>
      <c r="T1339" s="2">
        <v>3.3304609309006656E-4</v>
      </c>
      <c r="U1339" s="2">
        <v>5.9088152196801896E-4</v>
      </c>
      <c r="V1339" s="2">
        <v>9.60269561005984E-4</v>
      </c>
      <c r="W1339" s="2">
        <v>1.4560109755271087E-3</v>
      </c>
      <c r="X1339" s="2">
        <v>2.0828160177587761E-3</v>
      </c>
      <c r="Y1339" s="2">
        <v>2.829409109047071E-3</v>
      </c>
      <c r="Z1339" s="2">
        <v>3.6625338338162313E-3</v>
      </c>
      <c r="AA1339" s="2">
        <v>4.5226593914404296E-3</v>
      </c>
      <c r="AB1339" s="2">
        <v>5.3240578059793597E-3</v>
      </c>
      <c r="AC1339" s="2">
        <v>5.9621636214850617E-3</v>
      </c>
      <c r="AD1339" s="2">
        <v>6.3300793901752868E-3</v>
      </c>
      <c r="AE1339" s="2">
        <v>6.343182376827467E-3</v>
      </c>
      <c r="AF1339" s="2">
        <v>5.9662877363092955E-3</v>
      </c>
      <c r="AG1339" s="2">
        <v>5.2334934721779405E-3</v>
      </c>
      <c r="AH1339" s="2">
        <v>4.3174824872980145E-3</v>
      </c>
      <c r="AI1339" s="2">
        <v>3.2931844208805446E-3</v>
      </c>
      <c r="AJ1339" s="2">
        <v>2.2738341683127012E-3</v>
      </c>
      <c r="AK1339" s="2">
        <v>1.6360443885255881E-4</v>
      </c>
      <c r="AL1339" s="2">
        <v>0</v>
      </c>
      <c r="AM1339" s="2">
        <v>0</v>
      </c>
      <c r="AN1339" s="2">
        <v>0</v>
      </c>
      <c r="AO1339" s="2">
        <v>0</v>
      </c>
      <c r="AP1339" s="2">
        <v>0</v>
      </c>
      <c r="AQ1339" s="2">
        <v>0</v>
      </c>
      <c r="AR1339" s="2">
        <v>6.1811718393622803E-2</v>
      </c>
    </row>
    <row r="1340" spans="1:44" x14ac:dyDescent="0.25">
      <c r="A1340" t="s">
        <v>131</v>
      </c>
      <c r="B1340" t="s">
        <v>175</v>
      </c>
      <c r="C1340" t="s">
        <v>45</v>
      </c>
      <c r="D1340" t="s">
        <v>176</v>
      </c>
      <c r="E1340" t="s">
        <v>134</v>
      </c>
      <c r="F1340" t="s">
        <v>176</v>
      </c>
      <c r="G1340" t="s">
        <v>28</v>
      </c>
      <c r="H1340" t="s">
        <v>53</v>
      </c>
      <c r="I1340" t="s">
        <v>135</v>
      </c>
      <c r="J1340" t="s">
        <v>39</v>
      </c>
      <c r="K1340" t="s">
        <v>28</v>
      </c>
      <c r="L1340">
        <v>69.128</v>
      </c>
      <c r="M1340">
        <v>1</v>
      </c>
      <c r="N1340">
        <v>2.5984710356372855</v>
      </c>
      <c r="O1340">
        <v>2.7834253468235053</v>
      </c>
      <c r="P1340">
        <v>-0.74748036655043748</v>
      </c>
      <c r="Q1340">
        <v>0.77985665564418205</v>
      </c>
      <c r="R1340">
        <v>-0.79930063567792309</v>
      </c>
      <c r="S1340" s="2">
        <v>1.5679182288798029E-4</v>
      </c>
      <c r="T1340" s="2">
        <v>3.132094919342319E-4</v>
      </c>
      <c r="U1340" s="2">
        <v>5.5568795169406169E-4</v>
      </c>
      <c r="V1340" s="2">
        <v>9.0307482226268071E-4</v>
      </c>
      <c r="W1340" s="2">
        <v>1.3692893186775313E-3</v>
      </c>
      <c r="X1340" s="2">
        <v>1.9587611452276891E-3</v>
      </c>
      <c r="Y1340" s="2">
        <v>2.6608863094486545E-3</v>
      </c>
      <c r="Z1340" s="2">
        <v>3.4443891854071128E-3</v>
      </c>
      <c r="AA1340" s="2">
        <v>4.253284694144605E-3</v>
      </c>
      <c r="AB1340" s="2">
        <v>5.0069509147141296E-3</v>
      </c>
      <c r="AC1340" s="2">
        <v>5.6070504277288989E-3</v>
      </c>
      <c r="AD1340" s="2">
        <v>5.9530527180331836E-3</v>
      </c>
      <c r="AE1340" s="2">
        <v>5.9653752760132905E-3</v>
      </c>
      <c r="AF1340" s="2">
        <v>5.6109289056200254E-3</v>
      </c>
      <c r="AG1340" s="2">
        <v>4.9217806948381876E-3</v>
      </c>
      <c r="AH1340" s="2">
        <v>4.0603283579605147E-3</v>
      </c>
      <c r="AI1340" s="2">
        <v>3.0970386403265295E-3</v>
      </c>
      <c r="AJ1340" s="2">
        <v>2.1384020391655499E-3</v>
      </c>
      <c r="AK1340" s="2">
        <v>1.538599738425441E-4</v>
      </c>
      <c r="AL1340" s="2">
        <v>0</v>
      </c>
      <c r="AM1340" s="2">
        <v>0</v>
      </c>
      <c r="AN1340" s="2">
        <v>0</v>
      </c>
      <c r="AO1340" s="2">
        <v>0</v>
      </c>
      <c r="AP1340" s="2">
        <v>0</v>
      </c>
      <c r="AQ1340" s="2">
        <v>0</v>
      </c>
      <c r="AR1340" s="2">
        <v>5.8130142689927403E-2</v>
      </c>
    </row>
    <row r="1341" spans="1:44" x14ac:dyDescent="0.25">
      <c r="A1341" t="s">
        <v>131</v>
      </c>
      <c r="B1341" t="s">
        <v>175</v>
      </c>
      <c r="C1341" t="s">
        <v>45</v>
      </c>
      <c r="D1341" t="s">
        <v>176</v>
      </c>
      <c r="E1341" t="s">
        <v>134</v>
      </c>
      <c r="F1341" t="s">
        <v>176</v>
      </c>
      <c r="G1341" t="s">
        <v>28</v>
      </c>
      <c r="H1341" t="s">
        <v>141</v>
      </c>
      <c r="I1341" t="s">
        <v>135</v>
      </c>
      <c r="J1341" t="s">
        <v>39</v>
      </c>
      <c r="K1341" t="s">
        <v>28</v>
      </c>
      <c r="L1341">
        <v>69.128</v>
      </c>
      <c r="M1341">
        <v>1</v>
      </c>
      <c r="N1341">
        <v>2.5984710356372855</v>
      </c>
      <c r="O1341">
        <v>2.7834253468235053</v>
      </c>
      <c r="P1341">
        <v>-0.74748036655043748</v>
      </c>
      <c r="Q1341">
        <v>0.77985665564418205</v>
      </c>
      <c r="R1341">
        <v>-0.79930063567792309</v>
      </c>
      <c r="S1341" s="2">
        <v>1.3196645093071677E-4</v>
      </c>
      <c r="T1341" s="2">
        <v>2.6361798904464513E-4</v>
      </c>
      <c r="U1341" s="2">
        <v>4.6770402600916844E-4</v>
      </c>
      <c r="V1341" s="2">
        <v>7.6008797540442282E-4</v>
      </c>
      <c r="W1341" s="2">
        <v>1.1524851765535888E-3</v>
      </c>
      <c r="X1341" s="2">
        <v>1.6486239638999714E-3</v>
      </c>
      <c r="Y1341" s="2">
        <v>2.2395793104526178E-3</v>
      </c>
      <c r="Z1341" s="2">
        <v>2.8990275643843199E-3</v>
      </c>
      <c r="AA1341" s="2">
        <v>3.5798479509050419E-3</v>
      </c>
      <c r="AB1341" s="2">
        <v>4.2141836865510589E-3</v>
      </c>
      <c r="AC1341" s="2">
        <v>4.7192674433384901E-3</v>
      </c>
      <c r="AD1341" s="2">
        <v>5.0104860376779282E-3</v>
      </c>
      <c r="AE1341" s="2">
        <v>5.0208575239778534E-3</v>
      </c>
      <c r="AF1341" s="2">
        <v>4.7225318288968551E-3</v>
      </c>
      <c r="AG1341" s="2">
        <v>4.1424987514888075E-3</v>
      </c>
      <c r="AH1341" s="2">
        <v>3.4174430346167661E-3</v>
      </c>
      <c r="AI1341" s="2">
        <v>2.6066741889414951E-3</v>
      </c>
      <c r="AJ1341" s="2">
        <v>1.7998217162976705E-3</v>
      </c>
      <c r="AK1341" s="2">
        <v>1.2949881131749135E-4</v>
      </c>
      <c r="AL1341" s="2">
        <v>0</v>
      </c>
      <c r="AM1341" s="2">
        <v>0</v>
      </c>
      <c r="AN1341" s="2">
        <v>0</v>
      </c>
      <c r="AO1341" s="2">
        <v>0</v>
      </c>
      <c r="AP1341" s="2">
        <v>0</v>
      </c>
      <c r="AQ1341" s="2">
        <v>0</v>
      </c>
      <c r="AR1341" s="2">
        <v>4.8926203430688903E-2</v>
      </c>
    </row>
    <row r="1342" spans="1:44" x14ac:dyDescent="0.25">
      <c r="A1342" t="s">
        <v>131</v>
      </c>
      <c r="B1342" t="s">
        <v>201</v>
      </c>
      <c r="C1342" t="s">
        <v>44</v>
      </c>
      <c r="D1342" t="s">
        <v>202</v>
      </c>
      <c r="E1342" t="s">
        <v>134</v>
      </c>
      <c r="F1342" t="s">
        <v>202</v>
      </c>
      <c r="G1342" t="s">
        <v>28</v>
      </c>
      <c r="H1342" t="s">
        <v>54</v>
      </c>
      <c r="I1342" t="s">
        <v>135</v>
      </c>
      <c r="J1342" t="s">
        <v>39</v>
      </c>
      <c r="K1342" t="s">
        <v>28</v>
      </c>
      <c r="L1342">
        <v>0.25633127765571201</v>
      </c>
      <c r="M1342">
        <v>0</v>
      </c>
      <c r="N1342">
        <v>0.29256818482477859</v>
      </c>
      <c r="O1342">
        <v>3.7296622915880167</v>
      </c>
      <c r="P1342">
        <v>7.1065022091179086</v>
      </c>
      <c r="Q1342">
        <v>9.2810154983924846</v>
      </c>
      <c r="R1342">
        <v>-1.446476902757877</v>
      </c>
      <c r="S1342" s="2">
        <v>0</v>
      </c>
      <c r="T1342" s="2">
        <v>0</v>
      </c>
      <c r="U1342" s="2">
        <v>0</v>
      </c>
      <c r="V1342" s="2">
        <v>0</v>
      </c>
      <c r="W1342" s="2">
        <v>0</v>
      </c>
      <c r="X1342" s="2">
        <v>0</v>
      </c>
      <c r="Y1342" s="2">
        <v>0</v>
      </c>
      <c r="Z1342" s="2">
        <v>0</v>
      </c>
      <c r="AA1342" s="2">
        <v>0</v>
      </c>
      <c r="AB1342" s="2">
        <v>0</v>
      </c>
      <c r="AC1342" s="2">
        <v>0</v>
      </c>
      <c r="AD1342" s="2">
        <v>0</v>
      </c>
      <c r="AE1342" s="2">
        <v>0</v>
      </c>
      <c r="AF1342" s="2">
        <v>0</v>
      </c>
      <c r="AG1342" s="2">
        <v>0</v>
      </c>
      <c r="AH1342" s="2">
        <v>0</v>
      </c>
      <c r="AI1342" s="2">
        <v>0</v>
      </c>
      <c r="AJ1342" s="2">
        <v>0</v>
      </c>
      <c r="AK1342" s="2">
        <v>0</v>
      </c>
      <c r="AL1342" s="2">
        <v>0</v>
      </c>
      <c r="AM1342" s="2">
        <v>0</v>
      </c>
      <c r="AN1342" s="2">
        <v>0</v>
      </c>
      <c r="AO1342" s="2">
        <v>0</v>
      </c>
      <c r="AP1342" s="2">
        <v>0</v>
      </c>
      <c r="AQ1342" s="2">
        <v>0</v>
      </c>
      <c r="AR1342" s="2">
        <v>0</v>
      </c>
    </row>
    <row r="1343" spans="1:44" x14ac:dyDescent="0.25">
      <c r="A1343" t="s">
        <v>131</v>
      </c>
      <c r="B1343" t="s">
        <v>201</v>
      </c>
      <c r="C1343" t="s">
        <v>44</v>
      </c>
      <c r="D1343" t="s">
        <v>202</v>
      </c>
      <c r="E1343" t="s">
        <v>134</v>
      </c>
      <c r="F1343" t="s">
        <v>202</v>
      </c>
      <c r="G1343" t="s">
        <v>28</v>
      </c>
      <c r="H1343" t="s">
        <v>142</v>
      </c>
      <c r="I1343" t="s">
        <v>135</v>
      </c>
      <c r="J1343" t="s">
        <v>39</v>
      </c>
      <c r="K1343" t="s">
        <v>28</v>
      </c>
      <c r="L1343">
        <v>0.25633127765571201</v>
      </c>
      <c r="M1343">
        <v>0</v>
      </c>
      <c r="N1343">
        <v>0.29256818482477859</v>
      </c>
      <c r="O1343">
        <v>3.7296622915880167</v>
      </c>
      <c r="P1343">
        <v>7.1065022091179086</v>
      </c>
      <c r="Q1343">
        <v>9.2810154983924846</v>
      </c>
      <c r="R1343">
        <v>-1.446476902757877</v>
      </c>
      <c r="S1343" s="2">
        <v>0</v>
      </c>
      <c r="T1343" s="2">
        <v>0</v>
      </c>
      <c r="U1343" s="2">
        <v>0</v>
      </c>
      <c r="V1343" s="2">
        <v>0</v>
      </c>
      <c r="W1343" s="2">
        <v>0</v>
      </c>
      <c r="X1343" s="2">
        <v>0</v>
      </c>
      <c r="Y1343" s="2">
        <v>0</v>
      </c>
      <c r="Z1343" s="2">
        <v>0</v>
      </c>
      <c r="AA1343" s="2">
        <v>0</v>
      </c>
      <c r="AB1343" s="2">
        <v>0</v>
      </c>
      <c r="AC1343" s="2">
        <v>0</v>
      </c>
      <c r="AD1343" s="2">
        <v>0</v>
      </c>
      <c r="AE1343" s="2">
        <v>0</v>
      </c>
      <c r="AF1343" s="2">
        <v>0</v>
      </c>
      <c r="AG1343" s="2">
        <v>0</v>
      </c>
      <c r="AH1343" s="2">
        <v>0</v>
      </c>
      <c r="AI1343" s="2">
        <v>0</v>
      </c>
      <c r="AJ1343" s="2">
        <v>0</v>
      </c>
      <c r="AK1343" s="2">
        <v>0</v>
      </c>
      <c r="AL1343" s="2">
        <v>0</v>
      </c>
      <c r="AM1343" s="2">
        <v>0</v>
      </c>
      <c r="AN1343" s="2">
        <v>0</v>
      </c>
      <c r="AO1343" s="2">
        <v>0</v>
      </c>
      <c r="AP1343" s="2">
        <v>0</v>
      </c>
      <c r="AQ1343" s="2">
        <v>0</v>
      </c>
      <c r="AR1343" s="2">
        <v>0</v>
      </c>
    </row>
    <row r="1344" spans="1:44" x14ac:dyDescent="0.25">
      <c r="A1344" t="s">
        <v>131</v>
      </c>
      <c r="B1344" t="s">
        <v>201</v>
      </c>
      <c r="C1344" t="s">
        <v>44</v>
      </c>
      <c r="D1344" t="s">
        <v>202</v>
      </c>
      <c r="E1344" t="s">
        <v>134</v>
      </c>
      <c r="F1344" t="s">
        <v>202</v>
      </c>
      <c r="G1344" t="s">
        <v>28</v>
      </c>
      <c r="H1344" t="s">
        <v>53</v>
      </c>
      <c r="I1344" t="s">
        <v>135</v>
      </c>
      <c r="J1344" t="s">
        <v>39</v>
      </c>
      <c r="K1344" t="s">
        <v>28</v>
      </c>
      <c r="L1344">
        <v>0.25633127765571201</v>
      </c>
      <c r="M1344">
        <v>0</v>
      </c>
      <c r="N1344">
        <v>0.29256818482477859</v>
      </c>
      <c r="O1344">
        <v>3.7296622915880167</v>
      </c>
      <c r="P1344">
        <v>7.1065022091179086</v>
      </c>
      <c r="Q1344">
        <v>9.2810154983924846</v>
      </c>
      <c r="R1344">
        <v>-1.446476902757877</v>
      </c>
      <c r="S1344" s="2">
        <v>2.0287879683632704E-2</v>
      </c>
      <c r="T1344" s="2">
        <v>4.0527346203974461E-2</v>
      </c>
      <c r="U1344" s="2">
        <v>7.1902539928169126E-2</v>
      </c>
      <c r="V1344" s="2">
        <v>0.11685222482854229</v>
      </c>
      <c r="W1344" s="2">
        <v>0.17717746013617383</v>
      </c>
      <c r="X1344" s="2">
        <v>0.2534514218368743</v>
      </c>
      <c r="Y1344" s="2">
        <v>0.34430201973280439</v>
      </c>
      <c r="Z1344" s="2">
        <v>0.44568238374950442</v>
      </c>
      <c r="AA1344" s="2">
        <v>0.55034839537959923</v>
      </c>
      <c r="AB1344" s="2">
        <v>0.64786808309607435</v>
      </c>
      <c r="AC1344" s="2">
        <v>0.72551720084980076</v>
      </c>
      <c r="AD1344" s="2">
        <v>0.77028772973745763</v>
      </c>
      <c r="AE1344" s="2">
        <v>0.77188219154732907</v>
      </c>
      <c r="AF1344" s="2">
        <v>0.72601905159278923</v>
      </c>
      <c r="AG1344" s="2">
        <v>0.63684759017976866</v>
      </c>
      <c r="AH1344" s="2">
        <v>0.52538105422243797</v>
      </c>
      <c r="AI1344" s="2">
        <v>0.40073739913972783</v>
      </c>
      <c r="AJ1344" s="2">
        <v>0.27669582817989741</v>
      </c>
      <c r="AK1344" s="2">
        <v>1.9908516783267775E-2</v>
      </c>
      <c r="AL1344" s="2">
        <v>0</v>
      </c>
      <c r="AM1344" s="2">
        <v>0</v>
      </c>
      <c r="AN1344" s="2">
        <v>0</v>
      </c>
      <c r="AO1344" s="2">
        <v>0</v>
      </c>
      <c r="AP1344" s="2">
        <v>0</v>
      </c>
      <c r="AQ1344" s="2">
        <v>0</v>
      </c>
      <c r="AR1344" s="2">
        <v>7.5216763168078238</v>
      </c>
    </row>
    <row r="1345" spans="1:44" x14ac:dyDescent="0.25">
      <c r="A1345" t="s">
        <v>131</v>
      </c>
      <c r="B1345" t="s">
        <v>201</v>
      </c>
      <c r="C1345" t="s">
        <v>44</v>
      </c>
      <c r="D1345" t="s">
        <v>202</v>
      </c>
      <c r="E1345" t="s">
        <v>134</v>
      </c>
      <c r="F1345" t="s">
        <v>202</v>
      </c>
      <c r="G1345" t="s">
        <v>28</v>
      </c>
      <c r="H1345" t="s">
        <v>141</v>
      </c>
      <c r="I1345" t="s">
        <v>135</v>
      </c>
      <c r="J1345" t="s">
        <v>39</v>
      </c>
      <c r="K1345" t="s">
        <v>28</v>
      </c>
      <c r="L1345">
        <v>0.25633127765571201</v>
      </c>
      <c r="M1345">
        <v>0</v>
      </c>
      <c r="N1345">
        <v>0.29256818482477859</v>
      </c>
      <c r="O1345">
        <v>3.7296622915880167</v>
      </c>
      <c r="P1345">
        <v>7.1065022091179086</v>
      </c>
      <c r="Q1345">
        <v>9.2810154983924846</v>
      </c>
      <c r="R1345">
        <v>-1.446476902757877</v>
      </c>
      <c r="S1345" s="2">
        <v>1.7075632067057533E-2</v>
      </c>
      <c r="T1345" s="2">
        <v>3.4110516388345169E-2</v>
      </c>
      <c r="U1345" s="2">
        <v>6.0517971106209004E-2</v>
      </c>
      <c r="V1345" s="2">
        <v>9.8350622564023077E-2</v>
      </c>
      <c r="W1345" s="2">
        <v>0.14912436228127962</v>
      </c>
      <c r="X1345" s="2">
        <v>0.21332161337936914</v>
      </c>
      <c r="Y1345" s="2">
        <v>0.28978753327511031</v>
      </c>
      <c r="Z1345" s="2">
        <v>0.37511600632249947</v>
      </c>
      <c r="AA1345" s="2">
        <v>0.46320989944449598</v>
      </c>
      <c r="AB1345" s="2">
        <v>0.54528896993919596</v>
      </c>
      <c r="AC1345" s="2">
        <v>0.61064364404858218</v>
      </c>
      <c r="AD1345" s="2">
        <v>0.64832550586235993</v>
      </c>
      <c r="AE1345" s="2">
        <v>0.64966751121900179</v>
      </c>
      <c r="AF1345" s="2">
        <v>0.61106603509059743</v>
      </c>
      <c r="AG1345" s="2">
        <v>0.53601338840130508</v>
      </c>
      <c r="AH1345" s="2">
        <v>0.44219572063721863</v>
      </c>
      <c r="AI1345" s="2">
        <v>0.33728731094260411</v>
      </c>
      <c r="AJ1345" s="2">
        <v>0.23288565538474695</v>
      </c>
      <c r="AK1345" s="2">
        <v>1.6756334959250579E-2</v>
      </c>
      <c r="AL1345" s="2">
        <v>0</v>
      </c>
      <c r="AM1345" s="2">
        <v>0</v>
      </c>
      <c r="AN1345" s="2">
        <v>0</v>
      </c>
      <c r="AO1345" s="2">
        <v>0</v>
      </c>
      <c r="AP1345" s="2">
        <v>0</v>
      </c>
      <c r="AQ1345" s="2">
        <v>0</v>
      </c>
      <c r="AR1345" s="2">
        <v>6.3307442333132524</v>
      </c>
    </row>
    <row r="1346" spans="1:44" x14ac:dyDescent="0.25">
      <c r="A1346" t="s">
        <v>131</v>
      </c>
      <c r="B1346" t="s">
        <v>235</v>
      </c>
      <c r="C1346" t="s">
        <v>44</v>
      </c>
      <c r="D1346" t="s">
        <v>236</v>
      </c>
      <c r="E1346" t="s">
        <v>134</v>
      </c>
      <c r="F1346" t="s">
        <v>236</v>
      </c>
      <c r="G1346" t="s">
        <v>28</v>
      </c>
      <c r="H1346" t="s">
        <v>52</v>
      </c>
      <c r="I1346" t="s">
        <v>135</v>
      </c>
      <c r="J1346" t="s">
        <v>39</v>
      </c>
      <c r="K1346" t="s">
        <v>28</v>
      </c>
      <c r="L1346">
        <v>0.17361189969618615</v>
      </c>
      <c r="M1346">
        <v>1</v>
      </c>
      <c r="N1346">
        <v>2.4453716403130521</v>
      </c>
      <c r="O1346">
        <v>3.8671118209563602</v>
      </c>
      <c r="P1346">
        <v>-1.1155084905636294</v>
      </c>
      <c r="Q1346">
        <v>1.1513170717988055</v>
      </c>
      <c r="R1346">
        <v>-1.5387891758457397</v>
      </c>
      <c r="S1346" s="2">
        <v>1.4860773656562902</v>
      </c>
      <c r="T1346" s="2">
        <v>2.9686084905378691</v>
      </c>
      <c r="U1346" s="2">
        <v>5.2668262424019323</v>
      </c>
      <c r="V1346" s="2">
        <v>8.5593689016388605</v>
      </c>
      <c r="W1346" s="2">
        <v>12.978163185049588</v>
      </c>
      <c r="X1346" s="2">
        <v>18.56519395612569</v>
      </c>
      <c r="Y1346" s="2">
        <v>25.219956272091277</v>
      </c>
      <c r="Z1346" s="2">
        <v>32.646018859043515</v>
      </c>
      <c r="AA1346" s="2">
        <v>40.312753543126121</v>
      </c>
      <c r="AB1346" s="2">
        <v>47.456023460003614</v>
      </c>
      <c r="AC1346" s="2">
        <v>53.143783746263892</v>
      </c>
      <c r="AD1346" s="2">
        <v>56.423203314297069</v>
      </c>
      <c r="AE1346" s="2">
        <v>56.539996870006334</v>
      </c>
      <c r="AF1346" s="2">
        <v>53.180544070246633</v>
      </c>
      <c r="AG1346" s="2">
        <v>46.648777688800131</v>
      </c>
      <c r="AH1346" s="2">
        <v>38.483907889816706</v>
      </c>
      <c r="AI1346" s="2">
        <v>29.353820493817409</v>
      </c>
      <c r="AJ1346" s="2">
        <v>20.267835468355862</v>
      </c>
      <c r="AK1346" s="2">
        <v>1.4582892168504749</v>
      </c>
      <c r="AL1346" s="2">
        <v>0</v>
      </c>
      <c r="AM1346" s="2">
        <v>0</v>
      </c>
      <c r="AN1346" s="2">
        <v>0</v>
      </c>
      <c r="AO1346" s="2">
        <v>0</v>
      </c>
      <c r="AP1346" s="2">
        <v>0</v>
      </c>
      <c r="AQ1346" s="2">
        <v>0</v>
      </c>
      <c r="AR1346" s="2">
        <v>550.95914903412915</v>
      </c>
    </row>
    <row r="1347" spans="1:44" x14ac:dyDescent="0.25">
      <c r="A1347" t="s">
        <v>131</v>
      </c>
      <c r="B1347" t="s">
        <v>235</v>
      </c>
      <c r="C1347" t="s">
        <v>44</v>
      </c>
      <c r="D1347" t="s">
        <v>236</v>
      </c>
      <c r="E1347" t="s">
        <v>134</v>
      </c>
      <c r="F1347" t="s">
        <v>236</v>
      </c>
      <c r="G1347" t="s">
        <v>28</v>
      </c>
      <c r="H1347" t="s">
        <v>138</v>
      </c>
      <c r="I1347" t="s">
        <v>135</v>
      </c>
      <c r="J1347" t="s">
        <v>39</v>
      </c>
      <c r="K1347" t="s">
        <v>28</v>
      </c>
      <c r="L1347">
        <v>0.17361189969618615</v>
      </c>
      <c r="M1347">
        <v>1</v>
      </c>
      <c r="N1347">
        <v>2.4453716403130521</v>
      </c>
      <c r="O1347">
        <v>3.8671118209563602</v>
      </c>
      <c r="P1347">
        <v>-1.1155084905636294</v>
      </c>
      <c r="Q1347">
        <v>1.1513170717988055</v>
      </c>
      <c r="R1347">
        <v>-1.5387891758457397</v>
      </c>
      <c r="S1347" s="2">
        <v>0.51549507032352071</v>
      </c>
      <c r="T1347" s="2">
        <v>1.0297600097805126</v>
      </c>
      <c r="U1347" s="2">
        <v>1.8269728258795757</v>
      </c>
      <c r="V1347" s="2">
        <v>2.9691001127163328</v>
      </c>
      <c r="W1347" s="2">
        <v>4.5019050140722037</v>
      </c>
      <c r="X1347" s="2">
        <v>6.4399513680476108</v>
      </c>
      <c r="Y1347" s="2">
        <v>8.7483757121193584</v>
      </c>
      <c r="Z1347" s="2">
        <v>11.324351057654091</v>
      </c>
      <c r="AA1347" s="2">
        <v>13.983811477722849</v>
      </c>
      <c r="AB1347" s="2">
        <v>16.461690835312307</v>
      </c>
      <c r="AC1347" s="2">
        <v>18.434678552176038</v>
      </c>
      <c r="AD1347" s="2">
        <v>19.572253660923494</v>
      </c>
      <c r="AE1347" s="2">
        <v>19.612767367413536</v>
      </c>
      <c r="AF1347" s="2">
        <v>18.447430086002289</v>
      </c>
      <c r="AG1347" s="2">
        <v>16.181670948587822</v>
      </c>
      <c r="AH1347" s="2">
        <v>13.349415893447697</v>
      </c>
      <c r="AI1347" s="2">
        <v>10.182343200578822</v>
      </c>
      <c r="AJ1347" s="2">
        <v>7.0305688731431282</v>
      </c>
      <c r="AK1347" s="2">
        <v>0.50585583211568419</v>
      </c>
      <c r="AL1347" s="2">
        <v>0</v>
      </c>
      <c r="AM1347" s="2">
        <v>0</v>
      </c>
      <c r="AN1347" s="2">
        <v>0</v>
      </c>
      <c r="AO1347" s="2">
        <v>0</v>
      </c>
      <c r="AP1347" s="2">
        <v>0</v>
      </c>
      <c r="AQ1347" s="2">
        <v>0</v>
      </c>
      <c r="AR1347" s="2">
        <v>191.11839789801692</v>
      </c>
    </row>
    <row r="1348" spans="1:44" x14ac:dyDescent="0.25">
      <c r="A1348" t="s">
        <v>131</v>
      </c>
      <c r="B1348" t="s">
        <v>132</v>
      </c>
      <c r="C1348" t="s">
        <v>44</v>
      </c>
      <c r="D1348" t="s">
        <v>133</v>
      </c>
      <c r="E1348" t="s">
        <v>134</v>
      </c>
      <c r="F1348" t="s">
        <v>133</v>
      </c>
      <c r="G1348" t="s">
        <v>28</v>
      </c>
      <c r="H1348" t="s">
        <v>55</v>
      </c>
      <c r="I1348" t="s">
        <v>135</v>
      </c>
      <c r="J1348" t="s">
        <v>39</v>
      </c>
      <c r="K1348" t="s">
        <v>28</v>
      </c>
      <c r="L1348">
        <v>23.3</v>
      </c>
      <c r="M1348">
        <v>1</v>
      </c>
      <c r="N1348">
        <v>1.2837912296962055</v>
      </c>
      <c r="O1348">
        <v>3.7867973472078527</v>
      </c>
      <c r="P1348">
        <v>-6.086570555985079E-2</v>
      </c>
      <c r="Q1348">
        <v>2.1474879975497321</v>
      </c>
      <c r="R1348">
        <v>-1.4803173165928876</v>
      </c>
      <c r="S1348" s="2">
        <v>2.5177393855019448E-3</v>
      </c>
      <c r="T1348" s="2">
        <v>5.0294706651842994E-3</v>
      </c>
      <c r="U1348" s="2">
        <v>8.9231531100228984E-3</v>
      </c>
      <c r="V1348" s="2">
        <v>1.4501438953805432E-2</v>
      </c>
      <c r="W1348" s="2">
        <v>2.1987840847061367E-2</v>
      </c>
      <c r="X1348" s="2">
        <v>3.1453490311507237E-2</v>
      </c>
      <c r="Y1348" s="2">
        <v>4.2728110039438619E-2</v>
      </c>
      <c r="Z1348" s="2">
        <v>5.530948075839516E-2</v>
      </c>
      <c r="AA1348" s="2">
        <v>6.8298602535230762E-2</v>
      </c>
      <c r="AB1348" s="2">
        <v>8.0400860753160788E-2</v>
      </c>
      <c r="AC1348" s="2">
        <v>9.0037167999982445E-2</v>
      </c>
      <c r="AD1348" s="2">
        <v>9.5593220463224479E-2</v>
      </c>
      <c r="AE1348" s="2">
        <v>9.5791094236136826E-2</v>
      </c>
      <c r="AF1348" s="2">
        <v>9.0099448011544445E-2</v>
      </c>
      <c r="AG1348" s="2">
        <v>7.9033210239863788E-2</v>
      </c>
      <c r="AH1348" s="2">
        <v>6.5200138863181184E-2</v>
      </c>
      <c r="AI1348" s="2">
        <v>4.9731778223807206E-2</v>
      </c>
      <c r="AJ1348" s="2">
        <v>3.4338136625220075E-2</v>
      </c>
      <c r="AK1348" s="2">
        <v>2.4706601968169655E-3</v>
      </c>
      <c r="AL1348" s="2">
        <v>0</v>
      </c>
      <c r="AM1348" s="2">
        <v>0</v>
      </c>
      <c r="AN1348" s="2">
        <v>0</v>
      </c>
      <c r="AO1348" s="2">
        <v>0</v>
      </c>
      <c r="AP1348" s="2">
        <v>0</v>
      </c>
      <c r="AQ1348" s="2">
        <v>0</v>
      </c>
      <c r="AR1348" s="2">
        <v>0.93344504221908586</v>
      </c>
    </row>
    <row r="1349" spans="1:44" x14ac:dyDescent="0.25">
      <c r="A1349" t="s">
        <v>131</v>
      </c>
      <c r="B1349" t="s">
        <v>132</v>
      </c>
      <c r="C1349" t="s">
        <v>44</v>
      </c>
      <c r="D1349" t="s">
        <v>133</v>
      </c>
      <c r="E1349" t="s">
        <v>134</v>
      </c>
      <c r="F1349" t="s">
        <v>133</v>
      </c>
      <c r="G1349" t="s">
        <v>28</v>
      </c>
      <c r="H1349" t="s">
        <v>136</v>
      </c>
      <c r="I1349" t="s">
        <v>135</v>
      </c>
      <c r="J1349" t="s">
        <v>39</v>
      </c>
      <c r="K1349" t="s">
        <v>28</v>
      </c>
      <c r="L1349">
        <v>23.3</v>
      </c>
      <c r="M1349">
        <v>1</v>
      </c>
      <c r="N1349">
        <v>1.2837912296962055</v>
      </c>
      <c r="O1349">
        <v>3.7867973472078527</v>
      </c>
      <c r="P1349">
        <v>-6.086570555985079E-2</v>
      </c>
      <c r="Q1349">
        <v>2.1474879975497321</v>
      </c>
      <c r="R1349">
        <v>-1.4803173165928876</v>
      </c>
      <c r="S1349" s="2">
        <v>3.161161672907998E-3</v>
      </c>
      <c r="T1349" s="2">
        <v>6.3147798351758438E-3</v>
      </c>
      <c r="U1349" s="2">
        <v>1.1203514460362083E-2</v>
      </c>
      <c r="V1349" s="2">
        <v>1.8207362242000157E-2</v>
      </c>
      <c r="W1349" s="2">
        <v>2.7606955730199265E-2</v>
      </c>
      <c r="X1349" s="2">
        <v>3.9491604502225754E-2</v>
      </c>
      <c r="Y1349" s="2">
        <v>5.3647515938406276E-2</v>
      </c>
      <c r="Z1349" s="2">
        <v>6.9444125841096133E-2</v>
      </c>
      <c r="AA1349" s="2">
        <v>8.5752689849789746E-2</v>
      </c>
      <c r="AB1349" s="2">
        <v>0.10094774739007968</v>
      </c>
      <c r="AC1349" s="2">
        <v>0.11304666648886678</v>
      </c>
      <c r="AD1349" s="2">
        <v>0.12002259902604855</v>
      </c>
      <c r="AE1349" s="2">
        <v>0.12027104054092734</v>
      </c>
      <c r="AF1349" s="2">
        <v>0.11312486250338354</v>
      </c>
      <c r="AG1349" s="2">
        <v>9.9230586190051179E-2</v>
      </c>
      <c r="AH1349" s="2">
        <v>8.1862396572660812E-2</v>
      </c>
      <c r="AI1349" s="2">
        <v>6.2441010436557941E-2</v>
      </c>
      <c r="AJ1349" s="2">
        <v>4.3113438207220765E-2</v>
      </c>
      <c r="AK1349" s="2">
        <v>3.1020511360035758E-3</v>
      </c>
      <c r="AL1349" s="2">
        <v>0</v>
      </c>
      <c r="AM1349" s="2">
        <v>0</v>
      </c>
      <c r="AN1349" s="2">
        <v>0</v>
      </c>
      <c r="AO1349" s="2">
        <v>0</v>
      </c>
      <c r="AP1349" s="2">
        <v>0</v>
      </c>
      <c r="AQ1349" s="2">
        <v>0</v>
      </c>
      <c r="AR1349" s="2">
        <v>1.1719921085639635</v>
      </c>
    </row>
    <row r="1350" spans="1:44" x14ac:dyDescent="0.25">
      <c r="A1350" t="s">
        <v>131</v>
      </c>
      <c r="B1350" t="s">
        <v>137</v>
      </c>
      <c r="C1350" t="s">
        <v>44</v>
      </c>
      <c r="D1350" t="s">
        <v>133</v>
      </c>
      <c r="E1350" t="s">
        <v>134</v>
      </c>
      <c r="F1350" t="s">
        <v>133</v>
      </c>
      <c r="G1350" t="s">
        <v>28</v>
      </c>
      <c r="H1350" t="s">
        <v>52</v>
      </c>
      <c r="I1350" t="s">
        <v>135</v>
      </c>
      <c r="J1350" t="s">
        <v>39</v>
      </c>
      <c r="K1350" t="s">
        <v>28</v>
      </c>
      <c r="L1350">
        <v>31</v>
      </c>
      <c r="M1350">
        <v>1</v>
      </c>
      <c r="N1350">
        <v>1.6225668455291766</v>
      </c>
      <c r="O1350">
        <v>3.7706168785438607</v>
      </c>
      <c r="P1350">
        <v>-0.50471968428702207</v>
      </c>
      <c r="Q1350">
        <v>1.691854048884281</v>
      </c>
      <c r="R1350">
        <v>-1.4685373466546079</v>
      </c>
      <c r="S1350" s="2">
        <v>1.4543326750321182</v>
      </c>
      <c r="T1350" s="2">
        <v>2.9051948619514483</v>
      </c>
      <c r="U1350" s="2">
        <v>5.1543194688649558</v>
      </c>
      <c r="V1350" s="2">
        <v>8.3765288126905375</v>
      </c>
      <c r="W1350" s="2">
        <v>12.70093147107521</v>
      </c>
      <c r="X1350" s="2">
        <v>18.16861545211578</v>
      </c>
      <c r="Y1350" s="2">
        <v>24.681222739157665</v>
      </c>
      <c r="Z1350" s="2">
        <v>31.948654244830752</v>
      </c>
      <c r="AA1350" s="2">
        <v>39.451616755089617</v>
      </c>
      <c r="AB1350" s="2">
        <v>46.442296437570988</v>
      </c>
      <c r="AC1350" s="2">
        <v>52.008558210493732</v>
      </c>
      <c r="AD1350" s="2">
        <v>55.217924790694688</v>
      </c>
      <c r="AE1350" s="2">
        <v>55.332223472732785</v>
      </c>
      <c r="AF1350" s="2">
        <v>52.04453328255147</v>
      </c>
      <c r="AG1350" s="2">
        <v>45.652294564872889</v>
      </c>
      <c r="AH1350" s="2">
        <v>37.661837802347314</v>
      </c>
      <c r="AI1350" s="2">
        <v>28.726781840414471</v>
      </c>
      <c r="AJ1350" s="2">
        <v>19.834886160713026</v>
      </c>
      <c r="AK1350" s="2">
        <v>1.4271381199430355</v>
      </c>
      <c r="AL1350" s="2">
        <v>0</v>
      </c>
      <c r="AM1350" s="2">
        <v>0</v>
      </c>
      <c r="AN1350" s="2">
        <v>0</v>
      </c>
      <c r="AO1350" s="2">
        <v>0</v>
      </c>
      <c r="AP1350" s="2">
        <v>0</v>
      </c>
      <c r="AQ1350" s="2">
        <v>0</v>
      </c>
      <c r="AR1350" s="2">
        <v>539.18989116314242</v>
      </c>
    </row>
    <row r="1351" spans="1:44" x14ac:dyDescent="0.25">
      <c r="A1351" t="s">
        <v>131</v>
      </c>
      <c r="B1351" t="s">
        <v>137</v>
      </c>
      <c r="C1351" t="s">
        <v>44</v>
      </c>
      <c r="D1351" t="s">
        <v>133</v>
      </c>
      <c r="E1351" t="s">
        <v>134</v>
      </c>
      <c r="F1351" t="s">
        <v>133</v>
      </c>
      <c r="G1351" t="s">
        <v>28</v>
      </c>
      <c r="H1351" t="s">
        <v>138</v>
      </c>
      <c r="I1351" t="s">
        <v>135</v>
      </c>
      <c r="J1351" t="s">
        <v>39</v>
      </c>
      <c r="K1351" t="s">
        <v>28</v>
      </c>
      <c r="L1351">
        <v>31</v>
      </c>
      <c r="M1351">
        <v>1</v>
      </c>
      <c r="N1351">
        <v>1.6225668455291766</v>
      </c>
      <c r="O1351">
        <v>3.7706168785438607</v>
      </c>
      <c r="P1351">
        <v>-0.50471968428702207</v>
      </c>
      <c r="Q1351">
        <v>1.691854048884281</v>
      </c>
      <c r="R1351">
        <v>-1.4685373466546079</v>
      </c>
      <c r="S1351" s="2">
        <v>0.50448337476588112</v>
      </c>
      <c r="T1351" s="2">
        <v>1.0077628959807272</v>
      </c>
      <c r="U1351" s="2">
        <v>1.7879461315252723</v>
      </c>
      <c r="V1351" s="2">
        <v>2.9056759823927063</v>
      </c>
      <c r="W1351" s="2">
        <v>4.4057380276192362</v>
      </c>
      <c r="X1351" s="2">
        <v>6.3023850013577425</v>
      </c>
      <c r="Y1351" s="2">
        <v>8.5614981733967337</v>
      </c>
      <c r="Z1351" s="2">
        <v>11.082447083370772</v>
      </c>
      <c r="AA1351" s="2">
        <v>13.685097709943323</v>
      </c>
      <c r="AB1351" s="2">
        <v>16.110046099449594</v>
      </c>
      <c r="AC1351" s="2">
        <v>18.040888039704001</v>
      </c>
      <c r="AD1351" s="2">
        <v>19.154162953371781</v>
      </c>
      <c r="AE1351" s="2">
        <v>19.193811230437824</v>
      </c>
      <c r="AF1351" s="2">
        <v>18.053367182936285</v>
      </c>
      <c r="AG1351" s="2">
        <v>15.836007829078413</v>
      </c>
      <c r="AH1351" s="2">
        <v>13.064253702471348</v>
      </c>
      <c r="AI1351" s="2">
        <v>9.9648341110781082</v>
      </c>
      <c r="AJ1351" s="2">
        <v>6.8803860906395409</v>
      </c>
      <c r="AK1351" s="2">
        <v>0.49505004416546633</v>
      </c>
      <c r="AL1351" s="2">
        <v>0</v>
      </c>
      <c r="AM1351" s="2">
        <v>0</v>
      </c>
      <c r="AN1351" s="2">
        <v>0</v>
      </c>
      <c r="AO1351" s="2">
        <v>0</v>
      </c>
      <c r="AP1351" s="2">
        <v>0</v>
      </c>
      <c r="AQ1351" s="2">
        <v>0</v>
      </c>
      <c r="AR1351" s="2">
        <v>187.03584166368475</v>
      </c>
    </row>
    <row r="1352" spans="1:44" x14ac:dyDescent="0.25">
      <c r="A1352" t="s">
        <v>131</v>
      </c>
      <c r="B1352" t="s">
        <v>239</v>
      </c>
      <c r="C1352" t="s">
        <v>46</v>
      </c>
      <c r="D1352" t="s">
        <v>240</v>
      </c>
      <c r="E1352" t="s">
        <v>148</v>
      </c>
      <c r="F1352" t="s">
        <v>241</v>
      </c>
      <c r="G1352" t="s">
        <v>28</v>
      </c>
      <c r="H1352" t="s">
        <v>52</v>
      </c>
      <c r="I1352" t="s">
        <v>135</v>
      </c>
      <c r="J1352" t="s">
        <v>39</v>
      </c>
      <c r="K1352" t="s">
        <v>28</v>
      </c>
      <c r="L1352">
        <v>70.999999999999986</v>
      </c>
      <c r="M1352">
        <v>1</v>
      </c>
      <c r="N1352">
        <v>3.0518900926655417</v>
      </c>
      <c r="O1352">
        <v>3.688844026831072</v>
      </c>
      <c r="P1352">
        <v>-1.294529871073506</v>
      </c>
      <c r="Q1352">
        <v>0.87998341820106674</v>
      </c>
      <c r="R1352">
        <v>-1.4464769027578763</v>
      </c>
      <c r="S1352" s="2">
        <v>0</v>
      </c>
      <c r="T1352" s="2">
        <v>0</v>
      </c>
      <c r="U1352" s="2">
        <v>0</v>
      </c>
      <c r="V1352" s="2">
        <v>0</v>
      </c>
      <c r="W1352" s="2">
        <v>0</v>
      </c>
      <c r="X1352" s="2">
        <v>0</v>
      </c>
      <c r="Y1352" s="2">
        <v>0</v>
      </c>
      <c r="Z1352" s="2">
        <v>0</v>
      </c>
      <c r="AA1352" s="2">
        <v>0</v>
      </c>
      <c r="AB1352" s="2">
        <v>0</v>
      </c>
      <c r="AC1352" s="2">
        <v>0</v>
      </c>
      <c r="AD1352" s="2">
        <v>0</v>
      </c>
      <c r="AE1352" s="2">
        <v>0</v>
      </c>
      <c r="AF1352" s="2">
        <v>0</v>
      </c>
      <c r="AG1352" s="2">
        <v>0</v>
      </c>
      <c r="AH1352" s="2">
        <v>0</v>
      </c>
      <c r="AI1352" s="2">
        <v>0</v>
      </c>
      <c r="AJ1352" s="2">
        <v>0</v>
      </c>
      <c r="AK1352" s="2">
        <v>0</v>
      </c>
      <c r="AL1352" s="2">
        <v>0</v>
      </c>
      <c r="AM1352" s="2">
        <v>0</v>
      </c>
      <c r="AN1352" s="2">
        <v>0</v>
      </c>
      <c r="AO1352" s="2">
        <v>0</v>
      </c>
      <c r="AP1352" s="2">
        <v>0</v>
      </c>
      <c r="AQ1352" s="2">
        <v>0</v>
      </c>
      <c r="AR1352" s="2">
        <v>0</v>
      </c>
    </row>
    <row r="1353" spans="1:44" x14ac:dyDescent="0.25">
      <c r="A1353" t="s">
        <v>131</v>
      </c>
      <c r="B1353" t="s">
        <v>239</v>
      </c>
      <c r="C1353" t="s">
        <v>46</v>
      </c>
      <c r="D1353" t="s">
        <v>240</v>
      </c>
      <c r="E1353" t="s">
        <v>148</v>
      </c>
      <c r="F1353" t="s">
        <v>241</v>
      </c>
      <c r="G1353" t="s">
        <v>28</v>
      </c>
      <c r="H1353" t="s">
        <v>138</v>
      </c>
      <c r="I1353" t="s">
        <v>135</v>
      </c>
      <c r="J1353" t="s">
        <v>39</v>
      </c>
      <c r="K1353" t="s">
        <v>28</v>
      </c>
      <c r="L1353">
        <v>70.999999999999986</v>
      </c>
      <c r="M1353">
        <v>1</v>
      </c>
      <c r="N1353">
        <v>3.0518900926655417</v>
      </c>
      <c r="O1353">
        <v>3.688844026831072</v>
      </c>
      <c r="P1353">
        <v>-1.294529871073506</v>
      </c>
      <c r="Q1353">
        <v>0.87998341820106674</v>
      </c>
      <c r="R1353">
        <v>-1.4464769027578763</v>
      </c>
      <c r="S1353" s="2">
        <v>0</v>
      </c>
      <c r="T1353" s="2">
        <v>0</v>
      </c>
      <c r="U1353" s="2">
        <v>0</v>
      </c>
      <c r="V1353" s="2">
        <v>0</v>
      </c>
      <c r="W1353" s="2">
        <v>0</v>
      </c>
      <c r="X1353" s="2">
        <v>0</v>
      </c>
      <c r="Y1353" s="2">
        <v>0</v>
      </c>
      <c r="Z1353" s="2">
        <v>0</v>
      </c>
      <c r="AA1353" s="2">
        <v>0</v>
      </c>
      <c r="AB1353" s="2">
        <v>0</v>
      </c>
      <c r="AC1353" s="2">
        <v>0</v>
      </c>
      <c r="AD1353" s="2">
        <v>0</v>
      </c>
      <c r="AE1353" s="2">
        <v>0</v>
      </c>
      <c r="AF1353" s="2">
        <v>0</v>
      </c>
      <c r="AG1353" s="2">
        <v>0</v>
      </c>
      <c r="AH1353" s="2">
        <v>0</v>
      </c>
      <c r="AI1353" s="2">
        <v>0</v>
      </c>
      <c r="AJ1353" s="2">
        <v>0</v>
      </c>
      <c r="AK1353" s="2">
        <v>0</v>
      </c>
      <c r="AL1353" s="2">
        <v>0</v>
      </c>
      <c r="AM1353" s="2">
        <v>0</v>
      </c>
      <c r="AN1353" s="2">
        <v>0</v>
      </c>
      <c r="AO1353" s="2">
        <v>0</v>
      </c>
      <c r="AP1353" s="2">
        <v>0</v>
      </c>
      <c r="AQ1353" s="2">
        <v>0</v>
      </c>
      <c r="AR1353" s="2">
        <v>0</v>
      </c>
    </row>
    <row r="1354" spans="1:44" x14ac:dyDescent="0.25">
      <c r="A1354" t="s">
        <v>131</v>
      </c>
      <c r="B1354" t="s">
        <v>242</v>
      </c>
      <c r="C1354" t="s">
        <v>46</v>
      </c>
      <c r="D1354" t="s">
        <v>240</v>
      </c>
      <c r="E1354" t="s">
        <v>148</v>
      </c>
      <c r="F1354" t="s">
        <v>243</v>
      </c>
      <c r="G1354" t="s">
        <v>28</v>
      </c>
      <c r="H1354" t="s">
        <v>52</v>
      </c>
      <c r="I1354" t="s">
        <v>135</v>
      </c>
      <c r="J1354" t="s">
        <v>39</v>
      </c>
      <c r="K1354" t="s">
        <v>28</v>
      </c>
      <c r="L1354">
        <v>91.420000000000016</v>
      </c>
      <c r="M1354">
        <v>1</v>
      </c>
      <c r="N1354">
        <v>1.2286361503824936</v>
      </c>
      <c r="O1354">
        <v>3.6763765132632762</v>
      </c>
      <c r="P1354">
        <v>1.3024461667565736E-2</v>
      </c>
      <c r="Q1354">
        <v>2.1784609474153913</v>
      </c>
      <c r="R1354">
        <v>-1.4374000992311295</v>
      </c>
      <c r="S1354" s="2">
        <v>0</v>
      </c>
      <c r="T1354" s="2">
        <v>0</v>
      </c>
      <c r="U1354" s="2">
        <v>0</v>
      </c>
      <c r="V1354" s="2">
        <v>0</v>
      </c>
      <c r="W1354" s="2">
        <v>0</v>
      </c>
      <c r="X1354" s="2">
        <v>0</v>
      </c>
      <c r="Y1354" s="2">
        <v>0</v>
      </c>
      <c r="Z1354" s="2">
        <v>0</v>
      </c>
      <c r="AA1354" s="2">
        <v>0</v>
      </c>
      <c r="AB1354" s="2">
        <v>0</v>
      </c>
      <c r="AC1354" s="2">
        <v>0</v>
      </c>
      <c r="AD1354" s="2">
        <v>0</v>
      </c>
      <c r="AE1354" s="2">
        <v>0</v>
      </c>
      <c r="AF1354" s="2">
        <v>0</v>
      </c>
      <c r="AG1354" s="2">
        <v>0</v>
      </c>
      <c r="AH1354" s="2">
        <v>0</v>
      </c>
      <c r="AI1354" s="2">
        <v>0</v>
      </c>
      <c r="AJ1354" s="2">
        <v>0</v>
      </c>
      <c r="AK1354" s="2">
        <v>0</v>
      </c>
      <c r="AL1354" s="2">
        <v>0</v>
      </c>
      <c r="AM1354" s="2">
        <v>0</v>
      </c>
      <c r="AN1354" s="2">
        <v>0</v>
      </c>
      <c r="AO1354" s="2">
        <v>0</v>
      </c>
      <c r="AP1354" s="2">
        <v>0</v>
      </c>
      <c r="AQ1354" s="2">
        <v>0</v>
      </c>
      <c r="AR1354" s="2">
        <v>0</v>
      </c>
    </row>
    <row r="1355" spans="1:44" x14ac:dyDescent="0.25">
      <c r="A1355" t="s">
        <v>131</v>
      </c>
      <c r="B1355" t="s">
        <v>242</v>
      </c>
      <c r="C1355" t="s">
        <v>46</v>
      </c>
      <c r="D1355" t="s">
        <v>240</v>
      </c>
      <c r="E1355" t="s">
        <v>148</v>
      </c>
      <c r="F1355" t="s">
        <v>243</v>
      </c>
      <c r="G1355" t="s">
        <v>28</v>
      </c>
      <c r="H1355" t="s">
        <v>138</v>
      </c>
      <c r="I1355" t="s">
        <v>135</v>
      </c>
      <c r="J1355" t="s">
        <v>39</v>
      </c>
      <c r="K1355" t="s">
        <v>28</v>
      </c>
      <c r="L1355">
        <v>91.420000000000016</v>
      </c>
      <c r="M1355">
        <v>1</v>
      </c>
      <c r="N1355">
        <v>1.2286361503824936</v>
      </c>
      <c r="O1355">
        <v>3.6763765132632762</v>
      </c>
      <c r="P1355">
        <v>1.3024461667565736E-2</v>
      </c>
      <c r="Q1355">
        <v>2.1784609474153913</v>
      </c>
      <c r="R1355">
        <v>-1.4374000992311295</v>
      </c>
      <c r="S1355" s="2">
        <v>0</v>
      </c>
      <c r="T1355" s="2">
        <v>0</v>
      </c>
      <c r="U1355" s="2">
        <v>0</v>
      </c>
      <c r="V1355" s="2">
        <v>0</v>
      </c>
      <c r="W1355" s="2">
        <v>0</v>
      </c>
      <c r="X1355" s="2">
        <v>0</v>
      </c>
      <c r="Y1355" s="2">
        <v>0</v>
      </c>
      <c r="Z1355" s="2">
        <v>0</v>
      </c>
      <c r="AA1355" s="2">
        <v>0</v>
      </c>
      <c r="AB1355" s="2">
        <v>0</v>
      </c>
      <c r="AC1355" s="2">
        <v>0</v>
      </c>
      <c r="AD1355" s="2">
        <v>0</v>
      </c>
      <c r="AE1355" s="2">
        <v>0</v>
      </c>
      <c r="AF1355" s="2">
        <v>0</v>
      </c>
      <c r="AG1355" s="2">
        <v>0</v>
      </c>
      <c r="AH1355" s="2">
        <v>0</v>
      </c>
      <c r="AI1355" s="2">
        <v>0</v>
      </c>
      <c r="AJ1355" s="2">
        <v>0</v>
      </c>
      <c r="AK1355" s="2">
        <v>0</v>
      </c>
      <c r="AL1355" s="2">
        <v>0</v>
      </c>
      <c r="AM1355" s="2">
        <v>0</v>
      </c>
      <c r="AN1355" s="2">
        <v>0</v>
      </c>
      <c r="AO1355" s="2">
        <v>0</v>
      </c>
      <c r="AP1355" s="2">
        <v>0</v>
      </c>
      <c r="AQ1355" s="2">
        <v>0</v>
      </c>
      <c r="AR1355" s="2">
        <v>0</v>
      </c>
    </row>
    <row r="1356" spans="1:44" x14ac:dyDescent="0.25">
      <c r="A1356" t="s">
        <v>131</v>
      </c>
      <c r="B1356" t="s">
        <v>244</v>
      </c>
      <c r="C1356" t="s">
        <v>46</v>
      </c>
      <c r="D1356" t="s">
        <v>240</v>
      </c>
      <c r="E1356" t="s">
        <v>148</v>
      </c>
      <c r="F1356" t="s">
        <v>245</v>
      </c>
      <c r="G1356" t="s">
        <v>28</v>
      </c>
      <c r="H1356" t="s">
        <v>52</v>
      </c>
      <c r="I1356" t="s">
        <v>135</v>
      </c>
      <c r="J1356" t="s">
        <v>39</v>
      </c>
      <c r="K1356" t="s">
        <v>28</v>
      </c>
      <c r="L1356">
        <v>21.919999999999987</v>
      </c>
      <c r="M1356">
        <v>1</v>
      </c>
      <c r="N1356">
        <v>1.1400727737010417</v>
      </c>
      <c r="O1356">
        <v>3.9384309079335504</v>
      </c>
      <c r="P1356">
        <v>0.15881169413742999</v>
      </c>
      <c r="Q1356">
        <v>2.5150333144518231</v>
      </c>
      <c r="R1356">
        <v>-1.6281852337976968</v>
      </c>
      <c r="S1356" s="2">
        <v>0</v>
      </c>
      <c r="T1356" s="2">
        <v>0</v>
      </c>
      <c r="U1356" s="2">
        <v>0</v>
      </c>
      <c r="V1356" s="2">
        <v>0</v>
      </c>
      <c r="W1356" s="2">
        <v>0</v>
      </c>
      <c r="X1356" s="2">
        <v>0</v>
      </c>
      <c r="Y1356" s="2">
        <v>0</v>
      </c>
      <c r="Z1356" s="2">
        <v>0</v>
      </c>
      <c r="AA1356" s="2">
        <v>0</v>
      </c>
      <c r="AB1356" s="2">
        <v>0</v>
      </c>
      <c r="AC1356" s="2">
        <v>0</v>
      </c>
      <c r="AD1356" s="2">
        <v>0</v>
      </c>
      <c r="AE1356" s="2">
        <v>0</v>
      </c>
      <c r="AF1356" s="2">
        <v>0</v>
      </c>
      <c r="AG1356" s="2">
        <v>0</v>
      </c>
      <c r="AH1356" s="2">
        <v>0</v>
      </c>
      <c r="AI1356" s="2">
        <v>0</v>
      </c>
      <c r="AJ1356" s="2">
        <v>0</v>
      </c>
      <c r="AK1356" s="2">
        <v>0</v>
      </c>
      <c r="AL1356" s="2">
        <v>0</v>
      </c>
      <c r="AM1356" s="2">
        <v>0</v>
      </c>
      <c r="AN1356" s="2">
        <v>0</v>
      </c>
      <c r="AO1356" s="2">
        <v>0</v>
      </c>
      <c r="AP1356" s="2">
        <v>0</v>
      </c>
      <c r="AQ1356" s="2">
        <v>0</v>
      </c>
      <c r="AR1356" s="2">
        <v>0</v>
      </c>
    </row>
    <row r="1357" spans="1:44" x14ac:dyDescent="0.25">
      <c r="A1357" t="s">
        <v>131</v>
      </c>
      <c r="B1357" t="s">
        <v>244</v>
      </c>
      <c r="C1357" t="s">
        <v>46</v>
      </c>
      <c r="D1357" t="s">
        <v>240</v>
      </c>
      <c r="E1357" t="s">
        <v>148</v>
      </c>
      <c r="F1357" t="s">
        <v>245</v>
      </c>
      <c r="G1357" t="s">
        <v>28</v>
      </c>
      <c r="H1357" t="s">
        <v>138</v>
      </c>
      <c r="I1357" t="s">
        <v>135</v>
      </c>
      <c r="J1357" t="s">
        <v>39</v>
      </c>
      <c r="K1357" t="s">
        <v>28</v>
      </c>
      <c r="L1357">
        <v>21.919999999999987</v>
      </c>
      <c r="M1357">
        <v>1</v>
      </c>
      <c r="N1357">
        <v>1.1400727737010417</v>
      </c>
      <c r="O1357">
        <v>3.9384309079335504</v>
      </c>
      <c r="P1357">
        <v>0.15881169413742999</v>
      </c>
      <c r="Q1357">
        <v>2.5150333144518231</v>
      </c>
      <c r="R1357">
        <v>-1.6281852337976968</v>
      </c>
      <c r="S1357" s="2">
        <v>0</v>
      </c>
      <c r="T1357" s="2">
        <v>0</v>
      </c>
      <c r="U1357" s="2">
        <v>0</v>
      </c>
      <c r="V1357" s="2">
        <v>0</v>
      </c>
      <c r="W1357" s="2">
        <v>0</v>
      </c>
      <c r="X1357" s="2">
        <v>0</v>
      </c>
      <c r="Y1357" s="2">
        <v>0</v>
      </c>
      <c r="Z1357" s="2">
        <v>0</v>
      </c>
      <c r="AA1357" s="2">
        <v>0</v>
      </c>
      <c r="AB1357" s="2">
        <v>0</v>
      </c>
      <c r="AC1357" s="2">
        <v>0</v>
      </c>
      <c r="AD1357" s="2">
        <v>0</v>
      </c>
      <c r="AE1357" s="2">
        <v>0</v>
      </c>
      <c r="AF1357" s="2">
        <v>0</v>
      </c>
      <c r="AG1357" s="2">
        <v>0</v>
      </c>
      <c r="AH1357" s="2">
        <v>0</v>
      </c>
      <c r="AI1357" s="2">
        <v>0</v>
      </c>
      <c r="AJ1357" s="2">
        <v>0</v>
      </c>
      <c r="AK1357" s="2">
        <v>0</v>
      </c>
      <c r="AL1357" s="2">
        <v>0</v>
      </c>
      <c r="AM1357" s="2">
        <v>0</v>
      </c>
      <c r="AN1357" s="2">
        <v>0</v>
      </c>
      <c r="AO1357" s="2">
        <v>0</v>
      </c>
      <c r="AP1357" s="2">
        <v>0</v>
      </c>
      <c r="AQ1357" s="2">
        <v>0</v>
      </c>
      <c r="AR1357" s="2">
        <v>0</v>
      </c>
    </row>
    <row r="1358" spans="1:44" x14ac:dyDescent="0.25">
      <c r="A1358" t="s">
        <v>131</v>
      </c>
      <c r="B1358" t="s">
        <v>246</v>
      </c>
      <c r="C1358" t="s">
        <v>46</v>
      </c>
      <c r="D1358" t="s">
        <v>240</v>
      </c>
      <c r="E1358" t="s">
        <v>148</v>
      </c>
      <c r="F1358" t="s">
        <v>247</v>
      </c>
      <c r="G1358" t="s">
        <v>28</v>
      </c>
      <c r="H1358" t="s">
        <v>52</v>
      </c>
      <c r="I1358" t="s">
        <v>135</v>
      </c>
      <c r="J1358" t="s">
        <v>39</v>
      </c>
      <c r="K1358" t="s">
        <v>28</v>
      </c>
      <c r="L1358">
        <v>53.289965753424667</v>
      </c>
      <c r="M1358">
        <v>0</v>
      </c>
      <c r="N1358">
        <v>0.77259062316126836</v>
      </c>
      <c r="O1358">
        <v>3.757089514470124</v>
      </c>
      <c r="P1358">
        <v>1.3162248517699382</v>
      </c>
      <c r="Q1358">
        <v>3.5404233392613156</v>
      </c>
      <c r="R1358">
        <v>-1.4961621009746808</v>
      </c>
      <c r="S1358" s="2">
        <v>0</v>
      </c>
      <c r="T1358" s="2">
        <v>0</v>
      </c>
      <c r="U1358" s="2">
        <v>0</v>
      </c>
      <c r="V1358" s="2">
        <v>0</v>
      </c>
      <c r="W1358" s="2">
        <v>0</v>
      </c>
      <c r="X1358" s="2">
        <v>0</v>
      </c>
      <c r="Y1358" s="2">
        <v>0</v>
      </c>
      <c r="Z1358" s="2">
        <v>0</v>
      </c>
      <c r="AA1358" s="2">
        <v>0</v>
      </c>
      <c r="AB1358" s="2">
        <v>0</v>
      </c>
      <c r="AC1358" s="2">
        <v>0</v>
      </c>
      <c r="AD1358" s="2">
        <v>0</v>
      </c>
      <c r="AE1358" s="2">
        <v>0</v>
      </c>
      <c r="AF1358" s="2">
        <v>0</v>
      </c>
      <c r="AG1358" s="2">
        <v>0</v>
      </c>
      <c r="AH1358" s="2">
        <v>0</v>
      </c>
      <c r="AI1358" s="2">
        <v>0</v>
      </c>
      <c r="AJ1358" s="2">
        <v>0</v>
      </c>
      <c r="AK1358" s="2">
        <v>0</v>
      </c>
      <c r="AL1358" s="2">
        <v>0</v>
      </c>
      <c r="AM1358" s="2">
        <v>0</v>
      </c>
      <c r="AN1358" s="2">
        <v>0</v>
      </c>
      <c r="AO1358" s="2">
        <v>0</v>
      </c>
      <c r="AP1358" s="2">
        <v>0</v>
      </c>
      <c r="AQ1358" s="2">
        <v>0</v>
      </c>
      <c r="AR1358" s="2">
        <v>0</v>
      </c>
    </row>
    <row r="1359" spans="1:44" x14ac:dyDescent="0.25">
      <c r="A1359" t="s">
        <v>131</v>
      </c>
      <c r="B1359" t="s">
        <v>246</v>
      </c>
      <c r="C1359" t="s">
        <v>46</v>
      </c>
      <c r="D1359" t="s">
        <v>240</v>
      </c>
      <c r="E1359" t="s">
        <v>148</v>
      </c>
      <c r="F1359" t="s">
        <v>247</v>
      </c>
      <c r="G1359" t="s">
        <v>28</v>
      </c>
      <c r="H1359" t="s">
        <v>138</v>
      </c>
      <c r="I1359" t="s">
        <v>135</v>
      </c>
      <c r="J1359" t="s">
        <v>39</v>
      </c>
      <c r="K1359" t="s">
        <v>28</v>
      </c>
      <c r="L1359">
        <v>53.289965753424667</v>
      </c>
      <c r="M1359">
        <v>0</v>
      </c>
      <c r="N1359">
        <v>0.77259062316126836</v>
      </c>
      <c r="O1359">
        <v>3.757089514470124</v>
      </c>
      <c r="P1359">
        <v>1.3162248517699382</v>
      </c>
      <c r="Q1359">
        <v>3.5404233392613156</v>
      </c>
      <c r="R1359">
        <v>-1.4961621009746808</v>
      </c>
      <c r="S1359" s="2">
        <v>0</v>
      </c>
      <c r="T1359" s="2">
        <v>0</v>
      </c>
      <c r="U1359" s="2">
        <v>0</v>
      </c>
      <c r="V1359" s="2">
        <v>0</v>
      </c>
      <c r="W1359" s="2">
        <v>0</v>
      </c>
      <c r="X1359" s="2">
        <v>0</v>
      </c>
      <c r="Y1359" s="2">
        <v>0</v>
      </c>
      <c r="Z1359" s="2">
        <v>0</v>
      </c>
      <c r="AA1359" s="2">
        <v>0</v>
      </c>
      <c r="AB1359" s="2">
        <v>0</v>
      </c>
      <c r="AC1359" s="2">
        <v>0</v>
      </c>
      <c r="AD1359" s="2">
        <v>0</v>
      </c>
      <c r="AE1359" s="2">
        <v>0</v>
      </c>
      <c r="AF1359" s="2">
        <v>0</v>
      </c>
      <c r="AG1359" s="2">
        <v>0</v>
      </c>
      <c r="AH1359" s="2">
        <v>0</v>
      </c>
      <c r="AI1359" s="2">
        <v>0</v>
      </c>
      <c r="AJ1359" s="2">
        <v>0</v>
      </c>
      <c r="AK1359" s="2">
        <v>0</v>
      </c>
      <c r="AL1359" s="2">
        <v>0</v>
      </c>
      <c r="AM1359" s="2">
        <v>0</v>
      </c>
      <c r="AN1359" s="2">
        <v>0</v>
      </c>
      <c r="AO1359" s="2">
        <v>0</v>
      </c>
      <c r="AP1359" s="2">
        <v>0</v>
      </c>
      <c r="AQ1359" s="2">
        <v>0</v>
      </c>
      <c r="AR1359" s="2">
        <v>0</v>
      </c>
    </row>
    <row r="1360" spans="1:44" x14ac:dyDescent="0.25">
      <c r="A1360" t="s">
        <v>131</v>
      </c>
      <c r="B1360" t="s">
        <v>206</v>
      </c>
      <c r="C1360" t="s">
        <v>44</v>
      </c>
      <c r="D1360" t="s">
        <v>204</v>
      </c>
      <c r="E1360" t="s">
        <v>134</v>
      </c>
      <c r="F1360" t="s">
        <v>205</v>
      </c>
      <c r="G1360" t="s">
        <v>28</v>
      </c>
      <c r="H1360" t="s">
        <v>55</v>
      </c>
      <c r="I1360" t="s">
        <v>135</v>
      </c>
      <c r="J1360" t="s">
        <v>39</v>
      </c>
      <c r="K1360" t="s">
        <v>28</v>
      </c>
      <c r="L1360">
        <v>0.04</v>
      </c>
      <c r="M1360">
        <v>0</v>
      </c>
      <c r="N1360">
        <v>0.90182436584610259</v>
      </c>
      <c r="O1360">
        <v>3.8461052289768833</v>
      </c>
      <c r="P1360">
        <v>0.84230412208661365</v>
      </c>
      <c r="Q1360">
        <v>3.1049333541129269</v>
      </c>
      <c r="R1360">
        <v>-1.5345928455096165</v>
      </c>
      <c r="S1360" s="2">
        <v>5.9016105984008365E-3</v>
      </c>
      <c r="T1360" s="2">
        <v>1.1789138126415048E-2</v>
      </c>
      <c r="U1360" s="2">
        <v>2.0915975366038873E-2</v>
      </c>
      <c r="V1360" s="2">
        <v>3.399154269685422E-2</v>
      </c>
      <c r="W1360" s="2">
        <v>5.1539756388685187E-2</v>
      </c>
      <c r="X1360" s="2">
        <v>7.3727349561274025E-2</v>
      </c>
      <c r="Y1360" s="2">
        <v>0.10015519021168098</v>
      </c>
      <c r="Z1360" s="2">
        <v>0.12964607048505805</v>
      </c>
      <c r="AA1360" s="2">
        <v>0.16009272401222988</v>
      </c>
      <c r="AB1360" s="2">
        <v>0.188460558973544</v>
      </c>
      <c r="AC1360" s="2">
        <v>0.21104817598615688</v>
      </c>
      <c r="AD1360" s="2">
        <v>0.22407162801266733</v>
      </c>
      <c r="AE1360" s="2">
        <v>0.22453544645316575</v>
      </c>
      <c r="AF1360" s="2">
        <v>0.21119416106245961</v>
      </c>
      <c r="AG1360" s="2">
        <v>0.18525477015733061</v>
      </c>
      <c r="AH1360" s="2">
        <v>0.15282988888678964</v>
      </c>
      <c r="AI1360" s="2">
        <v>0.11657187043782447</v>
      </c>
      <c r="AJ1360" s="2">
        <v>8.0488994295306565E-2</v>
      </c>
      <c r="AK1360" s="2">
        <v>5.7912564288995893E-3</v>
      </c>
      <c r="AL1360" s="2">
        <v>0</v>
      </c>
      <c r="AM1360" s="2">
        <v>0</v>
      </c>
      <c r="AN1360" s="2">
        <v>0</v>
      </c>
      <c r="AO1360" s="2">
        <v>0</v>
      </c>
      <c r="AP1360" s="2">
        <v>0</v>
      </c>
      <c r="AQ1360" s="2">
        <v>0</v>
      </c>
      <c r="AR1360" s="2">
        <v>2.1880061081407813</v>
      </c>
    </row>
    <row r="1361" spans="1:44" x14ac:dyDescent="0.25">
      <c r="A1361" t="s">
        <v>131</v>
      </c>
      <c r="B1361" t="s">
        <v>206</v>
      </c>
      <c r="C1361" t="s">
        <v>44</v>
      </c>
      <c r="D1361" t="s">
        <v>204</v>
      </c>
      <c r="E1361" t="s">
        <v>134</v>
      </c>
      <c r="F1361" t="s">
        <v>205</v>
      </c>
      <c r="G1361" t="s">
        <v>28</v>
      </c>
      <c r="H1361" t="s">
        <v>136</v>
      </c>
      <c r="I1361" t="s">
        <v>135</v>
      </c>
      <c r="J1361" t="s">
        <v>39</v>
      </c>
      <c r="K1361" t="s">
        <v>28</v>
      </c>
      <c r="L1361">
        <v>0.04</v>
      </c>
      <c r="M1361">
        <v>0</v>
      </c>
      <c r="N1361">
        <v>0.90182436584610259</v>
      </c>
      <c r="O1361">
        <v>3.8461052289768833</v>
      </c>
      <c r="P1361">
        <v>0.84230412208661365</v>
      </c>
      <c r="Q1361">
        <v>3.1049333541129269</v>
      </c>
      <c r="R1361">
        <v>-1.5345928455096165</v>
      </c>
      <c r="S1361" s="2">
        <v>7.409799973547718E-3</v>
      </c>
      <c r="T1361" s="2">
        <v>1.4801917869832223E-2</v>
      </c>
      <c r="U1361" s="2">
        <v>2.626116907069324E-2</v>
      </c>
      <c r="V1361" s="2">
        <v>4.2678270274939194E-2</v>
      </c>
      <c r="W1361" s="2">
        <v>6.4711027465793602E-2</v>
      </c>
      <c r="X1361" s="2">
        <v>9.2568783338044039E-2</v>
      </c>
      <c r="Y1361" s="2">
        <v>0.12575040548799948</v>
      </c>
      <c r="Z1361" s="2">
        <v>0.16277784405346182</v>
      </c>
      <c r="AA1361" s="2">
        <v>0.20100530903757749</v>
      </c>
      <c r="AB1361" s="2">
        <v>0.23662270182233852</v>
      </c>
      <c r="AC1361" s="2">
        <v>0.26498270984928579</v>
      </c>
      <c r="AD1361" s="2">
        <v>0.28133437739368233</v>
      </c>
      <c r="AE1361" s="2">
        <v>0.28191672721341915</v>
      </c>
      <c r="AF1361" s="2">
        <v>0.2651660022228659</v>
      </c>
      <c r="AG1361" s="2">
        <v>0.232597655864204</v>
      </c>
      <c r="AH1361" s="2">
        <v>0.19188641604674703</v>
      </c>
      <c r="AI1361" s="2">
        <v>0.14636245954971297</v>
      </c>
      <c r="AJ1361" s="2">
        <v>0.1010584039485516</v>
      </c>
      <c r="AK1361" s="2">
        <v>7.2712441829507809E-3</v>
      </c>
      <c r="AL1361" s="2">
        <v>0</v>
      </c>
      <c r="AM1361" s="2">
        <v>0</v>
      </c>
      <c r="AN1361" s="2">
        <v>0</v>
      </c>
      <c r="AO1361" s="2">
        <v>0</v>
      </c>
      <c r="AP1361" s="2">
        <v>0</v>
      </c>
      <c r="AQ1361" s="2">
        <v>0</v>
      </c>
      <c r="AR1361" s="2">
        <v>2.747163224665647</v>
      </c>
    </row>
    <row r="1362" spans="1:44" x14ac:dyDescent="0.25">
      <c r="A1362" t="s">
        <v>131</v>
      </c>
      <c r="B1362" t="s">
        <v>207</v>
      </c>
      <c r="C1362" t="s">
        <v>44</v>
      </c>
      <c r="D1362" t="s">
        <v>204</v>
      </c>
      <c r="E1362" t="s">
        <v>134</v>
      </c>
      <c r="F1362" t="s">
        <v>208</v>
      </c>
      <c r="G1362" t="s">
        <v>28</v>
      </c>
      <c r="H1362" t="s">
        <v>53</v>
      </c>
      <c r="I1362" t="s">
        <v>135</v>
      </c>
      <c r="J1362" t="s">
        <v>39</v>
      </c>
      <c r="K1362" t="s">
        <v>28</v>
      </c>
      <c r="L1362">
        <v>0.06</v>
      </c>
      <c r="M1362">
        <v>1</v>
      </c>
      <c r="N1362">
        <v>1.5151047046512438</v>
      </c>
      <c r="O1362">
        <v>3.7699868031679262</v>
      </c>
      <c r="P1362">
        <v>-0.39232123746975334</v>
      </c>
      <c r="Q1362">
        <v>1.8115497635035092</v>
      </c>
      <c r="R1362">
        <v>-1.4758346144565648</v>
      </c>
      <c r="S1362" s="2">
        <v>1.8748373675715597E-2</v>
      </c>
      <c r="T1362" s="2">
        <v>3.7452007926200133E-2</v>
      </c>
      <c r="U1362" s="2">
        <v>6.6446356535420623E-2</v>
      </c>
      <c r="V1362" s="2">
        <v>0.10798512264895116</v>
      </c>
      <c r="W1362" s="2">
        <v>0.1637326956462114</v>
      </c>
      <c r="X1362" s="2">
        <v>0.23421875717612164</v>
      </c>
      <c r="Y1362" s="2">
        <v>0.31817533541772175</v>
      </c>
      <c r="Z1362" s="2">
        <v>0.41186264910474901</v>
      </c>
      <c r="AA1362" s="2">
        <v>0.50858628547227513</v>
      </c>
      <c r="AB1362" s="2">
        <v>0.59870588271745095</v>
      </c>
      <c r="AC1362" s="2">
        <v>0.67046274927709304</v>
      </c>
      <c r="AD1362" s="2">
        <v>0.71183595428098401</v>
      </c>
      <c r="AE1362" s="2">
        <v>0.71330942347980053</v>
      </c>
      <c r="AF1362" s="2">
        <v>0.67092651805952397</v>
      </c>
      <c r="AG1362" s="2">
        <v>0.58852165831808412</v>
      </c>
      <c r="AH1362" s="2">
        <v>0.48551354209036468</v>
      </c>
      <c r="AI1362" s="2">
        <v>0.3703282266094704</v>
      </c>
      <c r="AJ1362" s="2">
        <v>0.2556993072772123</v>
      </c>
      <c r="AK1362" s="2">
        <v>1.8397797985909001E-2</v>
      </c>
      <c r="AL1362" s="2">
        <v>0</v>
      </c>
      <c r="AM1362" s="2">
        <v>0</v>
      </c>
      <c r="AN1362" s="2">
        <v>0</v>
      </c>
      <c r="AO1362" s="2">
        <v>0</v>
      </c>
      <c r="AP1362" s="2">
        <v>0</v>
      </c>
      <c r="AQ1362" s="2">
        <v>0</v>
      </c>
      <c r="AR1362" s="2">
        <v>6.9509086436992602</v>
      </c>
    </row>
    <row r="1363" spans="1:44" x14ac:dyDescent="0.25">
      <c r="A1363" t="s">
        <v>131</v>
      </c>
      <c r="B1363" t="s">
        <v>207</v>
      </c>
      <c r="C1363" t="s">
        <v>44</v>
      </c>
      <c r="D1363" t="s">
        <v>204</v>
      </c>
      <c r="E1363" t="s">
        <v>134</v>
      </c>
      <c r="F1363" t="s">
        <v>208</v>
      </c>
      <c r="G1363" t="s">
        <v>28</v>
      </c>
      <c r="H1363" t="s">
        <v>141</v>
      </c>
      <c r="I1363" t="s">
        <v>135</v>
      </c>
      <c r="J1363" t="s">
        <v>39</v>
      </c>
      <c r="K1363" t="s">
        <v>28</v>
      </c>
      <c r="L1363">
        <v>0.06</v>
      </c>
      <c r="M1363">
        <v>1</v>
      </c>
      <c r="N1363">
        <v>1.5151047046512438</v>
      </c>
      <c r="O1363">
        <v>3.7699868031679262</v>
      </c>
      <c r="P1363">
        <v>-0.39232123746975334</v>
      </c>
      <c r="Q1363">
        <v>1.8115497635035092</v>
      </c>
      <c r="R1363">
        <v>-1.4758346144565648</v>
      </c>
      <c r="S1363" s="2">
        <v>1.5779881177060626E-2</v>
      </c>
      <c r="T1363" s="2">
        <v>3.152210667121845E-2</v>
      </c>
      <c r="U1363" s="2">
        <v>5.5925683417312334E-2</v>
      </c>
      <c r="V1363" s="2">
        <v>9.0887478229533886E-2</v>
      </c>
      <c r="W1363" s="2">
        <v>0.13780835216889462</v>
      </c>
      <c r="X1363" s="2">
        <v>0.19713412062323568</v>
      </c>
      <c r="Y1363" s="2">
        <v>0.26779757397658249</v>
      </c>
      <c r="Z1363" s="2">
        <v>0.34665106299649701</v>
      </c>
      <c r="AA1363" s="2">
        <v>0.4280601236058314</v>
      </c>
      <c r="AB1363" s="2">
        <v>0.50391078462052141</v>
      </c>
      <c r="AC1363" s="2">
        <v>0.56430614730821982</v>
      </c>
      <c r="AD1363" s="2">
        <v>0.5991285948531615</v>
      </c>
      <c r="AE1363" s="2">
        <v>0.60036876476216516</v>
      </c>
      <c r="AF1363" s="2">
        <v>0.56469648603343248</v>
      </c>
      <c r="AG1363" s="2">
        <v>0.49533906241772052</v>
      </c>
      <c r="AH1363" s="2">
        <v>0.40864056459272363</v>
      </c>
      <c r="AI1363" s="2">
        <v>0.31169292406297089</v>
      </c>
      <c r="AJ1363" s="2">
        <v>0.21521358362498702</v>
      </c>
      <c r="AK1363" s="2">
        <v>1.5484813304811065E-2</v>
      </c>
      <c r="AL1363" s="2">
        <v>0</v>
      </c>
      <c r="AM1363" s="2">
        <v>0</v>
      </c>
      <c r="AN1363" s="2">
        <v>0</v>
      </c>
      <c r="AO1363" s="2">
        <v>0</v>
      </c>
      <c r="AP1363" s="2">
        <v>0</v>
      </c>
      <c r="AQ1363" s="2">
        <v>0</v>
      </c>
      <c r="AR1363" s="2">
        <v>5.8503481084468802</v>
      </c>
    </row>
    <row r="1364" spans="1:44" x14ac:dyDescent="0.25">
      <c r="A1364" t="s">
        <v>131</v>
      </c>
      <c r="B1364" t="s">
        <v>203</v>
      </c>
      <c r="C1364" t="s">
        <v>44</v>
      </c>
      <c r="D1364" t="s">
        <v>204</v>
      </c>
      <c r="E1364" t="s">
        <v>134</v>
      </c>
      <c r="F1364" t="s">
        <v>205</v>
      </c>
      <c r="G1364" t="s">
        <v>28</v>
      </c>
      <c r="H1364" t="s">
        <v>52</v>
      </c>
      <c r="I1364" t="s">
        <v>135</v>
      </c>
      <c r="J1364" t="s">
        <v>39</v>
      </c>
      <c r="K1364" t="s">
        <v>28</v>
      </c>
      <c r="L1364">
        <v>0.09</v>
      </c>
      <c r="M1364">
        <v>1</v>
      </c>
      <c r="N1364">
        <v>1.8271701747264129</v>
      </c>
      <c r="O1364">
        <v>3.8999213404809634</v>
      </c>
      <c r="P1364">
        <v>-0.74454349524626096</v>
      </c>
      <c r="Q1364">
        <v>1.5539245767561041</v>
      </c>
      <c r="R1364">
        <v>-1.570431685485667</v>
      </c>
      <c r="S1364" s="2">
        <v>1.9160700464755889</v>
      </c>
      <c r="T1364" s="2">
        <v>3.8275677564880533</v>
      </c>
      <c r="U1364" s="2">
        <v>6.7907689305268475</v>
      </c>
      <c r="V1364" s="2">
        <v>11.03600037803016</v>
      </c>
      <c r="W1364" s="2">
        <v>16.7333614735218</v>
      </c>
      <c r="X1364" s="2">
        <v>23.936985293247144</v>
      </c>
      <c r="Y1364" s="2">
        <v>32.517286046569637</v>
      </c>
      <c r="Z1364" s="2">
        <v>42.092060829461495</v>
      </c>
      <c r="AA1364" s="2">
        <v>51.977145564574656</v>
      </c>
      <c r="AB1364" s="2">
        <v>61.187302342364319</v>
      </c>
      <c r="AC1364" s="2">
        <v>68.520801504585819</v>
      </c>
      <c r="AD1364" s="2">
        <v>72.749112728045787</v>
      </c>
      <c r="AE1364" s="2">
        <v>72.899700200062796</v>
      </c>
      <c r="AF1364" s="2">
        <v>68.568198334192303</v>
      </c>
      <c r="AG1364" s="2">
        <v>60.146482074124805</v>
      </c>
      <c r="AH1364" s="2">
        <v>49.619128104033024</v>
      </c>
      <c r="AI1364" s="2">
        <v>37.847273296559507</v>
      </c>
      <c r="AJ1364" s="2">
        <v>26.132281767619713</v>
      </c>
      <c r="AK1364" s="2">
        <v>1.8802414679612467</v>
      </c>
      <c r="AL1364" s="2">
        <v>0</v>
      </c>
      <c r="AM1364" s="2">
        <v>0</v>
      </c>
      <c r="AN1364" s="2">
        <v>0</v>
      </c>
      <c r="AO1364" s="2">
        <v>0</v>
      </c>
      <c r="AP1364" s="2">
        <v>0</v>
      </c>
      <c r="AQ1364" s="2">
        <v>0</v>
      </c>
      <c r="AR1364" s="2">
        <v>710.37776813844471</v>
      </c>
    </row>
    <row r="1365" spans="1:44" x14ac:dyDescent="0.25">
      <c r="A1365" t="s">
        <v>131</v>
      </c>
      <c r="B1365" t="s">
        <v>203</v>
      </c>
      <c r="C1365" t="s">
        <v>44</v>
      </c>
      <c r="D1365" t="s">
        <v>204</v>
      </c>
      <c r="E1365" t="s">
        <v>134</v>
      </c>
      <c r="F1365" t="s">
        <v>205</v>
      </c>
      <c r="G1365" t="s">
        <v>28</v>
      </c>
      <c r="H1365" t="s">
        <v>138</v>
      </c>
      <c r="I1365" t="s">
        <v>135</v>
      </c>
      <c r="J1365" t="s">
        <v>39</v>
      </c>
      <c r="K1365" t="s">
        <v>28</v>
      </c>
      <c r="L1365">
        <v>0.09</v>
      </c>
      <c r="M1365">
        <v>1</v>
      </c>
      <c r="N1365">
        <v>1.8271701747264129</v>
      </c>
      <c r="O1365">
        <v>3.8999213404809634</v>
      </c>
      <c r="P1365">
        <v>-0.74454349524626096</v>
      </c>
      <c r="Q1365">
        <v>1.5539245767561041</v>
      </c>
      <c r="R1365">
        <v>-1.570431685485667</v>
      </c>
      <c r="S1365" s="2">
        <v>0.66465224905469189</v>
      </c>
      <c r="T1365" s="2">
        <v>1.3277184320262363</v>
      </c>
      <c r="U1365" s="2">
        <v>2.3556027352901356</v>
      </c>
      <c r="V1365" s="2">
        <v>3.8282016282851092</v>
      </c>
      <c r="W1365" s="2">
        <v>5.8045197032743747</v>
      </c>
      <c r="X1365" s="2">
        <v>8.3033348076236386</v>
      </c>
      <c r="Y1365" s="2">
        <v>11.279695825192588</v>
      </c>
      <c r="Z1365" s="2">
        <v>14.601023041463693</v>
      </c>
      <c r="AA1365" s="2">
        <v>18.029991524831136</v>
      </c>
      <c r="AB1365" s="2">
        <v>21.224838930208705</v>
      </c>
      <c r="AC1365" s="2">
        <v>23.768705591334616</v>
      </c>
      <c r="AD1365" s="2">
        <v>25.235435145165496</v>
      </c>
      <c r="AE1365" s="2">
        <v>25.287671388897639</v>
      </c>
      <c r="AF1365" s="2">
        <v>23.78514674882463</v>
      </c>
      <c r="AG1365" s="2">
        <v>20.863796006219797</v>
      </c>
      <c r="AH1365" s="2">
        <v>17.212035202544243</v>
      </c>
      <c r="AI1365" s="2">
        <v>13.128578134925903</v>
      </c>
      <c r="AJ1365" s="2">
        <v>9.0648459756090904</v>
      </c>
      <c r="AK1365" s="2">
        <v>0.65222392195156864</v>
      </c>
      <c r="AL1365" s="2">
        <v>0</v>
      </c>
      <c r="AM1365" s="2">
        <v>0</v>
      </c>
      <c r="AN1365" s="2">
        <v>0</v>
      </c>
      <c r="AO1365" s="2">
        <v>0</v>
      </c>
      <c r="AP1365" s="2">
        <v>0</v>
      </c>
      <c r="AQ1365" s="2">
        <v>0</v>
      </c>
      <c r="AR1365" s="2">
        <v>246.41801699272332</v>
      </c>
    </row>
    <row r="1366" spans="1:44" x14ac:dyDescent="0.25">
      <c r="A1366" t="s">
        <v>131</v>
      </c>
      <c r="B1366" t="s">
        <v>139</v>
      </c>
      <c r="C1366" t="s">
        <v>44</v>
      </c>
      <c r="D1366" t="s">
        <v>140</v>
      </c>
      <c r="E1366" t="s">
        <v>134</v>
      </c>
      <c r="F1366" t="s">
        <v>140</v>
      </c>
      <c r="G1366" t="s">
        <v>28</v>
      </c>
      <c r="H1366" t="s">
        <v>55</v>
      </c>
      <c r="I1366" t="s">
        <v>135</v>
      </c>
      <c r="J1366" t="s">
        <v>39</v>
      </c>
      <c r="K1366" t="s">
        <v>28</v>
      </c>
      <c r="L1366">
        <v>14</v>
      </c>
      <c r="M1366">
        <v>0</v>
      </c>
      <c r="N1366">
        <v>0.64465687783464154</v>
      </c>
      <c r="O1366">
        <v>3.7403155854968446</v>
      </c>
      <c r="P1366">
        <v>2.0495723242131194</v>
      </c>
      <c r="Q1366">
        <v>4.2240856134876896</v>
      </c>
      <c r="R1366">
        <v>-1.4464769027578741</v>
      </c>
      <c r="S1366" s="2">
        <v>5.7007073619781842E-2</v>
      </c>
      <c r="T1366" s="2">
        <v>5.6969408424419783E-2</v>
      </c>
      <c r="U1366" s="2">
        <v>5.6925390966560886E-2</v>
      </c>
      <c r="V1366" s="2">
        <v>5.1185932801756193E-2</v>
      </c>
      <c r="W1366" s="2">
        <v>4.090536622969513E-2</v>
      </c>
      <c r="X1366" s="2">
        <v>3.2685017027512878E-2</v>
      </c>
      <c r="Y1366" s="2">
        <v>2.6113010619335558E-2</v>
      </c>
      <c r="Z1366" s="2">
        <v>2.0859640272326323E-2</v>
      </c>
      <c r="AA1366" s="2">
        <v>1.6660953475810057E-2</v>
      </c>
      <c r="AB1366" s="2">
        <v>1.3305690551822937E-2</v>
      </c>
      <c r="AC1366" s="2">
        <v>1.0624801690276856E-2</v>
      </c>
      <c r="AD1366" s="2">
        <v>2.354646997040636E-3</v>
      </c>
      <c r="AE1366" s="2">
        <v>0</v>
      </c>
      <c r="AF1366" s="2">
        <v>0</v>
      </c>
      <c r="AG1366" s="2">
        <v>0</v>
      </c>
      <c r="AH1366" s="2">
        <v>0</v>
      </c>
      <c r="AI1366" s="2">
        <v>0</v>
      </c>
      <c r="AJ1366" s="2">
        <v>0</v>
      </c>
      <c r="AK1366" s="2">
        <v>0</v>
      </c>
      <c r="AL1366" s="2">
        <v>0</v>
      </c>
      <c r="AM1366" s="2">
        <v>0</v>
      </c>
      <c r="AN1366" s="2">
        <v>0</v>
      </c>
      <c r="AO1366" s="2">
        <v>0</v>
      </c>
      <c r="AP1366" s="2">
        <v>0</v>
      </c>
      <c r="AQ1366" s="2">
        <v>0</v>
      </c>
      <c r="AR1366" s="2">
        <v>0.3855969326763391</v>
      </c>
    </row>
    <row r="1367" spans="1:44" x14ac:dyDescent="0.25">
      <c r="A1367" t="s">
        <v>131</v>
      </c>
      <c r="B1367" t="s">
        <v>139</v>
      </c>
      <c r="C1367" t="s">
        <v>44</v>
      </c>
      <c r="D1367" t="s">
        <v>140</v>
      </c>
      <c r="E1367" t="s">
        <v>134</v>
      </c>
      <c r="F1367" t="s">
        <v>140</v>
      </c>
      <c r="G1367" t="s">
        <v>28</v>
      </c>
      <c r="H1367" t="s">
        <v>136</v>
      </c>
      <c r="I1367" t="s">
        <v>135</v>
      </c>
      <c r="J1367" t="s">
        <v>39</v>
      </c>
      <c r="K1367" t="s">
        <v>28</v>
      </c>
      <c r="L1367">
        <v>14</v>
      </c>
      <c r="M1367">
        <v>0</v>
      </c>
      <c r="N1367">
        <v>0.64465687783464154</v>
      </c>
      <c r="O1367">
        <v>3.7403155854968446</v>
      </c>
      <c r="P1367">
        <v>2.0495723242131194</v>
      </c>
      <c r="Q1367">
        <v>4.2240856134876896</v>
      </c>
      <c r="R1367">
        <v>-1.4464769027578741</v>
      </c>
      <c r="S1367" s="2">
        <v>7.157554798928166E-2</v>
      </c>
      <c r="T1367" s="2">
        <v>7.1528257243993754E-2</v>
      </c>
      <c r="U1367" s="2">
        <v>7.147299088023755E-2</v>
      </c>
      <c r="V1367" s="2">
        <v>6.4266782295538324E-2</v>
      </c>
      <c r="W1367" s="2">
        <v>5.1358959821728306E-2</v>
      </c>
      <c r="X1367" s="2">
        <v>4.1037854712321735E-2</v>
      </c>
      <c r="Y1367" s="2">
        <v>3.2786335555387978E-2</v>
      </c>
      <c r="Z1367" s="2">
        <v>2.6190437230809722E-2</v>
      </c>
      <c r="AA1367" s="2">
        <v>2.0918752697405969E-2</v>
      </c>
      <c r="AB1367" s="2">
        <v>1.670603369284435E-2</v>
      </c>
      <c r="AC1367" s="2">
        <v>1.3340028788903155E-2</v>
      </c>
      <c r="AD1367" s="2">
        <v>2.9563901185066842E-3</v>
      </c>
      <c r="AE1367" s="2">
        <v>0</v>
      </c>
      <c r="AF1367" s="2">
        <v>0</v>
      </c>
      <c r="AG1367" s="2">
        <v>0</v>
      </c>
      <c r="AH1367" s="2">
        <v>0</v>
      </c>
      <c r="AI1367" s="2">
        <v>0</v>
      </c>
      <c r="AJ1367" s="2">
        <v>0</v>
      </c>
      <c r="AK1367" s="2">
        <v>0</v>
      </c>
      <c r="AL1367" s="2">
        <v>0</v>
      </c>
      <c r="AM1367" s="2">
        <v>0</v>
      </c>
      <c r="AN1367" s="2">
        <v>0</v>
      </c>
      <c r="AO1367" s="2">
        <v>0</v>
      </c>
      <c r="AP1367" s="2">
        <v>0</v>
      </c>
      <c r="AQ1367" s="2">
        <v>0</v>
      </c>
      <c r="AR1367" s="2">
        <v>0.48413837102695917</v>
      </c>
    </row>
    <row r="1368" spans="1:44" x14ac:dyDescent="0.25">
      <c r="A1368" t="s">
        <v>131</v>
      </c>
      <c r="B1368" t="s">
        <v>139</v>
      </c>
      <c r="C1368" t="s">
        <v>44</v>
      </c>
      <c r="D1368" t="s">
        <v>140</v>
      </c>
      <c r="E1368" t="s">
        <v>134</v>
      </c>
      <c r="F1368" t="s">
        <v>140</v>
      </c>
      <c r="G1368" t="s">
        <v>28</v>
      </c>
      <c r="H1368" t="s">
        <v>54</v>
      </c>
      <c r="I1368" t="s">
        <v>135</v>
      </c>
      <c r="J1368" t="s">
        <v>39</v>
      </c>
      <c r="K1368" t="s">
        <v>28</v>
      </c>
      <c r="L1368">
        <v>14</v>
      </c>
      <c r="M1368">
        <v>0</v>
      </c>
      <c r="N1368">
        <v>0.64465687783464154</v>
      </c>
      <c r="O1368">
        <v>3.7403155854968446</v>
      </c>
      <c r="P1368">
        <v>2.0495723242131194</v>
      </c>
      <c r="Q1368">
        <v>4.2240856134876896</v>
      </c>
      <c r="R1368">
        <v>-1.4464769027578741</v>
      </c>
      <c r="S1368" s="2">
        <v>0</v>
      </c>
      <c r="T1368" s="2">
        <v>0</v>
      </c>
      <c r="U1368" s="2">
        <v>0</v>
      </c>
      <c r="V1368" s="2">
        <v>0</v>
      </c>
      <c r="W1368" s="2">
        <v>0</v>
      </c>
      <c r="X1368" s="2">
        <v>0</v>
      </c>
      <c r="Y1368" s="2">
        <v>0</v>
      </c>
      <c r="Z1368" s="2">
        <v>0</v>
      </c>
      <c r="AA1368" s="2">
        <v>0</v>
      </c>
      <c r="AB1368" s="2">
        <v>0</v>
      </c>
      <c r="AC1368" s="2">
        <v>0</v>
      </c>
      <c r="AD1368" s="2">
        <v>0</v>
      </c>
      <c r="AE1368" s="2">
        <v>0</v>
      </c>
      <c r="AF1368" s="2">
        <v>0</v>
      </c>
      <c r="AG1368" s="2">
        <v>0</v>
      </c>
      <c r="AH1368" s="2">
        <v>0</v>
      </c>
      <c r="AI1368" s="2">
        <v>0</v>
      </c>
      <c r="AJ1368" s="2">
        <v>0</v>
      </c>
      <c r="AK1368" s="2">
        <v>0</v>
      </c>
      <c r="AL1368" s="2">
        <v>0</v>
      </c>
      <c r="AM1368" s="2">
        <v>0</v>
      </c>
      <c r="AN1368" s="2">
        <v>0</v>
      </c>
      <c r="AO1368" s="2">
        <v>0</v>
      </c>
      <c r="AP1368" s="2">
        <v>0</v>
      </c>
      <c r="AQ1368" s="2">
        <v>0</v>
      </c>
      <c r="AR1368" s="2">
        <v>0</v>
      </c>
    </row>
    <row r="1369" spans="1:44" x14ac:dyDescent="0.25">
      <c r="A1369" t="s">
        <v>131</v>
      </c>
      <c r="B1369" t="s">
        <v>139</v>
      </c>
      <c r="C1369" t="s">
        <v>44</v>
      </c>
      <c r="D1369" t="s">
        <v>140</v>
      </c>
      <c r="E1369" t="s">
        <v>134</v>
      </c>
      <c r="F1369" t="s">
        <v>140</v>
      </c>
      <c r="G1369" t="s">
        <v>28</v>
      </c>
      <c r="H1369" t="s">
        <v>142</v>
      </c>
      <c r="I1369" t="s">
        <v>135</v>
      </c>
      <c r="J1369" t="s">
        <v>39</v>
      </c>
      <c r="K1369" t="s">
        <v>28</v>
      </c>
      <c r="L1369">
        <v>14</v>
      </c>
      <c r="M1369">
        <v>0</v>
      </c>
      <c r="N1369">
        <v>0.64465687783464154</v>
      </c>
      <c r="O1369">
        <v>3.7403155854968446</v>
      </c>
      <c r="P1369">
        <v>2.0495723242131194</v>
      </c>
      <c r="Q1369">
        <v>4.2240856134876896</v>
      </c>
      <c r="R1369">
        <v>-1.4464769027578741</v>
      </c>
      <c r="S1369" s="2">
        <v>0</v>
      </c>
      <c r="T1369" s="2">
        <v>0</v>
      </c>
      <c r="U1369" s="2">
        <v>0</v>
      </c>
      <c r="V1369" s="2">
        <v>0</v>
      </c>
      <c r="W1369" s="2">
        <v>0</v>
      </c>
      <c r="X1369" s="2">
        <v>0</v>
      </c>
      <c r="Y1369" s="2">
        <v>0</v>
      </c>
      <c r="Z1369" s="2">
        <v>0</v>
      </c>
      <c r="AA1369" s="2">
        <v>0</v>
      </c>
      <c r="AB1369" s="2">
        <v>0</v>
      </c>
      <c r="AC1369" s="2">
        <v>0</v>
      </c>
      <c r="AD1369" s="2">
        <v>0</v>
      </c>
      <c r="AE1369" s="2">
        <v>0</v>
      </c>
      <c r="AF1369" s="2">
        <v>0</v>
      </c>
      <c r="AG1369" s="2">
        <v>0</v>
      </c>
      <c r="AH1369" s="2">
        <v>0</v>
      </c>
      <c r="AI1369" s="2">
        <v>0</v>
      </c>
      <c r="AJ1369" s="2">
        <v>0</v>
      </c>
      <c r="AK1369" s="2">
        <v>0</v>
      </c>
      <c r="AL1369" s="2">
        <v>0</v>
      </c>
      <c r="AM1369" s="2">
        <v>0</v>
      </c>
      <c r="AN1369" s="2">
        <v>0</v>
      </c>
      <c r="AO1369" s="2">
        <v>0</v>
      </c>
      <c r="AP1369" s="2">
        <v>0</v>
      </c>
      <c r="AQ1369" s="2">
        <v>0</v>
      </c>
      <c r="AR1369" s="2">
        <v>0</v>
      </c>
    </row>
    <row r="1370" spans="1:44" x14ac:dyDescent="0.25">
      <c r="A1370" t="s">
        <v>131</v>
      </c>
      <c r="B1370" t="s">
        <v>139</v>
      </c>
      <c r="C1370" t="s">
        <v>44</v>
      </c>
      <c r="D1370" t="s">
        <v>140</v>
      </c>
      <c r="E1370" t="s">
        <v>134</v>
      </c>
      <c r="F1370" t="s">
        <v>140</v>
      </c>
      <c r="G1370" t="s">
        <v>28</v>
      </c>
      <c r="H1370" t="s">
        <v>53</v>
      </c>
      <c r="I1370" t="s">
        <v>135</v>
      </c>
      <c r="J1370" t="s">
        <v>39</v>
      </c>
      <c r="K1370" t="s">
        <v>28</v>
      </c>
      <c r="L1370">
        <v>14</v>
      </c>
      <c r="M1370">
        <v>0</v>
      </c>
      <c r="N1370">
        <v>0.64465687783464154</v>
      </c>
      <c r="O1370">
        <v>3.7403155854968446</v>
      </c>
      <c r="P1370">
        <v>2.0495723242131194</v>
      </c>
      <c r="Q1370">
        <v>4.2240856134876896</v>
      </c>
      <c r="R1370">
        <v>-1.4464769027578741</v>
      </c>
      <c r="S1370" s="2">
        <v>0.89740846822097875</v>
      </c>
      <c r="T1370" s="2">
        <v>0.89681554065727775</v>
      </c>
      <c r="U1370" s="2">
        <v>0.89612261543021565</v>
      </c>
      <c r="V1370" s="2">
        <v>0.8057717513523851</v>
      </c>
      <c r="W1370" s="2">
        <v>0.64393451056695961</v>
      </c>
      <c r="X1370" s="2">
        <v>0.51452932420405117</v>
      </c>
      <c r="Y1370" s="2">
        <v>0.41107244018230576</v>
      </c>
      <c r="Z1370" s="2">
        <v>0.32837359709573266</v>
      </c>
      <c r="AA1370" s="2">
        <v>0.2622776400969189</v>
      </c>
      <c r="AB1370" s="2">
        <v>0.20945890779052875</v>
      </c>
      <c r="AC1370" s="2">
        <v>0.16725620882799322</v>
      </c>
      <c r="AD1370" s="2">
        <v>3.7066981703164248E-2</v>
      </c>
      <c r="AE1370" s="2">
        <v>0</v>
      </c>
      <c r="AF1370" s="2">
        <v>0</v>
      </c>
      <c r="AG1370" s="2">
        <v>0</v>
      </c>
      <c r="AH1370" s="2">
        <v>0</v>
      </c>
      <c r="AI1370" s="2">
        <v>0</v>
      </c>
      <c r="AJ1370" s="2">
        <v>0</v>
      </c>
      <c r="AK1370" s="2">
        <v>0</v>
      </c>
      <c r="AL1370" s="2">
        <v>0</v>
      </c>
      <c r="AM1370" s="2">
        <v>0</v>
      </c>
      <c r="AN1370" s="2">
        <v>0</v>
      </c>
      <c r="AO1370" s="2">
        <v>0</v>
      </c>
      <c r="AP1370" s="2">
        <v>0</v>
      </c>
      <c r="AQ1370" s="2">
        <v>0</v>
      </c>
      <c r="AR1370" s="2">
        <v>6.0700879861285113</v>
      </c>
    </row>
    <row r="1371" spans="1:44" x14ac:dyDescent="0.25">
      <c r="A1371" t="s">
        <v>131</v>
      </c>
      <c r="B1371" t="s">
        <v>139</v>
      </c>
      <c r="C1371" t="s">
        <v>44</v>
      </c>
      <c r="D1371" t="s">
        <v>140</v>
      </c>
      <c r="E1371" t="s">
        <v>134</v>
      </c>
      <c r="F1371" t="s">
        <v>140</v>
      </c>
      <c r="G1371" t="s">
        <v>28</v>
      </c>
      <c r="H1371" t="s">
        <v>141</v>
      </c>
      <c r="I1371" t="s">
        <v>135</v>
      </c>
      <c r="J1371" t="s">
        <v>39</v>
      </c>
      <c r="K1371" t="s">
        <v>28</v>
      </c>
      <c r="L1371">
        <v>14</v>
      </c>
      <c r="M1371">
        <v>0</v>
      </c>
      <c r="N1371">
        <v>0.64465687783464154</v>
      </c>
      <c r="O1371">
        <v>3.7403155854968446</v>
      </c>
      <c r="P1371">
        <v>2.0495723242131194</v>
      </c>
      <c r="Q1371">
        <v>4.2240856134876896</v>
      </c>
      <c r="R1371">
        <v>-1.4464769027578741</v>
      </c>
      <c r="S1371" s="2">
        <v>0.75531879408599056</v>
      </c>
      <c r="T1371" s="2">
        <v>0.75481974671987528</v>
      </c>
      <c r="U1371" s="2">
        <v>0.7542365346537645</v>
      </c>
      <c r="V1371" s="2">
        <v>0.67819122405492394</v>
      </c>
      <c r="W1371" s="2">
        <v>0.54197821306052429</v>
      </c>
      <c r="X1371" s="2">
        <v>0.43306218120507634</v>
      </c>
      <c r="Y1371" s="2">
        <v>0.34598597048677399</v>
      </c>
      <c r="Z1371" s="2">
        <v>0.27638111088890821</v>
      </c>
      <c r="AA1371" s="2">
        <v>0.22075034708157332</v>
      </c>
      <c r="AB1371" s="2">
        <v>0.176294580723695</v>
      </c>
      <c r="AC1371" s="2">
        <v>0.14077397576356093</v>
      </c>
      <c r="AD1371" s="2">
        <v>3.1198042933496744E-2</v>
      </c>
      <c r="AE1371" s="2">
        <v>0</v>
      </c>
      <c r="AF1371" s="2">
        <v>0</v>
      </c>
      <c r="AG1371" s="2">
        <v>0</v>
      </c>
      <c r="AH1371" s="2">
        <v>0</v>
      </c>
      <c r="AI1371" s="2">
        <v>0</v>
      </c>
      <c r="AJ1371" s="2">
        <v>0</v>
      </c>
      <c r="AK1371" s="2">
        <v>0</v>
      </c>
      <c r="AL1371" s="2">
        <v>0</v>
      </c>
      <c r="AM1371" s="2">
        <v>0</v>
      </c>
      <c r="AN1371" s="2">
        <v>0</v>
      </c>
      <c r="AO1371" s="2">
        <v>0</v>
      </c>
      <c r="AP1371" s="2">
        <v>0</v>
      </c>
      <c r="AQ1371" s="2">
        <v>0</v>
      </c>
      <c r="AR1371" s="2">
        <v>5.1089907216581629</v>
      </c>
    </row>
    <row r="1372" spans="1:44" x14ac:dyDescent="0.25">
      <c r="A1372" t="s">
        <v>131</v>
      </c>
      <c r="B1372" t="s">
        <v>139</v>
      </c>
      <c r="C1372" t="s">
        <v>44</v>
      </c>
      <c r="D1372" t="s">
        <v>140</v>
      </c>
      <c r="E1372" t="s">
        <v>134</v>
      </c>
      <c r="F1372" t="s">
        <v>140</v>
      </c>
      <c r="G1372" t="s">
        <v>28</v>
      </c>
      <c r="H1372" t="s">
        <v>52</v>
      </c>
      <c r="I1372" t="s">
        <v>135</v>
      </c>
      <c r="J1372" t="s">
        <v>39</v>
      </c>
      <c r="K1372" t="s">
        <v>28</v>
      </c>
      <c r="L1372">
        <v>14</v>
      </c>
      <c r="M1372">
        <v>0</v>
      </c>
      <c r="N1372">
        <v>0.64465687783464154</v>
      </c>
      <c r="O1372">
        <v>3.7403155854968446</v>
      </c>
      <c r="P1372">
        <v>2.0495723242131194</v>
      </c>
      <c r="Q1372">
        <v>4.2240856134876896</v>
      </c>
      <c r="R1372">
        <v>-1.4464769027578741</v>
      </c>
      <c r="S1372" s="2">
        <v>29.700051943977233</v>
      </c>
      <c r="T1372" s="2">
        <v>29.680428795695764</v>
      </c>
      <c r="U1372" s="2">
        <v>29.657496189234152</v>
      </c>
      <c r="V1372" s="2">
        <v>26.667302257128281</v>
      </c>
      <c r="W1372" s="2">
        <v>21.311241301601939</v>
      </c>
      <c r="X1372" s="2">
        <v>17.028530704478349</v>
      </c>
      <c r="Y1372" s="2">
        <v>13.604588388111386</v>
      </c>
      <c r="Z1372" s="2">
        <v>10.867640808101212</v>
      </c>
      <c r="AA1372" s="2">
        <v>8.6801716391917552</v>
      </c>
      <c r="AB1372" s="2">
        <v>6.9321169364936175</v>
      </c>
      <c r="AC1372" s="2">
        <v>5.5354036272821245</v>
      </c>
      <c r="AD1372" s="2">
        <v>1.2267449227137972</v>
      </c>
      <c r="AE1372" s="2">
        <v>0</v>
      </c>
      <c r="AF1372" s="2">
        <v>0</v>
      </c>
      <c r="AG1372" s="2">
        <v>0</v>
      </c>
      <c r="AH1372" s="2">
        <v>0</v>
      </c>
      <c r="AI1372" s="2">
        <v>0</v>
      </c>
      <c r="AJ1372" s="2">
        <v>0</v>
      </c>
      <c r="AK1372" s="2">
        <v>0</v>
      </c>
      <c r="AL1372" s="2">
        <v>0</v>
      </c>
      <c r="AM1372" s="2">
        <v>0</v>
      </c>
      <c r="AN1372" s="2">
        <v>0</v>
      </c>
      <c r="AO1372" s="2">
        <v>0</v>
      </c>
      <c r="AP1372" s="2">
        <v>0</v>
      </c>
      <c r="AQ1372" s="2">
        <v>0</v>
      </c>
      <c r="AR1372" s="2">
        <v>200.8917175140096</v>
      </c>
    </row>
    <row r="1373" spans="1:44" x14ac:dyDescent="0.25">
      <c r="A1373" t="s">
        <v>131</v>
      </c>
      <c r="B1373" t="s">
        <v>139</v>
      </c>
      <c r="C1373" t="s">
        <v>44</v>
      </c>
      <c r="D1373" t="s">
        <v>140</v>
      </c>
      <c r="E1373" t="s">
        <v>134</v>
      </c>
      <c r="F1373" t="s">
        <v>140</v>
      </c>
      <c r="G1373" t="s">
        <v>28</v>
      </c>
      <c r="H1373" t="s">
        <v>138</v>
      </c>
      <c r="I1373" t="s">
        <v>135</v>
      </c>
      <c r="J1373" t="s">
        <v>39</v>
      </c>
      <c r="K1373" t="s">
        <v>28</v>
      </c>
      <c r="L1373">
        <v>14</v>
      </c>
      <c r="M1373">
        <v>0</v>
      </c>
      <c r="N1373">
        <v>0.64465687783464154</v>
      </c>
      <c r="O1373">
        <v>3.7403155854968446</v>
      </c>
      <c r="P1373">
        <v>2.0495723242131194</v>
      </c>
      <c r="Q1373">
        <v>4.2240856134876896</v>
      </c>
      <c r="R1373">
        <v>-1.4464769027578741</v>
      </c>
      <c r="S1373" s="2">
        <v>10.302445026952796</v>
      </c>
      <c r="T1373" s="2">
        <v>10.29563808914653</v>
      </c>
      <c r="U1373" s="2">
        <v>10.287683156345697</v>
      </c>
      <c r="V1373" s="2">
        <v>9.2504355224507133</v>
      </c>
      <c r="W1373" s="2">
        <v>7.3925086858443443</v>
      </c>
      <c r="X1373" s="2">
        <v>5.9069089105832999</v>
      </c>
      <c r="Y1373" s="2">
        <v>4.7192013080388087</v>
      </c>
      <c r="Z1373" s="2">
        <v>3.769800544770975</v>
      </c>
      <c r="AA1373" s="2">
        <v>3.0110045364894513</v>
      </c>
      <c r="AB1373" s="2">
        <v>2.4046339647266675</v>
      </c>
      <c r="AC1373" s="2">
        <v>1.9201377721372561</v>
      </c>
      <c r="AD1373" s="2">
        <v>0.42553703785406638</v>
      </c>
      <c r="AE1373" s="2">
        <v>0</v>
      </c>
      <c r="AF1373" s="2">
        <v>0</v>
      </c>
      <c r="AG1373" s="2">
        <v>0</v>
      </c>
      <c r="AH1373" s="2">
        <v>0</v>
      </c>
      <c r="AI1373" s="2">
        <v>0</v>
      </c>
      <c r="AJ1373" s="2">
        <v>0</v>
      </c>
      <c r="AK1373" s="2">
        <v>0</v>
      </c>
      <c r="AL1373" s="2">
        <v>0</v>
      </c>
      <c r="AM1373" s="2">
        <v>0</v>
      </c>
      <c r="AN1373" s="2">
        <v>0</v>
      </c>
      <c r="AO1373" s="2">
        <v>0</v>
      </c>
      <c r="AP1373" s="2">
        <v>0</v>
      </c>
      <c r="AQ1373" s="2">
        <v>0</v>
      </c>
      <c r="AR1373" s="2">
        <v>69.68593455534058</v>
      </c>
    </row>
    <row r="1374" spans="1:44" x14ac:dyDescent="0.25">
      <c r="A1374" t="s">
        <v>131</v>
      </c>
      <c r="B1374" t="s">
        <v>143</v>
      </c>
      <c r="C1374" t="s">
        <v>44</v>
      </c>
      <c r="D1374" t="s">
        <v>144</v>
      </c>
      <c r="E1374" t="s">
        <v>145</v>
      </c>
      <c r="F1374" t="s">
        <v>144</v>
      </c>
      <c r="G1374" t="s">
        <v>28</v>
      </c>
      <c r="H1374" t="s">
        <v>54</v>
      </c>
      <c r="I1374" t="s">
        <v>135</v>
      </c>
      <c r="J1374" t="s">
        <v>39</v>
      </c>
      <c r="K1374" t="s">
        <v>28</v>
      </c>
      <c r="L1374">
        <v>1.1599999999999999</v>
      </c>
      <c r="M1374">
        <v>1</v>
      </c>
      <c r="N1374">
        <v>4.4281689322710642</v>
      </c>
      <c r="O1374">
        <v>3.7403155854968442</v>
      </c>
      <c r="P1374">
        <v>-1.5595670473974299</v>
      </c>
      <c r="Q1374">
        <v>0.61494624187714031</v>
      </c>
      <c r="R1374">
        <v>-1.446476902757875</v>
      </c>
      <c r="S1374" s="2">
        <v>0</v>
      </c>
      <c r="T1374" s="2">
        <v>0</v>
      </c>
      <c r="U1374" s="2">
        <v>0</v>
      </c>
      <c r="V1374" s="2">
        <v>0</v>
      </c>
      <c r="W1374" s="2">
        <v>0</v>
      </c>
      <c r="X1374" s="2">
        <v>0</v>
      </c>
      <c r="Y1374" s="2">
        <v>0</v>
      </c>
      <c r="Z1374" s="2">
        <v>0</v>
      </c>
      <c r="AA1374" s="2">
        <v>0</v>
      </c>
      <c r="AB1374" s="2">
        <v>0</v>
      </c>
      <c r="AC1374" s="2">
        <v>0</v>
      </c>
      <c r="AD1374" s="2">
        <v>0</v>
      </c>
      <c r="AE1374" s="2">
        <v>0</v>
      </c>
      <c r="AF1374" s="2">
        <v>0</v>
      </c>
      <c r="AG1374" s="2">
        <v>0</v>
      </c>
      <c r="AH1374" s="2">
        <v>0</v>
      </c>
      <c r="AI1374" s="2">
        <v>0</v>
      </c>
      <c r="AJ1374" s="2">
        <v>0</v>
      </c>
      <c r="AK1374" s="2">
        <v>0</v>
      </c>
      <c r="AL1374" s="2">
        <v>0</v>
      </c>
      <c r="AM1374" s="2">
        <v>0</v>
      </c>
      <c r="AN1374" s="2">
        <v>0</v>
      </c>
      <c r="AO1374" s="2">
        <v>0</v>
      </c>
      <c r="AP1374" s="2">
        <v>0</v>
      </c>
      <c r="AQ1374" s="2">
        <v>0</v>
      </c>
      <c r="AR1374" s="2">
        <v>0</v>
      </c>
    </row>
    <row r="1375" spans="1:44" x14ac:dyDescent="0.25">
      <c r="A1375" t="s">
        <v>131</v>
      </c>
      <c r="B1375" t="s">
        <v>143</v>
      </c>
      <c r="C1375" t="s">
        <v>44</v>
      </c>
      <c r="D1375" t="s">
        <v>144</v>
      </c>
      <c r="E1375" t="s">
        <v>145</v>
      </c>
      <c r="F1375" t="s">
        <v>144</v>
      </c>
      <c r="G1375" t="s">
        <v>28</v>
      </c>
      <c r="H1375" t="s">
        <v>142</v>
      </c>
      <c r="I1375" t="s">
        <v>135</v>
      </c>
      <c r="J1375" t="s">
        <v>39</v>
      </c>
      <c r="K1375" t="s">
        <v>28</v>
      </c>
      <c r="L1375">
        <v>1.1599999999999999</v>
      </c>
      <c r="M1375">
        <v>1</v>
      </c>
      <c r="N1375">
        <v>4.4281689322710642</v>
      </c>
      <c r="O1375">
        <v>3.7403155854968442</v>
      </c>
      <c r="P1375">
        <v>-1.5595670473974299</v>
      </c>
      <c r="Q1375">
        <v>0.61494624187714031</v>
      </c>
      <c r="R1375">
        <v>-1.446476902757875</v>
      </c>
      <c r="S1375" s="2">
        <v>0</v>
      </c>
      <c r="T1375" s="2">
        <v>0</v>
      </c>
      <c r="U1375" s="2">
        <v>0</v>
      </c>
      <c r="V1375" s="2">
        <v>0</v>
      </c>
      <c r="W1375" s="2">
        <v>0</v>
      </c>
      <c r="X1375" s="2">
        <v>0</v>
      </c>
      <c r="Y1375" s="2">
        <v>0</v>
      </c>
      <c r="Z1375" s="2">
        <v>0</v>
      </c>
      <c r="AA1375" s="2">
        <v>0</v>
      </c>
      <c r="AB1375" s="2">
        <v>0</v>
      </c>
      <c r="AC1375" s="2">
        <v>0</v>
      </c>
      <c r="AD1375" s="2">
        <v>0</v>
      </c>
      <c r="AE1375" s="2">
        <v>0</v>
      </c>
      <c r="AF1375" s="2">
        <v>0</v>
      </c>
      <c r="AG1375" s="2">
        <v>0</v>
      </c>
      <c r="AH1375" s="2">
        <v>0</v>
      </c>
      <c r="AI1375" s="2">
        <v>0</v>
      </c>
      <c r="AJ1375" s="2">
        <v>0</v>
      </c>
      <c r="AK1375" s="2">
        <v>0</v>
      </c>
      <c r="AL1375" s="2">
        <v>0</v>
      </c>
      <c r="AM1375" s="2">
        <v>0</v>
      </c>
      <c r="AN1375" s="2">
        <v>0</v>
      </c>
      <c r="AO1375" s="2">
        <v>0</v>
      </c>
      <c r="AP1375" s="2">
        <v>0</v>
      </c>
      <c r="AQ1375" s="2">
        <v>0</v>
      </c>
      <c r="AR1375" s="2">
        <v>0</v>
      </c>
    </row>
    <row r="1376" spans="1:44" x14ac:dyDescent="0.25">
      <c r="A1376" t="s">
        <v>131</v>
      </c>
      <c r="B1376" t="s">
        <v>143</v>
      </c>
      <c r="C1376" t="s">
        <v>44</v>
      </c>
      <c r="D1376" t="s">
        <v>144</v>
      </c>
      <c r="E1376" t="s">
        <v>145</v>
      </c>
      <c r="F1376" t="s">
        <v>144</v>
      </c>
      <c r="G1376" t="s">
        <v>28</v>
      </c>
      <c r="H1376" t="s">
        <v>53</v>
      </c>
      <c r="I1376" t="s">
        <v>135</v>
      </c>
      <c r="J1376" t="s">
        <v>39</v>
      </c>
      <c r="K1376" t="s">
        <v>28</v>
      </c>
      <c r="L1376">
        <v>1.1599999999999999</v>
      </c>
      <c r="M1376">
        <v>1</v>
      </c>
      <c r="N1376">
        <v>4.4281689322710642</v>
      </c>
      <c r="O1376">
        <v>3.7403155854968442</v>
      </c>
      <c r="P1376">
        <v>-1.5595670473974299</v>
      </c>
      <c r="Q1376">
        <v>0.61494624187714031</v>
      </c>
      <c r="R1376">
        <v>-1.446476902757875</v>
      </c>
      <c r="S1376" s="2">
        <v>2.4196541951336706E-2</v>
      </c>
      <c r="T1376" s="2">
        <v>4.7455579425236906E-2</v>
      </c>
      <c r="U1376" s="2">
        <v>8.3596532055090114E-2</v>
      </c>
      <c r="V1376" s="2">
        <v>0.13412225715160883</v>
      </c>
      <c r="W1376" s="2">
        <v>0.19831485030820448</v>
      </c>
      <c r="X1376" s="2">
        <v>0.27304387224929394</v>
      </c>
      <c r="Y1376" s="2">
        <v>0.35330402479756523</v>
      </c>
      <c r="Z1376" s="2">
        <v>0.43329057827841916</v>
      </c>
      <c r="AA1376" s="2">
        <v>0.50761509642491609</v>
      </c>
      <c r="AB1376" s="2">
        <v>0.57226466958400102</v>
      </c>
      <c r="AC1376" s="2">
        <v>0.62506716376279159</v>
      </c>
      <c r="AD1376" s="2">
        <v>0.66564296740955009</v>
      </c>
      <c r="AE1376" s="2">
        <v>0.69499167015373708</v>
      </c>
      <c r="AF1376" s="2">
        <v>0.7149269778661741</v>
      </c>
      <c r="AG1376" s="2">
        <v>0.727545329219768</v>
      </c>
      <c r="AH1376" s="2">
        <v>0.73483685241109231</v>
      </c>
      <c r="AI1376" s="2">
        <v>0.73846749345787155</v>
      </c>
      <c r="AJ1376" s="2">
        <v>0.74046447742059751</v>
      </c>
      <c r="AK1376" s="2">
        <v>0.74138128530737468</v>
      </c>
      <c r="AL1376" s="2">
        <v>0.73925115529213103</v>
      </c>
      <c r="AM1376" s="2">
        <v>0.73704921022472947</v>
      </c>
      <c r="AN1376" s="2">
        <v>0.7347766503018307</v>
      </c>
      <c r="AO1376" s="2">
        <v>0.73243448634279829</v>
      </c>
      <c r="AP1376" s="2">
        <v>0.73002351177907887</v>
      </c>
      <c r="AQ1376" s="2">
        <v>0.72754426263099692</v>
      </c>
      <c r="AR1376" s="2">
        <v>13.411607495806196</v>
      </c>
    </row>
    <row r="1377" spans="1:44" x14ac:dyDescent="0.25">
      <c r="A1377" t="s">
        <v>131</v>
      </c>
      <c r="B1377" t="s">
        <v>143</v>
      </c>
      <c r="C1377" t="s">
        <v>44</v>
      </c>
      <c r="D1377" t="s">
        <v>144</v>
      </c>
      <c r="E1377" t="s">
        <v>145</v>
      </c>
      <c r="F1377" t="s">
        <v>144</v>
      </c>
      <c r="G1377" t="s">
        <v>28</v>
      </c>
      <c r="H1377" t="s">
        <v>141</v>
      </c>
      <c r="I1377" t="s">
        <v>135</v>
      </c>
      <c r="J1377" t="s">
        <v>39</v>
      </c>
      <c r="K1377" t="s">
        <v>28</v>
      </c>
      <c r="L1377">
        <v>1.1599999999999999</v>
      </c>
      <c r="M1377">
        <v>1</v>
      </c>
      <c r="N1377">
        <v>4.4281689322710642</v>
      </c>
      <c r="O1377">
        <v>3.7403155854968442</v>
      </c>
      <c r="P1377">
        <v>-1.5595670473974299</v>
      </c>
      <c r="Q1377">
        <v>0.61494624187714031</v>
      </c>
      <c r="R1377">
        <v>-1.446476902757875</v>
      </c>
      <c r="S1377" s="2">
        <v>2.0365422809041734E-2</v>
      </c>
      <c r="T1377" s="2">
        <v>3.9941779349574394E-2</v>
      </c>
      <c r="U1377" s="2">
        <v>7.0360414479700831E-2</v>
      </c>
      <c r="V1377" s="2">
        <v>0.11288623310260409</v>
      </c>
      <c r="W1377" s="2">
        <v>0.16691499900940537</v>
      </c>
      <c r="X1377" s="2">
        <v>0.22981192580982238</v>
      </c>
      <c r="Y1377" s="2">
        <v>0.297364220871284</v>
      </c>
      <c r="Z1377" s="2">
        <v>0.36468623671766942</v>
      </c>
      <c r="AA1377" s="2">
        <v>0.4272427061576376</v>
      </c>
      <c r="AB1377" s="2">
        <v>0.48165609689986755</v>
      </c>
      <c r="AC1377" s="2">
        <v>0.52609819616701614</v>
      </c>
      <c r="AD1377" s="2">
        <v>0.56024949756970455</v>
      </c>
      <c r="AE1377" s="2">
        <v>0.58495132237939518</v>
      </c>
      <c r="AF1377" s="2">
        <v>0.60173020637069652</v>
      </c>
      <c r="AG1377" s="2">
        <v>0.61235065209330464</v>
      </c>
      <c r="AH1377" s="2">
        <v>0.61848768411266919</v>
      </c>
      <c r="AI1377" s="2">
        <v>0.62154347366037532</v>
      </c>
      <c r="AJ1377" s="2">
        <v>0.62322426849566936</v>
      </c>
      <c r="AK1377" s="2">
        <v>0.623995915133707</v>
      </c>
      <c r="AL1377" s="2">
        <v>0.6222030557042102</v>
      </c>
      <c r="AM1377" s="2">
        <v>0.62034975193914721</v>
      </c>
      <c r="AN1377" s="2">
        <v>0.61843701400404072</v>
      </c>
      <c r="AO1377" s="2">
        <v>0.61646569267185503</v>
      </c>
      <c r="AP1377" s="2">
        <v>0.61443645574739136</v>
      </c>
      <c r="AQ1377" s="2">
        <v>0.61234975438108896</v>
      </c>
      <c r="AR1377" s="2">
        <v>11.28810297563688</v>
      </c>
    </row>
    <row r="1378" spans="1:44" x14ac:dyDescent="0.25">
      <c r="A1378" t="s">
        <v>131</v>
      </c>
      <c r="B1378" t="s">
        <v>150</v>
      </c>
      <c r="C1378" t="s">
        <v>44</v>
      </c>
      <c r="D1378" t="s">
        <v>147</v>
      </c>
      <c r="E1378" t="s">
        <v>145</v>
      </c>
      <c r="F1378" t="s">
        <v>147</v>
      </c>
      <c r="G1378" t="s">
        <v>28</v>
      </c>
      <c r="H1378" t="s">
        <v>55</v>
      </c>
      <c r="I1378" t="s">
        <v>135</v>
      </c>
      <c r="J1378" t="s">
        <v>39</v>
      </c>
      <c r="K1378" t="s">
        <v>28</v>
      </c>
      <c r="L1378">
        <v>20.64</v>
      </c>
      <c r="M1378">
        <v>1</v>
      </c>
      <c r="N1378">
        <v>6.8617306567581888</v>
      </c>
      <c r="O1378">
        <v>2.9515177831974366</v>
      </c>
      <c r="P1378">
        <v>-1.2870808413903396</v>
      </c>
      <c r="Q1378">
        <v>0.3131589462058586</v>
      </c>
      <c r="R1378">
        <v>-0.872203401079503</v>
      </c>
      <c r="S1378" s="2">
        <v>2.5188109067357116E-4</v>
      </c>
      <c r="T1378" s="2">
        <v>3.8716025136621983E-4</v>
      </c>
      <c r="U1378" s="2">
        <v>8.4470603742487925E-4</v>
      </c>
      <c r="V1378" s="2">
        <v>1.5879979396195918E-3</v>
      </c>
      <c r="W1378" s="2">
        <v>2.7145066937690524E-3</v>
      </c>
      <c r="X1378" s="2">
        <v>4.3251200465908215E-3</v>
      </c>
      <c r="Y1378" s="2">
        <v>6.5116996908048119E-3</v>
      </c>
      <c r="Z1378" s="2">
        <v>9.3400256877496611E-3</v>
      </c>
      <c r="AA1378" s="2">
        <v>1.2829434485081916E-2</v>
      </c>
      <c r="AB1378" s="2">
        <v>1.6932576199571121E-2</v>
      </c>
      <c r="AC1378" s="2">
        <v>2.1520944448423347E-2</v>
      </c>
      <c r="AD1378" s="2">
        <v>2.6383260898658591E-2</v>
      </c>
      <c r="AE1378" s="2">
        <v>3.1242976275337817E-2</v>
      </c>
      <c r="AF1378" s="2">
        <v>3.5796824057927994E-2</v>
      </c>
      <c r="AG1378" s="2">
        <v>3.9768693110282784E-2</v>
      </c>
      <c r="AH1378" s="2">
        <v>4.296461109009251E-2</v>
      </c>
      <c r="AI1378" s="2">
        <v>7.4373842450989922E-2</v>
      </c>
      <c r="AJ1378" s="2">
        <v>5.9384432335315311E-2</v>
      </c>
      <c r="AK1378" s="2">
        <v>6.2870386142982099E-2</v>
      </c>
      <c r="AL1378" s="2">
        <v>6.3751242218866092E-2</v>
      </c>
      <c r="AM1378" s="2">
        <v>6.3222971878395678E-2</v>
      </c>
      <c r="AN1378" s="2">
        <v>6.2135065745858829E-2</v>
      </c>
      <c r="AO1378" s="2">
        <v>6.0747013328503879E-2</v>
      </c>
      <c r="AP1378" s="2">
        <v>5.9272910497841239E-2</v>
      </c>
      <c r="AQ1378" s="2">
        <v>5.7684940729216205E-2</v>
      </c>
      <c r="AR1378" s="2">
        <v>0.81684522333134402</v>
      </c>
    </row>
    <row r="1379" spans="1:44" x14ac:dyDescent="0.25">
      <c r="A1379" t="s">
        <v>131</v>
      </c>
      <c r="B1379" t="s">
        <v>150</v>
      </c>
      <c r="C1379" t="s">
        <v>44</v>
      </c>
      <c r="D1379" t="s">
        <v>147</v>
      </c>
      <c r="E1379" t="s">
        <v>145</v>
      </c>
      <c r="F1379" t="s">
        <v>147</v>
      </c>
      <c r="G1379" t="s">
        <v>28</v>
      </c>
      <c r="H1379" t="s">
        <v>136</v>
      </c>
      <c r="I1379" t="s">
        <v>135</v>
      </c>
      <c r="J1379" t="s">
        <v>39</v>
      </c>
      <c r="K1379" t="s">
        <v>28</v>
      </c>
      <c r="L1379">
        <v>20.64</v>
      </c>
      <c r="M1379">
        <v>1</v>
      </c>
      <c r="N1379">
        <v>6.8617306567581888</v>
      </c>
      <c r="O1379">
        <v>2.9515177831974366</v>
      </c>
      <c r="P1379">
        <v>-1.2870808413903396</v>
      </c>
      <c r="Q1379">
        <v>0.3131589462058586</v>
      </c>
      <c r="R1379">
        <v>-0.872203401079503</v>
      </c>
      <c r="S1379" s="2">
        <v>3.1625070273459498E-4</v>
      </c>
      <c r="T1379" s="2">
        <v>4.8610120449314265E-4</v>
      </c>
      <c r="U1379" s="2">
        <v>1.060575358100126E-3</v>
      </c>
      <c r="V1379" s="2">
        <v>1.993819635300154E-3</v>
      </c>
      <c r="W1379" s="2">
        <v>3.4082139599544764E-3</v>
      </c>
      <c r="X1379" s="2">
        <v>5.4304285029418108E-3</v>
      </c>
      <c r="Y1379" s="2">
        <v>8.1758007228993745E-3</v>
      </c>
      <c r="Z1379" s="2">
        <v>1.1726921141285682E-2</v>
      </c>
      <c r="AA1379" s="2">
        <v>1.6108067742380629E-2</v>
      </c>
      <c r="AB1379" s="2">
        <v>2.1259790117239295E-2</v>
      </c>
      <c r="AC1379" s="2">
        <v>2.7020741363020417E-2</v>
      </c>
      <c r="AD1379" s="2">
        <v>3.3125649794982455E-2</v>
      </c>
      <c r="AE1379" s="2">
        <v>3.9227292434590819E-2</v>
      </c>
      <c r="AF1379" s="2">
        <v>4.4944901317176239E-2</v>
      </c>
      <c r="AG1379" s="2">
        <v>4.9931803571799493E-2</v>
      </c>
      <c r="AH1379" s="2">
        <v>5.3944456146449486E-2</v>
      </c>
      <c r="AI1379" s="2">
        <v>9.338049107735398E-2</v>
      </c>
      <c r="AJ1379" s="2">
        <v>7.4560453932118131E-2</v>
      </c>
      <c r="AK1379" s="2">
        <v>7.8937262601744176E-2</v>
      </c>
      <c r="AL1379" s="2">
        <v>8.0043226341465185E-2</v>
      </c>
      <c r="AM1379" s="2">
        <v>7.9379953580652363E-2</v>
      </c>
      <c r="AN1379" s="2">
        <v>7.8014026992022756E-2</v>
      </c>
      <c r="AO1379" s="2">
        <v>7.6271250068010416E-2</v>
      </c>
      <c r="AP1379" s="2">
        <v>7.4420432069511752E-2</v>
      </c>
      <c r="AQ1379" s="2">
        <v>7.2426647804460328E-2</v>
      </c>
      <c r="AR1379" s="2">
        <v>1.0255945581826875</v>
      </c>
    </row>
    <row r="1380" spans="1:44" x14ac:dyDescent="0.25">
      <c r="A1380" t="s">
        <v>131</v>
      </c>
      <c r="B1380" t="s">
        <v>150</v>
      </c>
      <c r="C1380" t="s">
        <v>44</v>
      </c>
      <c r="D1380" t="s">
        <v>147</v>
      </c>
      <c r="E1380" t="s">
        <v>148</v>
      </c>
      <c r="F1380" t="s">
        <v>147</v>
      </c>
      <c r="G1380" t="s">
        <v>28</v>
      </c>
      <c r="H1380" t="s">
        <v>55</v>
      </c>
      <c r="I1380" t="s">
        <v>135</v>
      </c>
      <c r="J1380" t="s">
        <v>39</v>
      </c>
      <c r="K1380" t="s">
        <v>28</v>
      </c>
      <c r="L1380">
        <v>20.64</v>
      </c>
      <c r="M1380">
        <v>1</v>
      </c>
      <c r="N1380">
        <v>6.8617306567581888</v>
      </c>
      <c r="O1380">
        <v>2.9515177831974366</v>
      </c>
      <c r="P1380">
        <v>-1.2870808413903396</v>
      </c>
      <c r="Q1380">
        <v>0.3131589462058586</v>
      </c>
      <c r="R1380">
        <v>-0.872203401079503</v>
      </c>
      <c r="S1380" s="2">
        <v>1.5817387419904682E-4</v>
      </c>
      <c r="T1380" s="2">
        <v>1.0011233862019805E-4</v>
      </c>
      <c r="U1380" s="2">
        <v>2.621203548245356E-4</v>
      </c>
      <c r="V1380" s="2">
        <v>5.0056868339944474E-4</v>
      </c>
      <c r="W1380" s="2">
        <v>8.4037878799172279E-4</v>
      </c>
      <c r="X1380" s="2">
        <v>1.2992631628175122E-3</v>
      </c>
      <c r="Y1380" s="2">
        <v>1.8728779581863443E-3</v>
      </c>
      <c r="Z1380" s="2">
        <v>2.5759421740677532E-3</v>
      </c>
      <c r="AA1380" s="2">
        <v>3.3860307393060829E-3</v>
      </c>
      <c r="AB1380" s="2">
        <v>4.262474339141638E-3</v>
      </c>
      <c r="AC1380" s="2">
        <v>5.1532510929385754E-3</v>
      </c>
      <c r="AD1380" s="2">
        <v>5.991284242880859E-3</v>
      </c>
      <c r="AE1380" s="2">
        <v>6.7057203732572273E-3</v>
      </c>
      <c r="AF1380" s="2">
        <v>7.2339979619279763E-3</v>
      </c>
      <c r="AG1380" s="2">
        <v>7.5339946610095999E-3</v>
      </c>
      <c r="AH1380" s="2">
        <v>7.5923044640448722E-3</v>
      </c>
      <c r="AI1380" s="2">
        <v>7.425361659885452E-3</v>
      </c>
      <c r="AJ1380" s="2">
        <v>7.0920684126532041E-3</v>
      </c>
      <c r="AK1380" s="2">
        <v>6.5964960936110819E-3</v>
      </c>
      <c r="AL1380" s="2">
        <v>6.0483257473152542E-3</v>
      </c>
      <c r="AM1380" s="2">
        <v>5.412242938656258E-3</v>
      </c>
      <c r="AN1380" s="2">
        <v>4.7501903934075735E-3</v>
      </c>
      <c r="AO1380" s="2">
        <v>4.0866699092384001E-3</v>
      </c>
      <c r="AP1380" s="2">
        <v>3.4219211342348811E-3</v>
      </c>
      <c r="AQ1380" s="2">
        <v>2.7562245453171034E-3</v>
      </c>
      <c r="AR1380" s="2">
        <v>0.1030579960429326</v>
      </c>
    </row>
    <row r="1381" spans="1:44" x14ac:dyDescent="0.25">
      <c r="A1381" t="s">
        <v>131</v>
      </c>
      <c r="B1381" t="s">
        <v>150</v>
      </c>
      <c r="C1381" t="s">
        <v>44</v>
      </c>
      <c r="D1381" t="s">
        <v>147</v>
      </c>
      <c r="E1381" t="s">
        <v>148</v>
      </c>
      <c r="F1381" t="s">
        <v>147</v>
      </c>
      <c r="G1381" t="s">
        <v>28</v>
      </c>
      <c r="H1381" t="s">
        <v>136</v>
      </c>
      <c r="I1381" t="s">
        <v>135</v>
      </c>
      <c r="J1381" t="s">
        <v>39</v>
      </c>
      <c r="K1381" t="s">
        <v>28</v>
      </c>
      <c r="L1381">
        <v>20.64</v>
      </c>
      <c r="M1381">
        <v>1</v>
      </c>
      <c r="N1381">
        <v>6.8617306567581888</v>
      </c>
      <c r="O1381">
        <v>2.9515177831974366</v>
      </c>
      <c r="P1381">
        <v>-1.2870808413903396</v>
      </c>
      <c r="Q1381">
        <v>0.3131589462058586</v>
      </c>
      <c r="R1381">
        <v>-0.872203401079503</v>
      </c>
      <c r="S1381" s="2">
        <v>1.9859608649435876E-4</v>
      </c>
      <c r="T1381" s="2">
        <v>1.2569660293424865E-4</v>
      </c>
      <c r="U1381" s="2">
        <v>3.2910666772413918E-4</v>
      </c>
      <c r="V1381" s="2">
        <v>6.284917913793027E-4</v>
      </c>
      <c r="W1381" s="2">
        <v>1.0551422560340531E-3</v>
      </c>
      <c r="X1381" s="2">
        <v>1.6312970822042092E-3</v>
      </c>
      <c r="Y1381" s="2">
        <v>2.3515023252784076E-3</v>
      </c>
      <c r="Z1381" s="2">
        <v>3.234238507440622E-3</v>
      </c>
      <c r="AA1381" s="2">
        <v>4.251349706017633E-3</v>
      </c>
      <c r="AB1381" s="2">
        <v>5.3517733369222859E-3</v>
      </c>
      <c r="AC1381" s="2">
        <v>6.4701930389117609E-3</v>
      </c>
      <c r="AD1381" s="2">
        <v>7.5223902160615206E-3</v>
      </c>
      <c r="AE1381" s="2">
        <v>8.419404468645213E-3</v>
      </c>
      <c r="AF1381" s="2">
        <v>9.0826863299762837E-3</v>
      </c>
      <c r="AG1381" s="2">
        <v>9.4593488521564715E-3</v>
      </c>
      <c r="AH1381" s="2">
        <v>9.5325600493007222E-3</v>
      </c>
      <c r="AI1381" s="2">
        <v>9.3229540840783689E-3</v>
      </c>
      <c r="AJ1381" s="2">
        <v>8.9044858958869048E-3</v>
      </c>
      <c r="AK1381" s="2">
        <v>8.2822673175338753E-3</v>
      </c>
      <c r="AL1381" s="2">
        <v>7.5940089938514085E-3</v>
      </c>
      <c r="AM1381" s="2">
        <v>6.7953716896460717E-3</v>
      </c>
      <c r="AN1381" s="2">
        <v>5.964127938389626E-3</v>
      </c>
      <c r="AO1381" s="2">
        <v>5.1310411082659945E-3</v>
      </c>
      <c r="AP1381" s="2">
        <v>4.296412090761534E-3</v>
      </c>
      <c r="AQ1381" s="2">
        <v>3.460593040231429E-3</v>
      </c>
      <c r="AR1381" s="2">
        <v>0.12939503947612643</v>
      </c>
    </row>
    <row r="1382" spans="1:44" x14ac:dyDescent="0.25">
      <c r="A1382" t="s">
        <v>131</v>
      </c>
      <c r="B1382" t="s">
        <v>149</v>
      </c>
      <c r="C1382" t="s">
        <v>44</v>
      </c>
      <c r="D1382" t="s">
        <v>147</v>
      </c>
      <c r="E1382" t="s">
        <v>145</v>
      </c>
      <c r="F1382" t="s">
        <v>147</v>
      </c>
      <c r="G1382" t="s">
        <v>28</v>
      </c>
      <c r="H1382" t="s">
        <v>54</v>
      </c>
      <c r="I1382" t="s">
        <v>135</v>
      </c>
      <c r="J1382" t="s">
        <v>39</v>
      </c>
      <c r="K1382" t="s">
        <v>28</v>
      </c>
      <c r="L1382">
        <v>7.78</v>
      </c>
      <c r="M1382">
        <v>1</v>
      </c>
      <c r="N1382">
        <v>6.8602318529823343</v>
      </c>
      <c r="O1382">
        <v>2.9515177831974371</v>
      </c>
      <c r="P1382">
        <v>-1.2870124233221063</v>
      </c>
      <c r="Q1382">
        <v>0.31322736427409226</v>
      </c>
      <c r="R1382">
        <v>-0.87220340107950356</v>
      </c>
      <c r="S1382" s="2">
        <v>2.0329090281292358E-3</v>
      </c>
      <c r="T1382" s="2">
        <v>3.1247346445516873E-3</v>
      </c>
      <c r="U1382" s="2">
        <v>6.8175444413243096E-3</v>
      </c>
      <c r="V1382" s="2">
        <v>1.2816584760175572E-2</v>
      </c>
      <c r="W1382" s="2">
        <v>2.1908532910999368E-2</v>
      </c>
      <c r="X1382" s="2">
        <v>3.4907644583181859E-2</v>
      </c>
      <c r="Y1382" s="2">
        <v>5.2555327017616539E-2</v>
      </c>
      <c r="Z1382" s="2">
        <v>7.5382485016282058E-2</v>
      </c>
      <c r="AA1382" s="2">
        <v>0.10354518126299411</v>
      </c>
      <c r="AB1382" s="2">
        <v>0.13666125922173544</v>
      </c>
      <c r="AC1382" s="2">
        <v>0.17369355574121348</v>
      </c>
      <c r="AD1382" s="2">
        <v>0.21293686290203032</v>
      </c>
      <c r="AE1382" s="2">
        <v>0.25215917703831853</v>
      </c>
      <c r="AF1382" s="2">
        <v>0.28891286206166683</v>
      </c>
      <c r="AG1382" s="2">
        <v>0.32096945048395281</v>
      </c>
      <c r="AH1382" s="2">
        <v>0.34676340943871847</v>
      </c>
      <c r="AI1382" s="2">
        <v>0.62660961028722117</v>
      </c>
      <c r="AJ1382" s="2">
        <v>0.49052722725669495</v>
      </c>
      <c r="AK1382" s="2">
        <v>0.52105494612123837</v>
      </c>
      <c r="AL1382" s="2">
        <v>0.52838147086659981</v>
      </c>
      <c r="AM1382" s="2">
        <v>0.52359393606951643</v>
      </c>
      <c r="AN1382" s="2">
        <v>0.5139630115647883</v>
      </c>
      <c r="AO1382" s="2">
        <v>0.50164171645995059</v>
      </c>
      <c r="AP1382" s="2">
        <v>0.48855202114734436</v>
      </c>
      <c r="AQ1382" s="2">
        <v>0.47444417442197329</v>
      </c>
      <c r="AR1382" s="2">
        <v>6.713955634748217</v>
      </c>
    </row>
    <row r="1383" spans="1:44" x14ac:dyDescent="0.25">
      <c r="A1383" t="s">
        <v>131</v>
      </c>
      <c r="B1383" t="s">
        <v>149</v>
      </c>
      <c r="C1383" t="s">
        <v>44</v>
      </c>
      <c r="D1383" t="s">
        <v>147</v>
      </c>
      <c r="E1383" t="s">
        <v>145</v>
      </c>
      <c r="F1383" t="s">
        <v>147</v>
      </c>
      <c r="G1383" t="s">
        <v>28</v>
      </c>
      <c r="H1383" t="s">
        <v>142</v>
      </c>
      <c r="I1383" t="s">
        <v>135</v>
      </c>
      <c r="J1383" t="s">
        <v>39</v>
      </c>
      <c r="K1383" t="s">
        <v>28</v>
      </c>
      <c r="L1383">
        <v>7.78</v>
      </c>
      <c r="M1383">
        <v>1</v>
      </c>
      <c r="N1383">
        <v>6.8602318529823343</v>
      </c>
      <c r="O1383">
        <v>2.9515177831974371</v>
      </c>
      <c r="P1383">
        <v>-1.2870124233221063</v>
      </c>
      <c r="Q1383">
        <v>0.31322736427409226</v>
      </c>
      <c r="R1383">
        <v>-0.87220340107950356</v>
      </c>
      <c r="S1383" s="2">
        <v>1.6293919094804686E-3</v>
      </c>
      <c r="T1383" s="2">
        <v>2.504498370884393E-3</v>
      </c>
      <c r="U1383" s="2">
        <v>5.4643132582473724E-3</v>
      </c>
      <c r="V1383" s="2">
        <v>1.0272589292703537E-2</v>
      </c>
      <c r="W1383" s="2">
        <v>1.7559854267861302E-2</v>
      </c>
      <c r="X1383" s="2">
        <v>2.7978740256369372E-2</v>
      </c>
      <c r="Y1383" s="2">
        <v>4.2123490750300696E-2</v>
      </c>
      <c r="Z1383" s="2">
        <v>6.0419629950236121E-2</v>
      </c>
      <c r="AA1383" s="2">
        <v>8.299224327360584E-2</v>
      </c>
      <c r="AB1383" s="2">
        <v>0.10953502937621512</v>
      </c>
      <c r="AC1383" s="2">
        <v>0.13921669417449023</v>
      </c>
      <c r="AD1383" s="2">
        <v>0.17067050066770778</v>
      </c>
      <c r="AE1383" s="2">
        <v>0.20210748109352666</v>
      </c>
      <c r="AF1383" s="2">
        <v>0.23156583667756714</v>
      </c>
      <c r="AG1383" s="2">
        <v>0.2572594339306053</v>
      </c>
      <c r="AH1383" s="2">
        <v>0.27793348645967642</v>
      </c>
      <c r="AI1383" s="2">
        <v>0.50223232583322508</v>
      </c>
      <c r="AJ1383" s="2">
        <v>0.3931612700876525</v>
      </c>
      <c r="AK1383" s="2">
        <v>0.41762946686601765</v>
      </c>
      <c r="AL1383" s="2">
        <v>0.42350173167448579</v>
      </c>
      <c r="AM1383" s="2">
        <v>0.41966448644767756</v>
      </c>
      <c r="AN1383" s="2">
        <v>0.41194522786222998</v>
      </c>
      <c r="AO1383" s="2">
        <v>0.4020696169616183</v>
      </c>
      <c r="AP1383" s="2">
        <v>0.39157812750251975</v>
      </c>
      <c r="AQ1383" s="2">
        <v>0.3802705820115817</v>
      </c>
      <c r="AR1383" s="2">
        <v>5.3812860489564862</v>
      </c>
    </row>
    <row r="1384" spans="1:44" x14ac:dyDescent="0.25">
      <c r="A1384" t="s">
        <v>131</v>
      </c>
      <c r="B1384" t="s">
        <v>149</v>
      </c>
      <c r="C1384" t="s">
        <v>44</v>
      </c>
      <c r="D1384" t="s">
        <v>147</v>
      </c>
      <c r="E1384" t="s">
        <v>145</v>
      </c>
      <c r="F1384" t="s">
        <v>147</v>
      </c>
      <c r="G1384" t="s">
        <v>28</v>
      </c>
      <c r="H1384" t="s">
        <v>53</v>
      </c>
      <c r="I1384" t="s">
        <v>135</v>
      </c>
      <c r="J1384" t="s">
        <v>39</v>
      </c>
      <c r="K1384" t="s">
        <v>28</v>
      </c>
      <c r="L1384">
        <v>7.78</v>
      </c>
      <c r="M1384">
        <v>1</v>
      </c>
      <c r="N1384">
        <v>6.8602318529823343</v>
      </c>
      <c r="O1384">
        <v>2.9515177831974371</v>
      </c>
      <c r="P1384">
        <v>-1.2870124233221063</v>
      </c>
      <c r="Q1384">
        <v>0.31322736427409226</v>
      </c>
      <c r="R1384">
        <v>-0.87220340107950356</v>
      </c>
      <c r="S1384" s="2">
        <v>9.6769858038173737E-4</v>
      </c>
      <c r="T1384" s="2">
        <v>1.4874257715235409E-3</v>
      </c>
      <c r="U1384" s="2">
        <v>3.2452647837518155E-3</v>
      </c>
      <c r="V1384" s="2">
        <v>6.1009079629979661E-3</v>
      </c>
      <c r="W1384" s="2">
        <v>1.0428826820514707E-2</v>
      </c>
      <c r="X1384" s="2">
        <v>1.6616620635848671E-2</v>
      </c>
      <c r="Y1384" s="2">
        <v>2.5017211612881073E-2</v>
      </c>
      <c r="Z1384" s="2">
        <v>3.5883319286073988E-2</v>
      </c>
      <c r="AA1384" s="2">
        <v>4.9289232094058645E-2</v>
      </c>
      <c r="AB1384" s="2">
        <v>6.5053037156194288E-2</v>
      </c>
      <c r="AC1384" s="2">
        <v>8.2681027525813675E-2</v>
      </c>
      <c r="AD1384" s="2">
        <v>0.10136149581216572</v>
      </c>
      <c r="AE1384" s="2">
        <v>0.12003197106894621</v>
      </c>
      <c r="AF1384" s="2">
        <v>0.13752733772272183</v>
      </c>
      <c r="AG1384" s="2">
        <v>0.1527868081067334</v>
      </c>
      <c r="AH1384" s="2">
        <v>0.16506516248342754</v>
      </c>
      <c r="AI1384" s="2">
        <v>0.29827661835242225</v>
      </c>
      <c r="AJ1384" s="2">
        <v>0.23349913591151461</v>
      </c>
      <c r="AK1384" s="2">
        <v>0.24803083890399769</v>
      </c>
      <c r="AL1384" s="2">
        <v>0.25151838679577043</v>
      </c>
      <c r="AM1384" s="2">
        <v>0.24923944043734475</v>
      </c>
      <c r="AN1384" s="2">
        <v>0.24465495985211891</v>
      </c>
      <c r="AO1384" s="2">
        <v>0.23878981802017543</v>
      </c>
      <c r="AP1384" s="2">
        <v>0.2325589048822202</v>
      </c>
      <c r="AQ1384" s="2">
        <v>0.22584333470201004</v>
      </c>
      <c r="AR1384" s="2">
        <v>3.1959547852816095</v>
      </c>
    </row>
    <row r="1385" spans="1:44" x14ac:dyDescent="0.25">
      <c r="A1385" t="s">
        <v>131</v>
      </c>
      <c r="B1385" t="s">
        <v>149</v>
      </c>
      <c r="C1385" t="s">
        <v>44</v>
      </c>
      <c r="D1385" t="s">
        <v>147</v>
      </c>
      <c r="E1385" t="s">
        <v>145</v>
      </c>
      <c r="F1385" t="s">
        <v>147</v>
      </c>
      <c r="G1385" t="s">
        <v>28</v>
      </c>
      <c r="H1385" t="s">
        <v>141</v>
      </c>
      <c r="I1385" t="s">
        <v>135</v>
      </c>
      <c r="J1385" t="s">
        <v>39</v>
      </c>
      <c r="K1385" t="s">
        <v>28</v>
      </c>
      <c r="L1385">
        <v>7.78</v>
      </c>
      <c r="M1385">
        <v>1</v>
      </c>
      <c r="N1385">
        <v>6.8602318529823343</v>
      </c>
      <c r="O1385">
        <v>2.9515177831974371</v>
      </c>
      <c r="P1385">
        <v>-1.2870124233221063</v>
      </c>
      <c r="Q1385">
        <v>0.31322736427409226</v>
      </c>
      <c r="R1385">
        <v>-0.87220340107950356</v>
      </c>
      <c r="S1385" s="2">
        <v>8.1447963848796227E-4</v>
      </c>
      <c r="T1385" s="2">
        <v>1.2519166910323132E-3</v>
      </c>
      <c r="U1385" s="2">
        <v>2.7314311929911112E-3</v>
      </c>
      <c r="V1385" s="2">
        <v>5.1349308688566214E-3</v>
      </c>
      <c r="W1385" s="2">
        <v>8.7775959072665423E-3</v>
      </c>
      <c r="X1385" s="2">
        <v>1.3985655701839295E-2</v>
      </c>
      <c r="Y1385" s="2">
        <v>2.1056153107508236E-2</v>
      </c>
      <c r="Z1385" s="2">
        <v>3.0201793732445605E-2</v>
      </c>
      <c r="AA1385" s="2">
        <v>4.148510367916601E-2</v>
      </c>
      <c r="AB1385" s="2">
        <v>5.4752972939796855E-2</v>
      </c>
      <c r="AC1385" s="2">
        <v>6.9589864834226481E-2</v>
      </c>
      <c r="AD1385" s="2">
        <v>8.5312592308572799E-2</v>
      </c>
      <c r="AE1385" s="2">
        <v>0.10102690898302971</v>
      </c>
      <c r="AF1385" s="2">
        <v>0.11575217591662418</v>
      </c>
      <c r="AG1385" s="2">
        <v>0.12859556348983389</v>
      </c>
      <c r="AH1385" s="2">
        <v>0.13892984509021816</v>
      </c>
      <c r="AI1385" s="2">
        <v>0.25104948711328867</v>
      </c>
      <c r="AJ1385" s="2">
        <v>0.19652843939219147</v>
      </c>
      <c r="AK1385" s="2">
        <v>0.20875928941086466</v>
      </c>
      <c r="AL1385" s="2">
        <v>0.21169464221977347</v>
      </c>
      <c r="AM1385" s="2">
        <v>0.20977652903476512</v>
      </c>
      <c r="AN1385" s="2">
        <v>0.20591792454220004</v>
      </c>
      <c r="AO1385" s="2">
        <v>0.20098143016698095</v>
      </c>
      <c r="AP1385" s="2">
        <v>0.19573707827586864</v>
      </c>
      <c r="AQ1385" s="2">
        <v>0.19008480670752512</v>
      </c>
      <c r="AR1385" s="2">
        <v>2.6899286109453544</v>
      </c>
    </row>
    <row r="1386" spans="1:44" x14ac:dyDescent="0.25">
      <c r="A1386" t="s">
        <v>131</v>
      </c>
      <c r="B1386" t="s">
        <v>149</v>
      </c>
      <c r="C1386" t="s">
        <v>44</v>
      </c>
      <c r="D1386" t="s">
        <v>147</v>
      </c>
      <c r="E1386" t="s">
        <v>148</v>
      </c>
      <c r="F1386" t="s">
        <v>147</v>
      </c>
      <c r="G1386" t="s">
        <v>28</v>
      </c>
      <c r="H1386" t="s">
        <v>54</v>
      </c>
      <c r="I1386" t="s">
        <v>135</v>
      </c>
      <c r="J1386" t="s">
        <v>39</v>
      </c>
      <c r="K1386" t="s">
        <v>28</v>
      </c>
      <c r="L1386">
        <v>7.78</v>
      </c>
      <c r="M1386">
        <v>1</v>
      </c>
      <c r="N1386">
        <v>6.8602318529823343</v>
      </c>
      <c r="O1386">
        <v>2.9515177831974371</v>
      </c>
      <c r="P1386">
        <v>-1.2870124233221063</v>
      </c>
      <c r="Q1386">
        <v>0.31322736427409226</v>
      </c>
      <c r="R1386">
        <v>-0.87220340107950356</v>
      </c>
      <c r="S1386" s="2">
        <v>1.4199853079575444E-3</v>
      </c>
      <c r="T1386" s="2">
        <v>8.9874545152165476E-4</v>
      </c>
      <c r="U1386" s="2">
        <v>2.3531512688313582E-3</v>
      </c>
      <c r="V1386" s="2">
        <v>4.4937900121001456E-3</v>
      </c>
      <c r="W1386" s="2">
        <v>7.5443908680249486E-3</v>
      </c>
      <c r="X1386" s="2">
        <v>1.1663965441281657E-2</v>
      </c>
      <c r="Y1386" s="2">
        <v>1.6813517388310616E-2</v>
      </c>
      <c r="Z1386" s="2">
        <v>2.3125184609952849E-2</v>
      </c>
      <c r="AA1386" s="2">
        <v>3.0397648957227165E-2</v>
      </c>
      <c r="AB1386" s="2">
        <v>3.8265806965759992E-2</v>
      </c>
      <c r="AC1386" s="2">
        <v>4.626263899296322E-2</v>
      </c>
      <c r="AD1386" s="2">
        <v>5.3785972201594201E-2</v>
      </c>
      <c r="AE1386" s="2">
        <v>6.0199729301150764E-2</v>
      </c>
      <c r="AF1386" s="2">
        <v>6.4942272393266082E-2</v>
      </c>
      <c r="AG1386" s="2">
        <v>6.7635453598371378E-2</v>
      </c>
      <c r="AH1386" s="2">
        <v>6.8158922243488046E-2</v>
      </c>
      <c r="AI1386" s="2">
        <v>6.6660215011487681E-2</v>
      </c>
      <c r="AJ1386" s="2">
        <v>6.3668118391818115E-2</v>
      </c>
      <c r="AK1386" s="2">
        <v>5.9219182588521262E-2</v>
      </c>
      <c r="AL1386" s="2">
        <v>5.4298054861582339E-2</v>
      </c>
      <c r="AM1386" s="2">
        <v>4.8587704479677092E-2</v>
      </c>
      <c r="AN1386" s="2">
        <v>4.26442141775666E-2</v>
      </c>
      <c r="AO1386" s="2">
        <v>3.6687545645420629E-2</v>
      </c>
      <c r="AP1386" s="2">
        <v>3.0719850292649144E-2</v>
      </c>
      <c r="AQ1386" s="2">
        <v>2.4743646064185866E-2</v>
      </c>
      <c r="AR1386" s="2">
        <v>0.92518970651471022</v>
      </c>
    </row>
    <row r="1387" spans="1:44" x14ac:dyDescent="0.25">
      <c r="A1387" t="s">
        <v>131</v>
      </c>
      <c r="B1387" t="s">
        <v>149</v>
      </c>
      <c r="C1387" t="s">
        <v>44</v>
      </c>
      <c r="D1387" t="s">
        <v>147</v>
      </c>
      <c r="E1387" t="s">
        <v>148</v>
      </c>
      <c r="F1387" t="s">
        <v>147</v>
      </c>
      <c r="G1387" t="s">
        <v>28</v>
      </c>
      <c r="H1387" t="s">
        <v>142</v>
      </c>
      <c r="I1387" t="s">
        <v>135</v>
      </c>
      <c r="J1387" t="s">
        <v>39</v>
      </c>
      <c r="K1387" t="s">
        <v>28</v>
      </c>
      <c r="L1387">
        <v>7.78</v>
      </c>
      <c r="M1387">
        <v>1</v>
      </c>
      <c r="N1387">
        <v>6.8602318529823343</v>
      </c>
      <c r="O1387">
        <v>2.9515177831974371</v>
      </c>
      <c r="P1387">
        <v>-1.2870124233221063</v>
      </c>
      <c r="Q1387">
        <v>0.31322736427409226</v>
      </c>
      <c r="R1387">
        <v>-0.87220340107950356</v>
      </c>
      <c r="S1387" s="2">
        <v>1.1381289277348156E-3</v>
      </c>
      <c r="T1387" s="2">
        <v>7.203512538578083E-4</v>
      </c>
      <c r="U1387" s="2">
        <v>1.886068479289455E-3</v>
      </c>
      <c r="V1387" s="2">
        <v>3.6018065674873062E-3</v>
      </c>
      <c r="W1387" s="2">
        <v>6.0468861479898387E-3</v>
      </c>
      <c r="X1387" s="2">
        <v>9.3487562205247614E-3</v>
      </c>
      <c r="Y1387" s="2">
        <v>1.3476160921786606E-2</v>
      </c>
      <c r="Z1387" s="2">
        <v>1.8535009775313988E-2</v>
      </c>
      <c r="AA1387" s="2">
        <v>2.4363944767224838E-2</v>
      </c>
      <c r="AB1387" s="2">
        <v>3.0670332718787552E-2</v>
      </c>
      <c r="AC1387" s="2">
        <v>3.7079853866219134E-2</v>
      </c>
      <c r="AD1387" s="2">
        <v>4.3109862141478737E-2</v>
      </c>
      <c r="AE1387" s="2">
        <v>4.8250536801676423E-2</v>
      </c>
      <c r="AF1387" s="2">
        <v>5.2051720837818657E-2</v>
      </c>
      <c r="AG1387" s="2">
        <v>5.4210325874071583E-2</v>
      </c>
      <c r="AH1387" s="2">
        <v>5.4629889938875874E-2</v>
      </c>
      <c r="AI1387" s="2">
        <v>5.3428664795639923E-2</v>
      </c>
      <c r="AJ1387" s="2">
        <v>5.1030476801482261E-2</v>
      </c>
      <c r="AK1387" s="2">
        <v>4.7464621220447756E-2</v>
      </c>
      <c r="AL1387" s="2">
        <v>4.3520300253378476E-2</v>
      </c>
      <c r="AM1387" s="2">
        <v>3.8943411379440268E-2</v>
      </c>
      <c r="AN1387" s="2">
        <v>3.4179659102120279E-2</v>
      </c>
      <c r="AO1387" s="2">
        <v>2.9405344374092875E-2</v>
      </c>
      <c r="AP1387" s="2">
        <v>2.4622191566218581E-2</v>
      </c>
      <c r="AQ1387" s="2">
        <v>1.9832218830339872E-2</v>
      </c>
      <c r="AR1387" s="2">
        <v>0.74154652356329753</v>
      </c>
    </row>
    <row r="1388" spans="1:44" x14ac:dyDescent="0.25">
      <c r="A1388" t="s">
        <v>131</v>
      </c>
      <c r="B1388" t="s">
        <v>149</v>
      </c>
      <c r="C1388" t="s">
        <v>44</v>
      </c>
      <c r="D1388" t="s">
        <v>147</v>
      </c>
      <c r="E1388" t="s">
        <v>148</v>
      </c>
      <c r="F1388" t="s">
        <v>147</v>
      </c>
      <c r="G1388" t="s">
        <v>28</v>
      </c>
      <c r="H1388" t="s">
        <v>53</v>
      </c>
      <c r="I1388" t="s">
        <v>135</v>
      </c>
      <c r="J1388" t="s">
        <v>39</v>
      </c>
      <c r="K1388" t="s">
        <v>28</v>
      </c>
      <c r="L1388">
        <v>7.78</v>
      </c>
      <c r="M1388">
        <v>1</v>
      </c>
      <c r="N1388">
        <v>6.8602318529823343</v>
      </c>
      <c r="O1388">
        <v>2.9515177831974371</v>
      </c>
      <c r="P1388">
        <v>-1.2870124233221063</v>
      </c>
      <c r="Q1388">
        <v>0.31322736427409226</v>
      </c>
      <c r="R1388">
        <v>-0.87220340107950356</v>
      </c>
      <c r="S1388" s="2">
        <v>6.7593667383038648E-4</v>
      </c>
      <c r="T1388" s="2">
        <v>4.2781781453466957E-4</v>
      </c>
      <c r="U1388" s="2">
        <v>1.1201392245117365E-3</v>
      </c>
      <c r="V1388" s="2">
        <v>2.1391189448574225E-3</v>
      </c>
      <c r="W1388" s="2">
        <v>3.5912557973885695E-3</v>
      </c>
      <c r="X1388" s="2">
        <v>5.5522419562162402E-3</v>
      </c>
      <c r="Y1388" s="2">
        <v>8.0035145118443878E-3</v>
      </c>
      <c r="Z1388" s="2">
        <v>1.1007973307448144E-2</v>
      </c>
      <c r="AA1388" s="2">
        <v>1.4469787548693571E-2</v>
      </c>
      <c r="AB1388" s="2">
        <v>1.8215161901270028E-2</v>
      </c>
      <c r="AC1388" s="2">
        <v>2.2021787231374955E-2</v>
      </c>
      <c r="AD1388" s="2">
        <v>2.560301923191886E-2</v>
      </c>
      <c r="AE1388" s="2">
        <v>2.8656074510966904E-2</v>
      </c>
      <c r="AF1388" s="2">
        <v>3.0913604067939915E-2</v>
      </c>
      <c r="AG1388" s="2">
        <v>3.2195603209479964E-2</v>
      </c>
      <c r="AH1388" s="2">
        <v>3.2444783009335676E-2</v>
      </c>
      <c r="AI1388" s="2">
        <v>3.1731373387583486E-2</v>
      </c>
      <c r="AJ1388" s="2">
        <v>3.0307085526613927E-2</v>
      </c>
      <c r="AK1388" s="2">
        <v>2.8189317932743204E-2</v>
      </c>
      <c r="AL1388" s="2">
        <v>2.5846779113080049E-2</v>
      </c>
      <c r="AM1388" s="2">
        <v>2.3128557155486496E-2</v>
      </c>
      <c r="AN1388" s="2">
        <v>2.029935671007449E-2</v>
      </c>
      <c r="AO1388" s="2">
        <v>1.7463883207520625E-2</v>
      </c>
      <c r="AP1388" s="2">
        <v>1.4623160754562839E-2</v>
      </c>
      <c r="AQ1388" s="2">
        <v>1.1778387934956254E-2</v>
      </c>
      <c r="AR1388" s="2">
        <v>0.44040572066423278</v>
      </c>
    </row>
    <row r="1389" spans="1:44" x14ac:dyDescent="0.25">
      <c r="A1389" t="s">
        <v>131</v>
      </c>
      <c r="B1389" t="s">
        <v>149</v>
      </c>
      <c r="C1389" t="s">
        <v>44</v>
      </c>
      <c r="D1389" t="s">
        <v>147</v>
      </c>
      <c r="E1389" t="s">
        <v>148</v>
      </c>
      <c r="F1389" t="s">
        <v>147</v>
      </c>
      <c r="G1389" t="s">
        <v>28</v>
      </c>
      <c r="H1389" t="s">
        <v>141</v>
      </c>
      <c r="I1389" t="s">
        <v>135</v>
      </c>
      <c r="J1389" t="s">
        <v>39</v>
      </c>
      <c r="K1389" t="s">
        <v>28</v>
      </c>
      <c r="L1389">
        <v>7.78</v>
      </c>
      <c r="M1389">
        <v>1</v>
      </c>
      <c r="N1389">
        <v>6.8602318529823343</v>
      </c>
      <c r="O1389">
        <v>2.9515177831974371</v>
      </c>
      <c r="P1389">
        <v>-1.2870124233221063</v>
      </c>
      <c r="Q1389">
        <v>0.31322736427409226</v>
      </c>
      <c r="R1389">
        <v>-0.87220340107950356</v>
      </c>
      <c r="S1389" s="2">
        <v>5.6891336714057531E-4</v>
      </c>
      <c r="T1389" s="2">
        <v>3.6007999390001358E-4</v>
      </c>
      <c r="U1389" s="2">
        <v>9.4278384729737743E-4</v>
      </c>
      <c r="V1389" s="2">
        <v>1.8004251119216662E-3</v>
      </c>
      <c r="W1389" s="2">
        <v>3.0226402961353776E-3</v>
      </c>
      <c r="X1389" s="2">
        <v>4.6731369798153326E-3</v>
      </c>
      <c r="Y1389" s="2">
        <v>6.7362913808023577E-3</v>
      </c>
      <c r="Z1389" s="2">
        <v>9.2650442004355189E-3</v>
      </c>
      <c r="AA1389" s="2">
        <v>1.2178737853483765E-2</v>
      </c>
      <c r="AB1389" s="2">
        <v>1.5331094600235615E-2</v>
      </c>
      <c r="AC1389" s="2">
        <v>1.8535004253073886E-2</v>
      </c>
      <c r="AD1389" s="2">
        <v>2.1549207853531777E-2</v>
      </c>
      <c r="AE1389" s="2">
        <v>2.411886271339702E-2</v>
      </c>
      <c r="AF1389" s="2">
        <v>2.6018950090516045E-2</v>
      </c>
      <c r="AG1389" s="2">
        <v>2.7097966034645891E-2</v>
      </c>
      <c r="AH1389" s="2">
        <v>2.7307692366190767E-2</v>
      </c>
      <c r="AI1389" s="2">
        <v>2.6707239267882737E-2</v>
      </c>
      <c r="AJ1389" s="2">
        <v>2.5508463651566768E-2</v>
      </c>
      <c r="AK1389" s="2">
        <v>2.3726009260058748E-2</v>
      </c>
      <c r="AL1389" s="2">
        <v>2.1754372420175808E-2</v>
      </c>
      <c r="AM1389" s="2">
        <v>1.9466535605867644E-2</v>
      </c>
      <c r="AN1389" s="2">
        <v>1.7085291897646113E-2</v>
      </c>
      <c r="AO1389" s="2">
        <v>1.4698768366329955E-2</v>
      </c>
      <c r="AP1389" s="2">
        <v>1.2307826968423601E-2</v>
      </c>
      <c r="AQ1389" s="2">
        <v>9.9134765119215009E-3</v>
      </c>
      <c r="AR1389" s="2">
        <v>0.37067481489239584</v>
      </c>
    </row>
    <row r="1390" spans="1:44" x14ac:dyDescent="0.25">
      <c r="A1390" t="s">
        <v>131</v>
      </c>
      <c r="B1390" t="s">
        <v>146</v>
      </c>
      <c r="C1390" t="s">
        <v>44</v>
      </c>
      <c r="D1390" t="s">
        <v>147</v>
      </c>
      <c r="E1390" t="s">
        <v>145</v>
      </c>
      <c r="F1390" t="s">
        <v>147</v>
      </c>
      <c r="G1390" t="s">
        <v>28</v>
      </c>
      <c r="H1390" t="s">
        <v>52</v>
      </c>
      <c r="I1390" t="s">
        <v>135</v>
      </c>
      <c r="J1390" t="s">
        <v>39</v>
      </c>
      <c r="K1390" t="s">
        <v>28</v>
      </c>
      <c r="L1390">
        <v>23.19</v>
      </c>
      <c r="M1390">
        <v>1</v>
      </c>
      <c r="N1390">
        <v>6.861830386345944</v>
      </c>
      <c r="O1390">
        <v>2.9515177831974366</v>
      </c>
      <c r="P1390">
        <v>-1.2870853928308228</v>
      </c>
      <c r="Q1390">
        <v>0.31315439476537577</v>
      </c>
      <c r="R1390">
        <v>-0.87220340107950334</v>
      </c>
      <c r="S1390" s="2">
        <v>0.14743991847607316</v>
      </c>
      <c r="T1390" s="2">
        <v>0.22662628522832934</v>
      </c>
      <c r="U1390" s="2">
        <v>0.49445311262199809</v>
      </c>
      <c r="V1390" s="2">
        <v>0.92954292889383416</v>
      </c>
      <c r="W1390" s="2">
        <v>1.5889507408507422</v>
      </c>
      <c r="X1390" s="2">
        <v>2.5317317205641716</v>
      </c>
      <c r="Y1390" s="2">
        <v>3.8116575920229234</v>
      </c>
      <c r="Z1390" s="2">
        <v>5.4672330593919067</v>
      </c>
      <c r="AA1390" s="2">
        <v>7.5097768137982479</v>
      </c>
      <c r="AB1390" s="2">
        <v>9.911572352567287</v>
      </c>
      <c r="AC1390" s="2">
        <v>12.597397790038123</v>
      </c>
      <c r="AD1390" s="2">
        <v>15.443580245062622</v>
      </c>
      <c r="AE1390" s="2">
        <v>18.288240148028834</v>
      </c>
      <c r="AF1390" s="2">
        <v>20.953858849385327</v>
      </c>
      <c r="AG1390" s="2">
        <v>23.278813246362109</v>
      </c>
      <c r="AH1390" s="2">
        <v>25.149560610284034</v>
      </c>
      <c r="AI1390" s="2">
        <v>43.53511904526956</v>
      </c>
      <c r="AJ1390" s="2">
        <v>34.7609891590225</v>
      </c>
      <c r="AK1390" s="2">
        <v>36.801510517093917</v>
      </c>
      <c r="AL1390" s="2">
        <v>37.317124244468957</v>
      </c>
      <c r="AM1390" s="2">
        <v>37.007898427937839</v>
      </c>
      <c r="AN1390" s="2">
        <v>36.37108686315576</v>
      </c>
      <c r="AO1390" s="2">
        <v>35.55858309517518</v>
      </c>
      <c r="AP1390" s="2">
        <v>34.695709266111493</v>
      </c>
      <c r="AQ1390" s="2">
        <v>33.766182827257175</v>
      </c>
      <c r="AR1390" s="2">
        <v>478.144638859069</v>
      </c>
    </row>
    <row r="1391" spans="1:44" x14ac:dyDescent="0.25">
      <c r="A1391" t="s">
        <v>131</v>
      </c>
      <c r="B1391" t="s">
        <v>146</v>
      </c>
      <c r="C1391" t="s">
        <v>44</v>
      </c>
      <c r="D1391" t="s">
        <v>147</v>
      </c>
      <c r="E1391" t="s">
        <v>145</v>
      </c>
      <c r="F1391" t="s">
        <v>147</v>
      </c>
      <c r="G1391" t="s">
        <v>28</v>
      </c>
      <c r="H1391" t="s">
        <v>138</v>
      </c>
      <c r="I1391" t="s">
        <v>135</v>
      </c>
      <c r="J1391" t="s">
        <v>39</v>
      </c>
      <c r="K1391" t="s">
        <v>28</v>
      </c>
      <c r="L1391">
        <v>23.19</v>
      </c>
      <c r="M1391">
        <v>1</v>
      </c>
      <c r="N1391">
        <v>6.861830386345944</v>
      </c>
      <c r="O1391">
        <v>2.9515177831974366</v>
      </c>
      <c r="P1391">
        <v>-1.2870853928308228</v>
      </c>
      <c r="Q1391">
        <v>0.31315439476537577</v>
      </c>
      <c r="R1391">
        <v>-0.87220340107950334</v>
      </c>
      <c r="S1391" s="2">
        <v>5.1144410714950836E-2</v>
      </c>
      <c r="T1391" s="2">
        <v>7.8612820261442506E-2</v>
      </c>
      <c r="U1391" s="2">
        <v>0.17151741083829464</v>
      </c>
      <c r="V1391" s="2">
        <v>0.32244269953418098</v>
      </c>
      <c r="W1391" s="2">
        <v>0.55118010194154965</v>
      </c>
      <c r="X1391" s="2">
        <v>0.87821485710883707</v>
      </c>
      <c r="Y1391" s="2">
        <v>1.322199465423721</v>
      </c>
      <c r="Z1391" s="2">
        <v>1.8964905566552788</v>
      </c>
      <c r="AA1391" s="2">
        <v>2.6050143930650802</v>
      </c>
      <c r="AB1391" s="2">
        <v>3.4381565892748185</v>
      </c>
      <c r="AC1391" s="2">
        <v>4.3698239470871654</v>
      </c>
      <c r="AD1391" s="2">
        <v>5.357116438523823</v>
      </c>
      <c r="AE1391" s="2">
        <v>6.3438807824370116</v>
      </c>
      <c r="AF1391" s="2">
        <v>7.2685387657073566</v>
      </c>
      <c r="AG1391" s="2">
        <v>8.0750260711911075</v>
      </c>
      <c r="AH1391" s="2">
        <v>8.7239566492411829</v>
      </c>
      <c r="AI1391" s="2">
        <v>15.101595497266088</v>
      </c>
      <c r="AJ1391" s="2">
        <v>12.057998436125768</v>
      </c>
      <c r="AK1391" s="2">
        <v>12.765820737497764</v>
      </c>
      <c r="AL1391" s="2">
        <v>12.944678407223181</v>
      </c>
      <c r="AM1391" s="2">
        <v>12.837413208437143</v>
      </c>
      <c r="AN1391" s="2">
        <v>12.616514061490511</v>
      </c>
      <c r="AO1391" s="2">
        <v>12.334670264732123</v>
      </c>
      <c r="AP1391" s="2">
        <v>12.035353946838349</v>
      </c>
      <c r="AQ1391" s="2">
        <v>11.712916967419609</v>
      </c>
      <c r="AR1391" s="2">
        <v>165.86027748603638</v>
      </c>
    </row>
    <row r="1392" spans="1:44" x14ac:dyDescent="0.25">
      <c r="A1392" t="s">
        <v>131</v>
      </c>
      <c r="B1392" t="s">
        <v>146</v>
      </c>
      <c r="C1392" t="s">
        <v>44</v>
      </c>
      <c r="D1392" t="s">
        <v>147</v>
      </c>
      <c r="E1392" t="s">
        <v>148</v>
      </c>
      <c r="F1392" t="s">
        <v>147</v>
      </c>
      <c r="G1392" t="s">
        <v>28</v>
      </c>
      <c r="H1392" t="s">
        <v>52</v>
      </c>
      <c r="I1392" t="s">
        <v>135</v>
      </c>
      <c r="J1392" t="s">
        <v>39</v>
      </c>
      <c r="K1392" t="s">
        <v>28</v>
      </c>
      <c r="L1392">
        <v>23.19</v>
      </c>
      <c r="M1392">
        <v>1</v>
      </c>
      <c r="N1392">
        <v>6.861830386345944</v>
      </c>
      <c r="O1392">
        <v>2.9515177831974366</v>
      </c>
      <c r="P1392">
        <v>-1.2870853928308228</v>
      </c>
      <c r="Q1392">
        <v>0.31315439476537577</v>
      </c>
      <c r="R1392">
        <v>-0.87220340107950334</v>
      </c>
      <c r="S1392" s="2">
        <v>9.2587907470892572E-2</v>
      </c>
      <c r="T1392" s="2">
        <v>5.8601282871766601E-2</v>
      </c>
      <c r="U1392" s="2">
        <v>0.15343352548974787</v>
      </c>
      <c r="V1392" s="2">
        <v>0.29301050616672331</v>
      </c>
      <c r="W1392" s="2">
        <v>0.49192013445383137</v>
      </c>
      <c r="X1392" s="2">
        <v>0.76053051180820075</v>
      </c>
      <c r="Y1392" s="2">
        <v>1.0962989430139147</v>
      </c>
      <c r="Z1392" s="2">
        <v>1.5078412719588845</v>
      </c>
      <c r="AA1392" s="2">
        <v>1.9820308655394783</v>
      </c>
      <c r="AB1392" s="2">
        <v>2.4950617268997646</v>
      </c>
      <c r="AC1392" s="2">
        <v>3.0164825751618847</v>
      </c>
      <c r="AD1392" s="2">
        <v>3.5070296780719161</v>
      </c>
      <c r="AE1392" s="2">
        <v>3.9252286168543615</v>
      </c>
      <c r="AF1392" s="2">
        <v>4.2344586761575878</v>
      </c>
      <c r="AG1392" s="2">
        <v>4.410063318560101</v>
      </c>
      <c r="AH1392" s="2">
        <v>4.444195267817916</v>
      </c>
      <c r="AI1392" s="2">
        <v>4.3464744211691562</v>
      </c>
      <c r="AJ1392" s="2">
        <v>4.151379469542869</v>
      </c>
      <c r="AK1392" s="2">
        <v>3.8612936114771186</v>
      </c>
      <c r="AL1392" s="2">
        <v>3.5404192220868147</v>
      </c>
      <c r="AM1392" s="2">
        <v>3.1680848114252691</v>
      </c>
      <c r="AN1392" s="2">
        <v>2.7805488791435149</v>
      </c>
      <c r="AO1392" s="2">
        <v>2.3921536811097752</v>
      </c>
      <c r="AP1392" s="2">
        <v>2.0030394965892357</v>
      </c>
      <c r="AQ1392" s="2">
        <v>1.6133705042192088</v>
      </c>
      <c r="AR1392" s="2">
        <v>60.325538905059929</v>
      </c>
    </row>
    <row r="1393" spans="1:44" x14ac:dyDescent="0.25">
      <c r="A1393" t="s">
        <v>131</v>
      </c>
      <c r="B1393" t="s">
        <v>146</v>
      </c>
      <c r="C1393" t="s">
        <v>44</v>
      </c>
      <c r="D1393" t="s">
        <v>147</v>
      </c>
      <c r="E1393" t="s">
        <v>148</v>
      </c>
      <c r="F1393" t="s">
        <v>147</v>
      </c>
      <c r="G1393" t="s">
        <v>28</v>
      </c>
      <c r="H1393" t="s">
        <v>138</v>
      </c>
      <c r="I1393" t="s">
        <v>135</v>
      </c>
      <c r="J1393" t="s">
        <v>39</v>
      </c>
      <c r="K1393" t="s">
        <v>28</v>
      </c>
      <c r="L1393">
        <v>23.19</v>
      </c>
      <c r="M1393">
        <v>1</v>
      </c>
      <c r="N1393">
        <v>6.861830386345944</v>
      </c>
      <c r="O1393">
        <v>2.9515177831974366</v>
      </c>
      <c r="P1393">
        <v>-1.2870853928308228</v>
      </c>
      <c r="Q1393">
        <v>0.31315439476537577</v>
      </c>
      <c r="R1393">
        <v>-0.87220340107950334</v>
      </c>
      <c r="S1393" s="2">
        <v>3.2117177056752488E-2</v>
      </c>
      <c r="T1393" s="2">
        <v>2.0327792572016549E-2</v>
      </c>
      <c r="U1393" s="2">
        <v>5.3223491481813434E-2</v>
      </c>
      <c r="V1393" s="2">
        <v>0.10164038223894212</v>
      </c>
      <c r="W1393" s="2">
        <v>0.17063876360962213</v>
      </c>
      <c r="X1393" s="2">
        <v>0.26381515439784137</v>
      </c>
      <c r="Y1393" s="2">
        <v>0.38028753669562887</v>
      </c>
      <c r="Z1393" s="2">
        <v>0.523044600831991</v>
      </c>
      <c r="AA1393" s="2">
        <v>0.68753294009255062</v>
      </c>
      <c r="AB1393" s="2">
        <v>0.86549465734020237</v>
      </c>
      <c r="AC1393" s="2">
        <v>1.0463667189534409</v>
      </c>
      <c r="AD1393" s="2">
        <v>1.2165292011738349</v>
      </c>
      <c r="AE1393" s="2">
        <v>1.361595330528184</v>
      </c>
      <c r="AF1393" s="2">
        <v>1.4688620010600215</v>
      </c>
      <c r="AG1393" s="2">
        <v>1.5297762775145558</v>
      </c>
      <c r="AH1393" s="2">
        <v>1.5416160726622092</v>
      </c>
      <c r="AI1393" s="2">
        <v>1.5077183659347899</v>
      </c>
      <c r="AJ1393" s="2">
        <v>1.4400432312933735</v>
      </c>
      <c r="AK1393" s="2">
        <v>1.339417359949566</v>
      </c>
      <c r="AL1393" s="2">
        <v>1.2281114685158823</v>
      </c>
      <c r="AM1393" s="2">
        <v>1.0989549672168875</v>
      </c>
      <c r="AN1393" s="2">
        <v>0.96452531551684062</v>
      </c>
      <c r="AO1393" s="2">
        <v>0.8297975990797487</v>
      </c>
      <c r="AP1393" s="2">
        <v>0.69482047840697547</v>
      </c>
      <c r="AQ1393" s="2">
        <v>0.55965090428725361</v>
      </c>
      <c r="AR1393" s="2">
        <v>20.925907788410928</v>
      </c>
    </row>
    <row r="1394" spans="1:44" x14ac:dyDescent="0.25">
      <c r="A1394" t="s">
        <v>131</v>
      </c>
      <c r="B1394" t="s">
        <v>155</v>
      </c>
      <c r="C1394" t="s">
        <v>44</v>
      </c>
      <c r="D1394" t="s">
        <v>152</v>
      </c>
      <c r="E1394" t="s">
        <v>145</v>
      </c>
      <c r="F1394" t="s">
        <v>153</v>
      </c>
      <c r="G1394" t="s">
        <v>28</v>
      </c>
      <c r="H1394" t="s">
        <v>55</v>
      </c>
      <c r="I1394" t="s">
        <v>135</v>
      </c>
      <c r="J1394" t="s">
        <v>39</v>
      </c>
      <c r="K1394" t="s">
        <v>28</v>
      </c>
      <c r="L1394">
        <v>24.453678733641105</v>
      </c>
      <c r="M1394">
        <v>1</v>
      </c>
      <c r="N1394">
        <v>3.1718682800283089</v>
      </c>
      <c r="O1394">
        <v>3.740315585496846</v>
      </c>
      <c r="P1394">
        <v>-1.316001647904363</v>
      </c>
      <c r="Q1394">
        <v>0.85851164137020752</v>
      </c>
      <c r="R1394">
        <v>-1.4464769027578754</v>
      </c>
      <c r="S1394" s="2">
        <v>5.0721452807682602E-2</v>
      </c>
      <c r="T1394" s="2">
        <v>5.9449769367882634E-2</v>
      </c>
      <c r="U1394" s="2">
        <v>6.7074588063360252E-2</v>
      </c>
      <c r="V1394" s="2">
        <v>7.3644846854579685E-2</v>
      </c>
      <c r="W1394" s="2">
        <v>7.9242049153807628E-2</v>
      </c>
      <c r="X1394" s="2">
        <v>8.3962826705243618E-2</v>
      </c>
      <c r="Y1394" s="2">
        <v>8.7908156658652356E-2</v>
      </c>
      <c r="Z1394" s="2">
        <v>9.1176919591977476E-2</v>
      </c>
      <c r="AA1394" s="2">
        <v>9.3861759920437618E-2</v>
      </c>
      <c r="AB1394" s="2">
        <v>9.5900285773181521E-2</v>
      </c>
      <c r="AC1394" s="2">
        <v>9.7433305911896792E-2</v>
      </c>
      <c r="AD1394" s="2">
        <v>9.8570531372935685E-2</v>
      </c>
      <c r="AE1394" s="2">
        <v>9.9397439369956667E-2</v>
      </c>
      <c r="AF1394" s="2">
        <v>9.9980624930762305E-2</v>
      </c>
      <c r="AG1394" s="2">
        <v>0.10037197251770888</v>
      </c>
      <c r="AH1394" s="2">
        <v>0.10079483889776719</v>
      </c>
      <c r="AI1394" s="2">
        <v>0.10104865211835221</v>
      </c>
      <c r="AJ1394" s="2">
        <v>0.10149324787962688</v>
      </c>
      <c r="AK1394" s="2">
        <v>0.10161891199039536</v>
      </c>
      <c r="AL1394" s="2">
        <v>0.10132694144995015</v>
      </c>
      <c r="AM1394" s="2">
        <v>0.1010251274354256</v>
      </c>
      <c r="AN1394" s="2">
        <v>0.10071363445418292</v>
      </c>
      <c r="AO1394" s="2">
        <v>0.10039260105620429</v>
      </c>
      <c r="AP1394" s="2">
        <v>0.10006213599476144</v>
      </c>
      <c r="AQ1394" s="2">
        <v>5.6579416385746713E-2</v>
      </c>
      <c r="AR1394" s="2">
        <v>2.2437520366624781</v>
      </c>
    </row>
    <row r="1395" spans="1:44" x14ac:dyDescent="0.25">
      <c r="A1395" t="s">
        <v>131</v>
      </c>
      <c r="B1395" t="s">
        <v>155</v>
      </c>
      <c r="C1395" t="s">
        <v>44</v>
      </c>
      <c r="D1395" t="s">
        <v>152</v>
      </c>
      <c r="E1395" t="s">
        <v>145</v>
      </c>
      <c r="F1395" t="s">
        <v>153</v>
      </c>
      <c r="G1395" t="s">
        <v>28</v>
      </c>
      <c r="H1395" t="s">
        <v>136</v>
      </c>
      <c r="I1395" t="s">
        <v>135</v>
      </c>
      <c r="J1395" t="s">
        <v>39</v>
      </c>
      <c r="K1395" t="s">
        <v>28</v>
      </c>
      <c r="L1395">
        <v>24.453678733641105</v>
      </c>
      <c r="M1395">
        <v>1</v>
      </c>
      <c r="N1395">
        <v>3.1718682800283089</v>
      </c>
      <c r="O1395">
        <v>3.740315585496846</v>
      </c>
      <c r="P1395">
        <v>-1.316001647904363</v>
      </c>
      <c r="Q1395">
        <v>0.85851164137020752</v>
      </c>
      <c r="R1395">
        <v>-1.4464769027578754</v>
      </c>
      <c r="S1395" s="2">
        <v>6.3683601858534833E-2</v>
      </c>
      <c r="T1395" s="2">
        <v>7.464248820634152E-2</v>
      </c>
      <c r="U1395" s="2">
        <v>8.4215871679552287E-2</v>
      </c>
      <c r="V1395" s="2">
        <v>9.2465196606305616E-2</v>
      </c>
      <c r="W1395" s="2">
        <v>9.9492795048669536E-2</v>
      </c>
      <c r="X1395" s="2">
        <v>0.105419993529917</v>
      </c>
      <c r="Y1395" s="2">
        <v>0.11037357447141906</v>
      </c>
      <c r="Z1395" s="2">
        <v>0.11447768793214948</v>
      </c>
      <c r="AA1395" s="2">
        <v>0.11784865412232724</v>
      </c>
      <c r="AB1395" s="2">
        <v>0.12040813658188343</v>
      </c>
      <c r="AC1395" s="2">
        <v>0.12233292853382592</v>
      </c>
      <c r="AD1395" s="2">
        <v>0.12376077827935258</v>
      </c>
      <c r="AE1395" s="2">
        <v>0.12479900720894559</v>
      </c>
      <c r="AF1395" s="2">
        <v>0.12553122907973488</v>
      </c>
      <c r="AG1395" s="2">
        <v>0.12602258771667896</v>
      </c>
      <c r="AH1395" s="2">
        <v>0.12655351994941882</v>
      </c>
      <c r="AI1395" s="2">
        <v>0.12687219654859777</v>
      </c>
      <c r="AJ1395" s="2">
        <v>0.12743041122664267</v>
      </c>
      <c r="AK1395" s="2">
        <v>0.1275881894990519</v>
      </c>
      <c r="AL1395" s="2">
        <v>0.12722160426493737</v>
      </c>
      <c r="AM1395" s="2">
        <v>0.12684266000225661</v>
      </c>
      <c r="AN1395" s="2">
        <v>0.12645156325914081</v>
      </c>
      <c r="AO1395" s="2">
        <v>0.12604848799278986</v>
      </c>
      <c r="AP1395" s="2">
        <v>0.12563357074897818</v>
      </c>
      <c r="AQ1395" s="2">
        <v>7.1038600573214816E-2</v>
      </c>
      <c r="AR1395" s="2">
        <v>2.8171553349206664</v>
      </c>
    </row>
    <row r="1396" spans="1:44" x14ac:dyDescent="0.25">
      <c r="A1396" t="s">
        <v>131</v>
      </c>
      <c r="B1396" t="s">
        <v>159</v>
      </c>
      <c r="C1396" t="s">
        <v>44</v>
      </c>
      <c r="D1396" t="s">
        <v>152</v>
      </c>
      <c r="E1396" t="s">
        <v>145</v>
      </c>
      <c r="F1396" t="s">
        <v>157</v>
      </c>
      <c r="G1396" t="s">
        <v>28</v>
      </c>
      <c r="H1396" t="s">
        <v>55</v>
      </c>
      <c r="I1396" t="s">
        <v>135</v>
      </c>
      <c r="J1396" t="s">
        <v>39</v>
      </c>
      <c r="K1396" t="s">
        <v>28</v>
      </c>
      <c r="L1396">
        <v>119.94727665486228</v>
      </c>
      <c r="M1396">
        <v>1</v>
      </c>
      <c r="N1396">
        <v>5.4884367997925141</v>
      </c>
      <c r="O1396">
        <v>3.7403155854968446</v>
      </c>
      <c r="P1396">
        <v>-1.6783636673275446</v>
      </c>
      <c r="Q1396">
        <v>0.49614962194702583</v>
      </c>
      <c r="R1396">
        <v>-1.446476902757875</v>
      </c>
      <c r="S1396" s="2">
        <v>0</v>
      </c>
      <c r="T1396" s="2">
        <v>0</v>
      </c>
      <c r="U1396" s="2">
        <v>5.5921228900893301E-3</v>
      </c>
      <c r="V1396" s="2">
        <v>8.9126654164149079E-3</v>
      </c>
      <c r="W1396" s="2">
        <v>1.3422247226298117E-2</v>
      </c>
      <c r="X1396" s="2">
        <v>1.9257393383310131E-2</v>
      </c>
      <c r="Y1396" s="2">
        <v>2.6458921486945824E-2</v>
      </c>
      <c r="Z1396" s="2">
        <v>3.4930110943271073E-2</v>
      </c>
      <c r="AA1396" s="2">
        <v>4.4406636125771774E-2</v>
      </c>
      <c r="AB1396" s="2">
        <v>5.4453037016011917E-2</v>
      </c>
      <c r="AC1396" s="2">
        <v>6.4498671127463769E-2</v>
      </c>
      <c r="AD1396" s="2">
        <v>7.3917186275970201E-2</v>
      </c>
      <c r="AE1396" s="2">
        <v>8.2137752385831514E-2</v>
      </c>
      <c r="AF1396" s="2">
        <v>8.8758738889878827E-2</v>
      </c>
      <c r="AG1396" s="2">
        <v>9.362506071229619E-2</v>
      </c>
      <c r="AH1396" s="2">
        <v>9.7104299111087922E-2</v>
      </c>
      <c r="AI1396" s="2">
        <v>9.8874508398266031E-2</v>
      </c>
      <c r="AJ1396" s="2">
        <v>0.10022156469342132</v>
      </c>
      <c r="AK1396" s="2">
        <v>0.10034565426657163</v>
      </c>
      <c r="AL1396" s="2">
        <v>0.1000573420387227</v>
      </c>
      <c r="AM1396" s="2">
        <v>9.9759309672885627E-2</v>
      </c>
      <c r="AN1396" s="2">
        <v>9.9451719615188505E-2</v>
      </c>
      <c r="AO1396" s="2">
        <v>9.913470867961946E-2</v>
      </c>
      <c r="AP1396" s="2">
        <v>9.8808384256800802E-2</v>
      </c>
      <c r="AQ1396" s="2">
        <v>9.84728188968646E-2</v>
      </c>
      <c r="AR1396" s="2">
        <v>1.6026008535089822</v>
      </c>
    </row>
    <row r="1397" spans="1:44" x14ac:dyDescent="0.25">
      <c r="A1397" t="s">
        <v>131</v>
      </c>
      <c r="B1397" t="s">
        <v>159</v>
      </c>
      <c r="C1397" t="s">
        <v>44</v>
      </c>
      <c r="D1397" t="s">
        <v>152</v>
      </c>
      <c r="E1397" t="s">
        <v>145</v>
      </c>
      <c r="F1397" t="s">
        <v>157</v>
      </c>
      <c r="G1397" t="s">
        <v>28</v>
      </c>
      <c r="H1397" t="s">
        <v>136</v>
      </c>
      <c r="I1397" t="s">
        <v>135</v>
      </c>
      <c r="J1397" t="s">
        <v>39</v>
      </c>
      <c r="K1397" t="s">
        <v>28</v>
      </c>
      <c r="L1397">
        <v>119.94727665486228</v>
      </c>
      <c r="M1397">
        <v>1</v>
      </c>
      <c r="N1397">
        <v>5.4884367997925141</v>
      </c>
      <c r="O1397">
        <v>3.7403155854968446</v>
      </c>
      <c r="P1397">
        <v>-1.6783636673275446</v>
      </c>
      <c r="Q1397">
        <v>0.49614962194702583</v>
      </c>
      <c r="R1397">
        <v>-1.446476902757875</v>
      </c>
      <c r="S1397" s="2">
        <v>0</v>
      </c>
      <c r="T1397" s="2">
        <v>0</v>
      </c>
      <c r="U1397" s="2">
        <v>7.0212209620010464E-3</v>
      </c>
      <c r="V1397" s="2">
        <v>1.1190346578387607E-2</v>
      </c>
      <c r="W1397" s="2">
        <v>1.6852377073018742E-2</v>
      </c>
      <c r="X1397" s="2">
        <v>2.4178727247933834E-2</v>
      </c>
      <c r="Y1397" s="2">
        <v>3.3220645866943094E-2</v>
      </c>
      <c r="Z1397" s="2">
        <v>4.38566948509959E-2</v>
      </c>
      <c r="AA1397" s="2">
        <v>5.5754998691246796E-2</v>
      </c>
      <c r="AB1397" s="2">
        <v>6.8368813142326068E-2</v>
      </c>
      <c r="AC1397" s="2">
        <v>8.09816648600378E-2</v>
      </c>
      <c r="AD1397" s="2">
        <v>9.2807133879829251E-2</v>
      </c>
      <c r="AE1397" s="2">
        <v>0.10312851132887732</v>
      </c>
      <c r="AF1397" s="2">
        <v>0.11144152771729227</v>
      </c>
      <c r="AG1397" s="2">
        <v>0.11755146511654968</v>
      </c>
      <c r="AH1397" s="2">
        <v>0.12191984221725483</v>
      </c>
      <c r="AI1397" s="2">
        <v>0.12414243832226739</v>
      </c>
      <c r="AJ1397" s="2">
        <v>0.12583374233729563</v>
      </c>
      <c r="AK1397" s="2">
        <v>0.12598954369025103</v>
      </c>
      <c r="AL1397" s="2">
        <v>0.12562755167084072</v>
      </c>
      <c r="AM1397" s="2">
        <v>0.12525335547817862</v>
      </c>
      <c r="AN1397" s="2">
        <v>0.12486715907240338</v>
      </c>
      <c r="AO1397" s="2">
        <v>0.12446913423107778</v>
      </c>
      <c r="AP1397" s="2">
        <v>0.12405941578909428</v>
      </c>
      <c r="AQ1397" s="2">
        <v>0.12363809483717443</v>
      </c>
      <c r="AR1397" s="2">
        <v>2.0121544049612776</v>
      </c>
    </row>
    <row r="1398" spans="1:44" x14ac:dyDescent="0.25">
      <c r="A1398" t="s">
        <v>131</v>
      </c>
      <c r="B1398" t="s">
        <v>154</v>
      </c>
      <c r="C1398" t="s">
        <v>44</v>
      </c>
      <c r="D1398" t="s">
        <v>152</v>
      </c>
      <c r="E1398" t="s">
        <v>145</v>
      </c>
      <c r="F1398" t="s">
        <v>153</v>
      </c>
      <c r="G1398" t="s">
        <v>28</v>
      </c>
      <c r="H1398" t="s">
        <v>54</v>
      </c>
      <c r="I1398" t="s">
        <v>135</v>
      </c>
      <c r="J1398" t="s">
        <v>39</v>
      </c>
      <c r="K1398" t="s">
        <v>28</v>
      </c>
      <c r="L1398">
        <v>24.453678733641105</v>
      </c>
      <c r="M1398">
        <v>1</v>
      </c>
      <c r="N1398">
        <v>3.1718682800283089</v>
      </c>
      <c r="O1398">
        <v>3.740315585496846</v>
      </c>
      <c r="P1398">
        <v>-1.316001647904363</v>
      </c>
      <c r="Q1398">
        <v>0.85851164137020752</v>
      </c>
      <c r="R1398">
        <v>-1.4464769027578754</v>
      </c>
      <c r="S1398" s="2">
        <v>0</v>
      </c>
      <c r="T1398" s="2">
        <v>0</v>
      </c>
      <c r="U1398" s="2">
        <v>0</v>
      </c>
      <c r="V1398" s="2">
        <v>0</v>
      </c>
      <c r="W1398" s="2">
        <v>0</v>
      </c>
      <c r="X1398" s="2">
        <v>0</v>
      </c>
      <c r="Y1398" s="2">
        <v>0</v>
      </c>
      <c r="Z1398" s="2">
        <v>0</v>
      </c>
      <c r="AA1398" s="2">
        <v>0</v>
      </c>
      <c r="AB1398" s="2">
        <v>0</v>
      </c>
      <c r="AC1398" s="2">
        <v>0</v>
      </c>
      <c r="AD1398" s="2">
        <v>0</v>
      </c>
      <c r="AE1398" s="2">
        <v>0</v>
      </c>
      <c r="AF1398" s="2">
        <v>0</v>
      </c>
      <c r="AG1398" s="2">
        <v>0</v>
      </c>
      <c r="AH1398" s="2">
        <v>0</v>
      </c>
      <c r="AI1398" s="2">
        <v>0</v>
      </c>
      <c r="AJ1398" s="2">
        <v>0</v>
      </c>
      <c r="AK1398" s="2">
        <v>0</v>
      </c>
      <c r="AL1398" s="2">
        <v>0</v>
      </c>
      <c r="AM1398" s="2">
        <v>0</v>
      </c>
      <c r="AN1398" s="2">
        <v>0</v>
      </c>
      <c r="AO1398" s="2">
        <v>0</v>
      </c>
      <c r="AP1398" s="2">
        <v>0</v>
      </c>
      <c r="AQ1398" s="2">
        <v>0</v>
      </c>
      <c r="AR1398" s="2">
        <v>0</v>
      </c>
    </row>
    <row r="1399" spans="1:44" x14ac:dyDescent="0.25">
      <c r="A1399" t="s">
        <v>131</v>
      </c>
      <c r="B1399" t="s">
        <v>154</v>
      </c>
      <c r="C1399" t="s">
        <v>44</v>
      </c>
      <c r="D1399" t="s">
        <v>152</v>
      </c>
      <c r="E1399" t="s">
        <v>145</v>
      </c>
      <c r="F1399" t="s">
        <v>153</v>
      </c>
      <c r="G1399" t="s">
        <v>28</v>
      </c>
      <c r="H1399" t="s">
        <v>142</v>
      </c>
      <c r="I1399" t="s">
        <v>135</v>
      </c>
      <c r="J1399" t="s">
        <v>39</v>
      </c>
      <c r="K1399" t="s">
        <v>28</v>
      </c>
      <c r="L1399">
        <v>24.453678733641105</v>
      </c>
      <c r="M1399">
        <v>1</v>
      </c>
      <c r="N1399">
        <v>3.1718682800283089</v>
      </c>
      <c r="O1399">
        <v>3.740315585496846</v>
      </c>
      <c r="P1399">
        <v>-1.316001647904363</v>
      </c>
      <c r="Q1399">
        <v>0.85851164137020752</v>
      </c>
      <c r="R1399">
        <v>-1.4464769027578754</v>
      </c>
      <c r="S1399" s="2">
        <v>0</v>
      </c>
      <c r="T1399" s="2">
        <v>0</v>
      </c>
      <c r="U1399" s="2">
        <v>0</v>
      </c>
      <c r="V1399" s="2">
        <v>0</v>
      </c>
      <c r="W1399" s="2">
        <v>0</v>
      </c>
      <c r="X1399" s="2">
        <v>0</v>
      </c>
      <c r="Y1399" s="2">
        <v>0</v>
      </c>
      <c r="Z1399" s="2">
        <v>0</v>
      </c>
      <c r="AA1399" s="2">
        <v>0</v>
      </c>
      <c r="AB1399" s="2">
        <v>0</v>
      </c>
      <c r="AC1399" s="2">
        <v>0</v>
      </c>
      <c r="AD1399" s="2">
        <v>0</v>
      </c>
      <c r="AE1399" s="2">
        <v>0</v>
      </c>
      <c r="AF1399" s="2">
        <v>0</v>
      </c>
      <c r="AG1399" s="2">
        <v>0</v>
      </c>
      <c r="AH1399" s="2">
        <v>0</v>
      </c>
      <c r="AI1399" s="2">
        <v>0</v>
      </c>
      <c r="AJ1399" s="2">
        <v>0</v>
      </c>
      <c r="AK1399" s="2">
        <v>0</v>
      </c>
      <c r="AL1399" s="2">
        <v>0</v>
      </c>
      <c r="AM1399" s="2">
        <v>0</v>
      </c>
      <c r="AN1399" s="2">
        <v>0</v>
      </c>
      <c r="AO1399" s="2">
        <v>0</v>
      </c>
      <c r="AP1399" s="2">
        <v>0</v>
      </c>
      <c r="AQ1399" s="2">
        <v>0</v>
      </c>
      <c r="AR1399" s="2">
        <v>0</v>
      </c>
    </row>
    <row r="1400" spans="1:44" x14ac:dyDescent="0.25">
      <c r="A1400" t="s">
        <v>131</v>
      </c>
      <c r="B1400" t="s">
        <v>154</v>
      </c>
      <c r="C1400" t="s">
        <v>44</v>
      </c>
      <c r="D1400" t="s">
        <v>152</v>
      </c>
      <c r="E1400" t="s">
        <v>145</v>
      </c>
      <c r="F1400" t="s">
        <v>153</v>
      </c>
      <c r="G1400" t="s">
        <v>28</v>
      </c>
      <c r="H1400" t="s">
        <v>53</v>
      </c>
      <c r="I1400" t="s">
        <v>135</v>
      </c>
      <c r="J1400" t="s">
        <v>39</v>
      </c>
      <c r="K1400" t="s">
        <v>28</v>
      </c>
      <c r="L1400">
        <v>24.453678733641105</v>
      </c>
      <c r="M1400">
        <v>1</v>
      </c>
      <c r="N1400">
        <v>3.1718682800283089</v>
      </c>
      <c r="O1400">
        <v>3.740315585496846</v>
      </c>
      <c r="P1400">
        <v>-1.316001647904363</v>
      </c>
      <c r="Q1400">
        <v>0.85851164137020752</v>
      </c>
      <c r="R1400">
        <v>-1.4464769027578754</v>
      </c>
      <c r="S1400" s="2">
        <v>0.78987572465364742</v>
      </c>
      <c r="T1400" s="2">
        <v>0.92580017055102859</v>
      </c>
      <c r="U1400" s="2">
        <v>1.0445400500114772</v>
      </c>
      <c r="V1400" s="2">
        <v>1.1468574647660168</v>
      </c>
      <c r="W1400" s="2">
        <v>1.2340216522528953</v>
      </c>
      <c r="X1400" s="2">
        <v>1.3075374406020097</v>
      </c>
      <c r="Y1400" s="2">
        <v>1.3689773281336706</v>
      </c>
      <c r="Z1400" s="2">
        <v>1.4198811636462465</v>
      </c>
      <c r="AA1400" s="2">
        <v>1.4616916813390795</v>
      </c>
      <c r="AB1400" s="2">
        <v>1.49343726424394</v>
      </c>
      <c r="AC1400" s="2">
        <v>1.5173107009447311</v>
      </c>
      <c r="AD1400" s="2">
        <v>1.5350205009486579</v>
      </c>
      <c r="AE1400" s="2">
        <v>1.5478977849619016</v>
      </c>
      <c r="AF1400" s="2">
        <v>1.5569796249319723</v>
      </c>
      <c r="AG1400" s="2">
        <v>1.5630740079143159</v>
      </c>
      <c r="AH1400" s="2">
        <v>1.5696592271833045</v>
      </c>
      <c r="AI1400" s="2">
        <v>1.5736118131294599</v>
      </c>
      <c r="AJ1400" s="2">
        <v>1.580535419999443</v>
      </c>
      <c r="AK1400" s="2">
        <v>1.5824923637591686</v>
      </c>
      <c r="AL1400" s="2">
        <v>1.577945560987448</v>
      </c>
      <c r="AM1400" s="2">
        <v>1.5732454676297691</v>
      </c>
      <c r="AN1400" s="2">
        <v>1.5683946455285867</v>
      </c>
      <c r="AO1400" s="2">
        <v>1.5633952522969323</v>
      </c>
      <c r="AP1400" s="2">
        <v>1.5582489815292242</v>
      </c>
      <c r="AQ1400" s="2">
        <v>0.88110069890194842</v>
      </c>
      <c r="AR1400" s="2">
        <v>34.941531990846862</v>
      </c>
    </row>
    <row r="1401" spans="1:44" x14ac:dyDescent="0.25">
      <c r="A1401" t="s">
        <v>131</v>
      </c>
      <c r="B1401" t="s">
        <v>154</v>
      </c>
      <c r="C1401" t="s">
        <v>44</v>
      </c>
      <c r="D1401" t="s">
        <v>152</v>
      </c>
      <c r="E1401" t="s">
        <v>145</v>
      </c>
      <c r="F1401" t="s">
        <v>153</v>
      </c>
      <c r="G1401" t="s">
        <v>28</v>
      </c>
      <c r="H1401" t="s">
        <v>141</v>
      </c>
      <c r="I1401" t="s">
        <v>135</v>
      </c>
      <c r="J1401" t="s">
        <v>39</v>
      </c>
      <c r="K1401" t="s">
        <v>28</v>
      </c>
      <c r="L1401">
        <v>24.453678733641105</v>
      </c>
      <c r="M1401">
        <v>1</v>
      </c>
      <c r="N1401">
        <v>3.1718682800283089</v>
      </c>
      <c r="O1401">
        <v>3.740315585496846</v>
      </c>
      <c r="P1401">
        <v>-1.316001647904363</v>
      </c>
      <c r="Q1401">
        <v>0.85851164137020752</v>
      </c>
      <c r="R1401">
        <v>-1.4464769027578754</v>
      </c>
      <c r="S1401" s="2">
        <v>0.66481206825015327</v>
      </c>
      <c r="T1401" s="2">
        <v>0.77921514354711563</v>
      </c>
      <c r="U1401" s="2">
        <v>0.87915454209299315</v>
      </c>
      <c r="V1401" s="2">
        <v>0.96527169951139702</v>
      </c>
      <c r="W1401" s="2">
        <v>1.0386348906461869</v>
      </c>
      <c r="X1401" s="2">
        <v>1.1005106791733579</v>
      </c>
      <c r="Y1401" s="2">
        <v>1.1522225845125058</v>
      </c>
      <c r="Z1401" s="2">
        <v>1.1950666460689241</v>
      </c>
      <c r="AA1401" s="2">
        <v>1.2302571651270582</v>
      </c>
      <c r="AB1401" s="2">
        <v>1.2569763640719829</v>
      </c>
      <c r="AC1401" s="2">
        <v>1.2770698399618152</v>
      </c>
      <c r="AD1401" s="2">
        <v>1.2919755882984536</v>
      </c>
      <c r="AE1401" s="2">
        <v>1.3028139690096001</v>
      </c>
      <c r="AF1401" s="2">
        <v>1.3104578509844098</v>
      </c>
      <c r="AG1401" s="2">
        <v>1.3155872899945491</v>
      </c>
      <c r="AH1401" s="2">
        <v>1.3211298495459476</v>
      </c>
      <c r="AI1401" s="2">
        <v>1.3244566093839623</v>
      </c>
      <c r="AJ1401" s="2">
        <v>1.3302839784995311</v>
      </c>
      <c r="AK1401" s="2">
        <v>1.3319310728306331</v>
      </c>
      <c r="AL1401" s="2">
        <v>1.3281041804977682</v>
      </c>
      <c r="AM1401" s="2">
        <v>1.3241482685883885</v>
      </c>
      <c r="AN1401" s="2">
        <v>1.3200654933198936</v>
      </c>
      <c r="AO1401" s="2">
        <v>1.3158576706832512</v>
      </c>
      <c r="AP1401" s="2">
        <v>1.3115262261204303</v>
      </c>
      <c r="AQ1401" s="2">
        <v>0.74159308824247983</v>
      </c>
      <c r="AR1401" s="2">
        <v>29.409122758962788</v>
      </c>
    </row>
    <row r="1402" spans="1:44" x14ac:dyDescent="0.25">
      <c r="A1402" t="s">
        <v>131</v>
      </c>
      <c r="B1402" t="s">
        <v>158</v>
      </c>
      <c r="C1402" t="s">
        <v>44</v>
      </c>
      <c r="D1402" t="s">
        <v>152</v>
      </c>
      <c r="E1402" t="s">
        <v>145</v>
      </c>
      <c r="F1402" t="s">
        <v>157</v>
      </c>
      <c r="G1402" t="s">
        <v>28</v>
      </c>
      <c r="H1402" t="s">
        <v>54</v>
      </c>
      <c r="I1402" t="s">
        <v>135</v>
      </c>
      <c r="J1402" t="s">
        <v>39</v>
      </c>
      <c r="K1402" t="s">
        <v>28</v>
      </c>
      <c r="L1402">
        <v>119.94727665486228</v>
      </c>
      <c r="M1402">
        <v>1</v>
      </c>
      <c r="N1402">
        <v>5.4884367997925141</v>
      </c>
      <c r="O1402">
        <v>3.7403155854968446</v>
      </c>
      <c r="P1402">
        <v>-1.6783636673275446</v>
      </c>
      <c r="Q1402">
        <v>0.49614962194702583</v>
      </c>
      <c r="R1402">
        <v>-1.446476902757875</v>
      </c>
      <c r="S1402" s="2">
        <v>0</v>
      </c>
      <c r="T1402" s="2">
        <v>0</v>
      </c>
      <c r="U1402" s="2">
        <v>0</v>
      </c>
      <c r="V1402" s="2">
        <v>0</v>
      </c>
      <c r="W1402" s="2">
        <v>0</v>
      </c>
      <c r="X1402" s="2">
        <v>0</v>
      </c>
      <c r="Y1402" s="2">
        <v>0</v>
      </c>
      <c r="Z1402" s="2">
        <v>0</v>
      </c>
      <c r="AA1402" s="2">
        <v>0</v>
      </c>
      <c r="AB1402" s="2">
        <v>0</v>
      </c>
      <c r="AC1402" s="2">
        <v>0</v>
      </c>
      <c r="AD1402" s="2">
        <v>0</v>
      </c>
      <c r="AE1402" s="2">
        <v>0</v>
      </c>
      <c r="AF1402" s="2">
        <v>0</v>
      </c>
      <c r="AG1402" s="2">
        <v>0</v>
      </c>
      <c r="AH1402" s="2">
        <v>0</v>
      </c>
      <c r="AI1402" s="2">
        <v>0</v>
      </c>
      <c r="AJ1402" s="2">
        <v>0</v>
      </c>
      <c r="AK1402" s="2">
        <v>0</v>
      </c>
      <c r="AL1402" s="2">
        <v>0</v>
      </c>
      <c r="AM1402" s="2">
        <v>0</v>
      </c>
      <c r="AN1402" s="2">
        <v>0</v>
      </c>
      <c r="AO1402" s="2">
        <v>0</v>
      </c>
      <c r="AP1402" s="2">
        <v>0</v>
      </c>
      <c r="AQ1402" s="2">
        <v>0</v>
      </c>
      <c r="AR1402" s="2">
        <v>0</v>
      </c>
    </row>
    <row r="1403" spans="1:44" x14ac:dyDescent="0.25">
      <c r="A1403" t="s">
        <v>131</v>
      </c>
      <c r="B1403" t="s">
        <v>158</v>
      </c>
      <c r="C1403" t="s">
        <v>44</v>
      </c>
      <c r="D1403" t="s">
        <v>152</v>
      </c>
      <c r="E1403" t="s">
        <v>145</v>
      </c>
      <c r="F1403" t="s">
        <v>157</v>
      </c>
      <c r="G1403" t="s">
        <v>28</v>
      </c>
      <c r="H1403" t="s">
        <v>142</v>
      </c>
      <c r="I1403" t="s">
        <v>135</v>
      </c>
      <c r="J1403" t="s">
        <v>39</v>
      </c>
      <c r="K1403" t="s">
        <v>28</v>
      </c>
      <c r="L1403">
        <v>119.94727665486228</v>
      </c>
      <c r="M1403">
        <v>1</v>
      </c>
      <c r="N1403">
        <v>5.4884367997925141</v>
      </c>
      <c r="O1403">
        <v>3.7403155854968446</v>
      </c>
      <c r="P1403">
        <v>-1.6783636673275446</v>
      </c>
      <c r="Q1403">
        <v>0.49614962194702583</v>
      </c>
      <c r="R1403">
        <v>-1.446476902757875</v>
      </c>
      <c r="S1403" s="2">
        <v>0</v>
      </c>
      <c r="T1403" s="2">
        <v>0</v>
      </c>
      <c r="U1403" s="2">
        <v>0</v>
      </c>
      <c r="V1403" s="2">
        <v>0</v>
      </c>
      <c r="W1403" s="2">
        <v>0</v>
      </c>
      <c r="X1403" s="2">
        <v>0</v>
      </c>
      <c r="Y1403" s="2">
        <v>0</v>
      </c>
      <c r="Z1403" s="2">
        <v>0</v>
      </c>
      <c r="AA1403" s="2">
        <v>0</v>
      </c>
      <c r="AB1403" s="2">
        <v>0</v>
      </c>
      <c r="AC1403" s="2">
        <v>0</v>
      </c>
      <c r="AD1403" s="2">
        <v>0</v>
      </c>
      <c r="AE1403" s="2">
        <v>0</v>
      </c>
      <c r="AF1403" s="2">
        <v>0</v>
      </c>
      <c r="AG1403" s="2">
        <v>0</v>
      </c>
      <c r="AH1403" s="2">
        <v>0</v>
      </c>
      <c r="AI1403" s="2">
        <v>0</v>
      </c>
      <c r="AJ1403" s="2">
        <v>0</v>
      </c>
      <c r="AK1403" s="2">
        <v>0</v>
      </c>
      <c r="AL1403" s="2">
        <v>0</v>
      </c>
      <c r="AM1403" s="2">
        <v>0</v>
      </c>
      <c r="AN1403" s="2">
        <v>0</v>
      </c>
      <c r="AO1403" s="2">
        <v>0</v>
      </c>
      <c r="AP1403" s="2">
        <v>0</v>
      </c>
      <c r="AQ1403" s="2">
        <v>0</v>
      </c>
      <c r="AR1403" s="2">
        <v>0</v>
      </c>
    </row>
    <row r="1404" spans="1:44" x14ac:dyDescent="0.25">
      <c r="A1404" t="s">
        <v>131</v>
      </c>
      <c r="B1404" t="s">
        <v>158</v>
      </c>
      <c r="C1404" t="s">
        <v>44</v>
      </c>
      <c r="D1404" t="s">
        <v>152</v>
      </c>
      <c r="E1404" t="s">
        <v>145</v>
      </c>
      <c r="F1404" t="s">
        <v>157</v>
      </c>
      <c r="G1404" t="s">
        <v>28</v>
      </c>
      <c r="H1404" t="s">
        <v>53</v>
      </c>
      <c r="I1404" t="s">
        <v>135</v>
      </c>
      <c r="J1404" t="s">
        <v>39</v>
      </c>
      <c r="K1404" t="s">
        <v>28</v>
      </c>
      <c r="L1404">
        <v>119.94727665486228</v>
      </c>
      <c r="M1404">
        <v>1</v>
      </c>
      <c r="N1404">
        <v>5.4884367997925141</v>
      </c>
      <c r="O1404">
        <v>3.7403155854968446</v>
      </c>
      <c r="P1404">
        <v>-1.6783636673275446</v>
      </c>
      <c r="Q1404">
        <v>0.49614962194702583</v>
      </c>
      <c r="R1404">
        <v>-1.446476902757875</v>
      </c>
      <c r="S1404" s="2">
        <v>0</v>
      </c>
      <c r="T1404" s="2">
        <v>0</v>
      </c>
      <c r="U1404" s="2">
        <v>8.7085086795710198E-2</v>
      </c>
      <c r="V1404" s="2">
        <v>0.13879527625281113</v>
      </c>
      <c r="W1404" s="2">
        <v>0.20902215270826788</v>
      </c>
      <c r="X1404" s="2">
        <v>0.29989179551415551</v>
      </c>
      <c r="Y1404" s="2">
        <v>0.41203984953462847</v>
      </c>
      <c r="Z1404" s="2">
        <v>0.54396010299944553</v>
      </c>
      <c r="AA1404" s="2">
        <v>0.69153626222555742</v>
      </c>
      <c r="AB1404" s="2">
        <v>0.84798698956232477</v>
      </c>
      <c r="AC1404" s="2">
        <v>1.0044257759960322</v>
      </c>
      <c r="AD1404" s="2">
        <v>1.1510985557820457</v>
      </c>
      <c r="AE1404" s="2">
        <v>1.2791158986154587</v>
      </c>
      <c r="AF1404" s="2">
        <v>1.3822232865807784</v>
      </c>
      <c r="AG1404" s="2">
        <v>1.4580056087168192</v>
      </c>
      <c r="AH1404" s="2">
        <v>1.5121871393978989</v>
      </c>
      <c r="AI1404" s="2">
        <v>1.5397542784701985</v>
      </c>
      <c r="AJ1404" s="2">
        <v>1.5607317349188408</v>
      </c>
      <c r="AK1404" s="2">
        <v>1.5626641586979011</v>
      </c>
      <c r="AL1404" s="2">
        <v>1.5581743261459406</v>
      </c>
      <c r="AM1404" s="2">
        <v>1.5535331236979668</v>
      </c>
      <c r="AN1404" s="2">
        <v>1.5487430810972358</v>
      </c>
      <c r="AO1404" s="2">
        <v>1.5438063289224671</v>
      </c>
      <c r="AP1404" s="2">
        <v>1.5387245395477942</v>
      </c>
      <c r="AQ1404" s="2">
        <v>1.5334988427828915</v>
      </c>
      <c r="AR1404" s="2">
        <v>24.957004194963169</v>
      </c>
    </row>
    <row r="1405" spans="1:44" x14ac:dyDescent="0.25">
      <c r="A1405" t="s">
        <v>131</v>
      </c>
      <c r="B1405" t="s">
        <v>158</v>
      </c>
      <c r="C1405" t="s">
        <v>44</v>
      </c>
      <c r="D1405" t="s">
        <v>152</v>
      </c>
      <c r="E1405" t="s">
        <v>145</v>
      </c>
      <c r="F1405" t="s">
        <v>157</v>
      </c>
      <c r="G1405" t="s">
        <v>28</v>
      </c>
      <c r="H1405" t="s">
        <v>141</v>
      </c>
      <c r="I1405" t="s">
        <v>135</v>
      </c>
      <c r="J1405" t="s">
        <v>39</v>
      </c>
      <c r="K1405" t="s">
        <v>28</v>
      </c>
      <c r="L1405">
        <v>119.94727665486228</v>
      </c>
      <c r="M1405">
        <v>1</v>
      </c>
      <c r="N1405">
        <v>5.4884367997925141</v>
      </c>
      <c r="O1405">
        <v>3.7403155854968446</v>
      </c>
      <c r="P1405">
        <v>-1.6783636673275446</v>
      </c>
      <c r="Q1405">
        <v>0.49614962194702583</v>
      </c>
      <c r="R1405">
        <v>-1.446476902757875</v>
      </c>
      <c r="S1405" s="2">
        <v>0</v>
      </c>
      <c r="T1405" s="2">
        <v>0</v>
      </c>
      <c r="U1405" s="2">
        <v>7.329661471972275E-2</v>
      </c>
      <c r="V1405" s="2">
        <v>0.11681935751278268</v>
      </c>
      <c r="W1405" s="2">
        <v>0.17592697852945877</v>
      </c>
      <c r="X1405" s="2">
        <v>0.25240892789108088</v>
      </c>
      <c r="Y1405" s="2">
        <v>0.34680020669164557</v>
      </c>
      <c r="Z1405" s="2">
        <v>0.45783308669119993</v>
      </c>
      <c r="AA1405" s="2">
        <v>0.58204302070651059</v>
      </c>
      <c r="AB1405" s="2">
        <v>0.71372238288162326</v>
      </c>
      <c r="AC1405" s="2">
        <v>0.84539169479666032</v>
      </c>
      <c r="AD1405" s="2">
        <v>0.96884128444988804</v>
      </c>
      <c r="AE1405" s="2">
        <v>1.0765892146680109</v>
      </c>
      <c r="AF1405" s="2">
        <v>1.1633712662054883</v>
      </c>
      <c r="AG1405" s="2">
        <v>1.2271547206699893</v>
      </c>
      <c r="AH1405" s="2">
        <v>1.2727575089932315</v>
      </c>
      <c r="AI1405" s="2">
        <v>1.2959598510457502</v>
      </c>
      <c r="AJ1405" s="2">
        <v>1.3136158768900239</v>
      </c>
      <c r="AK1405" s="2">
        <v>1.3152423335707337</v>
      </c>
      <c r="AL1405" s="2">
        <v>1.3114633911728328</v>
      </c>
      <c r="AM1405" s="2">
        <v>1.3075570457791221</v>
      </c>
      <c r="AN1405" s="2">
        <v>1.3035254265901732</v>
      </c>
      <c r="AO1405" s="2">
        <v>1.2993703268430761</v>
      </c>
      <c r="AP1405" s="2">
        <v>1.2950931541193933</v>
      </c>
      <c r="AQ1405" s="2">
        <v>1.2906948593422667</v>
      </c>
      <c r="AR1405" s="2">
        <v>21.005478530760666</v>
      </c>
    </row>
    <row r="1406" spans="1:44" x14ac:dyDescent="0.25">
      <c r="A1406" t="s">
        <v>131</v>
      </c>
      <c r="B1406" t="s">
        <v>151</v>
      </c>
      <c r="C1406" t="s">
        <v>44</v>
      </c>
      <c r="D1406" t="s">
        <v>152</v>
      </c>
      <c r="E1406" t="s">
        <v>145</v>
      </c>
      <c r="F1406" t="s">
        <v>153</v>
      </c>
      <c r="G1406" t="s">
        <v>28</v>
      </c>
      <c r="H1406" t="s">
        <v>52</v>
      </c>
      <c r="I1406" t="s">
        <v>135</v>
      </c>
      <c r="J1406" t="s">
        <v>39</v>
      </c>
      <c r="K1406" t="s">
        <v>28</v>
      </c>
      <c r="L1406">
        <v>36.343704539184806</v>
      </c>
      <c r="M1406">
        <v>1</v>
      </c>
      <c r="N1406">
        <v>3.3371984945689341</v>
      </c>
      <c r="O1406">
        <v>3.7403155854968446</v>
      </c>
      <c r="P1406">
        <v>-1.358533704083926</v>
      </c>
      <c r="Q1406">
        <v>0.81597958519064395</v>
      </c>
      <c r="R1406">
        <v>-1.4464769027578748</v>
      </c>
      <c r="S1406" s="2">
        <v>39.274000075222609</v>
      </c>
      <c r="T1406" s="2">
        <v>46.03240083597408</v>
      </c>
      <c r="U1406" s="2">
        <v>51.936354950915948</v>
      </c>
      <c r="V1406" s="2">
        <v>57.023755448669426</v>
      </c>
      <c r="W1406" s="2">
        <v>61.357711030628167</v>
      </c>
      <c r="X1406" s="2">
        <v>65.013044378692783</v>
      </c>
      <c r="Y1406" s="2">
        <v>68.067942854776689</v>
      </c>
      <c r="Z1406" s="2">
        <v>70.598970429559628</v>
      </c>
      <c r="AA1406" s="2">
        <v>72.677862366305064</v>
      </c>
      <c r="AB1406" s="2">
        <v>74.256308173004825</v>
      </c>
      <c r="AC1406" s="2">
        <v>75.443337126444064</v>
      </c>
      <c r="AD1406" s="2">
        <v>76.32389930221089</v>
      </c>
      <c r="AE1406" s="2">
        <v>76.96418034582257</v>
      </c>
      <c r="AF1406" s="2">
        <v>77.415745285135188</v>
      </c>
      <c r="AG1406" s="2">
        <v>77.718768647211476</v>
      </c>
      <c r="AH1406" s="2">
        <v>78.046197246411708</v>
      </c>
      <c r="AI1406" s="2">
        <v>78.242726720481457</v>
      </c>
      <c r="AJ1406" s="2">
        <v>78.586980541994635</v>
      </c>
      <c r="AK1406" s="2">
        <v>78.684283202359808</v>
      </c>
      <c r="AL1406" s="2">
        <v>78.458208230278743</v>
      </c>
      <c r="AM1406" s="2">
        <v>78.224511382633551</v>
      </c>
      <c r="AN1406" s="2">
        <v>77.983320038703766</v>
      </c>
      <c r="AO1406" s="2">
        <v>77.734741478776314</v>
      </c>
      <c r="AP1406" s="2">
        <v>77.478859911322502</v>
      </c>
      <c r="AQ1406" s="2">
        <v>43.809865064694314</v>
      </c>
      <c r="AR1406" s="2">
        <v>1737.3539750682301</v>
      </c>
    </row>
    <row r="1407" spans="1:44" x14ac:dyDescent="0.25">
      <c r="A1407" t="s">
        <v>131</v>
      </c>
      <c r="B1407" t="s">
        <v>151</v>
      </c>
      <c r="C1407" t="s">
        <v>44</v>
      </c>
      <c r="D1407" t="s">
        <v>152</v>
      </c>
      <c r="E1407" t="s">
        <v>145</v>
      </c>
      <c r="F1407" t="s">
        <v>153</v>
      </c>
      <c r="G1407" t="s">
        <v>28</v>
      </c>
      <c r="H1407" t="s">
        <v>138</v>
      </c>
      <c r="I1407" t="s">
        <v>135</v>
      </c>
      <c r="J1407" t="s">
        <v>39</v>
      </c>
      <c r="K1407" t="s">
        <v>28</v>
      </c>
      <c r="L1407">
        <v>36.343704539184806</v>
      </c>
      <c r="M1407">
        <v>1</v>
      </c>
      <c r="N1407">
        <v>3.3371984945689341</v>
      </c>
      <c r="O1407">
        <v>3.7403155854968446</v>
      </c>
      <c r="P1407">
        <v>-1.358533704083926</v>
      </c>
      <c r="Q1407">
        <v>0.81597958519064395</v>
      </c>
      <c r="R1407">
        <v>-1.4464769027578748</v>
      </c>
      <c r="S1407" s="2">
        <v>13.623485491767701</v>
      </c>
      <c r="T1407" s="2">
        <v>15.967860257141728</v>
      </c>
      <c r="U1407" s="2">
        <v>18.01584195177222</v>
      </c>
      <c r="V1407" s="2">
        <v>19.780575025541346</v>
      </c>
      <c r="W1407" s="2">
        <v>21.283950818169874</v>
      </c>
      <c r="X1407" s="2">
        <v>22.551924050831499</v>
      </c>
      <c r="Y1407" s="2">
        <v>23.611616595213015</v>
      </c>
      <c r="Z1407" s="2">
        <v>24.489587196075568</v>
      </c>
      <c r="AA1407" s="2">
        <v>25.210719601355375</v>
      </c>
      <c r="AB1407" s="2">
        <v>25.758255719548792</v>
      </c>
      <c r="AC1407" s="2">
        <v>26.170015960280935</v>
      </c>
      <c r="AD1407" s="2">
        <v>26.475468066080751</v>
      </c>
      <c r="AE1407" s="2">
        <v>26.697570716475177</v>
      </c>
      <c r="AF1407" s="2">
        <v>26.854210946335471</v>
      </c>
      <c r="AG1407" s="2">
        <v>26.959324618714305</v>
      </c>
      <c r="AH1407" s="2">
        <v>27.072904054530628</v>
      </c>
      <c r="AI1407" s="2">
        <v>27.14107680071298</v>
      </c>
      <c r="AJ1407" s="2">
        <v>27.260492621202054</v>
      </c>
      <c r="AK1407" s="2">
        <v>27.294245266189989</v>
      </c>
      <c r="AL1407" s="2">
        <v>27.215823687122441</v>
      </c>
      <c r="AM1407" s="2">
        <v>27.134758208503804</v>
      </c>
      <c r="AN1407" s="2">
        <v>27.051093016048899</v>
      </c>
      <c r="AO1407" s="2">
        <v>26.964865323472395</v>
      </c>
      <c r="AP1407" s="2">
        <v>26.876104341266835</v>
      </c>
      <c r="AQ1407" s="2">
        <v>15.196900238376999</v>
      </c>
      <c r="AR1407" s="2">
        <v>602.65867057273067</v>
      </c>
    </row>
    <row r="1408" spans="1:44" x14ac:dyDescent="0.25">
      <c r="A1408" t="s">
        <v>131</v>
      </c>
      <c r="B1408" t="s">
        <v>156</v>
      </c>
      <c r="C1408" t="s">
        <v>44</v>
      </c>
      <c r="D1408" t="s">
        <v>152</v>
      </c>
      <c r="E1408" t="s">
        <v>145</v>
      </c>
      <c r="F1408" t="s">
        <v>157</v>
      </c>
      <c r="G1408" t="s">
        <v>28</v>
      </c>
      <c r="H1408" t="s">
        <v>52</v>
      </c>
      <c r="I1408" t="s">
        <v>135</v>
      </c>
      <c r="J1408" t="s">
        <v>39</v>
      </c>
      <c r="K1408" t="s">
        <v>28</v>
      </c>
      <c r="L1408">
        <v>178.07043676029926</v>
      </c>
      <c r="M1408">
        <v>1</v>
      </c>
      <c r="N1408">
        <v>4.7325334090046072</v>
      </c>
      <c r="O1408">
        <v>3.7403155854968455</v>
      </c>
      <c r="P1408">
        <v>-1.5991162222161577</v>
      </c>
      <c r="Q1408">
        <v>0.57539706705841231</v>
      </c>
      <c r="R1408">
        <v>-1.4464769027578743</v>
      </c>
      <c r="S1408" s="2">
        <v>0</v>
      </c>
      <c r="T1408" s="2">
        <v>0</v>
      </c>
      <c r="U1408" s="2">
        <v>4.3252040389557438</v>
      </c>
      <c r="V1408" s="2">
        <v>6.8934637551077049</v>
      </c>
      <c r="W1408" s="2">
        <v>10.38138092743519</v>
      </c>
      <c r="X1408" s="2">
        <v>14.894550294820515</v>
      </c>
      <c r="Y1408" s="2">
        <v>20.464542058717694</v>
      </c>
      <c r="Z1408" s="2">
        <v>27.016548080651155</v>
      </c>
      <c r="AA1408" s="2">
        <v>34.34612681134373</v>
      </c>
      <c r="AB1408" s="2">
        <v>42.116473522508571</v>
      </c>
      <c r="AC1408" s="2">
        <v>49.886227171829582</v>
      </c>
      <c r="AD1408" s="2">
        <v>57.170938284577545</v>
      </c>
      <c r="AE1408" s="2">
        <v>63.529100728376534</v>
      </c>
      <c r="AF1408" s="2">
        <v>68.65007502240168</v>
      </c>
      <c r="AG1408" s="2">
        <v>72.413911263997889</v>
      </c>
      <c r="AH1408" s="2">
        <v>75.104913638357999</v>
      </c>
      <c r="AI1408" s="2">
        <v>76.47407460087355</v>
      </c>
      <c r="AJ1408" s="2">
        <v>77.515949653160391</v>
      </c>
      <c r="AK1408" s="2">
        <v>77.611926214035549</v>
      </c>
      <c r="AL1408" s="2">
        <v>77.388932328371382</v>
      </c>
      <c r="AM1408" s="2">
        <v>77.15842044267184</v>
      </c>
      <c r="AN1408" s="2">
        <v>76.920516200214664</v>
      </c>
      <c r="AO1408" s="2">
        <v>76.675325419206189</v>
      </c>
      <c r="AP1408" s="2">
        <v>76.422931160473652</v>
      </c>
      <c r="AQ1408" s="2">
        <v>76.163389537613071</v>
      </c>
      <c r="AR1408" s="2">
        <v>1239.5249211557018</v>
      </c>
    </row>
    <row r="1409" spans="1:44" x14ac:dyDescent="0.25">
      <c r="A1409" t="s">
        <v>131</v>
      </c>
      <c r="B1409" t="s">
        <v>156</v>
      </c>
      <c r="C1409" t="s">
        <v>44</v>
      </c>
      <c r="D1409" t="s">
        <v>152</v>
      </c>
      <c r="E1409" t="s">
        <v>145</v>
      </c>
      <c r="F1409" t="s">
        <v>157</v>
      </c>
      <c r="G1409" t="s">
        <v>28</v>
      </c>
      <c r="H1409" t="s">
        <v>138</v>
      </c>
      <c r="I1409" t="s">
        <v>135</v>
      </c>
      <c r="J1409" t="s">
        <v>39</v>
      </c>
      <c r="K1409" t="s">
        <v>28</v>
      </c>
      <c r="L1409">
        <v>178.07043676029926</v>
      </c>
      <c r="M1409">
        <v>1</v>
      </c>
      <c r="N1409">
        <v>4.7325334090046072</v>
      </c>
      <c r="O1409">
        <v>3.7403155854968455</v>
      </c>
      <c r="P1409">
        <v>-1.5991162222161577</v>
      </c>
      <c r="Q1409">
        <v>0.57539706705841231</v>
      </c>
      <c r="R1409">
        <v>-1.4464769027578743</v>
      </c>
      <c r="S1409" s="2">
        <v>0</v>
      </c>
      <c r="T1409" s="2">
        <v>0</v>
      </c>
      <c r="U1409" s="2">
        <v>1.5003400305746586</v>
      </c>
      <c r="V1409" s="2">
        <v>2.391225830724196</v>
      </c>
      <c r="W1409" s="2">
        <v>3.6011252273397476</v>
      </c>
      <c r="X1409" s="2">
        <v>5.1666672470143471</v>
      </c>
      <c r="Y1409" s="2">
        <v>7.0988030579676096</v>
      </c>
      <c r="Z1409" s="2">
        <v>9.3715829838936902</v>
      </c>
      <c r="AA1409" s="2">
        <v>11.914089713717631</v>
      </c>
      <c r="AB1409" s="2">
        <v>14.609491391234659</v>
      </c>
      <c r="AC1409" s="2">
        <v>17.304687345642012</v>
      </c>
      <c r="AD1409" s="2">
        <v>19.831630258667357</v>
      </c>
      <c r="AE1409" s="2">
        <v>22.037169130223393</v>
      </c>
      <c r="AF1409" s="2">
        <v>23.813548385321997</v>
      </c>
      <c r="AG1409" s="2">
        <v>25.119159434172747</v>
      </c>
      <c r="AH1409" s="2">
        <v>26.052622583716719</v>
      </c>
      <c r="AI1409" s="2">
        <v>26.527561333856731</v>
      </c>
      <c r="AJ1409" s="2">
        <v>26.888970144568102</v>
      </c>
      <c r="AK1409" s="2">
        <v>26.922262788101442</v>
      </c>
      <c r="AL1409" s="2">
        <v>26.844909985731423</v>
      </c>
      <c r="AM1409" s="2">
        <v>26.764949316472045</v>
      </c>
      <c r="AN1409" s="2">
        <v>26.682424363848487</v>
      </c>
      <c r="AO1409" s="2">
        <v>26.597371834404417</v>
      </c>
      <c r="AP1409" s="2">
        <v>26.509820540534122</v>
      </c>
      <c r="AQ1409" s="2">
        <v>26.419789947093705</v>
      </c>
      <c r="AR1409" s="2">
        <v>429.97020287482121</v>
      </c>
    </row>
    <row r="1410" spans="1:44" x14ac:dyDescent="0.25">
      <c r="A1410" t="s">
        <v>131</v>
      </c>
      <c r="B1410" t="s">
        <v>180</v>
      </c>
      <c r="C1410" t="s">
        <v>45</v>
      </c>
      <c r="D1410" t="s">
        <v>178</v>
      </c>
      <c r="E1410" t="s">
        <v>145</v>
      </c>
      <c r="F1410" t="s">
        <v>181</v>
      </c>
      <c r="G1410" t="s">
        <v>28</v>
      </c>
      <c r="H1410" t="s">
        <v>55</v>
      </c>
      <c r="I1410" t="s">
        <v>135</v>
      </c>
      <c r="J1410" t="s">
        <v>39</v>
      </c>
      <c r="K1410" t="s">
        <v>28</v>
      </c>
      <c r="L1410">
        <v>55.245283018867937</v>
      </c>
      <c r="M1410">
        <v>1</v>
      </c>
      <c r="N1410">
        <v>1.5281220060315359</v>
      </c>
      <c r="O1410">
        <v>2.3676355275024612</v>
      </c>
      <c r="P1410">
        <v>-8.7370159319194146E-2</v>
      </c>
      <c r="Q1410">
        <v>1.1280020883331712</v>
      </c>
      <c r="R1410">
        <v>-0.48733586113566763</v>
      </c>
      <c r="S1410" s="2">
        <v>0</v>
      </c>
      <c r="T1410" s="2">
        <v>0</v>
      </c>
      <c r="U1410" s="2">
        <v>8.5223372309244964E-5</v>
      </c>
      <c r="V1410" s="2">
        <v>1.6021495483456858E-4</v>
      </c>
      <c r="W1410" s="2">
        <v>2.7386973023688251E-4</v>
      </c>
      <c r="X1410" s="2">
        <v>4.3636638035225218E-4</v>
      </c>
      <c r="Y1410" s="2">
        <v>6.5697293795512408E-4</v>
      </c>
      <c r="Z1410" s="2">
        <v>9.4232602976486912E-4</v>
      </c>
      <c r="AA1410" s="2">
        <v>1.294376532423491E-3</v>
      </c>
      <c r="AB1410" s="2">
        <v>1.7083472612672581E-3</v>
      </c>
      <c r="AC1410" s="2">
        <v>2.1712730582178065E-3</v>
      </c>
      <c r="AD1410" s="2">
        <v>2.6618378070942649E-3</v>
      </c>
      <c r="AE1410" s="2">
        <v>3.152140130641383E-3</v>
      </c>
      <c r="AF1410" s="2">
        <v>3.6115831176933427E-3</v>
      </c>
      <c r="AG1410" s="2">
        <v>4.0123095953261056E-3</v>
      </c>
      <c r="AH1410" s="2">
        <v>4.5471932999648201E-3</v>
      </c>
      <c r="AI1410" s="2">
        <v>4.7959129895051378E-3</v>
      </c>
      <c r="AJ1410" s="2">
        <v>4.9639333869899143E-3</v>
      </c>
      <c r="AK1410" s="2">
        <v>5.0393855383859586E-3</v>
      </c>
      <c r="AL1410" s="2">
        <v>5.0880914637921257E-3</v>
      </c>
      <c r="AM1410" s="2">
        <v>5.0730519117511931E-3</v>
      </c>
      <c r="AN1410" s="2">
        <v>5.0353756982273864E-3</v>
      </c>
      <c r="AO1410" s="2">
        <v>4.9959338033545115E-3</v>
      </c>
      <c r="AP1410" s="2">
        <v>3.7560753905739384E-3</v>
      </c>
      <c r="AQ1410" s="2">
        <v>8.3730742686530954E-5</v>
      </c>
      <c r="AR1410" s="2">
        <v>6.4545525133348117E-2</v>
      </c>
    </row>
    <row r="1411" spans="1:44" x14ac:dyDescent="0.25">
      <c r="A1411" t="s">
        <v>131</v>
      </c>
      <c r="B1411" t="s">
        <v>180</v>
      </c>
      <c r="C1411" t="s">
        <v>45</v>
      </c>
      <c r="D1411" t="s">
        <v>178</v>
      </c>
      <c r="E1411" t="s">
        <v>145</v>
      </c>
      <c r="F1411" t="s">
        <v>181</v>
      </c>
      <c r="G1411" t="s">
        <v>28</v>
      </c>
      <c r="H1411" t="s">
        <v>136</v>
      </c>
      <c r="I1411" t="s">
        <v>135</v>
      </c>
      <c r="J1411" t="s">
        <v>39</v>
      </c>
      <c r="K1411" t="s">
        <v>28</v>
      </c>
      <c r="L1411">
        <v>55.245283018867937</v>
      </c>
      <c r="M1411">
        <v>1</v>
      </c>
      <c r="N1411">
        <v>1.5281220060315359</v>
      </c>
      <c r="O1411">
        <v>2.3676355275024612</v>
      </c>
      <c r="P1411">
        <v>-8.7370159319194146E-2</v>
      </c>
      <c r="Q1411">
        <v>1.1280020883331712</v>
      </c>
      <c r="R1411">
        <v>-0.48733586113566763</v>
      </c>
      <c r="S1411" s="2">
        <v>0</v>
      </c>
      <c r="T1411" s="2">
        <v>0</v>
      </c>
      <c r="U1411" s="2">
        <v>1.0700267856605204E-4</v>
      </c>
      <c r="V1411" s="2">
        <v>2.01158776625625E-4</v>
      </c>
      <c r="W1411" s="2">
        <v>3.4385866129741901E-4</v>
      </c>
      <c r="X1411" s="2">
        <v>5.4788223310893891E-4</v>
      </c>
      <c r="Y1411" s="2">
        <v>8.2486602209921151E-4</v>
      </c>
      <c r="Z1411" s="2">
        <v>1.1831426818158909E-3</v>
      </c>
      <c r="AA1411" s="2">
        <v>1.6251616462650506E-3</v>
      </c>
      <c r="AB1411" s="2">
        <v>2.1449248947022236E-3</v>
      </c>
      <c r="AC1411" s="2">
        <v>2.7261539508734679E-3</v>
      </c>
      <c r="AD1411" s="2">
        <v>3.3420852466850212E-3</v>
      </c>
      <c r="AE1411" s="2">
        <v>3.9576870529164027E-3</v>
      </c>
      <c r="AF1411" s="2">
        <v>4.53454324777053E-3</v>
      </c>
      <c r="AG1411" s="2">
        <v>5.0376776030205545E-3</v>
      </c>
      <c r="AH1411" s="2">
        <v>5.7092538099558325E-3</v>
      </c>
      <c r="AI1411" s="2">
        <v>6.0215351979342286E-3</v>
      </c>
      <c r="AJ1411" s="2">
        <v>6.232494141442892E-3</v>
      </c>
      <c r="AK1411" s="2">
        <v>6.3272285093068118E-3</v>
      </c>
      <c r="AL1411" s="2">
        <v>6.3883815045389994E-3</v>
      </c>
      <c r="AM1411" s="2">
        <v>6.3694985114209433E-3</v>
      </c>
      <c r="AN1411" s="2">
        <v>6.3221939322188284E-3</v>
      </c>
      <c r="AO1411" s="2">
        <v>6.2726724419895543E-3</v>
      </c>
      <c r="AP1411" s="2">
        <v>4.7159613237205992E-3</v>
      </c>
      <c r="AQ1411" s="2">
        <v>1.0512859915086663E-4</v>
      </c>
      <c r="AR1411" s="2">
        <v>8.104049266742594E-2</v>
      </c>
    </row>
    <row r="1412" spans="1:44" x14ac:dyDescent="0.25">
      <c r="A1412" t="s">
        <v>131</v>
      </c>
      <c r="B1412" t="s">
        <v>180</v>
      </c>
      <c r="C1412" t="s">
        <v>45</v>
      </c>
      <c r="D1412" t="s">
        <v>178</v>
      </c>
      <c r="E1412" t="s">
        <v>145</v>
      </c>
      <c r="F1412" t="s">
        <v>181</v>
      </c>
      <c r="G1412" t="s">
        <v>28</v>
      </c>
      <c r="H1412" t="s">
        <v>54</v>
      </c>
      <c r="I1412" t="s">
        <v>135</v>
      </c>
      <c r="J1412" t="s">
        <v>39</v>
      </c>
      <c r="K1412" t="s">
        <v>28</v>
      </c>
      <c r="L1412">
        <v>55.245283018867937</v>
      </c>
      <c r="M1412">
        <v>1</v>
      </c>
      <c r="N1412">
        <v>1.5281220060315359</v>
      </c>
      <c r="O1412">
        <v>2.3676355275024612</v>
      </c>
      <c r="P1412">
        <v>-8.7370159319194146E-2</v>
      </c>
      <c r="Q1412">
        <v>1.1280020883331712</v>
      </c>
      <c r="R1412">
        <v>-0.48733586113566763</v>
      </c>
      <c r="S1412" s="2">
        <v>0</v>
      </c>
      <c r="T1412" s="2">
        <v>0</v>
      </c>
      <c r="U1412" s="2">
        <v>0</v>
      </c>
      <c r="V1412" s="2">
        <v>0</v>
      </c>
      <c r="W1412" s="2">
        <v>0</v>
      </c>
      <c r="X1412" s="2">
        <v>0</v>
      </c>
      <c r="Y1412" s="2">
        <v>0</v>
      </c>
      <c r="Z1412" s="2">
        <v>0</v>
      </c>
      <c r="AA1412" s="2">
        <v>0</v>
      </c>
      <c r="AB1412" s="2">
        <v>0</v>
      </c>
      <c r="AC1412" s="2">
        <v>0</v>
      </c>
      <c r="AD1412" s="2">
        <v>0</v>
      </c>
      <c r="AE1412" s="2">
        <v>0</v>
      </c>
      <c r="AF1412" s="2">
        <v>0</v>
      </c>
      <c r="AG1412" s="2">
        <v>0</v>
      </c>
      <c r="AH1412" s="2">
        <v>0</v>
      </c>
      <c r="AI1412" s="2">
        <v>0</v>
      </c>
      <c r="AJ1412" s="2">
        <v>0</v>
      </c>
      <c r="AK1412" s="2">
        <v>0</v>
      </c>
      <c r="AL1412" s="2">
        <v>0</v>
      </c>
      <c r="AM1412" s="2">
        <v>0</v>
      </c>
      <c r="AN1412" s="2">
        <v>0</v>
      </c>
      <c r="AO1412" s="2">
        <v>0</v>
      </c>
      <c r="AP1412" s="2">
        <v>0</v>
      </c>
      <c r="AQ1412" s="2">
        <v>0</v>
      </c>
      <c r="AR1412" s="2">
        <v>0</v>
      </c>
    </row>
    <row r="1413" spans="1:44" x14ac:dyDescent="0.25">
      <c r="A1413" t="s">
        <v>131</v>
      </c>
      <c r="B1413" t="s">
        <v>180</v>
      </c>
      <c r="C1413" t="s">
        <v>45</v>
      </c>
      <c r="D1413" t="s">
        <v>178</v>
      </c>
      <c r="E1413" t="s">
        <v>145</v>
      </c>
      <c r="F1413" t="s">
        <v>181</v>
      </c>
      <c r="G1413" t="s">
        <v>28</v>
      </c>
      <c r="H1413" t="s">
        <v>142</v>
      </c>
      <c r="I1413" t="s">
        <v>135</v>
      </c>
      <c r="J1413" t="s">
        <v>39</v>
      </c>
      <c r="K1413" t="s">
        <v>28</v>
      </c>
      <c r="L1413">
        <v>55.245283018867937</v>
      </c>
      <c r="M1413">
        <v>1</v>
      </c>
      <c r="N1413">
        <v>1.5281220060315359</v>
      </c>
      <c r="O1413">
        <v>2.3676355275024612</v>
      </c>
      <c r="P1413">
        <v>-8.7370159319194146E-2</v>
      </c>
      <c r="Q1413">
        <v>1.1280020883331712</v>
      </c>
      <c r="R1413">
        <v>-0.48733586113566763</v>
      </c>
      <c r="S1413" s="2">
        <v>0</v>
      </c>
      <c r="T1413" s="2">
        <v>0</v>
      </c>
      <c r="U1413" s="2">
        <v>0</v>
      </c>
      <c r="V1413" s="2">
        <v>0</v>
      </c>
      <c r="W1413" s="2">
        <v>0</v>
      </c>
      <c r="X1413" s="2">
        <v>0</v>
      </c>
      <c r="Y1413" s="2">
        <v>0</v>
      </c>
      <c r="Z1413" s="2">
        <v>0</v>
      </c>
      <c r="AA1413" s="2">
        <v>0</v>
      </c>
      <c r="AB1413" s="2">
        <v>0</v>
      </c>
      <c r="AC1413" s="2">
        <v>0</v>
      </c>
      <c r="AD1413" s="2">
        <v>0</v>
      </c>
      <c r="AE1413" s="2">
        <v>0</v>
      </c>
      <c r="AF1413" s="2">
        <v>0</v>
      </c>
      <c r="AG1413" s="2">
        <v>0</v>
      </c>
      <c r="AH1413" s="2">
        <v>0</v>
      </c>
      <c r="AI1413" s="2">
        <v>0</v>
      </c>
      <c r="AJ1413" s="2">
        <v>0</v>
      </c>
      <c r="AK1413" s="2">
        <v>0</v>
      </c>
      <c r="AL1413" s="2">
        <v>0</v>
      </c>
      <c r="AM1413" s="2">
        <v>0</v>
      </c>
      <c r="AN1413" s="2">
        <v>0</v>
      </c>
      <c r="AO1413" s="2">
        <v>0</v>
      </c>
      <c r="AP1413" s="2">
        <v>0</v>
      </c>
      <c r="AQ1413" s="2">
        <v>0</v>
      </c>
      <c r="AR1413" s="2">
        <v>0</v>
      </c>
    </row>
    <row r="1414" spans="1:44" x14ac:dyDescent="0.25">
      <c r="A1414" t="s">
        <v>131</v>
      </c>
      <c r="B1414" t="s">
        <v>180</v>
      </c>
      <c r="C1414" t="s">
        <v>45</v>
      </c>
      <c r="D1414" t="s">
        <v>178</v>
      </c>
      <c r="E1414" t="s">
        <v>145</v>
      </c>
      <c r="F1414" t="s">
        <v>181</v>
      </c>
      <c r="G1414" t="s">
        <v>28</v>
      </c>
      <c r="H1414" t="s">
        <v>53</v>
      </c>
      <c r="I1414" t="s">
        <v>135</v>
      </c>
      <c r="J1414" t="s">
        <v>39</v>
      </c>
      <c r="K1414" t="s">
        <v>28</v>
      </c>
      <c r="L1414">
        <v>55.245283018867937</v>
      </c>
      <c r="M1414">
        <v>1</v>
      </c>
      <c r="N1414">
        <v>1.5281220060315359</v>
      </c>
      <c r="O1414">
        <v>2.3676355275024612</v>
      </c>
      <c r="P1414">
        <v>-8.7370159319194146E-2</v>
      </c>
      <c r="Q1414">
        <v>1.1280020883331712</v>
      </c>
      <c r="R1414">
        <v>-0.48733586113566763</v>
      </c>
      <c r="S1414" s="2">
        <v>0</v>
      </c>
      <c r="T1414" s="2">
        <v>0</v>
      </c>
      <c r="U1414" s="2">
        <v>7.401436260963529E-4</v>
      </c>
      <c r="V1414" s="2">
        <v>1.3914267226580663E-3</v>
      </c>
      <c r="W1414" s="2">
        <v>2.3784899578958222E-3</v>
      </c>
      <c r="X1414" s="2">
        <v>3.7897326321293693E-3</v>
      </c>
      <c r="Y1414" s="2">
        <v>5.7056452868449927E-3</v>
      </c>
      <c r="Z1414" s="2">
        <v>8.1838653615387384E-3</v>
      </c>
      <c r="AA1414" s="2">
        <v>1.1241335730832374E-2</v>
      </c>
      <c r="AB1414" s="2">
        <v>1.4836567743388361E-2</v>
      </c>
      <c r="AC1414" s="2">
        <v>1.8856962251191173E-2</v>
      </c>
      <c r="AD1414" s="2">
        <v>2.3117394128387384E-2</v>
      </c>
      <c r="AE1414" s="2">
        <v>2.7375546907378801E-2</v>
      </c>
      <c r="AF1414" s="2">
        <v>3.1365694084226542E-2</v>
      </c>
      <c r="AG1414" s="2">
        <v>3.4845903094868541E-2</v>
      </c>
      <c r="AH1414" s="2">
        <v>4.8260115051937891E-2</v>
      </c>
      <c r="AI1414" s="2">
        <v>5.0918927731624333E-2</v>
      </c>
      <c r="AJ1414" s="2">
        <v>5.2344501972914251E-2</v>
      </c>
      <c r="AK1414" s="2">
        <v>5.259057313101053E-2</v>
      </c>
      <c r="AL1414" s="2">
        <v>5.2353648335561477E-2</v>
      </c>
      <c r="AM1414" s="2">
        <v>5.139526067576615E-2</v>
      </c>
      <c r="AN1414" s="2">
        <v>5.0135934187318515E-2</v>
      </c>
      <c r="AO1414" s="2">
        <v>4.8807474221018207E-2</v>
      </c>
      <c r="AP1414" s="2">
        <v>3.7041991107889895E-2</v>
      </c>
      <c r="AQ1414" s="2">
        <v>4.183270150563816E-3</v>
      </c>
      <c r="AR1414" s="2">
        <v>0.63186040409304156</v>
      </c>
    </row>
    <row r="1415" spans="1:44" x14ac:dyDescent="0.25">
      <c r="A1415" t="s">
        <v>131</v>
      </c>
      <c r="B1415" t="s">
        <v>180</v>
      </c>
      <c r="C1415" t="s">
        <v>45</v>
      </c>
      <c r="D1415" t="s">
        <v>178</v>
      </c>
      <c r="E1415" t="s">
        <v>145</v>
      </c>
      <c r="F1415" t="s">
        <v>181</v>
      </c>
      <c r="G1415" t="s">
        <v>28</v>
      </c>
      <c r="H1415" t="s">
        <v>141</v>
      </c>
      <c r="I1415" t="s">
        <v>135</v>
      </c>
      <c r="J1415" t="s">
        <v>39</v>
      </c>
      <c r="K1415" t="s">
        <v>28</v>
      </c>
      <c r="L1415">
        <v>55.245283018867937</v>
      </c>
      <c r="M1415">
        <v>1</v>
      </c>
      <c r="N1415">
        <v>1.5281220060315359</v>
      </c>
      <c r="O1415">
        <v>2.3676355275024612</v>
      </c>
      <c r="P1415">
        <v>-8.7370159319194146E-2</v>
      </c>
      <c r="Q1415">
        <v>1.1280020883331712</v>
      </c>
      <c r="R1415">
        <v>-0.48733586113566763</v>
      </c>
      <c r="S1415" s="2">
        <v>0</v>
      </c>
      <c r="T1415" s="2">
        <v>0</v>
      </c>
      <c r="U1415" s="2">
        <v>6.2295421863109673E-4</v>
      </c>
      <c r="V1415" s="2">
        <v>1.171117491570539E-3</v>
      </c>
      <c r="W1415" s="2">
        <v>2.0018957145623169E-3</v>
      </c>
      <c r="X1415" s="2">
        <v>3.1896916320422195E-3</v>
      </c>
      <c r="Y1415" s="2">
        <v>4.8022514497612018E-3</v>
      </c>
      <c r="Z1415" s="2">
        <v>6.8880866792951027E-3</v>
      </c>
      <c r="AA1415" s="2">
        <v>9.4614575734505799E-3</v>
      </c>
      <c r="AB1415" s="2">
        <v>1.248744451735187E-2</v>
      </c>
      <c r="AC1415" s="2">
        <v>1.5871276561419234E-2</v>
      </c>
      <c r="AD1415" s="2">
        <v>1.9457140058059381E-2</v>
      </c>
      <c r="AE1415" s="2">
        <v>2.3041085313710487E-2</v>
      </c>
      <c r="AF1415" s="2">
        <v>2.6399459187557327E-2</v>
      </c>
      <c r="AG1415" s="2">
        <v>2.9328635104847678E-2</v>
      </c>
      <c r="AH1415" s="2">
        <v>4.0618930168714366E-2</v>
      </c>
      <c r="AI1415" s="2">
        <v>4.2856764174117136E-2</v>
      </c>
      <c r="AJ1415" s="2">
        <v>4.4056622493869491E-2</v>
      </c>
      <c r="AK1415" s="2">
        <v>4.4263732385267179E-2</v>
      </c>
      <c r="AL1415" s="2">
        <v>4.4064320682430901E-2</v>
      </c>
      <c r="AM1415" s="2">
        <v>4.3257677735436505E-2</v>
      </c>
      <c r="AN1415" s="2">
        <v>4.2197744607659744E-2</v>
      </c>
      <c r="AO1415" s="2">
        <v>4.1079624136023646E-2</v>
      </c>
      <c r="AP1415" s="2">
        <v>3.1177009182473993E-2</v>
      </c>
      <c r="AQ1415" s="2">
        <v>3.5209190433912246E-3</v>
      </c>
      <c r="AR1415" s="2">
        <v>0.53181584011164329</v>
      </c>
    </row>
    <row r="1416" spans="1:44" x14ac:dyDescent="0.25">
      <c r="A1416" t="s">
        <v>131</v>
      </c>
      <c r="B1416" t="s">
        <v>180</v>
      </c>
      <c r="C1416" t="s">
        <v>45</v>
      </c>
      <c r="D1416" t="s">
        <v>178</v>
      </c>
      <c r="E1416" t="s">
        <v>145</v>
      </c>
      <c r="F1416" t="s">
        <v>181</v>
      </c>
      <c r="G1416" t="s">
        <v>28</v>
      </c>
      <c r="H1416" t="s">
        <v>52</v>
      </c>
      <c r="I1416" t="s">
        <v>135</v>
      </c>
      <c r="J1416" t="s">
        <v>39</v>
      </c>
      <c r="K1416" t="s">
        <v>28</v>
      </c>
      <c r="L1416">
        <v>55.245283018867937</v>
      </c>
      <c r="M1416">
        <v>1</v>
      </c>
      <c r="N1416">
        <v>1.5281220060315359</v>
      </c>
      <c r="O1416">
        <v>2.3676355275024612</v>
      </c>
      <c r="P1416">
        <v>-8.7370159319194146E-2</v>
      </c>
      <c r="Q1416">
        <v>1.1280020883331712</v>
      </c>
      <c r="R1416">
        <v>-0.48733586113566763</v>
      </c>
      <c r="S1416" s="2">
        <v>0</v>
      </c>
      <c r="T1416" s="2">
        <v>0</v>
      </c>
      <c r="U1416" s="2">
        <v>3.9289823324110504E-2</v>
      </c>
      <c r="V1416" s="2">
        <v>7.3862569606949077E-2</v>
      </c>
      <c r="W1416" s="2">
        <v>0.12625988649901901</v>
      </c>
      <c r="X1416" s="2">
        <v>0.20117436712559822</v>
      </c>
      <c r="Y1416" s="2">
        <v>0.30287877564050031</v>
      </c>
      <c r="Z1416" s="2">
        <v>0.43443274092494299</v>
      </c>
      <c r="AA1416" s="2">
        <v>0.59673565942985984</v>
      </c>
      <c r="AB1416" s="2">
        <v>0.78758514539722535</v>
      </c>
      <c r="AC1416" s="2">
        <v>1.0010039797090313</v>
      </c>
      <c r="AD1416" s="2">
        <v>1.2271649704106613</v>
      </c>
      <c r="AE1416" s="2">
        <v>1.4532049773428604</v>
      </c>
      <c r="AF1416" s="2">
        <v>1.6650181607413179</v>
      </c>
      <c r="AG1416" s="2">
        <v>1.8497617596023594</v>
      </c>
      <c r="AH1416" s="2">
        <v>2.0963547502897395</v>
      </c>
      <c r="AI1416" s="2">
        <v>2.2110199224658311</v>
      </c>
      <c r="AJ1416" s="2">
        <v>2.2884809704524001</v>
      </c>
      <c r="AK1416" s="2">
        <v>2.3232660489754311</v>
      </c>
      <c r="AL1416" s="2">
        <v>2.3457205371304126</v>
      </c>
      <c r="AM1416" s="2">
        <v>2.338786977397318</v>
      </c>
      <c r="AN1416" s="2">
        <v>2.3214174256797402</v>
      </c>
      <c r="AO1416" s="2">
        <v>2.3032338565585824</v>
      </c>
      <c r="AP1416" s="2">
        <v>1.7316322329066054</v>
      </c>
      <c r="AQ1416" s="2">
        <v>3.8601688689494561E-2</v>
      </c>
      <c r="AR1416" s="2">
        <v>29.756887226299988</v>
      </c>
    </row>
    <row r="1417" spans="1:44" x14ac:dyDescent="0.25">
      <c r="A1417" t="s">
        <v>131</v>
      </c>
      <c r="B1417" t="s">
        <v>180</v>
      </c>
      <c r="C1417" t="s">
        <v>45</v>
      </c>
      <c r="D1417" t="s">
        <v>178</v>
      </c>
      <c r="E1417" t="s">
        <v>145</v>
      </c>
      <c r="F1417" t="s">
        <v>181</v>
      </c>
      <c r="G1417" t="s">
        <v>28</v>
      </c>
      <c r="H1417" t="s">
        <v>138</v>
      </c>
      <c r="I1417" t="s">
        <v>135</v>
      </c>
      <c r="J1417" t="s">
        <v>39</v>
      </c>
      <c r="K1417" t="s">
        <v>28</v>
      </c>
      <c r="L1417">
        <v>55.245283018867937</v>
      </c>
      <c r="M1417">
        <v>1</v>
      </c>
      <c r="N1417">
        <v>1.5281220060315359</v>
      </c>
      <c r="O1417">
        <v>2.3676355275024612</v>
      </c>
      <c r="P1417">
        <v>-8.7370159319194146E-2</v>
      </c>
      <c r="Q1417">
        <v>1.1280020883331712</v>
      </c>
      <c r="R1417">
        <v>-0.48733586113566763</v>
      </c>
      <c r="S1417" s="2">
        <v>0</v>
      </c>
      <c r="T1417" s="2">
        <v>0</v>
      </c>
      <c r="U1417" s="2">
        <v>1.3628974308828454E-2</v>
      </c>
      <c r="V1417" s="2">
        <v>2.5621674479238774E-2</v>
      </c>
      <c r="W1417" s="2">
        <v>4.3797416321664895E-2</v>
      </c>
      <c r="X1417" s="2">
        <v>6.9783980918719887E-2</v>
      </c>
      <c r="Y1417" s="2">
        <v>0.10506351779293091</v>
      </c>
      <c r="Z1417" s="2">
        <v>0.15069736038610762</v>
      </c>
      <c r="AA1417" s="2">
        <v>0.20699749409513257</v>
      </c>
      <c r="AB1417" s="2">
        <v>0.27319994859958358</v>
      </c>
      <c r="AC1417" s="2">
        <v>0.34723132781606353</v>
      </c>
      <c r="AD1417" s="2">
        <v>0.42568274528630173</v>
      </c>
      <c r="AE1417" s="2">
        <v>0.5040921955358747</v>
      </c>
      <c r="AF1417" s="2">
        <v>0.57756660164340334</v>
      </c>
      <c r="AG1417" s="2">
        <v>0.64165102731839829</v>
      </c>
      <c r="AH1417" s="2">
        <v>0.72718995955261601</v>
      </c>
      <c r="AI1417" s="2">
        <v>0.76696536584074626</v>
      </c>
      <c r="AJ1417" s="2">
        <v>0.7938352915269743</v>
      </c>
      <c r="AK1417" s="2">
        <v>0.80590164615550297</v>
      </c>
      <c r="AL1417" s="2">
        <v>0.81369072781305185</v>
      </c>
      <c r="AM1417" s="2">
        <v>0.81128559336661876</v>
      </c>
      <c r="AN1417" s="2">
        <v>0.80526039004203498</v>
      </c>
      <c r="AO1417" s="2">
        <v>0.79895281786613781</v>
      </c>
      <c r="AP1417" s="2">
        <v>0.60067389511880842</v>
      </c>
      <c r="AQ1417" s="2">
        <v>1.3390272058150774E-2</v>
      </c>
      <c r="AR1417" s="2">
        <v>10.322160223842889</v>
      </c>
    </row>
    <row r="1418" spans="1:44" x14ac:dyDescent="0.25">
      <c r="A1418" t="s">
        <v>131</v>
      </c>
      <c r="B1418" t="s">
        <v>180</v>
      </c>
      <c r="C1418" t="s">
        <v>45</v>
      </c>
      <c r="D1418" t="s">
        <v>178</v>
      </c>
      <c r="E1418" t="s">
        <v>148</v>
      </c>
      <c r="F1418" t="s">
        <v>181</v>
      </c>
      <c r="G1418" t="s">
        <v>28</v>
      </c>
      <c r="H1418" t="s">
        <v>55</v>
      </c>
      <c r="I1418" t="s">
        <v>135</v>
      </c>
      <c r="J1418" t="s">
        <v>39</v>
      </c>
      <c r="K1418" t="s">
        <v>28</v>
      </c>
      <c r="L1418">
        <v>55.245283018867937</v>
      </c>
      <c r="M1418">
        <v>1</v>
      </c>
      <c r="N1418">
        <v>1.5281220060315359</v>
      </c>
      <c r="O1418">
        <v>2.3676355275024612</v>
      </c>
      <c r="P1418">
        <v>-8.7370159319194146E-2</v>
      </c>
      <c r="Q1418">
        <v>1.1280020883331712</v>
      </c>
      <c r="R1418">
        <v>-0.48733586113566763</v>
      </c>
      <c r="S1418" s="2">
        <v>0</v>
      </c>
      <c r="T1418" s="2">
        <v>0</v>
      </c>
      <c r="U1418" s="2">
        <v>4.1546101062891288E-6</v>
      </c>
      <c r="V1418" s="2">
        <v>7.9340183723439368E-6</v>
      </c>
      <c r="W1418" s="2">
        <v>1.3320011748185713E-5</v>
      </c>
      <c r="X1418" s="2">
        <v>2.0593333434880371E-5</v>
      </c>
      <c r="Y1418" s="2">
        <v>2.9685133373697053E-5</v>
      </c>
      <c r="Z1418" s="2">
        <v>4.0828707853544086E-5</v>
      </c>
      <c r="AA1418" s="2">
        <v>5.3668619284235439E-5</v>
      </c>
      <c r="AB1418" s="2">
        <v>6.7560258641685255E-5</v>
      </c>
      <c r="AC1418" s="2">
        <v>8.1679078625160109E-5</v>
      </c>
      <c r="AD1418" s="2">
        <v>9.4961911988048652E-5</v>
      </c>
      <c r="AE1418" s="2">
        <v>1.0628573142033455E-4</v>
      </c>
      <c r="AF1418" s="2">
        <v>1.146589362036363E-4</v>
      </c>
      <c r="AG1418" s="2">
        <v>1.1941388672509513E-4</v>
      </c>
      <c r="AH1418" s="2">
        <v>1.2033809765540699E-4</v>
      </c>
      <c r="AI1418" s="2">
        <v>1.1769205262850604E-4</v>
      </c>
      <c r="AJ1418" s="2">
        <v>1.1240935150353642E-4</v>
      </c>
      <c r="AK1418" s="2">
        <v>1.045545255535724E-4</v>
      </c>
      <c r="AL1418" s="2">
        <v>9.5866020373525695E-5</v>
      </c>
      <c r="AM1418" s="2">
        <v>8.5784101832478164E-5</v>
      </c>
      <c r="AN1418" s="2">
        <v>7.5290562720546652E-5</v>
      </c>
      <c r="AO1418" s="2">
        <v>6.4773756762823804E-5</v>
      </c>
      <c r="AP1418" s="2">
        <v>5.423748238374447E-5</v>
      </c>
      <c r="AQ1418" s="2">
        <v>4.3686185145148183E-5</v>
      </c>
      <c r="AR1418" s="2">
        <v>1.6293763743364244E-3</v>
      </c>
    </row>
    <row r="1419" spans="1:44" x14ac:dyDescent="0.25">
      <c r="A1419" t="s">
        <v>131</v>
      </c>
      <c r="B1419" t="s">
        <v>180</v>
      </c>
      <c r="C1419" t="s">
        <v>45</v>
      </c>
      <c r="D1419" t="s">
        <v>178</v>
      </c>
      <c r="E1419" t="s">
        <v>148</v>
      </c>
      <c r="F1419" t="s">
        <v>181</v>
      </c>
      <c r="G1419" t="s">
        <v>28</v>
      </c>
      <c r="H1419" t="s">
        <v>136</v>
      </c>
      <c r="I1419" t="s">
        <v>135</v>
      </c>
      <c r="J1419" t="s">
        <v>39</v>
      </c>
      <c r="K1419" t="s">
        <v>28</v>
      </c>
      <c r="L1419">
        <v>55.245283018867937</v>
      </c>
      <c r="M1419">
        <v>1</v>
      </c>
      <c r="N1419">
        <v>1.5281220060315359</v>
      </c>
      <c r="O1419">
        <v>2.3676355275024612</v>
      </c>
      <c r="P1419">
        <v>-8.7370159319194146E-2</v>
      </c>
      <c r="Q1419">
        <v>1.1280020883331712</v>
      </c>
      <c r="R1419">
        <v>-0.48733586113566763</v>
      </c>
      <c r="S1419" s="2">
        <v>0</v>
      </c>
      <c r="T1419" s="2">
        <v>0</v>
      </c>
      <c r="U1419" s="2">
        <v>5.2163438001185744E-6</v>
      </c>
      <c r="V1419" s="2">
        <v>9.9616008452762734E-6</v>
      </c>
      <c r="W1419" s="2">
        <v>1.6724014750499858E-5</v>
      </c>
      <c r="X1419" s="2">
        <v>2.5856074201572009E-5</v>
      </c>
      <c r="Y1419" s="2">
        <v>3.727133412475294E-5</v>
      </c>
      <c r="Z1419" s="2">
        <v>5.1262710971671989E-5</v>
      </c>
      <c r="AA1419" s="2">
        <v>6.7383933101317745E-5</v>
      </c>
      <c r="AB1419" s="2">
        <v>8.4825658072338215E-5</v>
      </c>
      <c r="AC1419" s="2">
        <v>1.0255262094047873E-4</v>
      </c>
      <c r="AD1419" s="2">
        <v>1.1922995616277216E-4</v>
      </c>
      <c r="AE1419" s="2">
        <v>1.3344764056108719E-4</v>
      </c>
      <c r="AF1419" s="2">
        <v>1.4396066434456631E-4</v>
      </c>
      <c r="AG1419" s="2">
        <v>1.4993076888817453E-4</v>
      </c>
      <c r="AH1419" s="2">
        <v>1.5109116705623224E-4</v>
      </c>
      <c r="AI1419" s="2">
        <v>1.4776891052245707E-4</v>
      </c>
      <c r="AJ1419" s="2">
        <v>1.4113618577666403E-4</v>
      </c>
      <c r="AK1419" s="2">
        <v>1.3127401541726251E-4</v>
      </c>
      <c r="AL1419" s="2">
        <v>1.2036511446898276E-4</v>
      </c>
      <c r="AM1419" s="2">
        <v>1.0770670563410959E-4</v>
      </c>
      <c r="AN1419" s="2">
        <v>9.4531484304688197E-5</v>
      </c>
      <c r="AO1419" s="2">
        <v>8.1327050157767712E-5</v>
      </c>
      <c r="AP1419" s="2">
        <v>6.8098172326256344E-5</v>
      </c>
      <c r="AQ1419" s="2">
        <v>5.4850432460018667E-5</v>
      </c>
      <c r="AR1419" s="2">
        <v>2.0457725588890656E-3</v>
      </c>
    </row>
    <row r="1420" spans="1:44" x14ac:dyDescent="0.25">
      <c r="A1420" t="s">
        <v>131</v>
      </c>
      <c r="B1420" t="s">
        <v>180</v>
      </c>
      <c r="C1420" t="s">
        <v>45</v>
      </c>
      <c r="D1420" t="s">
        <v>178</v>
      </c>
      <c r="E1420" t="s">
        <v>148</v>
      </c>
      <c r="F1420" t="s">
        <v>181</v>
      </c>
      <c r="G1420" t="s">
        <v>28</v>
      </c>
      <c r="H1420" t="s">
        <v>54</v>
      </c>
      <c r="I1420" t="s">
        <v>135</v>
      </c>
      <c r="J1420" t="s">
        <v>39</v>
      </c>
      <c r="K1420" t="s">
        <v>28</v>
      </c>
      <c r="L1420">
        <v>55.245283018867937</v>
      </c>
      <c r="M1420">
        <v>1</v>
      </c>
      <c r="N1420">
        <v>1.5281220060315359</v>
      </c>
      <c r="O1420">
        <v>2.3676355275024612</v>
      </c>
      <c r="P1420">
        <v>-8.7370159319194146E-2</v>
      </c>
      <c r="Q1420">
        <v>1.1280020883331712</v>
      </c>
      <c r="R1420">
        <v>-0.48733586113566763</v>
      </c>
      <c r="S1420" s="2">
        <v>0</v>
      </c>
      <c r="T1420" s="2">
        <v>0</v>
      </c>
      <c r="U1420" s="2">
        <v>0</v>
      </c>
      <c r="V1420" s="2">
        <v>0</v>
      </c>
      <c r="W1420" s="2">
        <v>0</v>
      </c>
      <c r="X1420" s="2">
        <v>0</v>
      </c>
      <c r="Y1420" s="2">
        <v>0</v>
      </c>
      <c r="Z1420" s="2">
        <v>0</v>
      </c>
      <c r="AA1420" s="2">
        <v>0</v>
      </c>
      <c r="AB1420" s="2">
        <v>0</v>
      </c>
      <c r="AC1420" s="2">
        <v>0</v>
      </c>
      <c r="AD1420" s="2">
        <v>0</v>
      </c>
      <c r="AE1420" s="2">
        <v>0</v>
      </c>
      <c r="AF1420" s="2">
        <v>0</v>
      </c>
      <c r="AG1420" s="2">
        <v>0</v>
      </c>
      <c r="AH1420" s="2">
        <v>0</v>
      </c>
      <c r="AI1420" s="2">
        <v>0</v>
      </c>
      <c r="AJ1420" s="2">
        <v>0</v>
      </c>
      <c r="AK1420" s="2">
        <v>0</v>
      </c>
      <c r="AL1420" s="2">
        <v>0</v>
      </c>
      <c r="AM1420" s="2">
        <v>0</v>
      </c>
      <c r="AN1420" s="2">
        <v>0</v>
      </c>
      <c r="AO1420" s="2">
        <v>0</v>
      </c>
      <c r="AP1420" s="2">
        <v>0</v>
      </c>
      <c r="AQ1420" s="2">
        <v>0</v>
      </c>
      <c r="AR1420" s="2">
        <v>0</v>
      </c>
    </row>
    <row r="1421" spans="1:44" x14ac:dyDescent="0.25">
      <c r="A1421" t="s">
        <v>131</v>
      </c>
      <c r="B1421" t="s">
        <v>180</v>
      </c>
      <c r="C1421" t="s">
        <v>45</v>
      </c>
      <c r="D1421" t="s">
        <v>178</v>
      </c>
      <c r="E1421" t="s">
        <v>148</v>
      </c>
      <c r="F1421" t="s">
        <v>181</v>
      </c>
      <c r="G1421" t="s">
        <v>28</v>
      </c>
      <c r="H1421" t="s">
        <v>142</v>
      </c>
      <c r="I1421" t="s">
        <v>135</v>
      </c>
      <c r="J1421" t="s">
        <v>39</v>
      </c>
      <c r="K1421" t="s">
        <v>28</v>
      </c>
      <c r="L1421">
        <v>55.245283018867937</v>
      </c>
      <c r="M1421">
        <v>1</v>
      </c>
      <c r="N1421">
        <v>1.5281220060315359</v>
      </c>
      <c r="O1421">
        <v>2.3676355275024612</v>
      </c>
      <c r="P1421">
        <v>-8.7370159319194146E-2</v>
      </c>
      <c r="Q1421">
        <v>1.1280020883331712</v>
      </c>
      <c r="R1421">
        <v>-0.48733586113566763</v>
      </c>
      <c r="S1421" s="2">
        <v>0</v>
      </c>
      <c r="T1421" s="2">
        <v>0</v>
      </c>
      <c r="U1421" s="2">
        <v>0</v>
      </c>
      <c r="V1421" s="2">
        <v>0</v>
      </c>
      <c r="W1421" s="2">
        <v>0</v>
      </c>
      <c r="X1421" s="2">
        <v>0</v>
      </c>
      <c r="Y1421" s="2">
        <v>0</v>
      </c>
      <c r="Z1421" s="2">
        <v>0</v>
      </c>
      <c r="AA1421" s="2">
        <v>0</v>
      </c>
      <c r="AB1421" s="2">
        <v>0</v>
      </c>
      <c r="AC1421" s="2">
        <v>0</v>
      </c>
      <c r="AD1421" s="2">
        <v>0</v>
      </c>
      <c r="AE1421" s="2">
        <v>0</v>
      </c>
      <c r="AF1421" s="2">
        <v>0</v>
      </c>
      <c r="AG1421" s="2">
        <v>0</v>
      </c>
      <c r="AH1421" s="2">
        <v>0</v>
      </c>
      <c r="AI1421" s="2">
        <v>0</v>
      </c>
      <c r="AJ1421" s="2">
        <v>0</v>
      </c>
      <c r="AK1421" s="2">
        <v>0</v>
      </c>
      <c r="AL1421" s="2">
        <v>0</v>
      </c>
      <c r="AM1421" s="2">
        <v>0</v>
      </c>
      <c r="AN1421" s="2">
        <v>0</v>
      </c>
      <c r="AO1421" s="2">
        <v>0</v>
      </c>
      <c r="AP1421" s="2">
        <v>0</v>
      </c>
      <c r="AQ1421" s="2">
        <v>0</v>
      </c>
      <c r="AR1421" s="2">
        <v>0</v>
      </c>
    </row>
    <row r="1422" spans="1:44" x14ac:dyDescent="0.25">
      <c r="A1422" t="s">
        <v>131</v>
      </c>
      <c r="B1422" t="s">
        <v>180</v>
      </c>
      <c r="C1422" t="s">
        <v>45</v>
      </c>
      <c r="D1422" t="s">
        <v>178</v>
      </c>
      <c r="E1422" t="s">
        <v>148</v>
      </c>
      <c r="F1422" t="s">
        <v>181</v>
      </c>
      <c r="G1422" t="s">
        <v>28</v>
      </c>
      <c r="H1422" t="s">
        <v>53</v>
      </c>
      <c r="I1422" t="s">
        <v>135</v>
      </c>
      <c r="J1422" t="s">
        <v>39</v>
      </c>
      <c r="K1422" t="s">
        <v>28</v>
      </c>
      <c r="L1422">
        <v>55.245283018867937</v>
      </c>
      <c r="M1422">
        <v>1</v>
      </c>
      <c r="N1422">
        <v>1.5281220060315359</v>
      </c>
      <c r="O1422">
        <v>2.3676355275024612</v>
      </c>
      <c r="P1422">
        <v>-8.7370159319194146E-2</v>
      </c>
      <c r="Q1422">
        <v>1.1280020883331712</v>
      </c>
      <c r="R1422">
        <v>-0.48733586113566763</v>
      </c>
      <c r="S1422" s="2">
        <v>0</v>
      </c>
      <c r="T1422" s="2">
        <v>0</v>
      </c>
      <c r="U1422" s="2">
        <v>2.0756840184657472E-4</v>
      </c>
      <c r="V1422" s="2">
        <v>3.9639135120665914E-4</v>
      </c>
      <c r="W1422" s="2">
        <v>6.6548087074722495E-4</v>
      </c>
      <c r="X1422" s="2">
        <v>1.0288631665583013E-3</v>
      </c>
      <c r="Y1422" s="2">
        <v>1.4830984220765514E-3</v>
      </c>
      <c r="Z1422" s="2">
        <v>2.0398423490550874E-3</v>
      </c>
      <c r="AA1422" s="2">
        <v>2.6813369363535952E-3</v>
      </c>
      <c r="AB1422" s="2">
        <v>3.3753768839505714E-3</v>
      </c>
      <c r="AC1422" s="2">
        <v>4.0807669987757943E-3</v>
      </c>
      <c r="AD1422" s="2">
        <v>4.7443904008745222E-3</v>
      </c>
      <c r="AE1422" s="2">
        <v>5.3101395427256042E-3</v>
      </c>
      <c r="AF1422" s="2">
        <v>5.7284730784220731E-3</v>
      </c>
      <c r="AG1422" s="2">
        <v>5.9660350771049975E-3</v>
      </c>
      <c r="AH1422" s="2">
        <v>6.0122095630052138E-3</v>
      </c>
      <c r="AI1422" s="2">
        <v>5.8800105543385757E-3</v>
      </c>
      <c r="AJ1422" s="2">
        <v>5.6160816171122252E-3</v>
      </c>
      <c r="AK1422" s="2">
        <v>5.2236467971157902E-3</v>
      </c>
      <c r="AL1422" s="2">
        <v>4.7895605438886598E-3</v>
      </c>
      <c r="AM1422" s="2">
        <v>4.2858579904423233E-3</v>
      </c>
      <c r="AN1422" s="2">
        <v>3.7615904689529585E-3</v>
      </c>
      <c r="AO1422" s="2">
        <v>3.2361605129937214E-3</v>
      </c>
      <c r="AP1422" s="2">
        <v>2.7097578955805573E-3</v>
      </c>
      <c r="AQ1422" s="2">
        <v>2.1826047213492896E-3</v>
      </c>
      <c r="AR1422" s="2">
        <v>8.1405244144476863E-2</v>
      </c>
    </row>
    <row r="1423" spans="1:44" x14ac:dyDescent="0.25">
      <c r="A1423" t="s">
        <v>131</v>
      </c>
      <c r="B1423" t="s">
        <v>180</v>
      </c>
      <c r="C1423" t="s">
        <v>45</v>
      </c>
      <c r="D1423" t="s">
        <v>178</v>
      </c>
      <c r="E1423" t="s">
        <v>148</v>
      </c>
      <c r="F1423" t="s">
        <v>181</v>
      </c>
      <c r="G1423" t="s">
        <v>28</v>
      </c>
      <c r="H1423" t="s">
        <v>141</v>
      </c>
      <c r="I1423" t="s">
        <v>135</v>
      </c>
      <c r="J1423" t="s">
        <v>39</v>
      </c>
      <c r="K1423" t="s">
        <v>28</v>
      </c>
      <c r="L1423">
        <v>55.245283018867937</v>
      </c>
      <c r="M1423">
        <v>1</v>
      </c>
      <c r="N1423">
        <v>1.5281220060315359</v>
      </c>
      <c r="O1423">
        <v>2.3676355275024612</v>
      </c>
      <c r="P1423">
        <v>-8.7370159319194146E-2</v>
      </c>
      <c r="Q1423">
        <v>1.1280020883331712</v>
      </c>
      <c r="R1423">
        <v>-0.48733586113566763</v>
      </c>
      <c r="S1423" s="2">
        <v>0</v>
      </c>
      <c r="T1423" s="2">
        <v>0</v>
      </c>
      <c r="U1423" s="2">
        <v>1.7470340488753356E-4</v>
      </c>
      <c r="V1423" s="2">
        <v>3.33629387265605E-4</v>
      </c>
      <c r="W1423" s="2">
        <v>5.6011306621224749E-4</v>
      </c>
      <c r="X1423" s="2">
        <v>8.6595983185323595E-4</v>
      </c>
      <c r="Y1423" s="2">
        <v>1.2482745052477637E-3</v>
      </c>
      <c r="Z1423" s="2">
        <v>1.7168673104546986E-3</v>
      </c>
      <c r="AA1423" s="2">
        <v>2.2567919214309443E-3</v>
      </c>
      <c r="AB1423" s="2">
        <v>2.8409422106583991E-3</v>
      </c>
      <c r="AC1423" s="2">
        <v>3.4346455573029551E-3</v>
      </c>
      <c r="AD1423" s="2">
        <v>3.9931952540694041E-3</v>
      </c>
      <c r="AE1423" s="2">
        <v>4.4693674484606941E-3</v>
      </c>
      <c r="AF1423" s="2">
        <v>4.8214648410052361E-3</v>
      </c>
      <c r="AG1423" s="2">
        <v>5.0214128565634186E-3</v>
      </c>
      <c r="AH1423" s="2">
        <v>5.0602763821960394E-3</v>
      </c>
      <c r="AI1423" s="2">
        <v>4.9490088832349613E-3</v>
      </c>
      <c r="AJ1423" s="2">
        <v>4.7268686944027995E-3</v>
      </c>
      <c r="AK1423" s="2">
        <v>4.3965693875724354E-3</v>
      </c>
      <c r="AL1423" s="2">
        <v>4.0312134577729737E-3</v>
      </c>
      <c r="AM1423" s="2">
        <v>3.6072638086222593E-3</v>
      </c>
      <c r="AN1423" s="2">
        <v>3.1660053113687549E-3</v>
      </c>
      <c r="AO1423" s="2">
        <v>2.7237684317697329E-3</v>
      </c>
      <c r="AP1423" s="2">
        <v>2.2807128954469456E-3</v>
      </c>
      <c r="AQ1423" s="2">
        <v>1.8370256404689823E-3</v>
      </c>
      <c r="AR1423" s="2">
        <v>6.8516080488268016E-2</v>
      </c>
    </row>
    <row r="1424" spans="1:44" x14ac:dyDescent="0.25">
      <c r="A1424" t="s">
        <v>131</v>
      </c>
      <c r="B1424" t="s">
        <v>180</v>
      </c>
      <c r="C1424" t="s">
        <v>45</v>
      </c>
      <c r="D1424" t="s">
        <v>178</v>
      </c>
      <c r="E1424" t="s">
        <v>148</v>
      </c>
      <c r="F1424" t="s">
        <v>181</v>
      </c>
      <c r="G1424" t="s">
        <v>28</v>
      </c>
      <c r="H1424" t="s">
        <v>52</v>
      </c>
      <c r="I1424" t="s">
        <v>135</v>
      </c>
      <c r="J1424" t="s">
        <v>39</v>
      </c>
      <c r="K1424" t="s">
        <v>28</v>
      </c>
      <c r="L1424">
        <v>55.245283018867937</v>
      </c>
      <c r="M1424">
        <v>1</v>
      </c>
      <c r="N1424">
        <v>1.5281220060315359</v>
      </c>
      <c r="O1424">
        <v>2.3676355275024612</v>
      </c>
      <c r="P1424">
        <v>-8.7370159319194146E-2</v>
      </c>
      <c r="Q1424">
        <v>1.1280020883331712</v>
      </c>
      <c r="R1424">
        <v>-0.48733586113566763</v>
      </c>
      <c r="S1424" s="2">
        <v>0</v>
      </c>
      <c r="T1424" s="2">
        <v>0</v>
      </c>
      <c r="U1424" s="2">
        <v>1.9153653819793312E-3</v>
      </c>
      <c r="V1424" s="2">
        <v>3.6577545766259727E-3</v>
      </c>
      <c r="W1424" s="2">
        <v>6.1408143573839944E-3</v>
      </c>
      <c r="X1424" s="2">
        <v>9.4939734299058672E-3</v>
      </c>
      <c r="Y1424" s="2">
        <v>1.368549042360165E-2</v>
      </c>
      <c r="Z1424" s="2">
        <v>1.8822919988387445E-2</v>
      </c>
      <c r="AA1424" s="2">
        <v>2.4742397684934317E-2</v>
      </c>
      <c r="AB1424" s="2">
        <v>3.1146744770097184E-2</v>
      </c>
      <c r="AC1424" s="2">
        <v>3.7655827051924155E-2</v>
      </c>
      <c r="AD1424" s="2">
        <v>4.377950136720217E-2</v>
      </c>
      <c r="AE1424" s="2">
        <v>4.9000027764986812E-2</v>
      </c>
      <c r="AF1424" s="2">
        <v>5.2860256804020331E-2</v>
      </c>
      <c r="AG1424" s="2">
        <v>5.5052392140147434E-2</v>
      </c>
      <c r="AH1424" s="2">
        <v>5.5478473427266549E-2</v>
      </c>
      <c r="AI1424" s="2">
        <v>5.4258589271106342E-2</v>
      </c>
      <c r="AJ1424" s="2">
        <v>5.1823149458645731E-2</v>
      </c>
      <c r="AK1424" s="2">
        <v>4.8201904306600818E-2</v>
      </c>
      <c r="AL1424" s="2">
        <v>4.4196314945082749E-2</v>
      </c>
      <c r="AM1424" s="2">
        <v>3.9548331797824278E-2</v>
      </c>
      <c r="AN1424" s="2">
        <v>3.471058263839983E-2</v>
      </c>
      <c r="AO1424" s="2">
        <v>2.9862106958353365E-2</v>
      </c>
      <c r="AP1424" s="2">
        <v>2.5004655913747349E-2</v>
      </c>
      <c r="AQ1424" s="2">
        <v>2.0140279005024176E-2</v>
      </c>
      <c r="AR1424" s="2">
        <v>0.75117785346324784</v>
      </c>
    </row>
    <row r="1425" spans="1:44" x14ac:dyDescent="0.25">
      <c r="A1425" t="s">
        <v>131</v>
      </c>
      <c r="B1425" t="s">
        <v>180</v>
      </c>
      <c r="C1425" t="s">
        <v>45</v>
      </c>
      <c r="D1425" t="s">
        <v>178</v>
      </c>
      <c r="E1425" t="s">
        <v>148</v>
      </c>
      <c r="F1425" t="s">
        <v>181</v>
      </c>
      <c r="G1425" t="s">
        <v>28</v>
      </c>
      <c r="H1425" t="s">
        <v>138</v>
      </c>
      <c r="I1425" t="s">
        <v>135</v>
      </c>
      <c r="J1425" t="s">
        <v>39</v>
      </c>
      <c r="K1425" t="s">
        <v>28</v>
      </c>
      <c r="L1425">
        <v>55.245283018867937</v>
      </c>
      <c r="M1425">
        <v>1</v>
      </c>
      <c r="N1425">
        <v>1.5281220060315359</v>
      </c>
      <c r="O1425">
        <v>2.3676355275024612</v>
      </c>
      <c r="P1425">
        <v>-8.7370159319194146E-2</v>
      </c>
      <c r="Q1425">
        <v>1.1280020883331712</v>
      </c>
      <c r="R1425">
        <v>-0.48733586113566763</v>
      </c>
      <c r="S1425" s="2">
        <v>0</v>
      </c>
      <c r="T1425" s="2">
        <v>0</v>
      </c>
      <c r="U1425" s="2">
        <v>6.6440781287495636E-4</v>
      </c>
      <c r="V1425" s="2">
        <v>1.2688131158442592E-3</v>
      </c>
      <c r="W1425" s="2">
        <v>2.1301445013297512E-3</v>
      </c>
      <c r="X1425" s="2">
        <v>3.2932985953511252E-3</v>
      </c>
      <c r="Y1425" s="2">
        <v>4.7472648540143984E-3</v>
      </c>
      <c r="Z1425" s="2">
        <v>6.5293521638576527E-3</v>
      </c>
      <c r="AA1425" s="2">
        <v>8.5827187260435565E-3</v>
      </c>
      <c r="AB1425" s="2">
        <v>1.0804278267517575E-2</v>
      </c>
      <c r="AC1425" s="2">
        <v>1.3062168674946022E-2</v>
      </c>
      <c r="AD1425" s="2">
        <v>1.5186367585948648E-2</v>
      </c>
      <c r="AE1425" s="2">
        <v>1.6997279779852593E-2</v>
      </c>
      <c r="AF1425" s="2">
        <v>1.8336327857650905E-2</v>
      </c>
      <c r="AG1425" s="2">
        <v>1.9096742480315156E-2</v>
      </c>
      <c r="AH1425" s="2">
        <v>1.9244542862814074E-2</v>
      </c>
      <c r="AI1425" s="2">
        <v>1.8821385708685301E-2</v>
      </c>
      <c r="AJ1425" s="2">
        <v>1.797657288372273E-2</v>
      </c>
      <c r="AK1425" s="2">
        <v>1.6720424268951362E-2</v>
      </c>
      <c r="AL1425" s="2">
        <v>1.5330953157067978E-2</v>
      </c>
      <c r="AM1425" s="2">
        <v>1.3718646520327157E-2</v>
      </c>
      <c r="AN1425" s="2">
        <v>1.2040513267793545E-2</v>
      </c>
      <c r="AO1425" s="2">
        <v>1.0358659166917944E-2</v>
      </c>
      <c r="AP1425" s="2">
        <v>8.673691664081341E-3</v>
      </c>
      <c r="AQ1425" s="2">
        <v>6.9863216962765947E-3</v>
      </c>
      <c r="AR1425" s="2">
        <v>0.26057087561218456</v>
      </c>
    </row>
    <row r="1426" spans="1:44" x14ac:dyDescent="0.25">
      <c r="A1426" t="s">
        <v>131</v>
      </c>
      <c r="B1426" t="s">
        <v>177</v>
      </c>
      <c r="C1426" t="s">
        <v>45</v>
      </c>
      <c r="D1426" t="s">
        <v>178</v>
      </c>
      <c r="E1426" t="s">
        <v>145</v>
      </c>
      <c r="F1426" t="s">
        <v>179</v>
      </c>
      <c r="G1426" t="s">
        <v>28</v>
      </c>
      <c r="H1426" t="s">
        <v>55</v>
      </c>
      <c r="I1426" t="s">
        <v>135</v>
      </c>
      <c r="J1426" t="s">
        <v>39</v>
      </c>
      <c r="K1426" t="s">
        <v>28</v>
      </c>
      <c r="L1426">
        <v>15.099999999999994</v>
      </c>
      <c r="M1426">
        <v>1</v>
      </c>
      <c r="N1426">
        <v>1.4244861623684499</v>
      </c>
      <c r="O1426">
        <v>2.3549237220148114</v>
      </c>
      <c r="P1426">
        <v>-1.1801302289501605E-2</v>
      </c>
      <c r="Q1426">
        <v>1.2035709453628638</v>
      </c>
      <c r="R1426">
        <v>-0.48733586113566879</v>
      </c>
      <c r="S1426" s="2">
        <v>1.6364433782765751E-4</v>
      </c>
      <c r="T1426" s="2">
        <v>3.2094821181014624E-4</v>
      </c>
      <c r="U1426" s="2">
        <v>5.6537414149330654E-4</v>
      </c>
      <c r="V1426" s="2">
        <v>9.070861449403647E-4</v>
      </c>
      <c r="W1426" s="2">
        <v>1.3412289419432644E-3</v>
      </c>
      <c r="X1426" s="2">
        <v>1.8466309674332125E-3</v>
      </c>
      <c r="Y1426" s="2">
        <v>2.3894407434798697E-3</v>
      </c>
      <c r="Z1426" s="2">
        <v>2.9304001337024793E-3</v>
      </c>
      <c r="AA1426" s="2">
        <v>3.4330664477941601E-3</v>
      </c>
      <c r="AB1426" s="2">
        <v>3.8702998595658267E-3</v>
      </c>
      <c r="AC1426" s="2">
        <v>4.2274099463259548E-3</v>
      </c>
      <c r="AD1426" s="2">
        <v>4.5018293461291554E-3</v>
      </c>
      <c r="AE1426" s="2">
        <v>4.7003184127210841E-3</v>
      </c>
      <c r="AF1426" s="2">
        <v>4.8351434731182833E-3</v>
      </c>
      <c r="AG1426" s="2">
        <v>4.9204830127883951E-3</v>
      </c>
      <c r="AH1426" s="2">
        <v>4.9697965257192497E-3</v>
      </c>
      <c r="AI1426" s="2">
        <v>4.99435101996E-3</v>
      </c>
      <c r="AJ1426" s="2">
        <v>5.0078568803796387E-3</v>
      </c>
      <c r="AK1426" s="2">
        <v>5.0140573705095351E-3</v>
      </c>
      <c r="AL1426" s="2">
        <v>3.0268194733988518E-3</v>
      </c>
      <c r="AM1426" s="2">
        <v>0</v>
      </c>
      <c r="AN1426" s="2">
        <v>0</v>
      </c>
      <c r="AO1426" s="2">
        <v>0</v>
      </c>
      <c r="AP1426" s="2">
        <v>0</v>
      </c>
      <c r="AQ1426" s="2">
        <v>0</v>
      </c>
      <c r="AR1426" s="2">
        <v>6.3966185391040431E-2</v>
      </c>
    </row>
    <row r="1427" spans="1:44" x14ac:dyDescent="0.25">
      <c r="A1427" t="s">
        <v>131</v>
      </c>
      <c r="B1427" t="s">
        <v>177</v>
      </c>
      <c r="C1427" t="s">
        <v>45</v>
      </c>
      <c r="D1427" t="s">
        <v>178</v>
      </c>
      <c r="E1427" t="s">
        <v>145</v>
      </c>
      <c r="F1427" t="s">
        <v>179</v>
      </c>
      <c r="G1427" t="s">
        <v>28</v>
      </c>
      <c r="H1427" t="s">
        <v>136</v>
      </c>
      <c r="I1427" t="s">
        <v>135</v>
      </c>
      <c r="J1427" t="s">
        <v>39</v>
      </c>
      <c r="K1427" t="s">
        <v>28</v>
      </c>
      <c r="L1427">
        <v>15.099999999999994</v>
      </c>
      <c r="M1427">
        <v>1</v>
      </c>
      <c r="N1427">
        <v>1.4244861623684499</v>
      </c>
      <c r="O1427">
        <v>2.3549237220148114</v>
      </c>
      <c r="P1427">
        <v>-1.1801302289501605E-2</v>
      </c>
      <c r="Q1427">
        <v>1.2035709453628638</v>
      </c>
      <c r="R1427">
        <v>-0.48733586113566879</v>
      </c>
      <c r="S1427" s="2">
        <v>2.0546455749472558E-4</v>
      </c>
      <c r="T1427" s="2">
        <v>4.0296831038385037E-4</v>
      </c>
      <c r="U1427" s="2">
        <v>7.0985864431937374E-4</v>
      </c>
      <c r="V1427" s="2">
        <v>1.138897048647347E-3</v>
      </c>
      <c r="W1427" s="2">
        <v>1.6839874493287648E-3</v>
      </c>
      <c r="X1427" s="2">
        <v>2.3185477702217005E-3</v>
      </c>
      <c r="Y1427" s="2">
        <v>3.0000756001469487E-3</v>
      </c>
      <c r="Z1427" s="2">
        <v>3.6792801678708895E-3</v>
      </c>
      <c r="AA1427" s="2">
        <v>4.3104056511193362E-3</v>
      </c>
      <c r="AB1427" s="2">
        <v>4.8593764903437598E-3</v>
      </c>
      <c r="AC1427" s="2">
        <v>5.3077480437203634E-3</v>
      </c>
      <c r="AD1427" s="2">
        <v>5.6522968456954956E-3</v>
      </c>
      <c r="AE1427" s="2">
        <v>5.9015108959720279E-3</v>
      </c>
      <c r="AF1427" s="2">
        <v>6.0707912495818438E-3</v>
      </c>
      <c r="AG1427" s="2">
        <v>6.1779397827232069E-3</v>
      </c>
      <c r="AH1427" s="2">
        <v>6.2398556378475047E-3</v>
      </c>
      <c r="AI1427" s="2">
        <v>6.2706851695053349E-3</v>
      </c>
      <c r="AJ1427" s="2">
        <v>6.287642527587769E-3</v>
      </c>
      <c r="AK1427" s="2">
        <v>6.2954275874175254E-3</v>
      </c>
      <c r="AL1427" s="2">
        <v>3.8003400054896657E-3</v>
      </c>
      <c r="AM1427" s="2">
        <v>0</v>
      </c>
      <c r="AN1427" s="2">
        <v>0</v>
      </c>
      <c r="AO1427" s="2">
        <v>0</v>
      </c>
      <c r="AP1427" s="2">
        <v>0</v>
      </c>
      <c r="AQ1427" s="2">
        <v>0</v>
      </c>
      <c r="AR1427" s="2">
        <v>8.0313099435417437E-2</v>
      </c>
    </row>
    <row r="1428" spans="1:44" x14ac:dyDescent="0.25">
      <c r="A1428" t="s">
        <v>131</v>
      </c>
      <c r="B1428" t="s">
        <v>177</v>
      </c>
      <c r="C1428" t="s">
        <v>45</v>
      </c>
      <c r="D1428" t="s">
        <v>178</v>
      </c>
      <c r="E1428" t="s">
        <v>145</v>
      </c>
      <c r="F1428" t="s">
        <v>179</v>
      </c>
      <c r="G1428" t="s">
        <v>28</v>
      </c>
      <c r="H1428" t="s">
        <v>54</v>
      </c>
      <c r="I1428" t="s">
        <v>135</v>
      </c>
      <c r="J1428" t="s">
        <v>39</v>
      </c>
      <c r="K1428" t="s">
        <v>28</v>
      </c>
      <c r="L1428">
        <v>15.099999999999994</v>
      </c>
      <c r="M1428">
        <v>1</v>
      </c>
      <c r="N1428">
        <v>1.4244861623684499</v>
      </c>
      <c r="O1428">
        <v>2.3549237220148114</v>
      </c>
      <c r="P1428">
        <v>-1.1801302289501605E-2</v>
      </c>
      <c r="Q1428">
        <v>1.2035709453628638</v>
      </c>
      <c r="R1428">
        <v>-0.48733586113566879</v>
      </c>
      <c r="S1428" s="2">
        <v>0</v>
      </c>
      <c r="T1428" s="2">
        <v>0</v>
      </c>
      <c r="U1428" s="2">
        <v>0</v>
      </c>
      <c r="V1428" s="2">
        <v>0</v>
      </c>
      <c r="W1428" s="2">
        <v>0</v>
      </c>
      <c r="X1428" s="2">
        <v>0</v>
      </c>
      <c r="Y1428" s="2">
        <v>0</v>
      </c>
      <c r="Z1428" s="2">
        <v>0</v>
      </c>
      <c r="AA1428" s="2">
        <v>0</v>
      </c>
      <c r="AB1428" s="2">
        <v>0</v>
      </c>
      <c r="AC1428" s="2">
        <v>0</v>
      </c>
      <c r="AD1428" s="2">
        <v>0</v>
      </c>
      <c r="AE1428" s="2">
        <v>0</v>
      </c>
      <c r="AF1428" s="2">
        <v>0</v>
      </c>
      <c r="AG1428" s="2">
        <v>0</v>
      </c>
      <c r="AH1428" s="2">
        <v>0</v>
      </c>
      <c r="AI1428" s="2">
        <v>0</v>
      </c>
      <c r="AJ1428" s="2">
        <v>0</v>
      </c>
      <c r="AK1428" s="2">
        <v>0</v>
      </c>
      <c r="AL1428" s="2">
        <v>0</v>
      </c>
      <c r="AM1428" s="2">
        <v>0</v>
      </c>
      <c r="AN1428" s="2">
        <v>0</v>
      </c>
      <c r="AO1428" s="2">
        <v>0</v>
      </c>
      <c r="AP1428" s="2">
        <v>0</v>
      </c>
      <c r="AQ1428" s="2">
        <v>0</v>
      </c>
      <c r="AR1428" s="2">
        <v>0</v>
      </c>
    </row>
    <row r="1429" spans="1:44" x14ac:dyDescent="0.25">
      <c r="A1429" t="s">
        <v>131</v>
      </c>
      <c r="B1429" t="s">
        <v>177</v>
      </c>
      <c r="C1429" t="s">
        <v>45</v>
      </c>
      <c r="D1429" t="s">
        <v>178</v>
      </c>
      <c r="E1429" t="s">
        <v>145</v>
      </c>
      <c r="F1429" t="s">
        <v>179</v>
      </c>
      <c r="G1429" t="s">
        <v>28</v>
      </c>
      <c r="H1429" t="s">
        <v>142</v>
      </c>
      <c r="I1429" t="s">
        <v>135</v>
      </c>
      <c r="J1429" t="s">
        <v>39</v>
      </c>
      <c r="K1429" t="s">
        <v>28</v>
      </c>
      <c r="L1429">
        <v>15.099999999999994</v>
      </c>
      <c r="M1429">
        <v>1</v>
      </c>
      <c r="N1429">
        <v>1.4244861623684499</v>
      </c>
      <c r="O1429">
        <v>2.3549237220148114</v>
      </c>
      <c r="P1429">
        <v>-1.1801302289501605E-2</v>
      </c>
      <c r="Q1429">
        <v>1.2035709453628638</v>
      </c>
      <c r="R1429">
        <v>-0.48733586113566879</v>
      </c>
      <c r="S1429" s="2">
        <v>0</v>
      </c>
      <c r="T1429" s="2">
        <v>0</v>
      </c>
      <c r="U1429" s="2">
        <v>0</v>
      </c>
      <c r="V1429" s="2">
        <v>0</v>
      </c>
      <c r="W1429" s="2">
        <v>0</v>
      </c>
      <c r="X1429" s="2">
        <v>0</v>
      </c>
      <c r="Y1429" s="2">
        <v>0</v>
      </c>
      <c r="Z1429" s="2">
        <v>0</v>
      </c>
      <c r="AA1429" s="2">
        <v>0</v>
      </c>
      <c r="AB1429" s="2">
        <v>0</v>
      </c>
      <c r="AC1429" s="2">
        <v>0</v>
      </c>
      <c r="AD1429" s="2">
        <v>0</v>
      </c>
      <c r="AE1429" s="2">
        <v>0</v>
      </c>
      <c r="AF1429" s="2">
        <v>0</v>
      </c>
      <c r="AG1429" s="2">
        <v>0</v>
      </c>
      <c r="AH1429" s="2">
        <v>0</v>
      </c>
      <c r="AI1429" s="2">
        <v>0</v>
      </c>
      <c r="AJ1429" s="2">
        <v>0</v>
      </c>
      <c r="AK1429" s="2">
        <v>0</v>
      </c>
      <c r="AL1429" s="2">
        <v>0</v>
      </c>
      <c r="AM1429" s="2">
        <v>0</v>
      </c>
      <c r="AN1429" s="2">
        <v>0</v>
      </c>
      <c r="AO1429" s="2">
        <v>0</v>
      </c>
      <c r="AP1429" s="2">
        <v>0</v>
      </c>
      <c r="AQ1429" s="2">
        <v>0</v>
      </c>
      <c r="AR1429" s="2">
        <v>0</v>
      </c>
    </row>
    <row r="1430" spans="1:44" x14ac:dyDescent="0.25">
      <c r="A1430" t="s">
        <v>131</v>
      </c>
      <c r="B1430" t="s">
        <v>177</v>
      </c>
      <c r="C1430" t="s">
        <v>45</v>
      </c>
      <c r="D1430" t="s">
        <v>178</v>
      </c>
      <c r="E1430" t="s">
        <v>145</v>
      </c>
      <c r="F1430" t="s">
        <v>179</v>
      </c>
      <c r="G1430" t="s">
        <v>28</v>
      </c>
      <c r="H1430" t="s">
        <v>53</v>
      </c>
      <c r="I1430" t="s">
        <v>135</v>
      </c>
      <c r="J1430" t="s">
        <v>39</v>
      </c>
      <c r="K1430" t="s">
        <v>28</v>
      </c>
      <c r="L1430">
        <v>15.099999999999994</v>
      </c>
      <c r="M1430">
        <v>1</v>
      </c>
      <c r="N1430">
        <v>1.4244861623684499</v>
      </c>
      <c r="O1430">
        <v>2.3549237220148114</v>
      </c>
      <c r="P1430">
        <v>-1.1801302289501605E-2</v>
      </c>
      <c r="Q1430">
        <v>1.2035709453628638</v>
      </c>
      <c r="R1430">
        <v>-0.48733586113566879</v>
      </c>
      <c r="S1430" s="2">
        <v>1.4212100543310689E-3</v>
      </c>
      <c r="T1430" s="2">
        <v>2.7873547694912421E-3</v>
      </c>
      <c r="U1430" s="2">
        <v>4.9101327000712243E-3</v>
      </c>
      <c r="V1430" s="2">
        <v>7.8778157951993298E-3</v>
      </c>
      <c r="W1430" s="2">
        <v>1.1648237163311294E-2</v>
      </c>
      <c r="X1430" s="2">
        <v>1.6037527068728383E-2</v>
      </c>
      <c r="Y1430" s="2">
        <v>2.075169391096375E-2</v>
      </c>
      <c r="Z1430" s="2">
        <v>2.544979061614188E-2</v>
      </c>
      <c r="AA1430" s="2">
        <v>2.9815321553808692E-2</v>
      </c>
      <c r="AB1430" s="2">
        <v>3.3612584136482326E-2</v>
      </c>
      <c r="AC1430" s="2">
        <v>3.6713995725443239E-2</v>
      </c>
      <c r="AD1430" s="2">
        <v>3.9097259425740334E-2</v>
      </c>
      <c r="AE1430" s="2">
        <v>4.0821087215078974E-2</v>
      </c>
      <c r="AF1430" s="2">
        <v>4.1992009068874445E-2</v>
      </c>
      <c r="AG1430" s="2">
        <v>4.2733161579380965E-2</v>
      </c>
      <c r="AH1430" s="2">
        <v>4.3161437078075751E-2</v>
      </c>
      <c r="AI1430" s="2">
        <v>4.3374686705635254E-2</v>
      </c>
      <c r="AJ1430" s="2">
        <v>4.3491981717950295E-2</v>
      </c>
      <c r="AK1430" s="2">
        <v>4.3545831420490365E-2</v>
      </c>
      <c r="AL1430" s="2">
        <v>2.6287168412572167E-2</v>
      </c>
      <c r="AM1430" s="2">
        <v>0</v>
      </c>
      <c r="AN1430" s="2">
        <v>0</v>
      </c>
      <c r="AO1430" s="2">
        <v>0</v>
      </c>
      <c r="AP1430" s="2">
        <v>0</v>
      </c>
      <c r="AQ1430" s="2">
        <v>0</v>
      </c>
      <c r="AR1430" s="2">
        <v>0.55553028611777089</v>
      </c>
    </row>
    <row r="1431" spans="1:44" x14ac:dyDescent="0.25">
      <c r="A1431" t="s">
        <v>131</v>
      </c>
      <c r="B1431" t="s">
        <v>177</v>
      </c>
      <c r="C1431" t="s">
        <v>45</v>
      </c>
      <c r="D1431" t="s">
        <v>178</v>
      </c>
      <c r="E1431" t="s">
        <v>145</v>
      </c>
      <c r="F1431" t="s">
        <v>179</v>
      </c>
      <c r="G1431" t="s">
        <v>28</v>
      </c>
      <c r="H1431" t="s">
        <v>141</v>
      </c>
      <c r="I1431" t="s">
        <v>135</v>
      </c>
      <c r="J1431" t="s">
        <v>39</v>
      </c>
      <c r="K1431" t="s">
        <v>28</v>
      </c>
      <c r="L1431">
        <v>15.099999999999994</v>
      </c>
      <c r="M1431">
        <v>1</v>
      </c>
      <c r="N1431">
        <v>1.4244861623684499</v>
      </c>
      <c r="O1431">
        <v>2.3549237220148114</v>
      </c>
      <c r="P1431">
        <v>-1.1801302289501605E-2</v>
      </c>
      <c r="Q1431">
        <v>1.2035709453628638</v>
      </c>
      <c r="R1431">
        <v>-0.48733586113566879</v>
      </c>
      <c r="S1431" s="2">
        <v>1.1961851290619827E-3</v>
      </c>
      <c r="T1431" s="2">
        <v>2.3460235976551281E-3</v>
      </c>
      <c r="U1431" s="2">
        <v>4.1326950225599457E-3</v>
      </c>
      <c r="V1431" s="2">
        <v>6.6304949609594351E-3</v>
      </c>
      <c r="W1431" s="2">
        <v>9.8039329457870021E-3</v>
      </c>
      <c r="X1431" s="2">
        <v>1.3498251949513058E-2</v>
      </c>
      <c r="Y1431" s="2">
        <v>1.7466009041727824E-2</v>
      </c>
      <c r="Z1431" s="2">
        <v>2.1420240435252744E-2</v>
      </c>
      <c r="AA1431" s="2">
        <v>2.5094562307788979E-2</v>
      </c>
      <c r="AB1431" s="2">
        <v>2.8290591648205955E-2</v>
      </c>
      <c r="AC1431" s="2">
        <v>3.0900946402248056E-2</v>
      </c>
      <c r="AD1431" s="2">
        <v>3.2906860016664763E-2</v>
      </c>
      <c r="AE1431" s="2">
        <v>3.4357748406024791E-2</v>
      </c>
      <c r="AF1431" s="2">
        <v>3.534327429963597E-2</v>
      </c>
      <c r="AG1431" s="2">
        <v>3.596707766264564E-2</v>
      </c>
      <c r="AH1431" s="2">
        <v>3.6327542874047082E-2</v>
      </c>
      <c r="AI1431" s="2">
        <v>3.6507027977242999E-2</v>
      </c>
      <c r="AJ1431" s="2">
        <v>3.6605751279274831E-2</v>
      </c>
      <c r="AK1431" s="2">
        <v>3.6651074778912732E-2</v>
      </c>
      <c r="AL1431" s="2">
        <v>2.2125033413914939E-2</v>
      </c>
      <c r="AM1431" s="2">
        <v>0</v>
      </c>
      <c r="AN1431" s="2">
        <v>0</v>
      </c>
      <c r="AO1431" s="2">
        <v>0</v>
      </c>
      <c r="AP1431" s="2">
        <v>0</v>
      </c>
      <c r="AQ1431" s="2">
        <v>0</v>
      </c>
      <c r="AR1431" s="2">
        <v>0.46757132414912383</v>
      </c>
    </row>
    <row r="1432" spans="1:44" x14ac:dyDescent="0.25">
      <c r="A1432" t="s">
        <v>131</v>
      </c>
      <c r="B1432" t="s">
        <v>177</v>
      </c>
      <c r="C1432" t="s">
        <v>45</v>
      </c>
      <c r="D1432" t="s">
        <v>178</v>
      </c>
      <c r="E1432" t="s">
        <v>145</v>
      </c>
      <c r="F1432" t="s">
        <v>179</v>
      </c>
      <c r="G1432" t="s">
        <v>28</v>
      </c>
      <c r="H1432" t="s">
        <v>52</v>
      </c>
      <c r="I1432" t="s">
        <v>135</v>
      </c>
      <c r="J1432" t="s">
        <v>39</v>
      </c>
      <c r="K1432" t="s">
        <v>28</v>
      </c>
      <c r="L1432">
        <v>15.099999999999994</v>
      </c>
      <c r="M1432">
        <v>1</v>
      </c>
      <c r="N1432">
        <v>1.4244861623684499</v>
      </c>
      <c r="O1432">
        <v>2.3549237220148114</v>
      </c>
      <c r="P1432">
        <v>-1.1801302289501605E-2</v>
      </c>
      <c r="Q1432">
        <v>1.2035709453628638</v>
      </c>
      <c r="R1432">
        <v>-0.48733586113566879</v>
      </c>
      <c r="S1432" s="2">
        <v>7.5443589557911001E-2</v>
      </c>
      <c r="T1432" s="2">
        <v>0.14796408774406022</v>
      </c>
      <c r="U1432" s="2">
        <v>0.260649743484546</v>
      </c>
      <c r="V1432" s="2">
        <v>0.41818638958727639</v>
      </c>
      <c r="W1432" s="2">
        <v>0.61833563655422252</v>
      </c>
      <c r="X1432" s="2">
        <v>0.85133693362908103</v>
      </c>
      <c r="Y1432" s="2">
        <v>1.1015840151701111</v>
      </c>
      <c r="Z1432" s="2">
        <v>1.35097802870716</v>
      </c>
      <c r="AA1432" s="2">
        <v>1.5827181034835907</v>
      </c>
      <c r="AB1432" s="2">
        <v>1.78429219090143</v>
      </c>
      <c r="AC1432" s="2">
        <v>1.9489276874310726</v>
      </c>
      <c r="AD1432" s="2">
        <v>2.0754409835237535</v>
      </c>
      <c r="AE1432" s="2">
        <v>2.1669487489037262</v>
      </c>
      <c r="AF1432" s="2">
        <v>2.2291060264102618</v>
      </c>
      <c r="AG1432" s="2">
        <v>2.2684494054076656</v>
      </c>
      <c r="AH1432" s="2">
        <v>2.2911840045914911</v>
      </c>
      <c r="AI1432" s="2">
        <v>2.3025041590795254</v>
      </c>
      <c r="AJ1432" s="2">
        <v>2.3087306537059313</v>
      </c>
      <c r="AK1432" s="2">
        <v>2.311589214158603</v>
      </c>
      <c r="AL1432" s="2">
        <v>1.3954294358628243</v>
      </c>
      <c r="AM1432" s="2">
        <v>0</v>
      </c>
      <c r="AN1432" s="2">
        <v>0</v>
      </c>
      <c r="AO1432" s="2">
        <v>0</v>
      </c>
      <c r="AP1432" s="2">
        <v>0</v>
      </c>
      <c r="AQ1432" s="2">
        <v>0</v>
      </c>
      <c r="AR1432" s="2">
        <v>29.48979903789424</v>
      </c>
    </row>
    <row r="1433" spans="1:44" x14ac:dyDescent="0.25">
      <c r="A1433" t="s">
        <v>131</v>
      </c>
      <c r="B1433" t="s">
        <v>177</v>
      </c>
      <c r="C1433" t="s">
        <v>45</v>
      </c>
      <c r="D1433" t="s">
        <v>178</v>
      </c>
      <c r="E1433" t="s">
        <v>145</v>
      </c>
      <c r="F1433" t="s">
        <v>179</v>
      </c>
      <c r="G1433" t="s">
        <v>28</v>
      </c>
      <c r="H1433" t="s">
        <v>138</v>
      </c>
      <c r="I1433" t="s">
        <v>135</v>
      </c>
      <c r="J1433" t="s">
        <v>39</v>
      </c>
      <c r="K1433" t="s">
        <v>28</v>
      </c>
      <c r="L1433">
        <v>15.099999999999994</v>
      </c>
      <c r="M1433">
        <v>1</v>
      </c>
      <c r="N1433">
        <v>1.4244861623684499</v>
      </c>
      <c r="O1433">
        <v>2.3549237220148114</v>
      </c>
      <c r="P1433">
        <v>-1.1801302289501605E-2</v>
      </c>
      <c r="Q1433">
        <v>1.2035709453628638</v>
      </c>
      <c r="R1433">
        <v>-0.48733586113566879</v>
      </c>
      <c r="S1433" s="2">
        <v>2.6170103524481701E-2</v>
      </c>
      <c r="T1433" s="2">
        <v>5.1326236156820158E-2</v>
      </c>
      <c r="U1433" s="2">
        <v>9.0414981718017873E-2</v>
      </c>
      <c r="V1433" s="2">
        <v>0.14506177625108341</v>
      </c>
      <c r="W1433" s="2">
        <v>0.21449016034793733</v>
      </c>
      <c r="X1433" s="2">
        <v>0.29531436425338586</v>
      </c>
      <c r="Y1433" s="2">
        <v>0.38212083871999519</v>
      </c>
      <c r="Z1433" s="2">
        <v>0.46863139834336337</v>
      </c>
      <c r="AA1433" s="2">
        <v>0.54901810559322251</v>
      </c>
      <c r="AB1433" s="2">
        <v>0.61894074271176103</v>
      </c>
      <c r="AC1433" s="2">
        <v>0.67605000823362427</v>
      </c>
      <c r="AD1433" s="2">
        <v>0.71993532805165095</v>
      </c>
      <c r="AE1433" s="2">
        <v>0.75167782211007095</v>
      </c>
      <c r="AF1433" s="2">
        <v>0.77323912899748137</v>
      </c>
      <c r="AG1433" s="2">
        <v>0.78688668086237057</v>
      </c>
      <c r="AH1433" s="2">
        <v>0.79477292829193669</v>
      </c>
      <c r="AI1433" s="2">
        <v>0.79869969816862163</v>
      </c>
      <c r="AJ1433" s="2">
        <v>0.80085956370421607</v>
      </c>
      <c r="AK1433" s="2">
        <v>0.80185114991340556</v>
      </c>
      <c r="AL1433" s="2">
        <v>0.48405083866810955</v>
      </c>
      <c r="AM1433" s="2">
        <v>0</v>
      </c>
      <c r="AN1433" s="2">
        <v>0</v>
      </c>
      <c r="AO1433" s="2">
        <v>0</v>
      </c>
      <c r="AP1433" s="2">
        <v>0</v>
      </c>
      <c r="AQ1433" s="2">
        <v>0</v>
      </c>
      <c r="AR1433" s="2">
        <v>10.229511854621556</v>
      </c>
    </row>
    <row r="1434" spans="1:44" x14ac:dyDescent="0.25">
      <c r="A1434" t="s">
        <v>131</v>
      </c>
      <c r="B1434" t="s">
        <v>184</v>
      </c>
      <c r="C1434" t="s">
        <v>45</v>
      </c>
      <c r="D1434" t="s">
        <v>178</v>
      </c>
      <c r="E1434" t="s">
        <v>145</v>
      </c>
      <c r="F1434" t="s">
        <v>185</v>
      </c>
      <c r="G1434" t="s">
        <v>28</v>
      </c>
      <c r="H1434" t="s">
        <v>54</v>
      </c>
      <c r="I1434" t="s">
        <v>135</v>
      </c>
      <c r="J1434" t="s">
        <v>39</v>
      </c>
      <c r="K1434" t="s">
        <v>28</v>
      </c>
      <c r="L1434">
        <v>1.1100000000000001</v>
      </c>
      <c r="M1434">
        <v>1</v>
      </c>
      <c r="N1434">
        <v>2.7689683863787629</v>
      </c>
      <c r="O1434">
        <v>2.3549237220148114</v>
      </c>
      <c r="P1434">
        <v>-0.59619935801880586</v>
      </c>
      <c r="Q1434">
        <v>0.61917288963355954</v>
      </c>
      <c r="R1434">
        <v>-0.48733586113566862</v>
      </c>
      <c r="S1434" s="2">
        <v>1.4489912177601853E-3</v>
      </c>
      <c r="T1434" s="2">
        <v>2.8418407043114906E-3</v>
      </c>
      <c r="U1434" s="2">
        <v>5.0061137259467649E-3</v>
      </c>
      <c r="V1434" s="2">
        <v>8.0318077314398325E-3</v>
      </c>
      <c r="W1434" s="2">
        <v>1.1875931570136592E-2</v>
      </c>
      <c r="X1434" s="2">
        <v>1.6351021304951568E-2</v>
      </c>
      <c r="Y1434" s="2">
        <v>2.1157338522198109E-2</v>
      </c>
      <c r="Z1434" s="2">
        <v>2.5947271470706072E-2</v>
      </c>
      <c r="AA1434" s="2">
        <v>3.0398137808347433E-2</v>
      </c>
      <c r="AB1434" s="2">
        <v>3.4269627541378633E-2</v>
      </c>
      <c r="AC1434" s="2">
        <v>3.743166410407324E-2</v>
      </c>
      <c r="AD1434" s="2">
        <v>3.986151475198646E-2</v>
      </c>
      <c r="AE1434" s="2">
        <v>4.1619039137682071E-2</v>
      </c>
      <c r="AF1434" s="2">
        <v>4.2812849635759154E-2</v>
      </c>
      <c r="AG1434" s="2">
        <v>4.3568489856198156E-2</v>
      </c>
      <c r="AH1434" s="2">
        <v>4.4005137088251906E-2</v>
      </c>
      <c r="AI1434" s="2">
        <v>4.4222555221892793E-2</v>
      </c>
      <c r="AJ1434" s="2">
        <v>4.434214306340406E-2</v>
      </c>
      <c r="AK1434" s="2">
        <v>4.4397045395273858E-2</v>
      </c>
      <c r="AL1434" s="2">
        <v>4.4269484205291317E-2</v>
      </c>
      <c r="AM1434" s="2">
        <v>4.413762242640272E-2</v>
      </c>
      <c r="AN1434" s="2">
        <v>2.553076328191406E-2</v>
      </c>
      <c r="AO1434" s="2">
        <v>0</v>
      </c>
      <c r="AP1434" s="2">
        <v>0</v>
      </c>
      <c r="AQ1434" s="2">
        <v>0</v>
      </c>
      <c r="AR1434" s="2">
        <v>0.65352638976530641</v>
      </c>
    </row>
    <row r="1435" spans="1:44" x14ac:dyDescent="0.25">
      <c r="A1435" t="s">
        <v>131</v>
      </c>
      <c r="B1435" t="s">
        <v>184</v>
      </c>
      <c r="C1435" t="s">
        <v>45</v>
      </c>
      <c r="D1435" t="s">
        <v>178</v>
      </c>
      <c r="E1435" t="s">
        <v>145</v>
      </c>
      <c r="F1435" t="s">
        <v>185</v>
      </c>
      <c r="G1435" t="s">
        <v>28</v>
      </c>
      <c r="H1435" t="s">
        <v>142</v>
      </c>
      <c r="I1435" t="s">
        <v>135</v>
      </c>
      <c r="J1435" t="s">
        <v>39</v>
      </c>
      <c r="K1435" t="s">
        <v>28</v>
      </c>
      <c r="L1435">
        <v>1.1100000000000001</v>
      </c>
      <c r="M1435">
        <v>1</v>
      </c>
      <c r="N1435">
        <v>2.7689683863787629</v>
      </c>
      <c r="O1435">
        <v>2.3549237220148114</v>
      </c>
      <c r="P1435">
        <v>-0.59619935801880586</v>
      </c>
      <c r="Q1435">
        <v>0.61917288963355954</v>
      </c>
      <c r="R1435">
        <v>-0.48733586113566862</v>
      </c>
      <c r="S1435" s="2">
        <v>3.0466260936958659E-3</v>
      </c>
      <c r="T1435" s="2">
        <v>5.9752094683263729E-3</v>
      </c>
      <c r="U1435" s="2">
        <v>1.0525775807705881E-2</v>
      </c>
      <c r="V1435" s="2">
        <v>1.6887552328976686E-2</v>
      </c>
      <c r="W1435" s="2">
        <v>2.4970146516452418E-2</v>
      </c>
      <c r="X1435" s="2">
        <v>3.4379399651052356E-2</v>
      </c>
      <c r="Y1435" s="2">
        <v>4.44850864690014E-2</v>
      </c>
      <c r="Z1435" s="2">
        <v>5.455632398176951E-2</v>
      </c>
      <c r="AA1435" s="2">
        <v>6.3914645383310917E-2</v>
      </c>
      <c r="AB1435" s="2">
        <v>7.2054778668839678E-2</v>
      </c>
      <c r="AC1435" s="2">
        <v>7.870322690168477E-2</v>
      </c>
      <c r="AD1435" s="2">
        <v>8.3812192571717861E-2</v>
      </c>
      <c r="AE1435" s="2">
        <v>8.7507535640838671E-2</v>
      </c>
      <c r="AF1435" s="2">
        <v>9.0017622775798542E-2</v>
      </c>
      <c r="AG1435" s="2">
        <v>9.1606419991970917E-2</v>
      </c>
      <c r="AH1435" s="2">
        <v>9.252450757912091E-2</v>
      </c>
      <c r="AI1435" s="2">
        <v>9.2981647519704516E-2</v>
      </c>
      <c r="AJ1435" s="2">
        <v>9.3233091030176699E-2</v>
      </c>
      <c r="AK1435" s="2">
        <v>9.3348527807728607E-2</v>
      </c>
      <c r="AL1435" s="2">
        <v>9.3080319660446317E-2</v>
      </c>
      <c r="AM1435" s="2">
        <v>9.280306916272138E-2</v>
      </c>
      <c r="AN1435" s="2">
        <v>5.3680580429525677E-2</v>
      </c>
      <c r="AO1435" s="2">
        <v>0</v>
      </c>
      <c r="AP1435" s="2">
        <v>0</v>
      </c>
      <c r="AQ1435" s="2">
        <v>0</v>
      </c>
      <c r="AR1435" s="2">
        <v>1.3740942854405656</v>
      </c>
    </row>
    <row r="1436" spans="1:44" x14ac:dyDescent="0.25">
      <c r="A1436" t="s">
        <v>131</v>
      </c>
      <c r="B1436" t="s">
        <v>184</v>
      </c>
      <c r="C1436" t="s">
        <v>45</v>
      </c>
      <c r="D1436" t="s">
        <v>178</v>
      </c>
      <c r="E1436" t="s">
        <v>145</v>
      </c>
      <c r="F1436" t="s">
        <v>185</v>
      </c>
      <c r="G1436" t="s">
        <v>28</v>
      </c>
      <c r="H1436" t="s">
        <v>53</v>
      </c>
      <c r="I1436" t="s">
        <v>135</v>
      </c>
      <c r="J1436" t="s">
        <v>39</v>
      </c>
      <c r="K1436" t="s">
        <v>28</v>
      </c>
      <c r="L1436">
        <v>1.1100000000000001</v>
      </c>
      <c r="M1436">
        <v>1</v>
      </c>
      <c r="N1436">
        <v>2.7689683863787629</v>
      </c>
      <c r="O1436">
        <v>2.3549237220148114</v>
      </c>
      <c r="P1436">
        <v>-0.59619935801880586</v>
      </c>
      <c r="Q1436">
        <v>0.61917288963355954</v>
      </c>
      <c r="R1436">
        <v>-0.48733586113566862</v>
      </c>
      <c r="S1436" s="2">
        <v>2.8651656053566127E-3</v>
      </c>
      <c r="T1436" s="2">
        <v>5.6193192492097546E-3</v>
      </c>
      <c r="U1436" s="2">
        <v>9.8988487219804529E-3</v>
      </c>
      <c r="V1436" s="2">
        <v>1.5881710654210044E-2</v>
      </c>
      <c r="W1436" s="2">
        <v>2.3482896410456814E-2</v>
      </c>
      <c r="X1436" s="2">
        <v>3.2331723809767114E-2</v>
      </c>
      <c r="Y1436" s="2">
        <v>4.1835504516302253E-2</v>
      </c>
      <c r="Z1436" s="2">
        <v>5.1306887757150012E-2</v>
      </c>
      <c r="AA1436" s="2">
        <v>6.0107816974900558E-2</v>
      </c>
      <c r="AB1436" s="2">
        <v>6.7763114735585883E-2</v>
      </c>
      <c r="AC1436" s="2">
        <v>7.4015573888731742E-2</v>
      </c>
      <c r="AD1436" s="2">
        <v>7.8820243797853781E-2</v>
      </c>
      <c r="AE1436" s="2">
        <v>8.2295488063484648E-2</v>
      </c>
      <c r="AF1436" s="2">
        <v>8.4656071575986078E-2</v>
      </c>
      <c r="AG1436" s="2">
        <v>8.6150238236963231E-2</v>
      </c>
      <c r="AH1436" s="2">
        <v>8.7013643491336279E-2</v>
      </c>
      <c r="AI1436" s="2">
        <v>8.7443555661164074E-2</v>
      </c>
      <c r="AJ1436" s="2">
        <v>8.7680022912391853E-2</v>
      </c>
      <c r="AK1436" s="2">
        <v>8.7788584145199328E-2</v>
      </c>
      <c r="AL1436" s="2">
        <v>8.7536350777849201E-2</v>
      </c>
      <c r="AM1436" s="2">
        <v>8.7275613632653307E-2</v>
      </c>
      <c r="AN1436" s="2">
        <v>5.0483304479177496E-2</v>
      </c>
      <c r="AO1436" s="2">
        <v>0</v>
      </c>
      <c r="AP1436" s="2">
        <v>0</v>
      </c>
      <c r="AQ1436" s="2">
        <v>0</v>
      </c>
      <c r="AR1436" s="2">
        <v>1.2922516790977103</v>
      </c>
    </row>
    <row r="1437" spans="1:44" x14ac:dyDescent="0.25">
      <c r="A1437" t="s">
        <v>131</v>
      </c>
      <c r="B1437" t="s">
        <v>184</v>
      </c>
      <c r="C1437" t="s">
        <v>45</v>
      </c>
      <c r="D1437" t="s">
        <v>178</v>
      </c>
      <c r="E1437" t="s">
        <v>145</v>
      </c>
      <c r="F1437" t="s">
        <v>185</v>
      </c>
      <c r="G1437" t="s">
        <v>28</v>
      </c>
      <c r="H1437" t="s">
        <v>141</v>
      </c>
      <c r="I1437" t="s">
        <v>135</v>
      </c>
      <c r="J1437" t="s">
        <v>39</v>
      </c>
      <c r="K1437" t="s">
        <v>28</v>
      </c>
      <c r="L1437">
        <v>1.1100000000000001</v>
      </c>
      <c r="M1437">
        <v>1</v>
      </c>
      <c r="N1437">
        <v>2.7689683863787629</v>
      </c>
      <c r="O1437">
        <v>2.3549237220148114</v>
      </c>
      <c r="P1437">
        <v>-0.59619935801880586</v>
      </c>
      <c r="Q1437">
        <v>0.61917288963355954</v>
      </c>
      <c r="R1437">
        <v>-0.48733586113566862</v>
      </c>
      <c r="S1437" s="2">
        <v>2.4115143845084824E-3</v>
      </c>
      <c r="T1437" s="2">
        <v>4.7295937014182098E-3</v>
      </c>
      <c r="U1437" s="2">
        <v>8.3315310076668772E-3</v>
      </c>
      <c r="V1437" s="2">
        <v>1.3367106467293456E-2</v>
      </c>
      <c r="W1437" s="2">
        <v>1.9764771145467815E-2</v>
      </c>
      <c r="X1437" s="2">
        <v>2.7212534206553989E-2</v>
      </c>
      <c r="Y1437" s="2">
        <v>3.521154963455439E-2</v>
      </c>
      <c r="Z1437" s="2">
        <v>4.3183297195601246E-2</v>
      </c>
      <c r="AA1437" s="2">
        <v>5.0590745953874618E-2</v>
      </c>
      <c r="AB1437" s="2">
        <v>5.7033954902451452E-2</v>
      </c>
      <c r="AC1437" s="2">
        <v>6.2296441356349215E-2</v>
      </c>
      <c r="AD1437" s="2">
        <v>6.6340371863193554E-2</v>
      </c>
      <c r="AE1437" s="2">
        <v>6.9265369120099562E-2</v>
      </c>
      <c r="AF1437" s="2">
        <v>7.1252193576454945E-2</v>
      </c>
      <c r="AG1437" s="2">
        <v>7.2509783849444037E-2</v>
      </c>
      <c r="AH1437" s="2">
        <v>7.3236483271874708E-2</v>
      </c>
      <c r="AI1437" s="2">
        <v>7.3598326014813073E-2</v>
      </c>
      <c r="AJ1437" s="2">
        <v>7.3797352617929815E-2</v>
      </c>
      <c r="AK1437" s="2">
        <v>7.3888724988876053E-2</v>
      </c>
      <c r="AL1437" s="2">
        <v>7.3676428571356395E-2</v>
      </c>
      <c r="AM1437" s="2">
        <v>7.34569748074832E-2</v>
      </c>
      <c r="AN1437" s="2">
        <v>4.2490114603307837E-2</v>
      </c>
      <c r="AO1437" s="2">
        <v>0</v>
      </c>
      <c r="AP1437" s="2">
        <v>0</v>
      </c>
      <c r="AQ1437" s="2">
        <v>0</v>
      </c>
      <c r="AR1437" s="2">
        <v>1.087645163240573</v>
      </c>
    </row>
    <row r="1438" spans="1:44" x14ac:dyDescent="0.25">
      <c r="A1438" t="s">
        <v>131</v>
      </c>
      <c r="B1438" t="s">
        <v>182</v>
      </c>
      <c r="C1438" t="s">
        <v>45</v>
      </c>
      <c r="D1438" t="s">
        <v>183</v>
      </c>
      <c r="E1438" t="s">
        <v>145</v>
      </c>
      <c r="F1438" t="s">
        <v>183</v>
      </c>
      <c r="G1438" t="s">
        <v>28</v>
      </c>
      <c r="H1438" t="s">
        <v>55</v>
      </c>
      <c r="I1438" t="s">
        <v>135</v>
      </c>
      <c r="J1438" t="s">
        <v>39</v>
      </c>
      <c r="K1438" t="s">
        <v>28</v>
      </c>
      <c r="L1438">
        <v>60.69</v>
      </c>
      <c r="M1438">
        <v>1</v>
      </c>
      <c r="N1438">
        <v>1.1095777125005235</v>
      </c>
      <c r="O1438">
        <v>2.3549237220148118</v>
      </c>
      <c r="P1438">
        <v>0.32978329916770832</v>
      </c>
      <c r="Q1438">
        <v>1.5451555468200735</v>
      </c>
      <c r="R1438">
        <v>-0.48733586113566879</v>
      </c>
      <c r="S1438" s="2">
        <v>7.5054642817679387E-4</v>
      </c>
      <c r="T1438" s="2">
        <v>1.4113436390722344E-3</v>
      </c>
      <c r="U1438" s="2">
        <v>2.4132281838858613E-3</v>
      </c>
      <c r="V1438" s="2">
        <v>3.8461771672713896E-3</v>
      </c>
      <c r="W1438" s="2">
        <v>5.7922449013042051E-3</v>
      </c>
      <c r="X1438" s="2">
        <v>8.3103474966800556E-3</v>
      </c>
      <c r="Y1438" s="2">
        <v>1.1418099405626778E-2</v>
      </c>
      <c r="Z1438" s="2">
        <v>1.5073761762988577E-2</v>
      </c>
      <c r="AA1438" s="2">
        <v>1.9163267323791713E-2</v>
      </c>
      <c r="AB1438" s="2">
        <v>2.3498697401322832E-2</v>
      </c>
      <c r="AC1438" s="2">
        <v>2.7833796582659592E-2</v>
      </c>
      <c r="AD1438" s="2">
        <v>3.1898268457377026E-2</v>
      </c>
      <c r="AE1438" s="2">
        <v>3.5445776660205049E-2</v>
      </c>
      <c r="AF1438" s="2">
        <v>3.8303001286833331E-2</v>
      </c>
      <c r="AG1438" s="2">
        <v>4.0403016827358897E-2</v>
      </c>
      <c r="AH1438" s="2">
        <v>4.1904449526075575E-2</v>
      </c>
      <c r="AI1438" s="2">
        <v>4.2668366740907487E-2</v>
      </c>
      <c r="AJ1438" s="2">
        <v>4.3249676250845234E-2</v>
      </c>
      <c r="AK1438" s="2">
        <v>4.3303225942284147E-2</v>
      </c>
      <c r="AL1438" s="2">
        <v>4.317880750447816E-2</v>
      </c>
      <c r="AM1438" s="2">
        <v>4.3050194432289995E-2</v>
      </c>
      <c r="AN1438" s="2">
        <v>4.2917456827822595E-2</v>
      </c>
      <c r="AO1438" s="2">
        <v>4.2780653731869331E-2</v>
      </c>
      <c r="AP1438" s="2">
        <v>4.2639831487846065E-2</v>
      </c>
      <c r="AQ1438" s="2">
        <v>4.2495021404081811E-2</v>
      </c>
      <c r="AR1438" s="2">
        <v>0.69374925737305471</v>
      </c>
    </row>
    <row r="1439" spans="1:44" x14ac:dyDescent="0.25">
      <c r="A1439" t="s">
        <v>131</v>
      </c>
      <c r="B1439" t="s">
        <v>182</v>
      </c>
      <c r="C1439" t="s">
        <v>45</v>
      </c>
      <c r="D1439" t="s">
        <v>183</v>
      </c>
      <c r="E1439" t="s">
        <v>145</v>
      </c>
      <c r="F1439" t="s">
        <v>183</v>
      </c>
      <c r="G1439" t="s">
        <v>28</v>
      </c>
      <c r="H1439" t="s">
        <v>136</v>
      </c>
      <c r="I1439" t="s">
        <v>135</v>
      </c>
      <c r="J1439" t="s">
        <v>39</v>
      </c>
      <c r="K1439" t="s">
        <v>28</v>
      </c>
      <c r="L1439">
        <v>60.69</v>
      </c>
      <c r="M1439">
        <v>1</v>
      </c>
      <c r="N1439">
        <v>1.1095777125005235</v>
      </c>
      <c r="O1439">
        <v>2.3549237220148118</v>
      </c>
      <c r="P1439">
        <v>0.32978329916770832</v>
      </c>
      <c r="Q1439">
        <v>1.5451555468200735</v>
      </c>
      <c r="R1439">
        <v>-0.48733586113566879</v>
      </c>
      <c r="S1439" s="2">
        <v>9.4235273759975247E-4</v>
      </c>
      <c r="T1439" s="2">
        <v>1.7720203468351398E-3</v>
      </c>
      <c r="U1439" s="2">
        <v>3.0299420531011366E-3</v>
      </c>
      <c r="V1439" s="2">
        <v>4.8290891100185229E-3</v>
      </c>
      <c r="W1439" s="2">
        <v>7.2724852649708313E-3</v>
      </c>
      <c r="X1439" s="2">
        <v>1.043410296805385E-2</v>
      </c>
      <c r="Y1439" s="2">
        <v>1.4336058142620288E-2</v>
      </c>
      <c r="Z1439" s="2">
        <v>1.8925945324641216E-2</v>
      </c>
      <c r="AA1439" s="2">
        <v>2.4060546750982927E-2</v>
      </c>
      <c r="AB1439" s="2">
        <v>2.950392007054977E-2</v>
      </c>
      <c r="AC1439" s="2">
        <v>3.4946877931561475E-2</v>
      </c>
      <c r="AD1439" s="2">
        <v>4.0050048174262269E-2</v>
      </c>
      <c r="AE1439" s="2">
        <v>4.450414180670189E-2</v>
      </c>
      <c r="AF1439" s="2">
        <v>4.8091546060135167E-2</v>
      </c>
      <c r="AG1439" s="2">
        <v>5.0728232238795065E-2</v>
      </c>
      <c r="AH1439" s="2">
        <v>5.2613364404961553E-2</v>
      </c>
      <c r="AI1439" s="2">
        <v>5.3572504908028264E-2</v>
      </c>
      <c r="AJ1439" s="2">
        <v>5.4302371292727906E-2</v>
      </c>
      <c r="AK1439" s="2">
        <v>5.4369605905312299E-2</v>
      </c>
      <c r="AL1439" s="2">
        <v>5.4213391644511458E-2</v>
      </c>
      <c r="AM1439" s="2">
        <v>5.4051910787208536E-2</v>
      </c>
      <c r="AN1439" s="2">
        <v>5.3885251350488363E-2</v>
      </c>
      <c r="AO1439" s="2">
        <v>5.3713487463347052E-2</v>
      </c>
      <c r="AP1439" s="2">
        <v>5.3536677312517815E-2</v>
      </c>
      <c r="AQ1439" s="2">
        <v>5.3354860207347164E-2</v>
      </c>
      <c r="AR1439" s="2">
        <v>0.87104073425727968</v>
      </c>
    </row>
    <row r="1440" spans="1:44" x14ac:dyDescent="0.25">
      <c r="A1440" t="s">
        <v>131</v>
      </c>
      <c r="B1440" t="s">
        <v>182</v>
      </c>
      <c r="C1440" t="s">
        <v>45</v>
      </c>
      <c r="D1440" t="s">
        <v>183</v>
      </c>
      <c r="E1440" t="s">
        <v>145</v>
      </c>
      <c r="F1440" t="s">
        <v>183</v>
      </c>
      <c r="G1440" t="s">
        <v>28</v>
      </c>
      <c r="H1440" t="s">
        <v>54</v>
      </c>
      <c r="I1440" t="s">
        <v>135</v>
      </c>
      <c r="J1440" t="s">
        <v>39</v>
      </c>
      <c r="K1440" t="s">
        <v>28</v>
      </c>
      <c r="L1440">
        <v>60.69</v>
      </c>
      <c r="M1440">
        <v>1</v>
      </c>
      <c r="N1440">
        <v>1.1095777125005235</v>
      </c>
      <c r="O1440">
        <v>2.3549237220148118</v>
      </c>
      <c r="P1440">
        <v>0.32978329916770832</v>
      </c>
      <c r="Q1440">
        <v>1.5451555468200735</v>
      </c>
      <c r="R1440">
        <v>-0.48733586113566879</v>
      </c>
      <c r="S1440" s="2">
        <v>0</v>
      </c>
      <c r="T1440" s="2">
        <v>0</v>
      </c>
      <c r="U1440" s="2">
        <v>0</v>
      </c>
      <c r="V1440" s="2">
        <v>0</v>
      </c>
      <c r="W1440" s="2">
        <v>0</v>
      </c>
      <c r="X1440" s="2">
        <v>0</v>
      </c>
      <c r="Y1440" s="2">
        <v>0</v>
      </c>
      <c r="Z1440" s="2">
        <v>0</v>
      </c>
      <c r="AA1440" s="2">
        <v>0</v>
      </c>
      <c r="AB1440" s="2">
        <v>0</v>
      </c>
      <c r="AC1440" s="2">
        <v>0</v>
      </c>
      <c r="AD1440" s="2">
        <v>0</v>
      </c>
      <c r="AE1440" s="2">
        <v>0</v>
      </c>
      <c r="AF1440" s="2">
        <v>0</v>
      </c>
      <c r="AG1440" s="2">
        <v>0</v>
      </c>
      <c r="AH1440" s="2">
        <v>0</v>
      </c>
      <c r="AI1440" s="2">
        <v>0</v>
      </c>
      <c r="AJ1440" s="2">
        <v>0</v>
      </c>
      <c r="AK1440" s="2">
        <v>0</v>
      </c>
      <c r="AL1440" s="2">
        <v>0</v>
      </c>
      <c r="AM1440" s="2">
        <v>0</v>
      </c>
      <c r="AN1440" s="2">
        <v>0</v>
      </c>
      <c r="AO1440" s="2">
        <v>0</v>
      </c>
      <c r="AP1440" s="2">
        <v>0</v>
      </c>
      <c r="AQ1440" s="2">
        <v>0</v>
      </c>
      <c r="AR1440" s="2">
        <v>0</v>
      </c>
    </row>
    <row r="1441" spans="1:44" x14ac:dyDescent="0.25">
      <c r="A1441" t="s">
        <v>131</v>
      </c>
      <c r="B1441" t="s">
        <v>182</v>
      </c>
      <c r="C1441" t="s">
        <v>45</v>
      </c>
      <c r="D1441" t="s">
        <v>183</v>
      </c>
      <c r="E1441" t="s">
        <v>145</v>
      </c>
      <c r="F1441" t="s">
        <v>183</v>
      </c>
      <c r="G1441" t="s">
        <v>28</v>
      </c>
      <c r="H1441" t="s">
        <v>142</v>
      </c>
      <c r="I1441" t="s">
        <v>135</v>
      </c>
      <c r="J1441" t="s">
        <v>39</v>
      </c>
      <c r="K1441" t="s">
        <v>28</v>
      </c>
      <c r="L1441">
        <v>60.69</v>
      </c>
      <c r="M1441">
        <v>1</v>
      </c>
      <c r="N1441">
        <v>1.1095777125005235</v>
      </c>
      <c r="O1441">
        <v>2.3549237220148118</v>
      </c>
      <c r="P1441">
        <v>0.32978329916770832</v>
      </c>
      <c r="Q1441">
        <v>1.5451555468200735</v>
      </c>
      <c r="R1441">
        <v>-0.48733586113566879</v>
      </c>
      <c r="S1441" s="2">
        <v>0</v>
      </c>
      <c r="T1441" s="2">
        <v>0</v>
      </c>
      <c r="U1441" s="2">
        <v>0</v>
      </c>
      <c r="V1441" s="2">
        <v>0</v>
      </c>
      <c r="W1441" s="2">
        <v>0</v>
      </c>
      <c r="X1441" s="2">
        <v>0</v>
      </c>
      <c r="Y1441" s="2">
        <v>0</v>
      </c>
      <c r="Z1441" s="2">
        <v>0</v>
      </c>
      <c r="AA1441" s="2">
        <v>0</v>
      </c>
      <c r="AB1441" s="2">
        <v>0</v>
      </c>
      <c r="AC1441" s="2">
        <v>0</v>
      </c>
      <c r="AD1441" s="2">
        <v>0</v>
      </c>
      <c r="AE1441" s="2">
        <v>0</v>
      </c>
      <c r="AF1441" s="2">
        <v>0</v>
      </c>
      <c r="AG1441" s="2">
        <v>0</v>
      </c>
      <c r="AH1441" s="2">
        <v>0</v>
      </c>
      <c r="AI1441" s="2">
        <v>0</v>
      </c>
      <c r="AJ1441" s="2">
        <v>0</v>
      </c>
      <c r="AK1441" s="2">
        <v>0</v>
      </c>
      <c r="AL1441" s="2">
        <v>0</v>
      </c>
      <c r="AM1441" s="2">
        <v>0</v>
      </c>
      <c r="AN1441" s="2">
        <v>0</v>
      </c>
      <c r="AO1441" s="2">
        <v>0</v>
      </c>
      <c r="AP1441" s="2">
        <v>0</v>
      </c>
      <c r="AQ1441" s="2">
        <v>0</v>
      </c>
      <c r="AR1441" s="2">
        <v>0</v>
      </c>
    </row>
    <row r="1442" spans="1:44" x14ac:dyDescent="0.25">
      <c r="A1442" t="s">
        <v>131</v>
      </c>
      <c r="B1442" t="s">
        <v>182</v>
      </c>
      <c r="C1442" t="s">
        <v>45</v>
      </c>
      <c r="D1442" t="s">
        <v>183</v>
      </c>
      <c r="E1442" t="s">
        <v>145</v>
      </c>
      <c r="F1442" t="s">
        <v>183</v>
      </c>
      <c r="G1442" t="s">
        <v>28</v>
      </c>
      <c r="H1442" t="s">
        <v>53</v>
      </c>
      <c r="I1442" t="s">
        <v>135</v>
      </c>
      <c r="J1442" t="s">
        <v>39</v>
      </c>
      <c r="K1442" t="s">
        <v>28</v>
      </c>
      <c r="L1442">
        <v>60.69</v>
      </c>
      <c r="M1442">
        <v>1</v>
      </c>
      <c r="N1442">
        <v>1.1095777125005235</v>
      </c>
      <c r="O1442">
        <v>2.3549237220148118</v>
      </c>
      <c r="P1442">
        <v>0.32978329916770832</v>
      </c>
      <c r="Q1442">
        <v>1.5451555468200735</v>
      </c>
      <c r="R1442">
        <v>-0.48733586113566879</v>
      </c>
      <c r="S1442" s="2">
        <v>6.5267675470315747E-3</v>
      </c>
      <c r="T1442" s="2">
        <v>1.2273074010334645E-2</v>
      </c>
      <c r="U1442" s="2">
        <v>2.0985483113188676E-2</v>
      </c>
      <c r="V1442" s="2">
        <v>3.3446437652711894E-2</v>
      </c>
      <c r="W1442" s="2">
        <v>5.0369483654895728E-2</v>
      </c>
      <c r="X1442" s="2">
        <v>7.2266956859209946E-2</v>
      </c>
      <c r="Y1442" s="2">
        <v>9.9292032913213923E-2</v>
      </c>
      <c r="Z1442" s="2">
        <v>0.13108174976643133</v>
      </c>
      <c r="AA1442" s="2">
        <v>0.16664417625414732</v>
      </c>
      <c r="AB1442" s="2">
        <v>0.20434516751886006</v>
      </c>
      <c r="AC1442" s="2">
        <v>0.24204328130329755</v>
      </c>
      <c r="AD1442" s="2">
        <v>0.27738801432956633</v>
      </c>
      <c r="AE1442" s="2">
        <v>0.30823722037707318</v>
      </c>
      <c r="AF1442" s="2">
        <v>0.3330837059075647</v>
      </c>
      <c r="AG1442" s="2">
        <v>0.35134548527737586</v>
      </c>
      <c r="AH1442" s="2">
        <v>0.36440197564778581</v>
      </c>
      <c r="AI1442" s="2">
        <v>0.37104501583717869</v>
      </c>
      <c r="AJ1442" s="2">
        <v>0.37610009557882645</v>
      </c>
      <c r="AK1442" s="2">
        <v>0.37656576482341392</v>
      </c>
      <c r="AL1442" s="2">
        <v>0.37548381946781889</v>
      </c>
      <c r="AM1442" s="2">
        <v>0.37436539748329095</v>
      </c>
      <c r="AN1442" s="2">
        <v>0.37321110847919425</v>
      </c>
      <c r="AO1442" s="2">
        <v>0.37202146587551121</v>
      </c>
      <c r="AP1442" s="2">
        <v>0.37079687267556233</v>
      </c>
      <c r="AQ1442" s="2">
        <v>0.36953760113723616</v>
      </c>
      <c r="AR1442" s="2">
        <v>6.0328581534907215</v>
      </c>
    </row>
    <row r="1443" spans="1:44" x14ac:dyDescent="0.25">
      <c r="A1443" t="s">
        <v>131</v>
      </c>
      <c r="B1443" t="s">
        <v>182</v>
      </c>
      <c r="C1443" t="s">
        <v>45</v>
      </c>
      <c r="D1443" t="s">
        <v>183</v>
      </c>
      <c r="E1443" t="s">
        <v>145</v>
      </c>
      <c r="F1443" t="s">
        <v>183</v>
      </c>
      <c r="G1443" t="s">
        <v>28</v>
      </c>
      <c r="H1443" t="s">
        <v>141</v>
      </c>
      <c r="I1443" t="s">
        <v>135</v>
      </c>
      <c r="J1443" t="s">
        <v>39</v>
      </c>
      <c r="K1443" t="s">
        <v>28</v>
      </c>
      <c r="L1443">
        <v>60.69</v>
      </c>
      <c r="M1443">
        <v>1</v>
      </c>
      <c r="N1443">
        <v>1.1095777125005235</v>
      </c>
      <c r="O1443">
        <v>2.3549237220148118</v>
      </c>
      <c r="P1443">
        <v>0.32978329916770832</v>
      </c>
      <c r="Q1443">
        <v>1.5451555468200735</v>
      </c>
      <c r="R1443">
        <v>-0.48733586113566879</v>
      </c>
      <c r="S1443" s="2">
        <v>5.4933626854182438E-3</v>
      </c>
      <c r="T1443" s="2">
        <v>1.0329837292031659E-2</v>
      </c>
      <c r="U1443" s="2">
        <v>1.7662781620267132E-2</v>
      </c>
      <c r="V1443" s="2">
        <v>2.8150751691032511E-2</v>
      </c>
      <c r="W1443" s="2">
        <v>4.2394315409537218E-2</v>
      </c>
      <c r="X1443" s="2">
        <v>6.0824688689835045E-2</v>
      </c>
      <c r="Y1443" s="2">
        <v>8.3570794368621706E-2</v>
      </c>
      <c r="Z1443" s="2">
        <v>0.11032713938674638</v>
      </c>
      <c r="AA1443" s="2">
        <v>0.14025884834724062</v>
      </c>
      <c r="AB1443" s="2">
        <v>0.17199051599504053</v>
      </c>
      <c r="AC1443" s="2">
        <v>0.20371976176360873</v>
      </c>
      <c r="AD1443" s="2">
        <v>0.23346824539405162</v>
      </c>
      <c r="AE1443" s="2">
        <v>0.25943299381736989</v>
      </c>
      <c r="AF1443" s="2">
        <v>0.28034545247220033</v>
      </c>
      <c r="AG1443" s="2">
        <v>0.29571578344179122</v>
      </c>
      <c r="AH1443" s="2">
        <v>0.30670499617021979</v>
      </c>
      <c r="AI1443" s="2">
        <v>0.31229622166295862</v>
      </c>
      <c r="AJ1443" s="2">
        <v>0.31655091377884548</v>
      </c>
      <c r="AK1443" s="2">
        <v>0.31694285205970674</v>
      </c>
      <c r="AL1443" s="2">
        <v>0.31603221471874743</v>
      </c>
      <c r="AM1443" s="2">
        <v>0.31509087621510307</v>
      </c>
      <c r="AN1443" s="2">
        <v>0.31411934963665511</v>
      </c>
      <c r="AO1443" s="2">
        <v>0.31311806711188866</v>
      </c>
      <c r="AP1443" s="2">
        <v>0.31208736783526503</v>
      </c>
      <c r="AQ1443" s="2">
        <v>0.31102748095717375</v>
      </c>
      <c r="AR1443" s="2">
        <v>5.0776556125213572</v>
      </c>
    </row>
    <row r="1444" spans="1:44" x14ac:dyDescent="0.25">
      <c r="A1444" t="s">
        <v>131</v>
      </c>
      <c r="B1444" t="s">
        <v>182</v>
      </c>
      <c r="C1444" t="s">
        <v>45</v>
      </c>
      <c r="D1444" t="s">
        <v>183</v>
      </c>
      <c r="E1444" t="s">
        <v>145</v>
      </c>
      <c r="F1444" t="s">
        <v>183</v>
      </c>
      <c r="G1444" t="s">
        <v>28</v>
      </c>
      <c r="H1444" t="s">
        <v>52</v>
      </c>
      <c r="I1444" t="s">
        <v>135</v>
      </c>
      <c r="J1444" t="s">
        <v>39</v>
      </c>
      <c r="K1444" t="s">
        <v>28</v>
      </c>
      <c r="L1444">
        <v>60.69</v>
      </c>
      <c r="M1444">
        <v>1</v>
      </c>
      <c r="N1444">
        <v>1.1095777125005235</v>
      </c>
      <c r="O1444">
        <v>2.3549237220148118</v>
      </c>
      <c r="P1444">
        <v>0.32978329916770832</v>
      </c>
      <c r="Q1444">
        <v>1.5451555468200735</v>
      </c>
      <c r="R1444">
        <v>-0.48733586113566879</v>
      </c>
      <c r="S1444" s="2">
        <v>0.34604762790993709</v>
      </c>
      <c r="T1444" s="2">
        <v>0.65071539898352904</v>
      </c>
      <c r="U1444" s="2">
        <v>1.1126452105936859</v>
      </c>
      <c r="V1444" s="2">
        <v>1.7733219895386851</v>
      </c>
      <c r="W1444" s="2">
        <v>2.6705777725686608</v>
      </c>
      <c r="X1444" s="2">
        <v>3.8315764759805329</v>
      </c>
      <c r="Y1444" s="2">
        <v>5.2644394353526742</v>
      </c>
      <c r="Z1444" s="2">
        <v>6.9499224910480875</v>
      </c>
      <c r="AA1444" s="2">
        <v>8.8354336939700673</v>
      </c>
      <c r="AB1444" s="2">
        <v>10.834331081228887</v>
      </c>
      <c r="AC1444" s="2">
        <v>12.83307590518338</v>
      </c>
      <c r="AD1444" s="2">
        <v>14.707045053726604</v>
      </c>
      <c r="AE1444" s="2">
        <v>16.342662455253311</v>
      </c>
      <c r="AF1444" s="2">
        <v>17.660017074943365</v>
      </c>
      <c r="AG1444" s="2">
        <v>18.628252175519588</v>
      </c>
      <c r="AH1444" s="2">
        <v>19.3205041193726</v>
      </c>
      <c r="AI1444" s="2">
        <v>19.672716494500804</v>
      </c>
      <c r="AJ1444" s="2">
        <v>19.940735592911686</v>
      </c>
      <c r="AK1444" s="2">
        <v>19.965425263000128</v>
      </c>
      <c r="AL1444" s="2">
        <v>19.908060783396106</v>
      </c>
      <c r="AM1444" s="2">
        <v>19.848762321797885</v>
      </c>
      <c r="AN1444" s="2">
        <v>19.787562199545665</v>
      </c>
      <c r="AO1444" s="2">
        <v>19.724487638042039</v>
      </c>
      <c r="AP1444" s="2">
        <v>19.659560004425042</v>
      </c>
      <c r="AQ1444" s="2">
        <v>19.592793733741708</v>
      </c>
      <c r="AR1444" s="2">
        <v>319.86067199253461</v>
      </c>
    </row>
    <row r="1445" spans="1:44" x14ac:dyDescent="0.25">
      <c r="A1445" t="s">
        <v>131</v>
      </c>
      <c r="B1445" t="s">
        <v>182</v>
      </c>
      <c r="C1445" t="s">
        <v>45</v>
      </c>
      <c r="D1445" t="s">
        <v>183</v>
      </c>
      <c r="E1445" t="s">
        <v>145</v>
      </c>
      <c r="F1445" t="s">
        <v>183</v>
      </c>
      <c r="G1445" t="s">
        <v>28</v>
      </c>
      <c r="H1445" t="s">
        <v>138</v>
      </c>
      <c r="I1445" t="s">
        <v>135</v>
      </c>
      <c r="J1445" t="s">
        <v>39</v>
      </c>
      <c r="K1445" t="s">
        <v>28</v>
      </c>
      <c r="L1445">
        <v>60.69</v>
      </c>
      <c r="M1445">
        <v>1</v>
      </c>
      <c r="N1445">
        <v>1.1095777125005235</v>
      </c>
      <c r="O1445">
        <v>2.3549237220148118</v>
      </c>
      <c r="P1445">
        <v>0.32978329916770832</v>
      </c>
      <c r="Q1445">
        <v>1.5451555468200735</v>
      </c>
      <c r="R1445">
        <v>-0.48733586113566879</v>
      </c>
      <c r="S1445" s="2">
        <v>0.12003806154866017</v>
      </c>
      <c r="T1445" s="2">
        <v>0.22572215155936581</v>
      </c>
      <c r="U1445" s="2">
        <v>0.38595778008288301</v>
      </c>
      <c r="V1445" s="2">
        <v>0.61513536564752314</v>
      </c>
      <c r="W1445" s="2">
        <v>0.92637820108829927</v>
      </c>
      <c r="X1445" s="2">
        <v>1.3291089889275389</v>
      </c>
      <c r="Y1445" s="2">
        <v>1.826144882936537</v>
      </c>
      <c r="Z1445" s="2">
        <v>2.410810410051337</v>
      </c>
      <c r="AA1445" s="2">
        <v>3.0648623138139675</v>
      </c>
      <c r="AB1445" s="2">
        <v>3.7582459646439021</v>
      </c>
      <c r="AC1445" s="2">
        <v>4.4515766938473345</v>
      </c>
      <c r="AD1445" s="2">
        <v>5.1016248544192289</v>
      </c>
      <c r="AE1445" s="2">
        <v>5.6689928306147515</v>
      </c>
      <c r="AF1445" s="2">
        <v>6.1259608378074573</v>
      </c>
      <c r="AG1445" s="2">
        <v>6.4618251964176281</v>
      </c>
      <c r="AH1445" s="2">
        <v>6.7019556719400128</v>
      </c>
      <c r="AI1445" s="2">
        <v>6.8241321798941259</v>
      </c>
      <c r="AJ1445" s="2">
        <v>6.9171034660305972</v>
      </c>
      <c r="AK1445" s="2">
        <v>6.9256678944463976</v>
      </c>
      <c r="AL1445" s="2">
        <v>6.9057691279817783</v>
      </c>
      <c r="AM1445" s="2">
        <v>6.8851994959167948</v>
      </c>
      <c r="AN1445" s="2">
        <v>6.863970209976971</v>
      </c>
      <c r="AO1445" s="2">
        <v>6.8420907128058559</v>
      </c>
      <c r="AP1445" s="2">
        <v>6.8195684163017631</v>
      </c>
      <c r="AQ1445" s="2">
        <v>6.7964083277380398</v>
      </c>
      <c r="AR1445" s="2">
        <v>110.95425003643875</v>
      </c>
    </row>
    <row r="1446" spans="1:44" x14ac:dyDescent="0.25">
      <c r="A1446" t="s">
        <v>131</v>
      </c>
      <c r="B1446" t="s">
        <v>209</v>
      </c>
      <c r="C1446" t="s">
        <v>44</v>
      </c>
      <c r="D1446" t="s">
        <v>210</v>
      </c>
      <c r="E1446" t="s">
        <v>134</v>
      </c>
      <c r="F1446" t="s">
        <v>210</v>
      </c>
      <c r="G1446" t="s">
        <v>28</v>
      </c>
      <c r="H1446" t="s">
        <v>52</v>
      </c>
      <c r="I1446" t="s">
        <v>135</v>
      </c>
      <c r="J1446" t="s">
        <v>39</v>
      </c>
      <c r="K1446" t="s">
        <v>28</v>
      </c>
      <c r="L1446">
        <v>1.2426830176632301E-2</v>
      </c>
      <c r="M1446">
        <v>0</v>
      </c>
      <c r="N1446">
        <v>0.92533014665824875</v>
      </c>
      <c r="O1446">
        <v>3.8670716226463648</v>
      </c>
      <c r="P1446">
        <v>0.76800378363567889</v>
      </c>
      <c r="Q1446">
        <v>3.0425560657676498</v>
      </c>
      <c r="R1446">
        <v>-1.5465158956152727</v>
      </c>
      <c r="S1446" s="2">
        <v>2.7198100034087433</v>
      </c>
      <c r="T1446" s="2">
        <v>5.4331296979301742</v>
      </c>
      <c r="U1446" s="2">
        <v>9.6393142317824605</v>
      </c>
      <c r="V1446" s="2">
        <v>15.665306328962288</v>
      </c>
      <c r="W1446" s="2">
        <v>23.752557486117411</v>
      </c>
      <c r="X1446" s="2">
        <v>33.977908152039475</v>
      </c>
      <c r="Y1446" s="2">
        <v>46.157414775018992</v>
      </c>
      <c r="Z1446" s="2">
        <v>59.748550591162989</v>
      </c>
      <c r="AA1446" s="2">
        <v>73.780163055726618</v>
      </c>
      <c r="AB1446" s="2">
        <v>86.853733400021611</v>
      </c>
      <c r="AC1446" s="2">
        <v>97.2634386287463</v>
      </c>
      <c r="AD1446" s="2">
        <v>103.26541292203753</v>
      </c>
      <c r="AE1446" s="2">
        <v>103.47916779677882</v>
      </c>
      <c r="AF1446" s="2">
        <v>97.33071715623575</v>
      </c>
      <c r="AG1446" s="2">
        <v>85.376316965003767</v>
      </c>
      <c r="AH1446" s="2">
        <v>70.433020559975802</v>
      </c>
      <c r="AI1446" s="2">
        <v>53.723188618845015</v>
      </c>
      <c r="AJ1446" s="2">
        <v>37.094072575375208</v>
      </c>
      <c r="AK1446" s="2">
        <v>2.6689522978512432</v>
      </c>
      <c r="AL1446" s="2">
        <v>0</v>
      </c>
      <c r="AM1446" s="2">
        <v>0</v>
      </c>
      <c r="AN1446" s="2">
        <v>0</v>
      </c>
      <c r="AO1446" s="2">
        <v>0</v>
      </c>
      <c r="AP1446" s="2">
        <v>0</v>
      </c>
      <c r="AQ1446" s="2">
        <v>0</v>
      </c>
      <c r="AR1446" s="2">
        <v>1008.3621752430201</v>
      </c>
    </row>
    <row r="1447" spans="1:44" x14ac:dyDescent="0.25">
      <c r="A1447" t="s">
        <v>131</v>
      </c>
      <c r="B1447" t="s">
        <v>209</v>
      </c>
      <c r="C1447" t="s">
        <v>44</v>
      </c>
      <c r="D1447" t="s">
        <v>210</v>
      </c>
      <c r="E1447" t="s">
        <v>134</v>
      </c>
      <c r="F1447" t="s">
        <v>210</v>
      </c>
      <c r="G1447" t="s">
        <v>28</v>
      </c>
      <c r="H1447" t="s">
        <v>138</v>
      </c>
      <c r="I1447" t="s">
        <v>135</v>
      </c>
      <c r="J1447" t="s">
        <v>39</v>
      </c>
      <c r="K1447" t="s">
        <v>28</v>
      </c>
      <c r="L1447">
        <v>1.2426830176632301E-2</v>
      </c>
      <c r="M1447">
        <v>0</v>
      </c>
      <c r="N1447">
        <v>0.92533014665824875</v>
      </c>
      <c r="O1447">
        <v>3.8670716226463648</v>
      </c>
      <c r="P1447">
        <v>0.76800378363567889</v>
      </c>
      <c r="Q1447">
        <v>3.0425560657676498</v>
      </c>
      <c r="R1447">
        <v>-1.5465158956152727</v>
      </c>
      <c r="S1447" s="2">
        <v>0.94345602818237162</v>
      </c>
      <c r="T1447" s="2">
        <v>1.8846606781299298</v>
      </c>
      <c r="U1447" s="2">
        <v>3.3437148580678122</v>
      </c>
      <c r="V1447" s="2">
        <v>5.4340294619328979</v>
      </c>
      <c r="W1447" s="2">
        <v>8.239359924752069</v>
      </c>
      <c r="X1447" s="2">
        <v>11.78636089686114</v>
      </c>
      <c r="Y1447" s="2">
        <v>16.011225475392603</v>
      </c>
      <c r="Z1447" s="2">
        <v>20.72576031404521</v>
      </c>
      <c r="AA1447" s="2">
        <v>25.593089042235778</v>
      </c>
      <c r="AB1447" s="2">
        <v>30.128089184059196</v>
      </c>
      <c r="AC1447" s="2">
        <v>33.739039631823211</v>
      </c>
      <c r="AD1447" s="2">
        <v>35.821022866278675</v>
      </c>
      <c r="AE1447" s="2">
        <v>35.895170812229047</v>
      </c>
      <c r="AF1447" s="2">
        <v>33.76237741359752</v>
      </c>
      <c r="AG1447" s="2">
        <v>29.615598443894864</v>
      </c>
      <c r="AH1447" s="2">
        <v>24.432021996801097</v>
      </c>
      <c r="AI1447" s="2">
        <v>18.635664289823083</v>
      </c>
      <c r="AJ1447" s="2">
        <v>12.867305560760045</v>
      </c>
      <c r="AK1447" s="2">
        <v>0.92581435143743507</v>
      </c>
      <c r="AL1447" s="2">
        <v>0</v>
      </c>
      <c r="AM1447" s="2">
        <v>0</v>
      </c>
      <c r="AN1447" s="2">
        <v>0</v>
      </c>
      <c r="AO1447" s="2">
        <v>0</v>
      </c>
      <c r="AP1447" s="2">
        <v>0</v>
      </c>
      <c r="AQ1447" s="2">
        <v>0</v>
      </c>
      <c r="AR1447" s="2">
        <v>349.78376123030404</v>
      </c>
    </row>
    <row r="1448" spans="1:44" x14ac:dyDescent="0.25">
      <c r="A1448" t="s">
        <v>131</v>
      </c>
      <c r="B1448" t="s">
        <v>248</v>
      </c>
      <c r="C1448" t="s">
        <v>46</v>
      </c>
      <c r="D1448" t="s">
        <v>249</v>
      </c>
      <c r="E1448" t="s">
        <v>148</v>
      </c>
      <c r="F1448" t="s">
        <v>249</v>
      </c>
      <c r="G1448" t="s">
        <v>28</v>
      </c>
      <c r="H1448" t="s">
        <v>55</v>
      </c>
      <c r="I1448" t="s">
        <v>135</v>
      </c>
      <c r="J1448" t="s">
        <v>39</v>
      </c>
      <c r="K1448" t="s">
        <v>28</v>
      </c>
      <c r="L1448">
        <v>118.23000000000002</v>
      </c>
      <c r="M1448">
        <v>1</v>
      </c>
      <c r="N1448">
        <v>1.4008648559322652</v>
      </c>
      <c r="O1448">
        <v>3.7072906216928287</v>
      </c>
      <c r="P1448">
        <v>-0.26124582980080768</v>
      </c>
      <c r="Q1448">
        <v>1.9266972517404557</v>
      </c>
      <c r="R1448">
        <v>-1.4599066950245667</v>
      </c>
      <c r="S1448" s="2">
        <v>0</v>
      </c>
      <c r="T1448" s="2">
        <v>0</v>
      </c>
      <c r="U1448" s="2">
        <v>0</v>
      </c>
      <c r="V1448" s="2">
        <v>0</v>
      </c>
      <c r="W1448" s="2">
        <v>0</v>
      </c>
      <c r="X1448" s="2">
        <v>0</v>
      </c>
      <c r="Y1448" s="2">
        <v>0</v>
      </c>
      <c r="Z1448" s="2">
        <v>0</v>
      </c>
      <c r="AA1448" s="2">
        <v>0</v>
      </c>
      <c r="AB1448" s="2">
        <v>0</v>
      </c>
      <c r="AC1448" s="2">
        <v>0</v>
      </c>
      <c r="AD1448" s="2">
        <v>0</v>
      </c>
      <c r="AE1448" s="2">
        <v>0</v>
      </c>
      <c r="AF1448" s="2">
        <v>0</v>
      </c>
      <c r="AG1448" s="2">
        <v>0</v>
      </c>
      <c r="AH1448" s="2">
        <v>0</v>
      </c>
      <c r="AI1448" s="2">
        <v>0</v>
      </c>
      <c r="AJ1448" s="2">
        <v>0</v>
      </c>
      <c r="AK1448" s="2">
        <v>0</v>
      </c>
      <c r="AL1448" s="2">
        <v>0</v>
      </c>
      <c r="AM1448" s="2">
        <v>0</v>
      </c>
      <c r="AN1448" s="2">
        <v>0</v>
      </c>
      <c r="AO1448" s="2">
        <v>0</v>
      </c>
      <c r="AP1448" s="2">
        <v>0</v>
      </c>
      <c r="AQ1448" s="2">
        <v>0</v>
      </c>
      <c r="AR1448" s="2">
        <v>0</v>
      </c>
    </row>
    <row r="1449" spans="1:44" x14ac:dyDescent="0.25">
      <c r="A1449" t="s">
        <v>131</v>
      </c>
      <c r="B1449" t="s">
        <v>248</v>
      </c>
      <c r="C1449" t="s">
        <v>46</v>
      </c>
      <c r="D1449" t="s">
        <v>249</v>
      </c>
      <c r="E1449" t="s">
        <v>148</v>
      </c>
      <c r="F1449" t="s">
        <v>249</v>
      </c>
      <c r="G1449" t="s">
        <v>28</v>
      </c>
      <c r="H1449" t="s">
        <v>136</v>
      </c>
      <c r="I1449" t="s">
        <v>135</v>
      </c>
      <c r="J1449" t="s">
        <v>39</v>
      </c>
      <c r="K1449" t="s">
        <v>28</v>
      </c>
      <c r="L1449">
        <v>118.23000000000002</v>
      </c>
      <c r="M1449">
        <v>1</v>
      </c>
      <c r="N1449">
        <v>1.4008648559322652</v>
      </c>
      <c r="O1449">
        <v>3.7072906216928287</v>
      </c>
      <c r="P1449">
        <v>-0.26124582980080768</v>
      </c>
      <c r="Q1449">
        <v>1.9266972517404557</v>
      </c>
      <c r="R1449">
        <v>-1.4599066950245667</v>
      </c>
      <c r="S1449" s="2">
        <v>0</v>
      </c>
      <c r="T1449" s="2">
        <v>0</v>
      </c>
      <c r="U1449" s="2">
        <v>0</v>
      </c>
      <c r="V1449" s="2">
        <v>0</v>
      </c>
      <c r="W1449" s="2">
        <v>0</v>
      </c>
      <c r="X1449" s="2">
        <v>0</v>
      </c>
      <c r="Y1449" s="2">
        <v>0</v>
      </c>
      <c r="Z1449" s="2">
        <v>0</v>
      </c>
      <c r="AA1449" s="2">
        <v>0</v>
      </c>
      <c r="AB1449" s="2">
        <v>0</v>
      </c>
      <c r="AC1449" s="2">
        <v>0</v>
      </c>
      <c r="AD1449" s="2">
        <v>0</v>
      </c>
      <c r="AE1449" s="2">
        <v>0</v>
      </c>
      <c r="AF1449" s="2">
        <v>0</v>
      </c>
      <c r="AG1449" s="2">
        <v>0</v>
      </c>
      <c r="AH1449" s="2">
        <v>0</v>
      </c>
      <c r="AI1449" s="2">
        <v>0</v>
      </c>
      <c r="AJ1449" s="2">
        <v>0</v>
      </c>
      <c r="AK1449" s="2">
        <v>0</v>
      </c>
      <c r="AL1449" s="2">
        <v>0</v>
      </c>
      <c r="AM1449" s="2">
        <v>0</v>
      </c>
      <c r="AN1449" s="2">
        <v>0</v>
      </c>
      <c r="AO1449" s="2">
        <v>0</v>
      </c>
      <c r="AP1449" s="2">
        <v>0</v>
      </c>
      <c r="AQ1449" s="2">
        <v>0</v>
      </c>
      <c r="AR1449" s="2">
        <v>0</v>
      </c>
    </row>
    <row r="1450" spans="1:44" x14ac:dyDescent="0.25">
      <c r="A1450" t="s">
        <v>131</v>
      </c>
      <c r="B1450" t="s">
        <v>186</v>
      </c>
      <c r="C1450" t="s">
        <v>45</v>
      </c>
      <c r="D1450" t="s">
        <v>187</v>
      </c>
      <c r="E1450" t="s">
        <v>134</v>
      </c>
      <c r="F1450" t="s">
        <v>187</v>
      </c>
      <c r="G1450" t="s">
        <v>28</v>
      </c>
      <c r="H1450" t="s">
        <v>54</v>
      </c>
      <c r="I1450" t="s">
        <v>135</v>
      </c>
      <c r="J1450" t="s">
        <v>39</v>
      </c>
      <c r="K1450" t="s">
        <v>28</v>
      </c>
      <c r="L1450">
        <v>4.87</v>
      </c>
      <c r="M1450">
        <v>1</v>
      </c>
      <c r="N1450">
        <v>2.1916282489924761</v>
      </c>
      <c r="O1450">
        <v>2.3549237220148114</v>
      </c>
      <c r="P1450">
        <v>-0.43309078277059071</v>
      </c>
      <c r="Q1450">
        <v>0.78228146488177475</v>
      </c>
      <c r="R1450">
        <v>-0.48733586113566879</v>
      </c>
      <c r="S1450" s="2">
        <v>0</v>
      </c>
      <c r="T1450" s="2">
        <v>0</v>
      </c>
      <c r="U1450" s="2">
        <v>0</v>
      </c>
      <c r="V1450" s="2">
        <v>0</v>
      </c>
      <c r="W1450" s="2">
        <v>0</v>
      </c>
      <c r="X1450" s="2">
        <v>0</v>
      </c>
      <c r="Y1450" s="2">
        <v>0</v>
      </c>
      <c r="Z1450" s="2">
        <v>0</v>
      </c>
      <c r="AA1450" s="2">
        <v>0</v>
      </c>
      <c r="AB1450" s="2">
        <v>0</v>
      </c>
      <c r="AC1450" s="2">
        <v>0</v>
      </c>
      <c r="AD1450" s="2">
        <v>0</v>
      </c>
      <c r="AE1450" s="2">
        <v>0</v>
      </c>
      <c r="AF1450" s="2">
        <v>0</v>
      </c>
      <c r="AG1450" s="2">
        <v>0</v>
      </c>
      <c r="AH1450" s="2">
        <v>0</v>
      </c>
      <c r="AI1450" s="2">
        <v>0</v>
      </c>
      <c r="AJ1450" s="2">
        <v>0</v>
      </c>
      <c r="AK1450" s="2">
        <v>0</v>
      </c>
      <c r="AL1450" s="2">
        <v>0</v>
      </c>
      <c r="AM1450" s="2">
        <v>0</v>
      </c>
      <c r="AN1450" s="2">
        <v>0</v>
      </c>
      <c r="AO1450" s="2">
        <v>0</v>
      </c>
      <c r="AP1450" s="2">
        <v>0</v>
      </c>
      <c r="AQ1450" s="2">
        <v>0</v>
      </c>
      <c r="AR1450" s="2">
        <v>0</v>
      </c>
    </row>
    <row r="1451" spans="1:44" x14ac:dyDescent="0.25">
      <c r="A1451" t="s">
        <v>131</v>
      </c>
      <c r="B1451" t="s">
        <v>186</v>
      </c>
      <c r="C1451" t="s">
        <v>45</v>
      </c>
      <c r="D1451" t="s">
        <v>187</v>
      </c>
      <c r="E1451" t="s">
        <v>134</v>
      </c>
      <c r="F1451" t="s">
        <v>187</v>
      </c>
      <c r="G1451" t="s">
        <v>28</v>
      </c>
      <c r="H1451" t="s">
        <v>142</v>
      </c>
      <c r="I1451" t="s">
        <v>135</v>
      </c>
      <c r="J1451" t="s">
        <v>39</v>
      </c>
      <c r="K1451" t="s">
        <v>28</v>
      </c>
      <c r="L1451">
        <v>4.87</v>
      </c>
      <c r="M1451">
        <v>1</v>
      </c>
      <c r="N1451">
        <v>2.1916282489924761</v>
      </c>
      <c r="O1451">
        <v>2.3549237220148114</v>
      </c>
      <c r="P1451">
        <v>-0.43309078277059071</v>
      </c>
      <c r="Q1451">
        <v>0.78228146488177475</v>
      </c>
      <c r="R1451">
        <v>-0.48733586113566879</v>
      </c>
      <c r="S1451" s="2">
        <v>0</v>
      </c>
      <c r="T1451" s="2">
        <v>0</v>
      </c>
      <c r="U1451" s="2">
        <v>0</v>
      </c>
      <c r="V1451" s="2">
        <v>0</v>
      </c>
      <c r="W1451" s="2">
        <v>0</v>
      </c>
      <c r="X1451" s="2">
        <v>0</v>
      </c>
      <c r="Y1451" s="2">
        <v>0</v>
      </c>
      <c r="Z1451" s="2">
        <v>0</v>
      </c>
      <c r="AA1451" s="2">
        <v>0</v>
      </c>
      <c r="AB1451" s="2">
        <v>0</v>
      </c>
      <c r="AC1451" s="2">
        <v>0</v>
      </c>
      <c r="AD1451" s="2">
        <v>0</v>
      </c>
      <c r="AE1451" s="2">
        <v>0</v>
      </c>
      <c r="AF1451" s="2">
        <v>0</v>
      </c>
      <c r="AG1451" s="2">
        <v>0</v>
      </c>
      <c r="AH1451" s="2">
        <v>0</v>
      </c>
      <c r="AI1451" s="2">
        <v>0</v>
      </c>
      <c r="AJ1451" s="2">
        <v>0</v>
      </c>
      <c r="AK1451" s="2">
        <v>0</v>
      </c>
      <c r="AL1451" s="2">
        <v>0</v>
      </c>
      <c r="AM1451" s="2">
        <v>0</v>
      </c>
      <c r="AN1451" s="2">
        <v>0</v>
      </c>
      <c r="AO1451" s="2">
        <v>0</v>
      </c>
      <c r="AP1451" s="2">
        <v>0</v>
      </c>
      <c r="AQ1451" s="2">
        <v>0</v>
      </c>
      <c r="AR1451" s="2">
        <v>0</v>
      </c>
    </row>
    <row r="1452" spans="1:44" x14ac:dyDescent="0.25">
      <c r="A1452" t="s">
        <v>131</v>
      </c>
      <c r="B1452" t="s">
        <v>186</v>
      </c>
      <c r="C1452" t="s">
        <v>45</v>
      </c>
      <c r="D1452" t="s">
        <v>187</v>
      </c>
      <c r="E1452" t="s">
        <v>134</v>
      </c>
      <c r="F1452" t="s">
        <v>187</v>
      </c>
      <c r="G1452" t="s">
        <v>28</v>
      </c>
      <c r="H1452" t="s">
        <v>53</v>
      </c>
      <c r="I1452" t="s">
        <v>135</v>
      </c>
      <c r="J1452" t="s">
        <v>39</v>
      </c>
      <c r="K1452" t="s">
        <v>28</v>
      </c>
      <c r="L1452">
        <v>4.87</v>
      </c>
      <c r="M1452">
        <v>1</v>
      </c>
      <c r="N1452">
        <v>2.1916282489924761</v>
      </c>
      <c r="O1452">
        <v>2.3549237220148114</v>
      </c>
      <c r="P1452">
        <v>-0.43309078277059071</v>
      </c>
      <c r="Q1452">
        <v>0.78228146488177475</v>
      </c>
      <c r="R1452">
        <v>-0.48733586113566879</v>
      </c>
      <c r="S1452" s="2">
        <v>9.8575528792343541E-3</v>
      </c>
      <c r="T1452" s="2">
        <v>1.9691582584798837E-2</v>
      </c>
      <c r="U1452" s="2">
        <v>3.4936282181572624E-2</v>
      </c>
      <c r="V1452" s="2">
        <v>5.6776607672452642E-2</v>
      </c>
      <c r="W1452" s="2">
        <v>8.6087664632090263E-2</v>
      </c>
      <c r="X1452" s="2">
        <v>0.12314795000927173</v>
      </c>
      <c r="Y1452" s="2">
        <v>0.16729078735031175</v>
      </c>
      <c r="Z1452" s="2">
        <v>0.21654986788482841</v>
      </c>
      <c r="AA1452" s="2">
        <v>0.26740539149750958</v>
      </c>
      <c r="AB1452" s="2">
        <v>0.3147886318075902</v>
      </c>
      <c r="AC1452" s="2">
        <v>0.35251708328794717</v>
      </c>
      <c r="AD1452" s="2">
        <v>0.37427035976747047</v>
      </c>
      <c r="AE1452" s="2">
        <v>0.37504508299384126</v>
      </c>
      <c r="AF1452" s="2">
        <v>0.35276092445388635</v>
      </c>
      <c r="AG1452" s="2">
        <v>0.30943395239447491</v>
      </c>
      <c r="AH1452" s="2">
        <v>0.2552741639099782</v>
      </c>
      <c r="AI1452" s="2">
        <v>0.19471182618919086</v>
      </c>
      <c r="AJ1452" s="2">
        <v>0.13444203141382652</v>
      </c>
      <c r="AK1452" s="2">
        <v>9.6732265765807693E-3</v>
      </c>
      <c r="AL1452" s="2">
        <v>0</v>
      </c>
      <c r="AM1452" s="2">
        <v>0</v>
      </c>
      <c r="AN1452" s="2">
        <v>0</v>
      </c>
      <c r="AO1452" s="2">
        <v>0</v>
      </c>
      <c r="AP1452" s="2">
        <v>0</v>
      </c>
      <c r="AQ1452" s="2">
        <v>0</v>
      </c>
      <c r="AR1452" s="2">
        <v>3.6546609694868564</v>
      </c>
    </row>
    <row r="1453" spans="1:44" x14ac:dyDescent="0.25">
      <c r="A1453" t="s">
        <v>131</v>
      </c>
      <c r="B1453" t="s">
        <v>186</v>
      </c>
      <c r="C1453" t="s">
        <v>45</v>
      </c>
      <c r="D1453" t="s">
        <v>187</v>
      </c>
      <c r="E1453" t="s">
        <v>134</v>
      </c>
      <c r="F1453" t="s">
        <v>187</v>
      </c>
      <c r="G1453" t="s">
        <v>28</v>
      </c>
      <c r="H1453" t="s">
        <v>141</v>
      </c>
      <c r="I1453" t="s">
        <v>135</v>
      </c>
      <c r="J1453" t="s">
        <v>39</v>
      </c>
      <c r="K1453" t="s">
        <v>28</v>
      </c>
      <c r="L1453">
        <v>4.87</v>
      </c>
      <c r="M1453">
        <v>1</v>
      </c>
      <c r="N1453">
        <v>2.1916282489924761</v>
      </c>
      <c r="O1453">
        <v>2.3549237220148114</v>
      </c>
      <c r="P1453">
        <v>-0.43309078277059071</v>
      </c>
      <c r="Q1453">
        <v>0.78228146488177475</v>
      </c>
      <c r="R1453">
        <v>-0.48733586113566879</v>
      </c>
      <c r="S1453" s="2">
        <v>8.2967736733555817E-3</v>
      </c>
      <c r="T1453" s="2">
        <v>1.6573748675539016E-2</v>
      </c>
      <c r="U1453" s="2">
        <v>2.9404704169490287E-2</v>
      </c>
      <c r="V1453" s="2">
        <v>4.7786978124314296E-2</v>
      </c>
      <c r="W1453" s="2">
        <v>7.2457117732009274E-2</v>
      </c>
      <c r="X1453" s="2">
        <v>0.10364952459113703</v>
      </c>
      <c r="Y1453" s="2">
        <v>0.14080307935317898</v>
      </c>
      <c r="Z1453" s="2">
        <v>0.18226280546973053</v>
      </c>
      <c r="AA1453" s="2">
        <v>0.22506620451040382</v>
      </c>
      <c r="AB1453" s="2">
        <v>0.2649470984380552</v>
      </c>
      <c r="AC1453" s="2">
        <v>0.29670187843402218</v>
      </c>
      <c r="AD1453" s="2">
        <v>0.3150108861376209</v>
      </c>
      <c r="AE1453" s="2">
        <v>0.31566294485314972</v>
      </c>
      <c r="AF1453" s="2">
        <v>0.29690711141535436</v>
      </c>
      <c r="AG1453" s="2">
        <v>0.2604402432653497</v>
      </c>
      <c r="AH1453" s="2">
        <v>0.21485575462423168</v>
      </c>
      <c r="AI1453" s="2">
        <v>0.16388245370923563</v>
      </c>
      <c r="AJ1453" s="2">
        <v>0.11315537643997063</v>
      </c>
      <c r="AK1453" s="2">
        <v>8.1416323686211017E-3</v>
      </c>
      <c r="AL1453" s="2">
        <v>0</v>
      </c>
      <c r="AM1453" s="2">
        <v>0</v>
      </c>
      <c r="AN1453" s="2">
        <v>0</v>
      </c>
      <c r="AO1453" s="2">
        <v>0</v>
      </c>
      <c r="AP1453" s="2">
        <v>0</v>
      </c>
      <c r="AQ1453" s="2">
        <v>0</v>
      </c>
      <c r="AR1453" s="2">
        <v>3.0760063159847695</v>
      </c>
    </row>
    <row r="1454" spans="1:44" x14ac:dyDescent="0.25">
      <c r="A1454" t="s">
        <v>131</v>
      </c>
      <c r="B1454" t="s">
        <v>160</v>
      </c>
      <c r="C1454" t="s">
        <v>44</v>
      </c>
      <c r="D1454" t="s">
        <v>161</v>
      </c>
      <c r="E1454" t="s">
        <v>134</v>
      </c>
      <c r="F1454" t="s">
        <v>161</v>
      </c>
      <c r="G1454" t="s">
        <v>28</v>
      </c>
      <c r="H1454" t="s">
        <v>54</v>
      </c>
      <c r="I1454" t="s">
        <v>135</v>
      </c>
      <c r="J1454" t="s">
        <v>39</v>
      </c>
      <c r="K1454" t="s">
        <v>28</v>
      </c>
      <c r="L1454">
        <v>116.68</v>
      </c>
      <c r="M1454">
        <v>1</v>
      </c>
      <c r="N1454">
        <v>2.4250104789603242</v>
      </c>
      <c r="O1454">
        <v>3.7403155854968455</v>
      </c>
      <c r="P1454">
        <v>-1.0515961444114803</v>
      </c>
      <c r="Q1454">
        <v>1.1229171448630897</v>
      </c>
      <c r="R1454">
        <v>-1.4464769027578748</v>
      </c>
      <c r="S1454" s="2">
        <v>7.6195532055543342E-3</v>
      </c>
      <c r="T1454" s="2">
        <v>1.3325408046368085E-2</v>
      </c>
      <c r="U1454" s="2">
        <v>2.0712396692472157E-2</v>
      </c>
      <c r="V1454" s="2">
        <v>2.8970799578731957E-2</v>
      </c>
      <c r="W1454" s="2">
        <v>3.6832865598916346E-2</v>
      </c>
      <c r="X1454" s="2">
        <v>4.2920101584735346E-2</v>
      </c>
      <c r="Y1454" s="2">
        <v>4.6159773314789057E-2</v>
      </c>
      <c r="Z1454" s="2">
        <v>4.6091787367752775E-2</v>
      </c>
      <c r="AA1454" s="2">
        <v>4.2950020585836975E-2</v>
      </c>
      <c r="AB1454" s="2">
        <v>3.7516214441664947E-2</v>
      </c>
      <c r="AC1454" s="2">
        <v>3.0838379654850902E-2</v>
      </c>
      <c r="AD1454" s="2">
        <v>2.3937984226995921E-2</v>
      </c>
      <c r="AE1454" s="2">
        <v>1.7601541535021074E-2</v>
      </c>
      <c r="AF1454" s="2">
        <v>1.2293815135424485E-2</v>
      </c>
      <c r="AG1454" s="2">
        <v>1.0337362746078349E-3</v>
      </c>
      <c r="AH1454" s="2">
        <v>0</v>
      </c>
      <c r="AI1454" s="2">
        <v>0</v>
      </c>
      <c r="AJ1454" s="2">
        <v>0</v>
      </c>
      <c r="AK1454" s="2">
        <v>0</v>
      </c>
      <c r="AL1454" s="2">
        <v>0</v>
      </c>
      <c r="AM1454" s="2">
        <v>0</v>
      </c>
      <c r="AN1454" s="2">
        <v>0</v>
      </c>
      <c r="AO1454" s="2">
        <v>0</v>
      </c>
      <c r="AP1454" s="2">
        <v>0</v>
      </c>
      <c r="AQ1454" s="2">
        <v>0</v>
      </c>
      <c r="AR1454" s="2">
        <v>0.40880437724372221</v>
      </c>
    </row>
    <row r="1455" spans="1:44" x14ac:dyDescent="0.25">
      <c r="A1455" t="s">
        <v>131</v>
      </c>
      <c r="B1455" t="s">
        <v>160</v>
      </c>
      <c r="C1455" t="s">
        <v>44</v>
      </c>
      <c r="D1455" t="s">
        <v>161</v>
      </c>
      <c r="E1455" t="s">
        <v>134</v>
      </c>
      <c r="F1455" t="s">
        <v>161</v>
      </c>
      <c r="G1455" t="s">
        <v>28</v>
      </c>
      <c r="H1455" t="s">
        <v>142</v>
      </c>
      <c r="I1455" t="s">
        <v>135</v>
      </c>
      <c r="J1455" t="s">
        <v>39</v>
      </c>
      <c r="K1455" t="s">
        <v>28</v>
      </c>
      <c r="L1455">
        <v>116.68</v>
      </c>
      <c r="M1455">
        <v>1</v>
      </c>
      <c r="N1455">
        <v>2.4250104789603242</v>
      </c>
      <c r="O1455">
        <v>3.7403155854968455</v>
      </c>
      <c r="P1455">
        <v>-1.0515961444114803</v>
      </c>
      <c r="Q1455">
        <v>1.1229171448630897</v>
      </c>
      <c r="R1455">
        <v>-1.4464769027578748</v>
      </c>
      <c r="S1455" s="2">
        <v>6.1071293280699343E-3</v>
      </c>
      <c r="T1455" s="2">
        <v>1.0680414991938239E-2</v>
      </c>
      <c r="U1455" s="2">
        <v>1.6601142072609588E-2</v>
      </c>
      <c r="V1455" s="2">
        <v>2.3220314235214808E-2</v>
      </c>
      <c r="W1455" s="2">
        <v>2.9521819412196768E-2</v>
      </c>
      <c r="X1455" s="2">
        <v>3.4400784938519023E-2</v>
      </c>
      <c r="Y1455" s="2">
        <v>3.6997406249793245E-2</v>
      </c>
      <c r="Z1455" s="2">
        <v>3.694291500078678E-2</v>
      </c>
      <c r="AA1455" s="2">
        <v>3.4424765243422091E-2</v>
      </c>
      <c r="AB1455" s="2">
        <v>3.0069528660530455E-2</v>
      </c>
      <c r="AC1455" s="2">
        <v>2.4717193743460902E-2</v>
      </c>
      <c r="AD1455" s="2">
        <v>1.9186474795004273E-2</v>
      </c>
      <c r="AE1455" s="2">
        <v>1.4107768215255582E-2</v>
      </c>
      <c r="AF1455" s="2">
        <v>9.8535854979909833E-3</v>
      </c>
      <c r="AG1455" s="2">
        <v>8.2854741608020762E-4</v>
      </c>
      <c r="AH1455" s="2">
        <v>0</v>
      </c>
      <c r="AI1455" s="2">
        <v>0</v>
      </c>
      <c r="AJ1455" s="2">
        <v>0</v>
      </c>
      <c r="AK1455" s="2">
        <v>0</v>
      </c>
      <c r="AL1455" s="2">
        <v>0</v>
      </c>
      <c r="AM1455" s="2">
        <v>0</v>
      </c>
      <c r="AN1455" s="2">
        <v>0</v>
      </c>
      <c r="AO1455" s="2">
        <v>0</v>
      </c>
      <c r="AP1455" s="2">
        <v>0</v>
      </c>
      <c r="AQ1455" s="2">
        <v>0</v>
      </c>
      <c r="AR1455" s="2">
        <v>0.32765978980087279</v>
      </c>
    </row>
    <row r="1456" spans="1:44" x14ac:dyDescent="0.25">
      <c r="A1456" t="s">
        <v>131</v>
      </c>
      <c r="B1456" t="s">
        <v>160</v>
      </c>
      <c r="C1456" t="s">
        <v>44</v>
      </c>
      <c r="D1456" t="s">
        <v>161</v>
      </c>
      <c r="E1456" t="s">
        <v>134</v>
      </c>
      <c r="F1456" t="s">
        <v>161</v>
      </c>
      <c r="G1456" t="s">
        <v>28</v>
      </c>
      <c r="H1456" t="s">
        <v>53</v>
      </c>
      <c r="I1456" t="s">
        <v>135</v>
      </c>
      <c r="J1456" t="s">
        <v>39</v>
      </c>
      <c r="K1456" t="s">
        <v>28</v>
      </c>
      <c r="L1456">
        <v>116.68</v>
      </c>
      <c r="M1456">
        <v>1</v>
      </c>
      <c r="N1456">
        <v>2.4250104789603242</v>
      </c>
      <c r="O1456">
        <v>3.7403155854968455</v>
      </c>
      <c r="P1456">
        <v>-1.0515961444114803</v>
      </c>
      <c r="Q1456">
        <v>1.1229171448630897</v>
      </c>
      <c r="R1456">
        <v>-1.4464769027578748</v>
      </c>
      <c r="S1456" s="2">
        <v>5.7433818132319103E-3</v>
      </c>
      <c r="T1456" s="2">
        <v>1.0044277421885491E-2</v>
      </c>
      <c r="U1456" s="2">
        <v>1.5612359315933782E-2</v>
      </c>
      <c r="V1456" s="2">
        <v>2.1837286114622077E-2</v>
      </c>
      <c r="W1456" s="2">
        <v>2.7763466531846488E-2</v>
      </c>
      <c r="X1456" s="2">
        <v>3.235183536537839E-2</v>
      </c>
      <c r="Y1456" s="2">
        <v>3.4793798980996764E-2</v>
      </c>
      <c r="Z1456" s="2">
        <v>3.4742553292275956E-2</v>
      </c>
      <c r="AA1456" s="2">
        <v>3.2374387376259021E-2</v>
      </c>
      <c r="AB1456" s="2">
        <v>2.8278553599244929E-2</v>
      </c>
      <c r="AC1456" s="2">
        <v>2.324500979008862E-2</v>
      </c>
      <c r="AD1456" s="2">
        <v>1.8043706703765768E-2</v>
      </c>
      <c r="AE1456" s="2">
        <v>1.3267493619362618E-2</v>
      </c>
      <c r="AF1456" s="2">
        <v>9.2666948256968501E-3</v>
      </c>
      <c r="AG1456" s="2">
        <v>7.7919819694059137E-4</v>
      </c>
      <c r="AH1456" s="2">
        <v>0</v>
      </c>
      <c r="AI1456" s="2">
        <v>0</v>
      </c>
      <c r="AJ1456" s="2">
        <v>0</v>
      </c>
      <c r="AK1456" s="2">
        <v>0</v>
      </c>
      <c r="AL1456" s="2">
        <v>0</v>
      </c>
      <c r="AM1456" s="2">
        <v>0</v>
      </c>
      <c r="AN1456" s="2">
        <v>0</v>
      </c>
      <c r="AO1456" s="2">
        <v>0</v>
      </c>
      <c r="AP1456" s="2">
        <v>0</v>
      </c>
      <c r="AQ1456" s="2">
        <v>0</v>
      </c>
      <c r="AR1456" s="2">
        <v>0.30814400294752919</v>
      </c>
    </row>
    <row r="1457" spans="1:44" x14ac:dyDescent="0.25">
      <c r="A1457" t="s">
        <v>131</v>
      </c>
      <c r="B1457" t="s">
        <v>160</v>
      </c>
      <c r="C1457" t="s">
        <v>44</v>
      </c>
      <c r="D1457" t="s">
        <v>161</v>
      </c>
      <c r="E1457" t="s">
        <v>134</v>
      </c>
      <c r="F1457" t="s">
        <v>161</v>
      </c>
      <c r="G1457" t="s">
        <v>28</v>
      </c>
      <c r="H1457" t="s">
        <v>141</v>
      </c>
      <c r="I1457" t="s">
        <v>135</v>
      </c>
      <c r="J1457" t="s">
        <v>39</v>
      </c>
      <c r="K1457" t="s">
        <v>28</v>
      </c>
      <c r="L1457">
        <v>116.68</v>
      </c>
      <c r="M1457">
        <v>1</v>
      </c>
      <c r="N1457">
        <v>2.4250104789603242</v>
      </c>
      <c r="O1457">
        <v>3.7403155854968455</v>
      </c>
      <c r="P1457">
        <v>-1.0515961444114803</v>
      </c>
      <c r="Q1457">
        <v>1.1229171448630897</v>
      </c>
      <c r="R1457">
        <v>-1.4464769027578748</v>
      </c>
      <c r="S1457" s="2">
        <v>4.8340130261368582E-3</v>
      </c>
      <c r="T1457" s="2">
        <v>8.4539334967536194E-3</v>
      </c>
      <c r="U1457" s="2">
        <v>1.3140402424244267E-2</v>
      </c>
      <c r="V1457" s="2">
        <v>1.8379715813140247E-2</v>
      </c>
      <c r="W1457" s="2">
        <v>2.3367584330970786E-2</v>
      </c>
      <c r="X1457" s="2">
        <v>2.7229461432526809E-2</v>
      </c>
      <c r="Y1457" s="2">
        <v>2.9284780809005612E-2</v>
      </c>
      <c r="Z1457" s="2">
        <v>2.924164902099893E-2</v>
      </c>
      <c r="AA1457" s="2">
        <v>2.724844270835133E-2</v>
      </c>
      <c r="AB1457" s="2">
        <v>2.3801115946031147E-2</v>
      </c>
      <c r="AC1457" s="2">
        <v>1.9564549906657919E-2</v>
      </c>
      <c r="AD1457" s="2">
        <v>1.518678647566952E-2</v>
      </c>
      <c r="AE1457" s="2">
        <v>1.1166807129630201E-2</v>
      </c>
      <c r="AF1457" s="2">
        <v>7.7994681449615119E-3</v>
      </c>
      <c r="AG1457" s="2">
        <v>6.5582514909164004E-4</v>
      </c>
      <c r="AH1457" s="2">
        <v>0</v>
      </c>
      <c r="AI1457" s="2">
        <v>0</v>
      </c>
      <c r="AJ1457" s="2">
        <v>0</v>
      </c>
      <c r="AK1457" s="2">
        <v>0</v>
      </c>
      <c r="AL1457" s="2">
        <v>0</v>
      </c>
      <c r="AM1457" s="2">
        <v>0</v>
      </c>
      <c r="AN1457" s="2">
        <v>0</v>
      </c>
      <c r="AO1457" s="2">
        <v>0</v>
      </c>
      <c r="AP1457" s="2">
        <v>0</v>
      </c>
      <c r="AQ1457" s="2">
        <v>0</v>
      </c>
      <c r="AR1457" s="2">
        <v>0.25935453581417034</v>
      </c>
    </row>
    <row r="1458" spans="1:44" x14ac:dyDescent="0.25">
      <c r="A1458" t="s">
        <v>131</v>
      </c>
      <c r="B1458" t="s">
        <v>164</v>
      </c>
      <c r="C1458" t="s">
        <v>44</v>
      </c>
      <c r="D1458" t="s">
        <v>163</v>
      </c>
      <c r="E1458" t="s">
        <v>148</v>
      </c>
      <c r="F1458" t="s">
        <v>163</v>
      </c>
      <c r="G1458" t="s">
        <v>28</v>
      </c>
      <c r="H1458" t="s">
        <v>54</v>
      </c>
      <c r="I1458" t="s">
        <v>135</v>
      </c>
      <c r="J1458" t="s">
        <v>39</v>
      </c>
      <c r="K1458" t="s">
        <v>28</v>
      </c>
      <c r="L1458">
        <v>14.12</v>
      </c>
      <c r="M1458">
        <v>1</v>
      </c>
      <c r="N1458">
        <v>1.2200849202442123</v>
      </c>
      <c r="O1458">
        <v>3.9167290139736792</v>
      </c>
      <c r="P1458">
        <v>3.4201124712622752E-2</v>
      </c>
      <c r="Q1458">
        <v>2.3371498089884883</v>
      </c>
      <c r="R1458">
        <v>-1.5749122977591703</v>
      </c>
      <c r="S1458" s="2">
        <v>0</v>
      </c>
      <c r="T1458" s="2">
        <v>0</v>
      </c>
      <c r="U1458" s="2">
        <v>0</v>
      </c>
      <c r="V1458" s="2">
        <v>0</v>
      </c>
      <c r="W1458" s="2">
        <v>0</v>
      </c>
      <c r="X1458" s="2">
        <v>0</v>
      </c>
      <c r="Y1458" s="2">
        <v>0</v>
      </c>
      <c r="Z1458" s="2">
        <v>0</v>
      </c>
      <c r="AA1458" s="2">
        <v>0</v>
      </c>
      <c r="AB1458" s="2">
        <v>0</v>
      </c>
      <c r="AC1458" s="2">
        <v>0</v>
      </c>
      <c r="AD1458" s="2">
        <v>0</v>
      </c>
      <c r="AE1458" s="2">
        <v>0</v>
      </c>
      <c r="AF1458" s="2">
        <v>0</v>
      </c>
      <c r="AG1458" s="2">
        <v>0</v>
      </c>
      <c r="AH1458" s="2">
        <v>0</v>
      </c>
      <c r="AI1458" s="2">
        <v>0</v>
      </c>
      <c r="AJ1458" s="2">
        <v>0</v>
      </c>
      <c r="AK1458" s="2">
        <v>0</v>
      </c>
      <c r="AL1458" s="2">
        <v>0</v>
      </c>
      <c r="AM1458" s="2">
        <v>0</v>
      </c>
      <c r="AN1458" s="2">
        <v>0</v>
      </c>
      <c r="AO1458" s="2">
        <v>0</v>
      </c>
      <c r="AP1458" s="2">
        <v>0</v>
      </c>
      <c r="AQ1458" s="2">
        <v>0</v>
      </c>
      <c r="AR1458" s="2">
        <v>0</v>
      </c>
    </row>
    <row r="1459" spans="1:44" x14ac:dyDescent="0.25">
      <c r="A1459" t="s">
        <v>131</v>
      </c>
      <c r="B1459" t="s">
        <v>164</v>
      </c>
      <c r="C1459" t="s">
        <v>44</v>
      </c>
      <c r="D1459" t="s">
        <v>163</v>
      </c>
      <c r="E1459" t="s">
        <v>148</v>
      </c>
      <c r="F1459" t="s">
        <v>163</v>
      </c>
      <c r="G1459" t="s">
        <v>28</v>
      </c>
      <c r="H1459" t="s">
        <v>142</v>
      </c>
      <c r="I1459" t="s">
        <v>135</v>
      </c>
      <c r="J1459" t="s">
        <v>39</v>
      </c>
      <c r="K1459" t="s">
        <v>28</v>
      </c>
      <c r="L1459">
        <v>14.12</v>
      </c>
      <c r="M1459">
        <v>1</v>
      </c>
      <c r="N1459">
        <v>1.2200849202442123</v>
      </c>
      <c r="O1459">
        <v>3.9167290139736792</v>
      </c>
      <c r="P1459">
        <v>3.4201124712622752E-2</v>
      </c>
      <c r="Q1459">
        <v>2.3371498089884883</v>
      </c>
      <c r="R1459">
        <v>-1.5749122977591703</v>
      </c>
      <c r="S1459" s="2">
        <v>0</v>
      </c>
      <c r="T1459" s="2">
        <v>0</v>
      </c>
      <c r="U1459" s="2">
        <v>0</v>
      </c>
      <c r="V1459" s="2">
        <v>0</v>
      </c>
      <c r="W1459" s="2">
        <v>0</v>
      </c>
      <c r="X1459" s="2">
        <v>0</v>
      </c>
      <c r="Y1459" s="2">
        <v>0</v>
      </c>
      <c r="Z1459" s="2">
        <v>0</v>
      </c>
      <c r="AA1459" s="2">
        <v>0</v>
      </c>
      <c r="AB1459" s="2">
        <v>0</v>
      </c>
      <c r="AC1459" s="2">
        <v>0</v>
      </c>
      <c r="AD1459" s="2">
        <v>0</v>
      </c>
      <c r="AE1459" s="2">
        <v>0</v>
      </c>
      <c r="AF1459" s="2">
        <v>0</v>
      </c>
      <c r="AG1459" s="2">
        <v>0</v>
      </c>
      <c r="AH1459" s="2">
        <v>0</v>
      </c>
      <c r="AI1459" s="2">
        <v>0</v>
      </c>
      <c r="AJ1459" s="2">
        <v>0</v>
      </c>
      <c r="AK1459" s="2">
        <v>0</v>
      </c>
      <c r="AL1459" s="2">
        <v>0</v>
      </c>
      <c r="AM1459" s="2">
        <v>0</v>
      </c>
      <c r="AN1459" s="2">
        <v>0</v>
      </c>
      <c r="AO1459" s="2">
        <v>0</v>
      </c>
      <c r="AP1459" s="2">
        <v>0</v>
      </c>
      <c r="AQ1459" s="2">
        <v>0</v>
      </c>
      <c r="AR1459" s="2">
        <v>0</v>
      </c>
    </row>
    <row r="1460" spans="1:44" x14ac:dyDescent="0.25">
      <c r="A1460" t="s">
        <v>131</v>
      </c>
      <c r="B1460" t="s">
        <v>164</v>
      </c>
      <c r="C1460" t="s">
        <v>44</v>
      </c>
      <c r="D1460" t="s">
        <v>163</v>
      </c>
      <c r="E1460" t="s">
        <v>148</v>
      </c>
      <c r="F1460" t="s">
        <v>163</v>
      </c>
      <c r="G1460" t="s">
        <v>28</v>
      </c>
      <c r="H1460" t="s">
        <v>53</v>
      </c>
      <c r="I1460" t="s">
        <v>135</v>
      </c>
      <c r="J1460" t="s">
        <v>39</v>
      </c>
      <c r="K1460" t="s">
        <v>28</v>
      </c>
      <c r="L1460">
        <v>14.12</v>
      </c>
      <c r="M1460">
        <v>1</v>
      </c>
      <c r="N1460">
        <v>1.2200849202442123</v>
      </c>
      <c r="O1460">
        <v>3.9167290139736792</v>
      </c>
      <c r="P1460">
        <v>3.4201124712622752E-2</v>
      </c>
      <c r="Q1460">
        <v>2.3371498089884883</v>
      </c>
      <c r="R1460">
        <v>-1.5749122977591703</v>
      </c>
      <c r="S1460" s="2">
        <v>4.0523975904898334E-3</v>
      </c>
      <c r="T1460" s="2">
        <v>2.5648673136264202E-3</v>
      </c>
      <c r="U1460" s="2">
        <v>6.7154952085993012E-3</v>
      </c>
      <c r="V1460" s="2">
        <v>1.2824515658824252E-2</v>
      </c>
      <c r="W1460" s="2">
        <v>2.1530413873980643E-2</v>
      </c>
      <c r="X1460" s="2">
        <v>3.3286982044760556E-2</v>
      </c>
      <c r="Y1460" s="2">
        <v>4.7982931210782558E-2</v>
      </c>
      <c r="Z1460" s="2">
        <v>6.5995360563130129E-2</v>
      </c>
      <c r="AA1460" s="2">
        <v>8.6749742198393473E-2</v>
      </c>
      <c r="AB1460" s="2">
        <v>0.10920413266052692</v>
      </c>
      <c r="AC1460" s="2">
        <v>0.13202573698064643</v>
      </c>
      <c r="AD1460" s="2">
        <v>0.15349605586088944</v>
      </c>
      <c r="AE1460" s="2">
        <v>0.17179983243560321</v>
      </c>
      <c r="AF1460" s="2">
        <v>0.18533424725777131</v>
      </c>
      <c r="AG1460" s="2">
        <v>0.19302013031948928</v>
      </c>
      <c r="AH1460" s="2">
        <v>0.19451402118179717</v>
      </c>
      <c r="AI1460" s="2">
        <v>0.19023696455186465</v>
      </c>
      <c r="AJ1460" s="2">
        <v>0.18169802751912523</v>
      </c>
      <c r="AK1460" s="2">
        <v>0.16900151817604339</v>
      </c>
      <c r="AL1460" s="2">
        <v>0.15495745304988642</v>
      </c>
      <c r="AM1460" s="2">
        <v>0.13866108012348896</v>
      </c>
      <c r="AN1460" s="2">
        <v>0.12169936534770909</v>
      </c>
      <c r="AO1460" s="2">
        <v>0.10470004213517639</v>
      </c>
      <c r="AP1460" s="2">
        <v>8.7669250244004099E-2</v>
      </c>
      <c r="AQ1460" s="2">
        <v>7.0614175462609036E-2</v>
      </c>
      <c r="AR1460" s="2">
        <v>2.640334738969218</v>
      </c>
    </row>
    <row r="1461" spans="1:44" x14ac:dyDescent="0.25">
      <c r="A1461" t="s">
        <v>131</v>
      </c>
      <c r="B1461" t="s">
        <v>164</v>
      </c>
      <c r="C1461" t="s">
        <v>44</v>
      </c>
      <c r="D1461" t="s">
        <v>163</v>
      </c>
      <c r="E1461" t="s">
        <v>148</v>
      </c>
      <c r="F1461" t="s">
        <v>163</v>
      </c>
      <c r="G1461" t="s">
        <v>28</v>
      </c>
      <c r="H1461" t="s">
        <v>141</v>
      </c>
      <c r="I1461" t="s">
        <v>135</v>
      </c>
      <c r="J1461" t="s">
        <v>39</v>
      </c>
      <c r="K1461" t="s">
        <v>28</v>
      </c>
      <c r="L1461">
        <v>14.12</v>
      </c>
      <c r="M1461">
        <v>1</v>
      </c>
      <c r="N1461">
        <v>1.2200849202442123</v>
      </c>
      <c r="O1461">
        <v>3.9167290139736792</v>
      </c>
      <c r="P1461">
        <v>3.4201124712622752E-2</v>
      </c>
      <c r="Q1461">
        <v>2.3371498089884883</v>
      </c>
      <c r="R1461">
        <v>-1.5749122977591703</v>
      </c>
      <c r="S1461" s="2">
        <v>3.4107679719956089E-3</v>
      </c>
      <c r="T1461" s="2">
        <v>2.1587633223022363E-3</v>
      </c>
      <c r="U1461" s="2">
        <v>5.6522084672377421E-3</v>
      </c>
      <c r="V1461" s="2">
        <v>1.0793967346177085E-2</v>
      </c>
      <c r="W1461" s="2">
        <v>1.8121431677267028E-2</v>
      </c>
      <c r="X1461" s="2">
        <v>2.8016543221006773E-2</v>
      </c>
      <c r="Y1461" s="2">
        <v>4.0385633769075308E-2</v>
      </c>
      <c r="Z1461" s="2">
        <v>5.5546095140634515E-2</v>
      </c>
      <c r="AA1461" s="2">
        <v>7.3014366350314552E-2</v>
      </c>
      <c r="AB1461" s="2">
        <v>9.1913478322610181E-2</v>
      </c>
      <c r="AC1461" s="2">
        <v>0.11112166195871058</v>
      </c>
      <c r="AD1461" s="2">
        <v>0.12919251368291571</v>
      </c>
      <c r="AE1461" s="2">
        <v>0.14459819229996526</v>
      </c>
      <c r="AF1461" s="2">
        <v>0.15598965810862386</v>
      </c>
      <c r="AG1461" s="2">
        <v>0.16245860968557163</v>
      </c>
      <c r="AH1461" s="2">
        <v>0.16371596782801204</v>
      </c>
      <c r="AI1461" s="2">
        <v>0.16011611183115249</v>
      </c>
      <c r="AJ1461" s="2">
        <v>0.15292917316193064</v>
      </c>
      <c r="AK1461" s="2">
        <v>0.14224294446483582</v>
      </c>
      <c r="AL1461" s="2">
        <v>0.130422522983655</v>
      </c>
      <c r="AM1461" s="2">
        <v>0.11670640910393559</v>
      </c>
      <c r="AN1461" s="2">
        <v>0.1024302991676556</v>
      </c>
      <c r="AO1461" s="2">
        <v>8.8122535463773979E-2</v>
      </c>
      <c r="AP1461" s="2">
        <v>7.3788285622036001E-2</v>
      </c>
      <c r="AQ1461" s="2">
        <v>5.9433597681029168E-2</v>
      </c>
      <c r="AR1461" s="2">
        <v>2.2222817386324238</v>
      </c>
    </row>
    <row r="1462" spans="1:44" x14ac:dyDescent="0.25">
      <c r="A1462" t="s">
        <v>131</v>
      </c>
      <c r="B1462" t="s">
        <v>164</v>
      </c>
      <c r="C1462" t="s">
        <v>44</v>
      </c>
      <c r="D1462" t="s">
        <v>163</v>
      </c>
      <c r="E1462" t="s">
        <v>134</v>
      </c>
      <c r="F1462" t="s">
        <v>163</v>
      </c>
      <c r="G1462" t="s">
        <v>28</v>
      </c>
      <c r="H1462" t="s">
        <v>54</v>
      </c>
      <c r="I1462" t="s">
        <v>135</v>
      </c>
      <c r="J1462" t="s">
        <v>39</v>
      </c>
      <c r="K1462" t="s">
        <v>28</v>
      </c>
      <c r="L1462">
        <v>14.12</v>
      </c>
      <c r="M1462">
        <v>1</v>
      </c>
      <c r="N1462">
        <v>1.2200849202442123</v>
      </c>
      <c r="O1462">
        <v>3.9167290139736792</v>
      </c>
      <c r="P1462">
        <v>3.4201124712622752E-2</v>
      </c>
      <c r="Q1462">
        <v>2.3371498089884883</v>
      </c>
      <c r="R1462">
        <v>-1.5749122977591703</v>
      </c>
      <c r="S1462" s="2">
        <v>0</v>
      </c>
      <c r="T1462" s="2">
        <v>0</v>
      </c>
      <c r="U1462" s="2">
        <v>0</v>
      </c>
      <c r="V1462" s="2">
        <v>0</v>
      </c>
      <c r="W1462" s="2">
        <v>0</v>
      </c>
      <c r="X1462" s="2">
        <v>0</v>
      </c>
      <c r="Y1462" s="2">
        <v>0</v>
      </c>
      <c r="Z1462" s="2">
        <v>0</v>
      </c>
      <c r="AA1462" s="2">
        <v>0</v>
      </c>
      <c r="AB1462" s="2">
        <v>0</v>
      </c>
      <c r="AC1462" s="2">
        <v>0</v>
      </c>
      <c r="AD1462" s="2">
        <v>0</v>
      </c>
      <c r="AE1462" s="2">
        <v>0</v>
      </c>
      <c r="AF1462" s="2">
        <v>0</v>
      </c>
      <c r="AG1462" s="2">
        <v>0</v>
      </c>
      <c r="AH1462" s="2">
        <v>0</v>
      </c>
      <c r="AI1462" s="2">
        <v>0</v>
      </c>
      <c r="AJ1462" s="2">
        <v>0</v>
      </c>
      <c r="AK1462" s="2">
        <v>0</v>
      </c>
      <c r="AL1462" s="2">
        <v>0</v>
      </c>
      <c r="AM1462" s="2">
        <v>0</v>
      </c>
      <c r="AN1462" s="2">
        <v>0</v>
      </c>
      <c r="AO1462" s="2">
        <v>0</v>
      </c>
      <c r="AP1462" s="2">
        <v>0</v>
      </c>
      <c r="AQ1462" s="2">
        <v>0</v>
      </c>
      <c r="AR1462" s="2">
        <v>0</v>
      </c>
    </row>
    <row r="1463" spans="1:44" x14ac:dyDescent="0.25">
      <c r="A1463" t="s">
        <v>131</v>
      </c>
      <c r="B1463" t="s">
        <v>164</v>
      </c>
      <c r="C1463" t="s">
        <v>44</v>
      </c>
      <c r="D1463" t="s">
        <v>163</v>
      </c>
      <c r="E1463" t="s">
        <v>134</v>
      </c>
      <c r="F1463" t="s">
        <v>163</v>
      </c>
      <c r="G1463" t="s">
        <v>28</v>
      </c>
      <c r="H1463" t="s">
        <v>142</v>
      </c>
      <c r="I1463" t="s">
        <v>135</v>
      </c>
      <c r="J1463" t="s">
        <v>39</v>
      </c>
      <c r="K1463" t="s">
        <v>28</v>
      </c>
      <c r="L1463">
        <v>14.12</v>
      </c>
      <c r="M1463">
        <v>1</v>
      </c>
      <c r="N1463">
        <v>1.2200849202442123</v>
      </c>
      <c r="O1463">
        <v>3.9167290139736792</v>
      </c>
      <c r="P1463">
        <v>3.4201124712622752E-2</v>
      </c>
      <c r="Q1463">
        <v>2.3371498089884883</v>
      </c>
      <c r="R1463">
        <v>-1.5749122977591703</v>
      </c>
      <c r="S1463" s="2">
        <v>0</v>
      </c>
      <c r="T1463" s="2">
        <v>0</v>
      </c>
      <c r="U1463" s="2">
        <v>0</v>
      </c>
      <c r="V1463" s="2">
        <v>0</v>
      </c>
      <c r="W1463" s="2">
        <v>0</v>
      </c>
      <c r="X1463" s="2">
        <v>0</v>
      </c>
      <c r="Y1463" s="2">
        <v>0</v>
      </c>
      <c r="Z1463" s="2">
        <v>0</v>
      </c>
      <c r="AA1463" s="2">
        <v>0</v>
      </c>
      <c r="AB1463" s="2">
        <v>0</v>
      </c>
      <c r="AC1463" s="2">
        <v>0</v>
      </c>
      <c r="AD1463" s="2">
        <v>0</v>
      </c>
      <c r="AE1463" s="2">
        <v>0</v>
      </c>
      <c r="AF1463" s="2">
        <v>0</v>
      </c>
      <c r="AG1463" s="2">
        <v>0</v>
      </c>
      <c r="AH1463" s="2">
        <v>0</v>
      </c>
      <c r="AI1463" s="2">
        <v>0</v>
      </c>
      <c r="AJ1463" s="2">
        <v>0</v>
      </c>
      <c r="AK1463" s="2">
        <v>0</v>
      </c>
      <c r="AL1463" s="2">
        <v>0</v>
      </c>
      <c r="AM1463" s="2">
        <v>0</v>
      </c>
      <c r="AN1463" s="2">
        <v>0</v>
      </c>
      <c r="AO1463" s="2">
        <v>0</v>
      </c>
      <c r="AP1463" s="2">
        <v>0</v>
      </c>
      <c r="AQ1463" s="2">
        <v>0</v>
      </c>
      <c r="AR1463" s="2">
        <v>0</v>
      </c>
    </row>
    <row r="1464" spans="1:44" x14ac:dyDescent="0.25">
      <c r="A1464" t="s">
        <v>131</v>
      </c>
      <c r="B1464" t="s">
        <v>164</v>
      </c>
      <c r="C1464" t="s">
        <v>44</v>
      </c>
      <c r="D1464" t="s">
        <v>163</v>
      </c>
      <c r="E1464" t="s">
        <v>134</v>
      </c>
      <c r="F1464" t="s">
        <v>163</v>
      </c>
      <c r="G1464" t="s">
        <v>28</v>
      </c>
      <c r="H1464" t="s">
        <v>53</v>
      </c>
      <c r="I1464" t="s">
        <v>135</v>
      </c>
      <c r="J1464" t="s">
        <v>39</v>
      </c>
      <c r="K1464" t="s">
        <v>28</v>
      </c>
      <c r="L1464">
        <v>14.12</v>
      </c>
      <c r="M1464">
        <v>1</v>
      </c>
      <c r="N1464">
        <v>1.2200849202442123</v>
      </c>
      <c r="O1464">
        <v>3.9167290139736792</v>
      </c>
      <c r="P1464">
        <v>3.4201124712622752E-2</v>
      </c>
      <c r="Q1464">
        <v>2.3371498089884883</v>
      </c>
      <c r="R1464">
        <v>-1.5749122977591703</v>
      </c>
      <c r="S1464" s="2">
        <v>0.17021481434839209</v>
      </c>
      <c r="T1464" s="2">
        <v>0.28872178126973397</v>
      </c>
      <c r="U1464" s="2">
        <v>0.44540659105029495</v>
      </c>
      <c r="V1464" s="2">
        <v>0.65011527506905509</v>
      </c>
      <c r="W1464" s="2">
        <v>0.90080443491855788</v>
      </c>
      <c r="X1464" s="2">
        <v>1.1880335706100602</v>
      </c>
      <c r="Y1464" s="2">
        <v>1.4925790391253766</v>
      </c>
      <c r="Z1464" s="2">
        <v>1.7846076591080979</v>
      </c>
      <c r="AA1464" s="2">
        <v>2.0263296392327681</v>
      </c>
      <c r="AB1464" s="2">
        <v>2.1774263188346663</v>
      </c>
      <c r="AC1464" s="2">
        <v>2.2043193561140688</v>
      </c>
      <c r="AD1464" s="2">
        <v>2.0908400070426252</v>
      </c>
      <c r="AE1464" s="2">
        <v>1.8463498669970011</v>
      </c>
      <c r="AF1464" s="2">
        <v>1.5310362844602783</v>
      </c>
      <c r="AG1464" s="2">
        <v>1.1722697409172371</v>
      </c>
      <c r="AH1464" s="2">
        <v>0.80644879570798622</v>
      </c>
      <c r="AI1464" s="2">
        <v>9.9132156679137773E-2</v>
      </c>
      <c r="AJ1464" s="2">
        <v>6.4890048772087872E-2</v>
      </c>
      <c r="AK1464" s="2">
        <v>0</v>
      </c>
      <c r="AL1464" s="2">
        <v>0</v>
      </c>
      <c r="AM1464" s="2">
        <v>0</v>
      </c>
      <c r="AN1464" s="2">
        <v>0</v>
      </c>
      <c r="AO1464" s="2">
        <v>0</v>
      </c>
      <c r="AP1464" s="2">
        <v>0</v>
      </c>
      <c r="AQ1464" s="2">
        <v>0</v>
      </c>
      <c r="AR1464" s="2">
        <v>20.939525380257425</v>
      </c>
    </row>
    <row r="1465" spans="1:44" x14ac:dyDescent="0.25">
      <c r="A1465" t="s">
        <v>131</v>
      </c>
      <c r="B1465" t="s">
        <v>164</v>
      </c>
      <c r="C1465" t="s">
        <v>44</v>
      </c>
      <c r="D1465" t="s">
        <v>163</v>
      </c>
      <c r="E1465" t="s">
        <v>134</v>
      </c>
      <c r="F1465" t="s">
        <v>163</v>
      </c>
      <c r="G1465" t="s">
        <v>28</v>
      </c>
      <c r="H1465" t="s">
        <v>141</v>
      </c>
      <c r="I1465" t="s">
        <v>135</v>
      </c>
      <c r="J1465" t="s">
        <v>39</v>
      </c>
      <c r="K1465" t="s">
        <v>28</v>
      </c>
      <c r="L1465">
        <v>14.12</v>
      </c>
      <c r="M1465">
        <v>1</v>
      </c>
      <c r="N1465">
        <v>1.2200849202442123</v>
      </c>
      <c r="O1465">
        <v>3.9167290139736792</v>
      </c>
      <c r="P1465">
        <v>3.4201124712622752E-2</v>
      </c>
      <c r="Q1465">
        <v>2.3371498089884883</v>
      </c>
      <c r="R1465">
        <v>-1.5749122977591703</v>
      </c>
      <c r="S1465" s="2">
        <v>0.14326413540989669</v>
      </c>
      <c r="T1465" s="2">
        <v>0.2430074992353593</v>
      </c>
      <c r="U1465" s="2">
        <v>0.37488388080066487</v>
      </c>
      <c r="V1465" s="2">
        <v>0.54718035651645458</v>
      </c>
      <c r="W1465" s="2">
        <v>0.75817706605645252</v>
      </c>
      <c r="X1465" s="2">
        <v>0.99992825526346707</v>
      </c>
      <c r="Y1465" s="2">
        <v>1.2562540245971914</v>
      </c>
      <c r="Z1465" s="2">
        <v>1.5020447797493157</v>
      </c>
      <c r="AA1465" s="2">
        <v>1.7054941130209127</v>
      </c>
      <c r="AB1465" s="2">
        <v>1.8326671516858435</v>
      </c>
      <c r="AC1465" s="2">
        <v>1.8553021247293409</v>
      </c>
      <c r="AD1465" s="2">
        <v>1.7597903392608754</v>
      </c>
      <c r="AE1465" s="2">
        <v>1.5540111380558088</v>
      </c>
      <c r="AF1465" s="2">
        <v>1.2886222060874002</v>
      </c>
      <c r="AG1465" s="2">
        <v>0.98666036527200762</v>
      </c>
      <c r="AH1465" s="2">
        <v>0.67876106972088668</v>
      </c>
      <c r="AI1465" s="2">
        <v>8.3436231871607605E-2</v>
      </c>
      <c r="AJ1465" s="2">
        <v>5.4615791049840622E-2</v>
      </c>
      <c r="AK1465" s="2">
        <v>0</v>
      </c>
      <c r="AL1465" s="2">
        <v>0</v>
      </c>
      <c r="AM1465" s="2">
        <v>0</v>
      </c>
      <c r="AN1465" s="2">
        <v>0</v>
      </c>
      <c r="AO1465" s="2">
        <v>0</v>
      </c>
      <c r="AP1465" s="2">
        <v>0</v>
      </c>
      <c r="AQ1465" s="2">
        <v>0</v>
      </c>
      <c r="AR1465" s="2">
        <v>17.624100528383323</v>
      </c>
    </row>
    <row r="1466" spans="1:44" x14ac:dyDescent="0.25">
      <c r="A1466" t="s">
        <v>131</v>
      </c>
      <c r="B1466" t="s">
        <v>162</v>
      </c>
      <c r="C1466" t="s">
        <v>44</v>
      </c>
      <c r="D1466" t="s">
        <v>163</v>
      </c>
      <c r="E1466" t="s">
        <v>148</v>
      </c>
      <c r="F1466" t="s">
        <v>163</v>
      </c>
      <c r="G1466" t="s">
        <v>28</v>
      </c>
      <c r="H1466" t="s">
        <v>55</v>
      </c>
      <c r="I1466" t="s">
        <v>135</v>
      </c>
      <c r="J1466" t="s">
        <v>39</v>
      </c>
      <c r="K1466" t="s">
        <v>28</v>
      </c>
      <c r="L1466">
        <v>31.35</v>
      </c>
      <c r="M1466">
        <v>1</v>
      </c>
      <c r="N1466">
        <v>2.317075937792068</v>
      </c>
      <c r="O1466">
        <v>3.8979006412011894</v>
      </c>
      <c r="P1466">
        <v>-1.064501844170566</v>
      </c>
      <c r="Q1466">
        <v>1.2247390996280272</v>
      </c>
      <c r="R1466">
        <v>-1.561204557281898</v>
      </c>
      <c r="S1466" s="2">
        <v>1.5972963013872175E-4</v>
      </c>
      <c r="T1466" s="2">
        <v>1.0109701681836321E-4</v>
      </c>
      <c r="U1466" s="2">
        <v>2.6469850055810219E-4</v>
      </c>
      <c r="V1466" s="2">
        <v>5.0549214314497739E-4</v>
      </c>
      <c r="W1466" s="2">
        <v>8.4864452907959466E-4</v>
      </c>
      <c r="X1466" s="2">
        <v>1.3120423679358652E-3</v>
      </c>
      <c r="Y1466" s="2">
        <v>1.8912990850790698E-3</v>
      </c>
      <c r="Z1466" s="2">
        <v>2.6012784526273963E-3</v>
      </c>
      <c r="AA1466" s="2">
        <v>3.419334832420527E-3</v>
      </c>
      <c r="AB1466" s="2">
        <v>4.304398897191513E-3</v>
      </c>
      <c r="AC1466" s="2">
        <v>5.2039370929943549E-3</v>
      </c>
      <c r="AD1466" s="2">
        <v>6.0502129129557493E-3</v>
      </c>
      <c r="AE1466" s="2">
        <v>6.7716760461097843E-3</v>
      </c>
      <c r="AF1466" s="2">
        <v>7.305149631910487E-3</v>
      </c>
      <c r="AG1466" s="2">
        <v>7.6080970183217515E-3</v>
      </c>
      <c r="AH1466" s="2">
        <v>7.6669803409908591E-3</v>
      </c>
      <c r="AI1466" s="2">
        <v>7.4983955320410012E-3</v>
      </c>
      <c r="AJ1466" s="2">
        <v>7.1618241015331601E-3</v>
      </c>
      <c r="AK1466" s="2">
        <v>6.661377465649574E-3</v>
      </c>
      <c r="AL1466" s="2">
        <v>6.1078154623780169E-3</v>
      </c>
      <c r="AM1466" s="2">
        <v>5.4654763132664184E-3</v>
      </c>
      <c r="AN1466" s="2">
        <v>4.796911996178905E-3</v>
      </c>
      <c r="AO1466" s="2">
        <v>4.1268653019161296E-3</v>
      </c>
      <c r="AP1466" s="2">
        <v>3.4555782356787369E-3</v>
      </c>
      <c r="AQ1466" s="2">
        <v>2.7833340330828188E-3</v>
      </c>
      <c r="AR1466" s="2">
        <v>0.10407164694000186</v>
      </c>
    </row>
    <row r="1467" spans="1:44" x14ac:dyDescent="0.25">
      <c r="A1467" t="s">
        <v>131</v>
      </c>
      <c r="B1467" t="s">
        <v>162</v>
      </c>
      <c r="C1467" t="s">
        <v>44</v>
      </c>
      <c r="D1467" t="s">
        <v>163</v>
      </c>
      <c r="E1467" t="s">
        <v>148</v>
      </c>
      <c r="F1467" t="s">
        <v>163</v>
      </c>
      <c r="G1467" t="s">
        <v>28</v>
      </c>
      <c r="H1467" t="s">
        <v>136</v>
      </c>
      <c r="I1467" t="s">
        <v>135</v>
      </c>
      <c r="J1467" t="s">
        <v>39</v>
      </c>
      <c r="K1467" t="s">
        <v>28</v>
      </c>
      <c r="L1467">
        <v>31.35</v>
      </c>
      <c r="M1467">
        <v>1</v>
      </c>
      <c r="N1467">
        <v>2.317075937792068</v>
      </c>
      <c r="O1467">
        <v>3.8979006412011894</v>
      </c>
      <c r="P1467">
        <v>-1.064501844170566</v>
      </c>
      <c r="Q1467">
        <v>1.2247390996280272</v>
      </c>
      <c r="R1467">
        <v>-1.561204557281898</v>
      </c>
      <c r="S1467" s="2">
        <v>2.0054942450750617E-4</v>
      </c>
      <c r="T1467" s="2">
        <v>1.2693292111638936E-4</v>
      </c>
      <c r="U1467" s="2">
        <v>3.3234367292295057E-4</v>
      </c>
      <c r="V1467" s="2">
        <v>6.3467346861536037E-4</v>
      </c>
      <c r="W1467" s="2">
        <v>1.0655203531777144E-3</v>
      </c>
      <c r="X1467" s="2">
        <v>1.6473420841861409E-3</v>
      </c>
      <c r="Y1467" s="2">
        <v>2.3746310734881633E-3</v>
      </c>
      <c r="Z1467" s="2">
        <v>3.266049612743285E-3</v>
      </c>
      <c r="AA1467" s="2">
        <v>4.2931648451502115E-3</v>
      </c>
      <c r="AB1467" s="2">
        <v>5.4044119486960172E-3</v>
      </c>
      <c r="AC1467" s="2">
        <v>6.5338321278706826E-3</v>
      </c>
      <c r="AD1467" s="2">
        <v>7.5963784351555487E-3</v>
      </c>
      <c r="AE1467" s="2">
        <v>8.5022154801156456E-3</v>
      </c>
      <c r="AF1467" s="2">
        <v>9.1720212045098802E-3</v>
      </c>
      <c r="AG1467" s="2">
        <v>9.552388478559503E-3</v>
      </c>
      <c r="AH1467" s="2">
        <v>9.6263197614662385E-3</v>
      </c>
      <c r="AI1467" s="2">
        <v>9.4146521680070015E-3</v>
      </c>
      <c r="AJ1467" s="2">
        <v>8.9920680385917398E-3</v>
      </c>
      <c r="AK1467" s="2">
        <v>8.3637294846488699E-3</v>
      </c>
      <c r="AL1467" s="2">
        <v>7.6687016360968783E-3</v>
      </c>
      <c r="AM1467" s="2">
        <v>6.8622091488788279E-3</v>
      </c>
      <c r="AN1467" s="2">
        <v>6.022789506313634E-3</v>
      </c>
      <c r="AO1467" s="2">
        <v>5.1815086568502535E-3</v>
      </c>
      <c r="AP1467" s="2">
        <v>4.3386704514632654E-3</v>
      </c>
      <c r="AQ1467" s="2">
        <v>3.4946305082039376E-3</v>
      </c>
      <c r="AR1467" s="2">
        <v>0.13066773449133565</v>
      </c>
    </row>
    <row r="1468" spans="1:44" x14ac:dyDescent="0.25">
      <c r="A1468" t="s">
        <v>131</v>
      </c>
      <c r="B1468" t="s">
        <v>162</v>
      </c>
      <c r="C1468" t="s">
        <v>44</v>
      </c>
      <c r="D1468" t="s">
        <v>163</v>
      </c>
      <c r="E1468" t="s">
        <v>148</v>
      </c>
      <c r="F1468" t="s">
        <v>163</v>
      </c>
      <c r="G1468" t="s">
        <v>28</v>
      </c>
      <c r="H1468" t="s">
        <v>52</v>
      </c>
      <c r="I1468" t="s">
        <v>135</v>
      </c>
      <c r="J1468" t="s">
        <v>39</v>
      </c>
      <c r="K1468" t="s">
        <v>28</v>
      </c>
      <c r="L1468">
        <v>31.35</v>
      </c>
      <c r="M1468">
        <v>1</v>
      </c>
      <c r="N1468">
        <v>2.317075937792068</v>
      </c>
      <c r="O1468">
        <v>3.8979006412011894</v>
      </c>
      <c r="P1468">
        <v>-1.064501844170566</v>
      </c>
      <c r="Q1468">
        <v>1.2247390996280272</v>
      </c>
      <c r="R1468">
        <v>-1.561204557281898</v>
      </c>
      <c r="S1468" s="2">
        <v>8.4244837517786608E-2</v>
      </c>
      <c r="T1468" s="2">
        <v>5.3320737974533648E-2</v>
      </c>
      <c r="U1468" s="2">
        <v>0.13960767423897774</v>
      </c>
      <c r="V1468" s="2">
        <v>0.26660741296891577</v>
      </c>
      <c r="W1468" s="2">
        <v>0.44759335134363049</v>
      </c>
      <c r="X1468" s="2">
        <v>0.69199932415303034</v>
      </c>
      <c r="Y1468" s="2">
        <v>0.99751175772239442</v>
      </c>
      <c r="Z1468" s="2">
        <v>1.3719701247025533</v>
      </c>
      <c r="AA1468" s="2">
        <v>1.8034306291575339</v>
      </c>
      <c r="AB1468" s="2">
        <v>2.2702324258229876</v>
      </c>
      <c r="AC1468" s="2">
        <v>2.7446681900618368</v>
      </c>
      <c r="AD1468" s="2">
        <v>3.1910122333427431</v>
      </c>
      <c r="AE1468" s="2">
        <v>3.5715273849451665</v>
      </c>
      <c r="AF1468" s="2">
        <v>3.852892811740297</v>
      </c>
      <c r="AG1468" s="2">
        <v>4.0126737698661694</v>
      </c>
      <c r="AH1468" s="2">
        <v>4.0437300989045362</v>
      </c>
      <c r="AI1468" s="2">
        <v>3.9548148498952274</v>
      </c>
      <c r="AJ1468" s="2">
        <v>3.7772998487546734</v>
      </c>
      <c r="AK1468" s="2">
        <v>3.513353544679926</v>
      </c>
      <c r="AL1468" s="2">
        <v>3.2213930550630345</v>
      </c>
      <c r="AM1468" s="2">
        <v>2.8826095920246906</v>
      </c>
      <c r="AN1468" s="2">
        <v>2.5299944121466487</v>
      </c>
      <c r="AO1468" s="2">
        <v>2.1765973947086263</v>
      </c>
      <c r="AP1468" s="2">
        <v>1.8225461784512078</v>
      </c>
      <c r="AQ1468" s="2">
        <v>1.467990147921489</v>
      </c>
      <c r="AR1468" s="2">
        <v>54.889621788108627</v>
      </c>
    </row>
    <row r="1469" spans="1:44" x14ac:dyDescent="0.25">
      <c r="A1469" t="s">
        <v>131</v>
      </c>
      <c r="B1469" t="s">
        <v>162</v>
      </c>
      <c r="C1469" t="s">
        <v>44</v>
      </c>
      <c r="D1469" t="s">
        <v>163</v>
      </c>
      <c r="E1469" t="s">
        <v>148</v>
      </c>
      <c r="F1469" t="s">
        <v>163</v>
      </c>
      <c r="G1469" t="s">
        <v>28</v>
      </c>
      <c r="H1469" t="s">
        <v>138</v>
      </c>
      <c r="I1469" t="s">
        <v>135</v>
      </c>
      <c r="J1469" t="s">
        <v>39</v>
      </c>
      <c r="K1469" t="s">
        <v>28</v>
      </c>
      <c r="L1469">
        <v>31.35</v>
      </c>
      <c r="M1469">
        <v>1</v>
      </c>
      <c r="N1469">
        <v>2.317075937792068</v>
      </c>
      <c r="O1469">
        <v>3.8979006412011894</v>
      </c>
      <c r="P1469">
        <v>-1.064501844170566</v>
      </c>
      <c r="Q1469">
        <v>1.2247390996280272</v>
      </c>
      <c r="R1469">
        <v>-1.561204557281898</v>
      </c>
      <c r="S1469" s="2">
        <v>2.9223107386099068E-2</v>
      </c>
      <c r="T1469" s="2">
        <v>1.8496060977111685E-2</v>
      </c>
      <c r="U1469" s="2">
        <v>4.8427537833969005E-2</v>
      </c>
      <c r="V1469" s="2">
        <v>9.2481596364593327E-2</v>
      </c>
      <c r="W1469" s="2">
        <v>0.15526255325564955</v>
      </c>
      <c r="X1469" s="2">
        <v>0.24004284602676615</v>
      </c>
      <c r="Y1469" s="2">
        <v>0.34601993515226953</v>
      </c>
      <c r="Z1469" s="2">
        <v>0.47591320092744577</v>
      </c>
      <c r="AA1469" s="2">
        <v>0.62557954281915318</v>
      </c>
      <c r="AB1469" s="2">
        <v>0.78750518044767337</v>
      </c>
      <c r="AC1469" s="2">
        <v>0.952078912140494</v>
      </c>
      <c r="AD1469" s="2">
        <v>1.1069081015871507</v>
      </c>
      <c r="AE1469" s="2">
        <v>1.2389023633716432</v>
      </c>
      <c r="AF1469" s="2">
        <v>1.3365032647946453</v>
      </c>
      <c r="AG1469" s="2">
        <v>1.3919285731594448</v>
      </c>
      <c r="AH1469" s="2">
        <v>1.4027014877408819</v>
      </c>
      <c r="AI1469" s="2">
        <v>1.371858293705259</v>
      </c>
      <c r="AJ1469" s="2">
        <v>1.31028134615784</v>
      </c>
      <c r="AK1469" s="2">
        <v>1.2187228434007733</v>
      </c>
      <c r="AL1469" s="2">
        <v>1.1174466941201455</v>
      </c>
      <c r="AM1469" s="2">
        <v>0.99992844834144834</v>
      </c>
      <c r="AN1469" s="2">
        <v>0.87761221424140223</v>
      </c>
      <c r="AO1469" s="2">
        <v>0.75502477393281298</v>
      </c>
      <c r="AP1469" s="2">
        <v>0.63221040313313526</v>
      </c>
      <c r="AQ1469" s="2">
        <v>0.50922092081176085</v>
      </c>
      <c r="AR1469" s="2">
        <v>19.040280201829564</v>
      </c>
    </row>
    <row r="1470" spans="1:44" x14ac:dyDescent="0.25">
      <c r="A1470" t="s">
        <v>131</v>
      </c>
      <c r="B1470" t="s">
        <v>162</v>
      </c>
      <c r="C1470" t="s">
        <v>44</v>
      </c>
      <c r="D1470" t="s">
        <v>163</v>
      </c>
      <c r="E1470" t="s">
        <v>134</v>
      </c>
      <c r="F1470" t="s">
        <v>163</v>
      </c>
      <c r="G1470" t="s">
        <v>28</v>
      </c>
      <c r="H1470" t="s">
        <v>55</v>
      </c>
      <c r="I1470" t="s">
        <v>135</v>
      </c>
      <c r="J1470" t="s">
        <v>39</v>
      </c>
      <c r="K1470" t="s">
        <v>28</v>
      </c>
      <c r="L1470">
        <v>31.35</v>
      </c>
      <c r="M1470">
        <v>1</v>
      </c>
      <c r="N1470">
        <v>2.317075937792068</v>
      </c>
      <c r="O1470">
        <v>3.8979006412011894</v>
      </c>
      <c r="P1470">
        <v>-1.064501844170566</v>
      </c>
      <c r="Q1470">
        <v>1.2247390996280272</v>
      </c>
      <c r="R1470">
        <v>-1.561204557281898</v>
      </c>
      <c r="S1470" s="2">
        <v>2.0664407971871083E-2</v>
      </c>
      <c r="T1470" s="2">
        <v>3.4065339940791008E-2</v>
      </c>
      <c r="U1470" s="2">
        <v>5.1962328596805413E-2</v>
      </c>
      <c r="V1470" s="2">
        <v>7.4856821845043525E-2</v>
      </c>
      <c r="W1470" s="2">
        <v>0.10240403841307882</v>
      </c>
      <c r="X1470" s="2">
        <v>0.13344732642890883</v>
      </c>
      <c r="Y1470" s="2">
        <v>0.16582184089911939</v>
      </c>
      <c r="Z1470" s="2">
        <v>0.19632330690754921</v>
      </c>
      <c r="AA1470" s="2">
        <v>0.22098590020678266</v>
      </c>
      <c r="AB1470" s="2">
        <v>0.23568652880042729</v>
      </c>
      <c r="AC1470" s="2">
        <v>0.23709297168209117</v>
      </c>
      <c r="AD1470" s="2">
        <v>0.22372851763767446</v>
      </c>
      <c r="AE1470" s="2">
        <v>0.19676362487906235</v>
      </c>
      <c r="AF1470" s="2">
        <v>0.1626570570715119</v>
      </c>
      <c r="AG1470" s="2">
        <v>0.12426096391142613</v>
      </c>
      <c r="AH1470" s="2">
        <v>8.5267136721214554E-2</v>
      </c>
      <c r="AI1470" s="2">
        <v>3.9074010798872613E-3</v>
      </c>
      <c r="AJ1470" s="2">
        <v>2.5577113939593407E-3</v>
      </c>
      <c r="AK1470" s="2">
        <v>0</v>
      </c>
      <c r="AL1470" s="2">
        <v>0</v>
      </c>
      <c r="AM1470" s="2">
        <v>0</v>
      </c>
      <c r="AN1470" s="2">
        <v>0</v>
      </c>
      <c r="AO1470" s="2">
        <v>0</v>
      </c>
      <c r="AP1470" s="2">
        <v>0</v>
      </c>
      <c r="AQ1470" s="2">
        <v>0</v>
      </c>
      <c r="AR1470" s="2">
        <v>2.272453224387204</v>
      </c>
    </row>
    <row r="1471" spans="1:44" x14ac:dyDescent="0.25">
      <c r="A1471" t="s">
        <v>131</v>
      </c>
      <c r="B1471" t="s">
        <v>162</v>
      </c>
      <c r="C1471" t="s">
        <v>44</v>
      </c>
      <c r="D1471" t="s">
        <v>163</v>
      </c>
      <c r="E1471" t="s">
        <v>134</v>
      </c>
      <c r="F1471" t="s">
        <v>163</v>
      </c>
      <c r="G1471" t="s">
        <v>28</v>
      </c>
      <c r="H1471" t="s">
        <v>136</v>
      </c>
      <c r="I1471" t="s">
        <v>135</v>
      </c>
      <c r="J1471" t="s">
        <v>39</v>
      </c>
      <c r="K1471" t="s">
        <v>28</v>
      </c>
      <c r="L1471">
        <v>31.35</v>
      </c>
      <c r="M1471">
        <v>1</v>
      </c>
      <c r="N1471">
        <v>2.317075937792068</v>
      </c>
      <c r="O1471">
        <v>3.8979006412011894</v>
      </c>
      <c r="P1471">
        <v>-1.064501844170566</v>
      </c>
      <c r="Q1471">
        <v>1.2247390996280272</v>
      </c>
      <c r="R1471">
        <v>-1.561204557281898</v>
      </c>
      <c r="S1471" s="2">
        <v>2.5945312231349254E-2</v>
      </c>
      <c r="T1471" s="2">
        <v>4.2770926814548721E-2</v>
      </c>
      <c r="U1471" s="2">
        <v>6.5241590349322351E-2</v>
      </c>
      <c r="V1471" s="2">
        <v>9.3986898538776828E-2</v>
      </c>
      <c r="W1471" s="2">
        <v>0.1285739593408656</v>
      </c>
      <c r="X1471" s="2">
        <v>0.16755053207185225</v>
      </c>
      <c r="Y1471" s="2">
        <v>0.20819853357333878</v>
      </c>
      <c r="Z1471" s="2">
        <v>0.24649481867281173</v>
      </c>
      <c r="AA1471" s="2">
        <v>0.27746007470407158</v>
      </c>
      <c r="AB1471" s="2">
        <v>0.29591753060498083</v>
      </c>
      <c r="AC1471" s="2">
        <v>0.29768339777862546</v>
      </c>
      <c r="AD1471" s="2">
        <v>0.2809035832561913</v>
      </c>
      <c r="AE1471" s="2">
        <v>0.24704766234815601</v>
      </c>
      <c r="AF1471" s="2">
        <v>0.20422497165645384</v>
      </c>
      <c r="AG1471" s="2">
        <v>0.15601654357767944</v>
      </c>
      <c r="AH1471" s="2">
        <v>0.10705762721663543</v>
      </c>
      <c r="AI1471" s="2">
        <v>4.9059591336362276E-3</v>
      </c>
      <c r="AJ1471" s="2">
        <v>3.2113487501933937E-3</v>
      </c>
      <c r="AK1471" s="2">
        <v>0</v>
      </c>
      <c r="AL1471" s="2">
        <v>0</v>
      </c>
      <c r="AM1471" s="2">
        <v>0</v>
      </c>
      <c r="AN1471" s="2">
        <v>0</v>
      </c>
      <c r="AO1471" s="2">
        <v>0</v>
      </c>
      <c r="AP1471" s="2">
        <v>0</v>
      </c>
      <c r="AQ1471" s="2">
        <v>0</v>
      </c>
      <c r="AR1471" s="2">
        <v>2.8531912706194893</v>
      </c>
    </row>
    <row r="1472" spans="1:44" x14ac:dyDescent="0.25">
      <c r="A1472" t="s">
        <v>131</v>
      </c>
      <c r="B1472" t="s">
        <v>162</v>
      </c>
      <c r="C1472" t="s">
        <v>44</v>
      </c>
      <c r="D1472" t="s">
        <v>163</v>
      </c>
      <c r="E1472" t="s">
        <v>134</v>
      </c>
      <c r="F1472" t="s">
        <v>163</v>
      </c>
      <c r="G1472" t="s">
        <v>28</v>
      </c>
      <c r="H1472" t="s">
        <v>52</v>
      </c>
      <c r="I1472" t="s">
        <v>135</v>
      </c>
      <c r="J1472" t="s">
        <v>39</v>
      </c>
      <c r="K1472" t="s">
        <v>28</v>
      </c>
      <c r="L1472">
        <v>31.35</v>
      </c>
      <c r="M1472">
        <v>1</v>
      </c>
      <c r="N1472">
        <v>2.317075937792068</v>
      </c>
      <c r="O1472">
        <v>3.8979006412011894</v>
      </c>
      <c r="P1472">
        <v>-1.064501844170566</v>
      </c>
      <c r="Q1472">
        <v>1.2247390996280272</v>
      </c>
      <c r="R1472">
        <v>-1.561204557281898</v>
      </c>
      <c r="S1472" s="2">
        <v>10.898852582827786</v>
      </c>
      <c r="T1472" s="2">
        <v>17.966791920871042</v>
      </c>
      <c r="U1472" s="2">
        <v>27.406048119449689</v>
      </c>
      <c r="V1472" s="2">
        <v>39.481095573543271</v>
      </c>
      <c r="W1472" s="2">
        <v>54.010089235056945</v>
      </c>
      <c r="X1472" s="2">
        <v>70.382986064782145</v>
      </c>
      <c r="Y1472" s="2">
        <v>87.458000317876213</v>
      </c>
      <c r="Z1472" s="2">
        <v>103.54512858395198</v>
      </c>
      <c r="AA1472" s="2">
        <v>116.55270997919307</v>
      </c>
      <c r="AB1472" s="2">
        <v>124.30613723126487</v>
      </c>
      <c r="AC1472" s="2">
        <v>125.0479254138389</v>
      </c>
      <c r="AD1472" s="2">
        <v>117.99922531663088</v>
      </c>
      <c r="AE1472" s="2">
        <v>103.77736173902829</v>
      </c>
      <c r="AF1472" s="2">
        <v>85.788825355759556</v>
      </c>
      <c r="AG1472" s="2">
        <v>65.537901173565004</v>
      </c>
      <c r="AH1472" s="2">
        <v>44.971719226089107</v>
      </c>
      <c r="AI1472" s="2">
        <v>2.0608472504822171</v>
      </c>
      <c r="AJ1472" s="2">
        <v>1.348991922252381</v>
      </c>
      <c r="AK1472" s="2">
        <v>0</v>
      </c>
      <c r="AL1472" s="2">
        <v>0</v>
      </c>
      <c r="AM1472" s="2">
        <v>0</v>
      </c>
      <c r="AN1472" s="2">
        <v>0</v>
      </c>
      <c r="AO1472" s="2">
        <v>0</v>
      </c>
      <c r="AP1472" s="2">
        <v>0</v>
      </c>
      <c r="AQ1472" s="2">
        <v>0</v>
      </c>
      <c r="AR1472" s="2">
        <v>1198.5406370064636</v>
      </c>
    </row>
    <row r="1473" spans="1:44" x14ac:dyDescent="0.25">
      <c r="A1473" t="s">
        <v>131</v>
      </c>
      <c r="B1473" t="s">
        <v>162</v>
      </c>
      <c r="C1473" t="s">
        <v>44</v>
      </c>
      <c r="D1473" t="s">
        <v>163</v>
      </c>
      <c r="E1473" t="s">
        <v>134</v>
      </c>
      <c r="F1473" t="s">
        <v>163</v>
      </c>
      <c r="G1473" t="s">
        <v>28</v>
      </c>
      <c r="H1473" t="s">
        <v>138</v>
      </c>
      <c r="I1473" t="s">
        <v>135</v>
      </c>
      <c r="J1473" t="s">
        <v>39</v>
      </c>
      <c r="K1473" t="s">
        <v>28</v>
      </c>
      <c r="L1473">
        <v>31.35</v>
      </c>
      <c r="M1473">
        <v>1</v>
      </c>
      <c r="N1473">
        <v>2.317075937792068</v>
      </c>
      <c r="O1473">
        <v>3.8979006412011894</v>
      </c>
      <c r="P1473">
        <v>-1.064501844170566</v>
      </c>
      <c r="Q1473">
        <v>1.2247390996280272</v>
      </c>
      <c r="R1473">
        <v>-1.561204557281898</v>
      </c>
      <c r="S1473" s="2">
        <v>3.7806273808290625</v>
      </c>
      <c r="T1473" s="2">
        <v>6.2323758364001698</v>
      </c>
      <c r="U1473" s="2">
        <v>9.5066939508807859</v>
      </c>
      <c r="V1473" s="2">
        <v>13.695323412819235</v>
      </c>
      <c r="W1473" s="2">
        <v>18.735185254712221</v>
      </c>
      <c r="X1473" s="2">
        <v>24.414665877789712</v>
      </c>
      <c r="Y1473" s="2">
        <v>30.337699144154424</v>
      </c>
      <c r="Z1473" s="2">
        <v>35.918051492204555</v>
      </c>
      <c r="AA1473" s="2">
        <v>40.430161185172977</v>
      </c>
      <c r="AB1473" s="2">
        <v>43.119693788874223</v>
      </c>
      <c r="AC1473" s="2">
        <v>43.377007546675983</v>
      </c>
      <c r="AD1473" s="2">
        <v>40.93193285791979</v>
      </c>
      <c r="AE1473" s="2">
        <v>35.998609240659761</v>
      </c>
      <c r="AF1473" s="2">
        <v>29.758690618512425</v>
      </c>
      <c r="AG1473" s="2">
        <v>22.733987984133492</v>
      </c>
      <c r="AH1473" s="2">
        <v>15.599927770102514</v>
      </c>
      <c r="AI1473" s="2">
        <v>0.71487300921523755</v>
      </c>
      <c r="AJ1473" s="2">
        <v>0.46794245165038667</v>
      </c>
      <c r="AK1473" s="2">
        <v>0</v>
      </c>
      <c r="AL1473" s="2">
        <v>0</v>
      </c>
      <c r="AM1473" s="2">
        <v>0</v>
      </c>
      <c r="AN1473" s="2">
        <v>0</v>
      </c>
      <c r="AO1473" s="2">
        <v>0</v>
      </c>
      <c r="AP1473" s="2">
        <v>0</v>
      </c>
      <c r="AQ1473" s="2">
        <v>0</v>
      </c>
      <c r="AR1473" s="2">
        <v>415.75344880270688</v>
      </c>
    </row>
    <row r="1474" spans="1:44" x14ac:dyDescent="0.25">
      <c r="A1474" t="s">
        <v>131</v>
      </c>
      <c r="B1474" t="s">
        <v>165</v>
      </c>
      <c r="C1474" t="s">
        <v>44</v>
      </c>
      <c r="D1474" t="s">
        <v>166</v>
      </c>
      <c r="E1474" t="s">
        <v>148</v>
      </c>
      <c r="F1474" t="s">
        <v>166</v>
      </c>
      <c r="G1474" t="s">
        <v>28</v>
      </c>
      <c r="H1474" t="s">
        <v>55</v>
      </c>
      <c r="I1474" t="s">
        <v>135</v>
      </c>
      <c r="J1474" t="s">
        <v>39</v>
      </c>
      <c r="K1474" t="s">
        <v>28</v>
      </c>
      <c r="L1474">
        <v>14.72</v>
      </c>
      <c r="M1474">
        <v>1</v>
      </c>
      <c r="N1474">
        <v>2.2973134921399638</v>
      </c>
      <c r="O1474">
        <v>3.9878353025931945</v>
      </c>
      <c r="P1474">
        <v>-1.0909408465043908</v>
      </c>
      <c r="Q1474">
        <v>1.2637758031966404</v>
      </c>
      <c r="R1474">
        <v>-1.626680263184336</v>
      </c>
      <c r="S1474" s="2">
        <v>3.2988027699066602E-5</v>
      </c>
      <c r="T1474" s="2">
        <v>2.0878976481700982E-5</v>
      </c>
      <c r="U1474" s="2">
        <v>5.4666635493543803E-5</v>
      </c>
      <c r="V1474" s="2">
        <v>1.0439634027352975E-4</v>
      </c>
      <c r="W1474" s="2">
        <v>1.752655985469061E-4</v>
      </c>
      <c r="X1474" s="2">
        <v>2.7096844798443499E-4</v>
      </c>
      <c r="Y1474" s="2">
        <v>3.9059895494419591E-4</v>
      </c>
      <c r="Z1474" s="2">
        <v>5.3722684747803287E-4</v>
      </c>
      <c r="AA1474" s="2">
        <v>7.0617525418615018E-4</v>
      </c>
      <c r="AB1474" s="2">
        <v>8.8896236675103392E-4</v>
      </c>
      <c r="AC1474" s="2">
        <v>1.0747387370696863E-3</v>
      </c>
      <c r="AD1474" s="2">
        <v>1.2495151399555596E-3</v>
      </c>
      <c r="AE1474" s="2">
        <v>1.3985147075352956E-3</v>
      </c>
      <c r="AF1474" s="2">
        <v>1.5086898917502111E-3</v>
      </c>
      <c r="AG1474" s="2">
        <v>1.5712558462673239E-3</v>
      </c>
      <c r="AH1474" s="2">
        <v>1.5834166750223564E-3</v>
      </c>
      <c r="AI1474" s="2">
        <v>1.5485998389572512E-3</v>
      </c>
      <c r="AJ1474" s="2">
        <v>1.4790897069756987E-3</v>
      </c>
      <c r="AK1474" s="2">
        <v>1.3757353858513399E-3</v>
      </c>
      <c r="AL1474" s="2">
        <v>1.2614114580915769E-3</v>
      </c>
      <c r="AM1474" s="2">
        <v>1.1287529048558016E-3</v>
      </c>
      <c r="AN1474" s="2">
        <v>9.9067822083170149E-4</v>
      </c>
      <c r="AO1474" s="2">
        <v>8.5229739010660665E-4</v>
      </c>
      <c r="AP1474" s="2">
        <v>7.1366039260130777E-4</v>
      </c>
      <c r="AQ1474" s="2">
        <v>5.7482572331351396E-4</v>
      </c>
      <c r="AR1474" s="2">
        <v>2.1493309469023822E-2</v>
      </c>
    </row>
    <row r="1475" spans="1:44" x14ac:dyDescent="0.25">
      <c r="A1475" t="s">
        <v>131</v>
      </c>
      <c r="B1475" t="s">
        <v>165</v>
      </c>
      <c r="C1475" t="s">
        <v>44</v>
      </c>
      <c r="D1475" t="s">
        <v>166</v>
      </c>
      <c r="E1475" t="s">
        <v>148</v>
      </c>
      <c r="F1475" t="s">
        <v>166</v>
      </c>
      <c r="G1475" t="s">
        <v>28</v>
      </c>
      <c r="H1475" t="s">
        <v>136</v>
      </c>
      <c r="I1475" t="s">
        <v>135</v>
      </c>
      <c r="J1475" t="s">
        <v>39</v>
      </c>
      <c r="K1475" t="s">
        <v>28</v>
      </c>
      <c r="L1475">
        <v>14.72</v>
      </c>
      <c r="M1475">
        <v>1</v>
      </c>
      <c r="N1475">
        <v>2.2973134921399638</v>
      </c>
      <c r="O1475">
        <v>3.9878353025931945</v>
      </c>
      <c r="P1475">
        <v>-1.0909408465043908</v>
      </c>
      <c r="Q1475">
        <v>1.2637758031966404</v>
      </c>
      <c r="R1475">
        <v>-1.626680263184336</v>
      </c>
      <c r="S1475" s="2">
        <v>4.1418301444383617E-5</v>
      </c>
      <c r="T1475" s="2">
        <v>2.6214714915913456E-5</v>
      </c>
      <c r="U1475" s="2">
        <v>6.8636997897449445E-5</v>
      </c>
      <c r="V1475" s="2">
        <v>1.3107540501009846E-4</v>
      </c>
      <c r="W1475" s="2">
        <v>2.2005569595333791E-4</v>
      </c>
      <c r="X1475" s="2">
        <v>3.402159402471237E-4</v>
      </c>
      <c r="Y1475" s="2">
        <v>4.9041868787437905E-4</v>
      </c>
      <c r="Z1475" s="2">
        <v>6.7451815294464082E-4</v>
      </c>
      <c r="AA1475" s="2">
        <v>8.8664226358927637E-4</v>
      </c>
      <c r="AB1475" s="2">
        <v>1.1161416382540774E-3</v>
      </c>
      <c r="AC1475" s="2">
        <v>1.3493941920986042E-3</v>
      </c>
      <c r="AD1475" s="2">
        <v>1.5688356757219799E-3</v>
      </c>
      <c r="AE1475" s="2">
        <v>1.7559129105720992E-3</v>
      </c>
      <c r="AF1475" s="2">
        <v>1.894243975197496E-3</v>
      </c>
      <c r="AG1475" s="2">
        <v>1.9727990069800787E-3</v>
      </c>
      <c r="AH1475" s="2">
        <v>1.9880676030836122E-3</v>
      </c>
      <c r="AI1475" s="2">
        <v>1.944353131135209E-3</v>
      </c>
      <c r="AJ1475" s="2">
        <v>1.8570792987583991E-3</v>
      </c>
      <c r="AK1475" s="2">
        <v>1.7273122066800079E-3</v>
      </c>
      <c r="AL1475" s="2">
        <v>1.5837721640483201E-3</v>
      </c>
      <c r="AM1475" s="2">
        <v>1.4172119805411483E-3</v>
      </c>
      <c r="AN1475" s="2">
        <v>1.2438515439331607E-3</v>
      </c>
      <c r="AO1475" s="2">
        <v>1.0701067231338511E-3</v>
      </c>
      <c r="AP1475" s="2">
        <v>8.9604027071052308E-4</v>
      </c>
      <c r="AQ1475" s="2">
        <v>7.2172563038251365E-4</v>
      </c>
      <c r="AR1475" s="2">
        <v>2.698604411110769E-2</v>
      </c>
    </row>
    <row r="1476" spans="1:44" x14ac:dyDescent="0.25">
      <c r="A1476" t="s">
        <v>131</v>
      </c>
      <c r="B1476" t="s">
        <v>165</v>
      </c>
      <c r="C1476" t="s">
        <v>44</v>
      </c>
      <c r="D1476" t="s">
        <v>166</v>
      </c>
      <c r="E1476" t="s">
        <v>148</v>
      </c>
      <c r="F1476" t="s">
        <v>166</v>
      </c>
      <c r="G1476" t="s">
        <v>28</v>
      </c>
      <c r="H1476" t="s">
        <v>52</v>
      </c>
      <c r="I1476" t="s">
        <v>135</v>
      </c>
      <c r="J1476" t="s">
        <v>39</v>
      </c>
      <c r="K1476" t="s">
        <v>28</v>
      </c>
      <c r="L1476">
        <v>14.72</v>
      </c>
      <c r="M1476">
        <v>1</v>
      </c>
      <c r="N1476">
        <v>2.2973134921399638</v>
      </c>
      <c r="O1476">
        <v>3.9878353025931945</v>
      </c>
      <c r="P1476">
        <v>-1.0909408465043908</v>
      </c>
      <c r="Q1476">
        <v>1.2637758031966404</v>
      </c>
      <c r="R1476">
        <v>-1.626680263184336</v>
      </c>
      <c r="S1476" s="2">
        <v>1.7186395897572593E-2</v>
      </c>
      <c r="T1476" s="2">
        <v>1.087771475833864E-2</v>
      </c>
      <c r="U1476" s="2">
        <v>2.8480709685075267E-2</v>
      </c>
      <c r="V1476" s="2">
        <v>5.4389333323172653E-2</v>
      </c>
      <c r="W1476" s="2">
        <v>9.1311429447398715E-2</v>
      </c>
      <c r="X1476" s="2">
        <v>0.14117155063935738</v>
      </c>
      <c r="Y1476" s="2">
        <v>0.20349771553753729</v>
      </c>
      <c r="Z1476" s="2">
        <v>0.27988921834886121</v>
      </c>
      <c r="AA1476" s="2">
        <v>0.36790946103927069</v>
      </c>
      <c r="AB1476" s="2">
        <v>0.46313951571765782</v>
      </c>
      <c r="AC1476" s="2">
        <v>0.55992694047178315</v>
      </c>
      <c r="AD1476" s="2">
        <v>0.65098350441529274</v>
      </c>
      <c r="AE1476" s="2">
        <v>0.7286106235735843</v>
      </c>
      <c r="AF1476" s="2">
        <v>0.78601067038083972</v>
      </c>
      <c r="AG1476" s="2">
        <v>0.81860683750698471</v>
      </c>
      <c r="AH1476" s="2">
        <v>0.824942494168035</v>
      </c>
      <c r="AI1476" s="2">
        <v>0.80680330943184775</v>
      </c>
      <c r="AJ1476" s="2">
        <v>0.77058930300426687</v>
      </c>
      <c r="AK1476" s="2">
        <v>0.71674285007981364</v>
      </c>
      <c r="AL1476" s="2">
        <v>0.65718135398284983</v>
      </c>
      <c r="AM1476" s="2">
        <v>0.58806772173092281</v>
      </c>
      <c r="AN1476" s="2">
        <v>0.51613234551753395</v>
      </c>
      <c r="AO1476" s="2">
        <v>0.44403747027453894</v>
      </c>
      <c r="AP1476" s="2">
        <v>0.37180913498535995</v>
      </c>
      <c r="AQ1476" s="2">
        <v>0.29947781489385822</v>
      </c>
      <c r="AR1476" s="2">
        <v>11.197775418811753</v>
      </c>
    </row>
    <row r="1477" spans="1:44" x14ac:dyDescent="0.25">
      <c r="A1477" t="s">
        <v>131</v>
      </c>
      <c r="B1477" t="s">
        <v>165</v>
      </c>
      <c r="C1477" t="s">
        <v>44</v>
      </c>
      <c r="D1477" t="s">
        <v>166</v>
      </c>
      <c r="E1477" t="s">
        <v>148</v>
      </c>
      <c r="F1477" t="s">
        <v>166</v>
      </c>
      <c r="G1477" t="s">
        <v>28</v>
      </c>
      <c r="H1477" t="s">
        <v>138</v>
      </c>
      <c r="I1477" t="s">
        <v>135</v>
      </c>
      <c r="J1477" t="s">
        <v>39</v>
      </c>
      <c r="K1477" t="s">
        <v>28</v>
      </c>
      <c r="L1477">
        <v>14.72</v>
      </c>
      <c r="M1477">
        <v>1</v>
      </c>
      <c r="N1477">
        <v>2.2973134921399638</v>
      </c>
      <c r="O1477">
        <v>3.9878353025931945</v>
      </c>
      <c r="P1477">
        <v>-1.0909408465043908</v>
      </c>
      <c r="Q1477">
        <v>1.2637758031966404</v>
      </c>
      <c r="R1477">
        <v>-1.626680263184336</v>
      </c>
      <c r="S1477" s="2">
        <v>5.9616696725035339E-3</v>
      </c>
      <c r="T1477" s="2">
        <v>3.7732950274985172E-3</v>
      </c>
      <c r="U1477" s="2">
        <v>9.8794758478054426E-3</v>
      </c>
      <c r="V1477" s="2">
        <v>1.8866738606099585E-2</v>
      </c>
      <c r="W1477" s="2">
        <v>3.1674388448504773E-2</v>
      </c>
      <c r="X1477" s="2">
        <v>4.8970020071853707E-2</v>
      </c>
      <c r="Y1477" s="2">
        <v>7.0589911135192626E-2</v>
      </c>
      <c r="Z1477" s="2">
        <v>9.7088829713668959E-2</v>
      </c>
      <c r="AA1477" s="2">
        <v>0.12762156121486351</v>
      </c>
      <c r="AB1477" s="2">
        <v>0.16065525439117317</v>
      </c>
      <c r="AC1477" s="2">
        <v>0.19422917287153746</v>
      </c>
      <c r="AD1477" s="2">
        <v>0.22581515279308112</v>
      </c>
      <c r="AE1477" s="2">
        <v>0.25274268575623948</v>
      </c>
      <c r="AF1477" s="2">
        <v>0.27265378988130251</v>
      </c>
      <c r="AG1477" s="2">
        <v>0.28396084821708933</v>
      </c>
      <c r="AH1477" s="2">
        <v>0.28615858021376173</v>
      </c>
      <c r="AI1477" s="2">
        <v>0.27986640422932896</v>
      </c>
      <c r="AJ1477" s="2">
        <v>0.26730437871066653</v>
      </c>
      <c r="AK1477" s="2">
        <v>0.24862595612079896</v>
      </c>
      <c r="AL1477" s="2">
        <v>0.22796508184288203</v>
      </c>
      <c r="AM1477" s="2">
        <v>0.20399073330532919</v>
      </c>
      <c r="AN1477" s="2">
        <v>0.1790375695758635</v>
      </c>
      <c r="AO1477" s="2">
        <v>0.15402907833426488</v>
      </c>
      <c r="AP1477" s="2">
        <v>0.12897429206289363</v>
      </c>
      <c r="AQ1477" s="2">
        <v>0.10388378210771249</v>
      </c>
      <c r="AR1477" s="2">
        <v>3.8843186501519167</v>
      </c>
    </row>
    <row r="1478" spans="1:44" x14ac:dyDescent="0.25">
      <c r="A1478" t="s">
        <v>131</v>
      </c>
      <c r="B1478" t="s">
        <v>165</v>
      </c>
      <c r="C1478" t="s">
        <v>44</v>
      </c>
      <c r="D1478" t="s">
        <v>166</v>
      </c>
      <c r="E1478" t="s">
        <v>134</v>
      </c>
      <c r="F1478" t="s">
        <v>166</v>
      </c>
      <c r="G1478" t="s">
        <v>28</v>
      </c>
      <c r="H1478" t="s">
        <v>55</v>
      </c>
      <c r="I1478" t="s">
        <v>135</v>
      </c>
      <c r="J1478" t="s">
        <v>39</v>
      </c>
      <c r="K1478" t="s">
        <v>28</v>
      </c>
      <c r="L1478">
        <v>14.72</v>
      </c>
      <c r="M1478">
        <v>1</v>
      </c>
      <c r="N1478">
        <v>2.2973134921399638</v>
      </c>
      <c r="O1478">
        <v>3.9878353025931945</v>
      </c>
      <c r="P1478">
        <v>-1.0909408465043908</v>
      </c>
      <c r="Q1478">
        <v>1.2637758031966404</v>
      </c>
      <c r="R1478">
        <v>-1.626680263184336</v>
      </c>
      <c r="S1478" s="2">
        <v>4.2676994992655592E-3</v>
      </c>
      <c r="T1478" s="2">
        <v>7.0353157179978594E-3</v>
      </c>
      <c r="U1478" s="2">
        <v>1.0731476267557426E-2</v>
      </c>
      <c r="V1478" s="2">
        <v>1.5459742255358549E-2</v>
      </c>
      <c r="W1478" s="2">
        <v>2.1148908018713317E-2</v>
      </c>
      <c r="X1478" s="2">
        <v>2.7560097001289259E-2</v>
      </c>
      <c r="Y1478" s="2">
        <v>3.4246216409188887E-2</v>
      </c>
      <c r="Z1478" s="2">
        <v>4.0545506056791365E-2</v>
      </c>
      <c r="AA1478" s="2">
        <v>4.5638927422503896E-2</v>
      </c>
      <c r="AB1478" s="2">
        <v>4.8674962394973785E-2</v>
      </c>
      <c r="AC1478" s="2">
        <v>4.8965426829763931E-2</v>
      </c>
      <c r="AD1478" s="2">
        <v>4.6205344183749941E-2</v>
      </c>
      <c r="AE1478" s="2">
        <v>4.0636442356011854E-2</v>
      </c>
      <c r="AF1478" s="2">
        <v>3.3592612087460949E-2</v>
      </c>
      <c r="AG1478" s="2">
        <v>2.5662891198476066E-2</v>
      </c>
      <c r="AH1478" s="2">
        <v>1.7609723790987825E-2</v>
      </c>
      <c r="AI1478" s="2">
        <v>8.0697272599165881E-4</v>
      </c>
      <c r="AJ1478" s="2">
        <v>5.2822919728088072E-4</v>
      </c>
      <c r="AK1478" s="2">
        <v>0</v>
      </c>
      <c r="AL1478" s="2">
        <v>0</v>
      </c>
      <c r="AM1478" s="2">
        <v>0</v>
      </c>
      <c r="AN1478" s="2">
        <v>0</v>
      </c>
      <c r="AO1478" s="2">
        <v>0</v>
      </c>
      <c r="AP1478" s="2">
        <v>0</v>
      </c>
      <c r="AQ1478" s="2">
        <v>0</v>
      </c>
      <c r="AR1478" s="2">
        <v>0.46931649341336296</v>
      </c>
    </row>
    <row r="1479" spans="1:44" x14ac:dyDescent="0.25">
      <c r="A1479" t="s">
        <v>131</v>
      </c>
      <c r="B1479" t="s">
        <v>165</v>
      </c>
      <c r="C1479" t="s">
        <v>44</v>
      </c>
      <c r="D1479" t="s">
        <v>166</v>
      </c>
      <c r="E1479" t="s">
        <v>134</v>
      </c>
      <c r="F1479" t="s">
        <v>166</v>
      </c>
      <c r="G1479" t="s">
        <v>28</v>
      </c>
      <c r="H1479" t="s">
        <v>136</v>
      </c>
      <c r="I1479" t="s">
        <v>135</v>
      </c>
      <c r="J1479" t="s">
        <v>39</v>
      </c>
      <c r="K1479" t="s">
        <v>28</v>
      </c>
      <c r="L1479">
        <v>14.72</v>
      </c>
      <c r="M1479">
        <v>1</v>
      </c>
      <c r="N1479">
        <v>2.2973134921399638</v>
      </c>
      <c r="O1479">
        <v>3.9878353025931945</v>
      </c>
      <c r="P1479">
        <v>-1.0909408465043908</v>
      </c>
      <c r="Q1479">
        <v>1.2637758031966404</v>
      </c>
      <c r="R1479">
        <v>-1.626680263184336</v>
      </c>
      <c r="S1479" s="2">
        <v>5.358333815744536E-3</v>
      </c>
      <c r="T1479" s="2">
        <v>8.8332297348195348E-3</v>
      </c>
      <c r="U1479" s="2">
        <v>1.3473964647044324E-2</v>
      </c>
      <c r="V1479" s="2">
        <v>1.9410565276172399E-2</v>
      </c>
      <c r="W1479" s="2">
        <v>2.6553628956828931E-2</v>
      </c>
      <c r="X1479" s="2">
        <v>3.4603232901618736E-2</v>
      </c>
      <c r="Y1479" s="2">
        <v>4.2998027269314947E-2</v>
      </c>
      <c r="Z1479" s="2">
        <v>5.09071353824158E-2</v>
      </c>
      <c r="AA1479" s="2">
        <v>5.7302208874921573E-2</v>
      </c>
      <c r="AB1479" s="2">
        <v>6.1114119451467074E-2</v>
      </c>
      <c r="AC1479" s="2">
        <v>6.1478813686259133E-2</v>
      </c>
      <c r="AD1479" s="2">
        <v>5.8013376586263807E-2</v>
      </c>
      <c r="AE1479" s="2">
        <v>5.1021310958103756E-2</v>
      </c>
      <c r="AF1479" s="2">
        <v>4.217739073203431E-2</v>
      </c>
      <c r="AG1479" s="2">
        <v>3.2221185615864387E-2</v>
      </c>
      <c r="AH1479" s="2">
        <v>2.2109986537573519E-2</v>
      </c>
      <c r="AI1479" s="2">
        <v>1.0131990893006381E-3</v>
      </c>
      <c r="AJ1479" s="2">
        <v>6.6322110325266127E-4</v>
      </c>
      <c r="AK1479" s="2">
        <v>0</v>
      </c>
      <c r="AL1479" s="2">
        <v>0</v>
      </c>
      <c r="AM1479" s="2">
        <v>0</v>
      </c>
      <c r="AN1479" s="2">
        <v>0</v>
      </c>
      <c r="AO1479" s="2">
        <v>0</v>
      </c>
      <c r="AP1479" s="2">
        <v>0</v>
      </c>
      <c r="AQ1479" s="2">
        <v>0</v>
      </c>
      <c r="AR1479" s="2">
        <v>0.58925293061900008</v>
      </c>
    </row>
    <row r="1480" spans="1:44" x14ac:dyDescent="0.25">
      <c r="A1480" t="s">
        <v>131</v>
      </c>
      <c r="B1480" t="s">
        <v>165</v>
      </c>
      <c r="C1480" t="s">
        <v>44</v>
      </c>
      <c r="D1480" t="s">
        <v>166</v>
      </c>
      <c r="E1480" t="s">
        <v>134</v>
      </c>
      <c r="F1480" t="s">
        <v>166</v>
      </c>
      <c r="G1480" t="s">
        <v>28</v>
      </c>
      <c r="H1480" t="s">
        <v>52</v>
      </c>
      <c r="I1480" t="s">
        <v>135</v>
      </c>
      <c r="J1480" t="s">
        <v>39</v>
      </c>
      <c r="K1480" t="s">
        <v>28</v>
      </c>
      <c r="L1480">
        <v>14.72</v>
      </c>
      <c r="M1480">
        <v>1</v>
      </c>
      <c r="N1480">
        <v>2.2973134921399638</v>
      </c>
      <c r="O1480">
        <v>3.9878353025931945</v>
      </c>
      <c r="P1480">
        <v>-1.0909408465043908</v>
      </c>
      <c r="Q1480">
        <v>1.2637758031966404</v>
      </c>
      <c r="R1480">
        <v>-1.626680263184336</v>
      </c>
      <c r="S1480" s="2">
        <v>2.2234240202340314</v>
      </c>
      <c r="T1480" s="2">
        <v>3.6653213189022402</v>
      </c>
      <c r="U1480" s="2">
        <v>5.5909798967722235</v>
      </c>
      <c r="V1480" s="2">
        <v>8.0543539401278537</v>
      </c>
      <c r="W1480" s="2">
        <v>11.01834608988276</v>
      </c>
      <c r="X1480" s="2">
        <v>14.358504314371686</v>
      </c>
      <c r="Y1480" s="2">
        <v>17.841898235671756</v>
      </c>
      <c r="Z1480" s="2">
        <v>21.123758149965436</v>
      </c>
      <c r="AA1480" s="2">
        <v>23.777374087930944</v>
      </c>
      <c r="AB1480" s="2">
        <v>25.359114574865835</v>
      </c>
      <c r="AC1480" s="2">
        <v>25.510443318008893</v>
      </c>
      <c r="AD1480" s="2">
        <v>24.072470927020561</v>
      </c>
      <c r="AE1480" s="2">
        <v>21.171134951455993</v>
      </c>
      <c r="AF1480" s="2">
        <v>17.501377646321739</v>
      </c>
      <c r="AG1480" s="2">
        <v>13.370081171170485</v>
      </c>
      <c r="AH1480" s="2">
        <v>9.1744704315069221</v>
      </c>
      <c r="AI1480" s="2">
        <v>0.42042382387803195</v>
      </c>
      <c r="AJ1480" s="2">
        <v>0.27520154257003565</v>
      </c>
      <c r="AK1480" s="2">
        <v>0</v>
      </c>
      <c r="AL1480" s="2">
        <v>0</v>
      </c>
      <c r="AM1480" s="2">
        <v>0</v>
      </c>
      <c r="AN1480" s="2">
        <v>0</v>
      </c>
      <c r="AO1480" s="2">
        <v>0</v>
      </c>
      <c r="AP1480" s="2">
        <v>0</v>
      </c>
      <c r="AQ1480" s="2">
        <v>0</v>
      </c>
      <c r="AR1480" s="2">
        <v>244.50867844065741</v>
      </c>
    </row>
    <row r="1481" spans="1:44" x14ac:dyDescent="0.25">
      <c r="A1481" t="s">
        <v>131</v>
      </c>
      <c r="B1481" t="s">
        <v>165</v>
      </c>
      <c r="C1481" t="s">
        <v>44</v>
      </c>
      <c r="D1481" t="s">
        <v>166</v>
      </c>
      <c r="E1481" t="s">
        <v>134</v>
      </c>
      <c r="F1481" t="s">
        <v>166</v>
      </c>
      <c r="G1481" t="s">
        <v>28</v>
      </c>
      <c r="H1481" t="s">
        <v>138</v>
      </c>
      <c r="I1481" t="s">
        <v>135</v>
      </c>
      <c r="J1481" t="s">
        <v>39</v>
      </c>
      <c r="K1481" t="s">
        <v>28</v>
      </c>
      <c r="L1481">
        <v>14.72</v>
      </c>
      <c r="M1481">
        <v>1</v>
      </c>
      <c r="N1481">
        <v>2.2973134921399638</v>
      </c>
      <c r="O1481">
        <v>3.9878353025931945</v>
      </c>
      <c r="P1481">
        <v>-1.0909408465043908</v>
      </c>
      <c r="Q1481">
        <v>1.2637758031966404</v>
      </c>
      <c r="R1481">
        <v>-1.626680263184336</v>
      </c>
      <c r="S1481" s="2">
        <v>0.77126813728393706</v>
      </c>
      <c r="T1481" s="2">
        <v>1.2714378905915023</v>
      </c>
      <c r="U1481" s="2">
        <v>1.9394162387980165</v>
      </c>
      <c r="V1481" s="2">
        <v>2.7939189753711866</v>
      </c>
      <c r="W1481" s="2">
        <v>3.8220776547152435</v>
      </c>
      <c r="X1481" s="2">
        <v>4.9807219747329965</v>
      </c>
      <c r="Y1481" s="2">
        <v>6.1890523321717472</v>
      </c>
      <c r="Z1481" s="2">
        <v>7.3274739557079034</v>
      </c>
      <c r="AA1481" s="2">
        <v>8.2479683836336211</v>
      </c>
      <c r="AB1481" s="2">
        <v>8.7966473706027593</v>
      </c>
      <c r="AC1481" s="2">
        <v>8.8491407487345608</v>
      </c>
      <c r="AD1481" s="2">
        <v>8.3503324794299179</v>
      </c>
      <c r="AE1481" s="2">
        <v>7.3439081657836951</v>
      </c>
      <c r="AF1481" s="2">
        <v>6.0709315066950245</v>
      </c>
      <c r="AG1481" s="2">
        <v>4.6378547260357026</v>
      </c>
      <c r="AH1481" s="2">
        <v>3.1824684162268526</v>
      </c>
      <c r="AI1481" s="2">
        <v>0.14583790431393698</v>
      </c>
      <c r="AJ1481" s="2">
        <v>9.5462754375261388E-2</v>
      </c>
      <c r="AK1481" s="2">
        <v>0</v>
      </c>
      <c r="AL1481" s="2">
        <v>0</v>
      </c>
      <c r="AM1481" s="2">
        <v>0</v>
      </c>
      <c r="AN1481" s="2">
        <v>0</v>
      </c>
      <c r="AO1481" s="2">
        <v>0</v>
      </c>
      <c r="AP1481" s="2">
        <v>0</v>
      </c>
      <c r="AQ1481" s="2">
        <v>0</v>
      </c>
      <c r="AR1481" s="2">
        <v>84.815919615203867</v>
      </c>
    </row>
    <row r="1482" spans="1:44" x14ac:dyDescent="0.25">
      <c r="A1482" t="s">
        <v>131</v>
      </c>
      <c r="B1482" t="s">
        <v>167</v>
      </c>
      <c r="C1482" t="s">
        <v>44</v>
      </c>
      <c r="D1482" t="s">
        <v>168</v>
      </c>
      <c r="E1482" t="s">
        <v>134</v>
      </c>
      <c r="F1482" t="s">
        <v>168</v>
      </c>
      <c r="G1482" t="s">
        <v>28</v>
      </c>
      <c r="H1482" t="s">
        <v>54</v>
      </c>
      <c r="I1482" t="s">
        <v>135</v>
      </c>
      <c r="J1482" t="s">
        <v>39</v>
      </c>
      <c r="K1482" t="s">
        <v>28</v>
      </c>
      <c r="L1482">
        <v>41.48</v>
      </c>
      <c r="M1482">
        <v>1</v>
      </c>
      <c r="N1482">
        <v>3.5013611094518171</v>
      </c>
      <c r="O1482">
        <v>3.7403155854968446</v>
      </c>
      <c r="P1482">
        <v>-1.3967912097249016</v>
      </c>
      <c r="Q1482">
        <v>0.77772207954966799</v>
      </c>
      <c r="R1482">
        <v>-1.4464769027578743</v>
      </c>
      <c r="S1482" s="2">
        <v>0</v>
      </c>
      <c r="T1482" s="2">
        <v>0</v>
      </c>
      <c r="U1482" s="2">
        <v>0</v>
      </c>
      <c r="V1482" s="2">
        <v>0</v>
      </c>
      <c r="W1482" s="2">
        <v>0</v>
      </c>
      <c r="X1482" s="2">
        <v>0</v>
      </c>
      <c r="Y1482" s="2">
        <v>0</v>
      </c>
      <c r="Z1482" s="2">
        <v>0</v>
      </c>
      <c r="AA1482" s="2">
        <v>0</v>
      </c>
      <c r="AB1482" s="2">
        <v>0</v>
      </c>
      <c r="AC1482" s="2">
        <v>0</v>
      </c>
      <c r="AD1482" s="2">
        <v>0</v>
      </c>
      <c r="AE1482" s="2">
        <v>0</v>
      </c>
      <c r="AF1482" s="2">
        <v>0</v>
      </c>
      <c r="AG1482" s="2">
        <v>0</v>
      </c>
      <c r="AH1482" s="2">
        <v>0</v>
      </c>
      <c r="AI1482" s="2">
        <v>0</v>
      </c>
      <c r="AJ1482" s="2">
        <v>0</v>
      </c>
      <c r="AK1482" s="2">
        <v>0</v>
      </c>
      <c r="AL1482" s="2">
        <v>0</v>
      </c>
      <c r="AM1482" s="2">
        <v>0</v>
      </c>
      <c r="AN1482" s="2">
        <v>0</v>
      </c>
      <c r="AO1482" s="2">
        <v>0</v>
      </c>
      <c r="AP1482" s="2">
        <v>0</v>
      </c>
      <c r="AQ1482" s="2">
        <v>0</v>
      </c>
      <c r="AR1482" s="2">
        <v>0</v>
      </c>
    </row>
    <row r="1483" spans="1:44" x14ac:dyDescent="0.25">
      <c r="A1483" t="s">
        <v>131</v>
      </c>
      <c r="B1483" t="s">
        <v>167</v>
      </c>
      <c r="C1483" t="s">
        <v>44</v>
      </c>
      <c r="D1483" t="s">
        <v>168</v>
      </c>
      <c r="E1483" t="s">
        <v>134</v>
      </c>
      <c r="F1483" t="s">
        <v>168</v>
      </c>
      <c r="G1483" t="s">
        <v>28</v>
      </c>
      <c r="H1483" t="s">
        <v>142</v>
      </c>
      <c r="I1483" t="s">
        <v>135</v>
      </c>
      <c r="J1483" t="s">
        <v>39</v>
      </c>
      <c r="K1483" t="s">
        <v>28</v>
      </c>
      <c r="L1483">
        <v>41.48</v>
      </c>
      <c r="M1483">
        <v>1</v>
      </c>
      <c r="N1483">
        <v>3.5013611094518171</v>
      </c>
      <c r="O1483">
        <v>3.7403155854968446</v>
      </c>
      <c r="P1483">
        <v>-1.3967912097249016</v>
      </c>
      <c r="Q1483">
        <v>0.77772207954966799</v>
      </c>
      <c r="R1483">
        <v>-1.4464769027578743</v>
      </c>
      <c r="S1483" s="2">
        <v>0</v>
      </c>
      <c r="T1483" s="2">
        <v>0</v>
      </c>
      <c r="U1483" s="2">
        <v>0</v>
      </c>
      <c r="V1483" s="2">
        <v>0</v>
      </c>
      <c r="W1483" s="2">
        <v>0</v>
      </c>
      <c r="X1483" s="2">
        <v>0</v>
      </c>
      <c r="Y1483" s="2">
        <v>0</v>
      </c>
      <c r="Z1483" s="2">
        <v>0</v>
      </c>
      <c r="AA1483" s="2">
        <v>0</v>
      </c>
      <c r="AB1483" s="2">
        <v>0</v>
      </c>
      <c r="AC1483" s="2">
        <v>0</v>
      </c>
      <c r="AD1483" s="2">
        <v>0</v>
      </c>
      <c r="AE1483" s="2">
        <v>0</v>
      </c>
      <c r="AF1483" s="2">
        <v>0</v>
      </c>
      <c r="AG1483" s="2">
        <v>0</v>
      </c>
      <c r="AH1483" s="2">
        <v>0</v>
      </c>
      <c r="AI1483" s="2">
        <v>0</v>
      </c>
      <c r="AJ1483" s="2">
        <v>0</v>
      </c>
      <c r="AK1483" s="2">
        <v>0</v>
      </c>
      <c r="AL1483" s="2">
        <v>0</v>
      </c>
      <c r="AM1483" s="2">
        <v>0</v>
      </c>
      <c r="AN1483" s="2">
        <v>0</v>
      </c>
      <c r="AO1483" s="2">
        <v>0</v>
      </c>
      <c r="AP1483" s="2">
        <v>0</v>
      </c>
      <c r="AQ1483" s="2">
        <v>0</v>
      </c>
      <c r="AR1483" s="2">
        <v>0</v>
      </c>
    </row>
    <row r="1484" spans="1:44" x14ac:dyDescent="0.25">
      <c r="A1484" t="s">
        <v>131</v>
      </c>
      <c r="B1484" t="s">
        <v>167</v>
      </c>
      <c r="C1484" t="s">
        <v>44</v>
      </c>
      <c r="D1484" t="s">
        <v>168</v>
      </c>
      <c r="E1484" t="s">
        <v>134</v>
      </c>
      <c r="F1484" t="s">
        <v>168</v>
      </c>
      <c r="G1484" t="s">
        <v>28</v>
      </c>
      <c r="H1484" t="s">
        <v>53</v>
      </c>
      <c r="I1484" t="s">
        <v>135</v>
      </c>
      <c r="J1484" t="s">
        <v>39</v>
      </c>
      <c r="K1484" t="s">
        <v>28</v>
      </c>
      <c r="L1484">
        <v>41.48</v>
      </c>
      <c r="M1484">
        <v>1</v>
      </c>
      <c r="N1484">
        <v>3.5013611094518171</v>
      </c>
      <c r="O1484">
        <v>3.7403155854968446</v>
      </c>
      <c r="P1484">
        <v>-1.3967912097249016</v>
      </c>
      <c r="Q1484">
        <v>0.77772207954966799</v>
      </c>
      <c r="R1484">
        <v>-1.4464769027578743</v>
      </c>
      <c r="S1484" s="2">
        <v>0.31795483596375496</v>
      </c>
      <c r="T1484" s="2">
        <v>0.63515093323067717</v>
      </c>
      <c r="U1484" s="2">
        <v>1.1268678957457605</v>
      </c>
      <c r="V1484" s="2">
        <v>1.8313264154130817</v>
      </c>
      <c r="W1484" s="2">
        <v>2.776752975300806</v>
      </c>
      <c r="X1484" s="2">
        <v>3.9721304794574865</v>
      </c>
      <c r="Y1484" s="2">
        <v>5.3959553148597639</v>
      </c>
      <c r="Z1484" s="2">
        <v>6.9848042982693404</v>
      </c>
      <c r="AA1484" s="2">
        <v>8.6251464669817874</v>
      </c>
      <c r="AB1484" s="2">
        <v>10.153490325218646</v>
      </c>
      <c r="AC1484" s="2">
        <v>11.370419490962577</v>
      </c>
      <c r="AD1484" s="2">
        <v>12.072070249467895</v>
      </c>
      <c r="AE1484" s="2">
        <v>12.09705890531137</v>
      </c>
      <c r="AF1484" s="2">
        <v>11.378284574606283</v>
      </c>
      <c r="AG1484" s="2">
        <v>9.980775429818781</v>
      </c>
      <c r="AH1484" s="2">
        <v>8.2338543760453096</v>
      </c>
      <c r="AI1484" s="2">
        <v>6.2804194422942761</v>
      </c>
      <c r="AJ1484" s="2">
        <v>4.33642046545505</v>
      </c>
      <c r="AK1484" s="2">
        <v>0.3120094010224469</v>
      </c>
      <c r="AL1484" s="2">
        <v>0</v>
      </c>
      <c r="AM1484" s="2">
        <v>0</v>
      </c>
      <c r="AN1484" s="2">
        <v>0</v>
      </c>
      <c r="AO1484" s="2">
        <v>0</v>
      </c>
      <c r="AP1484" s="2">
        <v>0</v>
      </c>
      <c r="AQ1484" s="2">
        <v>0</v>
      </c>
      <c r="AR1484" s="2">
        <v>117.8808922754251</v>
      </c>
    </row>
    <row r="1485" spans="1:44" x14ac:dyDescent="0.25">
      <c r="A1485" t="s">
        <v>131</v>
      </c>
      <c r="B1485" t="s">
        <v>167</v>
      </c>
      <c r="C1485" t="s">
        <v>44</v>
      </c>
      <c r="D1485" t="s">
        <v>168</v>
      </c>
      <c r="E1485" t="s">
        <v>134</v>
      </c>
      <c r="F1485" t="s">
        <v>168</v>
      </c>
      <c r="G1485" t="s">
        <v>28</v>
      </c>
      <c r="H1485" t="s">
        <v>141</v>
      </c>
      <c r="I1485" t="s">
        <v>135</v>
      </c>
      <c r="J1485" t="s">
        <v>39</v>
      </c>
      <c r="K1485" t="s">
        <v>28</v>
      </c>
      <c r="L1485">
        <v>41.48</v>
      </c>
      <c r="M1485">
        <v>1</v>
      </c>
      <c r="N1485">
        <v>3.5013611094518171</v>
      </c>
      <c r="O1485">
        <v>3.7403155854968446</v>
      </c>
      <c r="P1485">
        <v>-1.3967912097249016</v>
      </c>
      <c r="Q1485">
        <v>0.77772207954966799</v>
      </c>
      <c r="R1485">
        <v>-1.4464769027578743</v>
      </c>
      <c r="S1485" s="2">
        <v>0.26761198693616045</v>
      </c>
      <c r="T1485" s="2">
        <v>0.53458536880248653</v>
      </c>
      <c r="U1485" s="2">
        <v>0.94844714558601484</v>
      </c>
      <c r="V1485" s="2">
        <v>1.5413663996393434</v>
      </c>
      <c r="W1485" s="2">
        <v>2.3371004208781772</v>
      </c>
      <c r="X1485" s="2">
        <v>3.3432098202100522</v>
      </c>
      <c r="Y1485" s="2">
        <v>4.5415957233403015</v>
      </c>
      <c r="Z1485" s="2">
        <v>5.8788769510433605</v>
      </c>
      <c r="AA1485" s="2">
        <v>7.259498276376334</v>
      </c>
      <c r="AB1485" s="2">
        <v>8.545854357059028</v>
      </c>
      <c r="AC1485" s="2">
        <v>9.5701030715601689</v>
      </c>
      <c r="AD1485" s="2">
        <v>10.160659126635476</v>
      </c>
      <c r="AE1485" s="2">
        <v>10.181691245303734</v>
      </c>
      <c r="AF1485" s="2">
        <v>9.5767228502936206</v>
      </c>
      <c r="AG1485" s="2">
        <v>8.4004859867641422</v>
      </c>
      <c r="AH1485" s="2">
        <v>6.9301607665048008</v>
      </c>
      <c r="AI1485" s="2">
        <v>5.2860196972643481</v>
      </c>
      <c r="AJ1485" s="2">
        <v>3.649820558424667</v>
      </c>
      <c r="AK1485" s="2">
        <v>0.26260791252720722</v>
      </c>
      <c r="AL1485" s="2">
        <v>0</v>
      </c>
      <c r="AM1485" s="2">
        <v>0</v>
      </c>
      <c r="AN1485" s="2">
        <v>0</v>
      </c>
      <c r="AO1485" s="2">
        <v>0</v>
      </c>
      <c r="AP1485" s="2">
        <v>0</v>
      </c>
      <c r="AQ1485" s="2">
        <v>0</v>
      </c>
      <c r="AR1485" s="2">
        <v>99.216417665149422</v>
      </c>
    </row>
    <row r="1486" spans="1:44" x14ac:dyDescent="0.25">
      <c r="A1486" t="s">
        <v>131</v>
      </c>
      <c r="B1486" t="s">
        <v>188</v>
      </c>
      <c r="C1486" t="s">
        <v>45</v>
      </c>
      <c r="D1486" t="s">
        <v>189</v>
      </c>
      <c r="E1486" t="s">
        <v>148</v>
      </c>
      <c r="F1486" t="s">
        <v>189</v>
      </c>
      <c r="G1486" t="s">
        <v>28</v>
      </c>
      <c r="H1486" t="s">
        <v>55</v>
      </c>
      <c r="I1486" t="s">
        <v>135</v>
      </c>
      <c r="J1486" t="s">
        <v>39</v>
      </c>
      <c r="K1486" t="s">
        <v>28</v>
      </c>
      <c r="L1486">
        <v>1.942803643909091</v>
      </c>
      <c r="M1486">
        <v>1</v>
      </c>
      <c r="N1486">
        <v>1.4572741901862805</v>
      </c>
      <c r="O1486">
        <v>2.3542079250166035</v>
      </c>
      <c r="P1486">
        <v>-0.77752011669449606</v>
      </c>
      <c r="Q1486">
        <v>0.65174377694598584</v>
      </c>
      <c r="R1486">
        <v>-0.48733586113566857</v>
      </c>
      <c r="S1486" s="2">
        <v>1.4951975365609015E-6</v>
      </c>
      <c r="T1486" s="2">
        <v>9.4634921754463146E-7</v>
      </c>
      <c r="U1486" s="2">
        <v>2.4777904113476963E-6</v>
      </c>
      <c r="V1486" s="2">
        <v>4.7318121661263185E-6</v>
      </c>
      <c r="W1486" s="2">
        <v>7.9439939114220165E-6</v>
      </c>
      <c r="X1486" s="2">
        <v>1.2281769604659381E-5</v>
      </c>
      <c r="Y1486" s="2">
        <v>1.7704077386607425E-5</v>
      </c>
      <c r="Z1486" s="2">
        <v>2.4350054093905776E-5</v>
      </c>
      <c r="AA1486" s="2">
        <v>3.2007718378061024E-5</v>
      </c>
      <c r="AB1486" s="2">
        <v>4.0292628373750988E-5</v>
      </c>
      <c r="AC1486" s="2">
        <v>4.8713027852787865E-5</v>
      </c>
      <c r="AD1486" s="2">
        <v>5.6634848745745574E-5</v>
      </c>
      <c r="AE1486" s="2">
        <v>6.338832271594492E-5</v>
      </c>
      <c r="AF1486" s="2">
        <v>6.8382063643140329E-5</v>
      </c>
      <c r="AG1486" s="2">
        <v>7.1217894324500421E-5</v>
      </c>
      <c r="AH1486" s="2">
        <v>7.1769089484239473E-5</v>
      </c>
      <c r="AI1486" s="2">
        <v>7.0191000366869667E-5</v>
      </c>
      <c r="AJ1486" s="2">
        <v>6.7040421646221243E-5</v>
      </c>
      <c r="AK1486" s="2">
        <v>6.2355839477568645E-5</v>
      </c>
      <c r="AL1486" s="2">
        <v>5.7174054839949922E-5</v>
      </c>
      <c r="AM1486" s="2">
        <v>5.1161244865030535E-5</v>
      </c>
      <c r="AN1486" s="2">
        <v>4.490294626962525E-5</v>
      </c>
      <c r="AO1486" s="2">
        <v>3.8630771434108556E-5</v>
      </c>
      <c r="AP1486" s="2">
        <v>3.2346985721391099E-5</v>
      </c>
      <c r="AQ1486" s="2">
        <v>2.6054240444163422E-5</v>
      </c>
      <c r="AR1486" s="2">
        <v>9.7419414291127293E-4</v>
      </c>
    </row>
    <row r="1487" spans="1:44" x14ac:dyDescent="0.25">
      <c r="A1487" t="s">
        <v>131</v>
      </c>
      <c r="B1487" t="s">
        <v>188</v>
      </c>
      <c r="C1487" t="s">
        <v>45</v>
      </c>
      <c r="D1487" t="s">
        <v>189</v>
      </c>
      <c r="E1487" t="s">
        <v>148</v>
      </c>
      <c r="F1487" t="s">
        <v>189</v>
      </c>
      <c r="G1487" t="s">
        <v>28</v>
      </c>
      <c r="H1487" t="s">
        <v>136</v>
      </c>
      <c r="I1487" t="s">
        <v>135</v>
      </c>
      <c r="J1487" t="s">
        <v>39</v>
      </c>
      <c r="K1487" t="s">
        <v>28</v>
      </c>
      <c r="L1487">
        <v>1.942803643909091</v>
      </c>
      <c r="M1487">
        <v>1</v>
      </c>
      <c r="N1487">
        <v>1.4572741901862805</v>
      </c>
      <c r="O1487">
        <v>2.3542079250166035</v>
      </c>
      <c r="P1487">
        <v>-0.77752011669449606</v>
      </c>
      <c r="Q1487">
        <v>0.65174377694598584</v>
      </c>
      <c r="R1487">
        <v>-0.48733586113566857</v>
      </c>
      <c r="S1487" s="2">
        <v>1.8773035736820205E-6</v>
      </c>
      <c r="T1487" s="2">
        <v>1.1881940175838148E-6</v>
      </c>
      <c r="U1487" s="2">
        <v>3.1110035164698864E-6</v>
      </c>
      <c r="V1487" s="2">
        <v>5.9410530530252666E-6</v>
      </c>
      <c r="W1487" s="2">
        <v>9.9741256887854324E-6</v>
      </c>
      <c r="X1487" s="2">
        <v>1.5420444059183438E-5</v>
      </c>
      <c r="Y1487" s="2">
        <v>2.2228452718740413E-5</v>
      </c>
      <c r="Z1487" s="2">
        <v>3.0572845695681674E-5</v>
      </c>
      <c r="AA1487" s="2">
        <v>4.0187468630232127E-5</v>
      </c>
      <c r="AB1487" s="2">
        <v>5.0589633402598518E-5</v>
      </c>
      <c r="AC1487" s="2">
        <v>6.1161912748500255E-5</v>
      </c>
      <c r="AD1487" s="2">
        <v>7.1108198980769427E-5</v>
      </c>
      <c r="AE1487" s="2">
        <v>7.9587560743353303E-5</v>
      </c>
      <c r="AF1487" s="2">
        <v>8.5857479907498833E-5</v>
      </c>
      <c r="AG1487" s="2">
        <v>8.9418022874094698E-5</v>
      </c>
      <c r="AH1487" s="2">
        <v>9.0110079019100063E-5</v>
      </c>
      <c r="AI1487" s="2">
        <v>8.8128700460624948E-5</v>
      </c>
      <c r="AJ1487" s="2">
        <v>8.4172973844700986E-5</v>
      </c>
      <c r="AK1487" s="2">
        <v>7.8291220677391386E-5</v>
      </c>
      <c r="AL1487" s="2">
        <v>7.1785202187937431E-5</v>
      </c>
      <c r="AM1487" s="2">
        <v>6.4235785219426112E-5</v>
      </c>
      <c r="AN1487" s="2">
        <v>5.6378143649641689E-5</v>
      </c>
      <c r="AO1487" s="2">
        <v>4.8503079689491882E-5</v>
      </c>
      <c r="AP1487" s="2">
        <v>4.0613437627968463E-5</v>
      </c>
      <c r="AQ1487" s="2">
        <v>3.2712546335449199E-5</v>
      </c>
      <c r="AR1487" s="2">
        <v>1.2231548683219312E-3</v>
      </c>
    </row>
    <row r="1488" spans="1:44" x14ac:dyDescent="0.25">
      <c r="A1488" t="s">
        <v>131</v>
      </c>
      <c r="B1488" t="s">
        <v>188</v>
      </c>
      <c r="C1488" t="s">
        <v>45</v>
      </c>
      <c r="D1488" t="s">
        <v>189</v>
      </c>
      <c r="E1488" t="s">
        <v>148</v>
      </c>
      <c r="F1488" t="s">
        <v>189</v>
      </c>
      <c r="G1488" t="s">
        <v>28</v>
      </c>
      <c r="H1488" t="s">
        <v>54</v>
      </c>
      <c r="I1488" t="s">
        <v>135</v>
      </c>
      <c r="J1488" t="s">
        <v>39</v>
      </c>
      <c r="K1488" t="s">
        <v>28</v>
      </c>
      <c r="L1488">
        <v>1.942803643909091</v>
      </c>
      <c r="M1488">
        <v>1</v>
      </c>
      <c r="N1488">
        <v>1.4572741901862805</v>
      </c>
      <c r="O1488">
        <v>2.3542079250166035</v>
      </c>
      <c r="P1488">
        <v>-0.77752011669449606</v>
      </c>
      <c r="Q1488">
        <v>0.65174377694598584</v>
      </c>
      <c r="R1488">
        <v>-0.48733586113566857</v>
      </c>
      <c r="S1488" s="2">
        <v>0</v>
      </c>
      <c r="T1488" s="2">
        <v>0</v>
      </c>
      <c r="U1488" s="2">
        <v>0</v>
      </c>
      <c r="V1488" s="2">
        <v>0</v>
      </c>
      <c r="W1488" s="2">
        <v>0</v>
      </c>
      <c r="X1488" s="2">
        <v>0</v>
      </c>
      <c r="Y1488" s="2">
        <v>0</v>
      </c>
      <c r="Z1488" s="2">
        <v>0</v>
      </c>
      <c r="AA1488" s="2">
        <v>0</v>
      </c>
      <c r="AB1488" s="2">
        <v>0</v>
      </c>
      <c r="AC1488" s="2">
        <v>0</v>
      </c>
      <c r="AD1488" s="2">
        <v>0</v>
      </c>
      <c r="AE1488" s="2">
        <v>0</v>
      </c>
      <c r="AF1488" s="2">
        <v>0</v>
      </c>
      <c r="AG1488" s="2">
        <v>0</v>
      </c>
      <c r="AH1488" s="2">
        <v>0</v>
      </c>
      <c r="AI1488" s="2">
        <v>0</v>
      </c>
      <c r="AJ1488" s="2">
        <v>0</v>
      </c>
      <c r="AK1488" s="2">
        <v>0</v>
      </c>
      <c r="AL1488" s="2">
        <v>0</v>
      </c>
      <c r="AM1488" s="2">
        <v>0</v>
      </c>
      <c r="AN1488" s="2">
        <v>0</v>
      </c>
      <c r="AO1488" s="2">
        <v>0</v>
      </c>
      <c r="AP1488" s="2">
        <v>0</v>
      </c>
      <c r="AQ1488" s="2">
        <v>0</v>
      </c>
      <c r="AR1488" s="2">
        <v>0</v>
      </c>
    </row>
    <row r="1489" spans="1:44" x14ac:dyDescent="0.25">
      <c r="A1489" t="s">
        <v>131</v>
      </c>
      <c r="B1489" t="s">
        <v>188</v>
      </c>
      <c r="C1489" t="s">
        <v>45</v>
      </c>
      <c r="D1489" t="s">
        <v>189</v>
      </c>
      <c r="E1489" t="s">
        <v>148</v>
      </c>
      <c r="F1489" t="s">
        <v>189</v>
      </c>
      <c r="G1489" t="s">
        <v>28</v>
      </c>
      <c r="H1489" t="s">
        <v>142</v>
      </c>
      <c r="I1489" t="s">
        <v>135</v>
      </c>
      <c r="J1489" t="s">
        <v>39</v>
      </c>
      <c r="K1489" t="s">
        <v>28</v>
      </c>
      <c r="L1489">
        <v>1.942803643909091</v>
      </c>
      <c r="M1489">
        <v>1</v>
      </c>
      <c r="N1489">
        <v>1.4572741901862805</v>
      </c>
      <c r="O1489">
        <v>2.3542079250166035</v>
      </c>
      <c r="P1489">
        <v>-0.77752011669449606</v>
      </c>
      <c r="Q1489">
        <v>0.65174377694598584</v>
      </c>
      <c r="R1489">
        <v>-0.48733586113566857</v>
      </c>
      <c r="S1489" s="2">
        <v>0</v>
      </c>
      <c r="T1489" s="2">
        <v>0</v>
      </c>
      <c r="U1489" s="2">
        <v>0</v>
      </c>
      <c r="V1489" s="2">
        <v>0</v>
      </c>
      <c r="W1489" s="2">
        <v>0</v>
      </c>
      <c r="X1489" s="2">
        <v>0</v>
      </c>
      <c r="Y1489" s="2">
        <v>0</v>
      </c>
      <c r="Z1489" s="2">
        <v>0</v>
      </c>
      <c r="AA1489" s="2">
        <v>0</v>
      </c>
      <c r="AB1489" s="2">
        <v>0</v>
      </c>
      <c r="AC1489" s="2">
        <v>0</v>
      </c>
      <c r="AD1489" s="2">
        <v>0</v>
      </c>
      <c r="AE1489" s="2">
        <v>0</v>
      </c>
      <c r="AF1489" s="2">
        <v>0</v>
      </c>
      <c r="AG1489" s="2">
        <v>0</v>
      </c>
      <c r="AH1489" s="2">
        <v>0</v>
      </c>
      <c r="AI1489" s="2">
        <v>0</v>
      </c>
      <c r="AJ1489" s="2">
        <v>0</v>
      </c>
      <c r="AK1489" s="2">
        <v>0</v>
      </c>
      <c r="AL1489" s="2">
        <v>0</v>
      </c>
      <c r="AM1489" s="2">
        <v>0</v>
      </c>
      <c r="AN1489" s="2">
        <v>0</v>
      </c>
      <c r="AO1489" s="2">
        <v>0</v>
      </c>
      <c r="AP1489" s="2">
        <v>0</v>
      </c>
      <c r="AQ1489" s="2">
        <v>0</v>
      </c>
      <c r="AR1489" s="2">
        <v>0</v>
      </c>
    </row>
    <row r="1490" spans="1:44" x14ac:dyDescent="0.25">
      <c r="A1490" t="s">
        <v>131</v>
      </c>
      <c r="B1490" t="s">
        <v>188</v>
      </c>
      <c r="C1490" t="s">
        <v>45</v>
      </c>
      <c r="D1490" t="s">
        <v>189</v>
      </c>
      <c r="E1490" t="s">
        <v>148</v>
      </c>
      <c r="F1490" t="s">
        <v>189</v>
      </c>
      <c r="G1490" t="s">
        <v>28</v>
      </c>
      <c r="H1490" t="s">
        <v>53</v>
      </c>
      <c r="I1490" t="s">
        <v>135</v>
      </c>
      <c r="J1490" t="s">
        <v>39</v>
      </c>
      <c r="K1490" t="s">
        <v>28</v>
      </c>
      <c r="L1490">
        <v>1.942803643909091</v>
      </c>
      <c r="M1490">
        <v>1</v>
      </c>
      <c r="N1490">
        <v>1.4572741901862805</v>
      </c>
      <c r="O1490">
        <v>2.3542079250166035</v>
      </c>
      <c r="P1490">
        <v>-0.77752011669449606</v>
      </c>
      <c r="Q1490">
        <v>0.65174377694598584</v>
      </c>
      <c r="R1490">
        <v>-0.48733586113566857</v>
      </c>
      <c r="S1490" s="2">
        <v>1.1820851742975021E-4</v>
      </c>
      <c r="T1490" s="2">
        <v>7.4817229992271632E-5</v>
      </c>
      <c r="U1490" s="2">
        <v>1.9589112733609155E-4</v>
      </c>
      <c r="V1490" s="2">
        <v>3.7409137404037122E-4</v>
      </c>
      <c r="W1490" s="2">
        <v>6.2804259623117109E-4</v>
      </c>
      <c r="X1490" s="2">
        <v>9.7098192103757552E-4</v>
      </c>
      <c r="Y1490" s="2">
        <v>1.3996630472960809E-3</v>
      </c>
      <c r="Z1490" s="2">
        <v>1.9250859658285525E-3</v>
      </c>
      <c r="AA1490" s="2">
        <v>2.5304916863909239E-3</v>
      </c>
      <c r="AB1490" s="2">
        <v>3.1854866978741573E-3</v>
      </c>
      <c r="AC1490" s="2">
        <v>3.8511933448183498E-3</v>
      </c>
      <c r="AD1490" s="2">
        <v>4.4774829689000579E-3</v>
      </c>
      <c r="AE1490" s="2">
        <v>5.0114044916400747E-3</v>
      </c>
      <c r="AF1490" s="2">
        <v>5.4062036382396929E-3</v>
      </c>
      <c r="AG1490" s="2">
        <v>5.630400998339862E-3</v>
      </c>
      <c r="AH1490" s="2">
        <v>5.6739778241798747E-3</v>
      </c>
      <c r="AI1490" s="2">
        <v>5.5492159981502878E-3</v>
      </c>
      <c r="AJ1490" s="2">
        <v>5.3001350369349031E-3</v>
      </c>
      <c r="AK1490" s="2">
        <v>4.9297776096427657E-3</v>
      </c>
      <c r="AL1490" s="2">
        <v>4.5201119536504072E-3</v>
      </c>
      <c r="AM1490" s="2">
        <v>4.0447464348196361E-3</v>
      </c>
      <c r="AN1490" s="2">
        <v>3.5499728811543671E-3</v>
      </c>
      <c r="AO1490" s="2">
        <v>3.0541022886492186E-3</v>
      </c>
      <c r="AP1490" s="2">
        <v>2.5573137541691302E-3</v>
      </c>
      <c r="AQ1490" s="2">
        <v>2.0598168873035708E-3</v>
      </c>
      <c r="AR1490" s="2">
        <v>7.7018616274049129E-2</v>
      </c>
    </row>
    <row r="1491" spans="1:44" x14ac:dyDescent="0.25">
      <c r="A1491" t="s">
        <v>131</v>
      </c>
      <c r="B1491" t="s">
        <v>188</v>
      </c>
      <c r="C1491" t="s">
        <v>45</v>
      </c>
      <c r="D1491" t="s">
        <v>189</v>
      </c>
      <c r="E1491" t="s">
        <v>148</v>
      </c>
      <c r="F1491" t="s">
        <v>189</v>
      </c>
      <c r="G1491" t="s">
        <v>28</v>
      </c>
      <c r="H1491" t="s">
        <v>141</v>
      </c>
      <c r="I1491" t="s">
        <v>135</v>
      </c>
      <c r="J1491" t="s">
        <v>39</v>
      </c>
      <c r="K1491" t="s">
        <v>28</v>
      </c>
      <c r="L1491">
        <v>1.942803643909091</v>
      </c>
      <c r="M1491">
        <v>1</v>
      </c>
      <c r="N1491">
        <v>1.4572741901862805</v>
      </c>
      <c r="O1491">
        <v>2.3542079250166035</v>
      </c>
      <c r="P1491">
        <v>-0.77752011669449606</v>
      </c>
      <c r="Q1491">
        <v>0.65174377694598584</v>
      </c>
      <c r="R1491">
        <v>-0.48733586113566857</v>
      </c>
      <c r="S1491" s="2">
        <v>9.9492168836706418E-5</v>
      </c>
      <c r="T1491" s="2">
        <v>6.2971168576828621E-5</v>
      </c>
      <c r="U1491" s="2">
        <v>1.6487503217454358E-4</v>
      </c>
      <c r="V1491" s="2">
        <v>3.1486023981731263E-4</v>
      </c>
      <c r="W1491" s="2">
        <v>5.2860251849456844E-4</v>
      </c>
      <c r="X1491" s="2">
        <v>8.1724311687329213E-4</v>
      </c>
      <c r="Y1491" s="2">
        <v>1.1780497314742013E-3</v>
      </c>
      <c r="Z1491" s="2">
        <v>1.6202806879056977E-3</v>
      </c>
      <c r="AA1491" s="2">
        <v>2.1298305027123618E-3</v>
      </c>
      <c r="AB1491" s="2">
        <v>2.6811179707107503E-3</v>
      </c>
      <c r="AC1491" s="2">
        <v>3.241421065222105E-3</v>
      </c>
      <c r="AD1491" s="2">
        <v>3.7685481654908958E-3</v>
      </c>
      <c r="AE1491" s="2">
        <v>4.217932113797041E-3</v>
      </c>
      <c r="AF1491" s="2">
        <v>4.5502213955183994E-3</v>
      </c>
      <c r="AG1491" s="2">
        <v>4.7389208402694285E-3</v>
      </c>
      <c r="AH1491" s="2">
        <v>4.7755980020180461E-3</v>
      </c>
      <c r="AI1491" s="2">
        <v>4.6705901317764869E-3</v>
      </c>
      <c r="AJ1491" s="2">
        <v>4.460946989420218E-3</v>
      </c>
      <c r="AK1491" s="2">
        <v>4.1492294881159738E-3</v>
      </c>
      <c r="AL1491" s="2">
        <v>3.8044275609891097E-3</v>
      </c>
      <c r="AM1491" s="2">
        <v>3.4043282493064994E-3</v>
      </c>
      <c r="AN1491" s="2">
        <v>2.9878938416382727E-3</v>
      </c>
      <c r="AO1491" s="2">
        <v>2.5705360929464418E-3</v>
      </c>
      <c r="AP1491" s="2">
        <v>2.1524057430923286E-3</v>
      </c>
      <c r="AQ1491" s="2">
        <v>1.7336792134805029E-3</v>
      </c>
      <c r="AR1491" s="2">
        <v>6.4824002030658009E-2</v>
      </c>
    </row>
    <row r="1492" spans="1:44" x14ac:dyDescent="0.25">
      <c r="A1492" t="s">
        <v>131</v>
      </c>
      <c r="B1492" t="s">
        <v>188</v>
      </c>
      <c r="C1492" t="s">
        <v>45</v>
      </c>
      <c r="D1492" t="s">
        <v>189</v>
      </c>
      <c r="E1492" t="s">
        <v>148</v>
      </c>
      <c r="F1492" t="s">
        <v>189</v>
      </c>
      <c r="G1492" t="s">
        <v>28</v>
      </c>
      <c r="H1492" t="s">
        <v>52</v>
      </c>
      <c r="I1492" t="s">
        <v>135</v>
      </c>
      <c r="J1492" t="s">
        <v>39</v>
      </c>
      <c r="K1492" t="s">
        <v>28</v>
      </c>
      <c r="L1492">
        <v>1.942803643909091</v>
      </c>
      <c r="M1492">
        <v>1</v>
      </c>
      <c r="N1492">
        <v>1.4572741901862805</v>
      </c>
      <c r="O1492">
        <v>2.3542079250166035</v>
      </c>
      <c r="P1492">
        <v>-0.77752011669449606</v>
      </c>
      <c r="Q1492">
        <v>0.65174377694598584</v>
      </c>
      <c r="R1492">
        <v>-0.48733586113566857</v>
      </c>
      <c r="S1492" s="2">
        <v>1.3417859768766335E-3</v>
      </c>
      <c r="T1492" s="2">
        <v>8.492510710325404E-4</v>
      </c>
      <c r="U1492" s="2">
        <v>2.2235620018695138E-3</v>
      </c>
      <c r="V1492" s="2">
        <v>4.2463146537320001E-3</v>
      </c>
      <c r="W1492" s="2">
        <v>7.1289173303859714E-3</v>
      </c>
      <c r="X1492" s="2">
        <v>1.1021624784552601E-2</v>
      </c>
      <c r="Y1492" s="2">
        <v>1.588758822163891E-2</v>
      </c>
      <c r="Z1492" s="2">
        <v>2.1851668639409561E-2</v>
      </c>
      <c r="AA1492" s="2">
        <v>2.8723634584285201E-2</v>
      </c>
      <c r="AB1492" s="2">
        <v>3.6158489029986772E-2</v>
      </c>
      <c r="AC1492" s="2">
        <v>4.3714931349078841E-2</v>
      </c>
      <c r="AD1492" s="2">
        <v>5.0823950676349663E-2</v>
      </c>
      <c r="AE1492" s="2">
        <v>5.6884498829242992E-2</v>
      </c>
      <c r="AF1492" s="2">
        <v>6.1365867601209656E-2</v>
      </c>
      <c r="AG1492" s="2">
        <v>6.3910733913521603E-2</v>
      </c>
      <c r="AH1492" s="2">
        <v>6.4405374867492801E-2</v>
      </c>
      <c r="AI1492" s="2">
        <v>6.2989202223964397E-2</v>
      </c>
      <c r="AJ1492" s="2">
        <v>6.016188192477874E-2</v>
      </c>
      <c r="AK1492" s="2">
        <v>5.5957951335190513E-2</v>
      </c>
      <c r="AL1492" s="2">
        <v>5.1307832677328899E-2</v>
      </c>
      <c r="AM1492" s="2">
        <v>4.5911954267490687E-2</v>
      </c>
      <c r="AN1492" s="2">
        <v>4.0295775074382319E-2</v>
      </c>
      <c r="AO1492" s="2">
        <v>3.4667143383232693E-2</v>
      </c>
      <c r="AP1492" s="2">
        <v>2.9028092124216118E-2</v>
      </c>
      <c r="AQ1492" s="2">
        <v>2.3381000577729641E-2</v>
      </c>
      <c r="AR1492" s="2">
        <v>0.87423902711897938</v>
      </c>
    </row>
    <row r="1493" spans="1:44" x14ac:dyDescent="0.25">
      <c r="A1493" t="s">
        <v>131</v>
      </c>
      <c r="B1493" t="s">
        <v>188</v>
      </c>
      <c r="C1493" t="s">
        <v>45</v>
      </c>
      <c r="D1493" t="s">
        <v>189</v>
      </c>
      <c r="E1493" t="s">
        <v>148</v>
      </c>
      <c r="F1493" t="s">
        <v>189</v>
      </c>
      <c r="G1493" t="s">
        <v>28</v>
      </c>
      <c r="H1493" t="s">
        <v>138</v>
      </c>
      <c r="I1493" t="s">
        <v>135</v>
      </c>
      <c r="J1493" t="s">
        <v>39</v>
      </c>
      <c r="K1493" t="s">
        <v>28</v>
      </c>
      <c r="L1493">
        <v>1.942803643909091</v>
      </c>
      <c r="M1493">
        <v>1</v>
      </c>
      <c r="N1493">
        <v>1.4572741901862805</v>
      </c>
      <c r="O1493">
        <v>2.3542079250166035</v>
      </c>
      <c r="P1493">
        <v>-0.77752011669449606</v>
      </c>
      <c r="Q1493">
        <v>0.65174377694598584</v>
      </c>
      <c r="R1493">
        <v>-0.48733586113566857</v>
      </c>
      <c r="S1493" s="2">
        <v>4.4217068967569191E-4</v>
      </c>
      <c r="T1493" s="2">
        <v>2.7986127315206245E-4</v>
      </c>
      <c r="U1493" s="2">
        <v>7.3275020073764114E-4</v>
      </c>
      <c r="V1493" s="2">
        <v>1.3993259069462656E-3</v>
      </c>
      <c r="W1493" s="2">
        <v>2.3492556539868939E-3</v>
      </c>
      <c r="X1493" s="2">
        <v>3.6320542294506317E-3</v>
      </c>
      <c r="Y1493" s="2">
        <v>5.2355785216939878E-3</v>
      </c>
      <c r="Z1493" s="2">
        <v>7.2009750879523174E-3</v>
      </c>
      <c r="AA1493" s="2">
        <v>9.4655552621665771E-3</v>
      </c>
      <c r="AB1493" s="2">
        <v>1.1915629099982922E-2</v>
      </c>
      <c r="AC1493" s="2">
        <v>1.4405770873192572E-2</v>
      </c>
      <c r="AD1493" s="2">
        <v>1.6748469360901047E-2</v>
      </c>
      <c r="AE1493" s="2">
        <v>1.8745655799542595E-2</v>
      </c>
      <c r="AF1493" s="2">
        <v>2.0222441184648724E-2</v>
      </c>
      <c r="AG1493" s="2">
        <v>2.1061073657963631E-2</v>
      </c>
      <c r="AH1493" s="2">
        <v>2.1224077099293664E-2</v>
      </c>
      <c r="AI1493" s="2">
        <v>2.07573931084933E-2</v>
      </c>
      <c r="AJ1493" s="2">
        <v>1.9825681055923621E-2</v>
      </c>
      <c r="AK1493" s="2">
        <v>1.8440322347320865E-2</v>
      </c>
      <c r="AL1493" s="2">
        <v>1.6907927308577819E-2</v>
      </c>
      <c r="AM1493" s="2">
        <v>1.5129775413267677E-2</v>
      </c>
      <c r="AN1493" s="2">
        <v>1.327902583773561E-2</v>
      </c>
      <c r="AO1493" s="2">
        <v>1.1424172679559459E-2</v>
      </c>
      <c r="AP1493" s="2">
        <v>9.5658858683351482E-3</v>
      </c>
      <c r="AQ1493" s="2">
        <v>7.7049494695329056E-3</v>
      </c>
      <c r="AR1493" s="2">
        <v>0.28809577699003364</v>
      </c>
    </row>
    <row r="1494" spans="1:44" x14ac:dyDescent="0.25">
      <c r="A1494" t="s">
        <v>131</v>
      </c>
      <c r="B1494" t="s">
        <v>188</v>
      </c>
      <c r="C1494" t="s">
        <v>45</v>
      </c>
      <c r="D1494" t="s">
        <v>189</v>
      </c>
      <c r="E1494" t="s">
        <v>134</v>
      </c>
      <c r="F1494" t="s">
        <v>189</v>
      </c>
      <c r="G1494" t="s">
        <v>28</v>
      </c>
      <c r="H1494" t="s">
        <v>55</v>
      </c>
      <c r="I1494" t="s">
        <v>135</v>
      </c>
      <c r="J1494" t="s">
        <v>39</v>
      </c>
      <c r="K1494" t="s">
        <v>28</v>
      </c>
      <c r="L1494">
        <v>1.942803643909091</v>
      </c>
      <c r="M1494">
        <v>1</v>
      </c>
      <c r="N1494">
        <v>1.4572741901862805</v>
      </c>
      <c r="O1494">
        <v>2.3542079250166035</v>
      </c>
      <c r="P1494">
        <v>-0.77752011669449606</v>
      </c>
      <c r="Q1494">
        <v>0.65174377694598584</v>
      </c>
      <c r="R1494">
        <v>-0.48733586113566857</v>
      </c>
      <c r="S1494" s="2">
        <v>1.010512286051585E-4</v>
      </c>
      <c r="T1494" s="2">
        <v>2.0338654813387364E-4</v>
      </c>
      <c r="U1494" s="2">
        <v>3.6195647598281369E-4</v>
      </c>
      <c r="V1494" s="2">
        <v>5.9038620760484622E-4</v>
      </c>
      <c r="W1494" s="2">
        <v>8.9844685930493234E-4</v>
      </c>
      <c r="X1494" s="2">
        <v>1.2897238989764473E-3</v>
      </c>
      <c r="Y1494" s="2">
        <v>1.7577761188605507E-3</v>
      </c>
      <c r="Z1494" s="2">
        <v>2.2821607137794107E-3</v>
      </c>
      <c r="AA1494" s="2">
        <v>2.8256784609594935E-3</v>
      </c>
      <c r="AB1494" s="2">
        <v>3.3342111305090238E-3</v>
      </c>
      <c r="AC1494" s="2">
        <v>3.7413222423527707E-3</v>
      </c>
      <c r="AD1494" s="2">
        <v>3.978773356061378E-3</v>
      </c>
      <c r="AE1494" s="2">
        <v>3.9922624527071026E-3</v>
      </c>
      <c r="AF1494" s="2">
        <v>3.7588331411458164E-3</v>
      </c>
      <c r="AG1494" s="2">
        <v>3.2995975851495868E-3</v>
      </c>
      <c r="AH1494" s="2">
        <v>2.7234937916734768E-3</v>
      </c>
      <c r="AI1494" s="2">
        <v>2.0781097771494371E-3</v>
      </c>
      <c r="AJ1494" s="2">
        <v>1.435226498278657E-3</v>
      </c>
      <c r="AK1494" s="2">
        <v>1.3566903837117851E-4</v>
      </c>
      <c r="AL1494" s="2">
        <v>2.3828240185513151E-5</v>
      </c>
      <c r="AM1494" s="2">
        <v>0</v>
      </c>
      <c r="AN1494" s="2">
        <v>0</v>
      </c>
      <c r="AO1494" s="2">
        <v>0</v>
      </c>
      <c r="AP1494" s="2">
        <v>0</v>
      </c>
      <c r="AQ1494" s="2">
        <v>0</v>
      </c>
      <c r="AR1494" s="2">
        <v>3.8811893765791465E-2</v>
      </c>
    </row>
    <row r="1495" spans="1:44" x14ac:dyDescent="0.25">
      <c r="A1495" t="s">
        <v>131</v>
      </c>
      <c r="B1495" t="s">
        <v>188</v>
      </c>
      <c r="C1495" t="s">
        <v>45</v>
      </c>
      <c r="D1495" t="s">
        <v>189</v>
      </c>
      <c r="E1495" t="s">
        <v>134</v>
      </c>
      <c r="F1495" t="s">
        <v>189</v>
      </c>
      <c r="G1495" t="s">
        <v>28</v>
      </c>
      <c r="H1495" t="s">
        <v>136</v>
      </c>
      <c r="I1495" t="s">
        <v>135</v>
      </c>
      <c r="J1495" t="s">
        <v>39</v>
      </c>
      <c r="K1495" t="s">
        <v>28</v>
      </c>
      <c r="L1495">
        <v>1.942803643909091</v>
      </c>
      <c r="M1495">
        <v>1</v>
      </c>
      <c r="N1495">
        <v>1.4572741901862805</v>
      </c>
      <c r="O1495">
        <v>2.3542079250166035</v>
      </c>
      <c r="P1495">
        <v>-0.77752011669449606</v>
      </c>
      <c r="Q1495">
        <v>0.65174377694598584</v>
      </c>
      <c r="R1495">
        <v>-0.48733586113566857</v>
      </c>
      <c r="S1495" s="2">
        <v>1.2687543147092128E-4</v>
      </c>
      <c r="T1495" s="2">
        <v>2.5536311043475242E-4</v>
      </c>
      <c r="U1495" s="2">
        <v>4.5445646428953266E-4</v>
      </c>
      <c r="V1495" s="2">
        <v>7.4126268288164025E-4</v>
      </c>
      <c r="W1495" s="2">
        <v>1.1280499455717482E-3</v>
      </c>
      <c r="X1495" s="2">
        <v>1.6193200064926504E-3</v>
      </c>
      <c r="Y1495" s="2">
        <v>2.2069855714582473E-3</v>
      </c>
      <c r="Z1495" s="2">
        <v>2.8653795628563704E-3</v>
      </c>
      <c r="AA1495" s="2">
        <v>3.547796289871365E-3</v>
      </c>
      <c r="AB1495" s="2">
        <v>4.1862873083057727E-3</v>
      </c>
      <c r="AC1495" s="2">
        <v>4.6974379265095892E-3</v>
      </c>
      <c r="AD1495" s="2">
        <v>4.9955709914992858E-3</v>
      </c>
      <c r="AE1495" s="2">
        <v>5.0125073017322505E-3</v>
      </c>
      <c r="AF1495" s="2">
        <v>4.7194238327719698E-3</v>
      </c>
      <c r="AG1495" s="2">
        <v>4.1428280791322583E-3</v>
      </c>
      <c r="AH1495" s="2">
        <v>3.4194977606566987E-3</v>
      </c>
      <c r="AI1495" s="2">
        <v>2.6091822757542934E-3</v>
      </c>
      <c r="AJ1495" s="2">
        <v>1.802006603394314E-3</v>
      </c>
      <c r="AK1495" s="2">
        <v>1.703400148438169E-4</v>
      </c>
      <c r="AL1495" s="2">
        <v>2.9917679344033174E-5</v>
      </c>
      <c r="AM1495" s="2">
        <v>0</v>
      </c>
      <c r="AN1495" s="2">
        <v>0</v>
      </c>
      <c r="AO1495" s="2">
        <v>0</v>
      </c>
      <c r="AP1495" s="2">
        <v>0</v>
      </c>
      <c r="AQ1495" s="2">
        <v>0</v>
      </c>
      <c r="AR1495" s="2">
        <v>4.8730488839271516E-2</v>
      </c>
    </row>
    <row r="1496" spans="1:44" x14ac:dyDescent="0.25">
      <c r="A1496" t="s">
        <v>131</v>
      </c>
      <c r="B1496" t="s">
        <v>188</v>
      </c>
      <c r="C1496" t="s">
        <v>45</v>
      </c>
      <c r="D1496" t="s">
        <v>189</v>
      </c>
      <c r="E1496" t="s">
        <v>134</v>
      </c>
      <c r="F1496" t="s">
        <v>189</v>
      </c>
      <c r="G1496" t="s">
        <v>28</v>
      </c>
      <c r="H1496" t="s">
        <v>54</v>
      </c>
      <c r="I1496" t="s">
        <v>135</v>
      </c>
      <c r="J1496" t="s">
        <v>39</v>
      </c>
      <c r="K1496" t="s">
        <v>28</v>
      </c>
      <c r="L1496">
        <v>1.942803643909091</v>
      </c>
      <c r="M1496">
        <v>1</v>
      </c>
      <c r="N1496">
        <v>1.4572741901862805</v>
      </c>
      <c r="O1496">
        <v>2.3542079250166035</v>
      </c>
      <c r="P1496">
        <v>-0.77752011669449606</v>
      </c>
      <c r="Q1496">
        <v>0.65174377694598584</v>
      </c>
      <c r="R1496">
        <v>-0.48733586113566857</v>
      </c>
      <c r="S1496" s="2">
        <v>0</v>
      </c>
      <c r="T1496" s="2">
        <v>0</v>
      </c>
      <c r="U1496" s="2">
        <v>0</v>
      </c>
      <c r="V1496" s="2">
        <v>0</v>
      </c>
      <c r="W1496" s="2">
        <v>0</v>
      </c>
      <c r="X1496" s="2">
        <v>0</v>
      </c>
      <c r="Y1496" s="2">
        <v>0</v>
      </c>
      <c r="Z1496" s="2">
        <v>0</v>
      </c>
      <c r="AA1496" s="2">
        <v>0</v>
      </c>
      <c r="AB1496" s="2">
        <v>0</v>
      </c>
      <c r="AC1496" s="2">
        <v>0</v>
      </c>
      <c r="AD1496" s="2">
        <v>0</v>
      </c>
      <c r="AE1496" s="2">
        <v>0</v>
      </c>
      <c r="AF1496" s="2">
        <v>0</v>
      </c>
      <c r="AG1496" s="2">
        <v>0</v>
      </c>
      <c r="AH1496" s="2">
        <v>0</v>
      </c>
      <c r="AI1496" s="2">
        <v>0</v>
      </c>
      <c r="AJ1496" s="2">
        <v>0</v>
      </c>
      <c r="AK1496" s="2">
        <v>0</v>
      </c>
      <c r="AL1496" s="2">
        <v>0</v>
      </c>
      <c r="AM1496" s="2">
        <v>0</v>
      </c>
      <c r="AN1496" s="2">
        <v>0</v>
      </c>
      <c r="AO1496" s="2">
        <v>0</v>
      </c>
      <c r="AP1496" s="2">
        <v>0</v>
      </c>
      <c r="AQ1496" s="2">
        <v>0</v>
      </c>
      <c r="AR1496" s="2">
        <v>0</v>
      </c>
    </row>
    <row r="1497" spans="1:44" x14ac:dyDescent="0.25">
      <c r="A1497" t="s">
        <v>131</v>
      </c>
      <c r="B1497" t="s">
        <v>188</v>
      </c>
      <c r="C1497" t="s">
        <v>45</v>
      </c>
      <c r="D1497" t="s">
        <v>189</v>
      </c>
      <c r="E1497" t="s">
        <v>134</v>
      </c>
      <c r="F1497" t="s">
        <v>189</v>
      </c>
      <c r="G1497" t="s">
        <v>28</v>
      </c>
      <c r="H1497" t="s">
        <v>142</v>
      </c>
      <c r="I1497" t="s">
        <v>135</v>
      </c>
      <c r="J1497" t="s">
        <v>39</v>
      </c>
      <c r="K1497" t="s">
        <v>28</v>
      </c>
      <c r="L1497">
        <v>1.942803643909091</v>
      </c>
      <c r="M1497">
        <v>1</v>
      </c>
      <c r="N1497">
        <v>1.4572741901862805</v>
      </c>
      <c r="O1497">
        <v>2.3542079250166035</v>
      </c>
      <c r="P1497">
        <v>-0.77752011669449606</v>
      </c>
      <c r="Q1497">
        <v>0.65174377694598584</v>
      </c>
      <c r="R1497">
        <v>-0.48733586113566857</v>
      </c>
      <c r="S1497" s="2">
        <v>0</v>
      </c>
      <c r="T1497" s="2">
        <v>0</v>
      </c>
      <c r="U1497" s="2">
        <v>0</v>
      </c>
      <c r="V1497" s="2">
        <v>0</v>
      </c>
      <c r="W1497" s="2">
        <v>0</v>
      </c>
      <c r="X1497" s="2">
        <v>0</v>
      </c>
      <c r="Y1497" s="2">
        <v>0</v>
      </c>
      <c r="Z1497" s="2">
        <v>0</v>
      </c>
      <c r="AA1497" s="2">
        <v>0</v>
      </c>
      <c r="AB1497" s="2">
        <v>0</v>
      </c>
      <c r="AC1497" s="2">
        <v>0</v>
      </c>
      <c r="AD1497" s="2">
        <v>0</v>
      </c>
      <c r="AE1497" s="2">
        <v>0</v>
      </c>
      <c r="AF1497" s="2">
        <v>0</v>
      </c>
      <c r="AG1497" s="2">
        <v>0</v>
      </c>
      <c r="AH1497" s="2">
        <v>0</v>
      </c>
      <c r="AI1497" s="2">
        <v>0</v>
      </c>
      <c r="AJ1497" s="2">
        <v>0</v>
      </c>
      <c r="AK1497" s="2">
        <v>0</v>
      </c>
      <c r="AL1497" s="2">
        <v>0</v>
      </c>
      <c r="AM1497" s="2">
        <v>0</v>
      </c>
      <c r="AN1497" s="2">
        <v>0</v>
      </c>
      <c r="AO1497" s="2">
        <v>0</v>
      </c>
      <c r="AP1497" s="2">
        <v>0</v>
      </c>
      <c r="AQ1497" s="2">
        <v>0</v>
      </c>
      <c r="AR1497" s="2">
        <v>0</v>
      </c>
    </row>
    <row r="1498" spans="1:44" x14ac:dyDescent="0.25">
      <c r="A1498" t="s">
        <v>131</v>
      </c>
      <c r="B1498" t="s">
        <v>188</v>
      </c>
      <c r="C1498" t="s">
        <v>45</v>
      </c>
      <c r="D1498" t="s">
        <v>189</v>
      </c>
      <c r="E1498" t="s">
        <v>134</v>
      </c>
      <c r="F1498" t="s">
        <v>189</v>
      </c>
      <c r="G1498" t="s">
        <v>28</v>
      </c>
      <c r="H1498" t="s">
        <v>53</v>
      </c>
      <c r="I1498" t="s">
        <v>135</v>
      </c>
      <c r="J1498" t="s">
        <v>39</v>
      </c>
      <c r="K1498" t="s">
        <v>28</v>
      </c>
      <c r="L1498">
        <v>1.942803643909091</v>
      </c>
      <c r="M1498">
        <v>1</v>
      </c>
      <c r="N1498">
        <v>1.4572741901862805</v>
      </c>
      <c r="O1498">
        <v>2.3542079250166035</v>
      </c>
      <c r="P1498">
        <v>-0.77752011669449606</v>
      </c>
      <c r="Q1498">
        <v>0.65174377694598584</v>
      </c>
      <c r="R1498">
        <v>-0.48733586113566857</v>
      </c>
      <c r="S1498" s="2">
        <v>1.3887309533195057E-3</v>
      </c>
      <c r="T1498" s="2">
        <v>2.8947308476974043E-3</v>
      </c>
      <c r="U1498" s="2">
        <v>5.2237841508087721E-3</v>
      </c>
      <c r="V1498" s="2">
        <v>8.659679133325611E-3</v>
      </c>
      <c r="W1498" s="2">
        <v>1.3388969742911063E-2</v>
      </c>
      <c r="X1498" s="2">
        <v>1.9508647365362123E-2</v>
      </c>
      <c r="Y1498" s="2">
        <v>2.6955860084011674E-2</v>
      </c>
      <c r="Z1498" s="2">
        <v>3.5430992898440393E-2</v>
      </c>
      <c r="AA1498" s="2">
        <v>4.434984969513088E-2</v>
      </c>
      <c r="AB1498" s="2">
        <v>5.2827742504966128E-2</v>
      </c>
      <c r="AC1498" s="2">
        <v>5.9751863183239107E-2</v>
      </c>
      <c r="AD1498" s="2">
        <v>6.3959262614372306E-2</v>
      </c>
      <c r="AE1498" s="2">
        <v>6.4506967968128867E-2</v>
      </c>
      <c r="AF1498" s="2">
        <v>6.097298662056555E-2</v>
      </c>
      <c r="AG1498" s="2">
        <v>5.3676535127930504E-2</v>
      </c>
      <c r="AH1498" s="2">
        <v>4.4393879866442748E-2</v>
      </c>
      <c r="AI1498" s="2">
        <v>3.3920926956643158E-2</v>
      </c>
      <c r="AJ1498" s="2">
        <v>2.3449803120883184E-2</v>
      </c>
      <c r="AK1498" s="2">
        <v>4.2489914861305773E-3</v>
      </c>
      <c r="AL1498" s="2">
        <v>1.883831986352912E-3</v>
      </c>
      <c r="AM1498" s="2">
        <v>0</v>
      </c>
      <c r="AN1498" s="2">
        <v>0</v>
      </c>
      <c r="AO1498" s="2">
        <v>0</v>
      </c>
      <c r="AP1498" s="2">
        <v>0</v>
      </c>
      <c r="AQ1498" s="2">
        <v>0</v>
      </c>
      <c r="AR1498" s="2">
        <v>0.62139403630666223</v>
      </c>
    </row>
    <row r="1499" spans="1:44" x14ac:dyDescent="0.25">
      <c r="A1499" t="s">
        <v>131</v>
      </c>
      <c r="B1499" t="s">
        <v>188</v>
      </c>
      <c r="C1499" t="s">
        <v>45</v>
      </c>
      <c r="D1499" t="s">
        <v>189</v>
      </c>
      <c r="E1499" t="s">
        <v>134</v>
      </c>
      <c r="F1499" t="s">
        <v>189</v>
      </c>
      <c r="G1499" t="s">
        <v>28</v>
      </c>
      <c r="H1499" t="s">
        <v>141</v>
      </c>
      <c r="I1499" t="s">
        <v>135</v>
      </c>
      <c r="J1499" t="s">
        <v>39</v>
      </c>
      <c r="K1499" t="s">
        <v>28</v>
      </c>
      <c r="L1499">
        <v>1.942803643909091</v>
      </c>
      <c r="M1499">
        <v>1</v>
      </c>
      <c r="N1499">
        <v>1.4572741901862805</v>
      </c>
      <c r="O1499">
        <v>2.3542079250166035</v>
      </c>
      <c r="P1499">
        <v>-0.77752011669449606</v>
      </c>
      <c r="Q1499">
        <v>0.65174377694598584</v>
      </c>
      <c r="R1499">
        <v>-0.48733586113566857</v>
      </c>
      <c r="S1499" s="2">
        <v>1.1688485523772508E-3</v>
      </c>
      <c r="T1499" s="2">
        <v>2.436398463478648E-3</v>
      </c>
      <c r="U1499" s="2">
        <v>4.396684993597382E-3</v>
      </c>
      <c r="V1499" s="2">
        <v>7.2885632705490542E-3</v>
      </c>
      <c r="W1499" s="2">
        <v>1.1269049533616808E-2</v>
      </c>
      <c r="X1499" s="2">
        <v>1.6419778199179787E-2</v>
      </c>
      <c r="Y1499" s="2">
        <v>2.2687848904043156E-2</v>
      </c>
      <c r="Z1499" s="2">
        <v>2.982108568952066E-2</v>
      </c>
      <c r="AA1499" s="2">
        <v>3.7327790160068479E-2</v>
      </c>
      <c r="AB1499" s="2">
        <v>4.446334994167981E-2</v>
      </c>
      <c r="AC1499" s="2">
        <v>5.029115151255957E-2</v>
      </c>
      <c r="AD1499" s="2">
        <v>5.3832379367096672E-2</v>
      </c>
      <c r="AE1499" s="2">
        <v>5.4293364706508446E-2</v>
      </c>
      <c r="AF1499" s="2">
        <v>5.1318930405642678E-2</v>
      </c>
      <c r="AG1499" s="2">
        <v>4.5177750399341493E-2</v>
      </c>
      <c r="AH1499" s="2">
        <v>3.7364848887589307E-2</v>
      </c>
      <c r="AI1499" s="2">
        <v>2.8550113521841315E-2</v>
      </c>
      <c r="AJ1499" s="2">
        <v>1.9736917626743341E-2</v>
      </c>
      <c r="AK1499" s="2">
        <v>3.5762345008265245E-3</v>
      </c>
      <c r="AL1499" s="2">
        <v>1.5855585885137004E-3</v>
      </c>
      <c r="AM1499" s="2">
        <v>0</v>
      </c>
      <c r="AN1499" s="2">
        <v>0</v>
      </c>
      <c r="AO1499" s="2">
        <v>0</v>
      </c>
      <c r="AP1499" s="2">
        <v>0</v>
      </c>
      <c r="AQ1499" s="2">
        <v>0</v>
      </c>
      <c r="AR1499" s="2">
        <v>0.52300664722477408</v>
      </c>
    </row>
    <row r="1500" spans="1:44" x14ac:dyDescent="0.25">
      <c r="A1500" t="s">
        <v>131</v>
      </c>
      <c r="B1500" t="s">
        <v>188</v>
      </c>
      <c r="C1500" t="s">
        <v>45</v>
      </c>
      <c r="D1500" t="s">
        <v>189</v>
      </c>
      <c r="E1500" t="s">
        <v>134</v>
      </c>
      <c r="F1500" t="s">
        <v>189</v>
      </c>
      <c r="G1500" t="s">
        <v>28</v>
      </c>
      <c r="H1500" t="s">
        <v>52</v>
      </c>
      <c r="I1500" t="s">
        <v>135</v>
      </c>
      <c r="J1500" t="s">
        <v>39</v>
      </c>
      <c r="K1500" t="s">
        <v>28</v>
      </c>
      <c r="L1500">
        <v>1.942803643909091</v>
      </c>
      <c r="M1500">
        <v>1</v>
      </c>
      <c r="N1500">
        <v>1.4572741901862805</v>
      </c>
      <c r="O1500">
        <v>2.3542079250166035</v>
      </c>
      <c r="P1500">
        <v>-0.77752011669449606</v>
      </c>
      <c r="Q1500">
        <v>0.65174377694598584</v>
      </c>
      <c r="R1500">
        <v>-0.48733586113566857</v>
      </c>
      <c r="S1500" s="2">
        <v>9.0683082451048391E-2</v>
      </c>
      <c r="T1500" s="2">
        <v>0.18251850441051098</v>
      </c>
      <c r="U1500" s="2">
        <v>0.32481870243747651</v>
      </c>
      <c r="V1500" s="2">
        <v>0.52981088781595465</v>
      </c>
      <c r="W1500" s="2">
        <v>0.80626363226696551</v>
      </c>
      <c r="X1500" s="2">
        <v>1.1573945243848158</v>
      </c>
      <c r="Y1500" s="2">
        <v>1.5774232428182267</v>
      </c>
      <c r="Z1500" s="2">
        <v>2.0480044728880906</v>
      </c>
      <c r="AA1500" s="2">
        <v>2.5357557388694674</v>
      </c>
      <c r="AB1500" s="2">
        <v>2.9921114966208151</v>
      </c>
      <c r="AC1500" s="2">
        <v>3.35745183964936</v>
      </c>
      <c r="AD1500" s="2">
        <v>3.5705397874136255</v>
      </c>
      <c r="AE1500" s="2">
        <v>3.5826448640188184</v>
      </c>
      <c r="AF1500" s="2">
        <v>3.3731660699557167</v>
      </c>
      <c r="AG1500" s="2">
        <v>2.9610494003842853</v>
      </c>
      <c r="AH1500" s="2">
        <v>2.4440555100053132</v>
      </c>
      <c r="AI1500" s="2">
        <v>1.8648897481485152</v>
      </c>
      <c r="AJ1500" s="2">
        <v>1.2879681392878073</v>
      </c>
      <c r="AK1500" s="2">
        <v>0.12174900555379781</v>
      </c>
      <c r="AL1500" s="2">
        <v>2.1383394336048345E-2</v>
      </c>
      <c r="AM1500" s="2">
        <v>0</v>
      </c>
      <c r="AN1500" s="2">
        <v>0</v>
      </c>
      <c r="AO1500" s="2">
        <v>0</v>
      </c>
      <c r="AP1500" s="2">
        <v>0</v>
      </c>
      <c r="AQ1500" s="2">
        <v>0</v>
      </c>
      <c r="AR1500" s="2">
        <v>34.829682043716652</v>
      </c>
    </row>
    <row r="1501" spans="1:44" x14ac:dyDescent="0.25">
      <c r="A1501" t="s">
        <v>131</v>
      </c>
      <c r="B1501" t="s">
        <v>188</v>
      </c>
      <c r="C1501" t="s">
        <v>45</v>
      </c>
      <c r="D1501" t="s">
        <v>189</v>
      </c>
      <c r="E1501" t="s">
        <v>134</v>
      </c>
      <c r="F1501" t="s">
        <v>189</v>
      </c>
      <c r="G1501" t="s">
        <v>28</v>
      </c>
      <c r="H1501" t="s">
        <v>138</v>
      </c>
      <c r="I1501" t="s">
        <v>135</v>
      </c>
      <c r="J1501" t="s">
        <v>39</v>
      </c>
      <c r="K1501" t="s">
        <v>28</v>
      </c>
      <c r="L1501">
        <v>1.942803643909091</v>
      </c>
      <c r="M1501">
        <v>1</v>
      </c>
      <c r="N1501">
        <v>1.4572741901862805</v>
      </c>
      <c r="O1501">
        <v>2.3542079250166035</v>
      </c>
      <c r="P1501">
        <v>-0.77752011669449606</v>
      </c>
      <c r="Q1501">
        <v>0.65174377694598584</v>
      </c>
      <c r="R1501">
        <v>-0.48733586113566857</v>
      </c>
      <c r="S1501" s="2">
        <v>2.9883604241143696E-2</v>
      </c>
      <c r="T1501" s="2">
        <v>6.0146949189044625E-2</v>
      </c>
      <c r="U1501" s="2">
        <v>0.10704040148837207</v>
      </c>
      <c r="V1501" s="2">
        <v>0.17459330303077858</v>
      </c>
      <c r="W1501" s="2">
        <v>0.26569523939263118</v>
      </c>
      <c r="X1501" s="2">
        <v>0.38140653121548929</v>
      </c>
      <c r="Y1501" s="2">
        <v>0.51982233769576092</v>
      </c>
      <c r="Z1501" s="2">
        <v>0.67489716381131093</v>
      </c>
      <c r="AA1501" s="2">
        <v>0.8356301848637484</v>
      </c>
      <c r="AB1501" s="2">
        <v>0.98601716432234998</v>
      </c>
      <c r="AC1501" s="2">
        <v>1.1064110231248689</v>
      </c>
      <c r="AD1501" s="2">
        <v>1.1766317933879695</v>
      </c>
      <c r="AE1501" s="2">
        <v>1.1806208871505639</v>
      </c>
      <c r="AF1501" s="2">
        <v>1.1115894734679397</v>
      </c>
      <c r="AG1501" s="2">
        <v>0.97578099495378223</v>
      </c>
      <c r="AH1501" s="2">
        <v>0.80541139130125616</v>
      </c>
      <c r="AI1501" s="2">
        <v>0.61455373682428349</v>
      </c>
      <c r="AJ1501" s="2">
        <v>0.42443561808186098</v>
      </c>
      <c r="AK1501" s="2">
        <v>4.01210347110399E-2</v>
      </c>
      <c r="AL1501" s="2">
        <v>7.046660483952207E-3</v>
      </c>
      <c r="AM1501" s="2">
        <v>0</v>
      </c>
      <c r="AN1501" s="2">
        <v>0</v>
      </c>
      <c r="AO1501" s="2">
        <v>0</v>
      </c>
      <c r="AP1501" s="2">
        <v>0</v>
      </c>
      <c r="AQ1501" s="2">
        <v>0</v>
      </c>
      <c r="AR1501" s="2">
        <v>11.47773549273815</v>
      </c>
    </row>
    <row r="1502" spans="1:44" x14ac:dyDescent="0.25">
      <c r="A1502" t="s">
        <v>131</v>
      </c>
      <c r="B1502" t="s">
        <v>216</v>
      </c>
      <c r="C1502" t="s">
        <v>44</v>
      </c>
      <c r="D1502" t="s">
        <v>212</v>
      </c>
      <c r="E1502" t="s">
        <v>134</v>
      </c>
      <c r="F1502" t="s">
        <v>217</v>
      </c>
      <c r="G1502" t="s">
        <v>28</v>
      </c>
      <c r="H1502" t="s">
        <v>54</v>
      </c>
      <c r="I1502" t="s">
        <v>135</v>
      </c>
      <c r="J1502" t="s">
        <v>39</v>
      </c>
      <c r="K1502" t="s">
        <v>28</v>
      </c>
      <c r="L1502">
        <v>0.1</v>
      </c>
      <c r="M1502">
        <v>1</v>
      </c>
      <c r="N1502">
        <v>1.9989550419763611</v>
      </c>
      <c r="O1502">
        <v>3.7699868031679249</v>
      </c>
      <c r="P1502">
        <v>-0.83080982062758046</v>
      </c>
      <c r="Q1502">
        <v>1.3730611803456818</v>
      </c>
      <c r="R1502">
        <v>-1.4758346144565639</v>
      </c>
      <c r="S1502" s="2">
        <v>0</v>
      </c>
      <c r="T1502" s="2">
        <v>0</v>
      </c>
      <c r="U1502" s="2">
        <v>0</v>
      </c>
      <c r="V1502" s="2">
        <v>0</v>
      </c>
      <c r="W1502" s="2">
        <v>0</v>
      </c>
      <c r="X1502" s="2">
        <v>0</v>
      </c>
      <c r="Y1502" s="2">
        <v>0</v>
      </c>
      <c r="Z1502" s="2">
        <v>0</v>
      </c>
      <c r="AA1502" s="2">
        <v>0</v>
      </c>
      <c r="AB1502" s="2">
        <v>0</v>
      </c>
      <c r="AC1502" s="2">
        <v>0</v>
      </c>
      <c r="AD1502" s="2">
        <v>0</v>
      </c>
      <c r="AE1502" s="2">
        <v>0</v>
      </c>
      <c r="AF1502" s="2">
        <v>0</v>
      </c>
      <c r="AG1502" s="2">
        <v>0</v>
      </c>
      <c r="AH1502" s="2">
        <v>0</v>
      </c>
      <c r="AI1502" s="2">
        <v>0</v>
      </c>
      <c r="AJ1502" s="2">
        <v>0</v>
      </c>
      <c r="AK1502" s="2">
        <v>0</v>
      </c>
      <c r="AL1502" s="2">
        <v>0</v>
      </c>
      <c r="AM1502" s="2">
        <v>0</v>
      </c>
      <c r="AN1502" s="2">
        <v>0</v>
      </c>
      <c r="AO1502" s="2">
        <v>0</v>
      </c>
      <c r="AP1502" s="2">
        <v>0</v>
      </c>
      <c r="AQ1502" s="2">
        <v>0</v>
      </c>
      <c r="AR1502" s="2">
        <v>0</v>
      </c>
    </row>
    <row r="1503" spans="1:44" x14ac:dyDescent="0.25">
      <c r="A1503" t="s">
        <v>131</v>
      </c>
      <c r="B1503" t="s">
        <v>216</v>
      </c>
      <c r="C1503" t="s">
        <v>44</v>
      </c>
      <c r="D1503" t="s">
        <v>212</v>
      </c>
      <c r="E1503" t="s">
        <v>134</v>
      </c>
      <c r="F1503" t="s">
        <v>217</v>
      </c>
      <c r="G1503" t="s">
        <v>28</v>
      </c>
      <c r="H1503" t="s">
        <v>142</v>
      </c>
      <c r="I1503" t="s">
        <v>135</v>
      </c>
      <c r="J1503" t="s">
        <v>39</v>
      </c>
      <c r="K1503" t="s">
        <v>28</v>
      </c>
      <c r="L1503">
        <v>0.1</v>
      </c>
      <c r="M1503">
        <v>1</v>
      </c>
      <c r="N1503">
        <v>1.9989550419763611</v>
      </c>
      <c r="O1503">
        <v>3.7699868031679249</v>
      </c>
      <c r="P1503">
        <v>-0.83080982062758046</v>
      </c>
      <c r="Q1503">
        <v>1.3730611803456818</v>
      </c>
      <c r="R1503">
        <v>-1.4758346144565639</v>
      </c>
      <c r="S1503" s="2">
        <v>0</v>
      </c>
      <c r="T1503" s="2">
        <v>0</v>
      </c>
      <c r="U1503" s="2">
        <v>0</v>
      </c>
      <c r="V1503" s="2">
        <v>0</v>
      </c>
      <c r="W1503" s="2">
        <v>0</v>
      </c>
      <c r="X1503" s="2">
        <v>0</v>
      </c>
      <c r="Y1503" s="2">
        <v>0</v>
      </c>
      <c r="Z1503" s="2">
        <v>0</v>
      </c>
      <c r="AA1503" s="2">
        <v>0</v>
      </c>
      <c r="AB1503" s="2">
        <v>0</v>
      </c>
      <c r="AC1503" s="2">
        <v>0</v>
      </c>
      <c r="AD1503" s="2">
        <v>0</v>
      </c>
      <c r="AE1503" s="2">
        <v>0</v>
      </c>
      <c r="AF1503" s="2">
        <v>0</v>
      </c>
      <c r="AG1503" s="2">
        <v>0</v>
      </c>
      <c r="AH1503" s="2">
        <v>0</v>
      </c>
      <c r="AI1503" s="2">
        <v>0</v>
      </c>
      <c r="AJ1503" s="2">
        <v>0</v>
      </c>
      <c r="AK1503" s="2">
        <v>0</v>
      </c>
      <c r="AL1503" s="2">
        <v>0</v>
      </c>
      <c r="AM1503" s="2">
        <v>0</v>
      </c>
      <c r="AN1503" s="2">
        <v>0</v>
      </c>
      <c r="AO1503" s="2">
        <v>0</v>
      </c>
      <c r="AP1503" s="2">
        <v>0</v>
      </c>
      <c r="AQ1503" s="2">
        <v>0</v>
      </c>
      <c r="AR1503" s="2">
        <v>0</v>
      </c>
    </row>
    <row r="1504" spans="1:44" x14ac:dyDescent="0.25">
      <c r="A1504" t="s">
        <v>131</v>
      </c>
      <c r="B1504" t="s">
        <v>216</v>
      </c>
      <c r="C1504" t="s">
        <v>44</v>
      </c>
      <c r="D1504" t="s">
        <v>212</v>
      </c>
      <c r="E1504" t="s">
        <v>134</v>
      </c>
      <c r="F1504" t="s">
        <v>217</v>
      </c>
      <c r="G1504" t="s">
        <v>28</v>
      </c>
      <c r="H1504" t="s">
        <v>53</v>
      </c>
      <c r="I1504" t="s">
        <v>135</v>
      </c>
      <c r="J1504" t="s">
        <v>39</v>
      </c>
      <c r="K1504" t="s">
        <v>28</v>
      </c>
      <c r="L1504">
        <v>0.1</v>
      </c>
      <c r="M1504">
        <v>1</v>
      </c>
      <c r="N1504">
        <v>1.9989550419763611</v>
      </c>
      <c r="O1504">
        <v>3.7699868031679249</v>
      </c>
      <c r="P1504">
        <v>-0.83080982062758046</v>
      </c>
      <c r="Q1504">
        <v>1.3730611803456818</v>
      </c>
      <c r="R1504">
        <v>-1.4758346144565639</v>
      </c>
      <c r="S1504" s="2">
        <v>3.4777249267936836E-2</v>
      </c>
      <c r="T1504" s="2">
        <v>6.94715092499614E-2</v>
      </c>
      <c r="U1504" s="2">
        <v>0.12325450431851</v>
      </c>
      <c r="V1504" s="2">
        <v>0.20030673553598072</v>
      </c>
      <c r="W1504" s="2">
        <v>0.30371555785529725</v>
      </c>
      <c r="X1504" s="2">
        <v>0.43446350293791297</v>
      </c>
      <c r="Y1504" s="2">
        <v>0.59019854959815232</v>
      </c>
      <c r="Z1504" s="2">
        <v>0.7639835998479988</v>
      </c>
      <c r="AA1504" s="2">
        <v>0.94340086932624612</v>
      </c>
      <c r="AB1504" s="2">
        <v>1.1105679928075274</v>
      </c>
      <c r="AC1504" s="2">
        <v>1.2436732145294058</v>
      </c>
      <c r="AD1504" s="2">
        <v>1.3204183385770176</v>
      </c>
      <c r="AE1504" s="2">
        <v>1.3231515466142689</v>
      </c>
      <c r="AF1504" s="2">
        <v>1.2445334812825788</v>
      </c>
      <c r="AG1504" s="2">
        <v>1.0916767910071199</v>
      </c>
      <c r="AH1504" s="2">
        <v>0.90060214119297943</v>
      </c>
      <c r="AI1504" s="2">
        <v>0.68693942581443579</v>
      </c>
      <c r="AJ1504" s="2">
        <v>0.47430879609236165</v>
      </c>
      <c r="AK1504" s="2">
        <v>3.4126949761297716E-2</v>
      </c>
      <c r="AL1504" s="2">
        <v>0</v>
      </c>
      <c r="AM1504" s="2">
        <v>0</v>
      </c>
      <c r="AN1504" s="2">
        <v>0</v>
      </c>
      <c r="AO1504" s="2">
        <v>0</v>
      </c>
      <c r="AP1504" s="2">
        <v>0</v>
      </c>
      <c r="AQ1504" s="2">
        <v>0</v>
      </c>
      <c r="AR1504" s="2">
        <v>12.89357075561699</v>
      </c>
    </row>
    <row r="1505" spans="1:44" x14ac:dyDescent="0.25">
      <c r="A1505" t="s">
        <v>131</v>
      </c>
      <c r="B1505" t="s">
        <v>216</v>
      </c>
      <c r="C1505" t="s">
        <v>44</v>
      </c>
      <c r="D1505" t="s">
        <v>212</v>
      </c>
      <c r="E1505" t="s">
        <v>134</v>
      </c>
      <c r="F1505" t="s">
        <v>217</v>
      </c>
      <c r="G1505" t="s">
        <v>28</v>
      </c>
      <c r="H1505" t="s">
        <v>141</v>
      </c>
      <c r="I1505" t="s">
        <v>135</v>
      </c>
      <c r="J1505" t="s">
        <v>39</v>
      </c>
      <c r="K1505" t="s">
        <v>28</v>
      </c>
      <c r="L1505">
        <v>0.1</v>
      </c>
      <c r="M1505">
        <v>1</v>
      </c>
      <c r="N1505">
        <v>1.9989550419763611</v>
      </c>
      <c r="O1505">
        <v>3.7699868031679249</v>
      </c>
      <c r="P1505">
        <v>-0.83080982062758046</v>
      </c>
      <c r="Q1505">
        <v>1.3730611803456818</v>
      </c>
      <c r="R1505">
        <v>-1.4758346144565639</v>
      </c>
      <c r="S1505" s="2">
        <v>2.9270851467180177E-2</v>
      </c>
      <c r="T1505" s="2">
        <v>5.8471853618717505E-2</v>
      </c>
      <c r="U1505" s="2">
        <v>0.10373920780141256</v>
      </c>
      <c r="V1505" s="2">
        <v>0.16859150240945039</v>
      </c>
      <c r="W1505" s="2">
        <v>0.25562726119487506</v>
      </c>
      <c r="X1505" s="2">
        <v>0.36567344830607673</v>
      </c>
      <c r="Y1505" s="2">
        <v>0.49675044591177814</v>
      </c>
      <c r="Z1505" s="2">
        <v>0.64301952987206568</v>
      </c>
      <c r="AA1505" s="2">
        <v>0.79402906501625681</v>
      </c>
      <c r="AB1505" s="2">
        <v>0.93472806061300218</v>
      </c>
      <c r="AC1505" s="2">
        <v>1.0467582888955831</v>
      </c>
      <c r="AD1505" s="2">
        <v>1.1113521016356558</v>
      </c>
      <c r="AE1505" s="2">
        <v>1.1136525517336762</v>
      </c>
      <c r="AF1505" s="2">
        <v>1.0474823467461705</v>
      </c>
      <c r="AG1505" s="2">
        <v>0.91882796576432602</v>
      </c>
      <c r="AH1505" s="2">
        <v>0.75800680217075755</v>
      </c>
      <c r="AI1505" s="2">
        <v>0.57817401672714996</v>
      </c>
      <c r="AJ1505" s="2">
        <v>0.39920990337773765</v>
      </c>
      <c r="AK1505" s="2">
        <v>2.8723516049091069E-2</v>
      </c>
      <c r="AL1505" s="2">
        <v>0</v>
      </c>
      <c r="AM1505" s="2">
        <v>0</v>
      </c>
      <c r="AN1505" s="2">
        <v>0</v>
      </c>
      <c r="AO1505" s="2">
        <v>0</v>
      </c>
      <c r="AP1505" s="2">
        <v>0</v>
      </c>
      <c r="AQ1505" s="2">
        <v>0</v>
      </c>
      <c r="AR1505" s="2">
        <v>10.852088719310963</v>
      </c>
    </row>
    <row r="1506" spans="1:44" x14ac:dyDescent="0.25">
      <c r="A1506" t="s">
        <v>131</v>
      </c>
      <c r="B1506" t="s">
        <v>211</v>
      </c>
      <c r="C1506" t="s">
        <v>44</v>
      </c>
      <c r="D1506" t="s">
        <v>212</v>
      </c>
      <c r="E1506" t="s">
        <v>134</v>
      </c>
      <c r="F1506" t="s">
        <v>213</v>
      </c>
      <c r="G1506" t="s">
        <v>28</v>
      </c>
      <c r="H1506" t="s">
        <v>55</v>
      </c>
      <c r="I1506" t="s">
        <v>135</v>
      </c>
      <c r="J1506" t="s">
        <v>39</v>
      </c>
      <c r="K1506" t="s">
        <v>28</v>
      </c>
      <c r="L1506">
        <v>0.08</v>
      </c>
      <c r="M1506">
        <v>1</v>
      </c>
      <c r="N1506">
        <v>1.4359206067058703</v>
      </c>
      <c r="O1506">
        <v>3.8607169542227191</v>
      </c>
      <c r="P1506">
        <v>-0.312476110582809</v>
      </c>
      <c r="Q1506">
        <v>1.9574497417124983</v>
      </c>
      <c r="R1506">
        <v>-1.5418894657786095</v>
      </c>
      <c r="S1506" s="2">
        <v>0</v>
      </c>
      <c r="T1506" s="2">
        <v>0</v>
      </c>
      <c r="U1506" s="2">
        <v>0</v>
      </c>
      <c r="V1506" s="2">
        <v>0</v>
      </c>
      <c r="W1506" s="2">
        <v>0</v>
      </c>
      <c r="X1506" s="2">
        <v>0</v>
      </c>
      <c r="Y1506" s="2">
        <v>0</v>
      </c>
      <c r="Z1506" s="2">
        <v>0</v>
      </c>
      <c r="AA1506" s="2">
        <v>0</v>
      </c>
      <c r="AB1506" s="2">
        <v>0</v>
      </c>
      <c r="AC1506" s="2">
        <v>0</v>
      </c>
      <c r="AD1506" s="2">
        <v>0</v>
      </c>
      <c r="AE1506" s="2">
        <v>0</v>
      </c>
      <c r="AF1506" s="2">
        <v>0</v>
      </c>
      <c r="AG1506" s="2">
        <v>0</v>
      </c>
      <c r="AH1506" s="2">
        <v>0</v>
      </c>
      <c r="AI1506" s="2">
        <v>0</v>
      </c>
      <c r="AJ1506" s="2">
        <v>0</v>
      </c>
      <c r="AK1506" s="2">
        <v>0</v>
      </c>
      <c r="AL1506" s="2">
        <v>0</v>
      </c>
      <c r="AM1506" s="2">
        <v>0</v>
      </c>
      <c r="AN1506" s="2">
        <v>0</v>
      </c>
      <c r="AO1506" s="2">
        <v>0</v>
      </c>
      <c r="AP1506" s="2">
        <v>0</v>
      </c>
      <c r="AQ1506" s="2">
        <v>0</v>
      </c>
      <c r="AR1506" s="2">
        <v>0</v>
      </c>
    </row>
    <row r="1507" spans="1:44" x14ac:dyDescent="0.25">
      <c r="A1507" t="s">
        <v>131</v>
      </c>
      <c r="B1507" t="s">
        <v>211</v>
      </c>
      <c r="C1507" t="s">
        <v>44</v>
      </c>
      <c r="D1507" t="s">
        <v>212</v>
      </c>
      <c r="E1507" t="s">
        <v>134</v>
      </c>
      <c r="F1507" t="s">
        <v>213</v>
      </c>
      <c r="G1507" t="s">
        <v>28</v>
      </c>
      <c r="H1507" t="s">
        <v>136</v>
      </c>
      <c r="I1507" t="s">
        <v>135</v>
      </c>
      <c r="J1507" t="s">
        <v>39</v>
      </c>
      <c r="K1507" t="s">
        <v>28</v>
      </c>
      <c r="L1507">
        <v>0.08</v>
      </c>
      <c r="M1507">
        <v>1</v>
      </c>
      <c r="N1507">
        <v>1.4359206067058703</v>
      </c>
      <c r="O1507">
        <v>3.8607169542227191</v>
      </c>
      <c r="P1507">
        <v>-0.312476110582809</v>
      </c>
      <c r="Q1507">
        <v>1.9574497417124983</v>
      </c>
      <c r="R1507">
        <v>-1.5418894657786095</v>
      </c>
      <c r="S1507" s="2">
        <v>0</v>
      </c>
      <c r="T1507" s="2">
        <v>0</v>
      </c>
      <c r="U1507" s="2">
        <v>0</v>
      </c>
      <c r="V1507" s="2">
        <v>0</v>
      </c>
      <c r="W1507" s="2">
        <v>0</v>
      </c>
      <c r="X1507" s="2">
        <v>0</v>
      </c>
      <c r="Y1507" s="2">
        <v>0</v>
      </c>
      <c r="Z1507" s="2">
        <v>0</v>
      </c>
      <c r="AA1507" s="2">
        <v>0</v>
      </c>
      <c r="AB1507" s="2">
        <v>0</v>
      </c>
      <c r="AC1507" s="2">
        <v>0</v>
      </c>
      <c r="AD1507" s="2">
        <v>0</v>
      </c>
      <c r="AE1507" s="2">
        <v>0</v>
      </c>
      <c r="AF1507" s="2">
        <v>0</v>
      </c>
      <c r="AG1507" s="2">
        <v>0</v>
      </c>
      <c r="AH1507" s="2">
        <v>0</v>
      </c>
      <c r="AI1507" s="2">
        <v>0</v>
      </c>
      <c r="AJ1507" s="2">
        <v>0</v>
      </c>
      <c r="AK1507" s="2">
        <v>0</v>
      </c>
      <c r="AL1507" s="2">
        <v>0</v>
      </c>
      <c r="AM1507" s="2">
        <v>0</v>
      </c>
      <c r="AN1507" s="2">
        <v>0</v>
      </c>
      <c r="AO1507" s="2">
        <v>0</v>
      </c>
      <c r="AP1507" s="2">
        <v>0</v>
      </c>
      <c r="AQ1507" s="2">
        <v>0</v>
      </c>
      <c r="AR1507" s="2">
        <v>0</v>
      </c>
    </row>
    <row r="1508" spans="1:44" x14ac:dyDescent="0.25">
      <c r="A1508" t="s">
        <v>131</v>
      </c>
      <c r="B1508" t="s">
        <v>211</v>
      </c>
      <c r="C1508" t="s">
        <v>44</v>
      </c>
      <c r="D1508" t="s">
        <v>212</v>
      </c>
      <c r="E1508" t="s">
        <v>134</v>
      </c>
      <c r="F1508" t="s">
        <v>213</v>
      </c>
      <c r="G1508" t="s">
        <v>28</v>
      </c>
      <c r="H1508" t="s">
        <v>52</v>
      </c>
      <c r="I1508" t="s">
        <v>135</v>
      </c>
      <c r="J1508" t="s">
        <v>39</v>
      </c>
      <c r="K1508" t="s">
        <v>28</v>
      </c>
      <c r="L1508">
        <v>0.08</v>
      </c>
      <c r="M1508">
        <v>1</v>
      </c>
      <c r="N1508">
        <v>1.4359206067058703</v>
      </c>
      <c r="O1508">
        <v>3.8607169542227191</v>
      </c>
      <c r="P1508">
        <v>-0.312476110582809</v>
      </c>
      <c r="Q1508">
        <v>1.9574497417124983</v>
      </c>
      <c r="R1508">
        <v>-1.5418894657786095</v>
      </c>
      <c r="S1508" s="2">
        <v>1.417218053587842</v>
      </c>
      <c r="T1508" s="2">
        <v>2.8310541860426146</v>
      </c>
      <c r="U1508" s="2">
        <v>5.0227810532231851</v>
      </c>
      <c r="V1508" s="2">
        <v>8.1627595003196856</v>
      </c>
      <c r="W1508" s="2">
        <v>12.376803249498787</v>
      </c>
      <c r="X1508" s="2">
        <v>17.70495174143349</v>
      </c>
      <c r="Y1508" s="2">
        <v>24.051357059542479</v>
      </c>
      <c r="Z1508" s="2">
        <v>31.133323455453581</v>
      </c>
      <c r="AA1508" s="2">
        <v>38.444810096360406</v>
      </c>
      <c r="AB1508" s="2">
        <v>45.257087385422587</v>
      </c>
      <c r="AC1508" s="2">
        <v>50.681297960494597</v>
      </c>
      <c r="AD1508" s="2">
        <v>53.808761391749641</v>
      </c>
      <c r="AE1508" s="2">
        <v>53.920143167368543</v>
      </c>
      <c r="AF1508" s="2">
        <v>50.71635494743758</v>
      </c>
      <c r="AG1508" s="2">
        <v>44.48724638853291</v>
      </c>
      <c r="AH1508" s="2">
        <v>36.700706365966042</v>
      </c>
      <c r="AI1508" s="2">
        <v>27.993673349060707</v>
      </c>
      <c r="AJ1508" s="2">
        <v>19.32869916245356</v>
      </c>
      <c r="AK1508" s="2">
        <v>1.3907175045089599</v>
      </c>
      <c r="AL1508" s="2">
        <v>0</v>
      </c>
      <c r="AM1508" s="2">
        <v>0</v>
      </c>
      <c r="AN1508" s="2">
        <v>0</v>
      </c>
      <c r="AO1508" s="2">
        <v>0</v>
      </c>
      <c r="AP1508" s="2">
        <v>0</v>
      </c>
      <c r="AQ1508" s="2">
        <v>0</v>
      </c>
      <c r="AR1508" s="2">
        <v>525.42974601845708</v>
      </c>
    </row>
    <row r="1509" spans="1:44" x14ac:dyDescent="0.25">
      <c r="A1509" t="s">
        <v>131</v>
      </c>
      <c r="B1509" t="s">
        <v>211</v>
      </c>
      <c r="C1509" t="s">
        <v>44</v>
      </c>
      <c r="D1509" t="s">
        <v>212</v>
      </c>
      <c r="E1509" t="s">
        <v>134</v>
      </c>
      <c r="F1509" t="s">
        <v>213</v>
      </c>
      <c r="G1509" t="s">
        <v>28</v>
      </c>
      <c r="H1509" t="s">
        <v>138</v>
      </c>
      <c r="I1509" t="s">
        <v>135</v>
      </c>
      <c r="J1509" t="s">
        <v>39</v>
      </c>
      <c r="K1509" t="s">
        <v>28</v>
      </c>
      <c r="L1509">
        <v>0.08</v>
      </c>
      <c r="M1509">
        <v>1</v>
      </c>
      <c r="N1509">
        <v>1.4359206067058703</v>
      </c>
      <c r="O1509">
        <v>3.8607169542227191</v>
      </c>
      <c r="P1509">
        <v>-0.312476110582809</v>
      </c>
      <c r="Q1509">
        <v>1.9574497417124983</v>
      </c>
      <c r="R1509">
        <v>-1.5418894657786095</v>
      </c>
      <c r="S1509" s="2">
        <v>0.49160894115050985</v>
      </c>
      <c r="T1509" s="2">
        <v>0.98204475113530154</v>
      </c>
      <c r="U1509" s="2">
        <v>1.7423176828397939</v>
      </c>
      <c r="V1509" s="2">
        <v>2.8315230282731494</v>
      </c>
      <c r="W1509" s="2">
        <v>4.2933034369062639</v>
      </c>
      <c r="X1509" s="2">
        <v>6.1415479126109691</v>
      </c>
      <c r="Y1509" s="2">
        <v>8.3430084363807779</v>
      </c>
      <c r="Z1509" s="2">
        <v>10.799622640767613</v>
      </c>
      <c r="AA1509" s="2">
        <v>13.335853531047839</v>
      </c>
      <c r="AB1509" s="2">
        <v>15.69891715165387</v>
      </c>
      <c r="AC1509" s="2">
        <v>17.58048393711627</v>
      </c>
      <c r="AD1509" s="2">
        <v>18.6653480355053</v>
      </c>
      <c r="AE1509" s="2">
        <v>18.703984487134502</v>
      </c>
      <c r="AF1509" s="2">
        <v>17.592644612170702</v>
      </c>
      <c r="AG1509" s="2">
        <v>15.431872347661239</v>
      </c>
      <c r="AH1509" s="2">
        <v>12.730853484664586</v>
      </c>
      <c r="AI1509" s="2">
        <v>9.7105311911636498</v>
      </c>
      <c r="AJ1509" s="2">
        <v>6.7047983935956674</v>
      </c>
      <c r="AK1509" s="2">
        <v>0.48241634948155326</v>
      </c>
      <c r="AL1509" s="2">
        <v>0</v>
      </c>
      <c r="AM1509" s="2">
        <v>0</v>
      </c>
      <c r="AN1509" s="2">
        <v>0</v>
      </c>
      <c r="AO1509" s="2">
        <v>0</v>
      </c>
      <c r="AP1509" s="2">
        <v>0</v>
      </c>
      <c r="AQ1509" s="2">
        <v>0</v>
      </c>
      <c r="AR1509" s="2">
        <v>182.26268035125958</v>
      </c>
    </row>
    <row r="1510" spans="1:44" x14ac:dyDescent="0.25">
      <c r="A1510" t="s">
        <v>131</v>
      </c>
      <c r="B1510" t="s">
        <v>214</v>
      </c>
      <c r="C1510" t="s">
        <v>44</v>
      </c>
      <c r="D1510" t="s">
        <v>212</v>
      </c>
      <c r="E1510" t="s">
        <v>134</v>
      </c>
      <c r="F1510" t="s">
        <v>215</v>
      </c>
      <c r="G1510" t="s">
        <v>28</v>
      </c>
      <c r="H1510" t="s">
        <v>55</v>
      </c>
      <c r="I1510" t="s">
        <v>135</v>
      </c>
      <c r="J1510" t="s">
        <v>39</v>
      </c>
      <c r="K1510" t="s">
        <v>28</v>
      </c>
      <c r="L1510">
        <v>4.6443704447863325E-2</v>
      </c>
      <c r="M1510">
        <v>0</v>
      </c>
      <c r="N1510">
        <v>0.67136779164566907</v>
      </c>
      <c r="O1510">
        <v>3.8402067578633954</v>
      </c>
      <c r="P1510">
        <v>1.90935600167047</v>
      </c>
      <c r="Q1510">
        <v>4.1643496847215875</v>
      </c>
      <c r="R1510">
        <v>-1.5269572965344196</v>
      </c>
      <c r="S1510" s="2">
        <v>0</v>
      </c>
      <c r="T1510" s="2">
        <v>0</v>
      </c>
      <c r="U1510" s="2">
        <v>0</v>
      </c>
      <c r="V1510" s="2">
        <v>0</v>
      </c>
      <c r="W1510" s="2">
        <v>0</v>
      </c>
      <c r="X1510" s="2">
        <v>0</v>
      </c>
      <c r="Y1510" s="2">
        <v>0</v>
      </c>
      <c r="Z1510" s="2">
        <v>0</v>
      </c>
      <c r="AA1510" s="2">
        <v>0</v>
      </c>
      <c r="AB1510" s="2">
        <v>0</v>
      </c>
      <c r="AC1510" s="2">
        <v>0</v>
      </c>
      <c r="AD1510" s="2">
        <v>0</v>
      </c>
      <c r="AE1510" s="2">
        <v>0</v>
      </c>
      <c r="AF1510" s="2">
        <v>0</v>
      </c>
      <c r="AG1510" s="2">
        <v>0</v>
      </c>
      <c r="AH1510" s="2">
        <v>0</v>
      </c>
      <c r="AI1510" s="2">
        <v>0</v>
      </c>
      <c r="AJ1510" s="2">
        <v>0</v>
      </c>
      <c r="AK1510" s="2">
        <v>0</v>
      </c>
      <c r="AL1510" s="2">
        <v>0</v>
      </c>
      <c r="AM1510" s="2">
        <v>0</v>
      </c>
      <c r="AN1510" s="2">
        <v>0</v>
      </c>
      <c r="AO1510" s="2">
        <v>0</v>
      </c>
      <c r="AP1510" s="2">
        <v>0</v>
      </c>
      <c r="AQ1510" s="2">
        <v>0</v>
      </c>
      <c r="AR1510" s="2">
        <v>0</v>
      </c>
    </row>
    <row r="1511" spans="1:44" x14ac:dyDescent="0.25">
      <c r="A1511" t="s">
        <v>131</v>
      </c>
      <c r="B1511" t="s">
        <v>214</v>
      </c>
      <c r="C1511" t="s">
        <v>44</v>
      </c>
      <c r="D1511" t="s">
        <v>212</v>
      </c>
      <c r="E1511" t="s">
        <v>134</v>
      </c>
      <c r="F1511" t="s">
        <v>215</v>
      </c>
      <c r="G1511" t="s">
        <v>28</v>
      </c>
      <c r="H1511" t="s">
        <v>136</v>
      </c>
      <c r="I1511" t="s">
        <v>135</v>
      </c>
      <c r="J1511" t="s">
        <v>39</v>
      </c>
      <c r="K1511" t="s">
        <v>28</v>
      </c>
      <c r="L1511">
        <v>4.6443704447863325E-2</v>
      </c>
      <c r="M1511">
        <v>0</v>
      </c>
      <c r="N1511">
        <v>0.67136779164566907</v>
      </c>
      <c r="O1511">
        <v>3.8402067578633954</v>
      </c>
      <c r="P1511">
        <v>1.90935600167047</v>
      </c>
      <c r="Q1511">
        <v>4.1643496847215875</v>
      </c>
      <c r="R1511">
        <v>-1.5269572965344196</v>
      </c>
      <c r="S1511" s="2">
        <v>0</v>
      </c>
      <c r="T1511" s="2">
        <v>0</v>
      </c>
      <c r="U1511" s="2">
        <v>0</v>
      </c>
      <c r="V1511" s="2">
        <v>0</v>
      </c>
      <c r="W1511" s="2">
        <v>0</v>
      </c>
      <c r="X1511" s="2">
        <v>0</v>
      </c>
      <c r="Y1511" s="2">
        <v>0</v>
      </c>
      <c r="Z1511" s="2">
        <v>0</v>
      </c>
      <c r="AA1511" s="2">
        <v>0</v>
      </c>
      <c r="AB1511" s="2">
        <v>0</v>
      </c>
      <c r="AC1511" s="2">
        <v>0</v>
      </c>
      <c r="AD1511" s="2">
        <v>0</v>
      </c>
      <c r="AE1511" s="2">
        <v>0</v>
      </c>
      <c r="AF1511" s="2">
        <v>0</v>
      </c>
      <c r="AG1511" s="2">
        <v>0</v>
      </c>
      <c r="AH1511" s="2">
        <v>0</v>
      </c>
      <c r="AI1511" s="2">
        <v>0</v>
      </c>
      <c r="AJ1511" s="2">
        <v>0</v>
      </c>
      <c r="AK1511" s="2">
        <v>0</v>
      </c>
      <c r="AL1511" s="2">
        <v>0</v>
      </c>
      <c r="AM1511" s="2">
        <v>0</v>
      </c>
      <c r="AN1511" s="2">
        <v>0</v>
      </c>
      <c r="AO1511" s="2">
        <v>0</v>
      </c>
      <c r="AP1511" s="2">
        <v>0</v>
      </c>
      <c r="AQ1511" s="2">
        <v>0</v>
      </c>
      <c r="AR1511" s="2">
        <v>0</v>
      </c>
    </row>
    <row r="1512" spans="1:44" x14ac:dyDescent="0.25">
      <c r="A1512" t="s">
        <v>131</v>
      </c>
      <c r="B1512" t="s">
        <v>214</v>
      </c>
      <c r="C1512" t="s">
        <v>44</v>
      </c>
      <c r="D1512" t="s">
        <v>212</v>
      </c>
      <c r="E1512" t="s">
        <v>134</v>
      </c>
      <c r="F1512" t="s">
        <v>215</v>
      </c>
      <c r="G1512" t="s">
        <v>28</v>
      </c>
      <c r="H1512" t="s">
        <v>52</v>
      </c>
      <c r="I1512" t="s">
        <v>135</v>
      </c>
      <c r="J1512" t="s">
        <v>39</v>
      </c>
      <c r="K1512" t="s">
        <v>28</v>
      </c>
      <c r="L1512">
        <v>4.6443704447863325E-2</v>
      </c>
      <c r="M1512">
        <v>0</v>
      </c>
      <c r="N1512">
        <v>0.67136779164566907</v>
      </c>
      <c r="O1512">
        <v>3.8402067578633954</v>
      </c>
      <c r="P1512">
        <v>1.90935600167047</v>
      </c>
      <c r="Q1512">
        <v>4.1643496847215875</v>
      </c>
      <c r="R1512">
        <v>-1.5269572965344196</v>
      </c>
      <c r="S1512" s="2">
        <v>0</v>
      </c>
      <c r="T1512" s="2">
        <v>0</v>
      </c>
      <c r="U1512" s="2">
        <v>1.6884277108320369</v>
      </c>
      <c r="V1512" s="2">
        <v>2.7439438811200003</v>
      </c>
      <c r="W1512" s="2">
        <v>4.1605113494962431</v>
      </c>
      <c r="X1512" s="2">
        <v>5.9515895322566692</v>
      </c>
      <c r="Y1512" s="2">
        <v>8.0849587732652495</v>
      </c>
      <c r="Z1512" s="2">
        <v>10.465589778943743</v>
      </c>
      <c r="AA1512" s="2">
        <v>12.923374922487561</v>
      </c>
      <c r="AB1512" s="2">
        <v>15.213348868563372</v>
      </c>
      <c r="AC1512" s="2">
        <v>17.036718700394434</v>
      </c>
      <c r="AD1512" s="2">
        <v>18.088027898623626</v>
      </c>
      <c r="AE1512" s="2">
        <v>18.125469322895139</v>
      </c>
      <c r="AF1512" s="2">
        <v>17.048503245168646</v>
      </c>
      <c r="AG1512" s="2">
        <v>14.954563773551332</v>
      </c>
      <c r="AH1512" s="2">
        <v>12.337087557428388</v>
      </c>
      <c r="AI1512" s="2">
        <v>9.4101839816815449</v>
      </c>
      <c r="AJ1512" s="2">
        <v>6.4974186480376623</v>
      </c>
      <c r="AK1512" s="2">
        <v>1.8955686987377425</v>
      </c>
      <c r="AL1512" s="2">
        <v>0</v>
      </c>
      <c r="AM1512" s="2">
        <v>0</v>
      </c>
      <c r="AN1512" s="2">
        <v>0</v>
      </c>
      <c r="AO1512" s="2">
        <v>0</v>
      </c>
      <c r="AP1512" s="2">
        <v>0</v>
      </c>
      <c r="AQ1512" s="2">
        <v>0</v>
      </c>
      <c r="AR1512" s="2">
        <v>176.62528664348335</v>
      </c>
    </row>
    <row r="1513" spans="1:44" x14ac:dyDescent="0.25">
      <c r="A1513" t="s">
        <v>131</v>
      </c>
      <c r="B1513" t="s">
        <v>214</v>
      </c>
      <c r="C1513" t="s">
        <v>44</v>
      </c>
      <c r="D1513" t="s">
        <v>212</v>
      </c>
      <c r="E1513" t="s">
        <v>134</v>
      </c>
      <c r="F1513" t="s">
        <v>215</v>
      </c>
      <c r="G1513" t="s">
        <v>28</v>
      </c>
      <c r="H1513" t="s">
        <v>138</v>
      </c>
      <c r="I1513" t="s">
        <v>135</v>
      </c>
      <c r="J1513" t="s">
        <v>39</v>
      </c>
      <c r="K1513" t="s">
        <v>28</v>
      </c>
      <c r="L1513">
        <v>4.6443704447863325E-2</v>
      </c>
      <c r="M1513">
        <v>0</v>
      </c>
      <c r="N1513">
        <v>0.67136779164566907</v>
      </c>
      <c r="O1513">
        <v>3.8402067578633954</v>
      </c>
      <c r="P1513">
        <v>1.90935600167047</v>
      </c>
      <c r="Q1513">
        <v>4.1643496847215875</v>
      </c>
      <c r="R1513">
        <v>-1.5269572965344196</v>
      </c>
      <c r="S1513" s="2">
        <v>0</v>
      </c>
      <c r="T1513" s="2">
        <v>0</v>
      </c>
      <c r="U1513" s="2">
        <v>0.58568697811177628</v>
      </c>
      <c r="V1513" s="2">
        <v>0.95182766163528376</v>
      </c>
      <c r="W1513" s="2">
        <v>1.4432109257940329</v>
      </c>
      <c r="X1513" s="2">
        <v>2.0645056141558724</v>
      </c>
      <c r="Y1513" s="2">
        <v>2.8045352736709943</v>
      </c>
      <c r="Z1513" s="2">
        <v>3.6303358517886926</v>
      </c>
      <c r="AA1513" s="2">
        <v>4.4828998936693081</v>
      </c>
      <c r="AB1513" s="2">
        <v>5.2772530731553955</v>
      </c>
      <c r="AC1513" s="2">
        <v>5.9097491876968062</v>
      </c>
      <c r="AD1513" s="2">
        <v>6.2744305438613166</v>
      </c>
      <c r="AE1513" s="2">
        <v>6.2874183398428105</v>
      </c>
      <c r="AF1513" s="2">
        <v>5.9138370466989709</v>
      </c>
      <c r="AG1513" s="2">
        <v>5.1874849064132826</v>
      </c>
      <c r="AH1513" s="2">
        <v>4.2795267359417499</v>
      </c>
      <c r="AI1513" s="2">
        <v>3.2642334547985739</v>
      </c>
      <c r="AJ1513" s="2">
        <v>2.2538444903992967</v>
      </c>
      <c r="AK1513" s="2">
        <v>0.65754067872997302</v>
      </c>
      <c r="AL1513" s="2">
        <v>0</v>
      </c>
      <c r="AM1513" s="2">
        <v>0</v>
      </c>
      <c r="AN1513" s="2">
        <v>0</v>
      </c>
      <c r="AO1513" s="2">
        <v>0</v>
      </c>
      <c r="AP1513" s="2">
        <v>0</v>
      </c>
      <c r="AQ1513" s="2">
        <v>0</v>
      </c>
      <c r="AR1513" s="2">
        <v>61.268320656364132</v>
      </c>
    </row>
    <row r="1514" spans="1:44" x14ac:dyDescent="0.25">
      <c r="A1514" t="s">
        <v>131</v>
      </c>
      <c r="B1514" t="s">
        <v>234</v>
      </c>
      <c r="C1514" t="s">
        <v>44</v>
      </c>
      <c r="D1514" t="s">
        <v>219</v>
      </c>
      <c r="E1514" t="s">
        <v>145</v>
      </c>
      <c r="F1514" t="s">
        <v>232</v>
      </c>
      <c r="G1514" t="s">
        <v>28</v>
      </c>
      <c r="H1514" t="s">
        <v>55</v>
      </c>
      <c r="I1514" t="s">
        <v>135</v>
      </c>
      <c r="J1514" t="s">
        <v>39</v>
      </c>
      <c r="K1514" t="s">
        <v>28</v>
      </c>
      <c r="L1514">
        <v>2.9999999999999985E-2</v>
      </c>
      <c r="M1514">
        <v>1</v>
      </c>
      <c r="N1514">
        <v>1.3409674942150906</v>
      </c>
      <c r="O1514">
        <v>3.8596258854354111</v>
      </c>
      <c r="P1514">
        <v>-0.177009527284818</v>
      </c>
      <c r="Q1514">
        <v>2.0954632346128959</v>
      </c>
      <c r="R1514">
        <v>-1.5444363753810169</v>
      </c>
      <c r="S1514" s="2">
        <v>0</v>
      </c>
      <c r="T1514" s="2">
        <v>0</v>
      </c>
      <c r="U1514" s="2">
        <v>5.0449442761571443E-5</v>
      </c>
      <c r="V1514" s="2">
        <v>9.484200137193479E-5</v>
      </c>
      <c r="W1514" s="2">
        <v>1.621219027754174E-4</v>
      </c>
      <c r="X1514" s="2">
        <v>2.5831459295898985E-4</v>
      </c>
      <c r="Y1514" s="2">
        <v>3.8890644351646987E-4</v>
      </c>
      <c r="Z1514" s="2">
        <v>5.578261199152819E-4</v>
      </c>
      <c r="AA1514" s="2">
        <v>7.6622847717722231E-4</v>
      </c>
      <c r="AB1514" s="2">
        <v>1.0112855785787832E-3</v>
      </c>
      <c r="AC1514" s="2">
        <v>1.285322475539009E-3</v>
      </c>
      <c r="AD1514" s="2">
        <v>1.5757207260269543E-3</v>
      </c>
      <c r="AE1514" s="2">
        <v>1.8659636293223048E-3</v>
      </c>
      <c r="AF1514" s="2">
        <v>2.1379388169900297E-3</v>
      </c>
      <c r="AG1514" s="2">
        <v>2.3751557558248609E-3</v>
      </c>
      <c r="AH1514" s="2">
        <v>2.5660295912772629E-3</v>
      </c>
      <c r="AI1514" s="2">
        <v>2.7061106999925247E-3</v>
      </c>
      <c r="AJ1514" s="2">
        <v>2.8060557303615434E-3</v>
      </c>
      <c r="AK1514" s="2">
        <v>2.8565896834851397E-3</v>
      </c>
      <c r="AL1514" s="2">
        <v>2.8948863542598165E-3</v>
      </c>
      <c r="AM1514" s="2">
        <v>2.8978550205148194E-3</v>
      </c>
      <c r="AN1514" s="2">
        <v>2.8889200008571977E-3</v>
      </c>
      <c r="AO1514" s="2">
        <v>2.8797113191390777E-3</v>
      </c>
      <c r="AP1514" s="2">
        <v>2.8702320948934164E-3</v>
      </c>
      <c r="AQ1514" s="2">
        <v>2.860484435590335E-3</v>
      </c>
      <c r="AR1514" s="2">
        <v>4.0756950893129966E-2</v>
      </c>
    </row>
    <row r="1515" spans="1:44" x14ac:dyDescent="0.25">
      <c r="A1515" t="s">
        <v>131</v>
      </c>
      <c r="B1515" t="s">
        <v>234</v>
      </c>
      <c r="C1515" t="s">
        <v>44</v>
      </c>
      <c r="D1515" t="s">
        <v>219</v>
      </c>
      <c r="E1515" t="s">
        <v>145</v>
      </c>
      <c r="F1515" t="s">
        <v>232</v>
      </c>
      <c r="G1515" t="s">
        <v>28</v>
      </c>
      <c r="H1515" t="s">
        <v>136</v>
      </c>
      <c r="I1515" t="s">
        <v>135</v>
      </c>
      <c r="J1515" t="s">
        <v>39</v>
      </c>
      <c r="K1515" t="s">
        <v>28</v>
      </c>
      <c r="L1515">
        <v>2.9999999999999985E-2</v>
      </c>
      <c r="M1515">
        <v>1</v>
      </c>
      <c r="N1515">
        <v>1.3409674942150906</v>
      </c>
      <c r="O1515">
        <v>3.8596258854354111</v>
      </c>
      <c r="P1515">
        <v>-0.177009527284818</v>
      </c>
      <c r="Q1515">
        <v>2.0954632346128959</v>
      </c>
      <c r="R1515">
        <v>-1.5444363753810169</v>
      </c>
      <c r="S1515" s="2">
        <v>0</v>
      </c>
      <c r="T1515" s="2">
        <v>0</v>
      </c>
      <c r="U1515" s="2">
        <v>6.3342078133973024E-5</v>
      </c>
      <c r="V1515" s="2">
        <v>1.1907940172254031E-4</v>
      </c>
      <c r="W1515" s="2">
        <v>2.0355305570691291E-4</v>
      </c>
      <c r="X1515" s="2">
        <v>3.2432832227073172E-4</v>
      </c>
      <c r="Y1515" s="2">
        <v>4.8829364574845655E-4</v>
      </c>
      <c r="Z1515" s="2">
        <v>7.0038168389363164E-4</v>
      </c>
      <c r="AA1515" s="2">
        <v>9.6204242134473458E-4</v>
      </c>
      <c r="AB1515" s="2">
        <v>1.2697252264378053E-3</v>
      </c>
      <c r="AC1515" s="2">
        <v>1.6137937748434217E-3</v>
      </c>
      <c r="AD1515" s="2">
        <v>1.9784049115671759E-3</v>
      </c>
      <c r="AE1515" s="2">
        <v>2.3428210012602264E-3</v>
      </c>
      <c r="AF1515" s="2">
        <v>2.6843009591097037E-3</v>
      </c>
      <c r="AG1515" s="2">
        <v>2.9821400045356582E-3</v>
      </c>
      <c r="AH1515" s="2">
        <v>3.2217927090481204E-3</v>
      </c>
      <c r="AI1515" s="2">
        <v>3.3976723233239479E-3</v>
      </c>
      <c r="AJ1515" s="2">
        <v>3.5231588614539379E-3</v>
      </c>
      <c r="AK1515" s="2">
        <v>3.5866070470424514E-3</v>
      </c>
      <c r="AL1515" s="2">
        <v>3.6346906447928796E-3</v>
      </c>
      <c r="AM1515" s="2">
        <v>3.6384179702019393E-3</v>
      </c>
      <c r="AN1515" s="2">
        <v>3.6271995566318142E-3</v>
      </c>
      <c r="AO1515" s="2">
        <v>3.6156375451412873E-3</v>
      </c>
      <c r="AP1515" s="2">
        <v>3.6037358524772887E-3</v>
      </c>
      <c r="AQ1515" s="2">
        <v>3.5914971246856415E-3</v>
      </c>
      <c r="AR1515" s="2">
        <v>5.1172616121374283E-2</v>
      </c>
    </row>
    <row r="1516" spans="1:44" x14ac:dyDescent="0.25">
      <c r="A1516" t="s">
        <v>131</v>
      </c>
      <c r="B1516" t="s">
        <v>230</v>
      </c>
      <c r="C1516" t="s">
        <v>44</v>
      </c>
      <c r="D1516" t="s">
        <v>219</v>
      </c>
      <c r="E1516" t="s">
        <v>145</v>
      </c>
      <c r="F1516" t="s">
        <v>228</v>
      </c>
      <c r="G1516" t="s">
        <v>28</v>
      </c>
      <c r="H1516" t="s">
        <v>55</v>
      </c>
      <c r="I1516" t="s">
        <v>135</v>
      </c>
      <c r="J1516" t="s">
        <v>39</v>
      </c>
      <c r="K1516" t="s">
        <v>28</v>
      </c>
      <c r="L1516">
        <v>0.03</v>
      </c>
      <c r="M1516">
        <v>0</v>
      </c>
      <c r="N1516">
        <v>0.86122751919340645</v>
      </c>
      <c r="O1516">
        <v>3.8595532660352969</v>
      </c>
      <c r="P1516">
        <v>0.99024316795274525</v>
      </c>
      <c r="Q1516">
        <v>3.2626630602848077</v>
      </c>
      <c r="R1516">
        <v>-1.5443835058153661</v>
      </c>
      <c r="S1516" s="2">
        <v>1.0365836266427787E-3</v>
      </c>
      <c r="T1516" s="2">
        <v>1.5202490773051063E-3</v>
      </c>
      <c r="U1516" s="2">
        <v>2.0711104840185277E-3</v>
      </c>
      <c r="V1516" s="2">
        <v>2.7140191792186115E-3</v>
      </c>
      <c r="W1516" s="2">
        <v>3.4177562177921911E-3</v>
      </c>
      <c r="X1516" s="2">
        <v>4.1346420978515385E-3</v>
      </c>
      <c r="Y1516" s="2">
        <v>4.8076422949722758E-3</v>
      </c>
      <c r="Z1516" s="2">
        <v>5.3829606947575909E-3</v>
      </c>
      <c r="AA1516" s="2">
        <v>5.8242916019612097E-3</v>
      </c>
      <c r="AB1516" s="2">
        <v>6.122474576336496E-3</v>
      </c>
      <c r="AC1516" s="2">
        <v>6.2952402301288974E-3</v>
      </c>
      <c r="AD1516" s="2">
        <v>6.3686229693502641E-3</v>
      </c>
      <c r="AE1516" s="2">
        <v>6.3552733131624888E-3</v>
      </c>
      <c r="AF1516" s="2">
        <v>6.3412104390048064E-3</v>
      </c>
      <c r="AG1516" s="2">
        <v>6.3264531125271925E-3</v>
      </c>
      <c r="AH1516" s="2">
        <v>6.3110189530382298E-3</v>
      </c>
      <c r="AI1516" s="2">
        <v>6.2949244339624627E-3</v>
      </c>
      <c r="AJ1516" s="2">
        <v>6.27818486986325E-3</v>
      </c>
      <c r="AK1516" s="2">
        <v>6.2608143867924956E-3</v>
      </c>
      <c r="AL1516" s="2">
        <v>6.2428258714233124E-3</v>
      </c>
      <c r="AM1516" s="2">
        <v>6.2242308925236243E-3</v>
      </c>
      <c r="AN1516" s="2">
        <v>6.2050395855104802E-3</v>
      </c>
      <c r="AO1516" s="2">
        <v>6.1852604865481192E-3</v>
      </c>
      <c r="AP1516" s="2">
        <v>6.1649002960039697E-3</v>
      </c>
      <c r="AQ1516" s="2">
        <v>6.1439635404608112E-3</v>
      </c>
      <c r="AR1516" s="2">
        <v>0.13102969323115674</v>
      </c>
    </row>
    <row r="1517" spans="1:44" x14ac:dyDescent="0.25">
      <c r="A1517" t="s">
        <v>131</v>
      </c>
      <c r="B1517" t="s">
        <v>230</v>
      </c>
      <c r="C1517" t="s">
        <v>44</v>
      </c>
      <c r="D1517" t="s">
        <v>219</v>
      </c>
      <c r="E1517" t="s">
        <v>145</v>
      </c>
      <c r="F1517" t="s">
        <v>228</v>
      </c>
      <c r="G1517" t="s">
        <v>28</v>
      </c>
      <c r="H1517" t="s">
        <v>136</v>
      </c>
      <c r="I1517" t="s">
        <v>135</v>
      </c>
      <c r="J1517" t="s">
        <v>39</v>
      </c>
      <c r="K1517" t="s">
        <v>28</v>
      </c>
      <c r="L1517">
        <v>0.03</v>
      </c>
      <c r="M1517">
        <v>0</v>
      </c>
      <c r="N1517">
        <v>0.86122751919340645</v>
      </c>
      <c r="O1517">
        <v>3.8595532660352969</v>
      </c>
      <c r="P1517">
        <v>0.99024316795274525</v>
      </c>
      <c r="Q1517">
        <v>3.2626630602848077</v>
      </c>
      <c r="R1517">
        <v>-1.5443835058153661</v>
      </c>
      <c r="S1517" s="2">
        <v>1.3014883312292662E-3</v>
      </c>
      <c r="T1517" s="2">
        <v>1.9087571748386337E-3</v>
      </c>
      <c r="U1517" s="2">
        <v>2.6003942743788176E-3</v>
      </c>
      <c r="V1517" s="2">
        <v>3.4076018583522574E-3</v>
      </c>
      <c r="W1517" s="2">
        <v>4.2911828067835273E-3</v>
      </c>
      <c r="X1517" s="2">
        <v>5.1912728561913767E-3</v>
      </c>
      <c r="Y1517" s="2">
        <v>6.0362619925763026E-3</v>
      </c>
      <c r="Z1517" s="2">
        <v>6.7586062056400878E-3</v>
      </c>
      <c r="AA1517" s="2">
        <v>7.3127216780179641E-3</v>
      </c>
      <c r="AB1517" s="2">
        <v>7.6871069680669313E-3</v>
      </c>
      <c r="AC1517" s="2">
        <v>7.9040238444951696E-3</v>
      </c>
      <c r="AD1517" s="2">
        <v>7.9961599504064437E-3</v>
      </c>
      <c r="AE1517" s="2">
        <v>7.9793987154151251E-3</v>
      </c>
      <c r="AF1517" s="2">
        <v>7.9617419956393674E-3</v>
      </c>
      <c r="AG1517" s="2">
        <v>7.9432133523952529E-3</v>
      </c>
      <c r="AH1517" s="2">
        <v>7.9238349077035558E-3</v>
      </c>
      <c r="AI1517" s="2">
        <v>7.9036273448639793E-3</v>
      </c>
      <c r="AJ1517" s="2">
        <v>7.882609892161635E-3</v>
      </c>
      <c r="AK1517" s="2">
        <v>7.8608002856394663E-3</v>
      </c>
      <c r="AL1517" s="2">
        <v>7.8382147052314909E-3</v>
      </c>
      <c r="AM1517" s="2">
        <v>7.8148676761685496E-3</v>
      </c>
      <c r="AN1517" s="2">
        <v>7.7907719240298259E-3</v>
      </c>
      <c r="AO1517" s="2">
        <v>7.7659381664437512E-3</v>
      </c>
      <c r="AP1517" s="2">
        <v>7.7403748160938717E-3</v>
      </c>
      <c r="AQ1517" s="2">
        <v>7.7140875563563478E-3</v>
      </c>
      <c r="AR1517" s="2">
        <v>0.16451505927911902</v>
      </c>
    </row>
    <row r="1518" spans="1:44" x14ac:dyDescent="0.25">
      <c r="A1518" t="s">
        <v>131</v>
      </c>
      <c r="B1518" t="s">
        <v>226</v>
      </c>
      <c r="C1518" t="s">
        <v>44</v>
      </c>
      <c r="D1518" t="s">
        <v>219</v>
      </c>
      <c r="E1518" t="s">
        <v>145</v>
      </c>
      <c r="F1518" t="s">
        <v>224</v>
      </c>
      <c r="G1518" t="s">
        <v>28</v>
      </c>
      <c r="H1518" t="s">
        <v>55</v>
      </c>
      <c r="I1518" t="s">
        <v>135</v>
      </c>
      <c r="J1518" t="s">
        <v>39</v>
      </c>
      <c r="K1518" t="s">
        <v>28</v>
      </c>
      <c r="L1518">
        <v>0.05</v>
      </c>
      <c r="M1518">
        <v>0</v>
      </c>
      <c r="N1518">
        <v>0.81776863290635349</v>
      </c>
      <c r="O1518">
        <v>3.8703116956820249</v>
      </c>
      <c r="P1518">
        <v>1.1653770988675287</v>
      </c>
      <c r="Q1518">
        <v>3.4456295194441906</v>
      </c>
      <c r="R1518">
        <v>-1.5522160340599644</v>
      </c>
      <c r="S1518" s="2">
        <v>1.3950275148643741E-3</v>
      </c>
      <c r="T1518" s="2">
        <v>2.0459413382367215E-3</v>
      </c>
      <c r="U1518" s="2">
        <v>2.7872870430024617E-3</v>
      </c>
      <c r="V1518" s="2">
        <v>3.6525093910096491E-3</v>
      </c>
      <c r="W1518" s="2">
        <v>4.5995941286095356E-3</v>
      </c>
      <c r="X1518" s="2">
        <v>5.5643744917139902E-3</v>
      </c>
      <c r="Y1518" s="2">
        <v>6.4700937876412028E-3</v>
      </c>
      <c r="Z1518" s="2">
        <v>7.2443535548995562E-3</v>
      </c>
      <c r="AA1518" s="2">
        <v>7.8382938245361647E-3</v>
      </c>
      <c r="AB1518" s="2">
        <v>8.2395865355399563E-3</v>
      </c>
      <c r="AC1518" s="2">
        <v>8.4720934307573811E-3</v>
      </c>
      <c r="AD1518" s="2">
        <v>8.5708514447745202E-3</v>
      </c>
      <c r="AE1518" s="2">
        <v>8.5528855641477507E-3</v>
      </c>
      <c r="AF1518" s="2">
        <v>8.5339598394075528E-3</v>
      </c>
      <c r="AG1518" s="2">
        <v>8.5140995252438179E-3</v>
      </c>
      <c r="AH1518" s="2">
        <v>8.4933283336076498E-3</v>
      </c>
      <c r="AI1518" s="2">
        <v>8.4716684343268556E-3</v>
      </c>
      <c r="AJ1518" s="2">
        <v>8.4491404376413684E-3</v>
      </c>
      <c r="AK1518" s="2">
        <v>8.4257633543001354E-3</v>
      </c>
      <c r="AL1518" s="2">
        <v>8.401554527104161E-3</v>
      </c>
      <c r="AM1518" s="2">
        <v>8.3765295252262086E-3</v>
      </c>
      <c r="AN1518" s="2">
        <v>8.3507019888447477E-3</v>
      </c>
      <c r="AO1518" s="2">
        <v>8.3240834058741844E-3</v>
      </c>
      <c r="AP1518" s="2">
        <v>8.2966827936255035E-3</v>
      </c>
      <c r="AQ1518" s="2">
        <v>8.2685062439444186E-3</v>
      </c>
      <c r="AR1518" s="2">
        <v>0.17633891045887987</v>
      </c>
    </row>
    <row r="1519" spans="1:44" x14ac:dyDescent="0.25">
      <c r="A1519" t="s">
        <v>131</v>
      </c>
      <c r="B1519" t="s">
        <v>226</v>
      </c>
      <c r="C1519" t="s">
        <v>44</v>
      </c>
      <c r="D1519" t="s">
        <v>219</v>
      </c>
      <c r="E1519" t="s">
        <v>145</v>
      </c>
      <c r="F1519" t="s">
        <v>224</v>
      </c>
      <c r="G1519" t="s">
        <v>28</v>
      </c>
      <c r="H1519" t="s">
        <v>136</v>
      </c>
      <c r="I1519" t="s">
        <v>135</v>
      </c>
      <c r="J1519" t="s">
        <v>39</v>
      </c>
      <c r="K1519" t="s">
        <v>28</v>
      </c>
      <c r="L1519">
        <v>0.05</v>
      </c>
      <c r="M1519">
        <v>0</v>
      </c>
      <c r="N1519">
        <v>0.81776863290635349</v>
      </c>
      <c r="O1519">
        <v>3.8703116956820249</v>
      </c>
      <c r="P1519">
        <v>1.1653770988675287</v>
      </c>
      <c r="Q1519">
        <v>3.4456295194441906</v>
      </c>
      <c r="R1519">
        <v>-1.5522160340599644</v>
      </c>
      <c r="S1519" s="2">
        <v>1.7515345464408254E-3</v>
      </c>
      <c r="T1519" s="2">
        <v>2.5687930135638842E-3</v>
      </c>
      <c r="U1519" s="2">
        <v>3.4995937317697564E-3</v>
      </c>
      <c r="V1519" s="2">
        <v>4.5859284576010044E-3</v>
      </c>
      <c r="W1519" s="2">
        <v>5.7750459614764153E-3</v>
      </c>
      <c r="X1519" s="2">
        <v>6.9863813062631197E-3</v>
      </c>
      <c r="Y1519" s="2">
        <v>8.1235622000384016E-3</v>
      </c>
      <c r="Z1519" s="2">
        <v>9.0956883522627756E-3</v>
      </c>
      <c r="AA1519" s="2">
        <v>9.841413357473185E-3</v>
      </c>
      <c r="AB1519" s="2">
        <v>1.0345258650177941E-2</v>
      </c>
      <c r="AC1519" s="2">
        <v>1.0637183974173155E-2</v>
      </c>
      <c r="AD1519" s="2">
        <v>1.0761180147328008E-2</v>
      </c>
      <c r="AE1519" s="2">
        <v>1.0738622986096623E-2</v>
      </c>
      <c r="AF1519" s="2">
        <v>1.0714860687256146E-2</v>
      </c>
      <c r="AG1519" s="2">
        <v>1.0689924959472791E-2</v>
      </c>
      <c r="AH1519" s="2">
        <v>1.0663845574418499E-2</v>
      </c>
      <c r="AI1519" s="2">
        <v>1.0636650367543717E-2</v>
      </c>
      <c r="AJ1519" s="2">
        <v>1.0608365216149719E-2</v>
      </c>
      <c r="AK1519" s="2">
        <v>1.0579013989287947E-2</v>
      </c>
      <c r="AL1519" s="2">
        <v>1.0548618461808558E-2</v>
      </c>
      <c r="AM1519" s="2">
        <v>1.0517198181672906E-2</v>
      </c>
      <c r="AN1519" s="2">
        <v>1.048477027488285E-2</v>
      </c>
      <c r="AO1519" s="2">
        <v>1.0451349165153143E-2</v>
      </c>
      <c r="AP1519" s="2">
        <v>1.0416946174218684E-2</v>
      </c>
      <c r="AQ1519" s="2">
        <v>1.0381568950730214E-2</v>
      </c>
      <c r="AR1519" s="2">
        <v>0.22140329868726022</v>
      </c>
    </row>
    <row r="1520" spans="1:44" x14ac:dyDescent="0.25">
      <c r="A1520" t="s">
        <v>131</v>
      </c>
      <c r="B1520" t="s">
        <v>233</v>
      </c>
      <c r="C1520" t="s">
        <v>44</v>
      </c>
      <c r="D1520" t="s">
        <v>219</v>
      </c>
      <c r="E1520" t="s">
        <v>145</v>
      </c>
      <c r="F1520" t="s">
        <v>232</v>
      </c>
      <c r="G1520" t="s">
        <v>28</v>
      </c>
      <c r="H1520" t="s">
        <v>54</v>
      </c>
      <c r="I1520" t="s">
        <v>135</v>
      </c>
      <c r="J1520" t="s">
        <v>39</v>
      </c>
      <c r="K1520" t="s">
        <v>28</v>
      </c>
      <c r="L1520">
        <v>2.9999999999999985E-2</v>
      </c>
      <c r="M1520">
        <v>1</v>
      </c>
      <c r="N1520">
        <v>1.3425392982815614</v>
      </c>
      <c r="O1520">
        <v>3.8641499143085554</v>
      </c>
      <c r="P1520">
        <v>-0.17696193753835973</v>
      </c>
      <c r="Q1520">
        <v>2.0954632346128963</v>
      </c>
      <c r="R1520">
        <v>-1.5443887856345579</v>
      </c>
      <c r="S1520" s="2">
        <v>0</v>
      </c>
      <c r="T1520" s="2">
        <v>0</v>
      </c>
      <c r="U1520" s="2">
        <v>0</v>
      </c>
      <c r="V1520" s="2">
        <v>0</v>
      </c>
      <c r="W1520" s="2">
        <v>0</v>
      </c>
      <c r="X1520" s="2">
        <v>0</v>
      </c>
      <c r="Y1520" s="2">
        <v>0</v>
      </c>
      <c r="Z1520" s="2">
        <v>0</v>
      </c>
      <c r="AA1520" s="2">
        <v>0</v>
      </c>
      <c r="AB1520" s="2">
        <v>0</v>
      </c>
      <c r="AC1520" s="2">
        <v>0</v>
      </c>
      <c r="AD1520" s="2">
        <v>0</v>
      </c>
      <c r="AE1520" s="2">
        <v>0</v>
      </c>
      <c r="AF1520" s="2">
        <v>0</v>
      </c>
      <c r="AG1520" s="2">
        <v>0</v>
      </c>
      <c r="AH1520" s="2">
        <v>0</v>
      </c>
      <c r="AI1520" s="2">
        <v>0</v>
      </c>
      <c r="AJ1520" s="2">
        <v>0</v>
      </c>
      <c r="AK1520" s="2">
        <v>0</v>
      </c>
      <c r="AL1520" s="2">
        <v>0</v>
      </c>
      <c r="AM1520" s="2">
        <v>0</v>
      </c>
      <c r="AN1520" s="2">
        <v>0</v>
      </c>
      <c r="AO1520" s="2">
        <v>0</v>
      </c>
      <c r="AP1520" s="2">
        <v>0</v>
      </c>
      <c r="AQ1520" s="2">
        <v>0</v>
      </c>
      <c r="AR1520" s="2">
        <v>0</v>
      </c>
    </row>
    <row r="1521" spans="1:44" x14ac:dyDescent="0.25">
      <c r="A1521" t="s">
        <v>131</v>
      </c>
      <c r="B1521" t="s">
        <v>233</v>
      </c>
      <c r="C1521" t="s">
        <v>44</v>
      </c>
      <c r="D1521" t="s">
        <v>219</v>
      </c>
      <c r="E1521" t="s">
        <v>145</v>
      </c>
      <c r="F1521" t="s">
        <v>232</v>
      </c>
      <c r="G1521" t="s">
        <v>28</v>
      </c>
      <c r="H1521" t="s">
        <v>142</v>
      </c>
      <c r="I1521" t="s">
        <v>135</v>
      </c>
      <c r="J1521" t="s">
        <v>39</v>
      </c>
      <c r="K1521" t="s">
        <v>28</v>
      </c>
      <c r="L1521">
        <v>2.9999999999999985E-2</v>
      </c>
      <c r="M1521">
        <v>1</v>
      </c>
      <c r="N1521">
        <v>1.3425392982815614</v>
      </c>
      <c r="O1521">
        <v>3.8641499143085554</v>
      </c>
      <c r="P1521">
        <v>-0.17696193753835973</v>
      </c>
      <c r="Q1521">
        <v>2.0954632346128963</v>
      </c>
      <c r="R1521">
        <v>-1.5443887856345579</v>
      </c>
      <c r="S1521" s="2">
        <v>0</v>
      </c>
      <c r="T1521" s="2">
        <v>0</v>
      </c>
      <c r="U1521" s="2">
        <v>0</v>
      </c>
      <c r="V1521" s="2">
        <v>0</v>
      </c>
      <c r="W1521" s="2">
        <v>0</v>
      </c>
      <c r="X1521" s="2">
        <v>0</v>
      </c>
      <c r="Y1521" s="2">
        <v>0</v>
      </c>
      <c r="Z1521" s="2">
        <v>0</v>
      </c>
      <c r="AA1521" s="2">
        <v>0</v>
      </c>
      <c r="AB1521" s="2">
        <v>0</v>
      </c>
      <c r="AC1521" s="2">
        <v>0</v>
      </c>
      <c r="AD1521" s="2">
        <v>0</v>
      </c>
      <c r="AE1521" s="2">
        <v>0</v>
      </c>
      <c r="AF1521" s="2">
        <v>0</v>
      </c>
      <c r="AG1521" s="2">
        <v>0</v>
      </c>
      <c r="AH1521" s="2">
        <v>0</v>
      </c>
      <c r="AI1521" s="2">
        <v>0</v>
      </c>
      <c r="AJ1521" s="2">
        <v>0</v>
      </c>
      <c r="AK1521" s="2">
        <v>0</v>
      </c>
      <c r="AL1521" s="2">
        <v>0</v>
      </c>
      <c r="AM1521" s="2">
        <v>0</v>
      </c>
      <c r="AN1521" s="2">
        <v>0</v>
      </c>
      <c r="AO1521" s="2">
        <v>0</v>
      </c>
      <c r="AP1521" s="2">
        <v>0</v>
      </c>
      <c r="AQ1521" s="2">
        <v>0</v>
      </c>
      <c r="AR1521" s="2">
        <v>0</v>
      </c>
    </row>
    <row r="1522" spans="1:44" x14ac:dyDescent="0.25">
      <c r="A1522" t="s">
        <v>131</v>
      </c>
      <c r="B1522" t="s">
        <v>233</v>
      </c>
      <c r="C1522" t="s">
        <v>44</v>
      </c>
      <c r="D1522" t="s">
        <v>219</v>
      </c>
      <c r="E1522" t="s">
        <v>145</v>
      </c>
      <c r="F1522" t="s">
        <v>232</v>
      </c>
      <c r="G1522" t="s">
        <v>28</v>
      </c>
      <c r="H1522" t="s">
        <v>53</v>
      </c>
      <c r="I1522" t="s">
        <v>135</v>
      </c>
      <c r="J1522" t="s">
        <v>39</v>
      </c>
      <c r="K1522" t="s">
        <v>28</v>
      </c>
      <c r="L1522">
        <v>2.9999999999999985E-2</v>
      </c>
      <c r="M1522">
        <v>1</v>
      </c>
      <c r="N1522">
        <v>1.3425392982815614</v>
      </c>
      <c r="O1522">
        <v>3.8641499143085554</v>
      </c>
      <c r="P1522">
        <v>-0.17696193753835973</v>
      </c>
      <c r="Q1522">
        <v>2.0954632346128963</v>
      </c>
      <c r="R1522">
        <v>-1.5443887856345579</v>
      </c>
      <c r="S1522" s="2">
        <v>0</v>
      </c>
      <c r="T1522" s="2">
        <v>0</v>
      </c>
      <c r="U1522" s="2">
        <v>1.3249297339077842E-3</v>
      </c>
      <c r="V1522" s="2">
        <v>2.4907903985158931E-3</v>
      </c>
      <c r="W1522" s="2">
        <v>4.2577304673120367E-3</v>
      </c>
      <c r="X1522" s="2">
        <v>6.7839933640327765E-3</v>
      </c>
      <c r="Y1522" s="2">
        <v>1.0213665057878411E-2</v>
      </c>
      <c r="Z1522" s="2">
        <v>1.4649922222513467E-2</v>
      </c>
      <c r="AA1522" s="2">
        <v>2.012309426641052E-2</v>
      </c>
      <c r="AB1522" s="2">
        <v>2.6558912431670849E-2</v>
      </c>
      <c r="AC1522" s="2">
        <v>3.3755813192029561E-2</v>
      </c>
      <c r="AD1522" s="2">
        <v>4.1382404402653575E-2</v>
      </c>
      <c r="AE1522" s="2">
        <v>4.9004915803803346E-2</v>
      </c>
      <c r="AF1522" s="2">
        <v>5.6147670873054646E-2</v>
      </c>
      <c r="AG1522" s="2">
        <v>6.2377586575676804E-2</v>
      </c>
      <c r="AH1522" s="2">
        <v>6.739041538354118E-2</v>
      </c>
      <c r="AI1522" s="2">
        <v>7.1069298953628762E-2</v>
      </c>
      <c r="AJ1522" s="2">
        <v>7.3694107776950346E-2</v>
      </c>
      <c r="AK1522" s="2">
        <v>7.5021256966323627E-2</v>
      </c>
      <c r="AL1522" s="2">
        <v>7.6027024226407211E-2</v>
      </c>
      <c r="AM1522" s="2">
        <v>7.6104988897095244E-2</v>
      </c>
      <c r="AN1522" s="2">
        <v>7.5870332723123546E-2</v>
      </c>
      <c r="AO1522" s="2">
        <v>7.5628489492543347E-2</v>
      </c>
      <c r="AP1522" s="2">
        <v>7.5379541132165773E-2</v>
      </c>
      <c r="AQ1522" s="2">
        <v>7.5123542989476766E-2</v>
      </c>
      <c r="AR1522" s="2">
        <v>1.0703804273307154</v>
      </c>
    </row>
    <row r="1523" spans="1:44" x14ac:dyDescent="0.25">
      <c r="A1523" t="s">
        <v>131</v>
      </c>
      <c r="B1523" t="s">
        <v>233</v>
      </c>
      <c r="C1523" t="s">
        <v>44</v>
      </c>
      <c r="D1523" t="s">
        <v>219</v>
      </c>
      <c r="E1523" t="s">
        <v>145</v>
      </c>
      <c r="F1523" t="s">
        <v>232</v>
      </c>
      <c r="G1523" t="s">
        <v>28</v>
      </c>
      <c r="H1523" t="s">
        <v>141</v>
      </c>
      <c r="I1523" t="s">
        <v>135</v>
      </c>
      <c r="J1523" t="s">
        <v>39</v>
      </c>
      <c r="K1523" t="s">
        <v>28</v>
      </c>
      <c r="L1523">
        <v>2.9999999999999985E-2</v>
      </c>
      <c r="M1523">
        <v>1</v>
      </c>
      <c r="N1523">
        <v>1.3425392982815614</v>
      </c>
      <c r="O1523">
        <v>3.8641499143085554</v>
      </c>
      <c r="P1523">
        <v>-0.17696193753835973</v>
      </c>
      <c r="Q1523">
        <v>2.0954632346128963</v>
      </c>
      <c r="R1523">
        <v>-1.5443887856345579</v>
      </c>
      <c r="S1523" s="2">
        <v>0</v>
      </c>
      <c r="T1523" s="2">
        <v>0</v>
      </c>
      <c r="U1523" s="2">
        <v>1.1151491927057183E-3</v>
      </c>
      <c r="V1523" s="2">
        <v>2.0964152520842098E-3</v>
      </c>
      <c r="W1523" s="2">
        <v>3.5835898099876302E-3</v>
      </c>
      <c r="X1523" s="2">
        <v>5.7098610813942517E-3</v>
      </c>
      <c r="Y1523" s="2">
        <v>8.596501423714327E-3</v>
      </c>
      <c r="Z1523" s="2">
        <v>1.233035120394883E-2</v>
      </c>
      <c r="AA1523" s="2">
        <v>1.6936937674228849E-2</v>
      </c>
      <c r="AB1523" s="2">
        <v>2.2353751296656298E-2</v>
      </c>
      <c r="AC1523" s="2">
        <v>2.8411142769958205E-2</v>
      </c>
      <c r="AD1523" s="2">
        <v>3.4830190372233408E-2</v>
      </c>
      <c r="AE1523" s="2">
        <v>4.1245804134867801E-2</v>
      </c>
      <c r="AF1523" s="2">
        <v>4.7257622984820988E-2</v>
      </c>
      <c r="AG1523" s="2">
        <v>5.2501135367861308E-2</v>
      </c>
      <c r="AH1523" s="2">
        <v>5.6720266281147159E-2</v>
      </c>
      <c r="AI1523" s="2">
        <v>5.9816659952637539E-2</v>
      </c>
      <c r="AJ1523" s="2">
        <v>6.2025874045599852E-2</v>
      </c>
      <c r="AK1523" s="2">
        <v>6.3142891279989038E-2</v>
      </c>
      <c r="AL1523" s="2">
        <v>6.3989412057226011E-2</v>
      </c>
      <c r="AM1523" s="2">
        <v>6.40550323217218E-2</v>
      </c>
      <c r="AN1523" s="2">
        <v>6.3857530041962304E-2</v>
      </c>
      <c r="AO1523" s="2">
        <v>6.3653978656223964E-2</v>
      </c>
      <c r="AP1523" s="2">
        <v>6.3444447119572839E-2</v>
      </c>
      <c r="AQ1523" s="2">
        <v>6.3228982016142937E-2</v>
      </c>
      <c r="AR1523" s="2">
        <v>0.90090352633668536</v>
      </c>
    </row>
    <row r="1524" spans="1:44" x14ac:dyDescent="0.25">
      <c r="A1524" t="s">
        <v>131</v>
      </c>
      <c r="B1524" t="s">
        <v>229</v>
      </c>
      <c r="C1524" t="s">
        <v>44</v>
      </c>
      <c r="D1524" t="s">
        <v>219</v>
      </c>
      <c r="E1524" t="s">
        <v>145</v>
      </c>
      <c r="F1524" t="s">
        <v>228</v>
      </c>
      <c r="G1524" t="s">
        <v>28</v>
      </c>
      <c r="H1524" t="s">
        <v>54</v>
      </c>
      <c r="I1524" t="s">
        <v>135</v>
      </c>
      <c r="J1524" t="s">
        <v>39</v>
      </c>
      <c r="K1524" t="s">
        <v>28</v>
      </c>
      <c r="L1524">
        <v>0.03</v>
      </c>
      <c r="M1524">
        <v>0</v>
      </c>
      <c r="N1524">
        <v>0.86223702684315151</v>
      </c>
      <c r="O1524">
        <v>3.8640773301877118</v>
      </c>
      <c r="P1524">
        <v>0.9902907320146096</v>
      </c>
      <c r="Q1524">
        <v>3.262663060284809</v>
      </c>
      <c r="R1524">
        <v>-1.544335941753501</v>
      </c>
      <c r="S1524" s="2">
        <v>0</v>
      </c>
      <c r="T1524" s="2">
        <v>0</v>
      </c>
      <c r="U1524" s="2">
        <v>0</v>
      </c>
      <c r="V1524" s="2">
        <v>0</v>
      </c>
      <c r="W1524" s="2">
        <v>0</v>
      </c>
      <c r="X1524" s="2">
        <v>0</v>
      </c>
      <c r="Y1524" s="2">
        <v>0</v>
      </c>
      <c r="Z1524" s="2">
        <v>0</v>
      </c>
      <c r="AA1524" s="2">
        <v>0</v>
      </c>
      <c r="AB1524" s="2">
        <v>0</v>
      </c>
      <c r="AC1524" s="2">
        <v>0</v>
      </c>
      <c r="AD1524" s="2">
        <v>0</v>
      </c>
      <c r="AE1524" s="2">
        <v>0</v>
      </c>
      <c r="AF1524" s="2">
        <v>0</v>
      </c>
      <c r="AG1524" s="2">
        <v>0</v>
      </c>
      <c r="AH1524" s="2">
        <v>0</v>
      </c>
      <c r="AI1524" s="2">
        <v>0</v>
      </c>
      <c r="AJ1524" s="2">
        <v>0</v>
      </c>
      <c r="AK1524" s="2">
        <v>0</v>
      </c>
      <c r="AL1524" s="2">
        <v>0</v>
      </c>
      <c r="AM1524" s="2">
        <v>0</v>
      </c>
      <c r="AN1524" s="2">
        <v>0</v>
      </c>
      <c r="AO1524" s="2">
        <v>0</v>
      </c>
      <c r="AP1524" s="2">
        <v>0</v>
      </c>
      <c r="AQ1524" s="2">
        <v>0</v>
      </c>
      <c r="AR1524" s="2">
        <v>0</v>
      </c>
    </row>
    <row r="1525" spans="1:44" x14ac:dyDescent="0.25">
      <c r="A1525" t="s">
        <v>131</v>
      </c>
      <c r="B1525" t="s">
        <v>229</v>
      </c>
      <c r="C1525" t="s">
        <v>44</v>
      </c>
      <c r="D1525" t="s">
        <v>219</v>
      </c>
      <c r="E1525" t="s">
        <v>145</v>
      </c>
      <c r="F1525" t="s">
        <v>228</v>
      </c>
      <c r="G1525" t="s">
        <v>28</v>
      </c>
      <c r="H1525" t="s">
        <v>142</v>
      </c>
      <c r="I1525" t="s">
        <v>135</v>
      </c>
      <c r="J1525" t="s">
        <v>39</v>
      </c>
      <c r="K1525" t="s">
        <v>28</v>
      </c>
      <c r="L1525">
        <v>0.03</v>
      </c>
      <c r="M1525">
        <v>0</v>
      </c>
      <c r="N1525">
        <v>0.86223702684315151</v>
      </c>
      <c r="O1525">
        <v>3.8640773301877118</v>
      </c>
      <c r="P1525">
        <v>0.9902907320146096</v>
      </c>
      <c r="Q1525">
        <v>3.262663060284809</v>
      </c>
      <c r="R1525">
        <v>-1.544335941753501</v>
      </c>
      <c r="S1525" s="2">
        <v>0</v>
      </c>
      <c r="T1525" s="2">
        <v>0</v>
      </c>
      <c r="U1525" s="2">
        <v>0</v>
      </c>
      <c r="V1525" s="2">
        <v>0</v>
      </c>
      <c r="W1525" s="2">
        <v>0</v>
      </c>
      <c r="X1525" s="2">
        <v>0</v>
      </c>
      <c r="Y1525" s="2">
        <v>0</v>
      </c>
      <c r="Z1525" s="2">
        <v>0</v>
      </c>
      <c r="AA1525" s="2">
        <v>0</v>
      </c>
      <c r="AB1525" s="2">
        <v>0</v>
      </c>
      <c r="AC1525" s="2">
        <v>0</v>
      </c>
      <c r="AD1525" s="2">
        <v>0</v>
      </c>
      <c r="AE1525" s="2">
        <v>0</v>
      </c>
      <c r="AF1525" s="2">
        <v>0</v>
      </c>
      <c r="AG1525" s="2">
        <v>0</v>
      </c>
      <c r="AH1525" s="2">
        <v>0</v>
      </c>
      <c r="AI1525" s="2">
        <v>0</v>
      </c>
      <c r="AJ1525" s="2">
        <v>0</v>
      </c>
      <c r="AK1525" s="2">
        <v>0</v>
      </c>
      <c r="AL1525" s="2">
        <v>0</v>
      </c>
      <c r="AM1525" s="2">
        <v>0</v>
      </c>
      <c r="AN1525" s="2">
        <v>0</v>
      </c>
      <c r="AO1525" s="2">
        <v>0</v>
      </c>
      <c r="AP1525" s="2">
        <v>0</v>
      </c>
      <c r="AQ1525" s="2">
        <v>0</v>
      </c>
      <c r="AR1525" s="2">
        <v>0</v>
      </c>
    </row>
    <row r="1526" spans="1:44" x14ac:dyDescent="0.25">
      <c r="A1526" t="s">
        <v>131</v>
      </c>
      <c r="B1526" t="s">
        <v>229</v>
      </c>
      <c r="C1526" t="s">
        <v>44</v>
      </c>
      <c r="D1526" t="s">
        <v>219</v>
      </c>
      <c r="E1526" t="s">
        <v>145</v>
      </c>
      <c r="F1526" t="s">
        <v>228</v>
      </c>
      <c r="G1526" t="s">
        <v>28</v>
      </c>
      <c r="H1526" t="s">
        <v>53</v>
      </c>
      <c r="I1526" t="s">
        <v>135</v>
      </c>
      <c r="J1526" t="s">
        <v>39</v>
      </c>
      <c r="K1526" t="s">
        <v>28</v>
      </c>
      <c r="L1526">
        <v>0.03</v>
      </c>
      <c r="M1526">
        <v>0</v>
      </c>
      <c r="N1526">
        <v>0.86223702684315151</v>
      </c>
      <c r="O1526">
        <v>3.8640773301877118</v>
      </c>
      <c r="P1526">
        <v>0.9902907320146096</v>
      </c>
      <c r="Q1526">
        <v>3.262663060284809</v>
      </c>
      <c r="R1526">
        <v>-1.544335941753501</v>
      </c>
      <c r="S1526" s="2">
        <v>2.7223419797226769E-2</v>
      </c>
      <c r="T1526" s="2">
        <v>3.9925750092988786E-2</v>
      </c>
      <c r="U1526" s="2">
        <v>5.4392823409224252E-2</v>
      </c>
      <c r="V1526" s="2">
        <v>7.1277301275620958E-2</v>
      </c>
      <c r="W1526" s="2">
        <v>8.9759291860397841E-2</v>
      </c>
      <c r="X1526" s="2">
        <v>0.10858660569977176</v>
      </c>
      <c r="Y1526" s="2">
        <v>0.12626136576633029</v>
      </c>
      <c r="Z1526" s="2">
        <v>0.14137074422057994</v>
      </c>
      <c r="AA1526" s="2">
        <v>0.15296125775705843</v>
      </c>
      <c r="AB1526" s="2">
        <v>0.16079232905624025</v>
      </c>
      <c r="AC1526" s="2">
        <v>0.16532961075628555</v>
      </c>
      <c r="AD1526" s="2">
        <v>0.16725683501909189</v>
      </c>
      <c r="AE1526" s="2">
        <v>0.16690623784081551</v>
      </c>
      <c r="AF1526" s="2">
        <v>0.16653690967769363</v>
      </c>
      <c r="AG1526" s="2">
        <v>0.16614934336518497</v>
      </c>
      <c r="AH1526" s="2">
        <v>0.1657440016327999</v>
      </c>
      <c r="AI1526" s="2">
        <v>0.16532131711611198</v>
      </c>
      <c r="AJ1526" s="2">
        <v>0.16488169201594388</v>
      </c>
      <c r="AK1526" s="2">
        <v>0.1644254973196729</v>
      </c>
      <c r="AL1526" s="2">
        <v>0.16395307146532084</v>
      </c>
      <c r="AM1526" s="2">
        <v>0.16346471827924325</v>
      </c>
      <c r="AN1526" s="2">
        <v>0.16296070394422207</v>
      </c>
      <c r="AO1526" s="2">
        <v>0.16244125264244222</v>
      </c>
      <c r="AP1526" s="2">
        <v>0.16190654034322322</v>
      </c>
      <c r="AQ1526" s="2">
        <v>0.16135668592656668</v>
      </c>
      <c r="AR1526" s="2">
        <v>3.4411853062800581</v>
      </c>
    </row>
    <row r="1527" spans="1:44" x14ac:dyDescent="0.25">
      <c r="A1527" t="s">
        <v>131</v>
      </c>
      <c r="B1527" t="s">
        <v>229</v>
      </c>
      <c r="C1527" t="s">
        <v>44</v>
      </c>
      <c r="D1527" t="s">
        <v>219</v>
      </c>
      <c r="E1527" t="s">
        <v>145</v>
      </c>
      <c r="F1527" t="s">
        <v>228</v>
      </c>
      <c r="G1527" t="s">
        <v>28</v>
      </c>
      <c r="H1527" t="s">
        <v>141</v>
      </c>
      <c r="I1527" t="s">
        <v>135</v>
      </c>
      <c r="J1527" t="s">
        <v>39</v>
      </c>
      <c r="K1527" t="s">
        <v>28</v>
      </c>
      <c r="L1527">
        <v>0.03</v>
      </c>
      <c r="M1527">
        <v>0</v>
      </c>
      <c r="N1527">
        <v>0.86223702684315151</v>
      </c>
      <c r="O1527">
        <v>3.8640773301877118</v>
      </c>
      <c r="P1527">
        <v>0.9902907320146096</v>
      </c>
      <c r="Q1527">
        <v>3.262663060284809</v>
      </c>
      <c r="R1527">
        <v>-1.544335941753501</v>
      </c>
      <c r="S1527" s="2">
        <v>2.2913044995999197E-2</v>
      </c>
      <c r="T1527" s="2">
        <v>3.3604172994932222E-2</v>
      </c>
      <c r="U1527" s="2">
        <v>4.5780626369430422E-2</v>
      </c>
      <c r="V1527" s="2">
        <v>5.9991728573647624E-2</v>
      </c>
      <c r="W1527" s="2">
        <v>7.5547403982501496E-2</v>
      </c>
      <c r="X1527" s="2">
        <v>9.1393726463974562E-2</v>
      </c>
      <c r="Y1527" s="2">
        <v>0.10626998285332798</v>
      </c>
      <c r="Z1527" s="2">
        <v>0.11898704305232144</v>
      </c>
      <c r="AA1527" s="2">
        <v>0.12874239194552414</v>
      </c>
      <c r="AB1527" s="2">
        <v>0.13533354362233552</v>
      </c>
      <c r="AC1527" s="2">
        <v>0.13915242238654033</v>
      </c>
      <c r="AD1527" s="2">
        <v>0.14077450280773562</v>
      </c>
      <c r="AE1527" s="2">
        <v>0.14047941684935303</v>
      </c>
      <c r="AF1527" s="2">
        <v>0.14016856564539212</v>
      </c>
      <c r="AG1527" s="2">
        <v>0.13984236399903066</v>
      </c>
      <c r="AH1527" s="2">
        <v>0.13950120137427324</v>
      </c>
      <c r="AI1527" s="2">
        <v>0.1391454419060609</v>
      </c>
      <c r="AJ1527" s="2">
        <v>0.13877542411341942</v>
      </c>
      <c r="AK1527" s="2">
        <v>0.13839146024405802</v>
      </c>
      <c r="AL1527" s="2">
        <v>0.13799383514997832</v>
      </c>
      <c r="AM1527" s="2">
        <v>0.13758280455169639</v>
      </c>
      <c r="AN1527" s="2">
        <v>0.13715859248638684</v>
      </c>
      <c r="AO1527" s="2">
        <v>0.13672138764072214</v>
      </c>
      <c r="AP1527" s="2">
        <v>0.13627133812221287</v>
      </c>
      <c r="AQ1527" s="2">
        <v>0.13580854398819359</v>
      </c>
      <c r="AR1527" s="2">
        <v>2.8963309661190482</v>
      </c>
    </row>
    <row r="1528" spans="1:44" x14ac:dyDescent="0.25">
      <c r="A1528" t="s">
        <v>131</v>
      </c>
      <c r="B1528" t="s">
        <v>225</v>
      </c>
      <c r="C1528" t="s">
        <v>44</v>
      </c>
      <c r="D1528" t="s">
        <v>219</v>
      </c>
      <c r="E1528" t="s">
        <v>145</v>
      </c>
      <c r="F1528" t="s">
        <v>224</v>
      </c>
      <c r="G1528" t="s">
        <v>28</v>
      </c>
      <c r="H1528" t="s">
        <v>54</v>
      </c>
      <c r="I1528" t="s">
        <v>135</v>
      </c>
      <c r="J1528" t="s">
        <v>39</v>
      </c>
      <c r="K1528" t="s">
        <v>28</v>
      </c>
      <c r="L1528">
        <v>0.05</v>
      </c>
      <c r="M1528">
        <v>0</v>
      </c>
      <c r="N1528">
        <v>0.8187234303314348</v>
      </c>
      <c r="O1528">
        <v>3.8748305332756865</v>
      </c>
      <c r="P1528">
        <v>1.1654284680543423</v>
      </c>
      <c r="Q1528">
        <v>3.4456295194441906</v>
      </c>
      <c r="R1528">
        <v>-1.5521646648731502</v>
      </c>
      <c r="S1528" s="2">
        <v>0</v>
      </c>
      <c r="T1528" s="2">
        <v>0</v>
      </c>
      <c r="U1528" s="2">
        <v>0</v>
      </c>
      <c r="V1528" s="2">
        <v>0</v>
      </c>
      <c r="W1528" s="2">
        <v>0</v>
      </c>
      <c r="X1528" s="2">
        <v>0</v>
      </c>
      <c r="Y1528" s="2">
        <v>0</v>
      </c>
      <c r="Z1528" s="2">
        <v>0</v>
      </c>
      <c r="AA1528" s="2">
        <v>0</v>
      </c>
      <c r="AB1528" s="2">
        <v>0</v>
      </c>
      <c r="AC1528" s="2">
        <v>0</v>
      </c>
      <c r="AD1528" s="2">
        <v>0</v>
      </c>
      <c r="AE1528" s="2">
        <v>0</v>
      </c>
      <c r="AF1528" s="2">
        <v>0</v>
      </c>
      <c r="AG1528" s="2">
        <v>0</v>
      </c>
      <c r="AH1528" s="2">
        <v>0</v>
      </c>
      <c r="AI1528" s="2">
        <v>0</v>
      </c>
      <c r="AJ1528" s="2">
        <v>0</v>
      </c>
      <c r="AK1528" s="2">
        <v>0</v>
      </c>
      <c r="AL1528" s="2">
        <v>0</v>
      </c>
      <c r="AM1528" s="2">
        <v>0</v>
      </c>
      <c r="AN1528" s="2">
        <v>0</v>
      </c>
      <c r="AO1528" s="2">
        <v>0</v>
      </c>
      <c r="AP1528" s="2">
        <v>0</v>
      </c>
      <c r="AQ1528" s="2">
        <v>0</v>
      </c>
      <c r="AR1528" s="2">
        <v>0</v>
      </c>
    </row>
    <row r="1529" spans="1:44" x14ac:dyDescent="0.25">
      <c r="A1529" t="s">
        <v>131</v>
      </c>
      <c r="B1529" t="s">
        <v>225</v>
      </c>
      <c r="C1529" t="s">
        <v>44</v>
      </c>
      <c r="D1529" t="s">
        <v>219</v>
      </c>
      <c r="E1529" t="s">
        <v>145</v>
      </c>
      <c r="F1529" t="s">
        <v>224</v>
      </c>
      <c r="G1529" t="s">
        <v>28</v>
      </c>
      <c r="H1529" t="s">
        <v>142</v>
      </c>
      <c r="I1529" t="s">
        <v>135</v>
      </c>
      <c r="J1529" t="s">
        <v>39</v>
      </c>
      <c r="K1529" t="s">
        <v>28</v>
      </c>
      <c r="L1529">
        <v>0.05</v>
      </c>
      <c r="M1529">
        <v>0</v>
      </c>
      <c r="N1529">
        <v>0.8187234303314348</v>
      </c>
      <c r="O1529">
        <v>3.8748305332756865</v>
      </c>
      <c r="P1529">
        <v>1.1654284680543423</v>
      </c>
      <c r="Q1529">
        <v>3.4456295194441906</v>
      </c>
      <c r="R1529">
        <v>-1.5521646648731502</v>
      </c>
      <c r="S1529" s="2">
        <v>0</v>
      </c>
      <c r="T1529" s="2">
        <v>0</v>
      </c>
      <c r="U1529" s="2">
        <v>0</v>
      </c>
      <c r="V1529" s="2">
        <v>0</v>
      </c>
      <c r="W1529" s="2">
        <v>0</v>
      </c>
      <c r="X1529" s="2">
        <v>0</v>
      </c>
      <c r="Y1529" s="2">
        <v>0</v>
      </c>
      <c r="Z1529" s="2">
        <v>0</v>
      </c>
      <c r="AA1529" s="2">
        <v>0</v>
      </c>
      <c r="AB1529" s="2">
        <v>0</v>
      </c>
      <c r="AC1529" s="2">
        <v>0</v>
      </c>
      <c r="AD1529" s="2">
        <v>0</v>
      </c>
      <c r="AE1529" s="2">
        <v>0</v>
      </c>
      <c r="AF1529" s="2">
        <v>0</v>
      </c>
      <c r="AG1529" s="2">
        <v>0</v>
      </c>
      <c r="AH1529" s="2">
        <v>0</v>
      </c>
      <c r="AI1529" s="2">
        <v>0</v>
      </c>
      <c r="AJ1529" s="2">
        <v>0</v>
      </c>
      <c r="AK1529" s="2">
        <v>0</v>
      </c>
      <c r="AL1529" s="2">
        <v>0</v>
      </c>
      <c r="AM1529" s="2">
        <v>0</v>
      </c>
      <c r="AN1529" s="2">
        <v>0</v>
      </c>
      <c r="AO1529" s="2">
        <v>0</v>
      </c>
      <c r="AP1529" s="2">
        <v>0</v>
      </c>
      <c r="AQ1529" s="2">
        <v>0</v>
      </c>
      <c r="AR1529" s="2">
        <v>0</v>
      </c>
    </row>
    <row r="1530" spans="1:44" x14ac:dyDescent="0.25">
      <c r="A1530" t="s">
        <v>131</v>
      </c>
      <c r="B1530" t="s">
        <v>225</v>
      </c>
      <c r="C1530" t="s">
        <v>44</v>
      </c>
      <c r="D1530" t="s">
        <v>219</v>
      </c>
      <c r="E1530" t="s">
        <v>145</v>
      </c>
      <c r="F1530" t="s">
        <v>224</v>
      </c>
      <c r="G1530" t="s">
        <v>28</v>
      </c>
      <c r="H1530" t="s">
        <v>53</v>
      </c>
      <c r="I1530" t="s">
        <v>135</v>
      </c>
      <c r="J1530" t="s">
        <v>39</v>
      </c>
      <c r="K1530" t="s">
        <v>28</v>
      </c>
      <c r="L1530">
        <v>0.05</v>
      </c>
      <c r="M1530">
        <v>0</v>
      </c>
      <c r="N1530">
        <v>0.8187234303314348</v>
      </c>
      <c r="O1530">
        <v>3.8748305332756865</v>
      </c>
      <c r="P1530">
        <v>1.1654284680543423</v>
      </c>
      <c r="Q1530">
        <v>3.4456295194441906</v>
      </c>
      <c r="R1530">
        <v>-1.5521646648731502</v>
      </c>
      <c r="S1530" s="2">
        <v>3.6637722856293457E-2</v>
      </c>
      <c r="T1530" s="2">
        <v>5.373272636693386E-2</v>
      </c>
      <c r="U1530" s="2">
        <v>7.3202749848550561E-2</v>
      </c>
      <c r="V1530" s="2">
        <v>9.592615584419556E-2</v>
      </c>
      <c r="W1530" s="2">
        <v>0.12079952053978973</v>
      </c>
      <c r="X1530" s="2">
        <v>0.14613762690972157</v>
      </c>
      <c r="Y1530" s="2">
        <v>0.16992460759375821</v>
      </c>
      <c r="Z1530" s="2">
        <v>0.19025905581741762</v>
      </c>
      <c r="AA1530" s="2">
        <v>0.20585775818011176</v>
      </c>
      <c r="AB1530" s="2">
        <v>0.21639694179717242</v>
      </c>
      <c r="AC1530" s="2">
        <v>0.22250328959202686</v>
      </c>
      <c r="AD1530" s="2">
        <v>0.22509697947186391</v>
      </c>
      <c r="AE1530" s="2">
        <v>0.22462514006492804</v>
      </c>
      <c r="AF1530" s="2">
        <v>0.22412809219275509</v>
      </c>
      <c r="AG1530" s="2">
        <v>0.22360649912135214</v>
      </c>
      <c r="AH1530" s="2">
        <v>0.22306098359964951</v>
      </c>
      <c r="AI1530" s="2">
        <v>0.22249212787566597</v>
      </c>
      <c r="AJ1530" s="2">
        <v>0.22190047323783571</v>
      </c>
      <c r="AK1530" s="2">
        <v>0.22128651896702853</v>
      </c>
      <c r="AL1530" s="2">
        <v>0.22065072053865975</v>
      </c>
      <c r="AM1530" s="2">
        <v>0.21999348684719969</v>
      </c>
      <c r="AN1530" s="2">
        <v>0.21931517612578225</v>
      </c>
      <c r="AO1530" s="2">
        <v>0.21861609008245239</v>
      </c>
      <c r="AP1530" s="2">
        <v>0.21789646553959349</v>
      </c>
      <c r="AQ1530" s="2">
        <v>0.21715646248785253</v>
      </c>
      <c r="AR1530" s="2">
        <v>4.6312033714985912</v>
      </c>
    </row>
    <row r="1531" spans="1:44" x14ac:dyDescent="0.25">
      <c r="A1531" t="s">
        <v>131</v>
      </c>
      <c r="B1531" t="s">
        <v>225</v>
      </c>
      <c r="C1531" t="s">
        <v>44</v>
      </c>
      <c r="D1531" t="s">
        <v>219</v>
      </c>
      <c r="E1531" t="s">
        <v>145</v>
      </c>
      <c r="F1531" t="s">
        <v>224</v>
      </c>
      <c r="G1531" t="s">
        <v>28</v>
      </c>
      <c r="H1531" t="s">
        <v>141</v>
      </c>
      <c r="I1531" t="s">
        <v>135</v>
      </c>
      <c r="J1531" t="s">
        <v>39</v>
      </c>
      <c r="K1531" t="s">
        <v>28</v>
      </c>
      <c r="L1531">
        <v>0.05</v>
      </c>
      <c r="M1531">
        <v>0</v>
      </c>
      <c r="N1531">
        <v>0.8187234303314348</v>
      </c>
      <c r="O1531">
        <v>3.8748305332756865</v>
      </c>
      <c r="P1531">
        <v>1.1654284680543423</v>
      </c>
      <c r="Q1531">
        <v>3.4456295194441906</v>
      </c>
      <c r="R1531">
        <v>-1.5521646648731502</v>
      </c>
      <c r="S1531" s="2">
        <v>3.083675007071366E-2</v>
      </c>
      <c r="T1531" s="2">
        <v>4.5225044692169328E-2</v>
      </c>
      <c r="U1531" s="2">
        <v>6.1612314455863362E-2</v>
      </c>
      <c r="V1531" s="2">
        <v>8.0737847835531229E-2</v>
      </c>
      <c r="W1531" s="2">
        <v>0.10167292978765631</v>
      </c>
      <c r="X1531" s="2">
        <v>0.12299916931568231</v>
      </c>
      <c r="Y1531" s="2">
        <v>0.14301987805807984</v>
      </c>
      <c r="Z1531" s="2">
        <v>0.16013470531299312</v>
      </c>
      <c r="AA1531" s="2">
        <v>0.17326361313492733</v>
      </c>
      <c r="AB1531" s="2">
        <v>0.18213409267928679</v>
      </c>
      <c r="AC1531" s="2">
        <v>0.18727360207328925</v>
      </c>
      <c r="AD1531" s="2">
        <v>0.18945662438881877</v>
      </c>
      <c r="AE1531" s="2">
        <v>0.1890594928879811</v>
      </c>
      <c r="AF1531" s="2">
        <v>0.18864114426223555</v>
      </c>
      <c r="AG1531" s="2">
        <v>0.18820213676047134</v>
      </c>
      <c r="AH1531" s="2">
        <v>0.187742994529705</v>
      </c>
      <c r="AI1531" s="2">
        <v>0.18726420762868551</v>
      </c>
      <c r="AJ1531" s="2">
        <v>0.18676623164184505</v>
      </c>
      <c r="AK1531" s="2">
        <v>0.18624948679724893</v>
      </c>
      <c r="AL1531" s="2">
        <v>0.18571435645337186</v>
      </c>
      <c r="AM1531" s="2">
        <v>0.18516118476305965</v>
      </c>
      <c r="AN1531" s="2">
        <v>0.18459027323920005</v>
      </c>
      <c r="AO1531" s="2">
        <v>0.18400187581939742</v>
      </c>
      <c r="AP1531" s="2">
        <v>0.18339619182915784</v>
      </c>
      <c r="AQ1531" s="2">
        <v>0.18277335592727589</v>
      </c>
      <c r="AR1531" s="2">
        <v>3.8979295043446474</v>
      </c>
    </row>
    <row r="1532" spans="1:44" x14ac:dyDescent="0.25">
      <c r="A1532" t="s">
        <v>131</v>
      </c>
      <c r="B1532" t="s">
        <v>218</v>
      </c>
      <c r="C1532" t="s">
        <v>44</v>
      </c>
      <c r="D1532" t="s">
        <v>219</v>
      </c>
      <c r="E1532" t="s">
        <v>134</v>
      </c>
      <c r="F1532" t="s">
        <v>220</v>
      </c>
      <c r="G1532" t="s">
        <v>28</v>
      </c>
      <c r="H1532" t="s">
        <v>54</v>
      </c>
      <c r="I1532" t="s">
        <v>135</v>
      </c>
      <c r="J1532" t="s">
        <v>39</v>
      </c>
      <c r="K1532" t="s">
        <v>28</v>
      </c>
      <c r="L1532">
        <v>0.83199999999999996</v>
      </c>
      <c r="M1532">
        <v>1</v>
      </c>
      <c r="N1532">
        <v>6.8929062695560539</v>
      </c>
      <c r="O1532">
        <v>3.766303314129376</v>
      </c>
      <c r="P1532">
        <v>-1.8033881638395048</v>
      </c>
      <c r="Q1532">
        <v>0.39780112308435872</v>
      </c>
      <c r="R1532">
        <v>-1.4731529004071653</v>
      </c>
      <c r="S1532" s="2">
        <v>0</v>
      </c>
      <c r="T1532" s="2">
        <v>0</v>
      </c>
      <c r="U1532" s="2">
        <v>0</v>
      </c>
      <c r="V1532" s="2">
        <v>0</v>
      </c>
      <c r="W1532" s="2">
        <v>0</v>
      </c>
      <c r="X1532" s="2">
        <v>0</v>
      </c>
      <c r="Y1532" s="2">
        <v>0</v>
      </c>
      <c r="Z1532" s="2">
        <v>0</v>
      </c>
      <c r="AA1532" s="2">
        <v>0</v>
      </c>
      <c r="AB1532" s="2">
        <v>0</v>
      </c>
      <c r="AC1532" s="2">
        <v>0</v>
      </c>
      <c r="AD1532" s="2">
        <v>0</v>
      </c>
      <c r="AE1532" s="2">
        <v>0</v>
      </c>
      <c r="AF1532" s="2">
        <v>0</v>
      </c>
      <c r="AG1532" s="2">
        <v>0</v>
      </c>
      <c r="AH1532" s="2">
        <v>0</v>
      </c>
      <c r="AI1532" s="2">
        <v>0</v>
      </c>
      <c r="AJ1532" s="2">
        <v>0</v>
      </c>
      <c r="AK1532" s="2">
        <v>0</v>
      </c>
      <c r="AL1532" s="2">
        <v>0</v>
      </c>
      <c r="AM1532" s="2">
        <v>0</v>
      </c>
      <c r="AN1532" s="2">
        <v>0</v>
      </c>
      <c r="AO1532" s="2">
        <v>0</v>
      </c>
      <c r="AP1532" s="2">
        <v>0</v>
      </c>
      <c r="AQ1532" s="2">
        <v>0</v>
      </c>
      <c r="AR1532" s="2">
        <v>0</v>
      </c>
    </row>
    <row r="1533" spans="1:44" x14ac:dyDescent="0.25">
      <c r="A1533" t="s">
        <v>131</v>
      </c>
      <c r="B1533" t="s">
        <v>218</v>
      </c>
      <c r="C1533" t="s">
        <v>44</v>
      </c>
      <c r="D1533" t="s">
        <v>219</v>
      </c>
      <c r="E1533" t="s">
        <v>134</v>
      </c>
      <c r="F1533" t="s">
        <v>220</v>
      </c>
      <c r="G1533" t="s">
        <v>28</v>
      </c>
      <c r="H1533" t="s">
        <v>142</v>
      </c>
      <c r="I1533" t="s">
        <v>135</v>
      </c>
      <c r="J1533" t="s">
        <v>39</v>
      </c>
      <c r="K1533" t="s">
        <v>28</v>
      </c>
      <c r="L1533">
        <v>0.83199999999999996</v>
      </c>
      <c r="M1533">
        <v>1</v>
      </c>
      <c r="N1533">
        <v>6.8929062695560539</v>
      </c>
      <c r="O1533">
        <v>3.766303314129376</v>
      </c>
      <c r="P1533">
        <v>-1.8033881638395048</v>
      </c>
      <c r="Q1533">
        <v>0.39780112308435872</v>
      </c>
      <c r="R1533">
        <v>-1.4731529004071653</v>
      </c>
      <c r="S1533" s="2">
        <v>0</v>
      </c>
      <c r="T1533" s="2">
        <v>0</v>
      </c>
      <c r="U1533" s="2">
        <v>0</v>
      </c>
      <c r="V1533" s="2">
        <v>0</v>
      </c>
      <c r="W1533" s="2">
        <v>0</v>
      </c>
      <c r="X1533" s="2">
        <v>0</v>
      </c>
      <c r="Y1533" s="2">
        <v>0</v>
      </c>
      <c r="Z1533" s="2">
        <v>0</v>
      </c>
      <c r="AA1533" s="2">
        <v>0</v>
      </c>
      <c r="AB1533" s="2">
        <v>0</v>
      </c>
      <c r="AC1533" s="2">
        <v>0</v>
      </c>
      <c r="AD1533" s="2">
        <v>0</v>
      </c>
      <c r="AE1533" s="2">
        <v>0</v>
      </c>
      <c r="AF1533" s="2">
        <v>0</v>
      </c>
      <c r="AG1533" s="2">
        <v>0</v>
      </c>
      <c r="AH1533" s="2">
        <v>0</v>
      </c>
      <c r="AI1533" s="2">
        <v>0</v>
      </c>
      <c r="AJ1533" s="2">
        <v>0</v>
      </c>
      <c r="AK1533" s="2">
        <v>0</v>
      </c>
      <c r="AL1533" s="2">
        <v>0</v>
      </c>
      <c r="AM1533" s="2">
        <v>0</v>
      </c>
      <c r="AN1533" s="2">
        <v>0</v>
      </c>
      <c r="AO1533" s="2">
        <v>0</v>
      </c>
      <c r="AP1533" s="2">
        <v>0</v>
      </c>
      <c r="AQ1533" s="2">
        <v>0</v>
      </c>
      <c r="AR1533" s="2">
        <v>0</v>
      </c>
    </row>
    <row r="1534" spans="1:44" x14ac:dyDescent="0.25">
      <c r="A1534" t="s">
        <v>131</v>
      </c>
      <c r="B1534" t="s">
        <v>221</v>
      </c>
      <c r="C1534" t="s">
        <v>44</v>
      </c>
      <c r="D1534" t="s">
        <v>219</v>
      </c>
      <c r="E1534" t="s">
        <v>134</v>
      </c>
      <c r="F1534" t="s">
        <v>222</v>
      </c>
      <c r="G1534" t="s">
        <v>28</v>
      </c>
      <c r="H1534" t="s">
        <v>54</v>
      </c>
      <c r="I1534" t="s">
        <v>135</v>
      </c>
      <c r="J1534" t="s">
        <v>39</v>
      </c>
      <c r="K1534" t="s">
        <v>28</v>
      </c>
      <c r="L1534">
        <v>0.92</v>
      </c>
      <c r="M1534">
        <v>1</v>
      </c>
      <c r="N1534">
        <v>2.4003812396329649</v>
      </c>
      <c r="O1534">
        <v>3.7664803239001072</v>
      </c>
      <c r="P1534">
        <v>-1.0589434871448775</v>
      </c>
      <c r="Q1534">
        <v>1.1423746693328465</v>
      </c>
      <c r="R1534">
        <v>-1.4732817699610261</v>
      </c>
      <c r="S1534" s="2">
        <v>0</v>
      </c>
      <c r="T1534" s="2">
        <v>0</v>
      </c>
      <c r="U1534" s="2">
        <v>0</v>
      </c>
      <c r="V1534" s="2">
        <v>0</v>
      </c>
      <c r="W1534" s="2">
        <v>0</v>
      </c>
      <c r="X1534" s="2">
        <v>0</v>
      </c>
      <c r="Y1534" s="2">
        <v>0</v>
      </c>
      <c r="Z1534" s="2">
        <v>0</v>
      </c>
      <c r="AA1534" s="2">
        <v>0</v>
      </c>
      <c r="AB1534" s="2">
        <v>0</v>
      </c>
      <c r="AC1534" s="2">
        <v>0</v>
      </c>
      <c r="AD1534" s="2">
        <v>0</v>
      </c>
      <c r="AE1534" s="2">
        <v>0</v>
      </c>
      <c r="AF1534" s="2">
        <v>0</v>
      </c>
      <c r="AG1534" s="2">
        <v>0</v>
      </c>
      <c r="AH1534" s="2">
        <v>0</v>
      </c>
      <c r="AI1534" s="2">
        <v>0</v>
      </c>
      <c r="AJ1534" s="2">
        <v>0</v>
      </c>
      <c r="AK1534" s="2">
        <v>0</v>
      </c>
      <c r="AL1534" s="2">
        <v>0</v>
      </c>
      <c r="AM1534" s="2">
        <v>0</v>
      </c>
      <c r="AN1534" s="2">
        <v>0</v>
      </c>
      <c r="AO1534" s="2">
        <v>0</v>
      </c>
      <c r="AP1534" s="2">
        <v>0</v>
      </c>
      <c r="AQ1534" s="2">
        <v>0</v>
      </c>
      <c r="AR1534" s="2">
        <v>0</v>
      </c>
    </row>
    <row r="1535" spans="1:44" x14ac:dyDescent="0.25">
      <c r="A1535" t="s">
        <v>131</v>
      </c>
      <c r="B1535" t="s">
        <v>221</v>
      </c>
      <c r="C1535" t="s">
        <v>44</v>
      </c>
      <c r="D1535" t="s">
        <v>219</v>
      </c>
      <c r="E1535" t="s">
        <v>134</v>
      </c>
      <c r="F1535" t="s">
        <v>222</v>
      </c>
      <c r="G1535" t="s">
        <v>28</v>
      </c>
      <c r="H1535" t="s">
        <v>142</v>
      </c>
      <c r="I1535" t="s">
        <v>135</v>
      </c>
      <c r="J1535" t="s">
        <v>39</v>
      </c>
      <c r="K1535" t="s">
        <v>28</v>
      </c>
      <c r="L1535">
        <v>0.92</v>
      </c>
      <c r="M1535">
        <v>1</v>
      </c>
      <c r="N1535">
        <v>2.4003812396329649</v>
      </c>
      <c r="O1535">
        <v>3.7664803239001072</v>
      </c>
      <c r="P1535">
        <v>-1.0589434871448775</v>
      </c>
      <c r="Q1535">
        <v>1.1423746693328465</v>
      </c>
      <c r="R1535">
        <v>-1.4732817699610261</v>
      </c>
      <c r="S1535" s="2">
        <v>0</v>
      </c>
      <c r="T1535" s="2">
        <v>0</v>
      </c>
      <c r="U1535" s="2">
        <v>0</v>
      </c>
      <c r="V1535" s="2">
        <v>0</v>
      </c>
      <c r="W1535" s="2">
        <v>0</v>
      </c>
      <c r="X1535" s="2">
        <v>0</v>
      </c>
      <c r="Y1535" s="2">
        <v>0</v>
      </c>
      <c r="Z1535" s="2">
        <v>0</v>
      </c>
      <c r="AA1535" s="2">
        <v>0</v>
      </c>
      <c r="AB1535" s="2">
        <v>0</v>
      </c>
      <c r="AC1535" s="2">
        <v>0</v>
      </c>
      <c r="AD1535" s="2">
        <v>0</v>
      </c>
      <c r="AE1535" s="2">
        <v>0</v>
      </c>
      <c r="AF1535" s="2">
        <v>0</v>
      </c>
      <c r="AG1535" s="2">
        <v>0</v>
      </c>
      <c r="AH1535" s="2">
        <v>0</v>
      </c>
      <c r="AI1535" s="2">
        <v>0</v>
      </c>
      <c r="AJ1535" s="2">
        <v>0</v>
      </c>
      <c r="AK1535" s="2">
        <v>0</v>
      </c>
      <c r="AL1535" s="2">
        <v>0</v>
      </c>
      <c r="AM1535" s="2">
        <v>0</v>
      </c>
      <c r="AN1535" s="2">
        <v>0</v>
      </c>
      <c r="AO1535" s="2">
        <v>0</v>
      </c>
      <c r="AP1535" s="2">
        <v>0</v>
      </c>
      <c r="AQ1535" s="2">
        <v>0</v>
      </c>
      <c r="AR1535" s="2">
        <v>0</v>
      </c>
    </row>
    <row r="1536" spans="1:44" x14ac:dyDescent="0.25">
      <c r="A1536" t="s">
        <v>131</v>
      </c>
      <c r="B1536" t="s">
        <v>231</v>
      </c>
      <c r="C1536" t="s">
        <v>44</v>
      </c>
      <c r="D1536" t="s">
        <v>219</v>
      </c>
      <c r="E1536" t="s">
        <v>145</v>
      </c>
      <c r="F1536" t="s">
        <v>232</v>
      </c>
      <c r="G1536" t="s">
        <v>28</v>
      </c>
      <c r="H1536" t="s">
        <v>52</v>
      </c>
      <c r="I1536" t="s">
        <v>135</v>
      </c>
      <c r="J1536" t="s">
        <v>39</v>
      </c>
      <c r="K1536" t="s">
        <v>28</v>
      </c>
      <c r="L1536">
        <v>2.9999999999999985E-2</v>
      </c>
      <c r="M1536">
        <v>1</v>
      </c>
      <c r="N1536">
        <v>1.3425392982815614</v>
      </c>
      <c r="O1536">
        <v>3.8641499143085554</v>
      </c>
      <c r="P1536">
        <v>-0.17696193753835973</v>
      </c>
      <c r="Q1536">
        <v>2.0954632346128963</v>
      </c>
      <c r="R1536">
        <v>-1.5443887856345579</v>
      </c>
      <c r="S1536" s="2">
        <v>0</v>
      </c>
      <c r="T1536" s="2">
        <v>0</v>
      </c>
      <c r="U1536" s="2">
        <v>3.5712829362294196E-2</v>
      </c>
      <c r="V1536" s="2">
        <v>6.713803019355441E-2</v>
      </c>
      <c r="W1536" s="2">
        <v>0.11476503074716184</v>
      </c>
      <c r="X1536" s="2">
        <v>0.18285920468405847</v>
      </c>
      <c r="Y1536" s="2">
        <v>0.27530431844095493</v>
      </c>
      <c r="Z1536" s="2">
        <v>0.39488144851304191</v>
      </c>
      <c r="AA1536" s="2">
        <v>0.54240810918935733</v>
      </c>
      <c r="AB1536" s="2">
        <v>0.71588242262694268</v>
      </c>
      <c r="AC1536" s="2">
        <v>0.90987134310651341</v>
      </c>
      <c r="AD1536" s="2">
        <v>1.1154423583464392</v>
      </c>
      <c r="AE1536" s="2">
        <v>1.3209034043284824</v>
      </c>
      <c r="AF1536" s="2">
        <v>1.5134328543337068</v>
      </c>
      <c r="AG1536" s="2">
        <v>1.6813571681560031</v>
      </c>
      <c r="AH1536" s="2">
        <v>1.8164755033069848</v>
      </c>
      <c r="AI1536" s="2">
        <v>1.9156380006228084</v>
      </c>
      <c r="AJ1536" s="2">
        <v>1.9863884315452462</v>
      </c>
      <c r="AK1536" s="2">
        <v>2.0221610852380607</v>
      </c>
      <c r="AL1536" s="2">
        <v>2.0492710470860795</v>
      </c>
      <c r="AM1536" s="2">
        <v>2.0513725464405832</v>
      </c>
      <c r="AN1536" s="2">
        <v>2.045047504677695</v>
      </c>
      <c r="AO1536" s="2">
        <v>2.0385287393385978</v>
      </c>
      <c r="AP1536" s="2">
        <v>2.0318184587201946</v>
      </c>
      <c r="AQ1536" s="2">
        <v>2.0249181546867487</v>
      </c>
      <c r="AR1536" s="2">
        <v>28.851577993691514</v>
      </c>
    </row>
    <row r="1537" spans="1:44" x14ac:dyDescent="0.25">
      <c r="A1537" t="s">
        <v>131</v>
      </c>
      <c r="B1537" t="s">
        <v>231</v>
      </c>
      <c r="C1537" t="s">
        <v>44</v>
      </c>
      <c r="D1537" t="s">
        <v>219</v>
      </c>
      <c r="E1537" t="s">
        <v>145</v>
      </c>
      <c r="F1537" t="s">
        <v>232</v>
      </c>
      <c r="G1537" t="s">
        <v>28</v>
      </c>
      <c r="H1537" t="s">
        <v>138</v>
      </c>
      <c r="I1537" t="s">
        <v>135</v>
      </c>
      <c r="J1537" t="s">
        <v>39</v>
      </c>
      <c r="K1537" t="s">
        <v>28</v>
      </c>
      <c r="L1537">
        <v>2.9999999999999985E-2</v>
      </c>
      <c r="M1537">
        <v>1</v>
      </c>
      <c r="N1537">
        <v>1.3425392982815614</v>
      </c>
      <c r="O1537">
        <v>3.8641499143085554</v>
      </c>
      <c r="P1537">
        <v>-0.17696193753835973</v>
      </c>
      <c r="Q1537">
        <v>2.0954632346128963</v>
      </c>
      <c r="R1537">
        <v>-1.5443887856345579</v>
      </c>
      <c r="S1537" s="2">
        <v>0</v>
      </c>
      <c r="T1537" s="2">
        <v>0</v>
      </c>
      <c r="U1537" s="2">
        <v>1.2388175682520743E-2</v>
      </c>
      <c r="V1537" s="2">
        <v>2.3289045641795784E-2</v>
      </c>
      <c r="W1537" s="2">
        <v>3.9810045535255349E-2</v>
      </c>
      <c r="X1537" s="2">
        <v>6.3430761248612924E-2</v>
      </c>
      <c r="Y1537" s="2">
        <v>9.5498405584297619E-2</v>
      </c>
      <c r="Z1537" s="2">
        <v>0.13697768687889753</v>
      </c>
      <c r="AA1537" s="2">
        <v>0.18815218699406888</v>
      </c>
      <c r="AB1537" s="2">
        <v>0.24832748840937582</v>
      </c>
      <c r="AC1537" s="2">
        <v>0.31561895957745828</v>
      </c>
      <c r="AD1537" s="2">
        <v>0.38692806326654078</v>
      </c>
      <c r="AE1537" s="2">
        <v>0.45819902048247502</v>
      </c>
      <c r="AF1537" s="2">
        <v>0.52498422606022177</v>
      </c>
      <c r="AG1537" s="2">
        <v>0.58323432660234575</v>
      </c>
      <c r="AH1537" s="2">
        <v>0.63010458873697683</v>
      </c>
      <c r="AI1537" s="2">
        <v>0.66450237966537951</v>
      </c>
      <c r="AJ1537" s="2">
        <v>0.68904450594133893</v>
      </c>
      <c r="AK1537" s="2">
        <v>0.70145343367094748</v>
      </c>
      <c r="AL1537" s="2">
        <v>0.71085742030870969</v>
      </c>
      <c r="AM1537" s="2">
        <v>0.7115863948443365</v>
      </c>
      <c r="AN1537" s="2">
        <v>0.70939234497606496</v>
      </c>
      <c r="AO1537" s="2">
        <v>0.70713109568005927</v>
      </c>
      <c r="AP1537" s="2">
        <v>0.70480341297711557</v>
      </c>
      <c r="AQ1537" s="2">
        <v>0.70240981436968108</v>
      </c>
      <c r="AR1537" s="2">
        <v>10.008123783134476</v>
      </c>
    </row>
    <row r="1538" spans="1:44" x14ac:dyDescent="0.25">
      <c r="A1538" t="s">
        <v>131</v>
      </c>
      <c r="B1538" t="s">
        <v>227</v>
      </c>
      <c r="C1538" t="s">
        <v>44</v>
      </c>
      <c r="D1538" t="s">
        <v>219</v>
      </c>
      <c r="E1538" t="s">
        <v>145</v>
      </c>
      <c r="F1538" t="s">
        <v>228</v>
      </c>
      <c r="G1538" t="s">
        <v>28</v>
      </c>
      <c r="H1538" t="s">
        <v>52</v>
      </c>
      <c r="I1538" t="s">
        <v>135</v>
      </c>
      <c r="J1538" t="s">
        <v>39</v>
      </c>
      <c r="K1538" t="s">
        <v>28</v>
      </c>
      <c r="L1538">
        <v>0.03</v>
      </c>
      <c r="M1538">
        <v>0</v>
      </c>
      <c r="N1538">
        <v>0.86223702684315151</v>
      </c>
      <c r="O1538">
        <v>3.8640773301877118</v>
      </c>
      <c r="P1538">
        <v>0.9902907320146096</v>
      </c>
      <c r="Q1538">
        <v>3.262663060284809</v>
      </c>
      <c r="R1538">
        <v>-1.544335941753501</v>
      </c>
      <c r="S1538" s="2">
        <v>0.73385354707254391</v>
      </c>
      <c r="T1538" s="2">
        <v>1.0762664479154271</v>
      </c>
      <c r="U1538" s="2">
        <v>1.4662509960712569</v>
      </c>
      <c r="V1538" s="2">
        <v>1.9214007922767029</v>
      </c>
      <c r="W1538" s="2">
        <v>2.4196142587928207</v>
      </c>
      <c r="X1538" s="2">
        <v>2.9271365005164727</v>
      </c>
      <c r="Y1538" s="2">
        <v>3.4035896965187411</v>
      </c>
      <c r="Z1538" s="2">
        <v>3.8108886712729024</v>
      </c>
      <c r="AA1538" s="2">
        <v>4.1233306618270618</v>
      </c>
      <c r="AB1538" s="2">
        <v>4.3344304976701702</v>
      </c>
      <c r="AC1538" s="2">
        <v>4.4567406370445326</v>
      </c>
      <c r="AD1538" s="2">
        <v>4.5086922423828444</v>
      </c>
      <c r="AE1538" s="2">
        <v>4.4992412995994542</v>
      </c>
      <c r="AF1538" s="2">
        <v>4.4892854312860857</v>
      </c>
      <c r="AG1538" s="2">
        <v>4.4788379226601007</v>
      </c>
      <c r="AH1538" s="2">
        <v>4.4679112473818687</v>
      </c>
      <c r="AI1538" s="2">
        <v>4.45651706787854</v>
      </c>
      <c r="AJ1538" s="2">
        <v>4.4446662261568344</v>
      </c>
      <c r="AK1538" s="2">
        <v>4.4323687228120034</v>
      </c>
      <c r="AL1538" s="2">
        <v>4.4196336810161014</v>
      </c>
      <c r="AM1538" s="2">
        <v>4.4064692909249015</v>
      </c>
      <c r="AN1538" s="2">
        <v>4.3928827279476668</v>
      </c>
      <c r="AO1538" s="2">
        <v>4.3788800352961941</v>
      </c>
      <c r="AP1538" s="2">
        <v>4.364465956522551</v>
      </c>
      <c r="AQ1538" s="2">
        <v>4.3496436962392195</v>
      </c>
      <c r="AR1538" s="2">
        <v>92.762998255083005</v>
      </c>
    </row>
    <row r="1539" spans="1:44" x14ac:dyDescent="0.25">
      <c r="A1539" t="s">
        <v>131</v>
      </c>
      <c r="B1539" t="s">
        <v>227</v>
      </c>
      <c r="C1539" t="s">
        <v>44</v>
      </c>
      <c r="D1539" t="s">
        <v>219</v>
      </c>
      <c r="E1539" t="s">
        <v>145</v>
      </c>
      <c r="F1539" t="s">
        <v>228</v>
      </c>
      <c r="G1539" t="s">
        <v>28</v>
      </c>
      <c r="H1539" t="s">
        <v>138</v>
      </c>
      <c r="I1539" t="s">
        <v>135</v>
      </c>
      <c r="J1539" t="s">
        <v>39</v>
      </c>
      <c r="K1539" t="s">
        <v>28</v>
      </c>
      <c r="L1539">
        <v>0.03</v>
      </c>
      <c r="M1539">
        <v>0</v>
      </c>
      <c r="N1539">
        <v>0.86223702684315151</v>
      </c>
      <c r="O1539">
        <v>3.8640773301877118</v>
      </c>
      <c r="P1539">
        <v>0.9902907320146096</v>
      </c>
      <c r="Q1539">
        <v>3.262663060284809</v>
      </c>
      <c r="R1539">
        <v>-1.544335941753501</v>
      </c>
      <c r="S1539" s="2">
        <v>0.25456136712523042</v>
      </c>
      <c r="T1539" s="2">
        <v>0.37333860341112884</v>
      </c>
      <c r="U1539" s="2">
        <v>0.50861763848874997</v>
      </c>
      <c r="V1539" s="2">
        <v>0.66650139449296375</v>
      </c>
      <c r="W1539" s="2">
        <v>0.83932320841274577</v>
      </c>
      <c r="X1539" s="2">
        <v>1.0153740788010073</v>
      </c>
      <c r="Y1539" s="2">
        <v>1.1806476234058589</v>
      </c>
      <c r="Z1539" s="2">
        <v>1.3219327398377818</v>
      </c>
      <c r="AA1539" s="2">
        <v>1.4303135749241225</v>
      </c>
      <c r="AB1539" s="2">
        <v>1.5035405328457703</v>
      </c>
      <c r="AC1539" s="2">
        <v>1.5459678487817898</v>
      </c>
      <c r="AD1539" s="2">
        <v>1.5639889808346727</v>
      </c>
      <c r="AE1539" s="2">
        <v>1.5607106088418423</v>
      </c>
      <c r="AF1539" s="2">
        <v>1.5572570867339501</v>
      </c>
      <c r="AG1539" s="2">
        <v>1.5536330229279054</v>
      </c>
      <c r="AH1539" s="2">
        <v>1.5498427443252385</v>
      </c>
      <c r="AI1539" s="2">
        <v>1.5458902964244166</v>
      </c>
      <c r="AJ1539" s="2">
        <v>1.5417794401339528</v>
      </c>
      <c r="AK1539" s="2">
        <v>1.5375136444909734</v>
      </c>
      <c r="AL1539" s="2">
        <v>1.5330960741693556</v>
      </c>
      <c r="AM1539" s="2">
        <v>1.5285295701954305</v>
      </c>
      <c r="AN1539" s="2">
        <v>1.5238166215971509</v>
      </c>
      <c r="AO1539" s="2">
        <v>1.5189593246623432</v>
      </c>
      <c r="AP1539" s="2">
        <v>1.5139593248488838</v>
      </c>
      <c r="AQ1539" s="2">
        <v>1.5088177337825699</v>
      </c>
      <c r="AR1539" s="2">
        <v>32.177913084495835</v>
      </c>
    </row>
    <row r="1540" spans="1:44" x14ac:dyDescent="0.25">
      <c r="A1540" t="s">
        <v>131</v>
      </c>
      <c r="B1540" t="s">
        <v>223</v>
      </c>
      <c r="C1540" t="s">
        <v>44</v>
      </c>
      <c r="D1540" t="s">
        <v>219</v>
      </c>
      <c r="E1540" t="s">
        <v>145</v>
      </c>
      <c r="F1540" t="s">
        <v>224</v>
      </c>
      <c r="G1540" t="s">
        <v>28</v>
      </c>
      <c r="H1540" t="s">
        <v>52</v>
      </c>
      <c r="I1540" t="s">
        <v>135</v>
      </c>
      <c r="J1540" t="s">
        <v>39</v>
      </c>
      <c r="K1540" t="s">
        <v>28</v>
      </c>
      <c r="L1540">
        <v>0.05</v>
      </c>
      <c r="M1540">
        <v>0</v>
      </c>
      <c r="N1540">
        <v>0.8187234303314348</v>
      </c>
      <c r="O1540">
        <v>3.8748305332756865</v>
      </c>
      <c r="P1540">
        <v>1.1654284680543423</v>
      </c>
      <c r="Q1540">
        <v>3.4456295194441906</v>
      </c>
      <c r="R1540">
        <v>-1.5521646648731502</v>
      </c>
      <c r="S1540" s="2">
        <v>0.98794950221256528</v>
      </c>
      <c r="T1540" s="2">
        <v>1.448922480115806</v>
      </c>
      <c r="U1540" s="2">
        <v>1.9739387340510854</v>
      </c>
      <c r="V1540" s="2">
        <v>2.5866836289788337</v>
      </c>
      <c r="W1540" s="2">
        <v>3.2574029410318937</v>
      </c>
      <c r="X1540" s="2">
        <v>3.9406541811095295</v>
      </c>
      <c r="Y1540" s="2">
        <v>4.5820787537586209</v>
      </c>
      <c r="Z1540" s="2">
        <v>5.1304045347884477</v>
      </c>
      <c r="AA1540" s="2">
        <v>5.5510292088390756</v>
      </c>
      <c r="AB1540" s="2">
        <v>5.8352221224937351</v>
      </c>
      <c r="AC1540" s="2">
        <v>5.9998820083694469</v>
      </c>
      <c r="AD1540" s="2">
        <v>6.0698217979063003</v>
      </c>
      <c r="AE1540" s="2">
        <v>6.0570984769445966</v>
      </c>
      <c r="AF1540" s="2">
        <v>6.0436954005630454</v>
      </c>
      <c r="AG1540" s="2">
        <v>6.0296304539703929</v>
      </c>
      <c r="AH1540" s="2">
        <v>6.0149204298177121</v>
      </c>
      <c r="AI1540" s="2">
        <v>5.9995810286342737</v>
      </c>
      <c r="AJ1540" s="2">
        <v>5.9836268464592823</v>
      </c>
      <c r="AK1540" s="2">
        <v>5.9670713465827099</v>
      </c>
      <c r="AL1540" s="2">
        <v>5.9499268110645422</v>
      </c>
      <c r="AM1540" s="2">
        <v>5.9322042658926684</v>
      </c>
      <c r="AN1540" s="2">
        <v>5.9139133709536384</v>
      </c>
      <c r="AO1540" s="2">
        <v>5.8950622619144539</v>
      </c>
      <c r="AP1540" s="2">
        <v>5.8756573247766815</v>
      </c>
      <c r="AQ1540" s="2">
        <v>5.8557028737462282</v>
      </c>
      <c r="AR1540" s="2">
        <v>124.88208078497556</v>
      </c>
    </row>
    <row r="1541" spans="1:44" x14ac:dyDescent="0.25">
      <c r="A1541" t="s">
        <v>131</v>
      </c>
      <c r="B1541" t="s">
        <v>223</v>
      </c>
      <c r="C1541" t="s">
        <v>44</v>
      </c>
      <c r="D1541" t="s">
        <v>219</v>
      </c>
      <c r="E1541" t="s">
        <v>145</v>
      </c>
      <c r="F1541" t="s">
        <v>224</v>
      </c>
      <c r="G1541" t="s">
        <v>28</v>
      </c>
      <c r="H1541" t="s">
        <v>138</v>
      </c>
      <c r="I1541" t="s">
        <v>135</v>
      </c>
      <c r="J1541" t="s">
        <v>39</v>
      </c>
      <c r="K1541" t="s">
        <v>28</v>
      </c>
      <c r="L1541">
        <v>0.05</v>
      </c>
      <c r="M1541">
        <v>0</v>
      </c>
      <c r="N1541">
        <v>0.8187234303314348</v>
      </c>
      <c r="O1541">
        <v>3.8748305332756865</v>
      </c>
      <c r="P1541">
        <v>1.1654284680543423</v>
      </c>
      <c r="Q1541">
        <v>3.4456295194441906</v>
      </c>
      <c r="R1541">
        <v>-1.5521646648731502</v>
      </c>
      <c r="S1541" s="2">
        <v>0.34270295065980022</v>
      </c>
      <c r="T1541" s="2">
        <v>0.50260666977507706</v>
      </c>
      <c r="U1541" s="2">
        <v>0.68472591672547745</v>
      </c>
      <c r="V1541" s="2">
        <v>0.89727674348654751</v>
      </c>
      <c r="W1541" s="2">
        <v>1.1299379137086261</v>
      </c>
      <c r="X1541" s="2">
        <v>1.3669461975249313</v>
      </c>
      <c r="Y1541" s="2">
        <v>1.5894455187759169</v>
      </c>
      <c r="Z1541" s="2">
        <v>1.7796504459112823</v>
      </c>
      <c r="AA1541" s="2">
        <v>1.9255580217485457</v>
      </c>
      <c r="AB1541" s="2">
        <v>2.0241397304775233</v>
      </c>
      <c r="AC1541" s="2">
        <v>2.0812574562504862</v>
      </c>
      <c r="AD1541" s="2">
        <v>2.1055183847585996</v>
      </c>
      <c r="AE1541" s="2">
        <v>2.1011048801958645</v>
      </c>
      <c r="AF1541" s="2">
        <v>2.0964555799901454</v>
      </c>
      <c r="AG1541" s="2">
        <v>2.0915766882174598</v>
      </c>
      <c r="AH1541" s="2">
        <v>2.0864740299640658</v>
      </c>
      <c r="AI1541" s="2">
        <v>2.0811530514776706</v>
      </c>
      <c r="AJ1541" s="2">
        <v>2.075618815877077</v>
      </c>
      <c r="AK1541" s="2">
        <v>2.0698759933495654</v>
      </c>
      <c r="AL1541" s="2">
        <v>2.0639288443337414</v>
      </c>
      <c r="AM1541" s="2">
        <v>2.0577811935580681</v>
      </c>
      <c r="AN1541" s="2">
        <v>2.0514363918735938</v>
      </c>
      <c r="AO1541" s="2">
        <v>2.0448972614054166</v>
      </c>
      <c r="AP1541" s="2">
        <v>2.0381660173493303</v>
      </c>
      <c r="AQ1541" s="2">
        <v>2.0312441562302976</v>
      </c>
      <c r="AR1541" s="2">
        <v>43.319478853625107</v>
      </c>
    </row>
  </sheetData>
  <phoneticPr fontId="3" type="noConversion"/>
  <pageMargins left="0.7" right="0.7" top="0.75" bottom="0.75" header="0.3" footer="0.3"/>
  <pageSetup orientation="portrait" r:id="rId1"/>
  <headerFooter>
    <oddHeader>&amp;RNWN 2025 CPA 
CPA Summary/ &amp;A &amp;P of &amp;N</oddHeader>
  </headerFooter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5C9D9-CAFE-41C8-AAAE-DACAE64ACA22}">
  <sheetPr>
    <tabColor theme="4"/>
  </sheetPr>
  <dimension ref="A1:AR1541"/>
  <sheetViews>
    <sheetView topLeftCell="A1495" zoomScale="85" zoomScaleNormal="85" workbookViewId="0">
      <selection activeCell="B1516" sqref="B1516"/>
    </sheetView>
  </sheetViews>
  <sheetFormatPr defaultRowHeight="15" x14ac:dyDescent="0.25"/>
  <cols>
    <col min="1" max="1" width="45.5703125" bestFit="1" customWidth="1"/>
    <col min="2" max="2" width="81" bestFit="1" customWidth="1"/>
    <col min="3" max="3" width="13" bestFit="1" customWidth="1"/>
    <col min="4" max="4" width="33.7109375" bestFit="1" customWidth="1"/>
    <col min="5" max="5" width="12.7109375" bestFit="1" customWidth="1"/>
    <col min="6" max="6" width="37.42578125" bestFit="1" customWidth="1"/>
    <col min="7" max="7" width="11" bestFit="1" customWidth="1"/>
    <col min="8" max="8" width="25.7109375" bestFit="1" customWidth="1"/>
    <col min="9" max="9" width="18.28515625" bestFit="1" customWidth="1"/>
    <col min="10" max="10" width="16.7109375" bestFit="1" customWidth="1"/>
    <col min="11" max="11" width="12" bestFit="1" customWidth="1"/>
    <col min="12" max="12" width="26" bestFit="1" customWidth="1"/>
    <col min="13" max="13" width="15.140625" bestFit="1" customWidth="1"/>
    <col min="14" max="14" width="12.42578125" bestFit="1" customWidth="1"/>
    <col min="15" max="15" width="11.7109375" bestFit="1" customWidth="1"/>
    <col min="16" max="16" width="32.140625" bestFit="1" customWidth="1"/>
    <col min="17" max="17" width="34.28515625" bestFit="1" customWidth="1"/>
    <col min="18" max="18" width="28.28515625" bestFit="1" customWidth="1"/>
    <col min="19" max="43" width="30.5703125" bestFit="1" customWidth="1"/>
    <col min="44" max="46" width="21" bestFit="1" customWidth="1"/>
  </cols>
  <sheetData>
    <row r="1" spans="1:44" x14ac:dyDescent="0.25">
      <c r="A1" t="s">
        <v>92</v>
      </c>
      <c r="B1" t="s">
        <v>93</v>
      </c>
      <c r="C1" t="s">
        <v>94</v>
      </c>
      <c r="D1" t="s">
        <v>95</v>
      </c>
      <c r="E1" t="s">
        <v>96</v>
      </c>
      <c r="F1" t="s">
        <v>97</v>
      </c>
      <c r="G1" t="s">
        <v>60</v>
      </c>
      <c r="H1" t="s">
        <v>50</v>
      </c>
      <c r="I1" t="s">
        <v>98</v>
      </c>
      <c r="J1" t="s">
        <v>99</v>
      </c>
      <c r="K1" t="s">
        <v>100</v>
      </c>
      <c r="L1" t="s">
        <v>101</v>
      </c>
      <c r="M1" t="s">
        <v>32</v>
      </c>
      <c r="N1" t="s">
        <v>102</v>
      </c>
      <c r="O1" t="s">
        <v>103</v>
      </c>
      <c r="P1" t="s">
        <v>87</v>
      </c>
      <c r="Q1" t="s">
        <v>88</v>
      </c>
      <c r="R1" t="s">
        <v>104</v>
      </c>
      <c r="S1" t="s">
        <v>510</v>
      </c>
      <c r="T1" t="s">
        <v>511</v>
      </c>
      <c r="U1" t="s">
        <v>512</v>
      </c>
      <c r="V1" t="s">
        <v>513</v>
      </c>
      <c r="W1" t="s">
        <v>514</v>
      </c>
      <c r="X1" t="s">
        <v>515</v>
      </c>
      <c r="Y1" t="s">
        <v>516</v>
      </c>
      <c r="Z1" t="s">
        <v>517</v>
      </c>
      <c r="AA1" t="s">
        <v>518</v>
      </c>
      <c r="AB1" t="s">
        <v>519</v>
      </c>
      <c r="AC1" t="s">
        <v>520</v>
      </c>
      <c r="AD1" t="s">
        <v>521</v>
      </c>
      <c r="AE1" t="s">
        <v>522</v>
      </c>
      <c r="AF1" t="s">
        <v>523</v>
      </c>
      <c r="AG1" t="s">
        <v>524</v>
      </c>
      <c r="AH1" t="s">
        <v>525</v>
      </c>
      <c r="AI1" t="s">
        <v>526</v>
      </c>
      <c r="AJ1" t="s">
        <v>527</v>
      </c>
      <c r="AK1" t="s">
        <v>528</v>
      </c>
      <c r="AL1" t="s">
        <v>529</v>
      </c>
      <c r="AM1" t="s">
        <v>530</v>
      </c>
      <c r="AN1" t="s">
        <v>531</v>
      </c>
      <c r="AO1" t="s">
        <v>532</v>
      </c>
      <c r="AP1" t="s">
        <v>533</v>
      </c>
      <c r="AQ1" t="s">
        <v>534</v>
      </c>
      <c r="AR1" t="s">
        <v>535</v>
      </c>
    </row>
    <row r="2" spans="1:44" x14ac:dyDescent="0.25">
      <c r="A2" t="s">
        <v>250</v>
      </c>
      <c r="B2" t="s">
        <v>286</v>
      </c>
      <c r="C2" t="s">
        <v>44</v>
      </c>
      <c r="D2" t="s">
        <v>287</v>
      </c>
      <c r="E2" t="s">
        <v>134</v>
      </c>
      <c r="F2" t="s">
        <v>287</v>
      </c>
      <c r="G2" t="s">
        <v>31</v>
      </c>
      <c r="H2" t="s">
        <v>254</v>
      </c>
      <c r="I2" t="s">
        <v>135</v>
      </c>
      <c r="J2" t="s">
        <v>39</v>
      </c>
      <c r="K2" t="s">
        <v>31</v>
      </c>
      <c r="L2">
        <v>15.196759042494826</v>
      </c>
      <c r="M2">
        <v>1</v>
      </c>
      <c r="N2">
        <v>1.6936671816670661</v>
      </c>
      <c r="O2">
        <v>8.7544663803383234</v>
      </c>
      <c r="P2">
        <v>-1.4152039125174969</v>
      </c>
      <c r="Q2">
        <v>2.7997804967521378</v>
      </c>
      <c r="R2">
        <v>-3.6733298826304734</v>
      </c>
      <c r="S2" s="2">
        <v>0.11652374938372656</v>
      </c>
      <c r="T2" s="2">
        <v>0.18869143815772316</v>
      </c>
      <c r="U2" s="2">
        <v>0.28512223430674072</v>
      </c>
      <c r="V2" s="2">
        <v>0.40652380668944826</v>
      </c>
      <c r="W2" s="2">
        <v>0.55050296241715913</v>
      </c>
      <c r="X2" s="2">
        <v>0.71044875427124288</v>
      </c>
      <c r="Y2" s="2">
        <v>0.87476021863671927</v>
      </c>
      <c r="Z2" s="2">
        <v>1.0269218768889439</v>
      </c>
      <c r="AA2" s="2">
        <v>1.1469703421740387</v>
      </c>
      <c r="AB2" s="2">
        <v>1.2146860412440112</v>
      </c>
      <c r="AC2" s="2">
        <v>1.2142845510212308</v>
      </c>
      <c r="AD2" s="2">
        <v>1.1395322306075828</v>
      </c>
      <c r="AE2" s="2">
        <v>0.99740848657571435</v>
      </c>
      <c r="AF2" s="2">
        <v>0.8211449896968761</v>
      </c>
      <c r="AG2" s="2">
        <v>0.62511707152707863</v>
      </c>
      <c r="AH2" s="2">
        <v>9.0245173037392934E-2</v>
      </c>
      <c r="AI2" s="2">
        <v>0</v>
      </c>
      <c r="AJ2" s="2">
        <v>0</v>
      </c>
      <c r="AK2" s="2">
        <v>0</v>
      </c>
      <c r="AL2" s="2">
        <v>0</v>
      </c>
      <c r="AM2" s="2">
        <v>0</v>
      </c>
      <c r="AN2" s="2">
        <v>0</v>
      </c>
      <c r="AO2" s="2">
        <v>0</v>
      </c>
      <c r="AP2" s="2">
        <v>0</v>
      </c>
      <c r="AQ2" s="2">
        <v>0</v>
      </c>
      <c r="AR2" s="2">
        <v>11.408883926635628</v>
      </c>
    </row>
    <row r="3" spans="1:44" x14ac:dyDescent="0.25">
      <c r="A3" t="s">
        <v>250</v>
      </c>
      <c r="B3" t="s">
        <v>286</v>
      </c>
      <c r="C3" t="s">
        <v>44</v>
      </c>
      <c r="D3" t="s">
        <v>287</v>
      </c>
      <c r="E3" t="s">
        <v>134</v>
      </c>
      <c r="F3" t="s">
        <v>287</v>
      </c>
      <c r="G3" t="s">
        <v>31</v>
      </c>
      <c r="H3" t="s">
        <v>272</v>
      </c>
      <c r="I3" t="s">
        <v>135</v>
      </c>
      <c r="J3" t="s">
        <v>39</v>
      </c>
      <c r="K3" t="s">
        <v>31</v>
      </c>
      <c r="L3">
        <v>15.196759042494826</v>
      </c>
      <c r="M3">
        <v>1</v>
      </c>
      <c r="N3">
        <v>1.6936671816670661</v>
      </c>
      <c r="O3">
        <v>8.7544663803383234</v>
      </c>
      <c r="P3">
        <v>-1.4152039125174969</v>
      </c>
      <c r="Q3">
        <v>2.7997804967521378</v>
      </c>
      <c r="R3">
        <v>-3.6733298826304734</v>
      </c>
      <c r="S3" s="2">
        <v>1.2360220137634699</v>
      </c>
      <c r="T3" s="2">
        <v>2.0013106436229404</v>
      </c>
      <c r="U3" s="2">
        <v>3.0237365632649946</v>
      </c>
      <c r="V3" s="2">
        <v>4.3107159339889245</v>
      </c>
      <c r="W3" s="2">
        <v>5.8367842021218159</v>
      </c>
      <c r="X3" s="2">
        <v>7.5317741536738998</v>
      </c>
      <c r="Y3" s="2">
        <v>9.2726552115814744</v>
      </c>
      <c r="Z3" s="2">
        <v>10.884363776290918</v>
      </c>
      <c r="AA3" s="2">
        <v>12.155375682427595</v>
      </c>
      <c r="AB3" s="2">
        <v>12.871548391706304</v>
      </c>
      <c r="AC3" s="2">
        <v>12.865829092654225</v>
      </c>
      <c r="AD3" s="2">
        <v>12.072423914658247</v>
      </c>
      <c r="AE3" s="2">
        <v>10.565534637757928</v>
      </c>
      <c r="AF3" s="2">
        <v>8.6973875349740588</v>
      </c>
      <c r="AG3" s="2">
        <v>6.6203490694159592</v>
      </c>
      <c r="AH3" s="2">
        <v>0.74334357446420873</v>
      </c>
      <c r="AI3" s="2">
        <v>0</v>
      </c>
      <c r="AJ3" s="2">
        <v>0</v>
      </c>
      <c r="AK3" s="2">
        <v>0</v>
      </c>
      <c r="AL3" s="2">
        <v>0</v>
      </c>
      <c r="AM3" s="2">
        <v>0</v>
      </c>
      <c r="AN3" s="2">
        <v>0</v>
      </c>
      <c r="AO3" s="2">
        <v>0</v>
      </c>
      <c r="AP3" s="2">
        <v>0</v>
      </c>
      <c r="AQ3" s="2">
        <v>0</v>
      </c>
      <c r="AR3" s="2">
        <v>120.68915439636696</v>
      </c>
    </row>
    <row r="4" spans="1:44" x14ac:dyDescent="0.25">
      <c r="A4" t="s">
        <v>250</v>
      </c>
      <c r="B4" t="s">
        <v>286</v>
      </c>
      <c r="C4" t="s">
        <v>44</v>
      </c>
      <c r="D4" t="s">
        <v>287</v>
      </c>
      <c r="E4" t="s">
        <v>134</v>
      </c>
      <c r="F4" t="s">
        <v>287</v>
      </c>
      <c r="G4" t="s">
        <v>31</v>
      </c>
      <c r="H4" t="s">
        <v>272</v>
      </c>
      <c r="I4" t="s">
        <v>135</v>
      </c>
      <c r="J4" t="s">
        <v>40</v>
      </c>
      <c r="K4" t="s">
        <v>31</v>
      </c>
      <c r="L4">
        <v>15.196759042494826</v>
      </c>
      <c r="M4">
        <v>1</v>
      </c>
      <c r="N4">
        <v>1.6936671816670661</v>
      </c>
      <c r="O4">
        <v>7.5176781675495903</v>
      </c>
      <c r="P4">
        <v>-1.4152039125174969</v>
      </c>
      <c r="Q4">
        <v>0.4672931329656026</v>
      </c>
      <c r="R4">
        <v>-3.5303298826304736</v>
      </c>
      <c r="S4" s="2">
        <v>0.12226215790370559</v>
      </c>
      <c r="T4" s="2">
        <v>0.19796132690223944</v>
      </c>
      <c r="U4" s="2">
        <v>0.29909544736300941</v>
      </c>
      <c r="V4" s="2">
        <v>0.42639809512343341</v>
      </c>
      <c r="W4" s="2">
        <v>0.57735042242235679</v>
      </c>
      <c r="X4" s="2">
        <v>0.74501178022525483</v>
      </c>
      <c r="Y4" s="2">
        <v>0.91721249544180139</v>
      </c>
      <c r="Z4" s="2">
        <v>1.0766360047636738</v>
      </c>
      <c r="AA4" s="2">
        <v>1.2023592173239561</v>
      </c>
      <c r="AB4" s="2">
        <v>1.2732000436952848</v>
      </c>
      <c r="AC4" s="2">
        <v>1.2726343144153716</v>
      </c>
      <c r="AD4" s="2">
        <v>1.1941539733910205</v>
      </c>
      <c r="AE4" s="2">
        <v>1.0450987521536395</v>
      </c>
      <c r="AF4" s="2">
        <v>0.86030940898291175</v>
      </c>
      <c r="AG4" s="2">
        <v>0.65485740083062771</v>
      </c>
      <c r="AH4" s="2">
        <v>7.3528455372024432E-2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2">
        <v>0</v>
      </c>
      <c r="AO4" s="2">
        <v>0</v>
      </c>
      <c r="AP4" s="2">
        <v>0</v>
      </c>
      <c r="AQ4" s="2">
        <v>0</v>
      </c>
      <c r="AR4" s="2">
        <v>11.938069296310312</v>
      </c>
    </row>
    <row r="5" spans="1:44" x14ac:dyDescent="0.25">
      <c r="A5" t="s">
        <v>250</v>
      </c>
      <c r="B5" t="s">
        <v>286</v>
      </c>
      <c r="C5" t="s">
        <v>44</v>
      </c>
      <c r="D5" t="s">
        <v>287</v>
      </c>
      <c r="E5" t="s">
        <v>134</v>
      </c>
      <c r="F5" t="s">
        <v>287</v>
      </c>
      <c r="G5" t="s">
        <v>31</v>
      </c>
      <c r="H5" t="s">
        <v>253</v>
      </c>
      <c r="I5" t="s">
        <v>135</v>
      </c>
      <c r="J5" t="s">
        <v>39</v>
      </c>
      <c r="K5" t="s">
        <v>31</v>
      </c>
      <c r="L5">
        <v>15.196759042494826</v>
      </c>
      <c r="M5">
        <v>1</v>
      </c>
      <c r="N5">
        <v>1.6936671816670661</v>
      </c>
      <c r="O5">
        <v>8.7544663803383234</v>
      </c>
      <c r="P5">
        <v>-1.4152039125174969</v>
      </c>
      <c r="Q5">
        <v>2.7997804967521378</v>
      </c>
      <c r="R5">
        <v>-3.6733298826304734</v>
      </c>
      <c r="S5" s="2">
        <v>1.1793396189199145E-2</v>
      </c>
      <c r="T5" s="2">
        <v>1.9104922659673219E-2</v>
      </c>
      <c r="U5" s="2">
        <v>2.8879709892194176E-2</v>
      </c>
      <c r="V5" s="2">
        <v>4.1192331660963331E-2</v>
      </c>
      <c r="W5" s="2">
        <v>5.5803148547128083E-2</v>
      </c>
      <c r="X5" s="2">
        <v>7.2044436947610008E-2</v>
      </c>
      <c r="Y5" s="2">
        <v>8.8741214925240522E-2</v>
      </c>
      <c r="Z5" s="2">
        <v>0.10421792041174191</v>
      </c>
      <c r="AA5" s="2">
        <v>0.11644633830759415</v>
      </c>
      <c r="AB5" s="2">
        <v>0.12336908404601556</v>
      </c>
      <c r="AC5" s="2">
        <v>0.12337620872305717</v>
      </c>
      <c r="AD5" s="2">
        <v>0.11582604187173877</v>
      </c>
      <c r="AE5" s="2">
        <v>0.10141946436762291</v>
      </c>
      <c r="AF5" s="2">
        <v>8.3528898045830496E-2</v>
      </c>
      <c r="AG5" s="2">
        <v>6.3613152019409036E-2</v>
      </c>
      <c r="AH5" s="2">
        <v>1.6151655061777553E-2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1.1655079236767962</v>
      </c>
    </row>
    <row r="6" spans="1:44" x14ac:dyDescent="0.25">
      <c r="A6" t="s">
        <v>250</v>
      </c>
      <c r="B6" t="s">
        <v>286</v>
      </c>
      <c r="C6" t="s">
        <v>44</v>
      </c>
      <c r="D6" t="s">
        <v>287</v>
      </c>
      <c r="E6" t="s">
        <v>134</v>
      </c>
      <c r="F6" t="s">
        <v>287</v>
      </c>
      <c r="G6" t="s">
        <v>31</v>
      </c>
      <c r="H6" t="s">
        <v>253</v>
      </c>
      <c r="I6" t="s">
        <v>135</v>
      </c>
      <c r="J6" t="s">
        <v>40</v>
      </c>
      <c r="K6" t="s">
        <v>31</v>
      </c>
      <c r="L6">
        <v>15.196759042494826</v>
      </c>
      <c r="M6">
        <v>1</v>
      </c>
      <c r="N6">
        <v>1.6936671816670661</v>
      </c>
      <c r="O6">
        <v>7.5176781675495903</v>
      </c>
      <c r="P6">
        <v>-1.4152039125174969</v>
      </c>
      <c r="Q6">
        <v>0.4672931329656026</v>
      </c>
      <c r="R6">
        <v>-3.5303298826304736</v>
      </c>
      <c r="S6" s="2">
        <v>6.2035715087959712E-3</v>
      </c>
      <c r="T6" s="2">
        <v>1.0049586394616629E-2</v>
      </c>
      <c r="U6" s="2">
        <v>1.5191327637545857E-2</v>
      </c>
      <c r="V6" s="2">
        <v>2.1668022592750635E-2</v>
      </c>
      <c r="W6" s="2">
        <v>2.935361594526242E-2</v>
      </c>
      <c r="X6" s="2">
        <v>3.7896871201932469E-2</v>
      </c>
      <c r="Y6" s="2">
        <v>4.6679723443052198E-2</v>
      </c>
      <c r="Z6" s="2">
        <v>5.4820792195920592E-2</v>
      </c>
      <c r="AA6" s="2">
        <v>6.1253194163882536E-2</v>
      </c>
      <c r="AB6" s="2">
        <v>6.4894702304246821E-2</v>
      </c>
      <c r="AC6" s="2">
        <v>6.4898450032449623E-2</v>
      </c>
      <c r="AD6" s="2">
        <v>6.0926905346416711E-2</v>
      </c>
      <c r="AE6" s="2">
        <v>5.3348746153762366E-2</v>
      </c>
      <c r="AF6" s="2">
        <v>4.3937936431984265E-2</v>
      </c>
      <c r="AG6" s="2">
        <v>3.3461840094351214E-2</v>
      </c>
      <c r="AH6" s="2">
        <v>8.4961062575777489E-3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0</v>
      </c>
      <c r="AP6" s="2">
        <v>0</v>
      </c>
      <c r="AQ6" s="2">
        <v>0</v>
      </c>
      <c r="AR6" s="2">
        <v>0.61308139170454801</v>
      </c>
    </row>
    <row r="7" spans="1:44" x14ac:dyDescent="0.25">
      <c r="A7" t="s">
        <v>250</v>
      </c>
      <c r="B7" t="s">
        <v>286</v>
      </c>
      <c r="C7" t="s">
        <v>44</v>
      </c>
      <c r="D7" t="s">
        <v>287</v>
      </c>
      <c r="E7" t="s">
        <v>134</v>
      </c>
      <c r="F7" t="s">
        <v>287</v>
      </c>
      <c r="G7" t="s">
        <v>31</v>
      </c>
      <c r="H7" t="s">
        <v>253</v>
      </c>
      <c r="I7" t="s">
        <v>256</v>
      </c>
      <c r="J7" t="s">
        <v>39</v>
      </c>
      <c r="K7" t="s">
        <v>31</v>
      </c>
      <c r="L7">
        <v>15.196759042494826</v>
      </c>
      <c r="M7">
        <v>1</v>
      </c>
      <c r="N7">
        <v>1.1711487367225639</v>
      </c>
      <c r="O7">
        <v>6.0535991681208801</v>
      </c>
      <c r="P7">
        <v>4.7733038831375328E-2</v>
      </c>
      <c r="Q7">
        <v>0.4672931329656026</v>
      </c>
      <c r="R7">
        <v>-2.2103929312816009</v>
      </c>
      <c r="S7" s="2">
        <v>6.1863546617408156E-3</v>
      </c>
      <c r="T7" s="2">
        <v>1.0021695655922256E-2</v>
      </c>
      <c r="U7" s="2">
        <v>1.5149166962178526E-2</v>
      </c>
      <c r="V7" s="2">
        <v>2.1607887067523261E-2</v>
      </c>
      <c r="W7" s="2">
        <v>2.9272150499828488E-2</v>
      </c>
      <c r="X7" s="2">
        <v>3.7791695556833919E-2</v>
      </c>
      <c r="Y7" s="2">
        <v>4.6550172641879599E-2</v>
      </c>
      <c r="Z7" s="2">
        <v>5.4668647388152788E-2</v>
      </c>
      <c r="AA7" s="2">
        <v>6.1083197433118019E-2</v>
      </c>
      <c r="AB7" s="2">
        <v>6.4714599251887731E-2</v>
      </c>
      <c r="AC7" s="2">
        <v>6.4718336578975078E-2</v>
      </c>
      <c r="AD7" s="2">
        <v>6.0757814168954517E-2</v>
      </c>
      <c r="AE7" s="2">
        <v>5.3200686733183206E-2</v>
      </c>
      <c r="AF7" s="2">
        <v>4.3815994945471844E-2</v>
      </c>
      <c r="AG7" s="2">
        <v>3.3368973044737654E-2</v>
      </c>
      <c r="AH7" s="2">
        <v>8.4725269111002189E-3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0.61137989950148786</v>
      </c>
    </row>
    <row r="8" spans="1:44" x14ac:dyDescent="0.25">
      <c r="A8" t="s">
        <v>250</v>
      </c>
      <c r="B8" t="s">
        <v>286</v>
      </c>
      <c r="C8" t="s">
        <v>44</v>
      </c>
      <c r="D8" t="s">
        <v>287</v>
      </c>
      <c r="E8" t="s">
        <v>134</v>
      </c>
      <c r="F8" t="s">
        <v>287</v>
      </c>
      <c r="G8" t="s">
        <v>31</v>
      </c>
      <c r="H8" t="s">
        <v>288</v>
      </c>
      <c r="I8" t="s">
        <v>135</v>
      </c>
      <c r="J8" t="s">
        <v>39</v>
      </c>
      <c r="K8" t="s">
        <v>31</v>
      </c>
      <c r="L8">
        <v>15.196759042494826</v>
      </c>
      <c r="M8">
        <v>1</v>
      </c>
      <c r="N8">
        <v>1.6936671816670661</v>
      </c>
      <c r="O8">
        <v>8.7544663803383234</v>
      </c>
      <c r="P8">
        <v>-1.4152039125174969</v>
      </c>
      <c r="Q8">
        <v>2.7997804967521378</v>
      </c>
      <c r="R8">
        <v>-3.6733298826304734</v>
      </c>
      <c r="S8" s="2">
        <v>2.4691989055103751</v>
      </c>
      <c r="T8" s="2">
        <v>4.00444097976417</v>
      </c>
      <c r="U8" s="2">
        <v>6.0599475515889845</v>
      </c>
      <c r="V8" s="2">
        <v>8.6531023500051667</v>
      </c>
      <c r="W8" s="2">
        <v>11.735283739501956</v>
      </c>
      <c r="X8" s="2">
        <v>15.167526713110638</v>
      </c>
      <c r="Y8" s="2">
        <v>18.703337601449391</v>
      </c>
      <c r="Z8" s="2">
        <v>21.989511002945203</v>
      </c>
      <c r="AA8" s="2">
        <v>24.596789890081286</v>
      </c>
      <c r="AB8" s="2">
        <v>26.0878543456835</v>
      </c>
      <c r="AC8" s="2">
        <v>26.118177387507938</v>
      </c>
      <c r="AD8" s="2">
        <v>24.546924567756932</v>
      </c>
      <c r="AE8" s="2">
        <v>21.517490063767536</v>
      </c>
      <c r="AF8" s="2">
        <v>17.741342352324647</v>
      </c>
      <c r="AG8" s="2">
        <v>13.526208131087037</v>
      </c>
      <c r="AH8" s="2">
        <v>7.6583843859033465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250.57551996798807</v>
      </c>
    </row>
    <row r="9" spans="1:44" x14ac:dyDescent="0.25">
      <c r="A9" t="s">
        <v>250</v>
      </c>
      <c r="B9" t="s">
        <v>286</v>
      </c>
      <c r="C9" t="s">
        <v>44</v>
      </c>
      <c r="D9" t="s">
        <v>287</v>
      </c>
      <c r="E9" t="s">
        <v>134</v>
      </c>
      <c r="F9" t="s">
        <v>287</v>
      </c>
      <c r="G9" t="s">
        <v>31</v>
      </c>
      <c r="H9" t="s">
        <v>288</v>
      </c>
      <c r="I9" t="s">
        <v>135</v>
      </c>
      <c r="J9" t="s">
        <v>39</v>
      </c>
      <c r="K9" t="s">
        <v>33</v>
      </c>
      <c r="L9">
        <v>15.196759042494826</v>
      </c>
      <c r="M9">
        <v>1</v>
      </c>
      <c r="N9">
        <v>1.6936671816670661</v>
      </c>
      <c r="O9">
        <v>8.7544663803383234</v>
      </c>
      <c r="P9">
        <v>-1.4152039125174969</v>
      </c>
      <c r="Q9">
        <v>2.7997804967521378</v>
      </c>
      <c r="R9">
        <v>-3.6733298826304734</v>
      </c>
      <c r="S9" s="2">
        <v>2.3228034050502541E-2</v>
      </c>
      <c r="T9" s="2">
        <v>3.7670230301662937E-2</v>
      </c>
      <c r="U9" s="2">
        <v>5.700661366665951E-2</v>
      </c>
      <c r="V9" s="2">
        <v>8.1400714855273545E-2</v>
      </c>
      <c r="W9" s="2">
        <v>0.11039514462975887</v>
      </c>
      <c r="X9" s="2">
        <v>0.14268264341435027</v>
      </c>
      <c r="Y9" s="2">
        <v>0.17594441731485921</v>
      </c>
      <c r="Z9" s="2">
        <v>0.2068578230738915</v>
      </c>
      <c r="AA9" s="2">
        <v>0.23138479116641747</v>
      </c>
      <c r="AB9" s="2">
        <v>0.24541140355026814</v>
      </c>
      <c r="AC9" s="2">
        <v>0.24569665584259714</v>
      </c>
      <c r="AD9" s="2">
        <v>0.23091570242581247</v>
      </c>
      <c r="AE9" s="2">
        <v>0.20241746858349327</v>
      </c>
      <c r="AF9" s="2">
        <v>0.16689481893976496</v>
      </c>
      <c r="AG9" s="2">
        <v>0.12724257342813489</v>
      </c>
      <c r="AH9" s="2">
        <v>7.2043290190438883E-2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2.357192325433886</v>
      </c>
    </row>
    <row r="10" spans="1:44" x14ac:dyDescent="0.25">
      <c r="A10" t="s">
        <v>250</v>
      </c>
      <c r="B10" t="s">
        <v>286</v>
      </c>
      <c r="C10" t="s">
        <v>44</v>
      </c>
      <c r="D10" t="s">
        <v>287</v>
      </c>
      <c r="E10" t="s">
        <v>134</v>
      </c>
      <c r="F10" t="s">
        <v>287</v>
      </c>
      <c r="G10" t="s">
        <v>31</v>
      </c>
      <c r="H10" t="s">
        <v>273</v>
      </c>
      <c r="I10" t="s">
        <v>135</v>
      </c>
      <c r="J10" t="s">
        <v>39</v>
      </c>
      <c r="K10" t="s">
        <v>31</v>
      </c>
      <c r="L10">
        <v>15.196759042494826</v>
      </c>
      <c r="M10">
        <v>1</v>
      </c>
      <c r="N10">
        <v>1.6936671816670661</v>
      </c>
      <c r="O10">
        <v>8.7544663803383234</v>
      </c>
      <c r="P10">
        <v>-1.4152039125174969</v>
      </c>
      <c r="Q10">
        <v>2.7997804967521378</v>
      </c>
      <c r="R10">
        <v>-3.6733298826304734</v>
      </c>
      <c r="S10" s="2">
        <v>0.37174171346704782</v>
      </c>
      <c r="T10" s="2">
        <v>0.60190727960821022</v>
      </c>
      <c r="U10" s="2">
        <v>0.909408569252387</v>
      </c>
      <c r="V10" s="2">
        <v>1.2964760414674976</v>
      </c>
      <c r="W10" s="2">
        <v>1.7554510650077919</v>
      </c>
      <c r="X10" s="2">
        <v>2.2652303908475169</v>
      </c>
      <c r="Y10" s="2">
        <v>2.7888117673946908</v>
      </c>
      <c r="Z10" s="2">
        <v>3.2735436708583929</v>
      </c>
      <c r="AA10" s="2">
        <v>3.6558088235522539</v>
      </c>
      <c r="AB10" s="2">
        <v>3.8712024549933135</v>
      </c>
      <c r="AC10" s="2">
        <v>3.8694823383564145</v>
      </c>
      <c r="AD10" s="2">
        <v>3.6308605362706987</v>
      </c>
      <c r="AE10" s="2">
        <v>3.1776537199176347</v>
      </c>
      <c r="AF10" s="2">
        <v>2.6157962471022089</v>
      </c>
      <c r="AG10" s="2">
        <v>1.9911133292207053</v>
      </c>
      <c r="AH10" s="2">
        <v>0.22356544704624187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36.298053394363009</v>
      </c>
    </row>
    <row r="11" spans="1:44" x14ac:dyDescent="0.25">
      <c r="A11" t="s">
        <v>250</v>
      </c>
      <c r="B11" t="s">
        <v>286</v>
      </c>
      <c r="C11" t="s">
        <v>44</v>
      </c>
      <c r="D11" t="s">
        <v>287</v>
      </c>
      <c r="E11" t="s">
        <v>134</v>
      </c>
      <c r="F11" t="s">
        <v>287</v>
      </c>
      <c r="G11" t="s">
        <v>31</v>
      </c>
      <c r="H11" t="s">
        <v>252</v>
      </c>
      <c r="I11" t="s">
        <v>135</v>
      </c>
      <c r="J11" t="s">
        <v>39</v>
      </c>
      <c r="K11" t="s">
        <v>31</v>
      </c>
      <c r="L11">
        <v>15.196759042494826</v>
      </c>
      <c r="M11">
        <v>1</v>
      </c>
      <c r="N11">
        <v>1.6936671816670661</v>
      </c>
      <c r="O11">
        <v>8.7544663803383234</v>
      </c>
      <c r="P11">
        <v>-1.4152039125174969</v>
      </c>
      <c r="Q11">
        <v>2.7997804967521378</v>
      </c>
      <c r="R11">
        <v>-3.6733298826304734</v>
      </c>
      <c r="S11" s="2">
        <v>0.24000044408572749</v>
      </c>
      <c r="T11" s="2">
        <v>0.38894916066537877</v>
      </c>
      <c r="U11" s="2">
        <v>0.58818612962244865</v>
      </c>
      <c r="V11" s="2">
        <v>0.83929130944413477</v>
      </c>
      <c r="W11" s="2">
        <v>1.1374425018151741</v>
      </c>
      <c r="X11" s="2">
        <v>1.4690805132893388</v>
      </c>
      <c r="Y11" s="2">
        <v>1.810276504023028</v>
      </c>
      <c r="Z11" s="2">
        <v>2.1268474717311081</v>
      </c>
      <c r="AA11" s="2">
        <v>2.3773557611160707</v>
      </c>
      <c r="AB11" s="2">
        <v>2.5197014077494706</v>
      </c>
      <c r="AC11" s="2">
        <v>2.5208590111334908</v>
      </c>
      <c r="AD11" s="2">
        <v>2.3675423136151372</v>
      </c>
      <c r="AE11" s="2">
        <v>2.0738972927990389</v>
      </c>
      <c r="AF11" s="2">
        <v>1.7087443127204034</v>
      </c>
      <c r="AG11" s="2">
        <v>1.3018520861131404</v>
      </c>
      <c r="AH11" s="2">
        <v>0.47823231246170511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23.948258532384799</v>
      </c>
    </row>
    <row r="12" spans="1:44" x14ac:dyDescent="0.25">
      <c r="A12" t="s">
        <v>250</v>
      </c>
      <c r="B12" t="s">
        <v>286</v>
      </c>
      <c r="C12" t="s">
        <v>44</v>
      </c>
      <c r="D12" t="s">
        <v>287</v>
      </c>
      <c r="E12" t="s">
        <v>134</v>
      </c>
      <c r="F12" t="s">
        <v>287</v>
      </c>
      <c r="G12" t="s">
        <v>31</v>
      </c>
      <c r="H12" t="s">
        <v>289</v>
      </c>
      <c r="I12" t="s">
        <v>135</v>
      </c>
      <c r="J12" t="s">
        <v>39</v>
      </c>
      <c r="K12" t="s">
        <v>31</v>
      </c>
      <c r="L12">
        <v>15.196759042494826</v>
      </c>
      <c r="M12">
        <v>1</v>
      </c>
      <c r="N12">
        <v>1.6936671816670661</v>
      </c>
      <c r="O12">
        <v>8.7544663803383234</v>
      </c>
      <c r="P12">
        <v>-1.4152039125174969</v>
      </c>
      <c r="Q12">
        <v>2.7997804967521378</v>
      </c>
      <c r="R12">
        <v>-3.6733298826304734</v>
      </c>
      <c r="S12" s="2">
        <v>2.346866524393262</v>
      </c>
      <c r="T12" s="2">
        <v>3.8060475660119288</v>
      </c>
      <c r="U12" s="2">
        <v>5.7597174600494476</v>
      </c>
      <c r="V12" s="2">
        <v>8.2243986873865307</v>
      </c>
      <c r="W12" s="2">
        <v>11.153878491129918</v>
      </c>
      <c r="X12" s="2">
        <v>14.416076656036868</v>
      </c>
      <c r="Y12" s="2">
        <v>17.776711634413488</v>
      </c>
      <c r="Z12" s="2">
        <v>20.900077002878195</v>
      </c>
      <c r="AA12" s="2">
        <v>23.378182564289901</v>
      </c>
      <c r="AB12" s="2">
        <v>24.795374694399896</v>
      </c>
      <c r="AC12" s="2">
        <v>24.824195431205158</v>
      </c>
      <c r="AD12" s="2">
        <v>23.330787736991901</v>
      </c>
      <c r="AE12" s="2">
        <v>20.451441561441449</v>
      </c>
      <c r="AF12" s="2">
        <v>16.862376850869762</v>
      </c>
      <c r="AG12" s="2">
        <v>12.856074492007236</v>
      </c>
      <c r="AH12" s="2">
        <v>7.2789623817273981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238.16116973523231</v>
      </c>
    </row>
    <row r="13" spans="1:44" x14ac:dyDescent="0.25">
      <c r="A13" t="s">
        <v>250</v>
      </c>
      <c r="B13" t="s">
        <v>286</v>
      </c>
      <c r="C13" t="s">
        <v>44</v>
      </c>
      <c r="D13" t="s">
        <v>287</v>
      </c>
      <c r="E13" t="s">
        <v>134</v>
      </c>
      <c r="F13" t="s">
        <v>287</v>
      </c>
      <c r="G13" t="s">
        <v>31</v>
      </c>
      <c r="H13" t="s">
        <v>274</v>
      </c>
      <c r="I13" t="s">
        <v>135</v>
      </c>
      <c r="J13" t="s">
        <v>39</v>
      </c>
      <c r="K13" t="s">
        <v>31</v>
      </c>
      <c r="L13">
        <v>15.196759042494826</v>
      </c>
      <c r="M13">
        <v>1</v>
      </c>
      <c r="N13">
        <v>1.6936671816670661</v>
      </c>
      <c r="O13">
        <v>8.7544663803383234</v>
      </c>
      <c r="P13">
        <v>-1.4152039125174969</v>
      </c>
      <c r="Q13">
        <v>2.7997804967521378</v>
      </c>
      <c r="R13">
        <v>-3.6733298826304734</v>
      </c>
      <c r="S13" s="2">
        <v>0.58518802494618483</v>
      </c>
      <c r="T13" s="2">
        <v>0.94750984189962906</v>
      </c>
      <c r="U13" s="2">
        <v>1.4315719361881991</v>
      </c>
      <c r="V13" s="2">
        <v>2.0408854497940667</v>
      </c>
      <c r="W13" s="2">
        <v>2.7633943257020208</v>
      </c>
      <c r="X13" s="2">
        <v>3.5658782709776173</v>
      </c>
      <c r="Y13" s="2">
        <v>4.3900891156059147</v>
      </c>
      <c r="Z13" s="2">
        <v>5.1531439328089155</v>
      </c>
      <c r="AA13" s="2">
        <v>5.7548977355349082</v>
      </c>
      <c r="AB13" s="2">
        <v>6.0939658820536682</v>
      </c>
      <c r="AC13" s="2">
        <v>6.0912581104451604</v>
      </c>
      <c r="AD13" s="2">
        <v>5.7156246638531716</v>
      </c>
      <c r="AE13" s="2">
        <v>5.0021959789732664</v>
      </c>
      <c r="AF13" s="2">
        <v>4.1177317047016659</v>
      </c>
      <c r="AG13" s="2">
        <v>3.1343689297164987</v>
      </c>
      <c r="AH13" s="2">
        <v>0.35193204761188751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57.139635950812774</v>
      </c>
    </row>
    <row r="14" spans="1:44" x14ac:dyDescent="0.25">
      <c r="A14" t="s">
        <v>250</v>
      </c>
      <c r="B14" t="s">
        <v>286</v>
      </c>
      <c r="C14" t="s">
        <v>44</v>
      </c>
      <c r="D14" t="s">
        <v>287</v>
      </c>
      <c r="E14" t="s">
        <v>134</v>
      </c>
      <c r="F14" t="s">
        <v>287</v>
      </c>
      <c r="G14" t="s">
        <v>31</v>
      </c>
      <c r="H14" t="s">
        <v>274</v>
      </c>
      <c r="I14" t="s">
        <v>135</v>
      </c>
      <c r="J14" t="s">
        <v>39</v>
      </c>
      <c r="K14" t="s">
        <v>33</v>
      </c>
      <c r="L14">
        <v>15.196759042494826</v>
      </c>
      <c r="M14">
        <v>1</v>
      </c>
      <c r="N14">
        <v>1.6936671816670661</v>
      </c>
      <c r="O14">
        <v>8.7544663803383234</v>
      </c>
      <c r="P14">
        <v>-1.4152039125174969</v>
      </c>
      <c r="Q14">
        <v>2.7997804967521378</v>
      </c>
      <c r="R14">
        <v>-3.6733298826304734</v>
      </c>
      <c r="S14" s="2">
        <v>1.8828323018464839E-3</v>
      </c>
      <c r="T14" s="2">
        <v>3.0485964520721989E-3</v>
      </c>
      <c r="U14" s="2">
        <v>4.6060578292249398E-3</v>
      </c>
      <c r="V14" s="2">
        <v>6.5665134716215998E-3</v>
      </c>
      <c r="W14" s="2">
        <v>8.8911732253057138E-3</v>
      </c>
      <c r="X14" s="2">
        <v>1.1473151375007332E-2</v>
      </c>
      <c r="Y14" s="2">
        <v>1.4125035445842584E-2</v>
      </c>
      <c r="Z14" s="2">
        <v>1.6580151061104016E-2</v>
      </c>
      <c r="AA14" s="2">
        <v>1.8516283465104682E-2</v>
      </c>
      <c r="AB14" s="2">
        <v>1.960722933477016E-2</v>
      </c>
      <c r="AC14" s="2">
        <v>1.9598517126670906E-2</v>
      </c>
      <c r="AD14" s="2">
        <v>1.8389923039390382E-2</v>
      </c>
      <c r="AE14" s="2">
        <v>1.6094478642558665E-2</v>
      </c>
      <c r="AF14" s="2">
        <v>1.3248730208829315E-2</v>
      </c>
      <c r="AG14" s="2">
        <v>1.0084777567546652E-2</v>
      </c>
      <c r="AH14" s="2">
        <v>1.1323352479052533E-3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0.1838457857948009</v>
      </c>
    </row>
    <row r="15" spans="1:44" x14ac:dyDescent="0.25">
      <c r="A15" t="s">
        <v>250</v>
      </c>
      <c r="B15" t="s">
        <v>286</v>
      </c>
      <c r="C15" t="s">
        <v>44</v>
      </c>
      <c r="D15" t="s">
        <v>287</v>
      </c>
      <c r="E15" t="s">
        <v>134</v>
      </c>
      <c r="F15" t="s">
        <v>287</v>
      </c>
      <c r="G15" t="s">
        <v>31</v>
      </c>
      <c r="H15" t="s">
        <v>255</v>
      </c>
      <c r="I15" t="s">
        <v>135</v>
      </c>
      <c r="J15" t="s">
        <v>39</v>
      </c>
      <c r="K15" t="s">
        <v>31</v>
      </c>
      <c r="L15">
        <v>15.196759042494826</v>
      </c>
      <c r="M15">
        <v>1</v>
      </c>
      <c r="N15">
        <v>1.6936671816670661</v>
      </c>
      <c r="O15">
        <v>8.7544663803383234</v>
      </c>
      <c r="P15">
        <v>-1.4152039125174969</v>
      </c>
      <c r="Q15">
        <v>2.7997804967521378</v>
      </c>
      <c r="R15">
        <v>-3.6733298826304734</v>
      </c>
      <c r="S15" s="2">
        <v>2.4427890644821083E-2</v>
      </c>
      <c r="T15" s="2">
        <v>3.9377694438968963E-2</v>
      </c>
      <c r="U15" s="2">
        <v>5.9231911624340848E-2</v>
      </c>
      <c r="V15" s="2">
        <v>8.4069259196731777E-2</v>
      </c>
      <c r="W15" s="2">
        <v>0.11332806423648792</v>
      </c>
      <c r="X15" s="2">
        <v>0.14559187553640265</v>
      </c>
      <c r="Y15" s="2">
        <v>0.17845140904782009</v>
      </c>
      <c r="Z15" s="2">
        <v>0.20854267323424397</v>
      </c>
      <c r="AA15" s="2">
        <v>0.23186558471466778</v>
      </c>
      <c r="AB15" s="2">
        <v>0.24444137497973578</v>
      </c>
      <c r="AC15" s="2">
        <v>0.24325272845335502</v>
      </c>
      <c r="AD15" s="2">
        <v>0.22724295982085171</v>
      </c>
      <c r="AE15" s="2">
        <v>0.19799920957128006</v>
      </c>
      <c r="AF15" s="2">
        <v>0.14680767540824288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2.1446303109079503</v>
      </c>
    </row>
    <row r="16" spans="1:44" x14ac:dyDescent="0.25">
      <c r="A16" t="s">
        <v>250</v>
      </c>
      <c r="B16" t="s">
        <v>286</v>
      </c>
      <c r="C16" t="s">
        <v>44</v>
      </c>
      <c r="D16" t="s">
        <v>287</v>
      </c>
      <c r="E16" t="s">
        <v>134</v>
      </c>
      <c r="F16" t="s">
        <v>287</v>
      </c>
      <c r="G16" t="s">
        <v>31</v>
      </c>
      <c r="H16" t="s">
        <v>278</v>
      </c>
      <c r="I16" t="s">
        <v>135</v>
      </c>
      <c r="J16" t="s">
        <v>39</v>
      </c>
      <c r="K16" t="s">
        <v>31</v>
      </c>
      <c r="L16">
        <v>15.196759042494826</v>
      </c>
      <c r="M16">
        <v>1</v>
      </c>
      <c r="N16">
        <v>1.6936671816670661</v>
      </c>
      <c r="O16">
        <v>8.7544663803383234</v>
      </c>
      <c r="P16">
        <v>-1.4152039125174969</v>
      </c>
      <c r="Q16">
        <v>2.7997804967521378</v>
      </c>
      <c r="R16">
        <v>-3.6733298826304734</v>
      </c>
      <c r="S16" s="2">
        <v>0.92456685713675946</v>
      </c>
      <c r="T16" s="2">
        <v>1.4903993029151632</v>
      </c>
      <c r="U16" s="2">
        <v>2.2418580125881431</v>
      </c>
      <c r="V16" s="2">
        <v>3.1819223316286132</v>
      </c>
      <c r="W16" s="2">
        <v>4.289333602315617</v>
      </c>
      <c r="X16" s="2">
        <v>5.5104808166429349</v>
      </c>
      <c r="Y16" s="2">
        <v>6.7541754142389934</v>
      </c>
      <c r="Z16" s="2">
        <v>7.893094282046035</v>
      </c>
      <c r="AA16" s="2">
        <v>8.7758389807294623</v>
      </c>
      <c r="AB16" s="2">
        <v>9.2518178137135543</v>
      </c>
      <c r="AC16" s="2">
        <v>9.2068289442642204</v>
      </c>
      <c r="AD16" s="2">
        <v>8.6008780791952226</v>
      </c>
      <c r="AE16" s="2">
        <v>7.4940366145650819</v>
      </c>
      <c r="AF16" s="2">
        <v>5.5564974082004666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81.171728460180262</v>
      </c>
    </row>
    <row r="17" spans="1:44" x14ac:dyDescent="0.25">
      <c r="A17" t="s">
        <v>250</v>
      </c>
      <c r="B17" t="s">
        <v>286</v>
      </c>
      <c r="C17" t="s">
        <v>44</v>
      </c>
      <c r="D17" t="s">
        <v>287</v>
      </c>
      <c r="E17" t="s">
        <v>134</v>
      </c>
      <c r="F17" t="s">
        <v>287</v>
      </c>
      <c r="G17" t="s">
        <v>31</v>
      </c>
      <c r="H17" t="s">
        <v>276</v>
      </c>
      <c r="I17" t="s">
        <v>135</v>
      </c>
      <c r="J17" t="s">
        <v>39</v>
      </c>
      <c r="K17" t="s">
        <v>31</v>
      </c>
      <c r="L17">
        <v>15.196759042494826</v>
      </c>
      <c r="M17">
        <v>1</v>
      </c>
      <c r="N17">
        <v>1.6936671816670661</v>
      </c>
      <c r="O17">
        <v>8.7544663803383234</v>
      </c>
      <c r="P17">
        <v>-1.4152039125174969</v>
      </c>
      <c r="Q17">
        <v>2.7997804967521378</v>
      </c>
      <c r="R17">
        <v>-3.6733298826304734</v>
      </c>
      <c r="S17" s="2">
        <v>1.4347397537737987</v>
      </c>
      <c r="T17" s="2">
        <v>2.3288998748315608</v>
      </c>
      <c r="U17" s="2">
        <v>3.527521343313087</v>
      </c>
      <c r="V17" s="2">
        <v>5.0415547710813033</v>
      </c>
      <c r="W17" s="2">
        <v>6.8434974213234891</v>
      </c>
      <c r="X17" s="2">
        <v>8.8530139017161282</v>
      </c>
      <c r="Y17" s="2">
        <v>10.926658126902975</v>
      </c>
      <c r="Z17" s="2">
        <v>12.858066811381216</v>
      </c>
      <c r="AA17" s="2">
        <v>14.395620923611053</v>
      </c>
      <c r="AB17" s="2">
        <v>15.282070398810196</v>
      </c>
      <c r="AC17" s="2">
        <v>15.313644694350732</v>
      </c>
      <c r="AD17" s="2">
        <v>14.405377763243868</v>
      </c>
      <c r="AE17" s="2">
        <v>12.638951257432552</v>
      </c>
      <c r="AF17" s="2">
        <v>10.430323266351593</v>
      </c>
      <c r="AG17" s="2">
        <v>7.9593796845528981</v>
      </c>
      <c r="AH17" s="2">
        <v>5.498768068072156</v>
      </c>
      <c r="AI17" s="2">
        <v>1.0473540772767438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148.78544213802539</v>
      </c>
    </row>
    <row r="18" spans="1:44" x14ac:dyDescent="0.25">
      <c r="A18" t="s">
        <v>250</v>
      </c>
      <c r="B18" t="s">
        <v>286</v>
      </c>
      <c r="C18" t="s">
        <v>44</v>
      </c>
      <c r="D18" t="s">
        <v>287</v>
      </c>
      <c r="E18" t="s">
        <v>134</v>
      </c>
      <c r="F18" t="s">
        <v>287</v>
      </c>
      <c r="G18" t="s">
        <v>31</v>
      </c>
      <c r="H18" t="s">
        <v>290</v>
      </c>
      <c r="I18" t="s">
        <v>135</v>
      </c>
      <c r="J18" t="s">
        <v>39</v>
      </c>
      <c r="K18" t="s">
        <v>31</v>
      </c>
      <c r="L18">
        <v>15.196759042494826</v>
      </c>
      <c r="M18">
        <v>1</v>
      </c>
      <c r="N18">
        <v>1.6936671816670661</v>
      </c>
      <c r="O18">
        <v>8.7544663803383234</v>
      </c>
      <c r="P18">
        <v>-1.4152039125174969</v>
      </c>
      <c r="Q18">
        <v>2.7997804967521378</v>
      </c>
      <c r="R18">
        <v>-3.6733298826304734</v>
      </c>
      <c r="S18" s="2">
        <v>3.398422571682274</v>
      </c>
      <c r="T18" s="2">
        <v>5.5114161043203378</v>
      </c>
      <c r="U18" s="2">
        <v>8.340463174745322</v>
      </c>
      <c r="V18" s="2">
        <v>11.909489460613614</v>
      </c>
      <c r="W18" s="2">
        <v>16.151575742407047</v>
      </c>
      <c r="X18" s="2">
        <v>20.875460872511088</v>
      </c>
      <c r="Y18" s="2">
        <v>25.74188921302045</v>
      </c>
      <c r="Z18" s="2">
        <v>30.264734998016834</v>
      </c>
      <c r="AA18" s="2">
        <v>33.853200633952468</v>
      </c>
      <c r="AB18" s="2">
        <v>35.90539136287407</v>
      </c>
      <c r="AC18" s="2">
        <v>35.947125752739645</v>
      </c>
      <c r="AD18" s="2">
        <v>33.784569695977773</v>
      </c>
      <c r="AE18" s="2">
        <v>29.615080322393798</v>
      </c>
      <c r="AF18" s="2">
        <v>24.417870171386816</v>
      </c>
      <c r="AG18" s="2">
        <v>18.616471487726141</v>
      </c>
      <c r="AH18" s="2">
        <v>10.540433296641568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344.87359486100928</v>
      </c>
    </row>
    <row r="19" spans="1:44" x14ac:dyDescent="0.25">
      <c r="A19" t="s">
        <v>250</v>
      </c>
      <c r="B19" t="s">
        <v>286</v>
      </c>
      <c r="C19" t="s">
        <v>44</v>
      </c>
      <c r="D19" t="s">
        <v>287</v>
      </c>
      <c r="E19" t="s">
        <v>134</v>
      </c>
      <c r="F19" t="s">
        <v>287</v>
      </c>
      <c r="G19" t="s">
        <v>31</v>
      </c>
      <c r="H19" t="s">
        <v>275</v>
      </c>
      <c r="I19" t="s">
        <v>135</v>
      </c>
      <c r="J19" t="s">
        <v>39</v>
      </c>
      <c r="K19" t="s">
        <v>31</v>
      </c>
      <c r="L19">
        <v>15.196759042494826</v>
      </c>
      <c r="M19">
        <v>1</v>
      </c>
      <c r="N19">
        <v>1.6936671816670661</v>
      </c>
      <c r="O19">
        <v>8.7544663803383234</v>
      </c>
      <c r="P19">
        <v>-1.4152039125174969</v>
      </c>
      <c r="Q19">
        <v>2.7997804967521378</v>
      </c>
      <c r="R19">
        <v>-3.6733298826304734</v>
      </c>
      <c r="S19" s="2">
        <v>0.89398437174379974</v>
      </c>
      <c r="T19" s="2">
        <v>1.4474988458788169</v>
      </c>
      <c r="U19" s="2">
        <v>2.1869944076469352</v>
      </c>
      <c r="V19" s="2">
        <v>3.1178349844103495</v>
      </c>
      <c r="W19" s="2">
        <v>4.2216026897855405</v>
      </c>
      <c r="X19" s="2">
        <v>5.447547300866165</v>
      </c>
      <c r="Y19" s="2">
        <v>6.7066838223067986</v>
      </c>
      <c r="Z19" s="2">
        <v>7.8723930512781823</v>
      </c>
      <c r="AA19" s="2">
        <v>8.7916847529904842</v>
      </c>
      <c r="AB19" s="2">
        <v>9.3096748878224229</v>
      </c>
      <c r="AC19" s="2">
        <v>9.3055382592567923</v>
      </c>
      <c r="AD19" s="2">
        <v>8.7316877762630902</v>
      </c>
      <c r="AE19" s="2">
        <v>7.6417917643017752</v>
      </c>
      <c r="AF19" s="2">
        <v>6.2906068376497855</v>
      </c>
      <c r="AG19" s="2">
        <v>4.7883359176797491</v>
      </c>
      <c r="AH19" s="2">
        <v>0.53764215443361663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87.291501824314295</v>
      </c>
    </row>
    <row r="20" spans="1:44" x14ac:dyDescent="0.25">
      <c r="A20" t="s">
        <v>250</v>
      </c>
      <c r="B20" t="s">
        <v>286</v>
      </c>
      <c r="C20" t="s">
        <v>44</v>
      </c>
      <c r="D20" t="s">
        <v>287</v>
      </c>
      <c r="E20" t="s">
        <v>134</v>
      </c>
      <c r="F20" t="s">
        <v>287</v>
      </c>
      <c r="G20" t="s">
        <v>31</v>
      </c>
      <c r="H20" t="s">
        <v>277</v>
      </c>
      <c r="I20" t="s">
        <v>135</v>
      </c>
      <c r="J20" t="s">
        <v>39</v>
      </c>
      <c r="K20" t="s">
        <v>31</v>
      </c>
      <c r="L20">
        <v>15.196759042494826</v>
      </c>
      <c r="M20">
        <v>1</v>
      </c>
      <c r="N20">
        <v>1.6936671816670661</v>
      </c>
      <c r="O20">
        <v>8.7544663803383234</v>
      </c>
      <c r="P20">
        <v>-1.4152039125174969</v>
      </c>
      <c r="Q20">
        <v>2.7997804967521378</v>
      </c>
      <c r="R20">
        <v>-3.6733298826304734</v>
      </c>
      <c r="S20" s="2">
        <v>4.5327333588949452</v>
      </c>
      <c r="T20" s="2">
        <v>7.3383109810352707</v>
      </c>
      <c r="U20" s="2">
        <v>11.085957243747872</v>
      </c>
      <c r="V20" s="2">
        <v>15.802517985209612</v>
      </c>
      <c r="W20" s="2">
        <v>21.394304168054976</v>
      </c>
      <c r="X20" s="2">
        <v>27.603837281401063</v>
      </c>
      <c r="Y20" s="2">
        <v>33.980042836916304</v>
      </c>
      <c r="Z20" s="2">
        <v>39.881409552473826</v>
      </c>
      <c r="AA20" s="2">
        <v>44.533156385071173</v>
      </c>
      <c r="AB20" s="2">
        <v>47.151284276521338</v>
      </c>
      <c r="AC20" s="2">
        <v>47.124651462673633</v>
      </c>
      <c r="AD20" s="2">
        <v>44.21325517773996</v>
      </c>
      <c r="AE20" s="2">
        <v>38.689857718527506</v>
      </c>
      <c r="AF20" s="2">
        <v>31.845063321217776</v>
      </c>
      <c r="AG20" s="2">
        <v>24.237165299437709</v>
      </c>
      <c r="AH20" s="2">
        <v>1.8983006602944406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441.31184770921737</v>
      </c>
    </row>
    <row r="21" spans="1:44" x14ac:dyDescent="0.25">
      <c r="A21" t="s">
        <v>250</v>
      </c>
      <c r="B21" t="s">
        <v>286</v>
      </c>
      <c r="C21" t="s">
        <v>44</v>
      </c>
      <c r="D21" t="s">
        <v>287</v>
      </c>
      <c r="E21" t="s">
        <v>134</v>
      </c>
      <c r="F21" t="s">
        <v>287</v>
      </c>
      <c r="G21" t="s">
        <v>31</v>
      </c>
      <c r="H21" t="s">
        <v>277</v>
      </c>
      <c r="I21" t="s">
        <v>135</v>
      </c>
      <c r="J21" t="s">
        <v>40</v>
      </c>
      <c r="K21" t="s">
        <v>31</v>
      </c>
      <c r="L21">
        <v>15.196759042494826</v>
      </c>
      <c r="M21">
        <v>1</v>
      </c>
      <c r="N21">
        <v>1.6936671816670661</v>
      </c>
      <c r="O21">
        <v>7.5176781675495903</v>
      </c>
      <c r="P21">
        <v>-1.4152039125174969</v>
      </c>
      <c r="Q21">
        <v>0.4672931329656026</v>
      </c>
      <c r="R21">
        <v>-3.5303298826304736</v>
      </c>
      <c r="S21" s="2">
        <v>0.71501779156096879</v>
      </c>
      <c r="T21" s="2">
        <v>1.1575847278002338</v>
      </c>
      <c r="U21" s="2">
        <v>1.7487586491733105</v>
      </c>
      <c r="V21" s="2">
        <v>2.4927743628938548</v>
      </c>
      <c r="W21" s="2">
        <v>3.3748528552219303</v>
      </c>
      <c r="X21" s="2">
        <v>4.3543780780362411</v>
      </c>
      <c r="Y21" s="2">
        <v>5.360195110246309</v>
      </c>
      <c r="Z21" s="2">
        <v>6.2911085044500341</v>
      </c>
      <c r="AA21" s="2">
        <v>7.0249001228379662</v>
      </c>
      <c r="AB21" s="2">
        <v>7.4378977282001424</v>
      </c>
      <c r="AC21" s="2">
        <v>7.4336965245923761</v>
      </c>
      <c r="AD21" s="2">
        <v>6.9744371821192503</v>
      </c>
      <c r="AE21" s="2">
        <v>6.1031466956736997</v>
      </c>
      <c r="AF21" s="2">
        <v>5.0234119338551801</v>
      </c>
      <c r="AG21" s="2">
        <v>3.823301093167998</v>
      </c>
      <c r="AH21" s="2">
        <v>0.29944817803562968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69.614909537865131</v>
      </c>
    </row>
    <row r="22" spans="1:44" x14ac:dyDescent="0.25">
      <c r="A22" t="s">
        <v>250</v>
      </c>
      <c r="B22" t="s">
        <v>384</v>
      </c>
      <c r="C22" t="s">
        <v>44</v>
      </c>
      <c r="D22" t="s">
        <v>191</v>
      </c>
      <c r="E22" t="s">
        <v>134</v>
      </c>
      <c r="F22" t="s">
        <v>385</v>
      </c>
      <c r="G22" t="s">
        <v>31</v>
      </c>
      <c r="H22" t="s">
        <v>254</v>
      </c>
      <c r="I22" t="s">
        <v>135</v>
      </c>
      <c r="J22" t="s">
        <v>39</v>
      </c>
      <c r="K22" t="s">
        <v>31</v>
      </c>
      <c r="L22">
        <v>0.47</v>
      </c>
      <c r="M22">
        <v>1</v>
      </c>
      <c r="N22">
        <v>5.3213707330090463</v>
      </c>
      <c r="O22">
        <v>6.6226500173868947</v>
      </c>
      <c r="P22">
        <v>-2.3861665887837624</v>
      </c>
      <c r="Q22">
        <v>0.67410983752979503</v>
      </c>
      <c r="R22">
        <v>-2.5186218996743959</v>
      </c>
      <c r="S22" s="2">
        <v>2.4740747615768468E-2</v>
      </c>
      <c r="T22" s="2">
        <v>4.9233243000579588E-2</v>
      </c>
      <c r="U22" s="2">
        <v>8.7023646651981382E-2</v>
      </c>
      <c r="V22" s="2">
        <v>0.14092077475482573</v>
      </c>
      <c r="W22" s="2">
        <v>0.21293836408596101</v>
      </c>
      <c r="X22" s="2">
        <v>0.30360492428423036</v>
      </c>
      <c r="Y22" s="2">
        <v>0.411133142690913</v>
      </c>
      <c r="Z22" s="2">
        <v>0.53058575340243419</v>
      </c>
      <c r="AA22" s="2">
        <v>0.65329878736706049</v>
      </c>
      <c r="AB22" s="2">
        <v>0.76693795922476304</v>
      </c>
      <c r="AC22" s="2">
        <v>0.85659397595384479</v>
      </c>
      <c r="AD22" s="2">
        <v>0.90716621637542005</v>
      </c>
      <c r="AE22" s="2">
        <v>0.9068663706918898</v>
      </c>
      <c r="AF22" s="2">
        <v>0.85103895737487978</v>
      </c>
      <c r="AG22" s="2">
        <v>0.74489641950685892</v>
      </c>
      <c r="AH22" s="2">
        <v>0.61325722705765962</v>
      </c>
      <c r="AI22" s="2">
        <v>0.46685733540506225</v>
      </c>
      <c r="AJ22" s="2">
        <v>0.13369583099780027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8.660789676441933</v>
      </c>
    </row>
    <row r="23" spans="1:44" x14ac:dyDescent="0.25">
      <c r="A23" t="s">
        <v>250</v>
      </c>
      <c r="B23" t="s">
        <v>384</v>
      </c>
      <c r="C23" t="s">
        <v>44</v>
      </c>
      <c r="D23" t="s">
        <v>191</v>
      </c>
      <c r="E23" t="s">
        <v>134</v>
      </c>
      <c r="F23" t="s">
        <v>385</v>
      </c>
      <c r="G23" t="s">
        <v>31</v>
      </c>
      <c r="H23" t="s">
        <v>272</v>
      </c>
      <c r="I23" t="s">
        <v>135</v>
      </c>
      <c r="J23" t="s">
        <v>39</v>
      </c>
      <c r="K23" t="s">
        <v>31</v>
      </c>
      <c r="L23">
        <v>0.47</v>
      </c>
      <c r="M23">
        <v>1</v>
      </c>
      <c r="N23">
        <v>5.3213707330090463</v>
      </c>
      <c r="O23">
        <v>6.6226500173868947</v>
      </c>
      <c r="P23">
        <v>-2.3861665887837624</v>
      </c>
      <c r="Q23">
        <v>0.67410983752979503</v>
      </c>
      <c r="R23">
        <v>-2.5186218996743959</v>
      </c>
      <c r="S23" s="2">
        <v>4.365639936697413E-2</v>
      </c>
      <c r="T23" s="2">
        <v>8.6864853946065773E-2</v>
      </c>
      <c r="U23" s="2">
        <v>0.15352301238400726</v>
      </c>
      <c r="V23" s="2">
        <v>0.24857748106739322</v>
      </c>
      <c r="W23" s="2">
        <v>0.37557028975128032</v>
      </c>
      <c r="X23" s="2">
        <v>0.53542258013890265</v>
      </c>
      <c r="Y23" s="2">
        <v>0.72497146763326392</v>
      </c>
      <c r="Z23" s="2">
        <v>0.93550166889608399</v>
      </c>
      <c r="AA23" s="2">
        <v>1.1517318826270284</v>
      </c>
      <c r="AB23" s="2">
        <v>1.3519179239628978</v>
      </c>
      <c r="AC23" s="2">
        <v>1.509786937971723</v>
      </c>
      <c r="AD23" s="2">
        <v>1.5987408485747452</v>
      </c>
      <c r="AE23" s="2">
        <v>1.5980304696256473</v>
      </c>
      <c r="AF23" s="2">
        <v>1.4994837191546464</v>
      </c>
      <c r="AG23" s="2">
        <v>1.3123170032362961</v>
      </c>
      <c r="AH23" s="2">
        <v>1.080279411994236</v>
      </c>
      <c r="AI23" s="2">
        <v>0.8222959792404595</v>
      </c>
      <c r="AJ23" s="2">
        <v>0.21206315927534197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15.240735088846993</v>
      </c>
    </row>
    <row r="24" spans="1:44" x14ac:dyDescent="0.25">
      <c r="A24" t="s">
        <v>250</v>
      </c>
      <c r="B24" t="s">
        <v>384</v>
      </c>
      <c r="C24" t="s">
        <v>44</v>
      </c>
      <c r="D24" t="s">
        <v>191</v>
      </c>
      <c r="E24" t="s">
        <v>134</v>
      </c>
      <c r="F24" t="s">
        <v>385</v>
      </c>
      <c r="G24" t="s">
        <v>31</v>
      </c>
      <c r="H24" t="s">
        <v>272</v>
      </c>
      <c r="I24" t="s">
        <v>135</v>
      </c>
      <c r="J24" t="s">
        <v>40</v>
      </c>
      <c r="K24" t="s">
        <v>31</v>
      </c>
      <c r="L24">
        <v>0.47</v>
      </c>
      <c r="M24">
        <v>1</v>
      </c>
      <c r="N24">
        <v>5.3213707330090463</v>
      </c>
      <c r="O24">
        <v>5.385861804598159</v>
      </c>
      <c r="P24">
        <v>-2.3861665887837624</v>
      </c>
      <c r="Q24">
        <v>0.4672931329656026</v>
      </c>
      <c r="R24">
        <v>-2.3756218996743956</v>
      </c>
      <c r="S24" s="2">
        <v>4.3183094908321234E-3</v>
      </c>
      <c r="T24" s="2">
        <v>8.5923101459166682E-3</v>
      </c>
      <c r="U24" s="2">
        <v>1.5185857996812312E-2</v>
      </c>
      <c r="V24" s="2">
        <v>2.4588250778018E-2</v>
      </c>
      <c r="W24" s="2">
        <v>3.7149851344232244E-2</v>
      </c>
      <c r="X24" s="2">
        <v>5.2961775202394604E-2</v>
      </c>
      <c r="Y24" s="2">
        <v>7.1711162960258701E-2</v>
      </c>
      <c r="Z24" s="2">
        <v>9.2535935030393923E-2</v>
      </c>
      <c r="AA24" s="2">
        <v>0.11392452863175662</v>
      </c>
      <c r="AB24" s="2">
        <v>0.13372609941559818</v>
      </c>
      <c r="AC24" s="2">
        <v>0.1493418458213438</v>
      </c>
      <c r="AD24" s="2">
        <v>0.15814079676493115</v>
      </c>
      <c r="AE24" s="2">
        <v>0.15807052903322491</v>
      </c>
      <c r="AF24" s="2">
        <v>0.14832269425939523</v>
      </c>
      <c r="AG24" s="2">
        <v>0.12980894100814733</v>
      </c>
      <c r="AH24" s="2">
        <v>0.10685674735453082</v>
      </c>
      <c r="AI24" s="2">
        <v>8.133809894806468E-2</v>
      </c>
      <c r="AJ24" s="2">
        <v>2.0976405902299836E-2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1.507550140088151</v>
      </c>
    </row>
    <row r="25" spans="1:44" x14ac:dyDescent="0.25">
      <c r="A25" t="s">
        <v>250</v>
      </c>
      <c r="B25" t="s">
        <v>384</v>
      </c>
      <c r="C25" t="s">
        <v>44</v>
      </c>
      <c r="D25" t="s">
        <v>191</v>
      </c>
      <c r="E25" t="s">
        <v>134</v>
      </c>
      <c r="F25" t="s">
        <v>385</v>
      </c>
      <c r="G25" t="s">
        <v>31</v>
      </c>
      <c r="H25" t="s">
        <v>253</v>
      </c>
      <c r="I25" t="s">
        <v>135</v>
      </c>
      <c r="J25" t="s">
        <v>39</v>
      </c>
      <c r="K25" t="s">
        <v>31</v>
      </c>
      <c r="L25">
        <v>0.47</v>
      </c>
      <c r="M25">
        <v>1</v>
      </c>
      <c r="N25">
        <v>5.3213707330090463</v>
      </c>
      <c r="O25">
        <v>6.6226500173868947</v>
      </c>
      <c r="P25">
        <v>-2.3861665887837624</v>
      </c>
      <c r="Q25">
        <v>0.67410983752979503</v>
      </c>
      <c r="R25">
        <v>-2.5186218996743959</v>
      </c>
      <c r="S25" s="2">
        <v>5.5851493459712336E-3</v>
      </c>
      <c r="T25" s="2">
        <v>1.1118573378546168E-2</v>
      </c>
      <c r="U25" s="2">
        <v>1.9660590255876589E-2</v>
      </c>
      <c r="V25" s="2">
        <v>3.1849524111302992E-2</v>
      </c>
      <c r="W25" s="2">
        <v>4.8144922275995601E-2</v>
      </c>
      <c r="X25" s="2">
        <v>6.8671105547363789E-2</v>
      </c>
      <c r="Y25" s="2">
        <v>9.3028574718594451E-2</v>
      </c>
      <c r="Z25" s="2">
        <v>0.12010417799238562</v>
      </c>
      <c r="AA25" s="2">
        <v>0.1479391209676906</v>
      </c>
      <c r="AB25" s="2">
        <v>0.1737400997696793</v>
      </c>
      <c r="AC25" s="2">
        <v>0.19412590805348501</v>
      </c>
      <c r="AD25" s="2">
        <v>0.20566671150189034</v>
      </c>
      <c r="AE25" s="2">
        <v>0.20567858894192312</v>
      </c>
      <c r="AF25" s="2">
        <v>0.19309182136065414</v>
      </c>
      <c r="AG25" s="2">
        <v>0.16907483653677827</v>
      </c>
      <c r="AH25" s="2">
        <v>0.1392497472872132</v>
      </c>
      <c r="AI25" s="2">
        <v>0.106048511953139</v>
      </c>
      <c r="AJ25" s="2">
        <v>4.0676429524558681E-2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1.9734543935230482</v>
      </c>
    </row>
    <row r="26" spans="1:44" x14ac:dyDescent="0.25">
      <c r="A26" t="s">
        <v>250</v>
      </c>
      <c r="B26" t="s">
        <v>384</v>
      </c>
      <c r="C26" t="s">
        <v>44</v>
      </c>
      <c r="D26" t="s">
        <v>191</v>
      </c>
      <c r="E26" t="s">
        <v>134</v>
      </c>
      <c r="F26" t="s">
        <v>385</v>
      </c>
      <c r="G26" t="s">
        <v>31</v>
      </c>
      <c r="H26" t="s">
        <v>253</v>
      </c>
      <c r="I26" t="s">
        <v>135</v>
      </c>
      <c r="J26" t="s">
        <v>40</v>
      </c>
      <c r="K26" t="s">
        <v>31</v>
      </c>
      <c r="L26">
        <v>0.47</v>
      </c>
      <c r="M26">
        <v>1</v>
      </c>
      <c r="N26">
        <v>5.3213707330090463</v>
      </c>
      <c r="O26">
        <v>5.385861804598159</v>
      </c>
      <c r="P26">
        <v>-2.3861665887837624</v>
      </c>
      <c r="Q26">
        <v>0.4672931329656026</v>
      </c>
      <c r="R26">
        <v>-2.3756218996743956</v>
      </c>
      <c r="S26" s="2">
        <v>2.9379046374079648E-3</v>
      </c>
      <c r="T26" s="2">
        <v>5.8486006849135007E-3</v>
      </c>
      <c r="U26" s="2">
        <v>1.0341879099183391E-2</v>
      </c>
      <c r="V26" s="2">
        <v>1.6753511641247314E-2</v>
      </c>
      <c r="W26" s="2">
        <v>2.532522975850645E-2</v>
      </c>
      <c r="X26" s="2">
        <v>3.6122428774274538E-2</v>
      </c>
      <c r="Y26" s="2">
        <v>4.8934963802599048E-2</v>
      </c>
      <c r="Z26" s="2">
        <v>6.3177293862415329E-2</v>
      </c>
      <c r="AA26" s="2">
        <v>7.7819052387301121E-2</v>
      </c>
      <c r="AB26" s="2">
        <v>9.1390903483226593E-2</v>
      </c>
      <c r="AC26" s="2">
        <v>0.10211426233799109</v>
      </c>
      <c r="AD26" s="2">
        <v>0.1081849648152563</v>
      </c>
      <c r="AE26" s="2">
        <v>0.10819121259557363</v>
      </c>
      <c r="AF26" s="2">
        <v>0.10157031124516293</v>
      </c>
      <c r="AG26" s="2">
        <v>8.8936878060154406E-2</v>
      </c>
      <c r="AH26" s="2">
        <v>7.3248261231920506E-2</v>
      </c>
      <c r="AI26" s="2">
        <v>5.5783721393606184E-2</v>
      </c>
      <c r="AJ26" s="2">
        <v>2.1396647346521941E-2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1.0380780271572621</v>
      </c>
    </row>
    <row r="27" spans="1:44" x14ac:dyDescent="0.25">
      <c r="A27" t="s">
        <v>250</v>
      </c>
      <c r="B27" t="s">
        <v>384</v>
      </c>
      <c r="C27" t="s">
        <v>44</v>
      </c>
      <c r="D27" t="s">
        <v>191</v>
      </c>
      <c r="E27" t="s">
        <v>134</v>
      </c>
      <c r="F27" t="s">
        <v>385</v>
      </c>
      <c r="G27" t="s">
        <v>31</v>
      </c>
      <c r="H27" t="s">
        <v>253</v>
      </c>
      <c r="I27" t="s">
        <v>256</v>
      </c>
      <c r="J27" t="s">
        <v>39</v>
      </c>
      <c r="K27" t="s">
        <v>31</v>
      </c>
      <c r="L27">
        <v>0.47</v>
      </c>
      <c r="M27">
        <v>1</v>
      </c>
      <c r="N27">
        <v>3.1511947914894107</v>
      </c>
      <c r="O27">
        <v>3.921782805169451</v>
      </c>
      <c r="P27">
        <v>-0.92322963743489139</v>
      </c>
      <c r="Q27">
        <v>0.4672931329656026</v>
      </c>
      <c r="R27">
        <v>-1.0556849483255246</v>
      </c>
      <c r="S27" s="2">
        <v>2.9297510351268975E-3</v>
      </c>
      <c r="T27" s="2">
        <v>5.8323689926800711E-3</v>
      </c>
      <c r="U27" s="2">
        <v>1.0313177157010064E-2</v>
      </c>
      <c r="V27" s="2">
        <v>1.6707015417716218E-2</v>
      </c>
      <c r="W27" s="2">
        <v>2.5254944341989424E-2</v>
      </c>
      <c r="X27" s="2">
        <v>3.6022177760711524E-2</v>
      </c>
      <c r="Y27" s="2">
        <v>4.879915400557417E-2</v>
      </c>
      <c r="Z27" s="2">
        <v>6.3001957154480939E-2</v>
      </c>
      <c r="AA27" s="2">
        <v>7.7603080229806123E-2</v>
      </c>
      <c r="AB27" s="2">
        <v>9.113726520320159E-2</v>
      </c>
      <c r="AC27" s="2">
        <v>0.10183086339041215</v>
      </c>
      <c r="AD27" s="2">
        <v>0.10788471777365277</v>
      </c>
      <c r="AE27" s="2">
        <v>0.10789094821442984</v>
      </c>
      <c r="AF27" s="2">
        <v>0.10128842193163227</v>
      </c>
      <c r="AG27" s="2">
        <v>8.8690050466573217E-2</v>
      </c>
      <c r="AH27" s="2">
        <v>7.3044974446413474E-2</v>
      </c>
      <c r="AI27" s="2">
        <v>5.5628904156787118E-2</v>
      </c>
      <c r="AJ27" s="2">
        <v>2.1337264972297501E-2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1.0351970366504955</v>
      </c>
    </row>
    <row r="28" spans="1:44" x14ac:dyDescent="0.25">
      <c r="A28" t="s">
        <v>250</v>
      </c>
      <c r="B28" t="s">
        <v>384</v>
      </c>
      <c r="C28" t="s">
        <v>44</v>
      </c>
      <c r="D28" t="s">
        <v>191</v>
      </c>
      <c r="E28" t="s">
        <v>134</v>
      </c>
      <c r="F28" t="s">
        <v>385</v>
      </c>
      <c r="G28" t="s">
        <v>31</v>
      </c>
      <c r="H28" t="s">
        <v>288</v>
      </c>
      <c r="I28" t="s">
        <v>135</v>
      </c>
      <c r="J28" t="s">
        <v>39</v>
      </c>
      <c r="K28" t="s">
        <v>31</v>
      </c>
      <c r="L28">
        <v>0.47</v>
      </c>
      <c r="M28">
        <v>1</v>
      </c>
      <c r="N28">
        <v>5.3213707330090463</v>
      </c>
      <c r="O28">
        <v>6.6226500173868947</v>
      </c>
      <c r="P28">
        <v>-2.3861665887837624</v>
      </c>
      <c r="Q28">
        <v>0.67410983752979503</v>
      </c>
      <c r="R28">
        <v>-2.5186218996743959</v>
      </c>
      <c r="S28" s="2">
        <v>3.8277635277160632E-2</v>
      </c>
      <c r="T28" s="2">
        <v>7.6284938769813113E-2</v>
      </c>
      <c r="U28" s="2">
        <v>0.13504102121029657</v>
      </c>
      <c r="V28" s="2">
        <v>0.21900374169003611</v>
      </c>
      <c r="W28" s="2">
        <v>0.33141983986027423</v>
      </c>
      <c r="X28" s="2">
        <v>0.4732400356140547</v>
      </c>
      <c r="Y28" s="2">
        <v>0.64180520120851525</v>
      </c>
      <c r="Z28" s="2">
        <v>0.82951531041179916</v>
      </c>
      <c r="AA28" s="2">
        <v>1.022889571230637</v>
      </c>
      <c r="AB28" s="2">
        <v>1.2026111040005467</v>
      </c>
      <c r="AC28" s="2">
        <v>1.3452037492156257</v>
      </c>
      <c r="AD28" s="2">
        <v>1.4267503861939363</v>
      </c>
      <c r="AE28" s="2">
        <v>1.428408759897666</v>
      </c>
      <c r="AF28" s="2">
        <v>1.3424766039724323</v>
      </c>
      <c r="AG28" s="2">
        <v>1.1767961769337367</v>
      </c>
      <c r="AH28" s="2">
        <v>0.97027784337373968</v>
      </c>
      <c r="AI28" s="2">
        <v>0.73975124282159055</v>
      </c>
      <c r="AJ28" s="2">
        <v>0.48837214577049465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13.888125307452356</v>
      </c>
    </row>
    <row r="29" spans="1:44" x14ac:dyDescent="0.25">
      <c r="A29" t="s">
        <v>250</v>
      </c>
      <c r="B29" t="s">
        <v>384</v>
      </c>
      <c r="C29" t="s">
        <v>44</v>
      </c>
      <c r="D29" t="s">
        <v>191</v>
      </c>
      <c r="E29" t="s">
        <v>134</v>
      </c>
      <c r="F29" t="s">
        <v>385</v>
      </c>
      <c r="G29" t="s">
        <v>31</v>
      </c>
      <c r="H29" t="s">
        <v>288</v>
      </c>
      <c r="I29" t="s">
        <v>135</v>
      </c>
      <c r="J29" t="s">
        <v>39</v>
      </c>
      <c r="K29" t="s">
        <v>33</v>
      </c>
      <c r="L29">
        <v>0.47</v>
      </c>
      <c r="M29">
        <v>1</v>
      </c>
      <c r="N29">
        <v>5.3213707330090463</v>
      </c>
      <c r="O29">
        <v>6.6226500173868947</v>
      </c>
      <c r="P29">
        <v>-2.3861665887837624</v>
      </c>
      <c r="Q29">
        <v>0.67410983752979503</v>
      </c>
      <c r="R29">
        <v>-2.5186218996743959</v>
      </c>
      <c r="S29" s="2">
        <v>3.6008205479372973E-4</v>
      </c>
      <c r="T29" s="2">
        <v>7.1762106784162229E-4</v>
      </c>
      <c r="U29" s="2">
        <v>1.2703461968524778E-3</v>
      </c>
      <c r="V29" s="2">
        <v>2.0601930277108038E-3</v>
      </c>
      <c r="W29" s="2">
        <v>3.1177040084161833E-3</v>
      </c>
      <c r="X29" s="2">
        <v>4.4518226687907114E-3</v>
      </c>
      <c r="Y29" s="2">
        <v>6.0375342926776562E-3</v>
      </c>
      <c r="Z29" s="2">
        <v>7.8033445716580796E-3</v>
      </c>
      <c r="AA29" s="2">
        <v>9.6224381670613635E-3</v>
      </c>
      <c r="AB29" s="2">
        <v>1.1313099001825143E-2</v>
      </c>
      <c r="AC29" s="2">
        <v>1.2654484181858851E-2</v>
      </c>
      <c r="AD29" s="2">
        <v>1.3421602641294854E-2</v>
      </c>
      <c r="AE29" s="2">
        <v>1.3437203150744585E-2</v>
      </c>
      <c r="AF29" s="2">
        <v>1.2628829617365002E-2</v>
      </c>
      <c r="AG29" s="2">
        <v>1.1070255056130475E-2</v>
      </c>
      <c r="AH29" s="2">
        <v>9.1275136782368489E-3</v>
      </c>
      <c r="AI29" s="2">
        <v>6.958923810801633E-3</v>
      </c>
      <c r="AJ29" s="2">
        <v>4.5941721446410662E-3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0.1306471693387011</v>
      </c>
    </row>
    <row r="30" spans="1:44" x14ac:dyDescent="0.25">
      <c r="A30" t="s">
        <v>250</v>
      </c>
      <c r="B30" t="s">
        <v>384</v>
      </c>
      <c r="C30" t="s">
        <v>44</v>
      </c>
      <c r="D30" t="s">
        <v>191</v>
      </c>
      <c r="E30" t="s">
        <v>134</v>
      </c>
      <c r="F30" t="s">
        <v>385</v>
      </c>
      <c r="G30" t="s">
        <v>31</v>
      </c>
      <c r="H30" t="s">
        <v>273</v>
      </c>
      <c r="I30" t="s">
        <v>135</v>
      </c>
      <c r="J30" t="s">
        <v>39</v>
      </c>
      <c r="K30" t="s">
        <v>31</v>
      </c>
      <c r="L30">
        <v>0.47</v>
      </c>
      <c r="M30">
        <v>1</v>
      </c>
      <c r="N30">
        <v>5.3213707330090463</v>
      </c>
      <c r="O30">
        <v>6.6226500173868947</v>
      </c>
      <c r="P30">
        <v>-2.3861665887837624</v>
      </c>
      <c r="Q30">
        <v>0.67410983752979503</v>
      </c>
      <c r="R30">
        <v>-2.5186218996743959</v>
      </c>
      <c r="S30" s="2">
        <v>1.312994794895808E-2</v>
      </c>
      <c r="T30" s="2">
        <v>2.6125173570051573E-2</v>
      </c>
      <c r="U30" s="2">
        <v>4.6173051163128358E-2</v>
      </c>
      <c r="V30" s="2">
        <v>7.4761304986756247E-2</v>
      </c>
      <c r="W30" s="2">
        <v>0.11295522368113246</v>
      </c>
      <c r="X30" s="2">
        <v>0.16103184664466033</v>
      </c>
      <c r="Y30" s="2">
        <v>0.2180399156258741</v>
      </c>
      <c r="Z30" s="2">
        <v>0.28135825209765447</v>
      </c>
      <c r="AA30" s="2">
        <v>0.34639090463993322</v>
      </c>
      <c r="AB30" s="2">
        <v>0.40659816728551751</v>
      </c>
      <c r="AC30" s="2">
        <v>0.45407830689266254</v>
      </c>
      <c r="AD30" s="2">
        <v>0.48083177793034759</v>
      </c>
      <c r="AE30" s="2">
        <v>0.48061812681021548</v>
      </c>
      <c r="AF30" s="2">
        <v>0.45097954637332205</v>
      </c>
      <c r="AG30" s="2">
        <v>0.39468793109081096</v>
      </c>
      <c r="AH30" s="2">
        <v>0.32490110626359842</v>
      </c>
      <c r="AI30" s="2">
        <v>0.24731089972189507</v>
      </c>
      <c r="AJ30" s="2">
        <v>6.3779383631055828E-2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4.5837508663575743</v>
      </c>
    </row>
    <row r="31" spans="1:44" x14ac:dyDescent="0.25">
      <c r="A31" t="s">
        <v>250</v>
      </c>
      <c r="B31" t="s">
        <v>384</v>
      </c>
      <c r="C31" t="s">
        <v>44</v>
      </c>
      <c r="D31" t="s">
        <v>191</v>
      </c>
      <c r="E31" t="s">
        <v>134</v>
      </c>
      <c r="F31" t="s">
        <v>385</v>
      </c>
      <c r="G31" t="s">
        <v>31</v>
      </c>
      <c r="H31" t="s">
        <v>252</v>
      </c>
      <c r="I31" t="s">
        <v>135</v>
      </c>
      <c r="J31" t="s">
        <v>39</v>
      </c>
      <c r="K31" t="s">
        <v>31</v>
      </c>
      <c r="L31">
        <v>0.47</v>
      </c>
      <c r="M31">
        <v>1</v>
      </c>
      <c r="N31">
        <v>5.3213707330090463</v>
      </c>
      <c r="O31">
        <v>6.6226500173868947</v>
      </c>
      <c r="P31">
        <v>-2.3861665887837624</v>
      </c>
      <c r="Q31">
        <v>0.67410983752979503</v>
      </c>
      <c r="R31">
        <v>-2.5186218996743959</v>
      </c>
      <c r="S31" s="2">
        <v>1.9401562118620658E-3</v>
      </c>
      <c r="T31" s="2">
        <v>3.863895502459119E-3</v>
      </c>
      <c r="U31" s="2">
        <v>6.8351375093161906E-3</v>
      </c>
      <c r="V31" s="2">
        <v>1.1077150325319245E-2</v>
      </c>
      <c r="W31" s="2">
        <v>1.6751356825014291E-2</v>
      </c>
      <c r="X31" s="2">
        <v>2.3902753731470536E-2</v>
      </c>
      <c r="Y31" s="2">
        <v>3.2394006346381135E-2</v>
      </c>
      <c r="Z31" s="2">
        <v>4.1838953085448015E-2</v>
      </c>
      <c r="AA31" s="2">
        <v>5.1556108081457552E-2</v>
      </c>
      <c r="AB31" s="2">
        <v>6.0571950131187741E-2</v>
      </c>
      <c r="AC31" s="2">
        <v>6.7706347784877843E-2</v>
      </c>
      <c r="AD31" s="2">
        <v>7.17603072360707E-2</v>
      </c>
      <c r="AE31" s="2">
        <v>7.1793275418030406E-2</v>
      </c>
      <c r="AF31" s="2">
        <v>6.7426863872400697E-2</v>
      </c>
      <c r="AG31" s="2">
        <v>5.9063945612603148E-2</v>
      </c>
      <c r="AH31" s="2">
        <v>4.8664503060394562E-2</v>
      </c>
      <c r="AI31" s="2">
        <v>3.7076339834583777E-2</v>
      </c>
      <c r="AJ31" s="2">
        <v>1.7949787767247254E-2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0.6921728383361242</v>
      </c>
    </row>
    <row r="32" spans="1:44" x14ac:dyDescent="0.25">
      <c r="A32" t="s">
        <v>250</v>
      </c>
      <c r="B32" t="s">
        <v>384</v>
      </c>
      <c r="C32" t="s">
        <v>44</v>
      </c>
      <c r="D32" t="s">
        <v>191</v>
      </c>
      <c r="E32" t="s">
        <v>134</v>
      </c>
      <c r="F32" t="s">
        <v>385</v>
      </c>
      <c r="G32" t="s">
        <v>31</v>
      </c>
      <c r="H32" t="s">
        <v>289</v>
      </c>
      <c r="I32" t="s">
        <v>135</v>
      </c>
      <c r="J32" t="s">
        <v>39</v>
      </c>
      <c r="K32" t="s">
        <v>31</v>
      </c>
      <c r="L32">
        <v>0.47</v>
      </c>
      <c r="M32">
        <v>1</v>
      </c>
      <c r="N32">
        <v>5.3213707330090463</v>
      </c>
      <c r="O32">
        <v>6.6226500173868947</v>
      </c>
      <c r="P32">
        <v>-2.3861665887837624</v>
      </c>
      <c r="Q32">
        <v>0.67410983752979503</v>
      </c>
      <c r="R32">
        <v>-2.5186218996743959</v>
      </c>
      <c r="S32" s="2">
        <v>3.6381233064873231E-2</v>
      </c>
      <c r="T32" s="2">
        <v>7.2505527486964066E-2</v>
      </c>
      <c r="U32" s="2">
        <v>0.12835063687703133</v>
      </c>
      <c r="V32" s="2">
        <v>0.20815356306136798</v>
      </c>
      <c r="W32" s="2">
        <v>0.31500019133820439</v>
      </c>
      <c r="X32" s="2">
        <v>0.44979413975389571</v>
      </c>
      <c r="Y32" s="2">
        <v>0.61000802265721576</v>
      </c>
      <c r="Z32" s="2">
        <v>0.78841834456213944</v>
      </c>
      <c r="AA32" s="2">
        <v>0.97221219704694639</v>
      </c>
      <c r="AB32" s="2">
        <v>1.1430297233422484</v>
      </c>
      <c r="AC32" s="2">
        <v>1.2785578514866198</v>
      </c>
      <c r="AD32" s="2">
        <v>1.356064395035687</v>
      </c>
      <c r="AE32" s="2">
        <v>1.3576406073535892</v>
      </c>
      <c r="AF32" s="2">
        <v>1.2759658181497648</v>
      </c>
      <c r="AG32" s="2">
        <v>1.1184937541955151</v>
      </c>
      <c r="AH32" s="2">
        <v>0.92220703034195051</v>
      </c>
      <c r="AI32" s="2">
        <v>0.70310148942717765</v>
      </c>
      <c r="AJ32" s="2">
        <v>0.46417655450806194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13.200061079689252</v>
      </c>
    </row>
    <row r="33" spans="1:44" x14ac:dyDescent="0.25">
      <c r="A33" t="s">
        <v>250</v>
      </c>
      <c r="B33" t="s">
        <v>384</v>
      </c>
      <c r="C33" t="s">
        <v>44</v>
      </c>
      <c r="D33" t="s">
        <v>191</v>
      </c>
      <c r="E33" t="s">
        <v>134</v>
      </c>
      <c r="F33" t="s">
        <v>385</v>
      </c>
      <c r="G33" t="s">
        <v>31</v>
      </c>
      <c r="H33" t="s">
        <v>274</v>
      </c>
      <c r="I33" t="s">
        <v>135</v>
      </c>
      <c r="J33" t="s">
        <v>39</v>
      </c>
      <c r="K33" t="s">
        <v>31</v>
      </c>
      <c r="L33">
        <v>0.47</v>
      </c>
      <c r="M33">
        <v>1</v>
      </c>
      <c r="N33">
        <v>5.3213707330090463</v>
      </c>
      <c r="O33">
        <v>6.6226500173868947</v>
      </c>
      <c r="P33">
        <v>-2.3861665887837624</v>
      </c>
      <c r="Q33">
        <v>0.67410983752979503</v>
      </c>
      <c r="R33">
        <v>-2.5186218996743959</v>
      </c>
      <c r="S33" s="2">
        <v>2.0668889257105326E-2</v>
      </c>
      <c r="T33" s="2">
        <v>4.1125701445366397E-2</v>
      </c>
      <c r="U33" s="2">
        <v>7.2684650758961328E-2</v>
      </c>
      <c r="V33" s="2">
        <v>0.11768768158830074</v>
      </c>
      <c r="W33" s="2">
        <v>0.17781174901475169</v>
      </c>
      <c r="X33" s="2">
        <v>0.25349296266096566</v>
      </c>
      <c r="Y33" s="2">
        <v>0.34323387169690972</v>
      </c>
      <c r="Z33" s="2">
        <v>0.44290827174532849</v>
      </c>
      <c r="AA33" s="2">
        <v>0.54528131227203014</v>
      </c>
      <c r="AB33" s="2">
        <v>0.64005832501668369</v>
      </c>
      <c r="AC33" s="2">
        <v>0.71480056704741923</v>
      </c>
      <c r="AD33" s="2">
        <v>0.75691532121633931</v>
      </c>
      <c r="AE33" s="2">
        <v>0.75657899609465296</v>
      </c>
      <c r="AF33" s="2">
        <v>0.70992256309359381</v>
      </c>
      <c r="AG33" s="2">
        <v>0.62130948047508061</v>
      </c>
      <c r="AH33" s="2">
        <v>0.51145252144021047</v>
      </c>
      <c r="AI33" s="2">
        <v>0.38931164223180059</v>
      </c>
      <c r="AJ33" s="2">
        <v>0.10040017083703059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7.2156446778925298</v>
      </c>
    </row>
    <row r="34" spans="1:44" x14ac:dyDescent="0.25">
      <c r="A34" t="s">
        <v>250</v>
      </c>
      <c r="B34" t="s">
        <v>384</v>
      </c>
      <c r="C34" t="s">
        <v>44</v>
      </c>
      <c r="D34" t="s">
        <v>191</v>
      </c>
      <c r="E34" t="s">
        <v>134</v>
      </c>
      <c r="F34" t="s">
        <v>385</v>
      </c>
      <c r="G34" t="s">
        <v>31</v>
      </c>
      <c r="H34" t="s">
        <v>274</v>
      </c>
      <c r="I34" t="s">
        <v>135</v>
      </c>
      <c r="J34" t="s">
        <v>39</v>
      </c>
      <c r="K34" t="s">
        <v>33</v>
      </c>
      <c r="L34">
        <v>0.47</v>
      </c>
      <c r="M34">
        <v>1</v>
      </c>
      <c r="N34">
        <v>5.3213707330090463</v>
      </c>
      <c r="O34">
        <v>6.6226500173868947</v>
      </c>
      <c r="P34">
        <v>-2.3861665887837624</v>
      </c>
      <c r="Q34">
        <v>0.67410983752979503</v>
      </c>
      <c r="R34">
        <v>-2.5186218996743959</v>
      </c>
      <c r="S34" s="2">
        <v>6.6501792035379535E-5</v>
      </c>
      <c r="T34" s="2">
        <v>1.3232122978687298E-4</v>
      </c>
      <c r="U34" s="2">
        <v>2.3386160082477465E-4</v>
      </c>
      <c r="V34" s="2">
        <v>3.7865807053084156E-4</v>
      </c>
      <c r="W34" s="2">
        <v>5.7210621274005437E-4</v>
      </c>
      <c r="X34" s="2">
        <v>8.1560920258531074E-4</v>
      </c>
      <c r="Y34" s="2">
        <v>1.1043490180411739E-3</v>
      </c>
      <c r="Z34" s="2">
        <v>1.4250496682220969E-3</v>
      </c>
      <c r="AA34" s="2">
        <v>1.754433147249438E-3</v>
      </c>
      <c r="AB34" s="2">
        <v>2.0593765388790949E-3</v>
      </c>
      <c r="AC34" s="2">
        <v>2.2998584038674257E-3</v>
      </c>
      <c r="AD34" s="2">
        <v>2.4353618936062298E-3</v>
      </c>
      <c r="AE34" s="2">
        <v>2.4342797733712994E-3</v>
      </c>
      <c r="AF34" s="2">
        <v>2.2841635109077793E-3</v>
      </c>
      <c r="AG34" s="2">
        <v>1.9990524573525212E-3</v>
      </c>
      <c r="AH34" s="2">
        <v>1.6455896005681547E-3</v>
      </c>
      <c r="AI34" s="2">
        <v>1.2526034440748252E-3</v>
      </c>
      <c r="AJ34" s="2">
        <v>3.2303580508206736E-4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2.3216211369725334E-2</v>
      </c>
    </row>
    <row r="35" spans="1:44" x14ac:dyDescent="0.25">
      <c r="A35" t="s">
        <v>250</v>
      </c>
      <c r="B35" t="s">
        <v>384</v>
      </c>
      <c r="C35" t="s">
        <v>44</v>
      </c>
      <c r="D35" t="s">
        <v>191</v>
      </c>
      <c r="E35" t="s">
        <v>134</v>
      </c>
      <c r="F35" t="s">
        <v>385</v>
      </c>
      <c r="G35" t="s">
        <v>31</v>
      </c>
      <c r="H35" t="s">
        <v>255</v>
      </c>
      <c r="I35" t="s">
        <v>135</v>
      </c>
      <c r="J35" t="s">
        <v>39</v>
      </c>
      <c r="K35" t="s">
        <v>31</v>
      </c>
      <c r="L35">
        <v>0.47</v>
      </c>
      <c r="M35">
        <v>1</v>
      </c>
      <c r="N35">
        <v>5.3213707330090463</v>
      </c>
      <c r="O35">
        <v>6.6226500173868947</v>
      </c>
      <c r="P35">
        <v>-2.3861665887837624</v>
      </c>
      <c r="Q35">
        <v>0.67410983752979503</v>
      </c>
      <c r="R35">
        <v>-2.5186218996743959</v>
      </c>
      <c r="S35" s="2">
        <v>5.1866188689042823E-3</v>
      </c>
      <c r="T35" s="2">
        <v>1.0274401520517425E-2</v>
      </c>
      <c r="U35" s="2">
        <v>1.8078481182820065E-2</v>
      </c>
      <c r="V35" s="2">
        <v>2.9142463354226003E-2</v>
      </c>
      <c r="W35" s="2">
        <v>4.3836081276634103E-2</v>
      </c>
      <c r="X35" s="2">
        <v>6.2217591462976264E-2</v>
      </c>
      <c r="Y35" s="2">
        <v>8.3871313596990113E-2</v>
      </c>
      <c r="Z35" s="2">
        <v>0.10774896697084889</v>
      </c>
      <c r="AA35" s="2">
        <v>0.13206749970459308</v>
      </c>
      <c r="AB35" s="2">
        <v>0.15433730438283147</v>
      </c>
      <c r="AC35" s="2">
        <v>0.17159801765759031</v>
      </c>
      <c r="AD35" s="2">
        <v>0.18090505079327054</v>
      </c>
      <c r="AE35" s="2">
        <v>0.18002536272799108</v>
      </c>
      <c r="AF35" s="2">
        <v>0.16817692664432232</v>
      </c>
      <c r="AG35" s="2">
        <v>0.14653434619032579</v>
      </c>
      <c r="AH35" s="2">
        <v>0.12009164464678436</v>
      </c>
      <c r="AI35" s="2">
        <v>1.3954298491201309E-2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1.6280463694728275</v>
      </c>
    </row>
    <row r="36" spans="1:44" x14ac:dyDescent="0.25">
      <c r="A36" t="s">
        <v>250</v>
      </c>
      <c r="B36" t="s">
        <v>384</v>
      </c>
      <c r="C36" t="s">
        <v>44</v>
      </c>
      <c r="D36" t="s">
        <v>191</v>
      </c>
      <c r="E36" t="s">
        <v>134</v>
      </c>
      <c r="F36" t="s">
        <v>385</v>
      </c>
      <c r="G36" t="s">
        <v>31</v>
      </c>
      <c r="H36" t="s">
        <v>278</v>
      </c>
      <c r="I36" t="s">
        <v>135</v>
      </c>
      <c r="J36" t="s">
        <v>39</v>
      </c>
      <c r="K36" t="s">
        <v>31</v>
      </c>
      <c r="L36">
        <v>0.47</v>
      </c>
      <c r="M36">
        <v>1</v>
      </c>
      <c r="N36">
        <v>5.3213707330090463</v>
      </c>
      <c r="O36">
        <v>6.6226500173868947</v>
      </c>
      <c r="P36">
        <v>-2.3861665887837624</v>
      </c>
      <c r="Q36">
        <v>0.67410983752979503</v>
      </c>
      <c r="R36">
        <v>-2.5186218996743959</v>
      </c>
      <c r="S36" s="2">
        <v>1.0969432619177339E-2</v>
      </c>
      <c r="T36" s="2">
        <v>2.1729831713179038E-2</v>
      </c>
      <c r="U36" s="2">
        <v>3.8235059526150396E-2</v>
      </c>
      <c r="V36" s="2">
        <v>6.1634813777739779E-2</v>
      </c>
      <c r="W36" s="2">
        <v>9.2711061291921026E-2</v>
      </c>
      <c r="X36" s="2">
        <v>0.13158701160257091</v>
      </c>
      <c r="Y36" s="2">
        <v>0.17738352218242651</v>
      </c>
      <c r="Z36" s="2">
        <v>0.22788353315469029</v>
      </c>
      <c r="AA36" s="2">
        <v>0.27931598133772423</v>
      </c>
      <c r="AB36" s="2">
        <v>0.32641547486804096</v>
      </c>
      <c r="AC36" s="2">
        <v>0.36292099725403548</v>
      </c>
      <c r="AD36" s="2">
        <v>0.38260489449938351</v>
      </c>
      <c r="AE36" s="2">
        <v>0.38074439940578192</v>
      </c>
      <c r="AF36" s="2">
        <v>0.35568556540476137</v>
      </c>
      <c r="AG36" s="2">
        <v>0.30991261890611221</v>
      </c>
      <c r="AH36" s="2">
        <v>0.25398766274827295</v>
      </c>
      <c r="AI36" s="2">
        <v>2.9512624874912668E-2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3.4432344851668804</v>
      </c>
    </row>
    <row r="37" spans="1:44" x14ac:dyDescent="0.25">
      <c r="A37" t="s">
        <v>250</v>
      </c>
      <c r="B37" t="s">
        <v>384</v>
      </c>
      <c r="C37" t="s">
        <v>44</v>
      </c>
      <c r="D37" t="s">
        <v>191</v>
      </c>
      <c r="E37" t="s">
        <v>134</v>
      </c>
      <c r="F37" t="s">
        <v>385</v>
      </c>
      <c r="G37" t="s">
        <v>31</v>
      </c>
      <c r="H37" t="s">
        <v>276</v>
      </c>
      <c r="I37" t="s">
        <v>135</v>
      </c>
      <c r="J37" t="s">
        <v>39</v>
      </c>
      <c r="K37" t="s">
        <v>31</v>
      </c>
      <c r="L37">
        <v>0.47</v>
      </c>
      <c r="M37">
        <v>1</v>
      </c>
      <c r="N37">
        <v>5.3213707330090463</v>
      </c>
      <c r="O37">
        <v>6.6226500173868947</v>
      </c>
      <c r="P37">
        <v>-2.3861665887837624</v>
      </c>
      <c r="Q37">
        <v>0.67410983752979503</v>
      </c>
      <c r="R37">
        <v>-2.5186218996743959</v>
      </c>
      <c r="S37" s="2">
        <v>0.10955871812568679</v>
      </c>
      <c r="T37" s="2">
        <v>0.21854078991758624</v>
      </c>
      <c r="U37" s="2">
        <v>0.38721420793295064</v>
      </c>
      <c r="V37" s="2">
        <v>0.62853428157691216</v>
      </c>
      <c r="W37" s="2">
        <v>0.95202379339166454</v>
      </c>
      <c r="X37" s="2">
        <v>1.3606381452106977</v>
      </c>
      <c r="Y37" s="2">
        <v>1.8469547710788172</v>
      </c>
      <c r="Z37" s="2">
        <v>2.3892923833438808</v>
      </c>
      <c r="AA37" s="2">
        <v>2.9489370883006329</v>
      </c>
      <c r="AB37" s="2">
        <v>3.4701946069467455</v>
      </c>
      <c r="AC37" s="2">
        <v>3.8851568299946146</v>
      </c>
      <c r="AD37" s="2">
        <v>4.1243959188321373</v>
      </c>
      <c r="AE37" s="2">
        <v>4.1329173359090756</v>
      </c>
      <c r="AF37" s="2">
        <v>3.8877900510511938</v>
      </c>
      <c r="AG37" s="2">
        <v>3.4110586866902297</v>
      </c>
      <c r="AH37" s="2">
        <v>2.8149839379872028</v>
      </c>
      <c r="AI37" s="2">
        <v>2.1481142430780342</v>
      </c>
      <c r="AJ37" s="2">
        <v>1.4840329868083175</v>
      </c>
      <c r="AK37" s="2">
        <v>0.42062395101798306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40.62096272719436</v>
      </c>
    </row>
    <row r="38" spans="1:44" x14ac:dyDescent="0.25">
      <c r="A38" t="s">
        <v>250</v>
      </c>
      <c r="B38" t="s">
        <v>384</v>
      </c>
      <c r="C38" t="s">
        <v>44</v>
      </c>
      <c r="D38" t="s">
        <v>191</v>
      </c>
      <c r="E38" t="s">
        <v>134</v>
      </c>
      <c r="F38" t="s">
        <v>385</v>
      </c>
      <c r="G38" t="s">
        <v>31</v>
      </c>
      <c r="H38" t="s">
        <v>290</v>
      </c>
      <c r="I38" t="s">
        <v>135</v>
      </c>
      <c r="J38" t="s">
        <v>39</v>
      </c>
      <c r="K38" t="s">
        <v>31</v>
      </c>
      <c r="L38">
        <v>0.47</v>
      </c>
      <c r="M38">
        <v>1</v>
      </c>
      <c r="N38">
        <v>5.3213707330090463</v>
      </c>
      <c r="O38">
        <v>6.6226500173868947</v>
      </c>
      <c r="P38">
        <v>-2.3861665887837624</v>
      </c>
      <c r="Q38">
        <v>0.67410983752979503</v>
      </c>
      <c r="R38">
        <v>-2.5186218996743959</v>
      </c>
      <c r="S38" s="2">
        <v>5.2682503392587773E-2</v>
      </c>
      <c r="T38" s="2">
        <v>0.10499294213041428</v>
      </c>
      <c r="U38" s="2">
        <v>0.18586046412054361</v>
      </c>
      <c r="V38" s="2">
        <v>0.3014205365883455</v>
      </c>
      <c r="W38" s="2">
        <v>0.45614173162436139</v>
      </c>
      <c r="X38" s="2">
        <v>0.65133254970486187</v>
      </c>
      <c r="Y38" s="2">
        <v>0.88333316426740838</v>
      </c>
      <c r="Z38" s="2">
        <v>1.1416834618581686</v>
      </c>
      <c r="AA38" s="2">
        <v>1.4078294783992207</v>
      </c>
      <c r="AB38" s="2">
        <v>1.6551848908042635</v>
      </c>
      <c r="AC38" s="2">
        <v>1.8514388511366497</v>
      </c>
      <c r="AD38" s="2">
        <v>1.9636736051426624</v>
      </c>
      <c r="AE38" s="2">
        <v>1.9659560679343233</v>
      </c>
      <c r="AF38" s="2">
        <v>1.8476854103222862</v>
      </c>
      <c r="AG38" s="2">
        <v>1.6196551363424425</v>
      </c>
      <c r="AH38" s="2">
        <v>1.3354185911737839</v>
      </c>
      <c r="AI38" s="2">
        <v>1.0181388447178479</v>
      </c>
      <c r="AJ38" s="2">
        <v>0.67215926585075458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19.114587495510925</v>
      </c>
    </row>
    <row r="39" spans="1:44" x14ac:dyDescent="0.25">
      <c r="A39" t="s">
        <v>250</v>
      </c>
      <c r="B39" t="s">
        <v>384</v>
      </c>
      <c r="C39" t="s">
        <v>44</v>
      </c>
      <c r="D39" t="s">
        <v>191</v>
      </c>
      <c r="E39" t="s">
        <v>134</v>
      </c>
      <c r="F39" t="s">
        <v>385</v>
      </c>
      <c r="G39" t="s">
        <v>31</v>
      </c>
      <c r="H39" t="s">
        <v>275</v>
      </c>
      <c r="I39" t="s">
        <v>135</v>
      </c>
      <c r="J39" t="s">
        <v>39</v>
      </c>
      <c r="K39" t="s">
        <v>31</v>
      </c>
      <c r="L39">
        <v>0.47</v>
      </c>
      <c r="M39">
        <v>1</v>
      </c>
      <c r="N39">
        <v>5.3213707330090463</v>
      </c>
      <c r="O39">
        <v>6.6226500173868947</v>
      </c>
      <c r="P39">
        <v>-2.3861665887837624</v>
      </c>
      <c r="Q39">
        <v>0.67410983752979503</v>
      </c>
      <c r="R39">
        <v>-2.5186218996743959</v>
      </c>
      <c r="S39" s="2">
        <v>3.1575601668975911E-2</v>
      </c>
      <c r="T39" s="2">
        <v>6.2827215872266043E-2</v>
      </c>
      <c r="U39" s="2">
        <v>0.11103942506366761</v>
      </c>
      <c r="V39" s="2">
        <v>0.1797899881775209</v>
      </c>
      <c r="W39" s="2">
        <v>0.2716407683602845</v>
      </c>
      <c r="X39" s="2">
        <v>0.38725800478705663</v>
      </c>
      <c r="Y39" s="2">
        <v>0.52435406069420498</v>
      </c>
      <c r="Z39" s="2">
        <v>0.67662538564898411</v>
      </c>
      <c r="AA39" s="2">
        <v>0.83301938965681099</v>
      </c>
      <c r="AB39" s="2">
        <v>0.97780903773970695</v>
      </c>
      <c r="AC39" s="2">
        <v>1.091991819061513</v>
      </c>
      <c r="AD39" s="2">
        <v>1.1563299983164783</v>
      </c>
      <c r="AE39" s="2">
        <v>1.155816198666118</v>
      </c>
      <c r="AF39" s="2">
        <v>1.0845397538890835</v>
      </c>
      <c r="AG39" s="2">
        <v>0.94916666418808027</v>
      </c>
      <c r="AH39" s="2">
        <v>0.78133957218033756</v>
      </c>
      <c r="AI39" s="2">
        <v>0.59474649011341185</v>
      </c>
      <c r="AJ39" s="2">
        <v>0.1533800758430916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11.023249449927592</v>
      </c>
    </row>
    <row r="40" spans="1:44" x14ac:dyDescent="0.25">
      <c r="A40" t="s">
        <v>250</v>
      </c>
      <c r="B40" t="s">
        <v>384</v>
      </c>
      <c r="C40" t="s">
        <v>44</v>
      </c>
      <c r="D40" t="s">
        <v>191</v>
      </c>
      <c r="E40" t="s">
        <v>134</v>
      </c>
      <c r="F40" t="s">
        <v>385</v>
      </c>
      <c r="G40" t="s">
        <v>31</v>
      </c>
      <c r="H40" t="s">
        <v>277</v>
      </c>
      <c r="I40" t="s">
        <v>135</v>
      </c>
      <c r="J40" t="s">
        <v>39</v>
      </c>
      <c r="K40" t="s">
        <v>31</v>
      </c>
      <c r="L40">
        <v>0.47</v>
      </c>
      <c r="M40">
        <v>1</v>
      </c>
      <c r="N40">
        <v>5.3213707330090463</v>
      </c>
      <c r="O40">
        <v>6.6226500173868947</v>
      </c>
      <c r="P40">
        <v>-2.3861665887837624</v>
      </c>
      <c r="Q40">
        <v>0.67410983752979503</v>
      </c>
      <c r="R40">
        <v>-2.5186218996743959</v>
      </c>
      <c r="S40" s="2">
        <v>5.6237498699455345E-2</v>
      </c>
      <c r="T40" s="2">
        <v>0.11188447204022685</v>
      </c>
      <c r="U40" s="2">
        <v>0.19771829065525087</v>
      </c>
      <c r="V40" s="2">
        <v>0.32009787220765978</v>
      </c>
      <c r="W40" s="2">
        <v>0.48357058378686485</v>
      </c>
      <c r="X40" s="2">
        <v>0.68930744358768681</v>
      </c>
      <c r="Y40" s="2">
        <v>0.9332217262604654</v>
      </c>
      <c r="Z40" s="2">
        <v>1.2040821929430416</v>
      </c>
      <c r="AA40" s="2">
        <v>1.482212928524262</v>
      </c>
      <c r="AB40" s="2">
        <v>1.7396311455566198</v>
      </c>
      <c r="AC40" s="2">
        <v>1.9425408160531767</v>
      </c>
      <c r="AD40" s="2">
        <v>2.0567438212660321</v>
      </c>
      <c r="AE40" s="2">
        <v>2.0555820952141404</v>
      </c>
      <c r="AF40" s="2">
        <v>1.928586692815824</v>
      </c>
      <c r="AG40" s="2">
        <v>1.6876555332315144</v>
      </c>
      <c r="AH40" s="2">
        <v>1.3890849046577092</v>
      </c>
      <c r="AI40" s="2">
        <v>1.0572276182823777</v>
      </c>
      <c r="AJ40" s="2">
        <v>0.24076836236461269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19.576153998146928</v>
      </c>
    </row>
    <row r="41" spans="1:44" x14ac:dyDescent="0.25">
      <c r="A41" t="s">
        <v>250</v>
      </c>
      <c r="B41" t="s">
        <v>384</v>
      </c>
      <c r="C41" t="s">
        <v>44</v>
      </c>
      <c r="D41" t="s">
        <v>191</v>
      </c>
      <c r="E41" t="s">
        <v>134</v>
      </c>
      <c r="F41" t="s">
        <v>385</v>
      </c>
      <c r="G41" t="s">
        <v>31</v>
      </c>
      <c r="H41" t="s">
        <v>277</v>
      </c>
      <c r="I41" t="s">
        <v>135</v>
      </c>
      <c r="J41" t="s">
        <v>40</v>
      </c>
      <c r="K41" t="s">
        <v>31</v>
      </c>
      <c r="L41">
        <v>0.47</v>
      </c>
      <c r="M41">
        <v>1</v>
      </c>
      <c r="N41">
        <v>5.3213707330090463</v>
      </c>
      <c r="O41">
        <v>5.385861804598159</v>
      </c>
      <c r="P41">
        <v>-2.3861665887837624</v>
      </c>
      <c r="Q41">
        <v>0.4672931329656026</v>
      </c>
      <c r="R41">
        <v>-2.3756218996743956</v>
      </c>
      <c r="S41" s="2">
        <v>8.8712061661620819E-3</v>
      </c>
      <c r="T41" s="2">
        <v>1.7649259679301182E-2</v>
      </c>
      <c r="U41" s="2">
        <v>3.1189148873736736E-2</v>
      </c>
      <c r="V41" s="2">
        <v>5.0493963696352243E-2</v>
      </c>
      <c r="W41" s="2">
        <v>7.6281030342236392E-2</v>
      </c>
      <c r="X41" s="2">
        <v>0.10873507153325321</v>
      </c>
      <c r="Y41" s="2">
        <v>0.14721142518521091</v>
      </c>
      <c r="Z41" s="2">
        <v>0.18993841514337712</v>
      </c>
      <c r="AA41" s="2">
        <v>0.23381225650451878</v>
      </c>
      <c r="AB41" s="2">
        <v>0.27441879354884896</v>
      </c>
      <c r="AC41" s="2">
        <v>0.3064268586604007</v>
      </c>
      <c r="AD41" s="2">
        <v>0.32444185625929517</v>
      </c>
      <c r="AE41" s="2">
        <v>0.32425859933014173</v>
      </c>
      <c r="AF41" s="2">
        <v>0.30422566004792057</v>
      </c>
      <c r="AG41" s="2">
        <v>0.26621988031103477</v>
      </c>
      <c r="AH41" s="2">
        <v>0.21912174005778617</v>
      </c>
      <c r="AI41" s="2">
        <v>0.16677278298713377</v>
      </c>
      <c r="AJ41" s="2">
        <v>3.7980099225971328E-2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0</v>
      </c>
      <c r="AQ41" s="2">
        <v>0</v>
      </c>
      <c r="AR41" s="2">
        <v>3.0880480475526815</v>
      </c>
    </row>
    <row r="42" spans="1:44" x14ac:dyDescent="0.25">
      <c r="A42" t="s">
        <v>250</v>
      </c>
      <c r="B42" t="s">
        <v>386</v>
      </c>
      <c r="C42" t="s">
        <v>44</v>
      </c>
      <c r="D42" t="s">
        <v>191</v>
      </c>
      <c r="E42" t="s">
        <v>134</v>
      </c>
      <c r="F42" t="s">
        <v>387</v>
      </c>
      <c r="G42" t="s">
        <v>31</v>
      </c>
      <c r="H42" t="s">
        <v>254</v>
      </c>
      <c r="I42" t="s">
        <v>135</v>
      </c>
      <c r="J42" t="s">
        <v>39</v>
      </c>
      <c r="K42" t="s">
        <v>31</v>
      </c>
      <c r="L42">
        <v>0.115</v>
      </c>
      <c r="M42">
        <v>1</v>
      </c>
      <c r="N42">
        <v>2.7606638800723569</v>
      </c>
      <c r="O42">
        <v>7.2695359336160141</v>
      </c>
      <c r="P42">
        <v>-1.984349841954884</v>
      </c>
      <c r="Q42">
        <v>1.4263152691032981</v>
      </c>
      <c r="R42">
        <v>-2.869010584419021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0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</row>
    <row r="43" spans="1:44" x14ac:dyDescent="0.25">
      <c r="A43" t="s">
        <v>250</v>
      </c>
      <c r="B43" t="s">
        <v>386</v>
      </c>
      <c r="C43" t="s">
        <v>44</v>
      </c>
      <c r="D43" t="s">
        <v>191</v>
      </c>
      <c r="E43" t="s">
        <v>134</v>
      </c>
      <c r="F43" t="s">
        <v>387</v>
      </c>
      <c r="G43" t="s">
        <v>31</v>
      </c>
      <c r="H43" t="s">
        <v>272</v>
      </c>
      <c r="I43" t="s">
        <v>135</v>
      </c>
      <c r="J43" t="s">
        <v>39</v>
      </c>
      <c r="K43" t="s">
        <v>31</v>
      </c>
      <c r="L43">
        <v>0.115</v>
      </c>
      <c r="M43">
        <v>1</v>
      </c>
      <c r="N43">
        <v>2.7606638800723569</v>
      </c>
      <c r="O43">
        <v>7.2695359336160141</v>
      </c>
      <c r="P43">
        <v>-1.984349841954884</v>
      </c>
      <c r="Q43">
        <v>1.4263152691032981</v>
      </c>
      <c r="R43">
        <v>-2.869010584419021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</row>
    <row r="44" spans="1:44" x14ac:dyDescent="0.25">
      <c r="A44" t="s">
        <v>250</v>
      </c>
      <c r="B44" t="s">
        <v>386</v>
      </c>
      <c r="C44" t="s">
        <v>44</v>
      </c>
      <c r="D44" t="s">
        <v>191</v>
      </c>
      <c r="E44" t="s">
        <v>134</v>
      </c>
      <c r="F44" t="s">
        <v>387</v>
      </c>
      <c r="G44" t="s">
        <v>31</v>
      </c>
      <c r="H44" t="s">
        <v>272</v>
      </c>
      <c r="I44" t="s">
        <v>135</v>
      </c>
      <c r="J44" t="s">
        <v>40</v>
      </c>
      <c r="K44" t="s">
        <v>31</v>
      </c>
      <c r="L44">
        <v>0.115</v>
      </c>
      <c r="M44">
        <v>1</v>
      </c>
      <c r="N44">
        <v>2.7606638800723569</v>
      </c>
      <c r="O44">
        <v>6.0327477208272802</v>
      </c>
      <c r="P44">
        <v>-1.984349841954884</v>
      </c>
      <c r="Q44">
        <v>0.4672931329656026</v>
      </c>
      <c r="R44">
        <v>-2.7260105844190208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</row>
    <row r="45" spans="1:44" x14ac:dyDescent="0.25">
      <c r="A45" t="s">
        <v>250</v>
      </c>
      <c r="B45" t="s">
        <v>386</v>
      </c>
      <c r="C45" t="s">
        <v>44</v>
      </c>
      <c r="D45" t="s">
        <v>191</v>
      </c>
      <c r="E45" t="s">
        <v>134</v>
      </c>
      <c r="F45" t="s">
        <v>387</v>
      </c>
      <c r="G45" t="s">
        <v>31</v>
      </c>
      <c r="H45" t="s">
        <v>253</v>
      </c>
      <c r="I45" t="s">
        <v>135</v>
      </c>
      <c r="J45" t="s">
        <v>39</v>
      </c>
      <c r="K45" t="s">
        <v>31</v>
      </c>
      <c r="L45">
        <v>0.115</v>
      </c>
      <c r="M45">
        <v>1</v>
      </c>
      <c r="N45">
        <v>2.7606638800723569</v>
      </c>
      <c r="O45">
        <v>7.2695359336160141</v>
      </c>
      <c r="P45">
        <v>-1.984349841954884</v>
      </c>
      <c r="Q45">
        <v>1.4263152691032981</v>
      </c>
      <c r="R45">
        <v>-2.869010584419021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</row>
    <row r="46" spans="1:44" x14ac:dyDescent="0.25">
      <c r="A46" t="s">
        <v>250</v>
      </c>
      <c r="B46" t="s">
        <v>386</v>
      </c>
      <c r="C46" t="s">
        <v>44</v>
      </c>
      <c r="D46" t="s">
        <v>191</v>
      </c>
      <c r="E46" t="s">
        <v>134</v>
      </c>
      <c r="F46" t="s">
        <v>387</v>
      </c>
      <c r="G46" t="s">
        <v>31</v>
      </c>
      <c r="H46" t="s">
        <v>253</v>
      </c>
      <c r="I46" t="s">
        <v>135</v>
      </c>
      <c r="J46" t="s">
        <v>40</v>
      </c>
      <c r="K46" t="s">
        <v>31</v>
      </c>
      <c r="L46">
        <v>0.115</v>
      </c>
      <c r="M46">
        <v>1</v>
      </c>
      <c r="N46">
        <v>2.7606638800723569</v>
      </c>
      <c r="O46">
        <v>6.0327477208272802</v>
      </c>
      <c r="P46">
        <v>-1.984349841954884</v>
      </c>
      <c r="Q46">
        <v>0.4672931329656026</v>
      </c>
      <c r="R46">
        <v>-2.7260105844190208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</row>
    <row r="47" spans="1:44" x14ac:dyDescent="0.25">
      <c r="A47" t="s">
        <v>250</v>
      </c>
      <c r="B47" t="s">
        <v>386</v>
      </c>
      <c r="C47" t="s">
        <v>44</v>
      </c>
      <c r="D47" t="s">
        <v>191</v>
      </c>
      <c r="E47" t="s">
        <v>134</v>
      </c>
      <c r="F47" t="s">
        <v>387</v>
      </c>
      <c r="G47" t="s">
        <v>31</v>
      </c>
      <c r="H47" t="s">
        <v>253</v>
      </c>
      <c r="I47" t="s">
        <v>256</v>
      </c>
      <c r="J47" t="s">
        <v>39</v>
      </c>
      <c r="K47" t="s">
        <v>31</v>
      </c>
      <c r="L47">
        <v>0.115</v>
      </c>
      <c r="M47">
        <v>1</v>
      </c>
      <c r="N47">
        <v>1.7349881525253912</v>
      </c>
      <c r="O47">
        <v>4.5686687213985717</v>
      </c>
      <c r="P47">
        <v>-0.52141289060601304</v>
      </c>
      <c r="Q47">
        <v>0.4672931329656026</v>
      </c>
      <c r="R47">
        <v>-1.4060736330701491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</row>
    <row r="48" spans="1:44" x14ac:dyDescent="0.25">
      <c r="A48" t="s">
        <v>250</v>
      </c>
      <c r="B48" t="s">
        <v>386</v>
      </c>
      <c r="C48" t="s">
        <v>44</v>
      </c>
      <c r="D48" t="s">
        <v>191</v>
      </c>
      <c r="E48" t="s">
        <v>134</v>
      </c>
      <c r="F48" t="s">
        <v>387</v>
      </c>
      <c r="G48" t="s">
        <v>31</v>
      </c>
      <c r="H48" t="s">
        <v>288</v>
      </c>
      <c r="I48" t="s">
        <v>135</v>
      </c>
      <c r="J48" t="s">
        <v>39</v>
      </c>
      <c r="K48" t="s">
        <v>31</v>
      </c>
      <c r="L48">
        <v>0.115</v>
      </c>
      <c r="M48">
        <v>1</v>
      </c>
      <c r="N48">
        <v>2.7606638800723569</v>
      </c>
      <c r="O48">
        <v>7.2695359336160141</v>
      </c>
      <c r="P48">
        <v>-1.984349841954884</v>
      </c>
      <c r="Q48">
        <v>1.4263152691032981</v>
      </c>
      <c r="R48">
        <v>-2.869010584419021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0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</row>
    <row r="49" spans="1:44" x14ac:dyDescent="0.25">
      <c r="A49" t="s">
        <v>250</v>
      </c>
      <c r="B49" t="s">
        <v>386</v>
      </c>
      <c r="C49" t="s">
        <v>44</v>
      </c>
      <c r="D49" t="s">
        <v>191</v>
      </c>
      <c r="E49" t="s">
        <v>134</v>
      </c>
      <c r="F49" t="s">
        <v>387</v>
      </c>
      <c r="G49" t="s">
        <v>31</v>
      </c>
      <c r="H49" t="s">
        <v>288</v>
      </c>
      <c r="I49" t="s">
        <v>135</v>
      </c>
      <c r="J49" t="s">
        <v>39</v>
      </c>
      <c r="K49" t="s">
        <v>33</v>
      </c>
      <c r="L49">
        <v>0.115</v>
      </c>
      <c r="M49">
        <v>1</v>
      </c>
      <c r="N49">
        <v>2.7606638800723569</v>
      </c>
      <c r="O49">
        <v>7.2695359336160141</v>
      </c>
      <c r="P49">
        <v>-1.984349841954884</v>
      </c>
      <c r="Q49">
        <v>1.4263152691032981</v>
      </c>
      <c r="R49">
        <v>-2.869010584419021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</row>
    <row r="50" spans="1:44" x14ac:dyDescent="0.25">
      <c r="A50" t="s">
        <v>250</v>
      </c>
      <c r="B50" t="s">
        <v>386</v>
      </c>
      <c r="C50" t="s">
        <v>44</v>
      </c>
      <c r="D50" t="s">
        <v>191</v>
      </c>
      <c r="E50" t="s">
        <v>134</v>
      </c>
      <c r="F50" t="s">
        <v>387</v>
      </c>
      <c r="G50" t="s">
        <v>31</v>
      </c>
      <c r="H50" t="s">
        <v>273</v>
      </c>
      <c r="I50" t="s">
        <v>135</v>
      </c>
      <c r="J50" t="s">
        <v>39</v>
      </c>
      <c r="K50" t="s">
        <v>31</v>
      </c>
      <c r="L50">
        <v>0.115</v>
      </c>
      <c r="M50">
        <v>1</v>
      </c>
      <c r="N50">
        <v>2.7606638800723569</v>
      </c>
      <c r="O50">
        <v>7.2695359336160141</v>
      </c>
      <c r="P50">
        <v>-1.984349841954884</v>
      </c>
      <c r="Q50">
        <v>1.4263152691032981</v>
      </c>
      <c r="R50">
        <v>-2.869010584419021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</row>
    <row r="51" spans="1:44" x14ac:dyDescent="0.25">
      <c r="A51" t="s">
        <v>250</v>
      </c>
      <c r="B51" t="s">
        <v>386</v>
      </c>
      <c r="C51" t="s">
        <v>44</v>
      </c>
      <c r="D51" t="s">
        <v>191</v>
      </c>
      <c r="E51" t="s">
        <v>134</v>
      </c>
      <c r="F51" t="s">
        <v>387</v>
      </c>
      <c r="G51" t="s">
        <v>31</v>
      </c>
      <c r="H51" t="s">
        <v>252</v>
      </c>
      <c r="I51" t="s">
        <v>135</v>
      </c>
      <c r="J51" t="s">
        <v>39</v>
      </c>
      <c r="K51" t="s">
        <v>31</v>
      </c>
      <c r="L51">
        <v>0.115</v>
      </c>
      <c r="M51">
        <v>1</v>
      </c>
      <c r="N51">
        <v>2.7606638800723569</v>
      </c>
      <c r="O51">
        <v>7.2695359336160141</v>
      </c>
      <c r="P51">
        <v>-1.984349841954884</v>
      </c>
      <c r="Q51">
        <v>1.4263152691032981</v>
      </c>
      <c r="R51">
        <v>-2.869010584419021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</row>
    <row r="52" spans="1:44" x14ac:dyDescent="0.25">
      <c r="A52" t="s">
        <v>250</v>
      </c>
      <c r="B52" t="s">
        <v>386</v>
      </c>
      <c r="C52" t="s">
        <v>44</v>
      </c>
      <c r="D52" t="s">
        <v>191</v>
      </c>
      <c r="E52" t="s">
        <v>134</v>
      </c>
      <c r="F52" t="s">
        <v>387</v>
      </c>
      <c r="G52" t="s">
        <v>31</v>
      </c>
      <c r="H52" t="s">
        <v>289</v>
      </c>
      <c r="I52" t="s">
        <v>135</v>
      </c>
      <c r="J52" t="s">
        <v>39</v>
      </c>
      <c r="K52" t="s">
        <v>31</v>
      </c>
      <c r="L52">
        <v>0.115</v>
      </c>
      <c r="M52">
        <v>1</v>
      </c>
      <c r="N52">
        <v>2.7606638800723569</v>
      </c>
      <c r="O52">
        <v>7.2695359336160141</v>
      </c>
      <c r="P52">
        <v>-1.984349841954884</v>
      </c>
      <c r="Q52">
        <v>1.4263152691032981</v>
      </c>
      <c r="R52">
        <v>-2.869010584419021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</row>
    <row r="53" spans="1:44" x14ac:dyDescent="0.25">
      <c r="A53" t="s">
        <v>250</v>
      </c>
      <c r="B53" t="s">
        <v>386</v>
      </c>
      <c r="C53" t="s">
        <v>44</v>
      </c>
      <c r="D53" t="s">
        <v>191</v>
      </c>
      <c r="E53" t="s">
        <v>134</v>
      </c>
      <c r="F53" t="s">
        <v>387</v>
      </c>
      <c r="G53" t="s">
        <v>31</v>
      </c>
      <c r="H53" t="s">
        <v>274</v>
      </c>
      <c r="I53" t="s">
        <v>135</v>
      </c>
      <c r="J53" t="s">
        <v>39</v>
      </c>
      <c r="K53" t="s">
        <v>31</v>
      </c>
      <c r="L53">
        <v>0.115</v>
      </c>
      <c r="M53">
        <v>1</v>
      </c>
      <c r="N53">
        <v>2.7606638800723569</v>
      </c>
      <c r="O53">
        <v>7.2695359336160141</v>
      </c>
      <c r="P53">
        <v>-1.984349841954884</v>
      </c>
      <c r="Q53">
        <v>1.4263152691032981</v>
      </c>
      <c r="R53">
        <v>-2.869010584419021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</row>
    <row r="54" spans="1:44" x14ac:dyDescent="0.25">
      <c r="A54" t="s">
        <v>250</v>
      </c>
      <c r="B54" t="s">
        <v>386</v>
      </c>
      <c r="C54" t="s">
        <v>44</v>
      </c>
      <c r="D54" t="s">
        <v>191</v>
      </c>
      <c r="E54" t="s">
        <v>134</v>
      </c>
      <c r="F54" t="s">
        <v>387</v>
      </c>
      <c r="G54" t="s">
        <v>31</v>
      </c>
      <c r="H54" t="s">
        <v>274</v>
      </c>
      <c r="I54" t="s">
        <v>135</v>
      </c>
      <c r="J54" t="s">
        <v>39</v>
      </c>
      <c r="K54" t="s">
        <v>33</v>
      </c>
      <c r="L54">
        <v>0.115</v>
      </c>
      <c r="M54">
        <v>1</v>
      </c>
      <c r="N54">
        <v>2.7606638800723569</v>
      </c>
      <c r="O54">
        <v>7.2695359336160141</v>
      </c>
      <c r="P54">
        <v>-1.984349841954884</v>
      </c>
      <c r="Q54">
        <v>1.4263152691032981</v>
      </c>
      <c r="R54">
        <v>-2.869010584419021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</row>
    <row r="55" spans="1:44" x14ac:dyDescent="0.25">
      <c r="A55" t="s">
        <v>250</v>
      </c>
      <c r="B55" t="s">
        <v>386</v>
      </c>
      <c r="C55" t="s">
        <v>44</v>
      </c>
      <c r="D55" t="s">
        <v>191</v>
      </c>
      <c r="E55" t="s">
        <v>134</v>
      </c>
      <c r="F55" t="s">
        <v>387</v>
      </c>
      <c r="G55" t="s">
        <v>31</v>
      </c>
      <c r="H55" t="s">
        <v>255</v>
      </c>
      <c r="I55" t="s">
        <v>135</v>
      </c>
      <c r="J55" t="s">
        <v>39</v>
      </c>
      <c r="K55" t="s">
        <v>31</v>
      </c>
      <c r="L55">
        <v>0.115</v>
      </c>
      <c r="M55">
        <v>1</v>
      </c>
      <c r="N55">
        <v>2.7606638800723569</v>
      </c>
      <c r="O55">
        <v>7.2695359336160141</v>
      </c>
      <c r="P55">
        <v>-1.984349841954884</v>
      </c>
      <c r="Q55">
        <v>1.4263152691032981</v>
      </c>
      <c r="R55">
        <v>-2.869010584419021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</row>
    <row r="56" spans="1:44" x14ac:dyDescent="0.25">
      <c r="A56" t="s">
        <v>250</v>
      </c>
      <c r="B56" t="s">
        <v>386</v>
      </c>
      <c r="C56" t="s">
        <v>44</v>
      </c>
      <c r="D56" t="s">
        <v>191</v>
      </c>
      <c r="E56" t="s">
        <v>134</v>
      </c>
      <c r="F56" t="s">
        <v>387</v>
      </c>
      <c r="G56" t="s">
        <v>31</v>
      </c>
      <c r="H56" t="s">
        <v>278</v>
      </c>
      <c r="I56" t="s">
        <v>135</v>
      </c>
      <c r="J56" t="s">
        <v>39</v>
      </c>
      <c r="K56" t="s">
        <v>31</v>
      </c>
      <c r="L56">
        <v>0.115</v>
      </c>
      <c r="M56">
        <v>1</v>
      </c>
      <c r="N56">
        <v>2.7606638800723569</v>
      </c>
      <c r="O56">
        <v>7.2695359336160141</v>
      </c>
      <c r="P56">
        <v>-1.984349841954884</v>
      </c>
      <c r="Q56">
        <v>1.4263152691032981</v>
      </c>
      <c r="R56">
        <v>-2.869010584419021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</row>
    <row r="57" spans="1:44" x14ac:dyDescent="0.25">
      <c r="A57" t="s">
        <v>250</v>
      </c>
      <c r="B57" t="s">
        <v>386</v>
      </c>
      <c r="C57" t="s">
        <v>44</v>
      </c>
      <c r="D57" t="s">
        <v>191</v>
      </c>
      <c r="E57" t="s">
        <v>134</v>
      </c>
      <c r="F57" t="s">
        <v>387</v>
      </c>
      <c r="G57" t="s">
        <v>31</v>
      </c>
      <c r="H57" t="s">
        <v>276</v>
      </c>
      <c r="I57" t="s">
        <v>135</v>
      </c>
      <c r="J57" t="s">
        <v>39</v>
      </c>
      <c r="K57" t="s">
        <v>31</v>
      </c>
      <c r="L57">
        <v>0.115</v>
      </c>
      <c r="M57">
        <v>1</v>
      </c>
      <c r="N57">
        <v>2.7606638800723569</v>
      </c>
      <c r="O57">
        <v>7.2695359336160141</v>
      </c>
      <c r="P57">
        <v>-1.984349841954884</v>
      </c>
      <c r="Q57">
        <v>1.4263152691032981</v>
      </c>
      <c r="R57">
        <v>-2.869010584419021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</row>
    <row r="58" spans="1:44" x14ac:dyDescent="0.25">
      <c r="A58" t="s">
        <v>250</v>
      </c>
      <c r="B58" t="s">
        <v>386</v>
      </c>
      <c r="C58" t="s">
        <v>44</v>
      </c>
      <c r="D58" t="s">
        <v>191</v>
      </c>
      <c r="E58" t="s">
        <v>134</v>
      </c>
      <c r="F58" t="s">
        <v>387</v>
      </c>
      <c r="G58" t="s">
        <v>31</v>
      </c>
      <c r="H58" t="s">
        <v>290</v>
      </c>
      <c r="I58" t="s">
        <v>135</v>
      </c>
      <c r="J58" t="s">
        <v>39</v>
      </c>
      <c r="K58" t="s">
        <v>31</v>
      </c>
      <c r="L58">
        <v>0.115</v>
      </c>
      <c r="M58">
        <v>1</v>
      </c>
      <c r="N58">
        <v>2.7606638800723569</v>
      </c>
      <c r="O58">
        <v>7.2695359336160141</v>
      </c>
      <c r="P58">
        <v>-1.984349841954884</v>
      </c>
      <c r="Q58">
        <v>1.4263152691032981</v>
      </c>
      <c r="R58">
        <v>-2.869010584419021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</row>
    <row r="59" spans="1:44" x14ac:dyDescent="0.25">
      <c r="A59" t="s">
        <v>250</v>
      </c>
      <c r="B59" t="s">
        <v>386</v>
      </c>
      <c r="C59" t="s">
        <v>44</v>
      </c>
      <c r="D59" t="s">
        <v>191</v>
      </c>
      <c r="E59" t="s">
        <v>134</v>
      </c>
      <c r="F59" t="s">
        <v>387</v>
      </c>
      <c r="G59" t="s">
        <v>31</v>
      </c>
      <c r="H59" t="s">
        <v>275</v>
      </c>
      <c r="I59" t="s">
        <v>135</v>
      </c>
      <c r="J59" t="s">
        <v>39</v>
      </c>
      <c r="K59" t="s">
        <v>31</v>
      </c>
      <c r="L59">
        <v>0.115</v>
      </c>
      <c r="M59">
        <v>1</v>
      </c>
      <c r="N59">
        <v>2.7606638800723569</v>
      </c>
      <c r="O59">
        <v>7.2695359336160141</v>
      </c>
      <c r="P59">
        <v>-1.984349841954884</v>
      </c>
      <c r="Q59">
        <v>1.4263152691032981</v>
      </c>
      <c r="R59">
        <v>-2.869010584419021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v>0</v>
      </c>
      <c r="AP59" s="2">
        <v>0</v>
      </c>
      <c r="AQ59" s="2">
        <v>0</v>
      </c>
      <c r="AR59" s="2">
        <v>0</v>
      </c>
    </row>
    <row r="60" spans="1:44" x14ac:dyDescent="0.25">
      <c r="A60" t="s">
        <v>250</v>
      </c>
      <c r="B60" t="s">
        <v>386</v>
      </c>
      <c r="C60" t="s">
        <v>44</v>
      </c>
      <c r="D60" t="s">
        <v>191</v>
      </c>
      <c r="E60" t="s">
        <v>134</v>
      </c>
      <c r="F60" t="s">
        <v>387</v>
      </c>
      <c r="G60" t="s">
        <v>31</v>
      </c>
      <c r="H60" t="s">
        <v>277</v>
      </c>
      <c r="I60" t="s">
        <v>135</v>
      </c>
      <c r="J60" t="s">
        <v>39</v>
      </c>
      <c r="K60" t="s">
        <v>31</v>
      </c>
      <c r="L60">
        <v>0.115</v>
      </c>
      <c r="M60">
        <v>1</v>
      </c>
      <c r="N60">
        <v>2.7606638800723569</v>
      </c>
      <c r="O60">
        <v>7.2695359336160141</v>
      </c>
      <c r="P60">
        <v>-1.984349841954884</v>
      </c>
      <c r="Q60">
        <v>1.4263152691032981</v>
      </c>
      <c r="R60">
        <v>-2.869010584419021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</row>
    <row r="61" spans="1:44" x14ac:dyDescent="0.25">
      <c r="A61" t="s">
        <v>250</v>
      </c>
      <c r="B61" t="s">
        <v>386</v>
      </c>
      <c r="C61" t="s">
        <v>44</v>
      </c>
      <c r="D61" t="s">
        <v>191</v>
      </c>
      <c r="E61" t="s">
        <v>134</v>
      </c>
      <c r="F61" t="s">
        <v>387</v>
      </c>
      <c r="G61" t="s">
        <v>31</v>
      </c>
      <c r="H61" t="s">
        <v>277</v>
      </c>
      <c r="I61" t="s">
        <v>135</v>
      </c>
      <c r="J61" t="s">
        <v>40</v>
      </c>
      <c r="K61" t="s">
        <v>31</v>
      </c>
      <c r="L61">
        <v>0.115</v>
      </c>
      <c r="M61">
        <v>1</v>
      </c>
      <c r="N61">
        <v>2.7606638800723569</v>
      </c>
      <c r="O61">
        <v>6.0327477208272802</v>
      </c>
      <c r="P61">
        <v>-1.984349841954884</v>
      </c>
      <c r="Q61">
        <v>0.4672931329656026</v>
      </c>
      <c r="R61">
        <v>-2.7260105844190208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</row>
    <row r="62" spans="1:44" x14ac:dyDescent="0.25">
      <c r="A62" t="s">
        <v>250</v>
      </c>
      <c r="B62" t="s">
        <v>251</v>
      </c>
      <c r="C62" t="s">
        <v>43</v>
      </c>
      <c r="D62" t="s">
        <v>172</v>
      </c>
      <c r="E62" t="s">
        <v>145</v>
      </c>
      <c r="F62" t="s">
        <v>172</v>
      </c>
      <c r="G62" t="s">
        <v>31</v>
      </c>
      <c r="H62" t="s">
        <v>254</v>
      </c>
      <c r="I62" t="s">
        <v>135</v>
      </c>
      <c r="J62" t="s">
        <v>39</v>
      </c>
      <c r="K62" t="s">
        <v>31</v>
      </c>
      <c r="L62">
        <v>29.83162275145601</v>
      </c>
      <c r="M62">
        <v>1</v>
      </c>
      <c r="N62">
        <v>3.606567684747835</v>
      </c>
      <c r="O62">
        <v>3.1114376964877604</v>
      </c>
      <c r="P62">
        <v>-0.72038239017334771</v>
      </c>
      <c r="Q62">
        <v>0.4672931329656026</v>
      </c>
      <c r="R62">
        <v>-0.6460209964997905</v>
      </c>
      <c r="S62" s="2">
        <v>4.9666105371518369E-4</v>
      </c>
      <c r="T62" s="2">
        <v>7.6048284663570256E-4</v>
      </c>
      <c r="U62" s="2">
        <v>1.6530539453813156E-3</v>
      </c>
      <c r="V62" s="2">
        <v>3.0965375670620955E-3</v>
      </c>
      <c r="W62" s="2">
        <v>5.2750276513596882E-3</v>
      </c>
      <c r="X62" s="2">
        <v>8.3772336301471736E-3</v>
      </c>
      <c r="Y62" s="2">
        <v>1.2572616341167414E-2</v>
      </c>
      <c r="Z62" s="2">
        <v>1.7979042917902817E-2</v>
      </c>
      <c r="AA62" s="2">
        <v>2.4624648665912779E-2</v>
      </c>
      <c r="AB62" s="2">
        <v>3.2410450603130629E-2</v>
      </c>
      <c r="AC62" s="2">
        <v>4.1084405883327138E-2</v>
      </c>
      <c r="AD62" s="2">
        <v>5.0240128637112164E-2</v>
      </c>
      <c r="AE62" s="2">
        <v>6.7834557550193464E-2</v>
      </c>
      <c r="AF62" s="2">
        <v>8.1405122870129604E-2</v>
      </c>
      <c r="AG62" s="2">
        <v>9.0272189671527447E-2</v>
      </c>
      <c r="AH62" s="2">
        <v>9.7263613434398544E-2</v>
      </c>
      <c r="AI62" s="2">
        <v>0.10216870404698257</v>
      </c>
      <c r="AJ62" s="2">
        <v>0.10534825764647171</v>
      </c>
      <c r="AK62" s="2">
        <v>0.10642161887300551</v>
      </c>
      <c r="AL62" s="2">
        <v>0.10675697602151697</v>
      </c>
      <c r="AM62" s="2">
        <v>0.1054995844960995</v>
      </c>
      <c r="AN62" s="2">
        <v>0.10354623014251711</v>
      </c>
      <c r="AO62" s="2">
        <v>6.3893610340177195E-2</v>
      </c>
      <c r="AP62" s="2">
        <v>9.4777038256136127E-3</v>
      </c>
      <c r="AQ62" s="2">
        <v>7.525166056533002E-3</v>
      </c>
      <c r="AR62" s="2">
        <v>1.2459836247180203</v>
      </c>
    </row>
    <row r="63" spans="1:44" x14ac:dyDescent="0.25">
      <c r="A63" t="s">
        <v>250</v>
      </c>
      <c r="B63" t="s">
        <v>251</v>
      </c>
      <c r="C63" t="s">
        <v>43</v>
      </c>
      <c r="D63" t="s">
        <v>172</v>
      </c>
      <c r="E63" t="s">
        <v>145</v>
      </c>
      <c r="F63" t="s">
        <v>172</v>
      </c>
      <c r="G63" t="s">
        <v>31</v>
      </c>
      <c r="H63" t="s">
        <v>253</v>
      </c>
      <c r="I63" t="s">
        <v>135</v>
      </c>
      <c r="J63" t="s">
        <v>39</v>
      </c>
      <c r="K63" t="s">
        <v>31</v>
      </c>
      <c r="L63">
        <v>29.83162275145601</v>
      </c>
      <c r="M63">
        <v>1</v>
      </c>
      <c r="N63">
        <v>3.606567684747835</v>
      </c>
      <c r="O63">
        <v>3.1114376964877604</v>
      </c>
      <c r="P63">
        <v>-0.72038239017334771</v>
      </c>
      <c r="Q63">
        <v>0.4672931329656026</v>
      </c>
      <c r="R63">
        <v>-0.6460209964997905</v>
      </c>
      <c r="S63" s="2">
        <v>1.1505318686108746E-4</v>
      </c>
      <c r="T63" s="2">
        <v>1.7623680910132795E-4</v>
      </c>
      <c r="U63" s="2">
        <v>3.8323297991391163E-4</v>
      </c>
      <c r="V63" s="2">
        <v>7.1815940798013666E-4</v>
      </c>
      <c r="W63" s="2">
        <v>1.2238773366502094E-3</v>
      </c>
      <c r="X63" s="2">
        <v>1.9443857565245367E-3</v>
      </c>
      <c r="Y63" s="2">
        <v>2.9192824596356698E-3</v>
      </c>
      <c r="Z63" s="2">
        <v>4.1762421775641415E-3</v>
      </c>
      <c r="AA63" s="2">
        <v>5.7221310537781019E-3</v>
      </c>
      <c r="AB63" s="2">
        <v>7.5342751707624224E-3</v>
      </c>
      <c r="AC63" s="2">
        <v>9.5543703369511609E-3</v>
      </c>
      <c r="AD63" s="2">
        <v>1.168811440493173E-2</v>
      </c>
      <c r="AE63" s="2">
        <v>1.5778321155934708E-2</v>
      </c>
      <c r="AF63" s="2">
        <v>1.8860590685714537E-2</v>
      </c>
      <c r="AG63" s="2">
        <v>2.0922911430310703E-2</v>
      </c>
      <c r="AH63" s="2">
        <v>2.2552429293790321E-2</v>
      </c>
      <c r="AI63" s="2">
        <v>2.3700084034243896E-2</v>
      </c>
      <c r="AJ63" s="2">
        <v>2.4449349433149012E-2</v>
      </c>
      <c r="AK63" s="2">
        <v>2.4711633321478597E-2</v>
      </c>
      <c r="AL63" s="2">
        <v>2.480434190601364E-2</v>
      </c>
      <c r="AM63" s="2">
        <v>2.4528656436438593E-2</v>
      </c>
      <c r="AN63" s="2">
        <v>2.4092510699204348E-2</v>
      </c>
      <c r="AO63" s="2">
        <v>1.5665897943747994E-2</v>
      </c>
      <c r="AP63" s="2">
        <v>2.1496854606218767E-3</v>
      </c>
      <c r="AQ63" s="2">
        <v>1.7073998590054753E-3</v>
      </c>
      <c r="AR63" s="2">
        <v>0.29007917274030809</v>
      </c>
    </row>
    <row r="64" spans="1:44" x14ac:dyDescent="0.25">
      <c r="A64" t="s">
        <v>250</v>
      </c>
      <c r="B64" t="s">
        <v>251</v>
      </c>
      <c r="C64" t="s">
        <v>43</v>
      </c>
      <c r="D64" t="s">
        <v>172</v>
      </c>
      <c r="E64" t="s">
        <v>145</v>
      </c>
      <c r="F64" t="s">
        <v>172</v>
      </c>
      <c r="G64" t="s">
        <v>31</v>
      </c>
      <c r="H64" t="s">
        <v>253</v>
      </c>
      <c r="I64" t="s">
        <v>135</v>
      </c>
      <c r="J64" t="s">
        <v>40</v>
      </c>
      <c r="K64" t="s">
        <v>31</v>
      </c>
      <c r="L64">
        <v>29.83162275145601</v>
      </c>
      <c r="M64">
        <v>1</v>
      </c>
      <c r="N64">
        <v>3.606567684747835</v>
      </c>
      <c r="O64">
        <v>1.9286749611803649</v>
      </c>
      <c r="P64">
        <v>-0.72038239017334771</v>
      </c>
      <c r="Q64">
        <v>0.4672931329656026</v>
      </c>
      <c r="R64">
        <v>-0.50302099649979048</v>
      </c>
      <c r="S64" s="2">
        <v>6.052036754783943E-5</v>
      </c>
      <c r="T64" s="2">
        <v>9.2704224483138904E-5</v>
      </c>
      <c r="U64" s="2">
        <v>2.0158851252722682E-4</v>
      </c>
      <c r="V64" s="2">
        <v>3.777667747819378E-4</v>
      </c>
      <c r="W64" s="2">
        <v>6.4378491607513036E-4</v>
      </c>
      <c r="X64" s="2">
        <v>1.0227873199351422E-3</v>
      </c>
      <c r="Y64" s="2">
        <v>1.5356032479693586E-3</v>
      </c>
      <c r="Z64" s="2">
        <v>2.1967901841791907E-3</v>
      </c>
      <c r="AA64" s="2">
        <v>3.0099598627344203E-3</v>
      </c>
      <c r="AB64" s="2">
        <v>3.963185331768676E-3</v>
      </c>
      <c r="AC64" s="2">
        <v>5.0257973747272642E-3</v>
      </c>
      <c r="AD64" s="2">
        <v>6.1481911021006794E-3</v>
      </c>
      <c r="AE64" s="2">
        <v>8.2997248637532751E-3</v>
      </c>
      <c r="AF64" s="2">
        <v>9.921062698132482E-3</v>
      </c>
      <c r="AG64" s="2">
        <v>1.1005886272947378E-2</v>
      </c>
      <c r="AH64" s="2">
        <v>1.1863046536944508E-2</v>
      </c>
      <c r="AI64" s="2">
        <v>1.2466736783214093E-2</v>
      </c>
      <c r="AJ64" s="2">
        <v>1.2860865955727706E-2</v>
      </c>
      <c r="AK64" s="2">
        <v>1.2998832732282533E-2</v>
      </c>
      <c r="AL64" s="2">
        <v>1.3047599374597887E-2</v>
      </c>
      <c r="AM64" s="2">
        <v>1.2902583087770279E-2</v>
      </c>
      <c r="AN64" s="2">
        <v>1.2673161365156846E-2</v>
      </c>
      <c r="AO64" s="2">
        <v>8.2405879175454257E-3</v>
      </c>
      <c r="AP64" s="2">
        <v>1.1307792312277385E-3</v>
      </c>
      <c r="AQ64" s="2">
        <v>8.9812781233866311E-4</v>
      </c>
      <c r="AR64" s="2">
        <v>0.15258767385046881</v>
      </c>
    </row>
    <row r="65" spans="1:44" x14ac:dyDescent="0.25">
      <c r="A65" t="s">
        <v>250</v>
      </c>
      <c r="B65" t="s">
        <v>251</v>
      </c>
      <c r="C65" t="s">
        <v>43</v>
      </c>
      <c r="D65" t="s">
        <v>172</v>
      </c>
      <c r="E65" t="s">
        <v>145</v>
      </c>
      <c r="F65" t="s">
        <v>172</v>
      </c>
      <c r="G65" t="s">
        <v>31</v>
      </c>
      <c r="H65" t="s">
        <v>253</v>
      </c>
      <c r="I65" t="s">
        <v>256</v>
      </c>
      <c r="J65" t="s">
        <v>39</v>
      </c>
      <c r="K65" t="s">
        <v>31</v>
      </c>
      <c r="L65">
        <v>29.83162275145601</v>
      </c>
      <c r="M65">
        <v>1</v>
      </c>
      <c r="N65">
        <v>3.079263650420323</v>
      </c>
      <c r="O65">
        <v>2.6565249391714065</v>
      </c>
      <c r="P65">
        <v>-0.47397683594704287</v>
      </c>
      <c r="Q65">
        <v>0.4672931329656026</v>
      </c>
      <c r="R65">
        <v>-0.39961544227348567</v>
      </c>
      <c r="S65" s="2">
        <v>6.0352404639647643E-5</v>
      </c>
      <c r="T65" s="2">
        <v>9.2446941327455127E-5</v>
      </c>
      <c r="U65" s="2">
        <v>2.010290414897226E-4</v>
      </c>
      <c r="V65" s="2">
        <v>3.7671835408190746E-4</v>
      </c>
      <c r="W65" s="2">
        <v>6.4199821200945379E-4</v>
      </c>
      <c r="X65" s="2">
        <v>1.0199487659131069E-3</v>
      </c>
      <c r="Y65" s="2">
        <v>1.5313414696985345E-3</v>
      </c>
      <c r="Z65" s="2">
        <v>2.1906934058056921E-3</v>
      </c>
      <c r="AA65" s="2">
        <v>3.0016062847148263E-3</v>
      </c>
      <c r="AB65" s="2">
        <v>3.9521862555733671E-3</v>
      </c>
      <c r="AC65" s="2">
        <v>5.0118492184743372E-3</v>
      </c>
      <c r="AD65" s="2">
        <v>6.1311279529581821E-3</v>
      </c>
      <c r="AE65" s="2">
        <v>8.2766905369342E-3</v>
      </c>
      <c r="AF65" s="2">
        <v>9.8935286528077596E-3</v>
      </c>
      <c r="AG65" s="2">
        <v>1.0975341503631979E-2</v>
      </c>
      <c r="AH65" s="2">
        <v>1.1830122880379032E-2</v>
      </c>
      <c r="AI65" s="2">
        <v>1.2432137697805115E-2</v>
      </c>
      <c r="AJ65" s="2">
        <v>1.2825173038858355E-2</v>
      </c>
      <c r="AK65" s="2">
        <v>1.2962756914549156E-2</v>
      </c>
      <c r="AL65" s="2">
        <v>1.3011388214212145E-2</v>
      </c>
      <c r="AM65" s="2">
        <v>1.2866774392839704E-2</v>
      </c>
      <c r="AN65" s="2">
        <v>1.2637989387108394E-2</v>
      </c>
      <c r="AO65" s="2">
        <v>8.2177177142085233E-3</v>
      </c>
      <c r="AP65" s="2">
        <v>1.1276409659478721E-3</v>
      </c>
      <c r="AQ65" s="2">
        <v>8.9563522735612285E-4</v>
      </c>
      <c r="AR65" s="2">
        <v>0.15216419543332457</v>
      </c>
    </row>
    <row r="66" spans="1:44" x14ac:dyDescent="0.25">
      <c r="A66" t="s">
        <v>250</v>
      </c>
      <c r="B66" t="s">
        <v>251</v>
      </c>
      <c r="C66" t="s">
        <v>43</v>
      </c>
      <c r="D66" t="s">
        <v>172</v>
      </c>
      <c r="E66" t="s">
        <v>145</v>
      </c>
      <c r="F66" t="s">
        <v>172</v>
      </c>
      <c r="G66" t="s">
        <v>31</v>
      </c>
      <c r="H66" t="s">
        <v>252</v>
      </c>
      <c r="I66" t="s">
        <v>135</v>
      </c>
      <c r="J66" t="s">
        <v>39</v>
      </c>
      <c r="K66" t="s">
        <v>31</v>
      </c>
      <c r="L66">
        <v>29.83162275145601</v>
      </c>
      <c r="M66">
        <v>1</v>
      </c>
      <c r="N66">
        <v>3.606567684747835</v>
      </c>
      <c r="O66">
        <v>3.1114376964877604</v>
      </c>
      <c r="P66">
        <v>-0.72038239017334771</v>
      </c>
      <c r="Q66">
        <v>0.4672931329656026</v>
      </c>
      <c r="R66">
        <v>-0.6460209964997905</v>
      </c>
      <c r="S66" s="2">
        <v>1.8314835918403084E-3</v>
      </c>
      <c r="T66" s="2">
        <v>2.806566896724779E-3</v>
      </c>
      <c r="U66" s="2">
        <v>6.1054271206989544E-3</v>
      </c>
      <c r="V66" s="2">
        <v>1.1445859946306158E-2</v>
      </c>
      <c r="W66" s="2">
        <v>1.9513710787198182E-2</v>
      </c>
      <c r="X66" s="2">
        <v>3.1014072676052256E-2</v>
      </c>
      <c r="Y66" s="2">
        <v>4.6582938952038466E-2</v>
      </c>
      <c r="Z66" s="2">
        <v>6.6666988930633886E-2</v>
      </c>
      <c r="AA66" s="2">
        <v>9.1381306565368012E-2</v>
      </c>
      <c r="AB66" s="2">
        <v>0.12036921790027412</v>
      </c>
      <c r="AC66" s="2">
        <v>0.15270400583951135</v>
      </c>
      <c r="AD66" s="2">
        <v>0.18688188706195072</v>
      </c>
      <c r="AE66" s="2">
        <v>0.25223064716919014</v>
      </c>
      <c r="AF66" s="2">
        <v>0.30028656918490193</v>
      </c>
      <c r="AG66" s="2">
        <v>0.33325213601741399</v>
      </c>
      <c r="AH66" s="2">
        <v>0.35935603305200303</v>
      </c>
      <c r="AI66" s="2">
        <v>0.37781315649977537</v>
      </c>
      <c r="AJ66" s="2">
        <v>0.38995062886832604</v>
      </c>
      <c r="AK66" s="2">
        <v>0.39435141598581896</v>
      </c>
      <c r="AL66" s="2">
        <v>0.39607593862664914</v>
      </c>
      <c r="AM66" s="2">
        <v>0.39194581968827319</v>
      </c>
      <c r="AN66" s="2">
        <v>0.38527431367614656</v>
      </c>
      <c r="AO66" s="2">
        <v>0.26382015771761658</v>
      </c>
      <c r="AP66" s="2">
        <v>3.3458677162764371E-2</v>
      </c>
      <c r="AQ66" s="2">
        <v>2.6584072770599633E-2</v>
      </c>
      <c r="AR66" s="2">
        <v>4.6417030326880768</v>
      </c>
    </row>
    <row r="67" spans="1:44" x14ac:dyDescent="0.25">
      <c r="A67" t="s">
        <v>250</v>
      </c>
      <c r="B67" t="s">
        <v>251</v>
      </c>
      <c r="C67" t="s">
        <v>43</v>
      </c>
      <c r="D67" t="s">
        <v>172</v>
      </c>
      <c r="E67" t="s">
        <v>145</v>
      </c>
      <c r="F67" t="s">
        <v>172</v>
      </c>
      <c r="G67" t="s">
        <v>31</v>
      </c>
      <c r="H67" t="s">
        <v>255</v>
      </c>
      <c r="I67" t="s">
        <v>135</v>
      </c>
      <c r="J67" t="s">
        <v>39</v>
      </c>
      <c r="K67" t="s">
        <v>31</v>
      </c>
      <c r="L67">
        <v>29.83162275145601</v>
      </c>
      <c r="M67">
        <v>1</v>
      </c>
      <c r="N67">
        <v>3.606567684747835</v>
      </c>
      <c r="O67">
        <v>3.1114376964877604</v>
      </c>
      <c r="P67">
        <v>-0.72038239017334771</v>
      </c>
      <c r="Q67">
        <v>0.4672931329656026</v>
      </c>
      <c r="R67">
        <v>-0.6460209964997905</v>
      </c>
      <c r="S67" s="2">
        <v>1.2786981885701113E-4</v>
      </c>
      <c r="T67" s="2">
        <v>1.949054307899206E-4</v>
      </c>
      <c r="U67" s="2">
        <v>4.2174322782880251E-4</v>
      </c>
      <c r="V67" s="2">
        <v>7.8643714471153493E-4</v>
      </c>
      <c r="W67" s="2">
        <v>1.3336411226463087E-3</v>
      </c>
      <c r="X67" s="2">
        <v>2.1083438373065248E-3</v>
      </c>
      <c r="Y67" s="2">
        <v>3.1498730289320231E-3</v>
      </c>
      <c r="Z67" s="2">
        <v>4.4839475844144347E-3</v>
      </c>
      <c r="AA67" s="2">
        <v>6.1135092601741206E-3</v>
      </c>
      <c r="AB67" s="2">
        <v>8.0099936899497865E-3</v>
      </c>
      <c r="AC67" s="2">
        <v>1.0107661503213248E-2</v>
      </c>
      <c r="AD67" s="2">
        <v>1.2304132361064224E-2</v>
      </c>
      <c r="AE67" s="2">
        <v>1.665370290486649E-2</v>
      </c>
      <c r="AF67" s="2">
        <v>2.0951801799471485E-2</v>
      </c>
      <c r="AG67" s="2">
        <v>2.3131224567497898E-2</v>
      </c>
      <c r="AH67" s="2">
        <v>2.4805768222149398E-2</v>
      </c>
      <c r="AI67" s="2">
        <v>2.5924651588505442E-2</v>
      </c>
      <c r="AJ67" s="2">
        <v>2.6582534217652814E-2</v>
      </c>
      <c r="AK67" s="2">
        <v>2.6686830259732397E-2</v>
      </c>
      <c r="AL67" s="2">
        <v>2.6584644414123001E-2</v>
      </c>
      <c r="AM67" s="2">
        <v>2.6066217513618518E-2</v>
      </c>
      <c r="AN67" s="2">
        <v>2.5360470335843426E-2</v>
      </c>
      <c r="AO67" s="2">
        <v>6.1739728621837296E-3</v>
      </c>
      <c r="AP67" s="2">
        <v>3.0056325671511098E-3</v>
      </c>
      <c r="AQ67" s="2">
        <v>2.376994440285201E-3</v>
      </c>
      <c r="AR67" s="2">
        <v>0.30344650370296883</v>
      </c>
    </row>
    <row r="68" spans="1:44" x14ac:dyDescent="0.25">
      <c r="A68" t="s">
        <v>250</v>
      </c>
      <c r="B68" t="s">
        <v>251</v>
      </c>
      <c r="C68" t="s">
        <v>43</v>
      </c>
      <c r="D68" t="s">
        <v>172</v>
      </c>
      <c r="E68" t="s">
        <v>148</v>
      </c>
      <c r="F68" t="s">
        <v>172</v>
      </c>
      <c r="G68" t="s">
        <v>31</v>
      </c>
      <c r="H68" t="s">
        <v>254</v>
      </c>
      <c r="I68" t="s">
        <v>135</v>
      </c>
      <c r="J68" t="s">
        <v>39</v>
      </c>
      <c r="K68" t="s">
        <v>31</v>
      </c>
      <c r="L68">
        <v>29.83162275145601</v>
      </c>
      <c r="M68">
        <v>1</v>
      </c>
      <c r="N68">
        <v>3.606567684747835</v>
      </c>
      <c r="O68">
        <v>3.1114376964877604</v>
      </c>
      <c r="P68">
        <v>-0.72038239017334771</v>
      </c>
      <c r="Q68">
        <v>0.4672931329656026</v>
      </c>
      <c r="R68">
        <v>-0.6460209964997905</v>
      </c>
      <c r="S68" s="2">
        <v>6.759457704891751E-5</v>
      </c>
      <c r="T68" s="2">
        <v>1.4509558793268889E-4</v>
      </c>
      <c r="U68" s="2">
        <v>3.1895710227574422E-4</v>
      </c>
      <c r="V68" s="2">
        <v>6.0425955195676133E-4</v>
      </c>
      <c r="W68" s="2">
        <v>1.0411064519224337E-3</v>
      </c>
      <c r="X68" s="2">
        <v>1.6723046901981663E-3</v>
      </c>
      <c r="Y68" s="2">
        <v>2.5386675561017875E-3</v>
      </c>
      <c r="Z68" s="2">
        <v>3.6722562935412538E-3</v>
      </c>
      <c r="AA68" s="2">
        <v>5.0879566918832653E-3</v>
      </c>
      <c r="AB68" s="2">
        <v>6.7746354646793898E-3</v>
      </c>
      <c r="AC68" s="2">
        <v>8.6881191735770063E-3</v>
      </c>
      <c r="AD68" s="2">
        <v>1.0748989530717375E-2</v>
      </c>
      <c r="AE68" s="2">
        <v>1.284807847836455E-2</v>
      </c>
      <c r="AF68" s="2">
        <v>1.4860984619210165E-2</v>
      </c>
      <c r="AG68" s="2">
        <v>1.6669834720449691E-2</v>
      </c>
      <c r="AH68" s="2">
        <v>1.8186800472030737E-2</v>
      </c>
      <c r="AI68" s="2">
        <v>1.9371500327528119E-2</v>
      </c>
      <c r="AJ68" s="2">
        <v>2.0291016820703823E-2</v>
      </c>
      <c r="AK68" s="2">
        <v>2.0869459256709435E-2</v>
      </c>
      <c r="AL68" s="2">
        <v>2.1370564203016817E-2</v>
      </c>
      <c r="AM68" s="2">
        <v>2.1619567716527507E-2</v>
      </c>
      <c r="AN68" s="2">
        <v>2.1784923050333482E-2</v>
      </c>
      <c r="AO68" s="2">
        <v>2.1952478622401204E-2</v>
      </c>
      <c r="AP68" s="2">
        <v>2.212225755498921E-2</v>
      </c>
      <c r="AQ68" s="2">
        <v>2.2294283236620797E-2</v>
      </c>
      <c r="AR68" s="2">
        <v>0.29560169175072032</v>
      </c>
    </row>
    <row r="69" spans="1:44" x14ac:dyDescent="0.25">
      <c r="A69" t="s">
        <v>250</v>
      </c>
      <c r="B69" t="s">
        <v>251</v>
      </c>
      <c r="C69" t="s">
        <v>43</v>
      </c>
      <c r="D69" t="s">
        <v>172</v>
      </c>
      <c r="E69" t="s">
        <v>148</v>
      </c>
      <c r="F69" t="s">
        <v>172</v>
      </c>
      <c r="G69" t="s">
        <v>31</v>
      </c>
      <c r="H69" t="s">
        <v>253</v>
      </c>
      <c r="I69" t="s">
        <v>135</v>
      </c>
      <c r="J69" t="s">
        <v>39</v>
      </c>
      <c r="K69" t="s">
        <v>31</v>
      </c>
      <c r="L69">
        <v>29.83162275145601</v>
      </c>
      <c r="M69">
        <v>1</v>
      </c>
      <c r="N69">
        <v>3.606567684747835</v>
      </c>
      <c r="O69">
        <v>3.1114376964877604</v>
      </c>
      <c r="P69">
        <v>-0.72038239017334771</v>
      </c>
      <c r="Q69">
        <v>0.4672931329656026</v>
      </c>
      <c r="R69">
        <v>-0.6460209964997905</v>
      </c>
      <c r="S69" s="2">
        <v>1.5658508847897461E-5</v>
      </c>
      <c r="T69" s="2">
        <v>3.2790770753735408E-5</v>
      </c>
      <c r="U69" s="2">
        <v>7.2109997151934317E-5</v>
      </c>
      <c r="V69" s="2">
        <v>1.3666290142599536E-4</v>
      </c>
      <c r="W69" s="2">
        <v>2.3555064375873491E-4</v>
      </c>
      <c r="X69" s="2">
        <v>3.7849901247115439E-4</v>
      </c>
      <c r="Y69" s="2">
        <v>5.7479569626107843E-4</v>
      </c>
      <c r="Z69" s="2">
        <v>8.3175830168273114E-4</v>
      </c>
      <c r="AA69" s="2">
        <v>1.1528218853104647E-3</v>
      </c>
      <c r="AB69" s="2">
        <v>1.5355273358937627E-3</v>
      </c>
      <c r="AC69" s="2">
        <v>1.96991905376993E-3</v>
      </c>
      <c r="AD69" s="2">
        <v>2.4380321368676979E-3</v>
      </c>
      <c r="AE69" s="2">
        <v>2.9151260208279913E-3</v>
      </c>
      <c r="AF69" s="2">
        <v>3.3729686659156257E-3</v>
      </c>
      <c r="AG69" s="2">
        <v>3.7847726350442026E-3</v>
      </c>
      <c r="AH69" s="2">
        <v>4.1305397137672848E-3</v>
      </c>
      <c r="AI69" s="2">
        <v>4.4010265278706714E-3</v>
      </c>
      <c r="AJ69" s="2">
        <v>4.6114022414924577E-3</v>
      </c>
      <c r="AK69" s="2">
        <v>4.7443542395249503E-3</v>
      </c>
      <c r="AL69" s="2">
        <v>4.8597829877777225E-3</v>
      </c>
      <c r="AM69" s="2">
        <v>4.9179163872490805E-3</v>
      </c>
      <c r="AN69" s="2">
        <v>4.9570316574905817E-3</v>
      </c>
      <c r="AO69" s="2">
        <v>4.9966513253294799E-3</v>
      </c>
      <c r="AP69" s="2">
        <v>5.0367807776765449E-3</v>
      </c>
      <c r="AQ69" s="2">
        <v>5.0774254629588692E-3</v>
      </c>
      <c r="AR69" s="2">
        <v>6.717990488712057E-2</v>
      </c>
    </row>
    <row r="70" spans="1:44" x14ac:dyDescent="0.25">
      <c r="A70" t="s">
        <v>250</v>
      </c>
      <c r="B70" t="s">
        <v>251</v>
      </c>
      <c r="C70" t="s">
        <v>43</v>
      </c>
      <c r="D70" t="s">
        <v>172</v>
      </c>
      <c r="E70" t="s">
        <v>148</v>
      </c>
      <c r="F70" t="s">
        <v>172</v>
      </c>
      <c r="G70" t="s">
        <v>31</v>
      </c>
      <c r="H70" t="s">
        <v>253</v>
      </c>
      <c r="I70" t="s">
        <v>135</v>
      </c>
      <c r="J70" t="s">
        <v>40</v>
      </c>
      <c r="K70" t="s">
        <v>31</v>
      </c>
      <c r="L70">
        <v>29.83162275145601</v>
      </c>
      <c r="M70">
        <v>1</v>
      </c>
      <c r="N70">
        <v>3.606567684747835</v>
      </c>
      <c r="O70">
        <v>1.9286749611803649</v>
      </c>
      <c r="P70">
        <v>-0.72038239017334771</v>
      </c>
      <c r="Q70">
        <v>0.4672931329656026</v>
      </c>
      <c r="R70">
        <v>-0.50302099649979048</v>
      </c>
      <c r="S70" s="2">
        <v>8.2367010995534709E-6</v>
      </c>
      <c r="T70" s="2">
        <v>1.7248626937983588E-5</v>
      </c>
      <c r="U70" s="2">
        <v>3.7931357232006142E-5</v>
      </c>
      <c r="V70" s="2">
        <v>7.1887526544062893E-5</v>
      </c>
      <c r="W70" s="2">
        <v>1.2390453428831E-4</v>
      </c>
      <c r="X70" s="2">
        <v>1.9909834726182605E-4</v>
      </c>
      <c r="Y70" s="2">
        <v>3.0235448275446527E-4</v>
      </c>
      <c r="Z70" s="2">
        <v>4.3752215390245819E-4</v>
      </c>
      <c r="AA70" s="2">
        <v>6.0640827185795445E-4</v>
      </c>
      <c r="AB70" s="2">
        <v>8.0771929299315267E-4</v>
      </c>
      <c r="AC70" s="2">
        <v>1.0362183649688112E-3</v>
      </c>
      <c r="AD70" s="2">
        <v>1.2824555759139975E-3</v>
      </c>
      <c r="AE70" s="2">
        <v>1.5334168747693213E-3</v>
      </c>
      <c r="AF70" s="2">
        <v>1.7742516218609932E-3</v>
      </c>
      <c r="AG70" s="2">
        <v>1.9908690685329299E-3</v>
      </c>
      <c r="AH70" s="2">
        <v>2.1727497383446388E-3</v>
      </c>
      <c r="AI70" s="2">
        <v>2.3150314243456137E-3</v>
      </c>
      <c r="AJ70" s="2">
        <v>2.4256934221475357E-3</v>
      </c>
      <c r="AK70" s="2">
        <v>2.4956289363794451E-3</v>
      </c>
      <c r="AL70" s="2">
        <v>2.5563468570249386E-3</v>
      </c>
      <c r="AM70" s="2">
        <v>2.5869262333881558E-3</v>
      </c>
      <c r="AN70" s="2">
        <v>2.6075016785047345E-3</v>
      </c>
      <c r="AO70" s="2">
        <v>2.6283424472409271E-3</v>
      </c>
      <c r="AP70" s="2">
        <v>2.6494513732237537E-3</v>
      </c>
      <c r="AQ70" s="2">
        <v>2.6708313224390839E-3</v>
      </c>
      <c r="AR70" s="2">
        <v>3.5338026233956654E-2</v>
      </c>
    </row>
    <row r="71" spans="1:44" x14ac:dyDescent="0.25">
      <c r="A71" t="s">
        <v>250</v>
      </c>
      <c r="B71" t="s">
        <v>251</v>
      </c>
      <c r="C71" t="s">
        <v>43</v>
      </c>
      <c r="D71" t="s">
        <v>172</v>
      </c>
      <c r="E71" t="s">
        <v>148</v>
      </c>
      <c r="F71" t="s">
        <v>172</v>
      </c>
      <c r="G71" t="s">
        <v>31</v>
      </c>
      <c r="H71" t="s">
        <v>253</v>
      </c>
      <c r="I71" t="s">
        <v>256</v>
      </c>
      <c r="J71" t="s">
        <v>39</v>
      </c>
      <c r="K71" t="s">
        <v>31</v>
      </c>
      <c r="L71">
        <v>29.83162275145601</v>
      </c>
      <c r="M71">
        <v>1</v>
      </c>
      <c r="N71">
        <v>3.079263650420323</v>
      </c>
      <c r="O71">
        <v>2.6565249391714065</v>
      </c>
      <c r="P71">
        <v>-0.47397683594704287</v>
      </c>
      <c r="Q71">
        <v>0.4672931329656026</v>
      </c>
      <c r="R71">
        <v>-0.39961544227348567</v>
      </c>
      <c r="S71" s="2">
        <v>8.2138416833496016E-6</v>
      </c>
      <c r="T71" s="2">
        <v>1.7200756614979912E-5</v>
      </c>
      <c r="U71" s="2">
        <v>3.7826085877411356E-5</v>
      </c>
      <c r="V71" s="2">
        <v>7.1688016221995395E-5</v>
      </c>
      <c r="W71" s="2">
        <v>1.2356066053538243E-4</v>
      </c>
      <c r="X71" s="2">
        <v>1.9854578721010909E-4</v>
      </c>
      <c r="Y71" s="2">
        <v>3.0151535470078781E-4</v>
      </c>
      <c r="Z71" s="2">
        <v>4.3630789337587256E-4</v>
      </c>
      <c r="AA71" s="2">
        <v>6.0472529964513896E-4</v>
      </c>
      <c r="AB71" s="2">
        <v>8.0547761986803567E-4</v>
      </c>
      <c r="AC71" s="2">
        <v>1.0333425356050261E-3</v>
      </c>
      <c r="AD71" s="2">
        <v>1.2788963614398406E-3</v>
      </c>
      <c r="AE71" s="2">
        <v>1.5291611643665098E-3</v>
      </c>
      <c r="AF71" s="2">
        <v>1.7693275198710902E-3</v>
      </c>
      <c r="AG71" s="2">
        <v>1.9853437855227953E-3</v>
      </c>
      <c r="AH71" s="2">
        <v>2.1667196797113017E-3</v>
      </c>
      <c r="AI71" s="2">
        <v>2.3086064896278577E-3</v>
      </c>
      <c r="AJ71" s="2">
        <v>2.4189613658485857E-3</v>
      </c>
      <c r="AK71" s="2">
        <v>2.4887027872018091E-3</v>
      </c>
      <c r="AL71" s="2">
        <v>2.5492521966676185E-3</v>
      </c>
      <c r="AM71" s="2">
        <v>2.5797467057176731E-3</v>
      </c>
      <c r="AN71" s="2">
        <v>2.6002650475525344E-3</v>
      </c>
      <c r="AO71" s="2">
        <v>2.6210479766510812E-3</v>
      </c>
      <c r="AP71" s="2">
        <v>2.642098318776312E-3</v>
      </c>
      <c r="AQ71" s="2">
        <v>2.6634189319599492E-3</v>
      </c>
      <c r="AR71" s="2">
        <v>3.5239952182253051E-2</v>
      </c>
    </row>
    <row r="72" spans="1:44" x14ac:dyDescent="0.25">
      <c r="A72" t="s">
        <v>250</v>
      </c>
      <c r="B72" t="s">
        <v>251</v>
      </c>
      <c r="C72" t="s">
        <v>43</v>
      </c>
      <c r="D72" t="s">
        <v>172</v>
      </c>
      <c r="E72" t="s">
        <v>148</v>
      </c>
      <c r="F72" t="s">
        <v>172</v>
      </c>
      <c r="G72" t="s">
        <v>31</v>
      </c>
      <c r="H72" t="s">
        <v>252</v>
      </c>
      <c r="I72" t="s">
        <v>135</v>
      </c>
      <c r="J72" t="s">
        <v>39</v>
      </c>
      <c r="K72" t="s">
        <v>31</v>
      </c>
      <c r="L72">
        <v>29.83162275145601</v>
      </c>
      <c r="M72">
        <v>1</v>
      </c>
      <c r="N72">
        <v>3.606567684747835</v>
      </c>
      <c r="O72">
        <v>3.1114376964877604</v>
      </c>
      <c r="P72">
        <v>-0.72038239017334771</v>
      </c>
      <c r="Q72">
        <v>0.4672931329656026</v>
      </c>
      <c r="R72">
        <v>-0.6460209964997905</v>
      </c>
      <c r="S72" s="2">
        <v>2.492612574238036E-4</v>
      </c>
      <c r="T72" s="2">
        <v>5.0846102293693077E-4</v>
      </c>
      <c r="U72" s="2">
        <v>1.1185950678620298E-3</v>
      </c>
      <c r="V72" s="2">
        <v>2.1207892147556474E-3</v>
      </c>
      <c r="W72" s="2">
        <v>3.6567787770447171E-3</v>
      </c>
      <c r="X72" s="2">
        <v>5.8782052848886292E-3</v>
      </c>
      <c r="Y72" s="2">
        <v>8.9301181076177367E-3</v>
      </c>
      <c r="Z72" s="2">
        <v>1.2927145457642342E-2</v>
      </c>
      <c r="AA72" s="2">
        <v>1.792369760592841E-2</v>
      </c>
      <c r="AB72" s="2">
        <v>2.388256504205781E-2</v>
      </c>
      <c r="AC72" s="2">
        <v>3.0649821188583927E-2</v>
      </c>
      <c r="AD72" s="2">
        <v>3.7946635298125302E-2</v>
      </c>
      <c r="AE72" s="2">
        <v>4.5388267935256604E-2</v>
      </c>
      <c r="AF72" s="2">
        <v>5.2535052007181018E-2</v>
      </c>
      <c r="AG72" s="2">
        <v>5.8969222869841909E-2</v>
      </c>
      <c r="AH72" s="2">
        <v>6.437827525784913E-2</v>
      </c>
      <c r="AI72" s="2">
        <v>6.8616985484153153E-2</v>
      </c>
      <c r="AJ72" s="2">
        <v>7.1920709860792034E-2</v>
      </c>
      <c r="AK72" s="2">
        <v>7.4018381961593341E-2</v>
      </c>
      <c r="AL72" s="2">
        <v>7.5843627345810904E-2</v>
      </c>
      <c r="AM72" s="2">
        <v>7.6775266494446145E-2</v>
      </c>
      <c r="AN72" s="2">
        <v>7.7410184199034643E-2</v>
      </c>
      <c r="AO72" s="2">
        <v>7.8053058506924247E-2</v>
      </c>
      <c r="AP72" s="2">
        <v>7.8703975551140781E-2</v>
      </c>
      <c r="AQ72" s="2">
        <v>7.9363022442075409E-2</v>
      </c>
      <c r="AR72" s="2">
        <v>1.0477681032409667</v>
      </c>
    </row>
    <row r="73" spans="1:44" x14ac:dyDescent="0.25">
      <c r="A73" t="s">
        <v>250</v>
      </c>
      <c r="B73" t="s">
        <v>251</v>
      </c>
      <c r="C73" t="s">
        <v>43</v>
      </c>
      <c r="D73" t="s">
        <v>172</v>
      </c>
      <c r="E73" t="s">
        <v>148</v>
      </c>
      <c r="F73" t="s">
        <v>172</v>
      </c>
      <c r="G73" t="s">
        <v>31</v>
      </c>
      <c r="H73" t="s">
        <v>255</v>
      </c>
      <c r="I73" t="s">
        <v>135</v>
      </c>
      <c r="J73" t="s">
        <v>39</v>
      </c>
      <c r="K73" t="s">
        <v>31</v>
      </c>
      <c r="L73">
        <v>29.83162275145601</v>
      </c>
      <c r="M73">
        <v>1</v>
      </c>
      <c r="N73">
        <v>3.606567684747835</v>
      </c>
      <c r="O73">
        <v>3.1114376964877604</v>
      </c>
      <c r="P73">
        <v>-0.72038239017334771</v>
      </c>
      <c r="Q73">
        <v>0.4672931329656026</v>
      </c>
      <c r="R73">
        <v>-0.6460209964997905</v>
      </c>
      <c r="S73" s="2">
        <v>1.7402826854062074E-5</v>
      </c>
      <c r="T73" s="2">
        <v>4.8008099113869454E-5</v>
      </c>
      <c r="U73" s="2">
        <v>1.0506305342310979E-4</v>
      </c>
      <c r="V73" s="2">
        <v>1.9816220515206931E-4</v>
      </c>
      <c r="W73" s="2">
        <v>3.3993365020830582E-4</v>
      </c>
      <c r="X73" s="2">
        <v>5.4367370525913576E-4</v>
      </c>
      <c r="Y73" s="2">
        <v>8.2181650236969538E-4</v>
      </c>
      <c r="Z73" s="2">
        <v>1.1837781712220853E-3</v>
      </c>
      <c r="AA73" s="2">
        <v>1.6333200284212571E-3</v>
      </c>
      <c r="AB73" s="2">
        <v>2.1658409868549684E-3</v>
      </c>
      <c r="AC73" s="2">
        <v>2.7663133297073984E-3</v>
      </c>
      <c r="AD73" s="2">
        <v>3.4087911578518639E-3</v>
      </c>
      <c r="AE73" s="2">
        <v>4.0583571022870957E-3</v>
      </c>
      <c r="AF73" s="2">
        <v>4.6758559642128376E-3</v>
      </c>
      <c r="AG73" s="2">
        <v>5.2247846838975936E-3</v>
      </c>
      <c r="AH73" s="2">
        <v>5.678570586676532E-3</v>
      </c>
      <c r="AI73" s="2">
        <v>6.0257847837909004E-3</v>
      </c>
      <c r="AJ73" s="2">
        <v>6.2884520513338251E-3</v>
      </c>
      <c r="AK73" s="2">
        <v>6.4441050968991453E-3</v>
      </c>
      <c r="AL73" s="2">
        <v>6.5750748951835898E-3</v>
      </c>
      <c r="AM73" s="2">
        <v>6.6280651299938194E-3</v>
      </c>
      <c r="AN73" s="2">
        <v>6.6553745871686552E-3</v>
      </c>
      <c r="AO73" s="2">
        <v>6.6834134788045438E-3</v>
      </c>
      <c r="AP73" s="2">
        <v>6.7121861764089137E-3</v>
      </c>
      <c r="AQ73" s="2">
        <v>6.7416971347902081E-3</v>
      </c>
      <c r="AR73" s="2">
        <v>9.1623825387885466E-2</v>
      </c>
    </row>
    <row r="74" spans="1:44" x14ac:dyDescent="0.25">
      <c r="A74" t="s">
        <v>250</v>
      </c>
      <c r="B74" t="s">
        <v>257</v>
      </c>
      <c r="C74" t="s">
        <v>43</v>
      </c>
      <c r="D74" t="s">
        <v>258</v>
      </c>
      <c r="E74" t="s">
        <v>145</v>
      </c>
      <c r="F74" t="s">
        <v>258</v>
      </c>
      <c r="G74" t="s">
        <v>31</v>
      </c>
      <c r="H74" t="s">
        <v>254</v>
      </c>
      <c r="I74" t="s">
        <v>135</v>
      </c>
      <c r="J74" t="s">
        <v>39</v>
      </c>
      <c r="K74" t="s">
        <v>31</v>
      </c>
      <c r="L74">
        <v>38.700000000000003</v>
      </c>
      <c r="M74">
        <v>1</v>
      </c>
      <c r="N74">
        <v>1.5279315446562396</v>
      </c>
      <c r="O74">
        <v>3.2630763305462525</v>
      </c>
      <c r="P74">
        <v>-0.11304474947304376</v>
      </c>
      <c r="Q74">
        <v>1.1567665262170677</v>
      </c>
      <c r="R74">
        <v>-0.72815674905095173</v>
      </c>
      <c r="S74" s="2">
        <v>3.4249118948996684E-3</v>
      </c>
      <c r="T74" s="2">
        <v>5.2441936564718251E-3</v>
      </c>
      <c r="U74" s="2">
        <v>1.1399251215888553E-2</v>
      </c>
      <c r="V74" s="2">
        <v>2.1353331949632657E-2</v>
      </c>
      <c r="W74" s="2">
        <v>3.6375924413487269E-2</v>
      </c>
      <c r="X74" s="2">
        <v>5.7768345014420977E-2</v>
      </c>
      <c r="Y74" s="2">
        <v>8.6699174285502931E-2</v>
      </c>
      <c r="Z74" s="2">
        <v>0.13408810804590193</v>
      </c>
      <c r="AA74" s="2">
        <v>0.18916192246844954</v>
      </c>
      <c r="AB74" s="2">
        <v>0.24902257977013012</v>
      </c>
      <c r="AC74" s="2">
        <v>0.31554261807293976</v>
      </c>
      <c r="AD74" s="2">
        <v>0.38538611086914343</v>
      </c>
      <c r="AE74" s="2">
        <v>0.45422350397971362</v>
      </c>
      <c r="AF74" s="2">
        <v>0.51734419563261125</v>
      </c>
      <c r="AG74" s="2">
        <v>0.57051653284128623</v>
      </c>
      <c r="AH74" s="2">
        <v>0.61086599079983595</v>
      </c>
      <c r="AI74" s="2">
        <v>0.63746573798962902</v>
      </c>
      <c r="AJ74" s="2">
        <v>0.43547172481329877</v>
      </c>
      <c r="AK74" s="2">
        <v>3.736244605105863E-2</v>
      </c>
      <c r="AL74" s="2">
        <v>3.0149597490750652E-2</v>
      </c>
      <c r="AM74" s="2">
        <v>2.2771153688816742E-2</v>
      </c>
      <c r="AN74" s="2">
        <v>1.6100605306776532E-2</v>
      </c>
      <c r="AO74" s="2">
        <v>1.0612417464816826E-2</v>
      </c>
      <c r="AP74" s="2">
        <v>6.4691145242585018E-3</v>
      </c>
      <c r="AQ74" s="2">
        <v>3.4009375824915248E-3</v>
      </c>
      <c r="AR74" s="2">
        <v>4.8482204298222129</v>
      </c>
    </row>
    <row r="75" spans="1:44" x14ac:dyDescent="0.25">
      <c r="A75" t="s">
        <v>250</v>
      </c>
      <c r="B75" t="s">
        <v>257</v>
      </c>
      <c r="C75" t="s">
        <v>43</v>
      </c>
      <c r="D75" t="s">
        <v>258</v>
      </c>
      <c r="E75" t="s">
        <v>145</v>
      </c>
      <c r="F75" t="s">
        <v>258</v>
      </c>
      <c r="G75" t="s">
        <v>31</v>
      </c>
      <c r="H75" t="s">
        <v>253</v>
      </c>
      <c r="I75" t="s">
        <v>135</v>
      </c>
      <c r="J75" t="s">
        <v>39</v>
      </c>
      <c r="K75" t="s">
        <v>31</v>
      </c>
      <c r="L75">
        <v>38.700000000000003</v>
      </c>
      <c r="M75">
        <v>1</v>
      </c>
      <c r="N75">
        <v>1.5279315446562396</v>
      </c>
      <c r="O75">
        <v>3.2630763305462525</v>
      </c>
      <c r="P75">
        <v>-0.11304474947304376</v>
      </c>
      <c r="Q75">
        <v>1.1567665262170677</v>
      </c>
      <c r="R75">
        <v>-0.72815674905095173</v>
      </c>
      <c r="S75" s="2">
        <v>5.2816657390926782E-4</v>
      </c>
      <c r="T75" s="2">
        <v>8.0903792584324991E-4</v>
      </c>
      <c r="U75" s="2">
        <v>1.7592806903693693E-3</v>
      </c>
      <c r="V75" s="2">
        <v>3.2968038902872307E-3</v>
      </c>
      <c r="W75" s="2">
        <v>5.6183676212654809E-3</v>
      </c>
      <c r="X75" s="2">
        <v>8.9259549552631792E-3</v>
      </c>
      <c r="Y75" s="2">
        <v>1.3401344691484355E-2</v>
      </c>
      <c r="Z75" s="2">
        <v>2.0730198358820166E-2</v>
      </c>
      <c r="AA75" s="2">
        <v>2.9179832814609539E-2</v>
      </c>
      <c r="AB75" s="2">
        <v>3.8428545668505107E-2</v>
      </c>
      <c r="AC75" s="2">
        <v>4.8713091537975282E-2</v>
      </c>
      <c r="AD75" s="2">
        <v>5.9520282793982623E-2</v>
      </c>
      <c r="AE75" s="2">
        <v>7.018291285420071E-2</v>
      </c>
      <c r="AF75" s="2">
        <v>7.9973973191473147E-2</v>
      </c>
      <c r="AG75" s="2">
        <v>8.8239214917027978E-2</v>
      </c>
      <c r="AH75" s="2">
        <v>9.4532781179326356E-2</v>
      </c>
      <c r="AI75" s="2">
        <v>9.8708736234751043E-2</v>
      </c>
      <c r="AJ75" s="2">
        <v>7.0345767367487419E-2</v>
      </c>
      <c r="AK75" s="2">
        <v>5.6414409753072648E-3</v>
      </c>
      <c r="AL75" s="2">
        <v>4.5539015080424457E-3</v>
      </c>
      <c r="AM75" s="2">
        <v>3.440588378671131E-3</v>
      </c>
      <c r="AN75" s="2">
        <v>2.4335129767037271E-3</v>
      </c>
      <c r="AO75" s="2">
        <v>1.604529799210902E-3</v>
      </c>
      <c r="AP75" s="2">
        <v>9.7840469786150664E-4</v>
      </c>
      <c r="AQ75" s="2">
        <v>5.1453013833527132E-4</v>
      </c>
      <c r="AR75" s="2">
        <v>0.75206120174071378</v>
      </c>
    </row>
    <row r="76" spans="1:44" x14ac:dyDescent="0.25">
      <c r="A76" t="s">
        <v>250</v>
      </c>
      <c r="B76" t="s">
        <v>257</v>
      </c>
      <c r="C76" t="s">
        <v>43</v>
      </c>
      <c r="D76" t="s">
        <v>258</v>
      </c>
      <c r="E76" t="s">
        <v>145</v>
      </c>
      <c r="F76" t="s">
        <v>258</v>
      </c>
      <c r="G76" t="s">
        <v>31</v>
      </c>
      <c r="H76" t="s">
        <v>253</v>
      </c>
      <c r="I76" t="s">
        <v>135</v>
      </c>
      <c r="J76" t="s">
        <v>40</v>
      </c>
      <c r="K76" t="s">
        <v>31</v>
      </c>
      <c r="L76">
        <v>38.700000000000003</v>
      </c>
      <c r="M76">
        <v>1</v>
      </c>
      <c r="N76">
        <v>1.5279315446562396</v>
      </c>
      <c r="O76">
        <v>2.0803135952388567</v>
      </c>
      <c r="P76">
        <v>-0.11304474947304376</v>
      </c>
      <c r="Q76">
        <v>0.4672931329656026</v>
      </c>
      <c r="R76">
        <v>-0.58515674905095172</v>
      </c>
      <c r="S76" s="2">
        <v>2.77826595260378E-4</v>
      </c>
      <c r="T76" s="2">
        <v>4.2557076399189417E-4</v>
      </c>
      <c r="U76" s="2">
        <v>9.2541820792433238E-4</v>
      </c>
      <c r="V76" s="2">
        <v>1.7341873668760735E-3</v>
      </c>
      <c r="W76" s="2">
        <v>2.9553781406194872E-3</v>
      </c>
      <c r="X76" s="2">
        <v>4.6952378230097503E-3</v>
      </c>
      <c r="Y76" s="2">
        <v>7.049385840508425E-3</v>
      </c>
      <c r="Z76" s="2">
        <v>1.0904515192005833E-2</v>
      </c>
      <c r="AA76" s="2">
        <v>1.5349198532474127E-2</v>
      </c>
      <c r="AB76" s="2">
        <v>2.0214213718346336E-2</v>
      </c>
      <c r="AC76" s="2">
        <v>2.5624098599105489E-2</v>
      </c>
      <c r="AD76" s="2">
        <v>3.1308905815815205E-2</v>
      </c>
      <c r="AE76" s="2">
        <v>3.6917670838988052E-2</v>
      </c>
      <c r="AF76" s="2">
        <v>4.2067972073235871E-2</v>
      </c>
      <c r="AG76" s="2">
        <v>4.641566100519267E-2</v>
      </c>
      <c r="AH76" s="2">
        <v>4.9726207664285753E-2</v>
      </c>
      <c r="AI76" s="2">
        <v>5.1922846816252116E-2</v>
      </c>
      <c r="AJ76" s="2">
        <v>3.7003335697735965E-2</v>
      </c>
      <c r="AK76" s="2">
        <v>2.9675152044007337E-3</v>
      </c>
      <c r="AL76" s="2">
        <v>2.3954468412608581E-3</v>
      </c>
      <c r="AM76" s="2">
        <v>1.8098209961746618E-3</v>
      </c>
      <c r="AN76" s="2">
        <v>1.2800784037417775E-3</v>
      </c>
      <c r="AO76" s="2">
        <v>8.4401602284124144E-4</v>
      </c>
      <c r="AP76" s="2">
        <v>5.1466120618287798E-4</v>
      </c>
      <c r="AQ76" s="2">
        <v>2.7065354672954964E-4</v>
      </c>
      <c r="AR76" s="2">
        <v>0.39559982291295948</v>
      </c>
    </row>
    <row r="77" spans="1:44" x14ac:dyDescent="0.25">
      <c r="A77" t="s">
        <v>250</v>
      </c>
      <c r="B77" t="s">
        <v>257</v>
      </c>
      <c r="C77" t="s">
        <v>43</v>
      </c>
      <c r="D77" t="s">
        <v>258</v>
      </c>
      <c r="E77" t="s">
        <v>145</v>
      </c>
      <c r="F77" t="s">
        <v>258</v>
      </c>
      <c r="G77" t="s">
        <v>31</v>
      </c>
      <c r="H77" t="s">
        <v>253</v>
      </c>
      <c r="I77" t="s">
        <v>256</v>
      </c>
      <c r="J77" t="s">
        <v>39</v>
      </c>
      <c r="K77" t="s">
        <v>31</v>
      </c>
      <c r="L77">
        <v>38.700000000000003</v>
      </c>
      <c r="M77">
        <v>1</v>
      </c>
      <c r="N77">
        <v>1.3149191963199545</v>
      </c>
      <c r="O77">
        <v>2.8081635732298982</v>
      </c>
      <c r="P77">
        <v>0.13336080475326101</v>
      </c>
      <c r="Q77">
        <v>0.4672931329656026</v>
      </c>
      <c r="R77">
        <v>-0.48175119482464696</v>
      </c>
      <c r="S77" s="2">
        <v>2.7705553974958553E-4</v>
      </c>
      <c r="T77" s="2">
        <v>4.2438967230230758E-4</v>
      </c>
      <c r="U77" s="2">
        <v>9.2284988357676958E-4</v>
      </c>
      <c r="V77" s="2">
        <v>1.7293744556977054E-3</v>
      </c>
      <c r="W77" s="2">
        <v>2.9471760439135739E-3</v>
      </c>
      <c r="X77" s="2">
        <v>4.6822070726796026E-3</v>
      </c>
      <c r="Y77" s="2">
        <v>7.0298215947063539E-3</v>
      </c>
      <c r="Z77" s="2">
        <v>1.0874251759077693E-2</v>
      </c>
      <c r="AA77" s="2">
        <v>1.5306599716102279E-2</v>
      </c>
      <c r="AB77" s="2">
        <v>2.0158112966475343E-2</v>
      </c>
      <c r="AC77" s="2">
        <v>2.5552983728279587E-2</v>
      </c>
      <c r="AD77" s="2">
        <v>3.1222013830749674E-2</v>
      </c>
      <c r="AE77" s="2">
        <v>3.6815212780502538E-2</v>
      </c>
      <c r="AF77" s="2">
        <v>4.1951220321429901E-2</v>
      </c>
      <c r="AG77" s="2">
        <v>4.628684305969831E-2</v>
      </c>
      <c r="AH77" s="2">
        <v>4.9588201918599605E-2</v>
      </c>
      <c r="AI77" s="2">
        <v>5.1778744711353915E-2</v>
      </c>
      <c r="AJ77" s="2">
        <v>3.6900639892531444E-2</v>
      </c>
      <c r="AK77" s="2">
        <v>2.9592794235548687E-3</v>
      </c>
      <c r="AL77" s="2">
        <v>2.3887987286637744E-3</v>
      </c>
      <c r="AM77" s="2">
        <v>1.8047981780699312E-3</v>
      </c>
      <c r="AN77" s="2">
        <v>1.2765257866623198E-3</v>
      </c>
      <c r="AO77" s="2">
        <v>8.416736149626944E-4</v>
      </c>
      <c r="AP77" s="2">
        <v>5.1323286071131653E-4</v>
      </c>
      <c r="AQ77" s="2">
        <v>2.6990239866712034E-4</v>
      </c>
      <c r="AR77" s="2">
        <v>0.39450190993871814</v>
      </c>
    </row>
    <row r="78" spans="1:44" x14ac:dyDescent="0.25">
      <c r="A78" t="s">
        <v>250</v>
      </c>
      <c r="B78" t="s">
        <v>257</v>
      </c>
      <c r="C78" t="s">
        <v>43</v>
      </c>
      <c r="D78" t="s">
        <v>258</v>
      </c>
      <c r="E78" t="s">
        <v>145</v>
      </c>
      <c r="F78" t="s">
        <v>258</v>
      </c>
      <c r="G78" t="s">
        <v>31</v>
      </c>
      <c r="H78" t="s">
        <v>252</v>
      </c>
      <c r="I78" t="s">
        <v>135</v>
      </c>
      <c r="J78" t="s">
        <v>39</v>
      </c>
      <c r="K78" t="s">
        <v>31</v>
      </c>
      <c r="L78">
        <v>38.700000000000003</v>
      </c>
      <c r="M78">
        <v>1</v>
      </c>
      <c r="N78">
        <v>1.5279315446562396</v>
      </c>
      <c r="O78">
        <v>3.2630763305462525</v>
      </c>
      <c r="P78">
        <v>-0.11304474947304376</v>
      </c>
      <c r="Q78">
        <v>1.1567665262170677</v>
      </c>
      <c r="R78">
        <v>-0.72815674905095173</v>
      </c>
      <c r="S78" s="2">
        <v>1.4907242793777833E-2</v>
      </c>
      <c r="T78" s="2">
        <v>2.2843870582764055E-2</v>
      </c>
      <c r="U78" s="2">
        <v>4.9694731011224395E-2</v>
      </c>
      <c r="V78" s="2">
        <v>9.3162840204161712E-2</v>
      </c>
      <c r="W78" s="2">
        <v>0.15883059275460262</v>
      </c>
      <c r="X78" s="2">
        <v>0.25243704801156308</v>
      </c>
      <c r="Y78" s="2">
        <v>0.37915883281705992</v>
      </c>
      <c r="Z78" s="2">
        <v>0.5866228683393413</v>
      </c>
      <c r="AA78" s="2">
        <v>0.82384330115481541</v>
      </c>
      <c r="AB78" s="2">
        <v>1.0853943991659893</v>
      </c>
      <c r="AC78" s="2">
        <v>1.3764412010677003</v>
      </c>
      <c r="AD78" s="2">
        <v>1.6825362262124839</v>
      </c>
      <c r="AE78" s="2">
        <v>1.9848618994724365</v>
      </c>
      <c r="AF78" s="2">
        <v>2.2628824133318148</v>
      </c>
      <c r="AG78" s="2">
        <v>2.4980833703475778</v>
      </c>
      <c r="AH78" s="2">
        <v>2.6778058846307595</v>
      </c>
      <c r="AI78" s="2">
        <v>2.7978432246291471</v>
      </c>
      <c r="AJ78" s="2">
        <v>2.0798476408936102</v>
      </c>
      <c r="AK78" s="2">
        <v>0.1556846980979619</v>
      </c>
      <c r="AL78" s="2">
        <v>0.12571640174749157</v>
      </c>
      <c r="AM78" s="2">
        <v>9.5014877054192093E-2</v>
      </c>
      <c r="AN78" s="2">
        <v>6.7226624995571721E-2</v>
      </c>
      <c r="AO78" s="2">
        <v>4.4340680638895409E-2</v>
      </c>
      <c r="AP78" s="2">
        <v>2.7046944527698159E-2</v>
      </c>
      <c r="AQ78" s="2">
        <v>1.4228326097377729E-2</v>
      </c>
      <c r="AR78" s="2">
        <v>21.356456140580015</v>
      </c>
    </row>
    <row r="79" spans="1:44" x14ac:dyDescent="0.25">
      <c r="A79" t="s">
        <v>250</v>
      </c>
      <c r="B79" t="s">
        <v>257</v>
      </c>
      <c r="C79" t="s">
        <v>43</v>
      </c>
      <c r="D79" t="s">
        <v>258</v>
      </c>
      <c r="E79" t="s">
        <v>145</v>
      </c>
      <c r="F79" t="s">
        <v>258</v>
      </c>
      <c r="G79" t="s">
        <v>31</v>
      </c>
      <c r="H79" t="s">
        <v>255</v>
      </c>
      <c r="I79" t="s">
        <v>135</v>
      </c>
      <c r="J79" t="s">
        <v>39</v>
      </c>
      <c r="K79" t="s">
        <v>31</v>
      </c>
      <c r="L79">
        <v>38.700000000000003</v>
      </c>
      <c r="M79">
        <v>1</v>
      </c>
      <c r="N79">
        <v>1.5279315446562396</v>
      </c>
      <c r="O79">
        <v>3.2630763305462525</v>
      </c>
      <c r="P79">
        <v>-0.11304474947304376</v>
      </c>
      <c r="Q79">
        <v>1.1567665262170677</v>
      </c>
      <c r="R79">
        <v>-0.72815674905095173</v>
      </c>
      <c r="S79" s="2">
        <v>8.8177412004845283E-4</v>
      </c>
      <c r="T79" s="2">
        <v>1.3440432329041622E-3</v>
      </c>
      <c r="U79" s="2">
        <v>2.9082880301956886E-3</v>
      </c>
      <c r="V79" s="2">
        <v>5.423171217806169E-3</v>
      </c>
      <c r="W79" s="2">
        <v>9.1966207342241875E-3</v>
      </c>
      <c r="X79" s="2">
        <v>1.4538872804531273E-2</v>
      </c>
      <c r="Y79" s="2">
        <v>2.1721126558072068E-2</v>
      </c>
      <c r="Z79" s="2">
        <v>3.3522847487005056E-2</v>
      </c>
      <c r="AA79" s="2">
        <v>4.8561508451585127E-2</v>
      </c>
      <c r="AB79" s="2">
        <v>6.3643464929063795E-2</v>
      </c>
      <c r="AC79" s="2">
        <v>8.0270650233500607E-2</v>
      </c>
      <c r="AD79" s="2">
        <v>9.7560983045543698E-2</v>
      </c>
      <c r="AE79" s="2">
        <v>0.11439207710285901</v>
      </c>
      <c r="AF79" s="2">
        <v>0.12956367426750695</v>
      </c>
      <c r="AG79" s="2">
        <v>0.14202001458292796</v>
      </c>
      <c r="AH79" s="2">
        <v>0.15107168350177941</v>
      </c>
      <c r="AI79" s="2">
        <v>0.15653861112103976</v>
      </c>
      <c r="AJ79" s="2">
        <v>5.4808329622760547E-2</v>
      </c>
      <c r="AK79" s="2">
        <v>1.184862775897281E-2</v>
      </c>
      <c r="AL79" s="2">
        <v>9.5234344430358935E-3</v>
      </c>
      <c r="AM79" s="2">
        <v>7.164709305346139E-3</v>
      </c>
      <c r="AN79" s="2">
        <v>5.0463725297245788E-3</v>
      </c>
      <c r="AO79" s="2">
        <v>3.3135768857155195E-3</v>
      </c>
      <c r="AP79" s="2">
        <v>2.0123114475280183E-3</v>
      </c>
      <c r="AQ79" s="2">
        <v>1.0539951302615551E-3</v>
      </c>
      <c r="AR79" s="2">
        <v>1.1679307685439384</v>
      </c>
    </row>
    <row r="80" spans="1:44" x14ac:dyDescent="0.25">
      <c r="A80" t="s">
        <v>250</v>
      </c>
      <c r="B80" t="s">
        <v>257</v>
      </c>
      <c r="C80" t="s">
        <v>43</v>
      </c>
      <c r="D80" t="s">
        <v>258</v>
      </c>
      <c r="E80" t="s">
        <v>148</v>
      </c>
      <c r="F80" t="s">
        <v>258</v>
      </c>
      <c r="G80" t="s">
        <v>31</v>
      </c>
      <c r="H80" t="s">
        <v>254</v>
      </c>
      <c r="I80" t="s">
        <v>135</v>
      </c>
      <c r="J80" t="s">
        <v>39</v>
      </c>
      <c r="K80" t="s">
        <v>31</v>
      </c>
      <c r="L80">
        <v>38.700000000000003</v>
      </c>
      <c r="M80">
        <v>1</v>
      </c>
      <c r="N80">
        <v>1.5279315446562396</v>
      </c>
      <c r="O80">
        <v>3.2630763305462525</v>
      </c>
      <c r="P80">
        <v>-0.11304474947304376</v>
      </c>
      <c r="Q80">
        <v>1.1567665262170677</v>
      </c>
      <c r="R80">
        <v>-0.72815674905095173</v>
      </c>
      <c r="S80" s="2">
        <v>2.7190547165528391E-4</v>
      </c>
      <c r="T80" s="2">
        <v>5.8366049458948867E-4</v>
      </c>
      <c r="U80" s="2">
        <v>1.2830346030470172E-3</v>
      </c>
      <c r="V80" s="2">
        <v>2.430690236557149E-3</v>
      </c>
      <c r="W80" s="2">
        <v>4.1879475131335548E-3</v>
      </c>
      <c r="X80" s="2">
        <v>6.727001120379935E-3</v>
      </c>
      <c r="Y80" s="2">
        <v>1.0212026309718259E-2</v>
      </c>
      <c r="Z80" s="2">
        <v>1.4771992416075188E-2</v>
      </c>
      <c r="AA80" s="2">
        <v>2.0466778911376188E-2</v>
      </c>
      <c r="AB80" s="2">
        <v>2.725160111562179E-2</v>
      </c>
      <c r="AC80" s="2">
        <v>3.4948767265444457E-2</v>
      </c>
      <c r="AD80" s="2">
        <v>4.3238809912994669E-2</v>
      </c>
      <c r="AE80" s="2">
        <v>5.1682590394723997E-2</v>
      </c>
      <c r="AF80" s="2">
        <v>5.9779692522138085E-2</v>
      </c>
      <c r="AG80" s="2">
        <v>6.7055960255499369E-2</v>
      </c>
      <c r="AH80" s="2">
        <v>7.3158096050654264E-2</v>
      </c>
      <c r="AI80" s="2">
        <v>7.7923661382113374E-2</v>
      </c>
      <c r="AJ80" s="2">
        <v>8.1622501979796452E-2</v>
      </c>
      <c r="AK80" s="2">
        <v>8.3949340466761363E-2</v>
      </c>
      <c r="AL80" s="2">
        <v>8.5965081709966432E-2</v>
      </c>
      <c r="AM80" s="2">
        <v>8.6966721497370489E-2</v>
      </c>
      <c r="AN80" s="2">
        <v>8.7631878703645999E-2</v>
      </c>
      <c r="AO80" s="2">
        <v>8.8305886572924819E-2</v>
      </c>
      <c r="AP80" s="2">
        <v>8.8988838116642072E-2</v>
      </c>
      <c r="AQ80" s="2">
        <v>8.968082741730754E-2</v>
      </c>
      <c r="AR80" s="2">
        <v>1.1890852924401372</v>
      </c>
    </row>
    <row r="81" spans="1:44" x14ac:dyDescent="0.25">
      <c r="A81" t="s">
        <v>250</v>
      </c>
      <c r="B81" t="s">
        <v>257</v>
      </c>
      <c r="C81" t="s">
        <v>43</v>
      </c>
      <c r="D81" t="s">
        <v>258</v>
      </c>
      <c r="E81" t="s">
        <v>148</v>
      </c>
      <c r="F81" t="s">
        <v>258</v>
      </c>
      <c r="G81" t="s">
        <v>31</v>
      </c>
      <c r="H81" t="s">
        <v>253</v>
      </c>
      <c r="I81" t="s">
        <v>135</v>
      </c>
      <c r="J81" t="s">
        <v>39</v>
      </c>
      <c r="K81" t="s">
        <v>31</v>
      </c>
      <c r="L81">
        <v>38.700000000000003</v>
      </c>
      <c r="M81">
        <v>1</v>
      </c>
      <c r="N81">
        <v>1.5279315446562396</v>
      </c>
      <c r="O81">
        <v>3.2630763305462525</v>
      </c>
      <c r="P81">
        <v>-0.11304474947304376</v>
      </c>
      <c r="Q81">
        <v>1.1567665262170677</v>
      </c>
      <c r="R81">
        <v>-0.72815674905095173</v>
      </c>
      <c r="S81" s="2">
        <v>4.1931408981708087E-5</v>
      </c>
      <c r="T81" s="2">
        <v>8.7809333101659576E-5</v>
      </c>
      <c r="U81" s="2">
        <v>1.9310100416449079E-4</v>
      </c>
      <c r="V81" s="2">
        <v>3.6596511634565533E-4</v>
      </c>
      <c r="W81" s="2">
        <v>6.3077336899026407E-4</v>
      </c>
      <c r="X81" s="2">
        <v>1.0135701327161606E-3</v>
      </c>
      <c r="Y81" s="2">
        <v>1.5392266054813529E-3</v>
      </c>
      <c r="Z81" s="2">
        <v>2.2273383666716515E-3</v>
      </c>
      <c r="AA81" s="2">
        <v>3.0871040419987129E-3</v>
      </c>
      <c r="AB81" s="2">
        <v>4.1119384578308391E-3</v>
      </c>
      <c r="AC81" s="2">
        <v>5.2751818392705787E-3</v>
      </c>
      <c r="AD81" s="2">
        <v>6.5287265623172061E-3</v>
      </c>
      <c r="AE81" s="2">
        <v>7.8063206784195725E-3</v>
      </c>
      <c r="AF81" s="2">
        <v>9.0323625312499229E-3</v>
      </c>
      <c r="AG81" s="2">
        <v>1.0135118918690969E-2</v>
      </c>
      <c r="AH81" s="2">
        <v>1.1061037275999608E-2</v>
      </c>
      <c r="AI81" s="2">
        <v>1.178536507352493E-2</v>
      </c>
      <c r="AJ81" s="2">
        <v>1.2348723320046488E-2</v>
      </c>
      <c r="AK81" s="2">
        <v>1.270475112950066E-2</v>
      </c>
      <c r="AL81" s="2">
        <v>1.3013854001188442E-2</v>
      </c>
      <c r="AM81" s="2">
        <v>1.3169527531306079E-2</v>
      </c>
      <c r="AN81" s="2">
        <v>1.3274273034844032E-2</v>
      </c>
      <c r="AO81" s="2">
        <v>1.338036924821976E-2</v>
      </c>
      <c r="AP81" s="2">
        <v>1.3487830596865522E-2</v>
      </c>
      <c r="AQ81" s="2">
        <v>1.359667167094614E-2</v>
      </c>
      <c r="AR81" s="2">
        <v>0.17989887124867243</v>
      </c>
    </row>
    <row r="82" spans="1:44" x14ac:dyDescent="0.25">
      <c r="A82" t="s">
        <v>250</v>
      </c>
      <c r="B82" t="s">
        <v>257</v>
      </c>
      <c r="C82" t="s">
        <v>43</v>
      </c>
      <c r="D82" t="s">
        <v>258</v>
      </c>
      <c r="E82" t="s">
        <v>148</v>
      </c>
      <c r="F82" t="s">
        <v>258</v>
      </c>
      <c r="G82" t="s">
        <v>31</v>
      </c>
      <c r="H82" t="s">
        <v>253</v>
      </c>
      <c r="I82" t="s">
        <v>135</v>
      </c>
      <c r="J82" t="s">
        <v>40</v>
      </c>
      <c r="K82" t="s">
        <v>31</v>
      </c>
      <c r="L82">
        <v>38.700000000000003</v>
      </c>
      <c r="M82">
        <v>1</v>
      </c>
      <c r="N82">
        <v>1.5279315446562396</v>
      </c>
      <c r="O82">
        <v>2.0803135952388567</v>
      </c>
      <c r="P82">
        <v>-0.11304474947304376</v>
      </c>
      <c r="Q82">
        <v>0.4672931329656026</v>
      </c>
      <c r="R82">
        <v>-0.58515674905095172</v>
      </c>
      <c r="S82" s="2">
        <v>2.2056792624403476E-5</v>
      </c>
      <c r="T82" s="2">
        <v>4.6189534235669728E-5</v>
      </c>
      <c r="U82" s="2">
        <v>1.0157514159083457E-4</v>
      </c>
      <c r="V82" s="2">
        <v>1.9250525739602893E-4</v>
      </c>
      <c r="W82" s="2">
        <v>3.3179990204679173E-4</v>
      </c>
      <c r="X82" s="2">
        <v>5.3315895579282796E-4</v>
      </c>
      <c r="Y82" s="2">
        <v>8.0966518568162632E-4</v>
      </c>
      <c r="Z82" s="2">
        <v>1.1716262737435047E-3</v>
      </c>
      <c r="AA82" s="2">
        <v>1.6238808882865613E-3</v>
      </c>
      <c r="AB82" s="2">
        <v>2.1629650911146442E-3</v>
      </c>
      <c r="AC82" s="2">
        <v>2.7748552865363252E-3</v>
      </c>
      <c r="AD82" s="2">
        <v>3.4342458644612546E-3</v>
      </c>
      <c r="AE82" s="2">
        <v>4.1062869229747051E-3</v>
      </c>
      <c r="AF82" s="2">
        <v>4.7512104195478223E-3</v>
      </c>
      <c r="AG82" s="2">
        <v>5.331283198967935E-3</v>
      </c>
      <c r="AH82" s="2">
        <v>5.8183354991469425E-3</v>
      </c>
      <c r="AI82" s="2">
        <v>6.1993469750330965E-3</v>
      </c>
      <c r="AJ82" s="2">
        <v>6.4956851215091805E-3</v>
      </c>
      <c r="AK82" s="2">
        <v>6.6829631489439588E-3</v>
      </c>
      <c r="AL82" s="2">
        <v>6.8455576838282262E-3</v>
      </c>
      <c r="AM82" s="2">
        <v>6.9274451961799429E-3</v>
      </c>
      <c r="AN82" s="2">
        <v>6.9825435080654828E-3</v>
      </c>
      <c r="AO82" s="2">
        <v>7.0383523213988063E-3</v>
      </c>
      <c r="AP82" s="2">
        <v>7.0948792242570792E-3</v>
      </c>
      <c r="AQ82" s="2">
        <v>7.1521318913701755E-3</v>
      </c>
      <c r="AR82" s="2">
        <v>9.463054528473383E-2</v>
      </c>
    </row>
    <row r="83" spans="1:44" x14ac:dyDescent="0.25">
      <c r="A83" t="s">
        <v>250</v>
      </c>
      <c r="B83" t="s">
        <v>257</v>
      </c>
      <c r="C83" t="s">
        <v>43</v>
      </c>
      <c r="D83" t="s">
        <v>258</v>
      </c>
      <c r="E83" t="s">
        <v>148</v>
      </c>
      <c r="F83" t="s">
        <v>258</v>
      </c>
      <c r="G83" t="s">
        <v>31</v>
      </c>
      <c r="H83" t="s">
        <v>253</v>
      </c>
      <c r="I83" t="s">
        <v>256</v>
      </c>
      <c r="J83" t="s">
        <v>39</v>
      </c>
      <c r="K83" t="s">
        <v>31</v>
      </c>
      <c r="L83">
        <v>38.700000000000003</v>
      </c>
      <c r="M83">
        <v>1</v>
      </c>
      <c r="N83">
        <v>1.3149191963199545</v>
      </c>
      <c r="O83">
        <v>2.8081635732298982</v>
      </c>
      <c r="P83">
        <v>0.13336080475326101</v>
      </c>
      <c r="Q83">
        <v>0.4672931329656026</v>
      </c>
      <c r="R83">
        <v>-0.48175119482464696</v>
      </c>
      <c r="S83" s="2">
        <v>2.1995578141004168E-5</v>
      </c>
      <c r="T83" s="2">
        <v>4.6061343862534467E-5</v>
      </c>
      <c r="U83" s="2">
        <v>1.0129323887158777E-4</v>
      </c>
      <c r="V83" s="2">
        <v>1.9197099522637109E-4</v>
      </c>
      <c r="W83" s="2">
        <v>3.3087905376473991E-4</v>
      </c>
      <c r="X83" s="2">
        <v>5.3167927329300874E-4</v>
      </c>
      <c r="Y83" s="2">
        <v>8.0741811209699831E-4</v>
      </c>
      <c r="Z83" s="2">
        <v>1.1683746451724071E-3</v>
      </c>
      <c r="AA83" s="2">
        <v>1.6193741120126579E-3</v>
      </c>
      <c r="AB83" s="2">
        <v>2.1569621879311009E-3</v>
      </c>
      <c r="AC83" s="2">
        <v>2.7671541970912292E-3</v>
      </c>
      <c r="AD83" s="2">
        <v>3.4247147603683171E-3</v>
      </c>
      <c r="AE83" s="2">
        <v>4.0948906952022286E-3</v>
      </c>
      <c r="AF83" s="2">
        <v>4.738024327793371E-3</v>
      </c>
      <c r="AG83" s="2">
        <v>5.316487224211454E-3</v>
      </c>
      <c r="AH83" s="2">
        <v>5.8021878022497296E-3</v>
      </c>
      <c r="AI83" s="2">
        <v>6.1821418523775552E-3</v>
      </c>
      <c r="AJ83" s="2">
        <v>6.4776575680108766E-3</v>
      </c>
      <c r="AK83" s="2">
        <v>6.664415840470536E-3</v>
      </c>
      <c r="AL83" s="2">
        <v>6.8265591247752026E-3</v>
      </c>
      <c r="AM83" s="2">
        <v>6.9082193737232313E-3</v>
      </c>
      <c r="AN83" s="2">
        <v>6.9631647705973151E-3</v>
      </c>
      <c r="AO83" s="2">
        <v>7.0188186970557087E-3</v>
      </c>
      <c r="AP83" s="2">
        <v>7.0751887201167792E-3</v>
      </c>
      <c r="AQ83" s="2">
        <v>7.1322824932102437E-3</v>
      </c>
      <c r="AR83" s="2">
        <v>9.4367915987626186E-2</v>
      </c>
    </row>
    <row r="84" spans="1:44" x14ac:dyDescent="0.25">
      <c r="A84" t="s">
        <v>250</v>
      </c>
      <c r="B84" t="s">
        <v>257</v>
      </c>
      <c r="C84" t="s">
        <v>43</v>
      </c>
      <c r="D84" t="s">
        <v>258</v>
      </c>
      <c r="E84" t="s">
        <v>148</v>
      </c>
      <c r="F84" t="s">
        <v>258</v>
      </c>
      <c r="G84" t="s">
        <v>31</v>
      </c>
      <c r="H84" t="s">
        <v>252</v>
      </c>
      <c r="I84" t="s">
        <v>135</v>
      </c>
      <c r="J84" t="s">
        <v>39</v>
      </c>
      <c r="K84" t="s">
        <v>31</v>
      </c>
      <c r="L84">
        <v>38.700000000000003</v>
      </c>
      <c r="M84">
        <v>1</v>
      </c>
      <c r="N84">
        <v>1.5279315446562396</v>
      </c>
      <c r="O84">
        <v>3.2630763305462525</v>
      </c>
      <c r="P84">
        <v>-0.11304474947304376</v>
      </c>
      <c r="Q84">
        <v>1.1567665262170677</v>
      </c>
      <c r="R84">
        <v>-0.72815674905095173</v>
      </c>
      <c r="S84" s="2">
        <v>1.1834934758345765E-3</v>
      </c>
      <c r="T84" s="2">
        <v>2.4141750289692885E-3</v>
      </c>
      <c r="U84" s="2">
        <v>5.3110939846724211E-3</v>
      </c>
      <c r="V84" s="2">
        <v>1.0069515917654807E-2</v>
      </c>
      <c r="W84" s="2">
        <v>1.7362400679237989E-2</v>
      </c>
      <c r="X84" s="2">
        <v>2.7909742878548392E-2</v>
      </c>
      <c r="Y84" s="2">
        <v>4.2400237517972679E-2</v>
      </c>
      <c r="Z84" s="2">
        <v>6.1378139821673186E-2</v>
      </c>
      <c r="AA84" s="2">
        <v>8.5101789980067538E-2</v>
      </c>
      <c r="AB84" s="2">
        <v>0.11339451708459183</v>
      </c>
      <c r="AC84" s="2">
        <v>0.14552547711219804</v>
      </c>
      <c r="AD84" s="2">
        <v>0.18017078052706895</v>
      </c>
      <c r="AE84" s="2">
        <v>0.21550368290679303</v>
      </c>
      <c r="AF84" s="2">
        <v>0.24943664308575947</v>
      </c>
      <c r="AG84" s="2">
        <v>0.27998611281509289</v>
      </c>
      <c r="AH84" s="2">
        <v>0.30566831580891701</v>
      </c>
      <c r="AI84" s="2">
        <v>0.3257937294035973</v>
      </c>
      <c r="AJ84" s="2">
        <v>0.34147982633706492</v>
      </c>
      <c r="AK84" s="2">
        <v>0.35143958210254889</v>
      </c>
      <c r="AL84" s="2">
        <v>0.36010585469679279</v>
      </c>
      <c r="AM84" s="2">
        <v>0.36452928120774558</v>
      </c>
      <c r="AN84" s="2">
        <v>0.36754387308150299</v>
      </c>
      <c r="AO84" s="2">
        <v>0.37059624294047155</v>
      </c>
      <c r="AP84" s="2">
        <v>0.37368679974461216</v>
      </c>
      <c r="AQ84" s="2">
        <v>0.37681595709442056</v>
      </c>
      <c r="AR84" s="2">
        <v>4.9748072652338085</v>
      </c>
    </row>
    <row r="85" spans="1:44" x14ac:dyDescent="0.25">
      <c r="A85" t="s">
        <v>250</v>
      </c>
      <c r="B85" t="s">
        <v>257</v>
      </c>
      <c r="C85" t="s">
        <v>43</v>
      </c>
      <c r="D85" t="s">
        <v>258</v>
      </c>
      <c r="E85" t="s">
        <v>148</v>
      </c>
      <c r="F85" t="s">
        <v>258</v>
      </c>
      <c r="G85" t="s">
        <v>31</v>
      </c>
      <c r="H85" t="s">
        <v>255</v>
      </c>
      <c r="I85" t="s">
        <v>135</v>
      </c>
      <c r="J85" t="s">
        <v>39</v>
      </c>
      <c r="K85" t="s">
        <v>31</v>
      </c>
      <c r="L85">
        <v>38.700000000000003</v>
      </c>
      <c r="M85">
        <v>1</v>
      </c>
      <c r="N85">
        <v>1.5279315446562396</v>
      </c>
      <c r="O85">
        <v>3.2630763305462525</v>
      </c>
      <c r="P85">
        <v>-0.11304474947304376</v>
      </c>
      <c r="Q85">
        <v>1.1567665262170677</v>
      </c>
      <c r="R85">
        <v>-0.72815674905095173</v>
      </c>
      <c r="S85" s="2">
        <v>7.0004489272335337E-5</v>
      </c>
      <c r="T85" s="2">
        <v>1.9311704285661092E-4</v>
      </c>
      <c r="U85" s="2">
        <v>4.2262590198443206E-4</v>
      </c>
      <c r="V85" s="2">
        <v>7.9712589690636177E-4</v>
      </c>
      <c r="W85" s="2">
        <v>1.3674147176703419E-3</v>
      </c>
      <c r="X85" s="2">
        <v>2.1869780344668721E-3</v>
      </c>
      <c r="Y85" s="2">
        <v>3.3058332997514682E-3</v>
      </c>
      <c r="Z85" s="2">
        <v>4.7618577707562604E-3</v>
      </c>
      <c r="AA85" s="2">
        <v>6.5701816932815021E-3</v>
      </c>
      <c r="AB85" s="2">
        <v>8.7122967665728863E-3</v>
      </c>
      <c r="AC85" s="2">
        <v>1.1127752602343338E-2</v>
      </c>
      <c r="AD85" s="2">
        <v>1.3712179408701782E-2</v>
      </c>
      <c r="AE85" s="2">
        <v>1.6325118821948693E-2</v>
      </c>
      <c r="AF85" s="2">
        <v>1.8809065413951352E-2</v>
      </c>
      <c r="AG85" s="2">
        <v>2.1017182232597895E-2</v>
      </c>
      <c r="AH85" s="2">
        <v>2.284257822311252E-2</v>
      </c>
      <c r="AI85" s="2">
        <v>2.4239279617715079E-2</v>
      </c>
      <c r="AJ85" s="2">
        <v>2.5295883126277278E-2</v>
      </c>
      <c r="AK85" s="2">
        <v>2.5922011975909563E-2</v>
      </c>
      <c r="AL85" s="2">
        <v>2.6448850168111836E-2</v>
      </c>
      <c r="AM85" s="2">
        <v>2.6662008315085271E-2</v>
      </c>
      <c r="AN85" s="2">
        <v>2.6771863146019412E-2</v>
      </c>
      <c r="AO85" s="2">
        <v>2.6884652194901697E-2</v>
      </c>
      <c r="AP85" s="2">
        <v>2.7000393046527241E-2</v>
      </c>
      <c r="AQ85" s="2">
        <v>2.7119103620777282E-2</v>
      </c>
      <c r="AR85" s="2">
        <v>0.36856535752749925</v>
      </c>
    </row>
    <row r="86" spans="1:44" x14ac:dyDescent="0.25">
      <c r="A86" t="s">
        <v>250</v>
      </c>
      <c r="B86" t="s">
        <v>291</v>
      </c>
      <c r="C86" t="s">
        <v>44</v>
      </c>
      <c r="D86" t="s">
        <v>292</v>
      </c>
      <c r="E86" t="s">
        <v>145</v>
      </c>
      <c r="F86" t="s">
        <v>292</v>
      </c>
      <c r="G86" t="s">
        <v>31</v>
      </c>
      <c r="H86" t="s">
        <v>254</v>
      </c>
      <c r="I86" t="s">
        <v>135</v>
      </c>
      <c r="J86" t="s">
        <v>39</v>
      </c>
      <c r="K86" t="s">
        <v>31</v>
      </c>
      <c r="L86">
        <v>2.370000000000001</v>
      </c>
      <c r="M86">
        <v>1</v>
      </c>
      <c r="N86">
        <v>2.729832824165364</v>
      </c>
      <c r="O86">
        <v>5.3797577395665286</v>
      </c>
      <c r="P86">
        <v>-1.3196045040170097</v>
      </c>
      <c r="Q86">
        <v>1.0674536938902881</v>
      </c>
      <c r="R86">
        <v>-1.8454036712681361</v>
      </c>
      <c r="S86" s="2">
        <v>0</v>
      </c>
      <c r="T86" s="2">
        <v>0</v>
      </c>
      <c r="U86" s="2">
        <v>0.48275666840805936</v>
      </c>
      <c r="V86" s="2">
        <v>0.90431057235126522</v>
      </c>
      <c r="W86" s="2">
        <v>1.5405152274951142</v>
      </c>
      <c r="X86" s="2">
        <v>2.4464811986719051</v>
      </c>
      <c r="Y86" s="2">
        <v>3.6716977053248141</v>
      </c>
      <c r="Z86" s="2">
        <v>5.250586579139223</v>
      </c>
      <c r="AA86" s="2">
        <v>7.1913644342277259</v>
      </c>
      <c r="AB86" s="2">
        <v>9.4651243527095659</v>
      </c>
      <c r="AC86" s="2">
        <v>11.998259925621699</v>
      </c>
      <c r="AD86" s="2">
        <v>14.672090520100907</v>
      </c>
      <c r="AE86" s="2">
        <v>17.33302295349613</v>
      </c>
      <c r="AF86" s="2">
        <v>19.814155086275527</v>
      </c>
      <c r="AG86" s="2">
        <v>21.965006360648427</v>
      </c>
      <c r="AH86" s="2">
        <v>23.681477205670891</v>
      </c>
      <c r="AI86" s="2">
        <v>24.925778533286273</v>
      </c>
      <c r="AJ86" s="2">
        <v>32.343821238032838</v>
      </c>
      <c r="AK86" s="2">
        <v>32.843720542697966</v>
      </c>
      <c r="AL86" s="2">
        <v>33.149277558779438</v>
      </c>
      <c r="AM86" s="2">
        <v>32.981078177470607</v>
      </c>
      <c r="AN86" s="2">
        <v>32.595119195509888</v>
      </c>
      <c r="AO86" s="2">
        <v>32.112830931194864</v>
      </c>
      <c r="AP86" s="2">
        <v>31.528784050373549</v>
      </c>
      <c r="AQ86" s="2">
        <v>4.805828993498463</v>
      </c>
      <c r="AR86" s="2">
        <v>397.70308801098508</v>
      </c>
    </row>
    <row r="87" spans="1:44" x14ac:dyDescent="0.25">
      <c r="A87" t="s">
        <v>250</v>
      </c>
      <c r="B87" t="s">
        <v>291</v>
      </c>
      <c r="C87" t="s">
        <v>44</v>
      </c>
      <c r="D87" t="s">
        <v>292</v>
      </c>
      <c r="E87" t="s">
        <v>145</v>
      </c>
      <c r="F87" t="s">
        <v>292</v>
      </c>
      <c r="G87" t="s">
        <v>31</v>
      </c>
      <c r="H87" t="s">
        <v>272</v>
      </c>
      <c r="I87" t="s">
        <v>135</v>
      </c>
      <c r="J87" t="s">
        <v>39</v>
      </c>
      <c r="K87" t="s">
        <v>31</v>
      </c>
      <c r="L87">
        <v>2.370000000000001</v>
      </c>
      <c r="M87">
        <v>1</v>
      </c>
      <c r="N87">
        <v>2.729832824165364</v>
      </c>
      <c r="O87">
        <v>5.3797577395665286</v>
      </c>
      <c r="P87">
        <v>-1.3196045040170097</v>
      </c>
      <c r="Q87">
        <v>1.0674536938902881</v>
      </c>
      <c r="R87">
        <v>-1.8454036712681361</v>
      </c>
      <c r="S87" s="2">
        <v>0</v>
      </c>
      <c r="T87" s="2">
        <v>0</v>
      </c>
      <c r="U87" s="2">
        <v>0.58934557631689899</v>
      </c>
      <c r="V87" s="2">
        <v>1.1038496139372918</v>
      </c>
      <c r="W87" s="2">
        <v>1.8802207997237799</v>
      </c>
      <c r="X87" s="2">
        <v>2.9856252501883236</v>
      </c>
      <c r="Y87" s="2">
        <v>4.4803391054765846</v>
      </c>
      <c r="Z87" s="2">
        <v>6.4062273502714362</v>
      </c>
      <c r="AA87" s="2">
        <v>8.7731665951686608</v>
      </c>
      <c r="AB87" s="2">
        <v>11.54574490494567</v>
      </c>
      <c r="AC87" s="2">
        <v>14.634047324566744</v>
      </c>
      <c r="AD87" s="2">
        <v>17.893229905614053</v>
      </c>
      <c r="AE87" s="2">
        <v>21.135942161702339</v>
      </c>
      <c r="AF87" s="2">
        <v>24.158691772252386</v>
      </c>
      <c r="AG87" s="2">
        <v>26.778099052377737</v>
      </c>
      <c r="AH87" s="2">
        <v>28.86740564696581</v>
      </c>
      <c r="AI87" s="2">
        <v>30.380733349241773</v>
      </c>
      <c r="AJ87" s="2">
        <v>39.489485282401695</v>
      </c>
      <c r="AK87" s="2">
        <v>40.095061671478625</v>
      </c>
      <c r="AL87" s="2">
        <v>40.462801319313257</v>
      </c>
      <c r="AM87" s="2">
        <v>40.251620766313522</v>
      </c>
      <c r="AN87" s="2">
        <v>39.774002663190458</v>
      </c>
      <c r="AO87" s="2">
        <v>39.178101730538913</v>
      </c>
      <c r="AP87" s="2">
        <v>38.457281760852034</v>
      </c>
      <c r="AQ87" s="2">
        <v>5.9051904786484375</v>
      </c>
      <c r="AR87" s="2">
        <v>485.22621408148638</v>
      </c>
    </row>
    <row r="88" spans="1:44" x14ac:dyDescent="0.25">
      <c r="A88" t="s">
        <v>250</v>
      </c>
      <c r="B88" t="s">
        <v>291</v>
      </c>
      <c r="C88" t="s">
        <v>44</v>
      </c>
      <c r="D88" t="s">
        <v>292</v>
      </c>
      <c r="E88" t="s">
        <v>145</v>
      </c>
      <c r="F88" t="s">
        <v>292</v>
      </c>
      <c r="G88" t="s">
        <v>31</v>
      </c>
      <c r="H88" t="s">
        <v>272</v>
      </c>
      <c r="I88" t="s">
        <v>135</v>
      </c>
      <c r="J88" t="s">
        <v>40</v>
      </c>
      <c r="K88" t="s">
        <v>31</v>
      </c>
      <c r="L88">
        <v>2.370000000000001</v>
      </c>
      <c r="M88">
        <v>1</v>
      </c>
      <c r="N88">
        <v>2.729832824165364</v>
      </c>
      <c r="O88">
        <v>4.1429695267777937</v>
      </c>
      <c r="P88">
        <v>-1.3196045040170097</v>
      </c>
      <c r="Q88">
        <v>0.4672931329656026</v>
      </c>
      <c r="R88">
        <v>-1.7024036712681361</v>
      </c>
      <c r="S88" s="2">
        <v>0</v>
      </c>
      <c r="T88" s="2">
        <v>0</v>
      </c>
      <c r="U88" s="2">
        <v>5.8295613758620121E-2</v>
      </c>
      <c r="V88" s="2">
        <v>0.1091882137197695</v>
      </c>
      <c r="W88" s="2">
        <v>0.18598362306648289</v>
      </c>
      <c r="X88" s="2">
        <v>0.29532563475011753</v>
      </c>
      <c r="Y88" s="2">
        <v>0.44317651391017204</v>
      </c>
      <c r="Z88" s="2">
        <v>0.63367737074609054</v>
      </c>
      <c r="AA88" s="2">
        <v>0.86780515850851847</v>
      </c>
      <c r="AB88" s="2">
        <v>1.1420570758171813</v>
      </c>
      <c r="AC88" s="2">
        <v>1.4475391092094789</v>
      </c>
      <c r="AD88" s="2">
        <v>1.7699238976063514</v>
      </c>
      <c r="AE88" s="2">
        <v>2.0906795099461299</v>
      </c>
      <c r="AF88" s="2">
        <v>2.3896773320505793</v>
      </c>
      <c r="AG88" s="2">
        <v>2.6487782080306799</v>
      </c>
      <c r="AH88" s="2">
        <v>2.8554437284925691</v>
      </c>
      <c r="AI88" s="2">
        <v>3.0051358119954785</v>
      </c>
      <c r="AJ88" s="2">
        <v>3.9061356766878443</v>
      </c>
      <c r="AK88" s="2">
        <v>3.9660367749528107</v>
      </c>
      <c r="AL88" s="2">
        <v>4.0024120517604551</v>
      </c>
      <c r="AM88" s="2">
        <v>3.9815229496008411</v>
      </c>
      <c r="AN88" s="2">
        <v>3.9342789528989468</v>
      </c>
      <c r="AO88" s="2">
        <v>3.875334910550559</v>
      </c>
      <c r="AP88" s="2">
        <v>3.8040343965041807</v>
      </c>
      <c r="AQ88" s="2">
        <v>0.58411688684545637</v>
      </c>
      <c r="AR88" s="2">
        <v>47.996559401409321</v>
      </c>
    </row>
    <row r="89" spans="1:44" x14ac:dyDescent="0.25">
      <c r="A89" t="s">
        <v>250</v>
      </c>
      <c r="B89" t="s">
        <v>291</v>
      </c>
      <c r="C89" t="s">
        <v>44</v>
      </c>
      <c r="D89" t="s">
        <v>292</v>
      </c>
      <c r="E89" t="s">
        <v>145</v>
      </c>
      <c r="F89" t="s">
        <v>292</v>
      </c>
      <c r="G89" t="s">
        <v>31</v>
      </c>
      <c r="H89" t="s">
        <v>253</v>
      </c>
      <c r="I89" t="s">
        <v>135</v>
      </c>
      <c r="J89" t="s">
        <v>39</v>
      </c>
      <c r="K89" t="s">
        <v>31</v>
      </c>
      <c r="L89">
        <v>2.370000000000001</v>
      </c>
      <c r="M89">
        <v>1</v>
      </c>
      <c r="N89">
        <v>2.729832824165364</v>
      </c>
      <c r="O89">
        <v>5.3797577395665286</v>
      </c>
      <c r="P89">
        <v>-1.3196045040170097</v>
      </c>
      <c r="Q89">
        <v>1.0674536938902881</v>
      </c>
      <c r="R89">
        <v>-1.8454036712681361</v>
      </c>
      <c r="S89" s="2">
        <v>0</v>
      </c>
      <c r="T89" s="2">
        <v>0</v>
      </c>
      <c r="U89" s="2">
        <v>2.764327921026254E-3</v>
      </c>
      <c r="V89" s="2">
        <v>5.1802120570967891E-3</v>
      </c>
      <c r="W89" s="2">
        <v>8.8280457865954395E-3</v>
      </c>
      <c r="X89" s="2">
        <v>1.4025201685966432E-2</v>
      </c>
      <c r="Y89" s="2">
        <v>2.1057305700427627E-2</v>
      </c>
      <c r="Z89" s="2">
        <v>3.0123980610962463E-2</v>
      </c>
      <c r="AA89" s="2">
        <v>4.1274753136547555E-2</v>
      </c>
      <c r="AB89" s="2">
        <v>5.4346072261087688E-2</v>
      </c>
      <c r="AC89" s="2">
        <v>6.8917379438982782E-2</v>
      </c>
      <c r="AD89" s="2">
        <v>8.4308456440674612E-2</v>
      </c>
      <c r="AE89" s="2">
        <v>9.9637335193553722E-2</v>
      </c>
      <c r="AF89" s="2">
        <v>0.11394414156190107</v>
      </c>
      <c r="AG89" s="2">
        <v>0.12636198151473593</v>
      </c>
      <c r="AH89" s="2">
        <v>0.13628954286375988</v>
      </c>
      <c r="AI89" s="2">
        <v>0.14350635336482095</v>
      </c>
      <c r="AJ89" s="2">
        <v>0.18513803799548156</v>
      </c>
      <c r="AK89" s="2">
        <v>0.1880757220994671</v>
      </c>
      <c r="AL89" s="2">
        <v>0.1899099752686354</v>
      </c>
      <c r="AM89" s="2">
        <v>0.18904045087341467</v>
      </c>
      <c r="AN89" s="2">
        <v>0.18693364416849093</v>
      </c>
      <c r="AO89" s="2">
        <v>0.18428629671659677</v>
      </c>
      <c r="AP89" s="2">
        <v>0.18106746683267408</v>
      </c>
      <c r="AQ89" s="2">
        <v>2.6904527131472754E-2</v>
      </c>
      <c r="AR89" s="2">
        <v>2.2819212106243723</v>
      </c>
    </row>
    <row r="90" spans="1:44" x14ac:dyDescent="0.25">
      <c r="A90" t="s">
        <v>250</v>
      </c>
      <c r="B90" t="s">
        <v>291</v>
      </c>
      <c r="C90" t="s">
        <v>44</v>
      </c>
      <c r="D90" t="s">
        <v>292</v>
      </c>
      <c r="E90" t="s">
        <v>145</v>
      </c>
      <c r="F90" t="s">
        <v>292</v>
      </c>
      <c r="G90" t="s">
        <v>31</v>
      </c>
      <c r="H90" t="s">
        <v>253</v>
      </c>
      <c r="I90" t="s">
        <v>135</v>
      </c>
      <c r="J90" t="s">
        <v>40</v>
      </c>
      <c r="K90" t="s">
        <v>31</v>
      </c>
      <c r="L90">
        <v>2.370000000000001</v>
      </c>
      <c r="M90">
        <v>1</v>
      </c>
      <c r="N90">
        <v>2.729832824165364</v>
      </c>
      <c r="O90">
        <v>4.1429695267777937</v>
      </c>
      <c r="P90">
        <v>-1.3196045040170097</v>
      </c>
      <c r="Q90">
        <v>0.4672931329656026</v>
      </c>
      <c r="R90">
        <v>-1.7024036712681361</v>
      </c>
      <c r="S90" s="2">
        <v>0</v>
      </c>
      <c r="T90" s="2">
        <v>0</v>
      </c>
      <c r="U90" s="2">
        <v>1.4540939400944676E-3</v>
      </c>
      <c r="V90" s="2">
        <v>2.7248992072663718E-3</v>
      </c>
      <c r="W90" s="2">
        <v>4.6437355653519133E-3</v>
      </c>
      <c r="X90" s="2">
        <v>7.37754758581437E-3</v>
      </c>
      <c r="Y90" s="2">
        <v>1.1076580452271787E-2</v>
      </c>
      <c r="Z90" s="2">
        <v>1.5845839896469989E-2</v>
      </c>
      <c r="AA90" s="2">
        <v>2.17113780019512E-2</v>
      </c>
      <c r="AB90" s="2">
        <v>2.858716353501432E-2</v>
      </c>
      <c r="AC90" s="2">
        <v>3.6251973959808718E-2</v>
      </c>
      <c r="AD90" s="2">
        <v>4.4348000349969711E-2</v>
      </c>
      <c r="AE90" s="2">
        <v>5.2411309168530353E-2</v>
      </c>
      <c r="AF90" s="2">
        <v>5.9936986670132815E-2</v>
      </c>
      <c r="AG90" s="2">
        <v>6.6469028577004902E-2</v>
      </c>
      <c r="AH90" s="2">
        <v>7.1691132180463302E-2</v>
      </c>
      <c r="AI90" s="2">
        <v>7.5487324497801364E-2</v>
      </c>
      <c r="AJ90" s="2">
        <v>9.7386455884099735E-2</v>
      </c>
      <c r="AK90" s="2">
        <v>9.8931738779456282E-2</v>
      </c>
      <c r="AL90" s="2">
        <v>9.9896594069452574E-2</v>
      </c>
      <c r="AM90" s="2">
        <v>9.9439206165420679E-2</v>
      </c>
      <c r="AN90" s="2">
        <v>9.8330982050879881E-2</v>
      </c>
      <c r="AO90" s="2">
        <v>9.6938422268863997E-2</v>
      </c>
      <c r="AP90" s="2">
        <v>9.5245250849943161E-2</v>
      </c>
      <c r="AQ90" s="2">
        <v>1.4152340453320179E-2</v>
      </c>
      <c r="AR90" s="2">
        <v>1.2003379841093822</v>
      </c>
    </row>
    <row r="91" spans="1:44" x14ac:dyDescent="0.25">
      <c r="A91" t="s">
        <v>250</v>
      </c>
      <c r="B91" t="s">
        <v>291</v>
      </c>
      <c r="C91" t="s">
        <v>44</v>
      </c>
      <c r="D91" t="s">
        <v>292</v>
      </c>
      <c r="E91" t="s">
        <v>145</v>
      </c>
      <c r="F91" t="s">
        <v>292</v>
      </c>
      <c r="G91" t="s">
        <v>31</v>
      </c>
      <c r="H91" t="s">
        <v>253</v>
      </c>
      <c r="I91" t="s">
        <v>256</v>
      </c>
      <c r="J91" t="s">
        <v>39</v>
      </c>
      <c r="K91" t="s">
        <v>31</v>
      </c>
      <c r="L91">
        <v>2.370000000000001</v>
      </c>
      <c r="M91">
        <v>1</v>
      </c>
      <c r="N91">
        <v>1.3593406335231053</v>
      </c>
      <c r="O91">
        <v>2.6788905273490848</v>
      </c>
      <c r="P91">
        <v>0.14333244733186137</v>
      </c>
      <c r="Q91">
        <v>0.4672931329656026</v>
      </c>
      <c r="R91">
        <v>-0.38246671991926479</v>
      </c>
      <c r="S91" s="2">
        <v>0</v>
      </c>
      <c r="T91" s="2">
        <v>0</v>
      </c>
      <c r="U91" s="2">
        <v>1.450058375591836E-3</v>
      </c>
      <c r="V91" s="2">
        <v>2.7173367615323787E-3</v>
      </c>
      <c r="W91" s="2">
        <v>4.630847749860484E-3</v>
      </c>
      <c r="X91" s="2">
        <v>7.3570725887506638E-3</v>
      </c>
      <c r="Y91" s="2">
        <v>1.1045839484545293E-2</v>
      </c>
      <c r="Z91" s="2">
        <v>1.5801862745312596E-2</v>
      </c>
      <c r="AA91" s="2">
        <v>2.1651122151932184E-2</v>
      </c>
      <c r="AB91" s="2">
        <v>2.850782523422658E-2</v>
      </c>
      <c r="AC91" s="2">
        <v>3.6151363417925124E-2</v>
      </c>
      <c r="AD91" s="2">
        <v>4.4224920808105021E-2</v>
      </c>
      <c r="AE91" s="2">
        <v>5.2265851428156811E-2</v>
      </c>
      <c r="AF91" s="2">
        <v>5.9770642825948295E-2</v>
      </c>
      <c r="AG91" s="2">
        <v>6.6284556277895798E-2</v>
      </c>
      <c r="AH91" s="2">
        <v>7.1492166914049901E-2</v>
      </c>
      <c r="AI91" s="2">
        <v>7.5277823612925801E-2</v>
      </c>
      <c r="AJ91" s="2">
        <v>9.7116178074966364E-2</v>
      </c>
      <c r="AK91" s="2">
        <v>9.8657172328009177E-2</v>
      </c>
      <c r="AL91" s="2">
        <v>9.9619349843447169E-2</v>
      </c>
      <c r="AM91" s="2">
        <v>9.9163231333598723E-2</v>
      </c>
      <c r="AN91" s="2">
        <v>9.8058082886849404E-2</v>
      </c>
      <c r="AO91" s="2">
        <v>9.6669387892842851E-2</v>
      </c>
      <c r="AP91" s="2">
        <v>9.4980915553044026E-2</v>
      </c>
      <c r="AQ91" s="2">
        <v>1.4113063291654088E-2</v>
      </c>
      <c r="AR91" s="2">
        <v>1.1970066715811705</v>
      </c>
    </row>
    <row r="92" spans="1:44" x14ac:dyDescent="0.25">
      <c r="A92" t="s">
        <v>250</v>
      </c>
      <c r="B92" t="s">
        <v>291</v>
      </c>
      <c r="C92" t="s">
        <v>44</v>
      </c>
      <c r="D92" t="s">
        <v>292</v>
      </c>
      <c r="E92" t="s">
        <v>145</v>
      </c>
      <c r="F92" t="s">
        <v>292</v>
      </c>
      <c r="G92" t="s">
        <v>31</v>
      </c>
      <c r="H92" t="s">
        <v>288</v>
      </c>
      <c r="I92" t="s">
        <v>135</v>
      </c>
      <c r="J92" t="s">
        <v>39</v>
      </c>
      <c r="K92" t="s">
        <v>31</v>
      </c>
      <c r="L92">
        <v>2.370000000000001</v>
      </c>
      <c r="M92">
        <v>1</v>
      </c>
      <c r="N92">
        <v>2.729832824165364</v>
      </c>
      <c r="O92">
        <v>5.3797577395665286</v>
      </c>
      <c r="P92">
        <v>-1.3196045040170097</v>
      </c>
      <c r="Q92">
        <v>1.0674536938902881</v>
      </c>
      <c r="R92">
        <v>-1.8454036712681361</v>
      </c>
      <c r="S92" s="2">
        <v>0</v>
      </c>
      <c r="T92" s="2">
        <v>0</v>
      </c>
      <c r="U92" s="2">
        <v>0.56016383006630888</v>
      </c>
      <c r="V92" s="2">
        <v>1.0508784031665168</v>
      </c>
      <c r="W92" s="2">
        <v>1.7928705412618957</v>
      </c>
      <c r="X92" s="2">
        <v>2.8514968461968064</v>
      </c>
      <c r="Y92" s="2">
        <v>4.2859392244094492</v>
      </c>
      <c r="Z92" s="2">
        <v>6.1381145869776903</v>
      </c>
      <c r="AA92" s="2">
        <v>8.4195046785574981</v>
      </c>
      <c r="AB92" s="2">
        <v>11.098125868411064</v>
      </c>
      <c r="AC92" s="2">
        <v>14.089308067647901</v>
      </c>
      <c r="AD92" s="2">
        <v>17.254861357562206</v>
      </c>
      <c r="AE92" s="2">
        <v>20.414646576993693</v>
      </c>
      <c r="AF92" s="2">
        <v>23.371747661977835</v>
      </c>
      <c r="AG92" s="2">
        <v>25.947471367127978</v>
      </c>
      <c r="AH92" s="2">
        <v>28.016931906691948</v>
      </c>
      <c r="AI92" s="2">
        <v>29.53306997675443</v>
      </c>
      <c r="AJ92" s="2">
        <v>37.483860386109207</v>
      </c>
      <c r="AK92" s="2">
        <v>38.122568429550043</v>
      </c>
      <c r="AL92" s="2">
        <v>38.543152880039301</v>
      </c>
      <c r="AM92" s="2">
        <v>38.42107107719746</v>
      </c>
      <c r="AN92" s="2">
        <v>38.053929661942782</v>
      </c>
      <c r="AO92" s="2">
        <v>37.583787902226703</v>
      </c>
      <c r="AP92" s="2">
        <v>37.004491136375265</v>
      </c>
      <c r="AQ92" s="2">
        <v>5.0946917732658452</v>
      </c>
      <c r="AR92" s="2">
        <v>465.13268414050981</v>
      </c>
    </row>
    <row r="93" spans="1:44" x14ac:dyDescent="0.25">
      <c r="A93" t="s">
        <v>250</v>
      </c>
      <c r="B93" t="s">
        <v>291</v>
      </c>
      <c r="C93" t="s">
        <v>44</v>
      </c>
      <c r="D93" t="s">
        <v>292</v>
      </c>
      <c r="E93" t="s">
        <v>145</v>
      </c>
      <c r="F93" t="s">
        <v>292</v>
      </c>
      <c r="G93" t="s">
        <v>31</v>
      </c>
      <c r="H93" t="s">
        <v>288</v>
      </c>
      <c r="I93" t="s">
        <v>135</v>
      </c>
      <c r="J93" t="s">
        <v>39</v>
      </c>
      <c r="K93" t="s">
        <v>33</v>
      </c>
      <c r="L93">
        <v>2.370000000000001</v>
      </c>
      <c r="M93">
        <v>1</v>
      </c>
      <c r="N93">
        <v>2.729832824165364</v>
      </c>
      <c r="O93">
        <v>5.3797577395665286</v>
      </c>
      <c r="P93">
        <v>-1.3196045040170097</v>
      </c>
      <c r="Q93">
        <v>1.0674536938902881</v>
      </c>
      <c r="R93">
        <v>-1.8454036712681361</v>
      </c>
      <c r="S93" s="2">
        <v>0</v>
      </c>
      <c r="T93" s="2">
        <v>0</v>
      </c>
      <c r="U93" s="2">
        <v>5.2695246582213709E-3</v>
      </c>
      <c r="V93" s="2">
        <v>9.8857322823266702E-3</v>
      </c>
      <c r="W93" s="2">
        <v>1.686573644903118E-2</v>
      </c>
      <c r="X93" s="2">
        <v>2.6824354121714442E-2</v>
      </c>
      <c r="Y93" s="2">
        <v>4.0318316204011793E-2</v>
      </c>
      <c r="Z93" s="2">
        <v>5.7741939830778473E-2</v>
      </c>
      <c r="AA93" s="2">
        <v>7.9203235075740369E-2</v>
      </c>
      <c r="AB93" s="2">
        <v>0.10440132829839055</v>
      </c>
      <c r="AC93" s="2">
        <v>0.13253971837303269</v>
      </c>
      <c r="AD93" s="2">
        <v>0.16231843706706658</v>
      </c>
      <c r="AE93" s="2">
        <v>0.19204289486811141</v>
      </c>
      <c r="AF93" s="2">
        <v>0.21986068003701909</v>
      </c>
      <c r="AG93" s="2">
        <v>0.24409080495502267</v>
      </c>
      <c r="AH93" s="2">
        <v>0.26355845487657809</v>
      </c>
      <c r="AI93" s="2">
        <v>0.27782093759438692</v>
      </c>
      <c r="AJ93" s="2">
        <v>0.35261492439907888</v>
      </c>
      <c r="AK93" s="2">
        <v>0.3586233233774937</v>
      </c>
      <c r="AL93" s="2">
        <v>0.36257980898716929</v>
      </c>
      <c r="AM93" s="2">
        <v>0.36143137162676536</v>
      </c>
      <c r="AN93" s="2">
        <v>0.35797763070866517</v>
      </c>
      <c r="AO93" s="2">
        <v>0.3535549538725159</v>
      </c>
      <c r="AP93" s="2">
        <v>0.34810544351816008</v>
      </c>
      <c r="AQ93" s="2">
        <v>4.7926343123732763E-2</v>
      </c>
      <c r="AR93" s="2">
        <v>4.3755558943050135</v>
      </c>
    </row>
    <row r="94" spans="1:44" x14ac:dyDescent="0.25">
      <c r="A94" t="s">
        <v>250</v>
      </c>
      <c r="B94" t="s">
        <v>291</v>
      </c>
      <c r="C94" t="s">
        <v>44</v>
      </c>
      <c r="D94" t="s">
        <v>292</v>
      </c>
      <c r="E94" t="s">
        <v>145</v>
      </c>
      <c r="F94" t="s">
        <v>292</v>
      </c>
      <c r="G94" t="s">
        <v>31</v>
      </c>
      <c r="H94" t="s">
        <v>273</v>
      </c>
      <c r="I94" t="s">
        <v>135</v>
      </c>
      <c r="J94" t="s">
        <v>39</v>
      </c>
      <c r="K94" t="s">
        <v>31</v>
      </c>
      <c r="L94">
        <v>2.370000000000001</v>
      </c>
      <c r="M94">
        <v>1</v>
      </c>
      <c r="N94">
        <v>2.729832824165364</v>
      </c>
      <c r="O94">
        <v>5.3797577395665286</v>
      </c>
      <c r="P94">
        <v>-1.3196045040170097</v>
      </c>
      <c r="Q94">
        <v>1.0674536938902881</v>
      </c>
      <c r="R94">
        <v>-1.8454036712681361</v>
      </c>
      <c r="S94" s="2">
        <v>0</v>
      </c>
      <c r="T94" s="2">
        <v>0</v>
      </c>
      <c r="U94" s="2">
        <v>0.17724954080485625</v>
      </c>
      <c r="V94" s="2">
        <v>0.33198999882336533</v>
      </c>
      <c r="W94" s="2">
        <v>0.56548871622237606</v>
      </c>
      <c r="X94" s="2">
        <v>0.89794634231157089</v>
      </c>
      <c r="Y94" s="2">
        <v>1.3474913208964967</v>
      </c>
      <c r="Z94" s="2">
        <v>1.9267148202306164</v>
      </c>
      <c r="AA94" s="2">
        <v>2.6385872956175103</v>
      </c>
      <c r="AB94" s="2">
        <v>3.4724583756800964</v>
      </c>
      <c r="AC94" s="2">
        <v>4.4012855489751361</v>
      </c>
      <c r="AD94" s="2">
        <v>5.381506049653316</v>
      </c>
      <c r="AE94" s="2">
        <v>6.3567729922609724</v>
      </c>
      <c r="AF94" s="2">
        <v>7.2658847290222859</v>
      </c>
      <c r="AG94" s="2">
        <v>8.0536886190330925</v>
      </c>
      <c r="AH94" s="2">
        <v>8.6820612570456763</v>
      </c>
      <c r="AI94" s="2">
        <v>9.1372044719859158</v>
      </c>
      <c r="AJ94" s="2">
        <v>11.876721255242094</v>
      </c>
      <c r="AK94" s="2">
        <v>12.05885231925549</v>
      </c>
      <c r="AL94" s="2">
        <v>12.169452426109187</v>
      </c>
      <c r="AM94" s="2">
        <v>12.105938492094378</v>
      </c>
      <c r="AN94" s="2">
        <v>11.962291720385808</v>
      </c>
      <c r="AO94" s="2">
        <v>11.783070613242208</v>
      </c>
      <c r="AP94" s="2">
        <v>11.566279287805603</v>
      </c>
      <c r="AQ94" s="2">
        <v>1.776024700561798</v>
      </c>
      <c r="AR94" s="2">
        <v>145.93496089325984</v>
      </c>
    </row>
    <row r="95" spans="1:44" x14ac:dyDescent="0.25">
      <c r="A95" t="s">
        <v>250</v>
      </c>
      <c r="B95" t="s">
        <v>291</v>
      </c>
      <c r="C95" t="s">
        <v>44</v>
      </c>
      <c r="D95" t="s">
        <v>292</v>
      </c>
      <c r="E95" t="s">
        <v>145</v>
      </c>
      <c r="F95" t="s">
        <v>292</v>
      </c>
      <c r="G95" t="s">
        <v>31</v>
      </c>
      <c r="H95" t="s">
        <v>252</v>
      </c>
      <c r="I95" t="s">
        <v>135</v>
      </c>
      <c r="J95" t="s">
        <v>39</v>
      </c>
      <c r="K95" t="s">
        <v>31</v>
      </c>
      <c r="L95">
        <v>2.370000000000001</v>
      </c>
      <c r="M95">
        <v>1</v>
      </c>
      <c r="N95">
        <v>2.729832824165364</v>
      </c>
      <c r="O95">
        <v>5.3797577395665286</v>
      </c>
      <c r="P95">
        <v>-1.3196045040170097</v>
      </c>
      <c r="Q95">
        <v>1.0674536938902881</v>
      </c>
      <c r="R95">
        <v>-1.8454036712681361</v>
      </c>
      <c r="S95" s="2">
        <v>0</v>
      </c>
      <c r="T95" s="2">
        <v>0</v>
      </c>
      <c r="U95" s="2">
        <v>1.2741144669765088E-2</v>
      </c>
      <c r="V95" s="2">
        <v>2.3885856724314036E-2</v>
      </c>
      <c r="W95" s="2">
        <v>4.0722296289597608E-2</v>
      </c>
      <c r="X95" s="2">
        <v>6.4721890696969389E-2</v>
      </c>
      <c r="Y95" s="2">
        <v>9.7211866196645486E-2</v>
      </c>
      <c r="Z95" s="2">
        <v>0.13912437801167174</v>
      </c>
      <c r="AA95" s="2">
        <v>0.19069958973291581</v>
      </c>
      <c r="AB95" s="2">
        <v>0.25119317432427185</v>
      </c>
      <c r="AC95" s="2">
        <v>0.3186712070409794</v>
      </c>
      <c r="AD95" s="2">
        <v>0.38999550926462051</v>
      </c>
      <c r="AE95" s="2">
        <v>0.46108922113773504</v>
      </c>
      <c r="AF95" s="2">
        <v>0.52750826051100275</v>
      </c>
      <c r="AG95" s="2">
        <v>0.58523203310518257</v>
      </c>
      <c r="AH95" s="2">
        <v>0.6314639977444847</v>
      </c>
      <c r="AI95" s="2">
        <v>0.66516836551056713</v>
      </c>
      <c r="AJ95" s="2">
        <v>0.85303242739914864</v>
      </c>
      <c r="AK95" s="2">
        <v>0.86693140217158648</v>
      </c>
      <c r="AL95" s="2">
        <v>0.87578958665688</v>
      </c>
      <c r="AM95" s="2">
        <v>0.87222882714043926</v>
      </c>
      <c r="AN95" s="2">
        <v>0.86301169727858407</v>
      </c>
      <c r="AO95" s="2">
        <v>0.85135656010136018</v>
      </c>
      <c r="AP95" s="2">
        <v>0.83712163633532588</v>
      </c>
      <c r="AQ95" s="2">
        <v>0.12106385293206727</v>
      </c>
      <c r="AR95" s="2">
        <v>10.539964780976115</v>
      </c>
    </row>
    <row r="96" spans="1:44" x14ac:dyDescent="0.25">
      <c r="A96" t="s">
        <v>250</v>
      </c>
      <c r="B96" t="s">
        <v>291</v>
      </c>
      <c r="C96" t="s">
        <v>44</v>
      </c>
      <c r="D96" t="s">
        <v>292</v>
      </c>
      <c r="E96" t="s">
        <v>145</v>
      </c>
      <c r="F96" t="s">
        <v>292</v>
      </c>
      <c r="G96" t="s">
        <v>31</v>
      </c>
      <c r="H96" t="s">
        <v>289</v>
      </c>
      <c r="I96" t="s">
        <v>135</v>
      </c>
      <c r="J96" t="s">
        <v>39</v>
      </c>
      <c r="K96" t="s">
        <v>31</v>
      </c>
      <c r="L96">
        <v>2.370000000000001</v>
      </c>
      <c r="M96">
        <v>1</v>
      </c>
      <c r="N96">
        <v>2.729832824165364</v>
      </c>
      <c r="O96">
        <v>5.3797577395665286</v>
      </c>
      <c r="P96">
        <v>-1.3196045040170097</v>
      </c>
      <c r="Q96">
        <v>1.0674536938902881</v>
      </c>
      <c r="R96">
        <v>-1.8454036712681361</v>
      </c>
      <c r="S96" s="2">
        <v>0</v>
      </c>
      <c r="T96" s="2">
        <v>0</v>
      </c>
      <c r="U96" s="2">
        <v>0.53241143839192095</v>
      </c>
      <c r="V96" s="2">
        <v>0.99881436853689753</v>
      </c>
      <c r="W96" s="2">
        <v>1.7040457317830651</v>
      </c>
      <c r="X96" s="2">
        <v>2.7102241450933304</v>
      </c>
      <c r="Y96" s="2">
        <v>4.0735994451088944</v>
      </c>
      <c r="Z96" s="2">
        <v>5.8340118387871946</v>
      </c>
      <c r="AA96" s="2">
        <v>8.0023742267109199</v>
      </c>
      <c r="AB96" s="2">
        <v>10.54828755429617</v>
      </c>
      <c r="AC96" s="2">
        <v>13.391276572347332</v>
      </c>
      <c r="AD96" s="2">
        <v>16.399997753416891</v>
      </c>
      <c r="AE96" s="2">
        <v>19.403236633527925</v>
      </c>
      <c r="AF96" s="2">
        <v>22.213833029836387</v>
      </c>
      <c r="AG96" s="2">
        <v>24.661946758630396</v>
      </c>
      <c r="AH96" s="2">
        <v>26.628879294124786</v>
      </c>
      <c r="AI96" s="2">
        <v>28.069902807883537</v>
      </c>
      <c r="AJ96" s="2">
        <v>35.626784439630846</v>
      </c>
      <c r="AK96" s="2">
        <v>36.233848748085954</v>
      </c>
      <c r="AL96" s="2">
        <v>36.633596036702833</v>
      </c>
      <c r="AM96" s="2">
        <v>36.517562575126519</v>
      </c>
      <c r="AN96" s="2">
        <v>36.168610574841324</v>
      </c>
      <c r="AO96" s="2">
        <v>35.721761212023864</v>
      </c>
      <c r="AP96" s="2">
        <v>35.171164747546243</v>
      </c>
      <c r="AQ96" s="2">
        <v>4.8422836848406865</v>
      </c>
      <c r="AR96" s="2">
        <v>442.0884536172739</v>
      </c>
    </row>
    <row r="97" spans="1:44" x14ac:dyDescent="0.25">
      <c r="A97" t="s">
        <v>250</v>
      </c>
      <c r="B97" t="s">
        <v>291</v>
      </c>
      <c r="C97" t="s">
        <v>44</v>
      </c>
      <c r="D97" t="s">
        <v>292</v>
      </c>
      <c r="E97" t="s">
        <v>145</v>
      </c>
      <c r="F97" t="s">
        <v>292</v>
      </c>
      <c r="G97" t="s">
        <v>31</v>
      </c>
      <c r="H97" t="s">
        <v>274</v>
      </c>
      <c r="I97" t="s">
        <v>135</v>
      </c>
      <c r="J97" t="s">
        <v>39</v>
      </c>
      <c r="K97" t="s">
        <v>31</v>
      </c>
      <c r="L97">
        <v>2.370000000000001</v>
      </c>
      <c r="M97">
        <v>1</v>
      </c>
      <c r="N97">
        <v>2.729832824165364</v>
      </c>
      <c r="O97">
        <v>5.3797577395665286</v>
      </c>
      <c r="P97">
        <v>-1.3196045040170097</v>
      </c>
      <c r="Q97">
        <v>1.0674536938902881</v>
      </c>
      <c r="R97">
        <v>-1.8454036712681361</v>
      </c>
      <c r="S97" s="2">
        <v>0</v>
      </c>
      <c r="T97" s="2">
        <v>0</v>
      </c>
      <c r="U97" s="2">
        <v>0.27902251737860589</v>
      </c>
      <c r="V97" s="2">
        <v>0.52261170774033316</v>
      </c>
      <c r="W97" s="2">
        <v>0.89018050164246465</v>
      </c>
      <c r="X97" s="2">
        <v>1.4135283384374298</v>
      </c>
      <c r="Y97" s="2">
        <v>2.1211926349434145</v>
      </c>
      <c r="Z97" s="2">
        <v>3.0329941446973026</v>
      </c>
      <c r="AA97" s="2">
        <v>4.1536088962676434</v>
      </c>
      <c r="AB97" s="2">
        <v>5.4662712979403079</v>
      </c>
      <c r="AC97" s="2">
        <v>6.9284115941894493</v>
      </c>
      <c r="AD97" s="2">
        <v>8.4714541907649661</v>
      </c>
      <c r="AE97" s="2">
        <v>10.006698999901696</v>
      </c>
      <c r="AF97" s="2">
        <v>11.437803668595025</v>
      </c>
      <c r="AG97" s="2">
        <v>12.677948063854588</v>
      </c>
      <c r="AH97" s="2">
        <v>13.66711911904585</v>
      </c>
      <c r="AI97" s="2">
        <v>14.383596042053702</v>
      </c>
      <c r="AJ97" s="2">
        <v>18.696086025351509</v>
      </c>
      <c r="AK97" s="2">
        <v>18.98279293439678</v>
      </c>
      <c r="AL97" s="2">
        <v>19.156897307793425</v>
      </c>
      <c r="AM97" s="2">
        <v>19.056915002186489</v>
      </c>
      <c r="AN97" s="2">
        <v>18.830789260627775</v>
      </c>
      <c r="AO97" s="2">
        <v>18.548663144782847</v>
      </c>
      <c r="AP97" s="2">
        <v>18.207394777629375</v>
      </c>
      <c r="AQ97" s="2">
        <v>2.7957809121938357</v>
      </c>
      <c r="AR97" s="2">
        <v>229.72776108241482</v>
      </c>
    </row>
    <row r="98" spans="1:44" x14ac:dyDescent="0.25">
      <c r="A98" t="s">
        <v>250</v>
      </c>
      <c r="B98" t="s">
        <v>291</v>
      </c>
      <c r="C98" t="s">
        <v>44</v>
      </c>
      <c r="D98" t="s">
        <v>292</v>
      </c>
      <c r="E98" t="s">
        <v>145</v>
      </c>
      <c r="F98" t="s">
        <v>292</v>
      </c>
      <c r="G98" t="s">
        <v>31</v>
      </c>
      <c r="H98" t="s">
        <v>274</v>
      </c>
      <c r="I98" t="s">
        <v>135</v>
      </c>
      <c r="J98" t="s">
        <v>39</v>
      </c>
      <c r="K98" t="s">
        <v>33</v>
      </c>
      <c r="L98">
        <v>2.370000000000001</v>
      </c>
      <c r="M98">
        <v>1</v>
      </c>
      <c r="N98">
        <v>2.729832824165364</v>
      </c>
      <c r="O98">
        <v>5.3797577395665286</v>
      </c>
      <c r="P98">
        <v>-1.3196045040170097</v>
      </c>
      <c r="Q98">
        <v>1.0674536938902881</v>
      </c>
      <c r="R98">
        <v>-1.8454036712681361</v>
      </c>
      <c r="S98" s="2">
        <v>0</v>
      </c>
      <c r="T98" s="2">
        <v>0</v>
      </c>
      <c r="U98" s="2">
        <v>8.9775010127945379E-4</v>
      </c>
      <c r="V98" s="2">
        <v>1.6814940885831408E-3</v>
      </c>
      <c r="W98" s="2">
        <v>2.8641402959680754E-3</v>
      </c>
      <c r="X98" s="2">
        <v>4.5480028669932773E-3</v>
      </c>
      <c r="Y98" s="2">
        <v>6.8249004443957989E-3</v>
      </c>
      <c r="Z98" s="2">
        <v>9.7586059582686971E-3</v>
      </c>
      <c r="AA98" s="2">
        <v>1.3364164449279072E-2</v>
      </c>
      <c r="AB98" s="2">
        <v>1.7587632917411111E-2</v>
      </c>
      <c r="AC98" s="2">
        <v>2.2292043913966345E-2</v>
      </c>
      <c r="AD98" s="2">
        <v>2.7256756656036947E-2</v>
      </c>
      <c r="AE98" s="2">
        <v>3.2196380152520153E-2</v>
      </c>
      <c r="AF98" s="2">
        <v>3.6800934556699728E-2</v>
      </c>
      <c r="AG98" s="2">
        <v>4.0791077599294151E-2</v>
      </c>
      <c r="AH98" s="2">
        <v>4.3973718281213346E-2</v>
      </c>
      <c r="AI98" s="2">
        <v>4.6278970331254561E-2</v>
      </c>
      <c r="AJ98" s="2">
        <v>6.0154331917283685E-2</v>
      </c>
      <c r="AK98" s="2">
        <v>6.1076806415224116E-2</v>
      </c>
      <c r="AL98" s="2">
        <v>6.1636984211333339E-2</v>
      </c>
      <c r="AM98" s="2">
        <v>6.1315292880368431E-2</v>
      </c>
      <c r="AN98" s="2">
        <v>6.0587737236137702E-2</v>
      </c>
      <c r="AO98" s="2">
        <v>5.9680001360722025E-2</v>
      </c>
      <c r="AP98" s="2">
        <v>5.8581976319396073E-2</v>
      </c>
      <c r="AQ98" s="2">
        <v>8.995376504583201E-3</v>
      </c>
      <c r="AR98" s="2">
        <v>0.73914507945821228</v>
      </c>
    </row>
    <row r="99" spans="1:44" x14ac:dyDescent="0.25">
      <c r="A99" t="s">
        <v>250</v>
      </c>
      <c r="B99" t="s">
        <v>291</v>
      </c>
      <c r="C99" t="s">
        <v>44</v>
      </c>
      <c r="D99" t="s">
        <v>292</v>
      </c>
      <c r="E99" t="s">
        <v>145</v>
      </c>
      <c r="F99" t="s">
        <v>292</v>
      </c>
      <c r="G99" t="s">
        <v>31</v>
      </c>
      <c r="H99" t="s">
        <v>255</v>
      </c>
      <c r="I99" t="s">
        <v>135</v>
      </c>
      <c r="J99" t="s">
        <v>39</v>
      </c>
      <c r="K99" t="s">
        <v>31</v>
      </c>
      <c r="L99">
        <v>2.370000000000001</v>
      </c>
      <c r="M99">
        <v>1</v>
      </c>
      <c r="N99">
        <v>2.729832824165364</v>
      </c>
      <c r="O99">
        <v>5.3797577395665286</v>
      </c>
      <c r="P99">
        <v>-1.3196045040170097</v>
      </c>
      <c r="Q99">
        <v>1.0674536938902881</v>
      </c>
      <c r="R99">
        <v>-1.8454036712681361</v>
      </c>
      <c r="S99" s="2">
        <v>0</v>
      </c>
      <c r="T99" s="2">
        <v>0</v>
      </c>
      <c r="U99" s="2">
        <v>0.1002889177995312</v>
      </c>
      <c r="V99" s="2">
        <v>0.18701172883442024</v>
      </c>
      <c r="W99" s="2">
        <v>0.31713473056037511</v>
      </c>
      <c r="X99" s="2">
        <v>0.50135605705235686</v>
      </c>
      <c r="Y99" s="2">
        <v>0.7490276937078777</v>
      </c>
      <c r="Z99" s="2">
        <v>1.0662654929299487</v>
      </c>
      <c r="AA99" s="2">
        <v>1.453768993083054</v>
      </c>
      <c r="AB99" s="2">
        <v>1.9047456977121291</v>
      </c>
      <c r="AC99" s="2">
        <v>2.4035630373007995</v>
      </c>
      <c r="AD99" s="2">
        <v>2.9258753609535715</v>
      </c>
      <c r="AE99" s="2">
        <v>3.4408418320717451</v>
      </c>
      <c r="AF99" s="2">
        <v>3.91554778730996</v>
      </c>
      <c r="AG99" s="2">
        <v>4.3209065875961397</v>
      </c>
      <c r="AH99" s="2">
        <v>4.6374464414211616</v>
      </c>
      <c r="AI99" s="2">
        <v>4.8589834846008184</v>
      </c>
      <c r="AJ99" s="2">
        <v>6.7618185539510112</v>
      </c>
      <c r="AK99" s="2">
        <v>6.8338952339915364</v>
      </c>
      <c r="AL99" s="2">
        <v>6.8617589894322695</v>
      </c>
      <c r="AM99" s="2">
        <v>6.7874671204378147</v>
      </c>
      <c r="AN99" s="2">
        <v>6.664116232339687</v>
      </c>
      <c r="AO99" s="2">
        <v>6.5164618834984092</v>
      </c>
      <c r="AP99" s="2">
        <v>6.3433832890267565</v>
      </c>
      <c r="AQ99" s="2">
        <v>1.2510438213487896</v>
      </c>
      <c r="AR99" s="2">
        <v>80.802708966960168</v>
      </c>
    </row>
    <row r="100" spans="1:44" x14ac:dyDescent="0.25">
      <c r="A100" t="s">
        <v>250</v>
      </c>
      <c r="B100" t="s">
        <v>291</v>
      </c>
      <c r="C100" t="s">
        <v>44</v>
      </c>
      <c r="D100" t="s">
        <v>292</v>
      </c>
      <c r="E100" t="s">
        <v>145</v>
      </c>
      <c r="F100" t="s">
        <v>292</v>
      </c>
      <c r="G100" t="s">
        <v>31</v>
      </c>
      <c r="H100" t="s">
        <v>278</v>
      </c>
      <c r="I100" t="s">
        <v>135</v>
      </c>
      <c r="J100" t="s">
        <v>39</v>
      </c>
      <c r="K100" t="s">
        <v>31</v>
      </c>
      <c r="L100">
        <v>2.370000000000001</v>
      </c>
      <c r="M100">
        <v>1</v>
      </c>
      <c r="N100">
        <v>2.729832824165364</v>
      </c>
      <c r="O100">
        <v>5.3797577395665286</v>
      </c>
      <c r="P100">
        <v>-1.3196045040170097</v>
      </c>
      <c r="Q100">
        <v>1.0674536938902881</v>
      </c>
      <c r="R100">
        <v>-1.8454036712681361</v>
      </c>
      <c r="S100" s="2">
        <v>0</v>
      </c>
      <c r="T100" s="2">
        <v>0</v>
      </c>
      <c r="U100" s="2">
        <v>0.29308198465733565</v>
      </c>
      <c r="V100" s="2">
        <v>0.5465186966176192</v>
      </c>
      <c r="W100" s="2">
        <v>0.92678710944110465</v>
      </c>
      <c r="X100" s="2">
        <v>1.4651511996031124</v>
      </c>
      <c r="Y100" s="2">
        <v>2.1889409902101651</v>
      </c>
      <c r="Z100" s="2">
        <v>3.116029305094389</v>
      </c>
      <c r="AA100" s="2">
        <v>4.2484604587892916</v>
      </c>
      <c r="AB100" s="2">
        <v>5.5663842187317094</v>
      </c>
      <c r="AC100" s="2">
        <v>7.0241163298745315</v>
      </c>
      <c r="AD100" s="2">
        <v>8.5505096322046388</v>
      </c>
      <c r="AE100" s="2">
        <v>10.055435587124103</v>
      </c>
      <c r="AF100" s="2">
        <v>11.442705153318606</v>
      </c>
      <c r="AG100" s="2">
        <v>12.627316217959548</v>
      </c>
      <c r="AH100" s="2">
        <v>13.552364873560991</v>
      </c>
      <c r="AI100" s="2">
        <v>14.199779540254257</v>
      </c>
      <c r="AJ100" s="2">
        <v>19.760580183407086</v>
      </c>
      <c r="AK100" s="2">
        <v>19.971215385155027</v>
      </c>
      <c r="AL100" s="2">
        <v>20.05264377149879</v>
      </c>
      <c r="AM100" s="2">
        <v>19.835534953430543</v>
      </c>
      <c r="AN100" s="2">
        <v>19.475057206873259</v>
      </c>
      <c r="AO100" s="2">
        <v>19.043555595815992</v>
      </c>
      <c r="AP100" s="2">
        <v>18.537754764752545</v>
      </c>
      <c r="AQ100" s="2">
        <v>3.6560211646427141</v>
      </c>
      <c r="AR100" s="2">
        <v>236.13594432301736</v>
      </c>
    </row>
    <row r="101" spans="1:44" x14ac:dyDescent="0.25">
      <c r="A101" t="s">
        <v>250</v>
      </c>
      <c r="B101" t="s">
        <v>291</v>
      </c>
      <c r="C101" t="s">
        <v>44</v>
      </c>
      <c r="D101" t="s">
        <v>292</v>
      </c>
      <c r="E101" t="s">
        <v>145</v>
      </c>
      <c r="F101" t="s">
        <v>292</v>
      </c>
      <c r="G101" t="s">
        <v>31</v>
      </c>
      <c r="H101" t="s">
        <v>276</v>
      </c>
      <c r="I101" t="s">
        <v>135</v>
      </c>
      <c r="J101" t="s">
        <v>39</v>
      </c>
      <c r="K101" t="s">
        <v>31</v>
      </c>
      <c r="L101">
        <v>2.370000000000001</v>
      </c>
      <c r="M101">
        <v>1</v>
      </c>
      <c r="N101">
        <v>2.729832824165364</v>
      </c>
      <c r="O101">
        <v>5.3797577395665286</v>
      </c>
      <c r="P101">
        <v>-1.3196045040170097</v>
      </c>
      <c r="Q101">
        <v>1.0674536938902881</v>
      </c>
      <c r="R101">
        <v>-1.8454036712681361</v>
      </c>
      <c r="S101" s="2">
        <v>0</v>
      </c>
      <c r="T101" s="2">
        <v>0</v>
      </c>
      <c r="U101" s="2">
        <v>0.28830267545323712</v>
      </c>
      <c r="V101" s="2">
        <v>0.54134975049357081</v>
      </c>
      <c r="W101" s="2">
        <v>0.924413479899024</v>
      </c>
      <c r="X101" s="2">
        <v>1.4715739738132134</v>
      </c>
      <c r="Y101" s="2">
        <v>2.2138443090716051</v>
      </c>
      <c r="Z101" s="2">
        <v>3.1734226926579945</v>
      </c>
      <c r="AA101" s="2">
        <v>4.3568372614804876</v>
      </c>
      <c r="AB101" s="2">
        <v>5.7481263523773043</v>
      </c>
      <c r="AC101" s="2">
        <v>7.3039566937176605</v>
      </c>
      <c r="AD101" s="2">
        <v>8.9530675808732401</v>
      </c>
      <c r="AE101" s="2">
        <v>10.602154254727207</v>
      </c>
      <c r="AF101" s="2">
        <v>12.14885380525655</v>
      </c>
      <c r="AG101" s="2">
        <v>13.499914655026187</v>
      </c>
      <c r="AH101" s="2">
        <v>14.589769158387114</v>
      </c>
      <c r="AI101" s="2">
        <v>15.39317846865784</v>
      </c>
      <c r="AJ101" s="2">
        <v>19.281777337341708</v>
      </c>
      <c r="AK101" s="2">
        <v>19.628833738868625</v>
      </c>
      <c r="AL101" s="2">
        <v>19.86596590466829</v>
      </c>
      <c r="AM101" s="2">
        <v>19.826019814891456</v>
      </c>
      <c r="AN101" s="2">
        <v>19.662393402055141</v>
      </c>
      <c r="AO101" s="2">
        <v>19.448599928994302</v>
      </c>
      <c r="AP101" s="2">
        <v>19.181537925534176</v>
      </c>
      <c r="AQ101" s="2">
        <v>2.4698952223280783</v>
      </c>
      <c r="AR101" s="2">
        <v>240.57378838657399</v>
      </c>
    </row>
    <row r="102" spans="1:44" x14ac:dyDescent="0.25">
      <c r="A102" t="s">
        <v>250</v>
      </c>
      <c r="B102" t="s">
        <v>291</v>
      </c>
      <c r="C102" t="s">
        <v>44</v>
      </c>
      <c r="D102" t="s">
        <v>292</v>
      </c>
      <c r="E102" t="s">
        <v>145</v>
      </c>
      <c r="F102" t="s">
        <v>292</v>
      </c>
      <c r="G102" t="s">
        <v>31</v>
      </c>
      <c r="H102" t="s">
        <v>290</v>
      </c>
      <c r="I102" t="s">
        <v>135</v>
      </c>
      <c r="J102" t="s">
        <v>39</v>
      </c>
      <c r="K102" t="s">
        <v>31</v>
      </c>
      <c r="L102">
        <v>2.370000000000001</v>
      </c>
      <c r="M102">
        <v>1</v>
      </c>
      <c r="N102">
        <v>2.729832824165364</v>
      </c>
      <c r="O102">
        <v>5.3797577395665286</v>
      </c>
      <c r="P102">
        <v>-1.3196045040170097</v>
      </c>
      <c r="Q102">
        <v>1.0674536938902881</v>
      </c>
      <c r="R102">
        <v>-1.8454036712681361</v>
      </c>
      <c r="S102" s="2">
        <v>0</v>
      </c>
      <c r="T102" s="2">
        <v>0</v>
      </c>
      <c r="U102" s="2">
        <v>0.77096802517165175</v>
      </c>
      <c r="V102" s="2">
        <v>1.4463512345824299</v>
      </c>
      <c r="W102" s="2">
        <v>2.4675742816552289</v>
      </c>
      <c r="X102" s="2">
        <v>3.924589154632331</v>
      </c>
      <c r="Y102" s="2">
        <v>5.898849448129357</v>
      </c>
      <c r="Z102" s="2">
        <v>8.448046495324979</v>
      </c>
      <c r="AA102" s="2">
        <v>11.587982919537254</v>
      </c>
      <c r="AB102" s="2">
        <v>15.274638819258387</v>
      </c>
      <c r="AC102" s="2">
        <v>19.391480552508529</v>
      </c>
      <c r="AD102" s="2">
        <v>23.748313745776223</v>
      </c>
      <c r="AE102" s="2">
        <v>28.097208193858116</v>
      </c>
      <c r="AF102" s="2">
        <v>32.167143204573286</v>
      </c>
      <c r="AG102" s="2">
        <v>35.712178624143938</v>
      </c>
      <c r="AH102" s="2">
        <v>38.560430902712916</v>
      </c>
      <c r="AI102" s="2">
        <v>40.647131098306168</v>
      </c>
      <c r="AJ102" s="2">
        <v>51.590010397971682</v>
      </c>
      <c r="AK102" s="2">
        <v>52.469080863579109</v>
      </c>
      <c r="AL102" s="2">
        <v>53.047942164161903</v>
      </c>
      <c r="AM102" s="2">
        <v>52.879917808795831</v>
      </c>
      <c r="AN102" s="2">
        <v>52.37461154536873</v>
      </c>
      <c r="AO102" s="2">
        <v>51.727543233235806</v>
      </c>
      <c r="AP102" s="2">
        <v>50.930242051715403</v>
      </c>
      <c r="AQ102" s="2">
        <v>7.0119565821093603</v>
      </c>
      <c r="AR102" s="2">
        <v>640.1741913471086</v>
      </c>
    </row>
    <row r="103" spans="1:44" x14ac:dyDescent="0.25">
      <c r="A103" t="s">
        <v>250</v>
      </c>
      <c r="B103" t="s">
        <v>291</v>
      </c>
      <c r="C103" t="s">
        <v>44</v>
      </c>
      <c r="D103" t="s">
        <v>292</v>
      </c>
      <c r="E103" t="s">
        <v>145</v>
      </c>
      <c r="F103" t="s">
        <v>292</v>
      </c>
      <c r="G103" t="s">
        <v>31</v>
      </c>
      <c r="H103" t="s">
        <v>275</v>
      </c>
      <c r="I103" t="s">
        <v>135</v>
      </c>
      <c r="J103" t="s">
        <v>39</v>
      </c>
      <c r="K103" t="s">
        <v>31</v>
      </c>
      <c r="L103">
        <v>2.370000000000001</v>
      </c>
      <c r="M103">
        <v>1</v>
      </c>
      <c r="N103">
        <v>2.729832824165364</v>
      </c>
      <c r="O103">
        <v>5.3797577395665286</v>
      </c>
      <c r="P103">
        <v>-1.3196045040170097</v>
      </c>
      <c r="Q103">
        <v>1.0674536938902881</v>
      </c>
      <c r="R103">
        <v>-1.8454036712681361</v>
      </c>
      <c r="S103" s="2">
        <v>0</v>
      </c>
      <c r="T103" s="2">
        <v>0</v>
      </c>
      <c r="U103" s="2">
        <v>0.42625918383074496</v>
      </c>
      <c r="V103" s="2">
        <v>0.79838732047389593</v>
      </c>
      <c r="W103" s="2">
        <v>1.3599175351761565</v>
      </c>
      <c r="X103" s="2">
        <v>2.1594294307308362</v>
      </c>
      <c r="Y103" s="2">
        <v>3.2405192592104934</v>
      </c>
      <c r="Z103" s="2">
        <v>4.6334669360316996</v>
      </c>
      <c r="AA103" s="2">
        <v>6.3454159711158908</v>
      </c>
      <c r="AB103" s="2">
        <v>8.3507537812649648</v>
      </c>
      <c r="AC103" s="2">
        <v>10.584447087384461</v>
      </c>
      <c r="AD103" s="2">
        <v>12.941733818260991</v>
      </c>
      <c r="AE103" s="2">
        <v>15.287107967527369</v>
      </c>
      <c r="AF103" s="2">
        <v>17.473388536510431</v>
      </c>
      <c r="AG103" s="2">
        <v>19.367941502063132</v>
      </c>
      <c r="AH103" s="2">
        <v>20.879085658513755</v>
      </c>
      <c r="AI103" s="2">
        <v>21.973638425452219</v>
      </c>
      <c r="AJ103" s="2">
        <v>28.561775031160209</v>
      </c>
      <c r="AK103" s="2">
        <v>28.999773563308974</v>
      </c>
      <c r="AL103" s="2">
        <v>29.265750620654117</v>
      </c>
      <c r="AM103" s="2">
        <v>29.113008912257616</v>
      </c>
      <c r="AN103" s="2">
        <v>28.767559466293527</v>
      </c>
      <c r="AO103" s="2">
        <v>28.336558954194256</v>
      </c>
      <c r="AP103" s="2">
        <v>27.815207570023716</v>
      </c>
      <c r="AQ103" s="2">
        <v>4.2710792698649973</v>
      </c>
      <c r="AR103" s="2">
        <v>350.95220580130444</v>
      </c>
    </row>
    <row r="104" spans="1:44" x14ac:dyDescent="0.25">
      <c r="A104" t="s">
        <v>250</v>
      </c>
      <c r="B104" t="s">
        <v>291</v>
      </c>
      <c r="C104" t="s">
        <v>44</v>
      </c>
      <c r="D104" t="s">
        <v>292</v>
      </c>
      <c r="E104" t="s">
        <v>145</v>
      </c>
      <c r="F104" t="s">
        <v>292</v>
      </c>
      <c r="G104" t="s">
        <v>31</v>
      </c>
      <c r="H104" t="s">
        <v>277</v>
      </c>
      <c r="I104" t="s">
        <v>135</v>
      </c>
      <c r="J104" t="s">
        <v>39</v>
      </c>
      <c r="K104" t="s">
        <v>31</v>
      </c>
      <c r="L104">
        <v>2.370000000000001</v>
      </c>
      <c r="M104">
        <v>1</v>
      </c>
      <c r="N104">
        <v>2.729832824165364</v>
      </c>
      <c r="O104">
        <v>5.3797577395665286</v>
      </c>
      <c r="P104">
        <v>-1.3196045040170097</v>
      </c>
      <c r="Q104">
        <v>1.0674536938902881</v>
      </c>
      <c r="R104">
        <v>-1.8454036712681361</v>
      </c>
      <c r="S104" s="2">
        <v>0</v>
      </c>
      <c r="T104" s="2">
        <v>0</v>
      </c>
      <c r="U104" s="2">
        <v>1.5826120166395539</v>
      </c>
      <c r="V104" s="2">
        <v>2.9638893191246543</v>
      </c>
      <c r="W104" s="2">
        <v>5.0478746861885266</v>
      </c>
      <c r="X104" s="2">
        <v>8.0146146877847517</v>
      </c>
      <c r="Y104" s="2">
        <v>12.025575782771478</v>
      </c>
      <c r="Z104" s="2">
        <v>17.192735486848477</v>
      </c>
      <c r="AA104" s="2">
        <v>23.542178663537356</v>
      </c>
      <c r="AB104" s="2">
        <v>30.978463504068099</v>
      </c>
      <c r="AC104" s="2">
        <v>39.259974341744439</v>
      </c>
      <c r="AD104" s="2">
        <v>47.997867118504949</v>
      </c>
      <c r="AE104" s="2">
        <v>56.689476883401035</v>
      </c>
      <c r="AF104" s="2">
        <v>64.78909166036847</v>
      </c>
      <c r="AG104" s="2">
        <v>71.805194453258053</v>
      </c>
      <c r="AH104" s="2">
        <v>77.398316539825217</v>
      </c>
      <c r="AI104" s="2">
        <v>81.445979979463388</v>
      </c>
      <c r="AJ104" s="2">
        <v>106.05675377576941</v>
      </c>
      <c r="AK104" s="2">
        <v>107.6695995777204</v>
      </c>
      <c r="AL104" s="2">
        <v>108.64210419364255</v>
      </c>
      <c r="AM104" s="2">
        <v>108.05839615983629</v>
      </c>
      <c r="AN104" s="2">
        <v>106.75750818360427</v>
      </c>
      <c r="AO104" s="2">
        <v>105.1370475702596</v>
      </c>
      <c r="AP104" s="2">
        <v>103.1791719909555</v>
      </c>
      <c r="AQ104" s="2">
        <v>15.966301649138929</v>
      </c>
      <c r="AR104" s="2">
        <v>1302.2007282244549</v>
      </c>
    </row>
    <row r="105" spans="1:44" x14ac:dyDescent="0.25">
      <c r="A105" t="s">
        <v>250</v>
      </c>
      <c r="B105" t="s">
        <v>291</v>
      </c>
      <c r="C105" t="s">
        <v>44</v>
      </c>
      <c r="D105" t="s">
        <v>292</v>
      </c>
      <c r="E105" t="s">
        <v>145</v>
      </c>
      <c r="F105" t="s">
        <v>292</v>
      </c>
      <c r="G105" t="s">
        <v>31</v>
      </c>
      <c r="H105" t="s">
        <v>277</v>
      </c>
      <c r="I105" t="s">
        <v>135</v>
      </c>
      <c r="J105" t="s">
        <v>40</v>
      </c>
      <c r="K105" t="s">
        <v>31</v>
      </c>
      <c r="L105">
        <v>2.370000000000001</v>
      </c>
      <c r="M105">
        <v>1</v>
      </c>
      <c r="N105">
        <v>2.729832824165364</v>
      </c>
      <c r="O105">
        <v>4.1429695267777937</v>
      </c>
      <c r="P105">
        <v>-1.3196045040170097</v>
      </c>
      <c r="Q105">
        <v>0.4672931329656026</v>
      </c>
      <c r="R105">
        <v>-1.7024036712681361</v>
      </c>
      <c r="S105" s="2">
        <v>0</v>
      </c>
      <c r="T105" s="2">
        <v>0</v>
      </c>
      <c r="U105" s="2">
        <v>0.24964974981703794</v>
      </c>
      <c r="V105" s="2">
        <v>0.46753987662497531</v>
      </c>
      <c r="W105" s="2">
        <v>0.79627896115093144</v>
      </c>
      <c r="X105" s="2">
        <v>1.2642685197942116</v>
      </c>
      <c r="Y105" s="2">
        <v>1.896979142082736</v>
      </c>
      <c r="Z105" s="2">
        <v>2.7120747649041701</v>
      </c>
      <c r="AA105" s="2">
        <v>3.7136701552283777</v>
      </c>
      <c r="AB105" s="2">
        <v>4.8867098077066098</v>
      </c>
      <c r="AC105" s="2">
        <v>6.1930799647606225</v>
      </c>
      <c r="AD105" s="2">
        <v>7.5714422687940974</v>
      </c>
      <c r="AE105" s="2">
        <v>8.9425036410696688</v>
      </c>
      <c r="AF105" s="2">
        <v>10.220180533083838</v>
      </c>
      <c r="AG105" s="2">
        <v>11.32693840457701</v>
      </c>
      <c r="AH105" s="2">
        <v>12.209227629558711</v>
      </c>
      <c r="AI105" s="2">
        <v>12.84772787751897</v>
      </c>
      <c r="AJ105" s="2">
        <v>16.729963988740675</v>
      </c>
      <c r="AK105" s="2">
        <v>16.984382978813517</v>
      </c>
      <c r="AL105" s="2">
        <v>17.13779109874957</v>
      </c>
      <c r="AM105" s="2">
        <v>17.045713847298277</v>
      </c>
      <c r="AN105" s="2">
        <v>16.840504766113686</v>
      </c>
      <c r="AO105" s="2">
        <v>16.584884574647624</v>
      </c>
      <c r="AP105" s="2">
        <v>16.276038727777365</v>
      </c>
      <c r="AQ105" s="2">
        <v>2.5186104808394689</v>
      </c>
      <c r="AR105" s="2">
        <v>205.41616175965217</v>
      </c>
    </row>
    <row r="106" spans="1:44" x14ac:dyDescent="0.25">
      <c r="A106" t="s">
        <v>250</v>
      </c>
      <c r="B106" t="s">
        <v>291</v>
      </c>
      <c r="C106" t="s">
        <v>44</v>
      </c>
      <c r="D106" t="s">
        <v>292</v>
      </c>
      <c r="E106" t="s">
        <v>148</v>
      </c>
      <c r="F106" t="s">
        <v>292</v>
      </c>
      <c r="G106" t="s">
        <v>31</v>
      </c>
      <c r="H106" t="s">
        <v>254</v>
      </c>
      <c r="I106" t="s">
        <v>135</v>
      </c>
      <c r="J106" t="s">
        <v>39</v>
      </c>
      <c r="K106" t="s">
        <v>31</v>
      </c>
      <c r="L106">
        <v>2.370000000000001</v>
      </c>
      <c r="M106">
        <v>1</v>
      </c>
      <c r="N106">
        <v>2.729832824165364</v>
      </c>
      <c r="O106">
        <v>5.3797577395665286</v>
      </c>
      <c r="P106">
        <v>-1.3196045040170097</v>
      </c>
      <c r="Q106">
        <v>1.0674536938902881</v>
      </c>
      <c r="R106">
        <v>-1.8454036712681361</v>
      </c>
      <c r="S106" s="2">
        <v>0</v>
      </c>
      <c r="T106" s="2">
        <v>0</v>
      </c>
      <c r="U106" s="2">
        <v>0.11643499936129441</v>
      </c>
      <c r="V106" s="2">
        <v>0.22058439847913047</v>
      </c>
      <c r="W106" s="2">
        <v>0.38005496099544478</v>
      </c>
      <c r="X106" s="2">
        <v>0.61047330235267383</v>
      </c>
      <c r="Y106" s="2">
        <v>0.92673827660281316</v>
      </c>
      <c r="Z106" s="2">
        <v>1.3405538116010827</v>
      </c>
      <c r="AA106" s="2">
        <v>1.8573539511829615</v>
      </c>
      <c r="AB106" s="2">
        <v>2.473074499281759</v>
      </c>
      <c r="AC106" s="2">
        <v>3.171589982504107</v>
      </c>
      <c r="AD106" s="2">
        <v>3.9239088272806106</v>
      </c>
      <c r="AE106" s="2">
        <v>4.6901793336739885</v>
      </c>
      <c r="AF106" s="2">
        <v>5.4249888850257753</v>
      </c>
      <c r="AG106" s="2">
        <v>6.0853079651772557</v>
      </c>
      <c r="AH106" s="2">
        <v>6.6390749296254912</v>
      </c>
      <c r="AI106" s="2">
        <v>7.0715485316677853</v>
      </c>
      <c r="AJ106" s="2">
        <v>7.4072171890882235</v>
      </c>
      <c r="AK106" s="2">
        <v>7.6183770729293823</v>
      </c>
      <c r="AL106" s="2">
        <v>7.8013049766723785</v>
      </c>
      <c r="AM106" s="2">
        <v>7.8922034822385347</v>
      </c>
      <c r="AN106" s="2">
        <v>7.9525662960737353</v>
      </c>
      <c r="AO106" s="2">
        <v>8.0137323048802109</v>
      </c>
      <c r="AP106" s="2">
        <v>8.0757099494173623</v>
      </c>
      <c r="AQ106" s="2">
        <v>0</v>
      </c>
      <c r="AR106" s="2">
        <v>99.692977926112022</v>
      </c>
    </row>
    <row r="107" spans="1:44" x14ac:dyDescent="0.25">
      <c r="A107" t="s">
        <v>250</v>
      </c>
      <c r="B107" t="s">
        <v>291</v>
      </c>
      <c r="C107" t="s">
        <v>44</v>
      </c>
      <c r="D107" t="s">
        <v>292</v>
      </c>
      <c r="E107" t="s">
        <v>148</v>
      </c>
      <c r="F107" t="s">
        <v>292</v>
      </c>
      <c r="G107" t="s">
        <v>31</v>
      </c>
      <c r="H107" t="s">
        <v>272</v>
      </c>
      <c r="I107" t="s">
        <v>135</v>
      </c>
      <c r="J107" t="s">
        <v>39</v>
      </c>
      <c r="K107" t="s">
        <v>31</v>
      </c>
      <c r="L107">
        <v>2.370000000000001</v>
      </c>
      <c r="M107">
        <v>1</v>
      </c>
      <c r="N107">
        <v>2.729832824165364</v>
      </c>
      <c r="O107">
        <v>5.3797577395665286</v>
      </c>
      <c r="P107">
        <v>-1.3196045040170097</v>
      </c>
      <c r="Q107">
        <v>1.0674536938902881</v>
      </c>
      <c r="R107">
        <v>-1.8454036712681361</v>
      </c>
      <c r="S107" s="2">
        <v>0</v>
      </c>
      <c r="T107" s="2">
        <v>0</v>
      </c>
      <c r="U107" s="2">
        <v>0.14317728975886793</v>
      </c>
      <c r="V107" s="2">
        <v>0.27121725820858428</v>
      </c>
      <c r="W107" s="2">
        <v>0.46724151080310083</v>
      </c>
      <c r="X107" s="2">
        <v>0.75043783269773423</v>
      </c>
      <c r="Y107" s="2">
        <v>1.1390917889643519</v>
      </c>
      <c r="Z107" s="2">
        <v>1.6475552636756003</v>
      </c>
      <c r="AA107" s="2">
        <v>2.2824699730462701</v>
      </c>
      <c r="AB107" s="2">
        <v>3.0388047527083875</v>
      </c>
      <c r="AC107" s="2">
        <v>3.8967125554124462</v>
      </c>
      <c r="AD107" s="2">
        <v>4.8205491114090249</v>
      </c>
      <c r="AE107" s="2">
        <v>5.7613446439791041</v>
      </c>
      <c r="AF107" s="2">
        <v>6.6633188059953721</v>
      </c>
      <c r="AG107" s="2">
        <v>7.4736397933012357</v>
      </c>
      <c r="AH107" s="2">
        <v>8.1529645936038886</v>
      </c>
      <c r="AI107" s="2">
        <v>8.6832323128606941</v>
      </c>
      <c r="AJ107" s="2">
        <v>9.0945538887785755</v>
      </c>
      <c r="AK107" s="2">
        <v>9.3529525385914933</v>
      </c>
      <c r="AL107" s="2">
        <v>9.5766580528249765</v>
      </c>
      <c r="AM107" s="2">
        <v>9.6873717897413929</v>
      </c>
      <c r="AN107" s="2">
        <v>9.7605989622125975</v>
      </c>
      <c r="AO107" s="2">
        <v>9.8348102133353805</v>
      </c>
      <c r="AP107" s="2">
        <v>9.9100158295988603</v>
      </c>
      <c r="AQ107" s="2">
        <v>0</v>
      </c>
      <c r="AR107" s="2">
        <v>122.40871876150793</v>
      </c>
    </row>
    <row r="108" spans="1:44" x14ac:dyDescent="0.25">
      <c r="A108" t="s">
        <v>250</v>
      </c>
      <c r="B108" t="s">
        <v>291</v>
      </c>
      <c r="C108" t="s">
        <v>44</v>
      </c>
      <c r="D108" t="s">
        <v>292</v>
      </c>
      <c r="E108" t="s">
        <v>148</v>
      </c>
      <c r="F108" t="s">
        <v>292</v>
      </c>
      <c r="G108" t="s">
        <v>31</v>
      </c>
      <c r="H108" t="s">
        <v>272</v>
      </c>
      <c r="I108" t="s">
        <v>135</v>
      </c>
      <c r="J108" t="s">
        <v>40</v>
      </c>
      <c r="K108" t="s">
        <v>31</v>
      </c>
      <c r="L108">
        <v>2.370000000000001</v>
      </c>
      <c r="M108">
        <v>1</v>
      </c>
      <c r="N108">
        <v>2.729832824165364</v>
      </c>
      <c r="O108">
        <v>4.1429695267777937</v>
      </c>
      <c r="P108">
        <v>-1.3196045040170097</v>
      </c>
      <c r="Q108">
        <v>0.4672931329656026</v>
      </c>
      <c r="R108">
        <v>-1.7024036712681361</v>
      </c>
      <c r="S108" s="2">
        <v>0</v>
      </c>
      <c r="T108" s="2">
        <v>0</v>
      </c>
      <c r="U108" s="2">
        <v>1.4162502134911806E-2</v>
      </c>
      <c r="V108" s="2">
        <v>2.6827683390802545E-2</v>
      </c>
      <c r="W108" s="2">
        <v>4.6217587338138029E-2</v>
      </c>
      <c r="X108" s="2">
        <v>7.4230189896733564E-2</v>
      </c>
      <c r="Y108" s="2">
        <v>0.11267422312740777</v>
      </c>
      <c r="Z108" s="2">
        <v>0.16296931572379916</v>
      </c>
      <c r="AA108" s="2">
        <v>0.22577243863591645</v>
      </c>
      <c r="AB108" s="2">
        <v>0.30058593000533679</v>
      </c>
      <c r="AC108" s="2">
        <v>0.38544660244728873</v>
      </c>
      <c r="AD108" s="2">
        <v>0.47682867301621523</v>
      </c>
      <c r="AE108" s="2">
        <v>0.56988825502798535</v>
      </c>
      <c r="AF108" s="2">
        <v>0.65910778849383311</v>
      </c>
      <c r="AG108" s="2">
        <v>0.7392613710348267</v>
      </c>
      <c r="AH108" s="2">
        <v>0.80645735547334829</v>
      </c>
      <c r="AI108" s="2">
        <v>0.858909233272516</v>
      </c>
      <c r="AJ108" s="2">
        <v>0.89959545318129386</v>
      </c>
      <c r="AK108" s="2">
        <v>0.92515517313267082</v>
      </c>
      <c r="AL108" s="2">
        <v>0.9472831923755245</v>
      </c>
      <c r="AM108" s="2">
        <v>0.9582345348550686</v>
      </c>
      <c r="AN108" s="2">
        <v>0.96547786225848253</v>
      </c>
      <c r="AO108" s="2">
        <v>0.9728185306300634</v>
      </c>
      <c r="AP108" s="2">
        <v>0.98025755746652887</v>
      </c>
      <c r="AQ108" s="2">
        <v>0</v>
      </c>
      <c r="AR108" s="2">
        <v>12.108161452918692</v>
      </c>
    </row>
    <row r="109" spans="1:44" x14ac:dyDescent="0.25">
      <c r="A109" t="s">
        <v>250</v>
      </c>
      <c r="B109" t="s">
        <v>291</v>
      </c>
      <c r="C109" t="s">
        <v>44</v>
      </c>
      <c r="D109" t="s">
        <v>292</v>
      </c>
      <c r="E109" t="s">
        <v>148</v>
      </c>
      <c r="F109" t="s">
        <v>292</v>
      </c>
      <c r="G109" t="s">
        <v>31</v>
      </c>
      <c r="H109" t="s">
        <v>253</v>
      </c>
      <c r="I109" t="s">
        <v>135</v>
      </c>
      <c r="J109" t="s">
        <v>39</v>
      </c>
      <c r="K109" t="s">
        <v>31</v>
      </c>
      <c r="L109">
        <v>2.370000000000001</v>
      </c>
      <c r="M109">
        <v>1</v>
      </c>
      <c r="N109">
        <v>2.729832824165364</v>
      </c>
      <c r="O109">
        <v>5.3797577395665286</v>
      </c>
      <c r="P109">
        <v>-1.3196045040170097</v>
      </c>
      <c r="Q109">
        <v>1.0674536938902881</v>
      </c>
      <c r="R109">
        <v>-1.8454036712681361</v>
      </c>
      <c r="S109" s="2">
        <v>0</v>
      </c>
      <c r="T109" s="2">
        <v>0</v>
      </c>
      <c r="U109" s="2">
        <v>6.5017785837806117E-4</v>
      </c>
      <c r="V109" s="2">
        <v>1.2322173911846041E-3</v>
      </c>
      <c r="W109" s="2">
        <v>2.1238360719380463E-3</v>
      </c>
      <c r="X109" s="2">
        <v>3.4127262106001198E-3</v>
      </c>
      <c r="Y109" s="2">
        <v>5.1826300036114997E-3</v>
      </c>
      <c r="Z109" s="2">
        <v>7.4995264545194215E-3</v>
      </c>
      <c r="AA109" s="2">
        <v>1.0394387658943497E-2</v>
      </c>
      <c r="AB109" s="2">
        <v>1.384504110614288E-2</v>
      </c>
      <c r="AC109" s="2">
        <v>1.7761722398347276E-2</v>
      </c>
      <c r="AD109" s="2">
        <v>2.1982451477090464E-2</v>
      </c>
      <c r="AE109" s="2">
        <v>2.6284155706325123E-2</v>
      </c>
      <c r="AF109" s="2">
        <v>3.0412281655769008E-2</v>
      </c>
      <c r="AG109" s="2">
        <v>3.4125301116239501E-2</v>
      </c>
      <c r="AH109" s="2">
        <v>3.7242900722687156E-2</v>
      </c>
      <c r="AI109" s="2">
        <v>3.9681737839026253E-2</v>
      </c>
      <c r="AJ109" s="2">
        <v>4.1578584827512102E-2</v>
      </c>
      <c r="AK109" s="2">
        <v>4.2777342957618779E-2</v>
      </c>
      <c r="AL109" s="2">
        <v>4.381810317531952E-2</v>
      </c>
      <c r="AM109" s="2">
        <v>4.4342261414972287E-2</v>
      </c>
      <c r="AN109" s="2">
        <v>4.4694943201686474E-2</v>
      </c>
      <c r="AO109" s="2">
        <v>4.5052172875830951E-2</v>
      </c>
      <c r="AP109" s="2">
        <v>4.5413999008342441E-2</v>
      </c>
      <c r="AQ109" s="2">
        <v>0</v>
      </c>
      <c r="AR109" s="2">
        <v>0.5595085011320855</v>
      </c>
    </row>
    <row r="110" spans="1:44" x14ac:dyDescent="0.25">
      <c r="A110" t="s">
        <v>250</v>
      </c>
      <c r="B110" t="s">
        <v>291</v>
      </c>
      <c r="C110" t="s">
        <v>44</v>
      </c>
      <c r="D110" t="s">
        <v>292</v>
      </c>
      <c r="E110" t="s">
        <v>148</v>
      </c>
      <c r="F110" t="s">
        <v>292</v>
      </c>
      <c r="G110" t="s">
        <v>31</v>
      </c>
      <c r="H110" t="s">
        <v>253</v>
      </c>
      <c r="I110" t="s">
        <v>135</v>
      </c>
      <c r="J110" t="s">
        <v>40</v>
      </c>
      <c r="K110" t="s">
        <v>31</v>
      </c>
      <c r="L110">
        <v>2.370000000000001</v>
      </c>
      <c r="M110">
        <v>1</v>
      </c>
      <c r="N110">
        <v>2.729832824165364</v>
      </c>
      <c r="O110">
        <v>4.1429695267777937</v>
      </c>
      <c r="P110">
        <v>-1.3196045040170097</v>
      </c>
      <c r="Q110">
        <v>0.4672931329656026</v>
      </c>
      <c r="R110">
        <v>-1.7024036712681361</v>
      </c>
      <c r="S110" s="2">
        <v>0</v>
      </c>
      <c r="T110" s="2">
        <v>0</v>
      </c>
      <c r="U110" s="2">
        <v>3.4200706676657233E-4</v>
      </c>
      <c r="V110" s="2">
        <v>6.4817195809944745E-4</v>
      </c>
      <c r="W110" s="2">
        <v>1.1171819155278311E-3</v>
      </c>
      <c r="X110" s="2">
        <v>1.7951649166835831E-3</v>
      </c>
      <c r="Y110" s="2">
        <v>2.7261710973875879E-3</v>
      </c>
      <c r="Z110" s="2">
        <v>3.9449067848094628E-3</v>
      </c>
      <c r="AA110" s="2">
        <v>5.4676639449675775E-3</v>
      </c>
      <c r="AB110" s="2">
        <v>7.2827793763800257E-3</v>
      </c>
      <c r="AC110" s="2">
        <v>9.3430351401610837E-3</v>
      </c>
      <c r="AD110" s="2">
        <v>1.1563226358973713E-2</v>
      </c>
      <c r="AE110" s="2">
        <v>1.3826012189927716E-2</v>
      </c>
      <c r="AF110" s="2">
        <v>1.5997492238070878E-2</v>
      </c>
      <c r="AG110" s="2">
        <v>1.7950617645463927E-2</v>
      </c>
      <c r="AH110" s="2">
        <v>1.9590539834468925E-2</v>
      </c>
      <c r="AI110" s="2">
        <v>2.0873418846315512E-2</v>
      </c>
      <c r="AJ110" s="2">
        <v>2.1871199786218948E-2</v>
      </c>
      <c r="AK110" s="2">
        <v>2.250177147757634E-2</v>
      </c>
      <c r="AL110" s="2">
        <v>2.3049232983188065E-2</v>
      </c>
      <c r="AM110" s="2">
        <v>2.3324951111320599E-2</v>
      </c>
      <c r="AN110" s="2">
        <v>2.3510469061250431E-2</v>
      </c>
      <c r="AO110" s="2">
        <v>2.3698379294491739E-2</v>
      </c>
      <c r="AP110" s="2">
        <v>2.388870736036668E-2</v>
      </c>
      <c r="AQ110" s="2">
        <v>0</v>
      </c>
      <c r="AR110" s="2">
        <v>0.29431310038841663</v>
      </c>
    </row>
    <row r="111" spans="1:44" x14ac:dyDescent="0.25">
      <c r="A111" t="s">
        <v>250</v>
      </c>
      <c r="B111" t="s">
        <v>291</v>
      </c>
      <c r="C111" t="s">
        <v>44</v>
      </c>
      <c r="D111" t="s">
        <v>292</v>
      </c>
      <c r="E111" t="s">
        <v>148</v>
      </c>
      <c r="F111" t="s">
        <v>292</v>
      </c>
      <c r="G111" t="s">
        <v>31</v>
      </c>
      <c r="H111" t="s">
        <v>253</v>
      </c>
      <c r="I111" t="s">
        <v>256</v>
      </c>
      <c r="J111" t="s">
        <v>39</v>
      </c>
      <c r="K111" t="s">
        <v>31</v>
      </c>
      <c r="L111">
        <v>2.370000000000001</v>
      </c>
      <c r="M111">
        <v>1</v>
      </c>
      <c r="N111">
        <v>1.3593406335231053</v>
      </c>
      <c r="O111">
        <v>2.6788905273490848</v>
      </c>
      <c r="P111">
        <v>0.14333244733186137</v>
      </c>
      <c r="Q111">
        <v>0.4672931329656026</v>
      </c>
      <c r="R111">
        <v>-0.38246671991926479</v>
      </c>
      <c r="S111" s="2">
        <v>0</v>
      </c>
      <c r="T111" s="2">
        <v>0</v>
      </c>
      <c r="U111" s="2">
        <v>3.4105789041679685E-4</v>
      </c>
      <c r="V111" s="2">
        <v>6.4637307862296003E-4</v>
      </c>
      <c r="W111" s="2">
        <v>1.11408138704272E-3</v>
      </c>
      <c r="X111" s="2">
        <v>1.7901827737735834E-3</v>
      </c>
      <c r="Y111" s="2">
        <v>2.7186051217615538E-3</v>
      </c>
      <c r="Z111" s="2">
        <v>3.9339584372866492E-3</v>
      </c>
      <c r="AA111" s="2">
        <v>5.4524894710769089E-3</v>
      </c>
      <c r="AB111" s="2">
        <v>7.2625673906743377E-3</v>
      </c>
      <c r="AC111" s="2">
        <v>9.3171053017107094E-3</v>
      </c>
      <c r="AD111" s="2">
        <v>1.1531134796975172E-2</v>
      </c>
      <c r="AE111" s="2">
        <v>1.3787640691039053E-2</v>
      </c>
      <c r="AF111" s="2">
        <v>1.5953094204335206E-2</v>
      </c>
      <c r="AG111" s="2">
        <v>1.790079907915761E-2</v>
      </c>
      <c r="AH111" s="2">
        <v>1.9536169972272744E-2</v>
      </c>
      <c r="AI111" s="2">
        <v>2.0815488594478057E-2</v>
      </c>
      <c r="AJ111" s="2">
        <v>2.1810500380868684E-2</v>
      </c>
      <c r="AK111" s="2">
        <v>2.2439322038982763E-2</v>
      </c>
      <c r="AL111" s="2">
        <v>2.2985264168055224E-2</v>
      </c>
      <c r="AM111" s="2">
        <v>2.3260217092331174E-2</v>
      </c>
      <c r="AN111" s="2">
        <v>2.3445220172050498E-2</v>
      </c>
      <c r="AO111" s="2">
        <v>2.3632608895747788E-2</v>
      </c>
      <c r="AP111" s="2">
        <v>2.3822408741839454E-2</v>
      </c>
      <c r="AQ111" s="2">
        <v>0</v>
      </c>
      <c r="AR111" s="2">
        <v>0.29349628968049973</v>
      </c>
    </row>
    <row r="112" spans="1:44" x14ac:dyDescent="0.25">
      <c r="A112" t="s">
        <v>250</v>
      </c>
      <c r="B112" t="s">
        <v>291</v>
      </c>
      <c r="C112" t="s">
        <v>44</v>
      </c>
      <c r="D112" t="s">
        <v>292</v>
      </c>
      <c r="E112" t="s">
        <v>148</v>
      </c>
      <c r="F112" t="s">
        <v>292</v>
      </c>
      <c r="G112" t="s">
        <v>31</v>
      </c>
      <c r="H112" t="s">
        <v>288</v>
      </c>
      <c r="I112" t="s">
        <v>135</v>
      </c>
      <c r="J112" t="s">
        <v>39</v>
      </c>
      <c r="K112" t="s">
        <v>31</v>
      </c>
      <c r="L112">
        <v>2.370000000000001</v>
      </c>
      <c r="M112">
        <v>1</v>
      </c>
      <c r="N112">
        <v>2.729832824165364</v>
      </c>
      <c r="O112">
        <v>5.3797577395665286</v>
      </c>
      <c r="P112">
        <v>-1.3196045040170097</v>
      </c>
      <c r="Q112">
        <v>1.0674536938902881</v>
      </c>
      <c r="R112">
        <v>-1.8454036712681361</v>
      </c>
      <c r="S112" s="2">
        <v>0</v>
      </c>
      <c r="T112" s="2">
        <v>0</v>
      </c>
      <c r="U112" s="2">
        <v>0.12222918227484401</v>
      </c>
      <c r="V112" s="2">
        <v>0.23189733088614514</v>
      </c>
      <c r="W112" s="2">
        <v>0.40011958979908763</v>
      </c>
      <c r="X112" s="2">
        <v>0.64361391018263081</v>
      </c>
      <c r="Y112" s="2">
        <v>0.97841725043906103</v>
      </c>
      <c r="Z112" s="2">
        <v>1.4172695509032487</v>
      </c>
      <c r="AA112" s="2">
        <v>1.9663329989597296</v>
      </c>
      <c r="AB112" s="2">
        <v>2.6217229791591747</v>
      </c>
      <c r="AC112" s="2">
        <v>3.3667192441143241</v>
      </c>
      <c r="AD112" s="2">
        <v>4.1708265191182683</v>
      </c>
      <c r="AE112" s="2">
        <v>4.9918226908431951</v>
      </c>
      <c r="AF112" s="2">
        <v>5.7813359507337028</v>
      </c>
      <c r="AG112" s="2">
        <v>6.4932896395101558</v>
      </c>
      <c r="AH112" s="2">
        <v>7.0930968721260284</v>
      </c>
      <c r="AI112" s="2">
        <v>7.5645351229991693</v>
      </c>
      <c r="AJ112" s="2">
        <v>7.9333300716301736</v>
      </c>
      <c r="AK112" s="2">
        <v>8.1693783533240119</v>
      </c>
      <c r="AL112" s="2">
        <v>8.3755497009388531</v>
      </c>
      <c r="AM112" s="2">
        <v>8.4831533358233386</v>
      </c>
      <c r="AN112" s="2">
        <v>8.5580107218489019</v>
      </c>
      <c r="AO112" s="2">
        <v>8.6337684080867483</v>
      </c>
      <c r="AP112" s="2">
        <v>8.7104363083070204</v>
      </c>
      <c r="AQ112" s="2">
        <v>0</v>
      </c>
      <c r="AR112" s="2">
        <v>106.70685573200782</v>
      </c>
    </row>
    <row r="113" spans="1:44" x14ac:dyDescent="0.25">
      <c r="A113" t="s">
        <v>250</v>
      </c>
      <c r="B113" t="s">
        <v>291</v>
      </c>
      <c r="C113" t="s">
        <v>44</v>
      </c>
      <c r="D113" t="s">
        <v>292</v>
      </c>
      <c r="E113" t="s">
        <v>148</v>
      </c>
      <c r="F113" t="s">
        <v>292</v>
      </c>
      <c r="G113" t="s">
        <v>31</v>
      </c>
      <c r="H113" t="s">
        <v>288</v>
      </c>
      <c r="I113" t="s">
        <v>135</v>
      </c>
      <c r="J113" t="s">
        <v>39</v>
      </c>
      <c r="K113" t="s">
        <v>33</v>
      </c>
      <c r="L113">
        <v>2.370000000000001</v>
      </c>
      <c r="M113">
        <v>1</v>
      </c>
      <c r="N113">
        <v>2.729832824165364</v>
      </c>
      <c r="O113">
        <v>5.3797577395665286</v>
      </c>
      <c r="P113">
        <v>-1.3196045040170097</v>
      </c>
      <c r="Q113">
        <v>1.0674536938902881</v>
      </c>
      <c r="R113">
        <v>-1.8454036712681361</v>
      </c>
      <c r="S113" s="2">
        <v>0</v>
      </c>
      <c r="T113" s="2">
        <v>0</v>
      </c>
      <c r="U113" s="2">
        <v>1.1498237754395638E-3</v>
      </c>
      <c r="V113" s="2">
        <v>2.1814844830941728E-3</v>
      </c>
      <c r="W113" s="2">
        <v>3.7639703449509477E-3</v>
      </c>
      <c r="X113" s="2">
        <v>6.0545490230602917E-3</v>
      </c>
      <c r="Y113" s="2">
        <v>9.2040820033085415E-3</v>
      </c>
      <c r="Z113" s="2">
        <v>1.3332415348822051E-2</v>
      </c>
      <c r="AA113" s="2">
        <v>1.8497517454966968E-2</v>
      </c>
      <c r="AB113" s="2">
        <v>2.4662845303792036E-2</v>
      </c>
      <c r="AC113" s="2">
        <v>3.1671109632459886E-2</v>
      </c>
      <c r="AD113" s="2">
        <v>3.9235437934390445E-2</v>
      </c>
      <c r="AE113" s="2">
        <v>4.6958642002561217E-2</v>
      </c>
      <c r="AF113" s="2">
        <v>5.4385682749717279E-2</v>
      </c>
      <c r="AG113" s="2">
        <v>6.1083111818058075E-2</v>
      </c>
      <c r="AH113" s="2">
        <v>6.6725566458649535E-2</v>
      </c>
      <c r="AI113" s="2">
        <v>7.1160439534103156E-2</v>
      </c>
      <c r="AJ113" s="2">
        <v>7.4629735428144911E-2</v>
      </c>
      <c r="AK113" s="2">
        <v>7.6850268376100747E-2</v>
      </c>
      <c r="AL113" s="2">
        <v>7.8789745617870374E-2</v>
      </c>
      <c r="AM113" s="2">
        <v>7.9801985210830303E-2</v>
      </c>
      <c r="AN113" s="2">
        <v>8.0506177128157913E-2</v>
      </c>
      <c r="AO113" s="2">
        <v>8.1218838271654395E-2</v>
      </c>
      <c r="AP113" s="2">
        <v>8.1940061901278893E-2</v>
      </c>
      <c r="AQ113" s="2">
        <v>0</v>
      </c>
      <c r="AR113" s="2">
        <v>1.0038034898014119</v>
      </c>
    </row>
    <row r="114" spans="1:44" x14ac:dyDescent="0.25">
      <c r="A114" t="s">
        <v>250</v>
      </c>
      <c r="B114" t="s">
        <v>291</v>
      </c>
      <c r="C114" t="s">
        <v>44</v>
      </c>
      <c r="D114" t="s">
        <v>292</v>
      </c>
      <c r="E114" t="s">
        <v>148</v>
      </c>
      <c r="F114" t="s">
        <v>292</v>
      </c>
      <c r="G114" t="s">
        <v>31</v>
      </c>
      <c r="H114" t="s">
        <v>273</v>
      </c>
      <c r="I114" t="s">
        <v>135</v>
      </c>
      <c r="J114" t="s">
        <v>39</v>
      </c>
      <c r="K114" t="s">
        <v>31</v>
      </c>
      <c r="L114">
        <v>2.370000000000001</v>
      </c>
      <c r="M114">
        <v>1</v>
      </c>
      <c r="N114">
        <v>2.729832824165364</v>
      </c>
      <c r="O114">
        <v>5.3797577395665286</v>
      </c>
      <c r="P114">
        <v>-1.3196045040170097</v>
      </c>
      <c r="Q114">
        <v>1.0674536938902881</v>
      </c>
      <c r="R114">
        <v>-1.8454036712681361</v>
      </c>
      <c r="S114" s="2">
        <v>0</v>
      </c>
      <c r="T114" s="2">
        <v>0</v>
      </c>
      <c r="U114" s="2">
        <v>4.3061507345219824E-2</v>
      </c>
      <c r="V114" s="2">
        <v>8.1570366195426847E-2</v>
      </c>
      <c r="W114" s="2">
        <v>0.14052594362782517</v>
      </c>
      <c r="X114" s="2">
        <v>0.22569909165949484</v>
      </c>
      <c r="Y114" s="2">
        <v>0.34258931371014145</v>
      </c>
      <c r="Z114" s="2">
        <v>0.49551303288325987</v>
      </c>
      <c r="AA114" s="2">
        <v>0.68646778881697434</v>
      </c>
      <c r="AB114" s="2">
        <v>0.91394042588613167</v>
      </c>
      <c r="AC114" s="2">
        <v>1.1719618146823649</v>
      </c>
      <c r="AD114" s="2">
        <v>1.4498117076984216</v>
      </c>
      <c r="AE114" s="2">
        <v>1.732762123957458</v>
      </c>
      <c r="AF114" s="2">
        <v>2.0040367588404249</v>
      </c>
      <c r="AG114" s="2">
        <v>2.2477461013319457</v>
      </c>
      <c r="AH114" s="2">
        <v>2.4520574828875832</v>
      </c>
      <c r="AI114" s="2">
        <v>2.6115389713706123</v>
      </c>
      <c r="AJ114" s="2">
        <v>2.7352466284471277</v>
      </c>
      <c r="AK114" s="2">
        <v>2.8129617142379524</v>
      </c>
      <c r="AL114" s="2">
        <v>2.8802426123507923</v>
      </c>
      <c r="AM114" s="2">
        <v>2.9135404936241946</v>
      </c>
      <c r="AN114" s="2">
        <v>2.9355640451982872</v>
      </c>
      <c r="AO114" s="2">
        <v>2.9578835648700146</v>
      </c>
      <c r="AP114" s="2">
        <v>2.9805021463684231</v>
      </c>
      <c r="AQ114" s="2">
        <v>0</v>
      </c>
      <c r="AR114" s="2">
        <v>36.81522363599008</v>
      </c>
    </row>
    <row r="115" spans="1:44" x14ac:dyDescent="0.25">
      <c r="A115" t="s">
        <v>250</v>
      </c>
      <c r="B115" t="s">
        <v>291</v>
      </c>
      <c r="C115" t="s">
        <v>44</v>
      </c>
      <c r="D115" t="s">
        <v>292</v>
      </c>
      <c r="E115" t="s">
        <v>148</v>
      </c>
      <c r="F115" t="s">
        <v>292</v>
      </c>
      <c r="G115" t="s">
        <v>31</v>
      </c>
      <c r="H115" t="s">
        <v>252</v>
      </c>
      <c r="I115" t="s">
        <v>135</v>
      </c>
      <c r="J115" t="s">
        <v>39</v>
      </c>
      <c r="K115" t="s">
        <v>31</v>
      </c>
      <c r="L115">
        <v>2.370000000000001</v>
      </c>
      <c r="M115">
        <v>1</v>
      </c>
      <c r="N115">
        <v>2.729832824165364</v>
      </c>
      <c r="O115">
        <v>5.3797577395665286</v>
      </c>
      <c r="P115">
        <v>-1.3196045040170097</v>
      </c>
      <c r="Q115">
        <v>1.0674536938902881</v>
      </c>
      <c r="R115">
        <v>-1.8454036712681361</v>
      </c>
      <c r="S115" s="2">
        <v>0</v>
      </c>
      <c r="T115" s="2">
        <v>0</v>
      </c>
      <c r="U115" s="2">
        <v>2.9179329522657977E-3</v>
      </c>
      <c r="V115" s="2">
        <v>5.53222601488235E-3</v>
      </c>
      <c r="W115" s="2">
        <v>9.5389615055956039E-3</v>
      </c>
      <c r="X115" s="2">
        <v>1.5333706891576506E-2</v>
      </c>
      <c r="Y115" s="2">
        <v>2.3294833530463299E-2</v>
      </c>
      <c r="Z115" s="2">
        <v>3.3721357078467178E-2</v>
      </c>
      <c r="AA115" s="2">
        <v>4.6755210507719587E-2</v>
      </c>
      <c r="AB115" s="2">
        <v>6.2299330225052567E-2</v>
      </c>
      <c r="AC115" s="2">
        <v>7.9952188058685883E-2</v>
      </c>
      <c r="AD115" s="2">
        <v>9.8986434631472442E-2</v>
      </c>
      <c r="AE115" s="2">
        <v>0.11839845039517892</v>
      </c>
      <c r="AF115" s="2">
        <v>0.13704133319105477</v>
      </c>
      <c r="AG115" s="2">
        <v>0.15382531491962639</v>
      </c>
      <c r="AH115" s="2">
        <v>0.167935203883883</v>
      </c>
      <c r="AI115" s="2">
        <v>0.17899217400630446</v>
      </c>
      <c r="AJ115" s="2">
        <v>0.18761016857892798</v>
      </c>
      <c r="AK115" s="2">
        <v>0.19308209199592963</v>
      </c>
      <c r="AL115" s="2">
        <v>0.19784337139505923</v>
      </c>
      <c r="AM115" s="2">
        <v>0.20027361684269865</v>
      </c>
      <c r="AN115" s="2">
        <v>0.20192984378792977</v>
      </c>
      <c r="AO115" s="2">
        <v>0.20360682608568076</v>
      </c>
      <c r="AP115" s="2">
        <v>0.20530478841993369</v>
      </c>
      <c r="AQ115" s="2">
        <v>0</v>
      </c>
      <c r="AR115" s="2">
        <v>2.5241753648983885</v>
      </c>
    </row>
    <row r="116" spans="1:44" x14ac:dyDescent="0.25">
      <c r="A116" t="s">
        <v>250</v>
      </c>
      <c r="B116" t="s">
        <v>291</v>
      </c>
      <c r="C116" t="s">
        <v>44</v>
      </c>
      <c r="D116" t="s">
        <v>292</v>
      </c>
      <c r="E116" t="s">
        <v>148</v>
      </c>
      <c r="F116" t="s">
        <v>292</v>
      </c>
      <c r="G116" t="s">
        <v>31</v>
      </c>
      <c r="H116" t="s">
        <v>289</v>
      </c>
      <c r="I116" t="s">
        <v>135</v>
      </c>
      <c r="J116" t="s">
        <v>39</v>
      </c>
      <c r="K116" t="s">
        <v>31</v>
      </c>
      <c r="L116">
        <v>2.370000000000001</v>
      </c>
      <c r="M116">
        <v>1</v>
      </c>
      <c r="N116">
        <v>2.729832824165364</v>
      </c>
      <c r="O116">
        <v>5.3797577395665286</v>
      </c>
      <c r="P116">
        <v>-1.3196045040170097</v>
      </c>
      <c r="Q116">
        <v>1.0674536938902881</v>
      </c>
      <c r="R116">
        <v>-1.8454036712681361</v>
      </c>
      <c r="S116" s="2">
        <v>0</v>
      </c>
      <c r="T116" s="2">
        <v>0</v>
      </c>
      <c r="U116" s="2">
        <v>0.11617353933886702</v>
      </c>
      <c r="V116" s="2">
        <v>0.22040836067856126</v>
      </c>
      <c r="W116" s="2">
        <v>0.38029632564547994</v>
      </c>
      <c r="X116" s="2">
        <v>0.61172712213286595</v>
      </c>
      <c r="Y116" s="2">
        <v>0.92994318392899755</v>
      </c>
      <c r="Z116" s="2">
        <v>1.3470532720689072</v>
      </c>
      <c r="AA116" s="2">
        <v>1.8689142785419124</v>
      </c>
      <c r="AB116" s="2">
        <v>2.4918340447544769</v>
      </c>
      <c r="AC116" s="2">
        <v>3.1999207003574117</v>
      </c>
      <c r="AD116" s="2">
        <v>3.9641898086566316</v>
      </c>
      <c r="AE116" s="2">
        <v>4.7445110811861237</v>
      </c>
      <c r="AF116" s="2">
        <v>5.4949092107440745</v>
      </c>
      <c r="AG116" s="2">
        <v>6.1715903300249133</v>
      </c>
      <c r="AH116" s="2">
        <v>6.741681104070647</v>
      </c>
      <c r="AI116" s="2">
        <v>7.1897627255322076</v>
      </c>
      <c r="AJ116" s="2">
        <v>7.5402863376141145</v>
      </c>
      <c r="AK116" s="2">
        <v>7.7646399970990716</v>
      </c>
      <c r="AL116" s="2">
        <v>7.9605969258529283</v>
      </c>
      <c r="AM116" s="2">
        <v>8.0628695163882576</v>
      </c>
      <c r="AN116" s="2">
        <v>8.1340182168735318</v>
      </c>
      <c r="AO116" s="2">
        <v>8.2060226136844072</v>
      </c>
      <c r="AP116" s="2">
        <v>8.2788921294293321</v>
      </c>
      <c r="AQ116" s="2">
        <v>0</v>
      </c>
      <c r="AR116" s="2">
        <v>101.42024082460374</v>
      </c>
    </row>
    <row r="117" spans="1:44" x14ac:dyDescent="0.25">
      <c r="A117" t="s">
        <v>250</v>
      </c>
      <c r="B117" t="s">
        <v>291</v>
      </c>
      <c r="C117" t="s">
        <v>44</v>
      </c>
      <c r="D117" t="s">
        <v>292</v>
      </c>
      <c r="E117" t="s">
        <v>148</v>
      </c>
      <c r="F117" t="s">
        <v>292</v>
      </c>
      <c r="G117" t="s">
        <v>31</v>
      </c>
      <c r="H117" t="s">
        <v>274</v>
      </c>
      <c r="I117" t="s">
        <v>135</v>
      </c>
      <c r="J117" t="s">
        <v>39</v>
      </c>
      <c r="K117" t="s">
        <v>31</v>
      </c>
      <c r="L117">
        <v>2.370000000000001</v>
      </c>
      <c r="M117">
        <v>1</v>
      </c>
      <c r="N117">
        <v>2.729832824165364</v>
      </c>
      <c r="O117">
        <v>5.3797577395665286</v>
      </c>
      <c r="P117">
        <v>-1.3196045040170097</v>
      </c>
      <c r="Q117">
        <v>1.0674536938902881</v>
      </c>
      <c r="R117">
        <v>-1.8454036712681361</v>
      </c>
      <c r="S117" s="2">
        <v>0</v>
      </c>
      <c r="T117" s="2">
        <v>0</v>
      </c>
      <c r="U117" s="2">
        <v>6.7786523604078983E-2</v>
      </c>
      <c r="V117" s="2">
        <v>0.12840636323227608</v>
      </c>
      <c r="W117" s="2">
        <v>0.22121299931156635</v>
      </c>
      <c r="X117" s="2">
        <v>0.35529078630578326</v>
      </c>
      <c r="Y117" s="2">
        <v>0.5392969273960011</v>
      </c>
      <c r="Z117" s="2">
        <v>0.78002624549089128</v>
      </c>
      <c r="AA117" s="2">
        <v>1.0806232256810917</v>
      </c>
      <c r="AB117" s="2">
        <v>1.4387058900512417</v>
      </c>
      <c r="AC117" s="2">
        <v>1.8448777600179378</v>
      </c>
      <c r="AD117" s="2">
        <v>2.2822632463254511</v>
      </c>
      <c r="AE117" s="2">
        <v>2.7276778695703503</v>
      </c>
      <c r="AF117" s="2">
        <v>3.1547127221420097</v>
      </c>
      <c r="AG117" s="2">
        <v>3.5383548683608943</v>
      </c>
      <c r="AH117" s="2">
        <v>3.8599775690566416</v>
      </c>
      <c r="AI117" s="2">
        <v>4.111029990347963</v>
      </c>
      <c r="AJ117" s="2">
        <v>4.3057679949698642</v>
      </c>
      <c r="AK117" s="2">
        <v>4.4281054564786499</v>
      </c>
      <c r="AL117" s="2">
        <v>4.5340176381276693</v>
      </c>
      <c r="AM117" s="2">
        <v>4.5864344659179865</v>
      </c>
      <c r="AN117" s="2">
        <v>4.6211034798624819</v>
      </c>
      <c r="AO117" s="2">
        <v>4.656238400591806</v>
      </c>
      <c r="AP117" s="2">
        <v>4.691844098189474</v>
      </c>
      <c r="AQ117" s="2">
        <v>0</v>
      </c>
      <c r="AR117" s="2">
        <v>57.95375452103211</v>
      </c>
    </row>
    <row r="118" spans="1:44" x14ac:dyDescent="0.25">
      <c r="A118" t="s">
        <v>250</v>
      </c>
      <c r="B118" t="s">
        <v>291</v>
      </c>
      <c r="C118" t="s">
        <v>44</v>
      </c>
      <c r="D118" t="s">
        <v>292</v>
      </c>
      <c r="E118" t="s">
        <v>148</v>
      </c>
      <c r="F118" t="s">
        <v>292</v>
      </c>
      <c r="G118" t="s">
        <v>31</v>
      </c>
      <c r="H118" t="s">
        <v>274</v>
      </c>
      <c r="I118" t="s">
        <v>135</v>
      </c>
      <c r="J118" t="s">
        <v>39</v>
      </c>
      <c r="K118" t="s">
        <v>33</v>
      </c>
      <c r="L118">
        <v>2.370000000000001</v>
      </c>
      <c r="M118">
        <v>1</v>
      </c>
      <c r="N118">
        <v>2.729832824165364</v>
      </c>
      <c r="O118">
        <v>5.3797577395665286</v>
      </c>
      <c r="P118">
        <v>-1.3196045040170097</v>
      </c>
      <c r="Q118">
        <v>1.0674536938902881</v>
      </c>
      <c r="R118">
        <v>-1.8454036712681361</v>
      </c>
      <c r="S118" s="2">
        <v>0</v>
      </c>
      <c r="T118" s="2">
        <v>0</v>
      </c>
      <c r="U118" s="2">
        <v>2.1810196181539553E-4</v>
      </c>
      <c r="V118" s="2">
        <v>4.1314524246902675E-4</v>
      </c>
      <c r="W118" s="2">
        <v>7.1174898141577602E-4</v>
      </c>
      <c r="X118" s="2">
        <v>1.1431419312903602E-3</v>
      </c>
      <c r="Y118" s="2">
        <v>1.7351784928974373E-3</v>
      </c>
      <c r="Z118" s="2">
        <v>2.5097208908766533E-3</v>
      </c>
      <c r="AA118" s="2">
        <v>3.4768864513675022E-3</v>
      </c>
      <c r="AB118" s="2">
        <v>4.6290112018173525E-3</v>
      </c>
      <c r="AC118" s="2">
        <v>5.9358621356604344E-3</v>
      </c>
      <c r="AD118" s="2">
        <v>7.3431423377020725E-3</v>
      </c>
      <c r="AE118" s="2">
        <v>8.7762561483228554E-3</v>
      </c>
      <c r="AF118" s="2">
        <v>1.0150233366175404E-2</v>
      </c>
      <c r="AG118" s="2">
        <v>1.1384595305343569E-2</v>
      </c>
      <c r="AH118" s="2">
        <v>1.2419410756211245E-2</v>
      </c>
      <c r="AI118" s="2">
        <v>1.3227167559347441E-2</v>
      </c>
      <c r="AJ118" s="2">
        <v>1.3853733705387353E-2</v>
      </c>
      <c r="AK118" s="2">
        <v>1.4247352362016295E-2</v>
      </c>
      <c r="AL118" s="2">
        <v>1.4588122966107342E-2</v>
      </c>
      <c r="AM118" s="2">
        <v>1.4756773198710832E-2</v>
      </c>
      <c r="AN118" s="2">
        <v>1.486832014865728E-2</v>
      </c>
      <c r="AO118" s="2">
        <v>1.4981366145587966E-2</v>
      </c>
      <c r="AP118" s="2">
        <v>1.5095926858912114E-2</v>
      </c>
      <c r="AQ118" s="2">
        <v>0</v>
      </c>
      <c r="AR118" s="2">
        <v>0.1864651981480917</v>
      </c>
    </row>
    <row r="119" spans="1:44" x14ac:dyDescent="0.25">
      <c r="A119" t="s">
        <v>250</v>
      </c>
      <c r="B119" t="s">
        <v>291</v>
      </c>
      <c r="C119" t="s">
        <v>44</v>
      </c>
      <c r="D119" t="s">
        <v>292</v>
      </c>
      <c r="E119" t="s">
        <v>148</v>
      </c>
      <c r="F119" t="s">
        <v>292</v>
      </c>
      <c r="G119" t="s">
        <v>31</v>
      </c>
      <c r="H119" t="s">
        <v>255</v>
      </c>
      <c r="I119" t="s">
        <v>135</v>
      </c>
      <c r="J119" t="s">
        <v>39</v>
      </c>
      <c r="K119" t="s">
        <v>31</v>
      </c>
      <c r="L119">
        <v>2.370000000000001</v>
      </c>
      <c r="M119">
        <v>1</v>
      </c>
      <c r="N119">
        <v>2.729832824165364</v>
      </c>
      <c r="O119">
        <v>5.3797577395665286</v>
      </c>
      <c r="P119">
        <v>-1.3196045040170097</v>
      </c>
      <c r="Q119">
        <v>1.0674536938902881</v>
      </c>
      <c r="R119">
        <v>-1.8454036712681361</v>
      </c>
      <c r="S119" s="2">
        <v>0</v>
      </c>
      <c r="T119" s="2">
        <v>0</v>
      </c>
      <c r="U119" s="2">
        <v>3.1229487616085499E-2</v>
      </c>
      <c r="V119" s="2">
        <v>5.8902762961308655E-2</v>
      </c>
      <c r="W119" s="2">
        <v>0.10104364354154521</v>
      </c>
      <c r="X119" s="2">
        <v>0.16160439557381889</v>
      </c>
      <c r="Y119" s="2">
        <v>0.24428100504647834</v>
      </c>
      <c r="Z119" s="2">
        <v>0.35187237124635828</v>
      </c>
      <c r="AA119" s="2">
        <v>0.48549652745449678</v>
      </c>
      <c r="AB119" s="2">
        <v>0.64378582264314721</v>
      </c>
      <c r="AC119" s="2">
        <v>0.822273340223585</v>
      </c>
      <c r="AD119" s="2">
        <v>1.0132467863963741</v>
      </c>
      <c r="AE119" s="2">
        <v>1.2063271410656482</v>
      </c>
      <c r="AF119" s="2">
        <v>1.3898757095980672</v>
      </c>
      <c r="AG119" s="2">
        <v>1.5530421329502559</v>
      </c>
      <c r="AH119" s="2">
        <v>1.6879278113068286</v>
      </c>
      <c r="AI119" s="2">
        <v>1.7911355624202865</v>
      </c>
      <c r="AJ119" s="2">
        <v>1.8692121451162782</v>
      </c>
      <c r="AK119" s="2">
        <v>1.9154792647221788</v>
      </c>
      <c r="AL119" s="2">
        <v>1.9544094077205318</v>
      </c>
      <c r="AM119" s="2">
        <v>1.9701605003060016</v>
      </c>
      <c r="AN119" s="2">
        <v>1.9782781051809422</v>
      </c>
      <c r="AO119" s="2">
        <v>1.9866125309432061</v>
      </c>
      <c r="AP119" s="2">
        <v>1.9951650770023652</v>
      </c>
      <c r="AQ119" s="2">
        <v>0</v>
      </c>
      <c r="AR119" s="2">
        <v>25.211361531035788</v>
      </c>
    </row>
    <row r="120" spans="1:44" x14ac:dyDescent="0.25">
      <c r="A120" t="s">
        <v>250</v>
      </c>
      <c r="B120" t="s">
        <v>291</v>
      </c>
      <c r="C120" t="s">
        <v>44</v>
      </c>
      <c r="D120" t="s">
        <v>292</v>
      </c>
      <c r="E120" t="s">
        <v>148</v>
      </c>
      <c r="F120" t="s">
        <v>292</v>
      </c>
      <c r="G120" t="s">
        <v>31</v>
      </c>
      <c r="H120" t="s">
        <v>278</v>
      </c>
      <c r="I120" t="s">
        <v>135</v>
      </c>
      <c r="J120" t="s">
        <v>39</v>
      </c>
      <c r="K120" t="s">
        <v>31</v>
      </c>
      <c r="L120">
        <v>2.370000000000001</v>
      </c>
      <c r="M120">
        <v>1</v>
      </c>
      <c r="N120">
        <v>2.729832824165364</v>
      </c>
      <c r="O120">
        <v>5.3797577395665286</v>
      </c>
      <c r="P120">
        <v>-1.3196045040170097</v>
      </c>
      <c r="Q120">
        <v>1.0674536938902881</v>
      </c>
      <c r="R120">
        <v>-1.8454036712681361</v>
      </c>
      <c r="S120" s="2">
        <v>0</v>
      </c>
      <c r="T120" s="2">
        <v>0</v>
      </c>
      <c r="U120" s="2">
        <v>9.1264323229109851E-2</v>
      </c>
      <c r="V120" s="2">
        <v>0.17213605500269574</v>
      </c>
      <c r="W120" s="2">
        <v>0.29528757749047058</v>
      </c>
      <c r="X120" s="2">
        <v>0.4722689009248161</v>
      </c>
      <c r="Y120" s="2">
        <v>0.71388108819980622</v>
      </c>
      <c r="Z120" s="2">
        <v>1.0283035770423632</v>
      </c>
      <c r="AA120" s="2">
        <v>1.4188036817291576</v>
      </c>
      <c r="AB120" s="2">
        <v>1.881384610926478</v>
      </c>
      <c r="AC120" s="2">
        <v>2.4029923522085674</v>
      </c>
      <c r="AD120" s="2">
        <v>2.9610886787942237</v>
      </c>
      <c r="AE120" s="2">
        <v>3.5253421854272085</v>
      </c>
      <c r="AF120" s="2">
        <v>4.0617402234838895</v>
      </c>
      <c r="AG120" s="2">
        <v>4.5385739578062205</v>
      </c>
      <c r="AH120" s="2">
        <v>4.9327607052753599</v>
      </c>
      <c r="AI120" s="2">
        <v>5.2343726200515732</v>
      </c>
      <c r="AJ120" s="2">
        <v>5.4625417968049783</v>
      </c>
      <c r="AK120" s="2">
        <v>5.5977517435867359</v>
      </c>
      <c r="AL120" s="2">
        <v>5.7115202817591832</v>
      </c>
      <c r="AM120" s="2">
        <v>5.7575509058476229</v>
      </c>
      <c r="AN120" s="2">
        <v>5.7812736042235873</v>
      </c>
      <c r="AO120" s="2">
        <v>5.8056299348829121</v>
      </c>
      <c r="AP120" s="2">
        <v>5.8306236951895238</v>
      </c>
      <c r="AQ120" s="2">
        <v>0</v>
      </c>
      <c r="AR120" s="2">
        <v>73.677092499886484</v>
      </c>
    </row>
    <row r="121" spans="1:44" x14ac:dyDescent="0.25">
      <c r="A121" t="s">
        <v>250</v>
      </c>
      <c r="B121" t="s">
        <v>291</v>
      </c>
      <c r="C121" t="s">
        <v>44</v>
      </c>
      <c r="D121" t="s">
        <v>292</v>
      </c>
      <c r="E121" t="s">
        <v>148</v>
      </c>
      <c r="F121" t="s">
        <v>292</v>
      </c>
      <c r="G121" t="s">
        <v>31</v>
      </c>
      <c r="H121" t="s">
        <v>276</v>
      </c>
      <c r="I121" t="s">
        <v>135</v>
      </c>
      <c r="J121" t="s">
        <v>39</v>
      </c>
      <c r="K121" t="s">
        <v>31</v>
      </c>
      <c r="L121">
        <v>2.370000000000001</v>
      </c>
      <c r="M121">
        <v>1</v>
      </c>
      <c r="N121">
        <v>2.729832824165364</v>
      </c>
      <c r="O121">
        <v>5.3797577395665286</v>
      </c>
      <c r="P121">
        <v>-1.3196045040170097</v>
      </c>
      <c r="Q121">
        <v>1.0674536938902881</v>
      </c>
      <c r="R121">
        <v>-1.8454036712681361</v>
      </c>
      <c r="S121" s="2">
        <v>0</v>
      </c>
      <c r="T121" s="2">
        <v>0</v>
      </c>
      <c r="U121" s="2">
        <v>5.8906408656518396E-2</v>
      </c>
      <c r="V121" s="2">
        <v>0.11185713081872976</v>
      </c>
      <c r="W121" s="2">
        <v>0.1931673580303884</v>
      </c>
      <c r="X121" s="2">
        <v>0.3109861790301065</v>
      </c>
      <c r="Y121" s="2">
        <v>0.47315918937372675</v>
      </c>
      <c r="Z121" s="2">
        <v>0.68596024082280826</v>
      </c>
      <c r="AA121" s="2">
        <v>0.95249497084847867</v>
      </c>
      <c r="AB121" s="2">
        <v>1.2710054599322844</v>
      </c>
      <c r="AC121" s="2">
        <v>1.6334971968927814</v>
      </c>
      <c r="AD121" s="2">
        <v>2.0252582457591752</v>
      </c>
      <c r="AE121" s="2">
        <v>2.4258289131922708</v>
      </c>
      <c r="AF121" s="2">
        <v>2.8116932082873469</v>
      </c>
      <c r="AG121" s="2">
        <v>3.1603793241796616</v>
      </c>
      <c r="AH121" s="2">
        <v>3.4549444792520041</v>
      </c>
      <c r="AI121" s="2">
        <v>3.6873489127969377</v>
      </c>
      <c r="AJ121" s="2">
        <v>3.8699951271726478</v>
      </c>
      <c r="AK121" s="2">
        <v>3.9880714795444305</v>
      </c>
      <c r="AL121" s="2">
        <v>4.0916872303835143</v>
      </c>
      <c r="AM121" s="2">
        <v>4.1472269114321136</v>
      </c>
      <c r="AN121" s="2">
        <v>4.1867872953813352</v>
      </c>
      <c r="AO121" s="2">
        <v>4.2268059124849922</v>
      </c>
      <c r="AP121" s="2">
        <v>4.2672878708727779</v>
      </c>
      <c r="AQ121" s="2">
        <v>0</v>
      </c>
      <c r="AR121" s="2">
        <v>52.034349045145035</v>
      </c>
    </row>
    <row r="122" spans="1:44" x14ac:dyDescent="0.25">
      <c r="A122" t="s">
        <v>250</v>
      </c>
      <c r="B122" t="s">
        <v>291</v>
      </c>
      <c r="C122" t="s">
        <v>44</v>
      </c>
      <c r="D122" t="s">
        <v>292</v>
      </c>
      <c r="E122" t="s">
        <v>148</v>
      </c>
      <c r="F122" t="s">
        <v>292</v>
      </c>
      <c r="G122" t="s">
        <v>31</v>
      </c>
      <c r="H122" t="s">
        <v>290</v>
      </c>
      <c r="I122" t="s">
        <v>135</v>
      </c>
      <c r="J122" t="s">
        <v>39</v>
      </c>
      <c r="K122" t="s">
        <v>31</v>
      </c>
      <c r="L122">
        <v>2.370000000000001</v>
      </c>
      <c r="M122">
        <v>1</v>
      </c>
      <c r="N122">
        <v>2.729832824165364</v>
      </c>
      <c r="O122">
        <v>5.3797577395665286</v>
      </c>
      <c r="P122">
        <v>-1.3196045040170097</v>
      </c>
      <c r="Q122">
        <v>1.0674536938902881</v>
      </c>
      <c r="R122">
        <v>-1.8454036712681361</v>
      </c>
      <c r="S122" s="2">
        <v>0</v>
      </c>
      <c r="T122" s="2">
        <v>0</v>
      </c>
      <c r="U122" s="2">
        <v>0.16822719750689261</v>
      </c>
      <c r="V122" s="2">
        <v>0.31916631820855829</v>
      </c>
      <c r="W122" s="2">
        <v>0.55069498140102857</v>
      </c>
      <c r="X122" s="2">
        <v>0.8858225373954941</v>
      </c>
      <c r="Y122" s="2">
        <v>1.3466210684748665</v>
      </c>
      <c r="Z122" s="2">
        <v>1.9506248853419419</v>
      </c>
      <c r="AA122" s="2">
        <v>2.7063151665082876</v>
      </c>
      <c r="AB122" s="2">
        <v>3.6083454148587752</v>
      </c>
      <c r="AC122" s="2">
        <v>4.6337031197372704</v>
      </c>
      <c r="AD122" s="2">
        <v>5.74041684268962</v>
      </c>
      <c r="AE122" s="2">
        <v>6.8703751927554242</v>
      </c>
      <c r="AF122" s="2">
        <v>7.9570027937423777</v>
      </c>
      <c r="AG122" s="2">
        <v>8.9368831430048665</v>
      </c>
      <c r="AH122" s="2">
        <v>9.7624134125313162</v>
      </c>
      <c r="AI122" s="2">
        <v>10.411266119109969</v>
      </c>
      <c r="AJ122" s="2">
        <v>10.918848183460231</v>
      </c>
      <c r="AK122" s="2">
        <v>11.243727563053627</v>
      </c>
      <c r="AL122" s="2">
        <v>11.52748654245574</v>
      </c>
      <c r="AM122" s="2">
        <v>11.675584219305652</v>
      </c>
      <c r="AN122" s="2">
        <v>11.778612383524671</v>
      </c>
      <c r="AO122" s="2">
        <v>11.882879654304229</v>
      </c>
      <c r="AP122" s="2">
        <v>11.988399676223334</v>
      </c>
      <c r="AQ122" s="2">
        <v>0</v>
      </c>
      <c r="AR122" s="2">
        <v>146.8634164155942</v>
      </c>
    </row>
    <row r="123" spans="1:44" x14ac:dyDescent="0.25">
      <c r="A123" t="s">
        <v>250</v>
      </c>
      <c r="B123" t="s">
        <v>291</v>
      </c>
      <c r="C123" t="s">
        <v>44</v>
      </c>
      <c r="D123" t="s">
        <v>292</v>
      </c>
      <c r="E123" t="s">
        <v>148</v>
      </c>
      <c r="F123" t="s">
        <v>292</v>
      </c>
      <c r="G123" t="s">
        <v>31</v>
      </c>
      <c r="H123" t="s">
        <v>275</v>
      </c>
      <c r="I123" t="s">
        <v>135</v>
      </c>
      <c r="J123" t="s">
        <v>39</v>
      </c>
      <c r="K123" t="s">
        <v>31</v>
      </c>
      <c r="L123">
        <v>2.370000000000001</v>
      </c>
      <c r="M123">
        <v>1</v>
      </c>
      <c r="N123">
        <v>2.729832824165364</v>
      </c>
      <c r="O123">
        <v>5.3797577395665286</v>
      </c>
      <c r="P123">
        <v>-1.3196045040170097</v>
      </c>
      <c r="Q123">
        <v>1.0674536938902881</v>
      </c>
      <c r="R123">
        <v>-1.8454036712681361</v>
      </c>
      <c r="S123" s="2">
        <v>0</v>
      </c>
      <c r="T123" s="2">
        <v>0</v>
      </c>
      <c r="U123" s="2">
        <v>0.10355661793055627</v>
      </c>
      <c r="V123" s="2">
        <v>0.1961647830586925</v>
      </c>
      <c r="W123" s="2">
        <v>0.33794431153866683</v>
      </c>
      <c r="X123" s="2">
        <v>0.54277325721275427</v>
      </c>
      <c r="Y123" s="2">
        <v>0.82387712029106475</v>
      </c>
      <c r="Z123" s="2">
        <v>1.1916362661094728</v>
      </c>
      <c r="AA123" s="2">
        <v>1.65085448491724</v>
      </c>
      <c r="AB123" s="2">
        <v>2.1978928590683857</v>
      </c>
      <c r="AC123" s="2">
        <v>2.8183965066363306</v>
      </c>
      <c r="AD123" s="2">
        <v>3.4865848025647312</v>
      </c>
      <c r="AE123" s="2">
        <v>4.1670391098169866</v>
      </c>
      <c r="AF123" s="2">
        <v>4.8194148730156456</v>
      </c>
      <c r="AG123" s="2">
        <v>5.4055001455115219</v>
      </c>
      <c r="AH123" s="2">
        <v>5.8968390925900955</v>
      </c>
      <c r="AI123" s="2">
        <v>6.2803687130800681</v>
      </c>
      <c r="AJ123" s="2">
        <v>6.5778675088433847</v>
      </c>
      <c r="AK123" s="2">
        <v>6.7647609072133523</v>
      </c>
      <c r="AL123" s="2">
        <v>6.9265616125169185</v>
      </c>
      <c r="AM123" s="2">
        <v>7.0066381398267561</v>
      </c>
      <c r="AN123" s="2">
        <v>7.0596015555646376</v>
      </c>
      <c r="AO123" s="2">
        <v>7.1132767312271437</v>
      </c>
      <c r="AP123" s="2">
        <v>7.1676711067787879</v>
      </c>
      <c r="AQ123" s="2">
        <v>0</v>
      </c>
      <c r="AR123" s="2">
        <v>88.535220505313191</v>
      </c>
    </row>
    <row r="124" spans="1:44" x14ac:dyDescent="0.25">
      <c r="A124" t="s">
        <v>250</v>
      </c>
      <c r="B124" t="s">
        <v>291</v>
      </c>
      <c r="C124" t="s">
        <v>44</v>
      </c>
      <c r="D124" t="s">
        <v>292</v>
      </c>
      <c r="E124" t="s">
        <v>148</v>
      </c>
      <c r="F124" t="s">
        <v>292</v>
      </c>
      <c r="G124" t="s">
        <v>31</v>
      </c>
      <c r="H124" t="s">
        <v>277</v>
      </c>
      <c r="I124" t="s">
        <v>135</v>
      </c>
      <c r="J124" t="s">
        <v>39</v>
      </c>
      <c r="K124" t="s">
        <v>31</v>
      </c>
      <c r="L124">
        <v>2.370000000000001</v>
      </c>
      <c r="M124">
        <v>1</v>
      </c>
      <c r="N124">
        <v>2.729832824165364</v>
      </c>
      <c r="O124">
        <v>5.3797577395665286</v>
      </c>
      <c r="P124">
        <v>-1.3196045040170097</v>
      </c>
      <c r="Q124">
        <v>1.0674536938902881</v>
      </c>
      <c r="R124">
        <v>-1.8454036712681361</v>
      </c>
      <c r="S124" s="2">
        <v>0</v>
      </c>
      <c r="T124" s="2">
        <v>0</v>
      </c>
      <c r="U124" s="2">
        <v>0.38742596460223649</v>
      </c>
      <c r="V124" s="2">
        <v>0.73380557453471151</v>
      </c>
      <c r="W124" s="2">
        <v>1.2640224435891116</v>
      </c>
      <c r="X124" s="2">
        <v>2.0299173035332627</v>
      </c>
      <c r="Y124" s="2">
        <v>3.080868652383645</v>
      </c>
      <c r="Z124" s="2">
        <v>4.4555966175443986</v>
      </c>
      <c r="AA124" s="2">
        <v>6.1719576002847916</v>
      </c>
      <c r="AB124" s="2">
        <v>8.2162418824606505</v>
      </c>
      <c r="AC124" s="2">
        <v>10.534693824687153</v>
      </c>
      <c r="AD124" s="2">
        <v>13.030880266814982</v>
      </c>
      <c r="AE124" s="2">
        <v>15.572393112066166</v>
      </c>
      <c r="AF124" s="2">
        <v>18.008474233883451</v>
      </c>
      <c r="AG124" s="2">
        <v>20.196395742236277</v>
      </c>
      <c r="AH124" s="2">
        <v>22.029934545135578</v>
      </c>
      <c r="AI124" s="2">
        <v>23.460408315762802</v>
      </c>
      <c r="AJ124" s="2">
        <v>24.569289314516666</v>
      </c>
      <c r="AK124" s="2">
        <v>25.264896346236913</v>
      </c>
      <c r="AL124" s="2">
        <v>25.866693287125894</v>
      </c>
      <c r="AM124" s="2">
        <v>26.163243673898052</v>
      </c>
      <c r="AN124" s="2">
        <v>26.358537668177433</v>
      </c>
      <c r="AO124" s="2">
        <v>26.556484824025027</v>
      </c>
      <c r="AP124" s="2">
        <v>26.757112709117823</v>
      </c>
      <c r="AQ124" s="2">
        <v>0</v>
      </c>
      <c r="AR124" s="2">
        <v>330.7092739026171</v>
      </c>
    </row>
    <row r="125" spans="1:44" x14ac:dyDescent="0.25">
      <c r="A125" t="s">
        <v>250</v>
      </c>
      <c r="B125" t="s">
        <v>291</v>
      </c>
      <c r="C125" t="s">
        <v>44</v>
      </c>
      <c r="D125" t="s">
        <v>292</v>
      </c>
      <c r="E125" t="s">
        <v>148</v>
      </c>
      <c r="F125" t="s">
        <v>292</v>
      </c>
      <c r="G125" t="s">
        <v>31</v>
      </c>
      <c r="H125" t="s">
        <v>277</v>
      </c>
      <c r="I125" t="s">
        <v>135</v>
      </c>
      <c r="J125" t="s">
        <v>40</v>
      </c>
      <c r="K125" t="s">
        <v>31</v>
      </c>
      <c r="L125">
        <v>2.370000000000001</v>
      </c>
      <c r="M125">
        <v>1</v>
      </c>
      <c r="N125">
        <v>2.729832824165364</v>
      </c>
      <c r="O125">
        <v>4.1429695267777937</v>
      </c>
      <c r="P125">
        <v>-1.3196045040170097</v>
      </c>
      <c r="Q125">
        <v>0.4672931329656026</v>
      </c>
      <c r="R125">
        <v>-1.7024036712681361</v>
      </c>
      <c r="S125" s="2">
        <v>0</v>
      </c>
      <c r="T125" s="2">
        <v>0</v>
      </c>
      <c r="U125" s="2">
        <v>6.1114659890517578E-2</v>
      </c>
      <c r="V125" s="2">
        <v>0.11575444655470626</v>
      </c>
      <c r="W125" s="2">
        <v>0.19939371335951026</v>
      </c>
      <c r="X125" s="2">
        <v>0.32021009675662843</v>
      </c>
      <c r="Y125" s="2">
        <v>0.48599282717433434</v>
      </c>
      <c r="Z125" s="2">
        <v>0.70284982621165892</v>
      </c>
      <c r="AA125" s="2">
        <v>0.97359785885121874</v>
      </c>
      <c r="AB125" s="2">
        <v>1.2960742802572325</v>
      </c>
      <c r="AC125" s="2">
        <v>1.6617993861291742</v>
      </c>
      <c r="AD125" s="2">
        <v>2.0555612900082409</v>
      </c>
      <c r="AE125" s="2">
        <v>2.4564732250262526</v>
      </c>
      <c r="AF125" s="2">
        <v>2.8407537917106325</v>
      </c>
      <c r="AG125" s="2">
        <v>3.1858883233814304</v>
      </c>
      <c r="AH125" s="2">
        <v>3.4751206169638458</v>
      </c>
      <c r="AI125" s="2">
        <v>3.7007712598264955</v>
      </c>
      <c r="AJ125" s="2">
        <v>3.8756921254620629</v>
      </c>
      <c r="AK125" s="2">
        <v>3.9854209279821844</v>
      </c>
      <c r="AL125" s="2">
        <v>4.0803516211363382</v>
      </c>
      <c r="AM125" s="2">
        <v>4.1271310775586052</v>
      </c>
      <c r="AN125" s="2">
        <v>4.1579378048550133</v>
      </c>
      <c r="AO125" s="2">
        <v>4.1891630561578364</v>
      </c>
      <c r="AP125" s="2">
        <v>4.220811180140867</v>
      </c>
      <c r="AQ125" s="2">
        <v>0</v>
      </c>
      <c r="AR125" s="2">
        <v>52.167863395394789</v>
      </c>
    </row>
    <row r="126" spans="1:44" x14ac:dyDescent="0.25">
      <c r="A126" t="s">
        <v>250</v>
      </c>
      <c r="B126" t="s">
        <v>281</v>
      </c>
      <c r="C126" t="s">
        <v>43</v>
      </c>
      <c r="D126" t="s">
        <v>282</v>
      </c>
      <c r="E126" t="s">
        <v>145</v>
      </c>
      <c r="F126" t="s">
        <v>282</v>
      </c>
      <c r="G126" t="s">
        <v>31</v>
      </c>
      <c r="H126" t="s">
        <v>272</v>
      </c>
      <c r="I126" t="s">
        <v>135</v>
      </c>
      <c r="J126" t="s">
        <v>39</v>
      </c>
      <c r="K126" t="s">
        <v>31</v>
      </c>
      <c r="L126">
        <v>2077.3599999999997</v>
      </c>
      <c r="M126">
        <v>1</v>
      </c>
      <c r="N126">
        <v>3.2065728737266936</v>
      </c>
      <c r="O126">
        <v>4.4372583223218758</v>
      </c>
      <c r="P126">
        <v>-1.16169772439717</v>
      </c>
      <c r="Q126">
        <v>0.74954200350345179</v>
      </c>
      <c r="R126">
        <v>-1.3695852012614622</v>
      </c>
      <c r="S126" s="2">
        <v>3.3875416141404438E-3</v>
      </c>
      <c r="T126" s="2">
        <v>5.1863821192896752E-3</v>
      </c>
      <c r="U126" s="2">
        <v>1.1272303425152586E-2</v>
      </c>
      <c r="V126" s="2">
        <v>2.1113126634122667E-2</v>
      </c>
      <c r="W126" s="2">
        <v>3.5962634169961046E-2</v>
      </c>
      <c r="X126" s="2">
        <v>5.7105499873682262E-2</v>
      </c>
      <c r="Y126" s="2">
        <v>8.5694614287479182E-2</v>
      </c>
      <c r="Z126" s="2">
        <v>0.12253072120107172</v>
      </c>
      <c r="AA126" s="2">
        <v>0.16780272871171503</v>
      </c>
      <c r="AB126" s="2">
        <v>0.22083331930869579</v>
      </c>
      <c r="AC126" s="2">
        <v>0.27990270633991798</v>
      </c>
      <c r="AD126" s="2">
        <v>0.3422404864945322</v>
      </c>
      <c r="AE126" s="2">
        <v>0.46212177873755117</v>
      </c>
      <c r="AF126" s="2">
        <v>0.55521198196570365</v>
      </c>
      <c r="AG126" s="2">
        <v>0.6156201415716297</v>
      </c>
      <c r="AH126" s="2">
        <v>0.6632205983138153</v>
      </c>
      <c r="AI126" s="2">
        <v>0.69657850934474808</v>
      </c>
      <c r="AJ126" s="2">
        <v>0.71815567233939659</v>
      </c>
      <c r="AK126" s="2">
        <v>0.72535933854133383</v>
      </c>
      <c r="AL126" s="2">
        <v>0.72751749608386396</v>
      </c>
      <c r="AM126" s="2">
        <v>0.71880725712525961</v>
      </c>
      <c r="AN126" s="2">
        <v>0.70534365980084646</v>
      </c>
      <c r="AO126" s="2">
        <v>0.42839867794016862</v>
      </c>
      <c r="AP126" s="2">
        <v>6.5037619128829174E-2</v>
      </c>
      <c r="AQ126" s="2">
        <v>5.1633836137357232E-2</v>
      </c>
      <c r="AR126" s="2">
        <v>8.4860386312102634</v>
      </c>
    </row>
    <row r="127" spans="1:44" x14ac:dyDescent="0.25">
      <c r="A127" t="s">
        <v>250</v>
      </c>
      <c r="B127" t="s">
        <v>281</v>
      </c>
      <c r="C127" t="s">
        <v>43</v>
      </c>
      <c r="D127" t="s">
        <v>282</v>
      </c>
      <c r="E127" t="s">
        <v>145</v>
      </c>
      <c r="F127" t="s">
        <v>282</v>
      </c>
      <c r="G127" t="s">
        <v>31</v>
      </c>
      <c r="H127" t="s">
        <v>272</v>
      </c>
      <c r="I127" t="s">
        <v>135</v>
      </c>
      <c r="J127" t="s">
        <v>40</v>
      </c>
      <c r="K127" t="s">
        <v>31</v>
      </c>
      <c r="L127">
        <v>2077.3599999999997</v>
      </c>
      <c r="M127">
        <v>1</v>
      </c>
      <c r="N127">
        <v>3.2065728737266936</v>
      </c>
      <c r="O127">
        <v>3.2645157400827758</v>
      </c>
      <c r="P127">
        <v>-1.16169772439717</v>
      </c>
      <c r="Q127">
        <v>0.4672931329656026</v>
      </c>
      <c r="R127">
        <v>-1.226585201261462</v>
      </c>
      <c r="S127" s="2">
        <v>3.3508153020053689E-4</v>
      </c>
      <c r="T127" s="2">
        <v>5.1301535292792356E-4</v>
      </c>
      <c r="U127" s="2">
        <v>1.1150093816761264E-3</v>
      </c>
      <c r="V127" s="2">
        <v>2.0884226928307879E-3</v>
      </c>
      <c r="W127" s="2">
        <v>3.5572742302002222E-3</v>
      </c>
      <c r="X127" s="2">
        <v>5.6486385881329895E-3</v>
      </c>
      <c r="Y127" s="2">
        <v>8.4765549050470953E-3</v>
      </c>
      <c r="Z127" s="2">
        <v>1.2120229426922776E-2</v>
      </c>
      <c r="AA127" s="2">
        <v>1.659834815721202E-2</v>
      </c>
      <c r="AB127" s="2">
        <v>2.1843913664215654E-2</v>
      </c>
      <c r="AC127" s="2">
        <v>2.7686811803624044E-2</v>
      </c>
      <c r="AD127" s="2">
        <v>3.3853005799978235E-2</v>
      </c>
      <c r="AE127" s="2">
        <v>4.57111647313782E-2</v>
      </c>
      <c r="AF127" s="2">
        <v>5.4919260541673703E-2</v>
      </c>
      <c r="AG127" s="2">
        <v>6.0894584497210621E-2</v>
      </c>
      <c r="AH127" s="2">
        <v>6.5603023743192879E-2</v>
      </c>
      <c r="AI127" s="2">
        <v>6.8902649591589676E-2</v>
      </c>
      <c r="AJ127" s="2">
        <v>7.1036972831621095E-2</v>
      </c>
      <c r="AK127" s="2">
        <v>7.1749529537617776E-2</v>
      </c>
      <c r="AL127" s="2">
        <v>7.1963005507550068E-2</v>
      </c>
      <c r="AM127" s="2">
        <v>7.1101424889181503E-2</v>
      </c>
      <c r="AN127" s="2">
        <v>6.9769661826954515E-2</v>
      </c>
      <c r="AO127" s="2">
        <v>4.2375415829836942E-2</v>
      </c>
      <c r="AP127" s="2">
        <v>6.4332508410580259E-3</v>
      </c>
      <c r="AQ127" s="2">
        <v>5.1074043639223335E-3</v>
      </c>
      <c r="AR127" s="2">
        <v>0.83940365426575581</v>
      </c>
    </row>
    <row r="128" spans="1:44" x14ac:dyDescent="0.25">
      <c r="A128" t="s">
        <v>250</v>
      </c>
      <c r="B128" t="s">
        <v>281</v>
      </c>
      <c r="C128" t="s">
        <v>43</v>
      </c>
      <c r="D128" t="s">
        <v>282</v>
      </c>
      <c r="E128" t="s">
        <v>145</v>
      </c>
      <c r="F128" t="s">
        <v>282</v>
      </c>
      <c r="G128" t="s">
        <v>31</v>
      </c>
      <c r="H128" t="s">
        <v>253</v>
      </c>
      <c r="I128" t="s">
        <v>135</v>
      </c>
      <c r="J128" t="s">
        <v>39</v>
      </c>
      <c r="K128" t="s">
        <v>31</v>
      </c>
      <c r="L128">
        <v>2077.3599999999997</v>
      </c>
      <c r="M128">
        <v>1</v>
      </c>
      <c r="N128">
        <v>3.2065728737266936</v>
      </c>
      <c r="O128">
        <v>4.4372583223218758</v>
      </c>
      <c r="P128">
        <v>-1.16169772439717</v>
      </c>
      <c r="Q128">
        <v>0.74954200350345179</v>
      </c>
      <c r="R128">
        <v>-1.3695852012614622</v>
      </c>
      <c r="S128" s="2">
        <v>1.1499133701577181E-3</v>
      </c>
      <c r="T128" s="2">
        <v>1.7614206840201121E-3</v>
      </c>
      <c r="U128" s="2">
        <v>3.830269630170816E-3</v>
      </c>
      <c r="V128" s="2">
        <v>7.1777334263499184E-3</v>
      </c>
      <c r="W128" s="2">
        <v>1.223219409425225E-2</v>
      </c>
      <c r="X128" s="2">
        <v>1.943340501181717E-2</v>
      </c>
      <c r="Y128" s="2">
        <v>2.9177131231097799E-2</v>
      </c>
      <c r="Z128" s="2">
        <v>4.1739971295152355E-2</v>
      </c>
      <c r="AA128" s="2">
        <v>5.7190549727914944E-2</v>
      </c>
      <c r="AB128" s="2">
        <v>7.5302249243799413E-2</v>
      </c>
      <c r="AC128" s="2">
        <v>9.5492341356554739E-2</v>
      </c>
      <c r="AD128" s="2">
        <v>0.11681831153787639</v>
      </c>
      <c r="AE128" s="2">
        <v>0.15769839107332154</v>
      </c>
      <c r="AF128" s="2">
        <v>0.18850451682629979</v>
      </c>
      <c r="AG128" s="2">
        <v>0.20911663772850506</v>
      </c>
      <c r="AH128" s="2">
        <v>0.22540305646446276</v>
      </c>
      <c r="AI128" s="2">
        <v>0.23687343435122074</v>
      </c>
      <c r="AJ128" s="2">
        <v>0.24436206046844255</v>
      </c>
      <c r="AK128" s="2">
        <v>0.24698348937619888</v>
      </c>
      <c r="AL128" s="2">
        <v>0.2479100768423414</v>
      </c>
      <c r="AM128" s="2">
        <v>0.24515470416583049</v>
      </c>
      <c r="AN128" s="2">
        <v>0.240795591408802</v>
      </c>
      <c r="AO128" s="2">
        <v>0.15657476331179179</v>
      </c>
      <c r="AP128" s="2">
        <v>2.1485298410615312E-2</v>
      </c>
      <c r="AQ128" s="2">
        <v>1.7064820016209695E-2</v>
      </c>
      <c r="AR128" s="2">
        <v>2.8992323310532058</v>
      </c>
    </row>
    <row r="129" spans="1:44" x14ac:dyDescent="0.25">
      <c r="A129" t="s">
        <v>250</v>
      </c>
      <c r="B129" t="s">
        <v>281</v>
      </c>
      <c r="C129" t="s">
        <v>43</v>
      </c>
      <c r="D129" t="s">
        <v>282</v>
      </c>
      <c r="E129" t="s">
        <v>145</v>
      </c>
      <c r="F129" t="s">
        <v>282</v>
      </c>
      <c r="G129" t="s">
        <v>31</v>
      </c>
      <c r="H129" t="s">
        <v>253</v>
      </c>
      <c r="I129" t="s">
        <v>135</v>
      </c>
      <c r="J129" t="s">
        <v>40</v>
      </c>
      <c r="K129" t="s">
        <v>31</v>
      </c>
      <c r="L129">
        <v>2077.3599999999997</v>
      </c>
      <c r="M129">
        <v>1</v>
      </c>
      <c r="N129">
        <v>3.2065728737266936</v>
      </c>
      <c r="O129">
        <v>3.2645157400827758</v>
      </c>
      <c r="P129">
        <v>-1.16169772439717</v>
      </c>
      <c r="Q129">
        <v>0.4672931329656026</v>
      </c>
      <c r="R129">
        <v>-1.226585201261462</v>
      </c>
      <c r="S129" s="2">
        <v>6.0487833243719734E-4</v>
      </c>
      <c r="T129" s="2">
        <v>9.2654388906212996E-4</v>
      </c>
      <c r="U129" s="2">
        <v>2.0148014335765073E-3</v>
      </c>
      <c r="V129" s="2">
        <v>3.7756369638643145E-3</v>
      </c>
      <c r="W129" s="2">
        <v>6.4343883268046633E-3</v>
      </c>
      <c r="X129" s="2">
        <v>1.0222374939002916E-2</v>
      </c>
      <c r="Y129" s="2">
        <v>1.5347777443397388E-2</v>
      </c>
      <c r="Z129" s="2">
        <v>2.1956092422445148E-2</v>
      </c>
      <c r="AA129" s="2">
        <v>3.0083417802023726E-2</v>
      </c>
      <c r="AB129" s="2">
        <v>3.9610548179914003E-2</v>
      </c>
      <c r="AC129" s="2">
        <v>5.0230956260952163E-2</v>
      </c>
      <c r="AD129" s="2">
        <v>6.1448859814081533E-2</v>
      </c>
      <c r="AE129" s="2">
        <v>8.2952631298979132E-2</v>
      </c>
      <c r="AF129" s="2">
        <v>9.915729371781537E-2</v>
      </c>
      <c r="AG129" s="2">
        <v>0.10999969771352638</v>
      </c>
      <c r="AH129" s="2">
        <v>0.11856669246464341</v>
      </c>
      <c r="AI129" s="2">
        <v>0.12460034963276125</v>
      </c>
      <c r="AJ129" s="2">
        <v>0.12853952261360013</v>
      </c>
      <c r="AK129" s="2">
        <v>0.12991844870270972</v>
      </c>
      <c r="AL129" s="2">
        <v>0.13040585296804166</v>
      </c>
      <c r="AM129" s="2">
        <v>0.12895646967268776</v>
      </c>
      <c r="AN129" s="2">
        <v>0.12666348576293887</v>
      </c>
      <c r="AO129" s="2">
        <v>8.2361579742999083E-2</v>
      </c>
      <c r="AP129" s="2">
        <v>1.1301713513206657E-2</v>
      </c>
      <c r="AQ129" s="2">
        <v>8.9764500027771695E-3</v>
      </c>
      <c r="AR129" s="2">
        <v>1.5250564636142483</v>
      </c>
    </row>
    <row r="130" spans="1:44" x14ac:dyDescent="0.25">
      <c r="A130" t="s">
        <v>250</v>
      </c>
      <c r="B130" t="s">
        <v>281</v>
      </c>
      <c r="C130" t="s">
        <v>43</v>
      </c>
      <c r="D130" t="s">
        <v>282</v>
      </c>
      <c r="E130" t="s">
        <v>145</v>
      </c>
      <c r="F130" t="s">
        <v>282</v>
      </c>
      <c r="G130" t="s">
        <v>31</v>
      </c>
      <c r="H130" t="s">
        <v>253</v>
      </c>
      <c r="I130" t="s">
        <v>256</v>
      </c>
      <c r="J130" t="s">
        <v>39</v>
      </c>
      <c r="K130" t="s">
        <v>31</v>
      </c>
      <c r="L130">
        <v>2077.3599999999997</v>
      </c>
      <c r="M130">
        <v>1</v>
      </c>
      <c r="N130">
        <v>2.2322051837740986</v>
      </c>
      <c r="O130">
        <v>3.088927468322328</v>
      </c>
      <c r="P130">
        <v>-0.43136821392107066</v>
      </c>
      <c r="Q130">
        <v>0.4672931329656026</v>
      </c>
      <c r="R130">
        <v>-0.63925569078536293</v>
      </c>
      <c r="S130" s="2">
        <v>6.0319960628375747E-4</v>
      </c>
      <c r="T130" s="2">
        <v>9.2397244059808743E-4</v>
      </c>
      <c r="U130" s="2">
        <v>2.0092097307841386E-3</v>
      </c>
      <c r="V130" s="2">
        <v>3.7651583929232887E-3</v>
      </c>
      <c r="W130" s="2">
        <v>6.4165308910422185E-3</v>
      </c>
      <c r="X130" s="2">
        <v>1.0194004658171026E-2</v>
      </c>
      <c r="Y130" s="2">
        <v>1.5305182570991248E-2</v>
      </c>
      <c r="Z130" s="2">
        <v>2.1895157413534531E-2</v>
      </c>
      <c r="AA130" s="2">
        <v>2.9999926928668045E-2</v>
      </c>
      <c r="AB130" s="2">
        <v>3.9500616546367502E-2</v>
      </c>
      <c r="AC130" s="2">
        <v>5.0091549680379516E-2</v>
      </c>
      <c r="AD130" s="2">
        <v>6.1278320050070952E-2</v>
      </c>
      <c r="AE130" s="2">
        <v>8.2722411857827818E-2</v>
      </c>
      <c r="AF130" s="2">
        <v>9.8882101281019569E-2</v>
      </c>
      <c r="AG130" s="2">
        <v>0.10969441422175695</v>
      </c>
      <c r="AH130" s="2">
        <v>0.11823763288870287</v>
      </c>
      <c r="AI130" s="2">
        <v>0.12425454477509092</v>
      </c>
      <c r="AJ130" s="2">
        <v>0.12818278532150279</v>
      </c>
      <c r="AK130" s="2">
        <v>0.12955788446035571</v>
      </c>
      <c r="AL130" s="2">
        <v>0.13004393602673375</v>
      </c>
      <c r="AM130" s="2">
        <v>0.12859857522237339</v>
      </c>
      <c r="AN130" s="2">
        <v>0.12631195505860787</v>
      </c>
      <c r="AO130" s="2">
        <v>8.21330006543807E-2</v>
      </c>
      <c r="AP130" s="2">
        <v>1.1270347730972591E-2</v>
      </c>
      <c r="AQ130" s="2">
        <v>8.9515375524933036E-3</v>
      </c>
      <c r="AR130" s="2">
        <v>1.5208239559616326</v>
      </c>
    </row>
    <row r="131" spans="1:44" x14ac:dyDescent="0.25">
      <c r="A131" t="s">
        <v>250</v>
      </c>
      <c r="B131" t="s">
        <v>281</v>
      </c>
      <c r="C131" t="s">
        <v>43</v>
      </c>
      <c r="D131" t="s">
        <v>282</v>
      </c>
      <c r="E131" t="s">
        <v>145</v>
      </c>
      <c r="F131" t="s">
        <v>282</v>
      </c>
      <c r="G131" t="s">
        <v>31</v>
      </c>
      <c r="H131" t="s">
        <v>273</v>
      </c>
      <c r="I131" t="s">
        <v>135</v>
      </c>
      <c r="J131" t="s">
        <v>39</v>
      </c>
      <c r="K131" t="s">
        <v>31</v>
      </c>
      <c r="L131">
        <v>2077.3599999999997</v>
      </c>
      <c r="M131">
        <v>1</v>
      </c>
      <c r="N131">
        <v>3.2065728737266936</v>
      </c>
      <c r="O131">
        <v>4.4372583223218758</v>
      </c>
      <c r="P131">
        <v>-1.16169772439717</v>
      </c>
      <c r="Q131">
        <v>0.74954200350345179</v>
      </c>
      <c r="R131">
        <v>-1.3695852012614622</v>
      </c>
      <c r="S131" s="2">
        <v>1.0188253203089633E-3</v>
      </c>
      <c r="T131" s="2">
        <v>1.5598383801023066E-3</v>
      </c>
      <c r="U131" s="2">
        <v>3.390219060280089E-3</v>
      </c>
      <c r="V131" s="2">
        <v>6.3499110729572077E-3</v>
      </c>
      <c r="W131" s="2">
        <v>1.0815997691193409E-2</v>
      </c>
      <c r="X131" s="2">
        <v>1.7174852984048299E-2</v>
      </c>
      <c r="Y131" s="2">
        <v>2.5773216330612542E-2</v>
      </c>
      <c r="Z131" s="2">
        <v>3.6851916668497214E-2</v>
      </c>
      <c r="AA131" s="2">
        <v>5.0467769344823561E-2</v>
      </c>
      <c r="AB131" s="2">
        <v>6.641706668352261E-2</v>
      </c>
      <c r="AC131" s="2">
        <v>8.4182571588710176E-2</v>
      </c>
      <c r="AD131" s="2">
        <v>0.10293106712549191</v>
      </c>
      <c r="AE131" s="2">
        <v>0.13898615068777537</v>
      </c>
      <c r="AF131" s="2">
        <v>0.16698363881475581</v>
      </c>
      <c r="AG131" s="2">
        <v>0.18515178833736998</v>
      </c>
      <c r="AH131" s="2">
        <v>0.19946793736555485</v>
      </c>
      <c r="AI131" s="2">
        <v>0.20950054751831598</v>
      </c>
      <c r="AJ131" s="2">
        <v>0.21599002056496963</v>
      </c>
      <c r="AK131" s="2">
        <v>0.21815657034105262</v>
      </c>
      <c r="AL131" s="2">
        <v>0.21880565035245819</v>
      </c>
      <c r="AM131" s="2">
        <v>0.21618598895555555</v>
      </c>
      <c r="AN131" s="2">
        <v>0.21213672390762259</v>
      </c>
      <c r="AO131" s="2">
        <v>0.12884370732168166</v>
      </c>
      <c r="AP131" s="2">
        <v>1.9560489785414956E-2</v>
      </c>
      <c r="AQ131" s="2">
        <v>1.5529214289747137E-2</v>
      </c>
      <c r="AR131" s="2">
        <v>2.5522316804928233</v>
      </c>
    </row>
    <row r="132" spans="1:44" x14ac:dyDescent="0.25">
      <c r="A132" t="s">
        <v>250</v>
      </c>
      <c r="B132" t="s">
        <v>281</v>
      </c>
      <c r="C132" t="s">
        <v>43</v>
      </c>
      <c r="D132" t="s">
        <v>282</v>
      </c>
      <c r="E132" t="s">
        <v>145</v>
      </c>
      <c r="F132" t="s">
        <v>282</v>
      </c>
      <c r="G132" t="s">
        <v>31</v>
      </c>
      <c r="H132" t="s">
        <v>252</v>
      </c>
      <c r="I132" t="s">
        <v>135</v>
      </c>
      <c r="J132" t="s">
        <v>39</v>
      </c>
      <c r="K132" t="s">
        <v>31</v>
      </c>
      <c r="L132">
        <v>2077.3599999999997</v>
      </c>
      <c r="M132">
        <v>1</v>
      </c>
      <c r="N132">
        <v>3.2065728737266936</v>
      </c>
      <c r="O132">
        <v>4.4372583223218758</v>
      </c>
      <c r="P132">
        <v>-1.16169772439717</v>
      </c>
      <c r="Q132">
        <v>0.74954200350345179</v>
      </c>
      <c r="R132">
        <v>-1.3695852012614622</v>
      </c>
      <c r="S132" s="2">
        <v>4.462885182484915E-3</v>
      </c>
      <c r="T132" s="2">
        <v>6.8389287640081703E-3</v>
      </c>
      <c r="U132" s="2">
        <v>1.4877458007870981E-2</v>
      </c>
      <c r="V132" s="2">
        <v>2.789080884084779E-2</v>
      </c>
      <c r="W132" s="2">
        <v>4.7550221642977279E-2</v>
      </c>
      <c r="X132" s="2">
        <v>7.5573838614292302E-2</v>
      </c>
      <c r="Y132" s="2">
        <v>0.11351142261490628</v>
      </c>
      <c r="Z132" s="2">
        <v>0.16245142374464358</v>
      </c>
      <c r="AA132" s="2">
        <v>0.22267427392942293</v>
      </c>
      <c r="AB132" s="2">
        <v>0.29331084449118583</v>
      </c>
      <c r="AC132" s="2">
        <v>0.37210294867149801</v>
      </c>
      <c r="AD132" s="2">
        <v>0.45538622806090656</v>
      </c>
      <c r="AE132" s="2">
        <v>0.61462544509550243</v>
      </c>
      <c r="AF132" s="2">
        <v>0.73172617329753298</v>
      </c>
      <c r="AG132" s="2">
        <v>0.81205533398698448</v>
      </c>
      <c r="AH132" s="2">
        <v>0.87566425508232437</v>
      </c>
      <c r="AI132" s="2">
        <v>0.92063982740704753</v>
      </c>
      <c r="AJ132" s="2">
        <v>0.95021592944135314</v>
      </c>
      <c r="AK132" s="2">
        <v>0.96093958959612102</v>
      </c>
      <c r="AL132" s="2">
        <v>0.96514183665687003</v>
      </c>
      <c r="AM132" s="2">
        <v>0.95507772977974703</v>
      </c>
      <c r="AN132" s="2">
        <v>0.93882087361186739</v>
      </c>
      <c r="AO132" s="2">
        <v>0.64286629591680466</v>
      </c>
      <c r="AP132" s="2">
        <v>8.1530752009198057E-2</v>
      </c>
      <c r="AQ132" s="2">
        <v>6.4778993918693226E-2</v>
      </c>
      <c r="AR132" s="2">
        <v>11.31071431836509</v>
      </c>
    </row>
    <row r="133" spans="1:44" x14ac:dyDescent="0.25">
      <c r="A133" t="s">
        <v>250</v>
      </c>
      <c r="B133" t="s">
        <v>281</v>
      </c>
      <c r="C133" t="s">
        <v>43</v>
      </c>
      <c r="D133" t="s">
        <v>282</v>
      </c>
      <c r="E133" t="s">
        <v>145</v>
      </c>
      <c r="F133" t="s">
        <v>282</v>
      </c>
      <c r="G133" t="s">
        <v>31</v>
      </c>
      <c r="H133" t="s">
        <v>274</v>
      </c>
      <c r="I133" t="s">
        <v>135</v>
      </c>
      <c r="J133" t="s">
        <v>39</v>
      </c>
      <c r="K133" t="s">
        <v>31</v>
      </c>
      <c r="L133">
        <v>2077.3599999999997</v>
      </c>
      <c r="M133">
        <v>1</v>
      </c>
      <c r="N133">
        <v>3.2065728737266936</v>
      </c>
      <c r="O133">
        <v>4.4372583223218758</v>
      </c>
      <c r="P133">
        <v>-1.16169772439717</v>
      </c>
      <c r="Q133">
        <v>0.74954200350345179</v>
      </c>
      <c r="R133">
        <v>-1.3695852012614622</v>
      </c>
      <c r="S133" s="2">
        <v>1.6038134956560791E-3</v>
      </c>
      <c r="T133" s="2">
        <v>2.4554649312128873E-3</v>
      </c>
      <c r="U133" s="2">
        <v>5.3368118888709971E-3</v>
      </c>
      <c r="V133" s="2">
        <v>9.9958971101507185E-3</v>
      </c>
      <c r="W133" s="2">
        <v>1.7026317191312517E-2</v>
      </c>
      <c r="X133" s="2">
        <v>2.703629410522751E-2</v>
      </c>
      <c r="Y133" s="2">
        <v>4.0571657725354635E-2</v>
      </c>
      <c r="Z133" s="2">
        <v>5.8011515924835513E-2</v>
      </c>
      <c r="AA133" s="2">
        <v>7.9445306233987725E-2</v>
      </c>
      <c r="AB133" s="2">
        <v>0.10455235629265719</v>
      </c>
      <c r="AC133" s="2">
        <v>0.13251844229005233</v>
      </c>
      <c r="AD133" s="2">
        <v>0.1620319315661333</v>
      </c>
      <c r="AE133" s="2">
        <v>0.2187890894925402</v>
      </c>
      <c r="AF133" s="2">
        <v>0.26286214932668855</v>
      </c>
      <c r="AG133" s="2">
        <v>0.29146207005365821</v>
      </c>
      <c r="AH133" s="2">
        <v>0.31399825222300526</v>
      </c>
      <c r="AI133" s="2">
        <v>0.32979137714728163</v>
      </c>
      <c r="AJ133" s="2">
        <v>0.34000696979545264</v>
      </c>
      <c r="AK133" s="2">
        <v>0.34341750710801017</v>
      </c>
      <c r="AL133" s="2">
        <v>0.34443927527700163</v>
      </c>
      <c r="AM133" s="2">
        <v>0.34031545913437916</v>
      </c>
      <c r="AN133" s="2">
        <v>0.33394119084529367</v>
      </c>
      <c r="AO133" s="2">
        <v>0.20282306742259801</v>
      </c>
      <c r="AP133" s="2">
        <v>3.0791713627589958E-2</v>
      </c>
      <c r="AQ133" s="2">
        <v>2.4445764115166503E-2</v>
      </c>
      <c r="AR133" s="2">
        <v>4.017669694324117</v>
      </c>
    </row>
    <row r="134" spans="1:44" x14ac:dyDescent="0.25">
      <c r="A134" t="s">
        <v>250</v>
      </c>
      <c r="B134" t="s">
        <v>281</v>
      </c>
      <c r="C134" t="s">
        <v>43</v>
      </c>
      <c r="D134" t="s">
        <v>282</v>
      </c>
      <c r="E134" t="s">
        <v>145</v>
      </c>
      <c r="F134" t="s">
        <v>282</v>
      </c>
      <c r="G134" t="s">
        <v>31</v>
      </c>
      <c r="H134" t="s">
        <v>274</v>
      </c>
      <c r="I134" t="s">
        <v>135</v>
      </c>
      <c r="J134" t="s">
        <v>39</v>
      </c>
      <c r="K134" t="s">
        <v>33</v>
      </c>
      <c r="L134">
        <v>2077.3599999999997</v>
      </c>
      <c r="M134">
        <v>1</v>
      </c>
      <c r="N134">
        <v>3.2065728737266936</v>
      </c>
      <c r="O134">
        <v>4.4372583223218758</v>
      </c>
      <c r="P134">
        <v>-1.16169772439717</v>
      </c>
      <c r="Q134">
        <v>0.74954200350345179</v>
      </c>
      <c r="R134">
        <v>-1.3695852012614622</v>
      </c>
      <c r="S134" s="2">
        <v>5.1602420538873637E-6</v>
      </c>
      <c r="T134" s="2">
        <v>7.9004157492184507E-6</v>
      </c>
      <c r="U134" s="2">
        <v>1.7171099518259497E-5</v>
      </c>
      <c r="V134" s="2">
        <v>3.2161625259943545E-5</v>
      </c>
      <c r="W134" s="2">
        <v>5.4781879708210719E-5</v>
      </c>
      <c r="X134" s="2">
        <v>8.698880649211055E-5</v>
      </c>
      <c r="Y134" s="2">
        <v>1.3053860374497939E-4</v>
      </c>
      <c r="Z134" s="2">
        <v>1.8665104446114844E-4</v>
      </c>
      <c r="AA134" s="2">
        <v>2.5561389234031874E-4</v>
      </c>
      <c r="AB134" s="2">
        <v>3.3639538963580227E-4</v>
      </c>
      <c r="AC134" s="2">
        <v>4.2637578538459525E-4</v>
      </c>
      <c r="AD134" s="2">
        <v>5.2133492429437599E-4</v>
      </c>
      <c r="AE134" s="2">
        <v>7.0395009369171374E-4</v>
      </c>
      <c r="AF134" s="2">
        <v>8.4575439788023179E-4</v>
      </c>
      <c r="AG134" s="2">
        <v>9.3777414585771355E-4</v>
      </c>
      <c r="AH134" s="2">
        <v>1.0102839203915402E-3</v>
      </c>
      <c r="AI134" s="2">
        <v>1.0610980254089106E-3</v>
      </c>
      <c r="AJ134" s="2">
        <v>1.0939665172449372E-3</v>
      </c>
      <c r="AK134" s="2">
        <v>1.104939861785481E-3</v>
      </c>
      <c r="AL134" s="2">
        <v>1.1082273831146349E-3</v>
      </c>
      <c r="AM134" s="2">
        <v>1.0949590763325197E-3</v>
      </c>
      <c r="AN134" s="2">
        <v>1.0744499788737504E-3</v>
      </c>
      <c r="AO134" s="2">
        <v>6.5257969511247694E-4</v>
      </c>
      <c r="AP134" s="2">
        <v>9.9071803549918201E-5</v>
      </c>
      <c r="AQ134" s="2">
        <v>7.8653821262982879E-5</v>
      </c>
      <c r="AR134" s="2">
        <v>1.2926782429149661E-2</v>
      </c>
    </row>
    <row r="135" spans="1:44" x14ac:dyDescent="0.25">
      <c r="A135" t="s">
        <v>250</v>
      </c>
      <c r="B135" t="s">
        <v>281</v>
      </c>
      <c r="C135" t="s">
        <v>43</v>
      </c>
      <c r="D135" t="s">
        <v>282</v>
      </c>
      <c r="E135" t="s">
        <v>145</v>
      </c>
      <c r="F135" t="s">
        <v>282</v>
      </c>
      <c r="G135" t="s">
        <v>31</v>
      </c>
      <c r="H135" t="s">
        <v>278</v>
      </c>
      <c r="I135" t="s">
        <v>135</v>
      </c>
      <c r="J135" t="s">
        <v>39</v>
      </c>
      <c r="K135" t="s">
        <v>31</v>
      </c>
      <c r="L135">
        <v>2077.3599999999997</v>
      </c>
      <c r="M135">
        <v>1</v>
      </c>
      <c r="N135">
        <v>3.2065728737266936</v>
      </c>
      <c r="O135">
        <v>4.4372583223218758</v>
      </c>
      <c r="P135">
        <v>-1.16169772439717</v>
      </c>
      <c r="Q135">
        <v>0.74954200350345179</v>
      </c>
      <c r="R135">
        <v>-1.3695852012614622</v>
      </c>
      <c r="S135" s="2">
        <v>0.24670889287119313</v>
      </c>
      <c r="T135" s="2">
        <v>0.37604575868316992</v>
      </c>
      <c r="U135" s="2">
        <v>0.81370104175964608</v>
      </c>
      <c r="V135" s="2">
        <v>1.5173325419466388</v>
      </c>
      <c r="W135" s="2">
        <v>2.5730944784045531</v>
      </c>
      <c r="X135" s="2">
        <v>4.0677868987625896</v>
      </c>
      <c r="Y135" s="2">
        <v>6.0772877806422434</v>
      </c>
      <c r="Z135" s="2">
        <v>8.6512185137321076</v>
      </c>
      <c r="AA135" s="2">
        <v>11.795254850731702</v>
      </c>
      <c r="AB135" s="2">
        <v>15.454285403833603</v>
      </c>
      <c r="AC135" s="2">
        <v>19.501474243605628</v>
      </c>
      <c r="AD135" s="2">
        <v>23.739291254750487</v>
      </c>
      <c r="AE135" s="2">
        <v>32.131246001527501</v>
      </c>
      <c r="AF135" s="2">
        <v>40.423892610534267</v>
      </c>
      <c r="AG135" s="2">
        <v>44.628817455225892</v>
      </c>
      <c r="AH135" s="2">
        <v>47.859640919248477</v>
      </c>
      <c r="AI135" s="2">
        <v>50.018387048969466</v>
      </c>
      <c r="AJ135" s="2">
        <v>51.287689661008251</v>
      </c>
      <c r="AK135" s="2">
        <v>51.488915887042673</v>
      </c>
      <c r="AL135" s="2">
        <v>51.291761022331507</v>
      </c>
      <c r="AM135" s="2">
        <v>50.291520873394276</v>
      </c>
      <c r="AN135" s="2">
        <v>48.929869574970532</v>
      </c>
      <c r="AO135" s="2">
        <v>11.91191184175686</v>
      </c>
      <c r="AP135" s="2">
        <v>5.7989937707555743</v>
      </c>
      <c r="AQ135" s="2">
        <v>4.5861147842831098</v>
      </c>
      <c r="AR135" s="2">
        <v>585.46224311077196</v>
      </c>
    </row>
    <row r="136" spans="1:44" x14ac:dyDescent="0.25">
      <c r="A136" t="s">
        <v>250</v>
      </c>
      <c r="B136" t="s">
        <v>281</v>
      </c>
      <c r="C136" t="s">
        <v>43</v>
      </c>
      <c r="D136" t="s">
        <v>282</v>
      </c>
      <c r="E136" t="s">
        <v>145</v>
      </c>
      <c r="F136" t="s">
        <v>282</v>
      </c>
      <c r="G136" t="s">
        <v>31</v>
      </c>
      <c r="H136" t="s">
        <v>276</v>
      </c>
      <c r="I136" t="s">
        <v>135</v>
      </c>
      <c r="J136" t="s">
        <v>39</v>
      </c>
      <c r="K136" t="s">
        <v>31</v>
      </c>
      <c r="L136">
        <v>2077.3599999999997</v>
      </c>
      <c r="M136">
        <v>1</v>
      </c>
      <c r="N136">
        <v>3.2065728737266936</v>
      </c>
      <c r="O136">
        <v>4.4372583223218758</v>
      </c>
      <c r="P136">
        <v>-1.16169772439717</v>
      </c>
      <c r="Q136">
        <v>0.74954200350345179</v>
      </c>
      <c r="R136">
        <v>-1.3695852012614622</v>
      </c>
      <c r="S136" s="2">
        <v>3.174177643496371E-2</v>
      </c>
      <c r="T136" s="2">
        <v>4.8719237997966701E-2</v>
      </c>
      <c r="U136" s="2">
        <v>0.10615440792998355</v>
      </c>
      <c r="V136" s="2">
        <v>0.1993275371321015</v>
      </c>
      <c r="W136" s="2">
        <v>0.34037341306981211</v>
      </c>
      <c r="X136" s="2">
        <v>0.54184049339719986</v>
      </c>
      <c r="Y136" s="2">
        <v>0.81514793960619492</v>
      </c>
      <c r="Z136" s="2">
        <v>1.1684692364407994</v>
      </c>
      <c r="AA136" s="2">
        <v>1.6042080747695646</v>
      </c>
      <c r="AB136" s="2">
        <v>2.1164872947643594</v>
      </c>
      <c r="AC136" s="2">
        <v>2.6893513809711429</v>
      </c>
      <c r="AD136" s="2">
        <v>3.2965618050911418</v>
      </c>
      <c r="AE136" s="2">
        <v>4.4459065413478038</v>
      </c>
      <c r="AF136" s="2">
        <v>5.2090819067485787</v>
      </c>
      <c r="AG136" s="2">
        <v>5.7899992163880034</v>
      </c>
      <c r="AH136" s="2">
        <v>6.2539342384306877</v>
      </c>
      <c r="AI136" s="2">
        <v>6.5869996113140852</v>
      </c>
      <c r="AJ136" s="2">
        <v>6.8120951039463007</v>
      </c>
      <c r="AK136" s="2">
        <v>6.9041946527520057</v>
      </c>
      <c r="AL136" s="2">
        <v>6.9515709528702736</v>
      </c>
      <c r="AM136" s="2">
        <v>6.8981957797201501</v>
      </c>
      <c r="AN136" s="2">
        <v>6.8017362478235803</v>
      </c>
      <c r="AO136" s="2">
        <v>5.6097127689118551</v>
      </c>
      <c r="AP136" s="2">
        <v>0.52601151196328666</v>
      </c>
      <c r="AQ136" s="2">
        <v>0.41852116155374203</v>
      </c>
      <c r="AR136" s="2">
        <v>82.166342291375599</v>
      </c>
    </row>
    <row r="137" spans="1:44" x14ac:dyDescent="0.25">
      <c r="A137" t="s">
        <v>250</v>
      </c>
      <c r="B137" t="s">
        <v>281</v>
      </c>
      <c r="C137" t="s">
        <v>43</v>
      </c>
      <c r="D137" t="s">
        <v>282</v>
      </c>
      <c r="E137" t="s">
        <v>145</v>
      </c>
      <c r="F137" t="s">
        <v>282</v>
      </c>
      <c r="G137" t="s">
        <v>31</v>
      </c>
      <c r="H137" t="s">
        <v>275</v>
      </c>
      <c r="I137" t="s">
        <v>135</v>
      </c>
      <c r="J137" t="s">
        <v>39</v>
      </c>
      <c r="K137" t="s">
        <v>31</v>
      </c>
      <c r="L137">
        <v>2077.3599999999997</v>
      </c>
      <c r="M137">
        <v>1</v>
      </c>
      <c r="N137">
        <v>3.2065728737266936</v>
      </c>
      <c r="O137">
        <v>4.4372583223218758</v>
      </c>
      <c r="P137">
        <v>-1.16169772439717</v>
      </c>
      <c r="Q137">
        <v>0.74954200350345179</v>
      </c>
      <c r="R137">
        <v>-1.3695852012614622</v>
      </c>
      <c r="S137" s="2">
        <v>2.4501256676265387E-3</v>
      </c>
      <c r="T137" s="2">
        <v>3.7511828340492034E-3</v>
      </c>
      <c r="U137" s="2">
        <v>8.1529802733504905E-3</v>
      </c>
      <c r="V137" s="2">
        <v>1.5270606056669635E-2</v>
      </c>
      <c r="W137" s="2">
        <v>2.6010890224190692E-2</v>
      </c>
      <c r="X137" s="2">
        <v>4.1303005819651108E-2</v>
      </c>
      <c r="Y137" s="2">
        <v>6.1980810262720495E-2</v>
      </c>
      <c r="Z137" s="2">
        <v>8.8623461874051124E-2</v>
      </c>
      <c r="AA137" s="2">
        <v>0.12136759324170492</v>
      </c>
      <c r="AB137" s="2">
        <v>0.1597233172418738</v>
      </c>
      <c r="AC137" s="2">
        <v>0.20244675441886237</v>
      </c>
      <c r="AD137" s="2">
        <v>0.24753414008583829</v>
      </c>
      <c r="AE137" s="2">
        <v>0.33424133505188136</v>
      </c>
      <c r="AF137" s="2">
        <v>0.40157119319496437</v>
      </c>
      <c r="AG137" s="2">
        <v>0.44526293170136028</v>
      </c>
      <c r="AH137" s="2">
        <v>0.47969117322257132</v>
      </c>
      <c r="AI137" s="2">
        <v>0.50381813115989127</v>
      </c>
      <c r="AJ137" s="2">
        <v>0.51942436332160791</v>
      </c>
      <c r="AK137" s="2">
        <v>0.52463459819774994</v>
      </c>
      <c r="AL137" s="2">
        <v>0.52619554055419582</v>
      </c>
      <c r="AM137" s="2">
        <v>0.51989563859740484</v>
      </c>
      <c r="AN137" s="2">
        <v>0.51015774925445556</v>
      </c>
      <c r="AO137" s="2">
        <v>0.3098502443238072</v>
      </c>
      <c r="AP137" s="2">
        <v>4.7040112901844996E-2</v>
      </c>
      <c r="AQ137" s="2">
        <v>3.7345485797157178E-2</v>
      </c>
      <c r="AR137" s="2">
        <v>6.1377433652794817</v>
      </c>
    </row>
    <row r="138" spans="1:44" x14ac:dyDescent="0.25">
      <c r="A138" t="s">
        <v>250</v>
      </c>
      <c r="B138" t="s">
        <v>281</v>
      </c>
      <c r="C138" t="s">
        <v>43</v>
      </c>
      <c r="D138" t="s">
        <v>282</v>
      </c>
      <c r="E138" t="s">
        <v>145</v>
      </c>
      <c r="F138" t="s">
        <v>282</v>
      </c>
      <c r="G138" t="s">
        <v>31</v>
      </c>
      <c r="H138" t="s">
        <v>277</v>
      </c>
      <c r="I138" t="s">
        <v>135</v>
      </c>
      <c r="J138" t="s">
        <v>39</v>
      </c>
      <c r="K138" t="s">
        <v>31</v>
      </c>
      <c r="L138">
        <v>2077.3599999999997</v>
      </c>
      <c r="M138">
        <v>1</v>
      </c>
      <c r="N138">
        <v>3.2065728737266936</v>
      </c>
      <c r="O138">
        <v>4.4372583223218758</v>
      </c>
      <c r="P138">
        <v>-1.16169772439717</v>
      </c>
      <c r="Q138">
        <v>0.74954200350345179</v>
      </c>
      <c r="R138">
        <v>-1.3695852012614622</v>
      </c>
      <c r="S138" s="2">
        <v>1.8358587787036973E-2</v>
      </c>
      <c r="T138" s="2">
        <v>2.8103912429341259E-2</v>
      </c>
      <c r="U138" s="2">
        <v>6.1074874521974458E-2</v>
      </c>
      <c r="V138" s="2">
        <v>0.11438000366440181</v>
      </c>
      <c r="W138" s="2">
        <v>0.19480347035165452</v>
      </c>
      <c r="X138" s="2">
        <v>0.30929348523322314</v>
      </c>
      <c r="Y138" s="2">
        <v>0.46408123043750349</v>
      </c>
      <c r="Z138" s="2">
        <v>0.66348805108808928</v>
      </c>
      <c r="AA138" s="2">
        <v>0.90852059300199339</v>
      </c>
      <c r="AB138" s="2">
        <v>1.1954956435955308</v>
      </c>
      <c r="AC138" s="2">
        <v>1.5150889677618857</v>
      </c>
      <c r="AD138" s="2">
        <v>1.8522946121751491</v>
      </c>
      <c r="AE138" s="2">
        <v>2.5012751678753591</v>
      </c>
      <c r="AF138" s="2">
        <v>3.0088171242077535</v>
      </c>
      <c r="AG138" s="2">
        <v>3.3357898974503573</v>
      </c>
      <c r="AH138" s="2">
        <v>3.5932680891494324</v>
      </c>
      <c r="AI138" s="2">
        <v>3.7734882866981909</v>
      </c>
      <c r="AJ138" s="2">
        <v>3.8897975306570043</v>
      </c>
      <c r="AK138" s="2">
        <v>3.9281650130627006</v>
      </c>
      <c r="AL138" s="2">
        <v>3.9391208985978716</v>
      </c>
      <c r="AM138" s="2">
        <v>3.8911485529775081</v>
      </c>
      <c r="AN138" s="2">
        <v>3.8173789498469617</v>
      </c>
      <c r="AO138" s="2">
        <v>2.2794190181581442</v>
      </c>
      <c r="AP138" s="2">
        <v>0.35472137473601656</v>
      </c>
      <c r="AQ138" s="2">
        <v>0.28158620657019845</v>
      </c>
      <c r="AR138" s="2">
        <v>45.918959542035275</v>
      </c>
    </row>
    <row r="139" spans="1:44" x14ac:dyDescent="0.25">
      <c r="A139" t="s">
        <v>250</v>
      </c>
      <c r="B139" t="s">
        <v>281</v>
      </c>
      <c r="C139" t="s">
        <v>43</v>
      </c>
      <c r="D139" t="s">
        <v>282</v>
      </c>
      <c r="E139" t="s">
        <v>145</v>
      </c>
      <c r="F139" t="s">
        <v>282</v>
      </c>
      <c r="G139" t="s">
        <v>31</v>
      </c>
      <c r="H139" t="s">
        <v>277</v>
      </c>
      <c r="I139" t="s">
        <v>135</v>
      </c>
      <c r="J139" t="s">
        <v>40</v>
      </c>
      <c r="K139" t="s">
        <v>31</v>
      </c>
      <c r="L139">
        <v>2077.3599999999997</v>
      </c>
      <c r="M139">
        <v>1</v>
      </c>
      <c r="N139">
        <v>3.2065728737266936</v>
      </c>
      <c r="O139">
        <v>3.2645157400827758</v>
      </c>
      <c r="P139">
        <v>-1.16169772439717</v>
      </c>
      <c r="Q139">
        <v>0.4672931329656026</v>
      </c>
      <c r="R139">
        <v>-1.226585201261462</v>
      </c>
      <c r="S139" s="2">
        <v>2.8959825907045123E-3</v>
      </c>
      <c r="T139" s="2">
        <v>4.4332626272879762E-3</v>
      </c>
      <c r="U139" s="2">
        <v>9.6342799019644657E-3</v>
      </c>
      <c r="V139" s="2">
        <v>1.8042918288666887E-2</v>
      </c>
      <c r="W139" s="2">
        <v>3.0729349408104231E-2</v>
      </c>
      <c r="X139" s="2">
        <v>4.8789621459129795E-2</v>
      </c>
      <c r="Y139" s="2">
        <v>7.3206674696880497E-2</v>
      </c>
      <c r="Z139" s="2">
        <v>0.10466218139329385</v>
      </c>
      <c r="AA139" s="2">
        <v>0.14331493528538772</v>
      </c>
      <c r="AB139" s="2">
        <v>0.18858392656761774</v>
      </c>
      <c r="AC139" s="2">
        <v>0.23899830013640991</v>
      </c>
      <c r="AD139" s="2">
        <v>0.2921909360317288</v>
      </c>
      <c r="AE139" s="2">
        <v>0.39456462690683086</v>
      </c>
      <c r="AF139" s="2">
        <v>0.47462703076060597</v>
      </c>
      <c r="AG139" s="2">
        <v>0.52620547840207155</v>
      </c>
      <c r="AH139" s="2">
        <v>0.56682147617359513</v>
      </c>
      <c r="AI139" s="2">
        <v>0.59525038152562104</v>
      </c>
      <c r="AJ139" s="2">
        <v>0.61359762857697375</v>
      </c>
      <c r="AK139" s="2">
        <v>0.61964992205319236</v>
      </c>
      <c r="AL139" s="2">
        <v>0.6213781624899648</v>
      </c>
      <c r="AM139" s="2">
        <v>0.61381074611985031</v>
      </c>
      <c r="AN139" s="2">
        <v>0.60217393130231212</v>
      </c>
      <c r="AO139" s="2">
        <v>0.35956784204108821</v>
      </c>
      <c r="AP139" s="2">
        <v>5.5955661606587895E-2</v>
      </c>
      <c r="AQ139" s="2">
        <v>4.4418925980004832E-2</v>
      </c>
      <c r="AR139" s="2">
        <v>7.2435041823258759</v>
      </c>
    </row>
    <row r="140" spans="1:44" x14ac:dyDescent="0.25">
      <c r="A140" t="s">
        <v>250</v>
      </c>
      <c r="B140" t="s">
        <v>281</v>
      </c>
      <c r="C140" t="s">
        <v>43</v>
      </c>
      <c r="D140" t="s">
        <v>282</v>
      </c>
      <c r="E140" t="s">
        <v>148</v>
      </c>
      <c r="F140" t="s">
        <v>282</v>
      </c>
      <c r="G140" t="s">
        <v>31</v>
      </c>
      <c r="H140" t="s">
        <v>272</v>
      </c>
      <c r="I140" t="s">
        <v>135</v>
      </c>
      <c r="J140" t="s">
        <v>39</v>
      </c>
      <c r="K140" t="s">
        <v>31</v>
      </c>
      <c r="L140">
        <v>2077.3599999999997</v>
      </c>
      <c r="M140">
        <v>1</v>
      </c>
      <c r="N140">
        <v>3.2065728737266936</v>
      </c>
      <c r="O140">
        <v>4.4372583223218758</v>
      </c>
      <c r="P140">
        <v>-1.16169772439717</v>
      </c>
      <c r="Q140">
        <v>0.74954200350345179</v>
      </c>
      <c r="R140">
        <v>-1.3695852012614622</v>
      </c>
      <c r="S140" s="2">
        <v>4.6103764515174081E-4</v>
      </c>
      <c r="T140" s="2">
        <v>9.9672949234953854E-4</v>
      </c>
      <c r="U140" s="2">
        <v>2.1908203520782728E-3</v>
      </c>
      <c r="V140" s="2">
        <v>4.1500177166290597E-3</v>
      </c>
      <c r="W140" s="2">
        <v>7.1494733063267269E-3</v>
      </c>
      <c r="X140" s="2">
        <v>1.148278808470655E-2</v>
      </c>
      <c r="Y140" s="2">
        <v>1.7429757738473921E-2</v>
      </c>
      <c r="Z140" s="2">
        <v>2.5209986925392475E-2</v>
      </c>
      <c r="AA140" s="2">
        <v>3.492510354385725E-2</v>
      </c>
      <c r="AB140" s="2">
        <v>4.649812347641101E-2</v>
      </c>
      <c r="AC140" s="2">
        <v>5.9625358092572543E-2</v>
      </c>
      <c r="AD140" s="2">
        <v>7.3761398328282116E-2</v>
      </c>
      <c r="AE140" s="2">
        <v>8.8156935521157276E-2</v>
      </c>
      <c r="AF140" s="2">
        <v>0.10195844939617175</v>
      </c>
      <c r="AG140" s="2">
        <v>0.11435753666549825</v>
      </c>
      <c r="AH140" s="2">
        <v>0.1247521921355176</v>
      </c>
      <c r="AI140" s="2">
        <v>0.13286605791237679</v>
      </c>
      <c r="AJ140" s="2">
        <v>0.13915987504837257</v>
      </c>
      <c r="AK140" s="2">
        <v>0.14311374945061259</v>
      </c>
      <c r="AL140" s="2">
        <v>0.14653676852214451</v>
      </c>
      <c r="AM140" s="2">
        <v>0.14823084939558206</v>
      </c>
      <c r="AN140" s="2">
        <v>0.14935133142206294</v>
      </c>
      <c r="AO140" s="2">
        <v>0.15048687128028213</v>
      </c>
      <c r="AP140" s="2">
        <v>0.15163762636845354</v>
      </c>
      <c r="AQ140" s="2">
        <v>0.15280375590265252</v>
      </c>
      <c r="AR140" s="2">
        <v>2.0272925937231152</v>
      </c>
    </row>
    <row r="141" spans="1:44" x14ac:dyDescent="0.25">
      <c r="A141" t="s">
        <v>250</v>
      </c>
      <c r="B141" t="s">
        <v>281</v>
      </c>
      <c r="C141" t="s">
        <v>43</v>
      </c>
      <c r="D141" t="s">
        <v>282</v>
      </c>
      <c r="E141" t="s">
        <v>148</v>
      </c>
      <c r="F141" t="s">
        <v>282</v>
      </c>
      <c r="G141" t="s">
        <v>31</v>
      </c>
      <c r="H141" t="s">
        <v>272</v>
      </c>
      <c r="I141" t="s">
        <v>135</v>
      </c>
      <c r="J141" t="s">
        <v>40</v>
      </c>
      <c r="K141" t="s">
        <v>31</v>
      </c>
      <c r="L141">
        <v>2077.3599999999997</v>
      </c>
      <c r="M141">
        <v>1</v>
      </c>
      <c r="N141">
        <v>3.2065728737266936</v>
      </c>
      <c r="O141">
        <v>3.2645157400827758</v>
      </c>
      <c r="P141">
        <v>-1.16169772439717</v>
      </c>
      <c r="Q141">
        <v>0.4672931329656026</v>
      </c>
      <c r="R141">
        <v>-1.226585201261462</v>
      </c>
      <c r="S141" s="2">
        <v>4.5603926745176426E-5</v>
      </c>
      <c r="T141" s="2">
        <v>9.8592336725355099E-5</v>
      </c>
      <c r="U141" s="2">
        <v>2.1670683923247699E-4</v>
      </c>
      <c r="V141" s="2">
        <v>4.1050249568676538E-4</v>
      </c>
      <c r="W141" s="2">
        <v>7.0719617011102487E-4</v>
      </c>
      <c r="X141" s="2">
        <v>1.1358296489498009E-3</v>
      </c>
      <c r="Y141" s="2">
        <v>1.7240791580694405E-3</v>
      </c>
      <c r="Z141" s="2">
        <v>2.4936670770432379E-3</v>
      </c>
      <c r="AA141" s="2">
        <v>3.4546460149855801E-3</v>
      </c>
      <c r="AB141" s="2">
        <v>4.5994010231170728E-3</v>
      </c>
      <c r="AC141" s="2">
        <v>5.8978924849263049E-3</v>
      </c>
      <c r="AD141" s="2">
        <v>7.2961708037478645E-3</v>
      </c>
      <c r="AE141" s="2">
        <v>8.7201174825168384E-3</v>
      </c>
      <c r="AF141" s="2">
        <v>1.0085305844785033E-2</v>
      </c>
      <c r="AG141" s="2">
        <v>1.1311771998869487E-2</v>
      </c>
      <c r="AH141" s="2">
        <v>1.2339968094310177E-2</v>
      </c>
      <c r="AI141" s="2">
        <v>1.3142557957413951E-2</v>
      </c>
      <c r="AJ141" s="2">
        <v>1.3765116177194491E-2</v>
      </c>
      <c r="AK141" s="2">
        <v>1.4156216991836284E-2</v>
      </c>
      <c r="AL141" s="2">
        <v>1.4494807804597637E-2</v>
      </c>
      <c r="AM141" s="2">
        <v>1.4662379240173577E-2</v>
      </c>
      <c r="AN141" s="2">
        <v>1.4773212662980297E-2</v>
      </c>
      <c r="AO141" s="2">
        <v>1.4885535543888309E-2</v>
      </c>
      <c r="AP141" s="2">
        <v>1.4999363452074249E-2</v>
      </c>
      <c r="AQ141" s="2">
        <v>1.5114712136530255E-2</v>
      </c>
      <c r="AR141" s="2">
        <v>0.20053135336651071</v>
      </c>
    </row>
    <row r="142" spans="1:44" x14ac:dyDescent="0.25">
      <c r="A142" t="s">
        <v>250</v>
      </c>
      <c r="B142" t="s">
        <v>281</v>
      </c>
      <c r="C142" t="s">
        <v>43</v>
      </c>
      <c r="D142" t="s">
        <v>282</v>
      </c>
      <c r="E142" t="s">
        <v>148</v>
      </c>
      <c r="F142" t="s">
        <v>282</v>
      </c>
      <c r="G142" t="s">
        <v>31</v>
      </c>
      <c r="H142" t="s">
        <v>253</v>
      </c>
      <c r="I142" t="s">
        <v>135</v>
      </c>
      <c r="J142" t="s">
        <v>39</v>
      </c>
      <c r="K142" t="s">
        <v>31</v>
      </c>
      <c r="L142">
        <v>2077.3599999999997</v>
      </c>
      <c r="M142">
        <v>1</v>
      </c>
      <c r="N142">
        <v>3.2065728737266936</v>
      </c>
      <c r="O142">
        <v>4.4372583223218758</v>
      </c>
      <c r="P142">
        <v>-1.16169772439717</v>
      </c>
      <c r="Q142">
        <v>0.74954200350345179</v>
      </c>
      <c r="R142">
        <v>-1.3695852012614622</v>
      </c>
      <c r="S142" s="2">
        <v>1.5650091207530096E-4</v>
      </c>
      <c r="T142" s="2">
        <v>3.277314321855598E-4</v>
      </c>
      <c r="U142" s="2">
        <v>7.207123253974724E-4</v>
      </c>
      <c r="V142" s="2">
        <v>1.36589434714258E-3</v>
      </c>
      <c r="W142" s="2">
        <v>2.3542401735856342E-3</v>
      </c>
      <c r="X142" s="2">
        <v>3.7829554044215507E-3</v>
      </c>
      <c r="Y142" s="2">
        <v>5.7448669982324181E-3</v>
      </c>
      <c r="Z142" s="2">
        <v>8.3131116828553814E-3</v>
      </c>
      <c r="AA142" s="2">
        <v>1.1522021557990255E-2</v>
      </c>
      <c r="AB142" s="2">
        <v>1.5347018730726622E-2</v>
      </c>
      <c r="AC142" s="2">
        <v>1.9688600723363509E-2</v>
      </c>
      <c r="AD142" s="2">
        <v>2.4367215090211013E-2</v>
      </c>
      <c r="AE142" s="2">
        <v>2.9135589187043322E-2</v>
      </c>
      <c r="AF142" s="2">
        <v>3.3711554385211229E-2</v>
      </c>
      <c r="AG142" s="2">
        <v>3.7827380316714607E-2</v>
      </c>
      <c r="AH142" s="2">
        <v>4.1283192342713534E-2</v>
      </c>
      <c r="AI142" s="2">
        <v>4.3986606411238104E-2</v>
      </c>
      <c r="AJ142" s="2">
        <v>4.6089232617865857E-2</v>
      </c>
      <c r="AK142" s="2">
        <v>4.741803788000374E-2</v>
      </c>
      <c r="AL142" s="2">
        <v>4.8571704845149978E-2</v>
      </c>
      <c r="AM142" s="2">
        <v>4.9152726328592612E-2</v>
      </c>
      <c r="AN142" s="2">
        <v>4.9543668756657153E-2</v>
      </c>
      <c r="AO142" s="2">
        <v>4.9939652449174629E-2</v>
      </c>
      <c r="AP142" s="2">
        <v>5.0340731246294006E-2</v>
      </c>
      <c r="AQ142" s="2">
        <v>5.0746959602996793E-2</v>
      </c>
      <c r="AR142" s="2">
        <v>0.67143790574784268</v>
      </c>
    </row>
    <row r="143" spans="1:44" x14ac:dyDescent="0.25">
      <c r="A143" t="s">
        <v>250</v>
      </c>
      <c r="B143" t="s">
        <v>281</v>
      </c>
      <c r="C143" t="s">
        <v>43</v>
      </c>
      <c r="D143" t="s">
        <v>282</v>
      </c>
      <c r="E143" t="s">
        <v>148</v>
      </c>
      <c r="F143" t="s">
        <v>282</v>
      </c>
      <c r="G143" t="s">
        <v>31</v>
      </c>
      <c r="H143" t="s">
        <v>253</v>
      </c>
      <c r="I143" t="s">
        <v>135</v>
      </c>
      <c r="J143" t="s">
        <v>40</v>
      </c>
      <c r="K143" t="s">
        <v>31</v>
      </c>
      <c r="L143">
        <v>2077.3599999999997</v>
      </c>
      <c r="M143">
        <v>1</v>
      </c>
      <c r="N143">
        <v>3.2065728737266936</v>
      </c>
      <c r="O143">
        <v>3.2645157400827758</v>
      </c>
      <c r="P143">
        <v>-1.16169772439717</v>
      </c>
      <c r="Q143">
        <v>0.4672931329656026</v>
      </c>
      <c r="R143">
        <v>-1.226585201261462</v>
      </c>
      <c r="S143" s="2">
        <v>8.2322732457684785E-5</v>
      </c>
      <c r="T143" s="2">
        <v>1.723935448810952E-4</v>
      </c>
      <c r="U143" s="2">
        <v>3.7910966240314235E-4</v>
      </c>
      <c r="V143" s="2">
        <v>7.18488815267611E-4</v>
      </c>
      <c r="W143" s="2">
        <v>1.2383792617002387E-3</v>
      </c>
      <c r="X143" s="2">
        <v>1.9899131674562128E-3</v>
      </c>
      <c r="Y143" s="2">
        <v>3.0219194420599868E-3</v>
      </c>
      <c r="Z143" s="2">
        <v>4.372869524423395E-3</v>
      </c>
      <c r="AA143" s="2">
        <v>6.0608228125451436E-3</v>
      </c>
      <c r="AB143" s="2">
        <v>8.0728508239288135E-3</v>
      </c>
      <c r="AC143" s="2">
        <v>1.0356613187249387E-2</v>
      </c>
      <c r="AD143" s="2">
        <v>1.2817661584266732E-2</v>
      </c>
      <c r="AE143" s="2">
        <v>1.5325925464817147E-2</v>
      </c>
      <c r="AF143" s="2">
        <v>1.7732978265654696E-2</v>
      </c>
      <c r="AG143" s="2">
        <v>1.9897988248717864E-2</v>
      </c>
      <c r="AH143" s="2">
        <v>2.1715817199794592E-2</v>
      </c>
      <c r="AI143" s="2">
        <v>2.3137869187443084E-2</v>
      </c>
      <c r="AJ143" s="2">
        <v>2.4243894272992738E-2</v>
      </c>
      <c r="AK143" s="2">
        <v>2.4942873458690788E-2</v>
      </c>
      <c r="AL143" s="2">
        <v>2.5549726260106244E-2</v>
      </c>
      <c r="AM143" s="2">
        <v>2.5855355636314706E-2</v>
      </c>
      <c r="AN143" s="2">
        <v>2.6060999478801802E-2</v>
      </c>
      <c r="AO143" s="2">
        <v>2.6269295131168633E-2</v>
      </c>
      <c r="AP143" s="2">
        <v>2.6480270914452486E-2</v>
      </c>
      <c r="AQ143" s="2">
        <v>2.6693955473105217E-2</v>
      </c>
      <c r="AR143" s="2">
        <v>0.35319029355069953</v>
      </c>
    </row>
    <row r="144" spans="1:44" x14ac:dyDescent="0.25">
      <c r="A144" t="s">
        <v>250</v>
      </c>
      <c r="B144" t="s">
        <v>281</v>
      </c>
      <c r="C144" t="s">
        <v>43</v>
      </c>
      <c r="D144" t="s">
        <v>282</v>
      </c>
      <c r="E144" t="s">
        <v>148</v>
      </c>
      <c r="F144" t="s">
        <v>282</v>
      </c>
      <c r="G144" t="s">
        <v>31</v>
      </c>
      <c r="H144" t="s">
        <v>253</v>
      </c>
      <c r="I144" t="s">
        <v>256</v>
      </c>
      <c r="J144" t="s">
        <v>39</v>
      </c>
      <c r="K144" t="s">
        <v>31</v>
      </c>
      <c r="L144">
        <v>2077.3599999999997</v>
      </c>
      <c r="M144">
        <v>1</v>
      </c>
      <c r="N144">
        <v>2.2322051837740986</v>
      </c>
      <c r="O144">
        <v>3.088927468322328</v>
      </c>
      <c r="P144">
        <v>-0.43136821392107066</v>
      </c>
      <c r="Q144">
        <v>0.4672931329656026</v>
      </c>
      <c r="R144">
        <v>-0.63925569078536293</v>
      </c>
      <c r="S144" s="2">
        <v>8.2094261182407818E-5</v>
      </c>
      <c r="T144" s="2">
        <v>1.719150989904815E-4</v>
      </c>
      <c r="U144" s="2">
        <v>3.7805751477085382E-4</v>
      </c>
      <c r="V144" s="2">
        <v>7.1649478456677616E-4</v>
      </c>
      <c r="W144" s="2">
        <v>1.2349423727541279E-3</v>
      </c>
      <c r="X144" s="2">
        <v>1.9843905373699072E-3</v>
      </c>
      <c r="Y144" s="2">
        <v>3.0135326724752107E-3</v>
      </c>
      <c r="Z144" s="2">
        <v>4.3607334467321143E-3</v>
      </c>
      <c r="AA144" s="2">
        <v>6.0440021376736439E-3</v>
      </c>
      <c r="AB144" s="2">
        <v>8.0504461433769606E-3</v>
      </c>
      <c r="AC144" s="2">
        <v>1.0327870353383329E-2</v>
      </c>
      <c r="AD144" s="2">
        <v>1.2782088573012088E-2</v>
      </c>
      <c r="AE144" s="2">
        <v>1.5283391238471722E-2</v>
      </c>
      <c r="AF144" s="2">
        <v>1.7683763716551885E-2</v>
      </c>
      <c r="AG144" s="2">
        <v>1.9842765121218315E-2</v>
      </c>
      <c r="AH144" s="2">
        <v>2.1655549029616205E-2</v>
      </c>
      <c r="AI144" s="2">
        <v>2.307365437918003E-2</v>
      </c>
      <c r="AJ144" s="2">
        <v>2.4176609899930011E-2</v>
      </c>
      <c r="AK144" s="2">
        <v>2.487364920023815E-2</v>
      </c>
      <c r="AL144" s="2">
        <v>2.5478817795732633E-2</v>
      </c>
      <c r="AM144" s="2">
        <v>2.5783598955035864E-2</v>
      </c>
      <c r="AN144" s="2">
        <v>2.5988672071679396E-2</v>
      </c>
      <c r="AO144" s="2">
        <v>2.6196389638601839E-2</v>
      </c>
      <c r="AP144" s="2">
        <v>2.6406779898242569E-2</v>
      </c>
      <c r="AQ144" s="2">
        <v>2.6619871415554698E-2</v>
      </c>
      <c r="AR144" s="2">
        <v>0.35221008025634126</v>
      </c>
    </row>
    <row r="145" spans="1:44" x14ac:dyDescent="0.25">
      <c r="A145" t="s">
        <v>250</v>
      </c>
      <c r="B145" t="s">
        <v>281</v>
      </c>
      <c r="C145" t="s">
        <v>43</v>
      </c>
      <c r="D145" t="s">
        <v>282</v>
      </c>
      <c r="E145" t="s">
        <v>148</v>
      </c>
      <c r="F145" t="s">
        <v>282</v>
      </c>
      <c r="G145" t="s">
        <v>31</v>
      </c>
      <c r="H145" t="s">
        <v>273</v>
      </c>
      <c r="I145" t="s">
        <v>135</v>
      </c>
      <c r="J145" t="s">
        <v>39</v>
      </c>
      <c r="K145" t="s">
        <v>31</v>
      </c>
      <c r="L145">
        <v>2077.3599999999997</v>
      </c>
      <c r="M145">
        <v>1</v>
      </c>
      <c r="N145">
        <v>3.2065728737266936</v>
      </c>
      <c r="O145">
        <v>4.4372583223218758</v>
      </c>
      <c r="P145">
        <v>-1.16169772439717</v>
      </c>
      <c r="Q145">
        <v>0.74954200350345179</v>
      </c>
      <c r="R145">
        <v>-1.3695852012614622</v>
      </c>
      <c r="S145" s="2">
        <v>1.3866009041350151E-4</v>
      </c>
      <c r="T145" s="2">
        <v>2.9977292088914577E-4</v>
      </c>
      <c r="U145" s="2">
        <v>6.5890356523690596E-4</v>
      </c>
      <c r="V145" s="2">
        <v>1.2481450004283954E-3</v>
      </c>
      <c r="W145" s="2">
        <v>2.150250907901231E-3</v>
      </c>
      <c r="X145" s="2">
        <v>3.453523699784764E-3</v>
      </c>
      <c r="Y145" s="2">
        <v>5.2421137608118411E-3</v>
      </c>
      <c r="Z145" s="2">
        <v>7.5820686296615607E-3</v>
      </c>
      <c r="AA145" s="2">
        <v>1.0503953562183203E-2</v>
      </c>
      <c r="AB145" s="2">
        <v>1.3984615080998953E-2</v>
      </c>
      <c r="AC145" s="2">
        <v>1.7932716842097393E-2</v>
      </c>
      <c r="AD145" s="2">
        <v>2.2184223498408064E-2</v>
      </c>
      <c r="AE145" s="2">
        <v>2.6513775563636481E-2</v>
      </c>
      <c r="AF145" s="2">
        <v>3.0664671226664615E-2</v>
      </c>
      <c r="AG145" s="2">
        <v>3.4393777905672482E-2</v>
      </c>
      <c r="AH145" s="2">
        <v>3.7520038597065389E-2</v>
      </c>
      <c r="AI145" s="2">
        <v>3.9960336854818347E-2</v>
      </c>
      <c r="AJ145" s="2">
        <v>4.1853243567102051E-2</v>
      </c>
      <c r="AK145" s="2">
        <v>4.3042397181483137E-2</v>
      </c>
      <c r="AL145" s="2">
        <v>4.4071892579391279E-2</v>
      </c>
      <c r="AM145" s="2">
        <v>4.4581398494035376E-2</v>
      </c>
      <c r="AN145" s="2">
        <v>4.491839079983212E-2</v>
      </c>
      <c r="AO145" s="2">
        <v>4.5259911847113997E-2</v>
      </c>
      <c r="AP145" s="2">
        <v>4.560600897442596E-2</v>
      </c>
      <c r="AQ145" s="2">
        <v>4.5956730067044295E-2</v>
      </c>
      <c r="AR145" s="2">
        <v>0.60972152121710044</v>
      </c>
    </row>
    <row r="146" spans="1:44" x14ac:dyDescent="0.25">
      <c r="A146" t="s">
        <v>250</v>
      </c>
      <c r="B146" t="s">
        <v>281</v>
      </c>
      <c r="C146" t="s">
        <v>43</v>
      </c>
      <c r="D146" t="s">
        <v>282</v>
      </c>
      <c r="E146" t="s">
        <v>148</v>
      </c>
      <c r="F146" t="s">
        <v>282</v>
      </c>
      <c r="G146" t="s">
        <v>31</v>
      </c>
      <c r="H146" t="s">
        <v>252</v>
      </c>
      <c r="I146" t="s">
        <v>135</v>
      </c>
      <c r="J146" t="s">
        <v>39</v>
      </c>
      <c r="K146" t="s">
        <v>31</v>
      </c>
      <c r="L146">
        <v>2077.3599999999997</v>
      </c>
      <c r="M146">
        <v>1</v>
      </c>
      <c r="N146">
        <v>3.2065728737266936</v>
      </c>
      <c r="O146">
        <v>4.4372583223218758</v>
      </c>
      <c r="P146">
        <v>-1.16169772439717</v>
      </c>
      <c r="Q146">
        <v>0.74954200350345179</v>
      </c>
      <c r="R146">
        <v>-1.3695852012614622</v>
      </c>
      <c r="S146" s="2">
        <v>6.0738975619566778E-4</v>
      </c>
      <c r="T146" s="2">
        <v>1.2389972671588134E-3</v>
      </c>
      <c r="U146" s="2">
        <v>2.7257472443670341E-3</v>
      </c>
      <c r="V146" s="2">
        <v>5.1678534297958691E-3</v>
      </c>
      <c r="W146" s="2">
        <v>8.9106907058335971E-3</v>
      </c>
      <c r="X146" s="2">
        <v>1.4323773023362888E-2</v>
      </c>
      <c r="Y146" s="2">
        <v>2.1760550822233292E-2</v>
      </c>
      <c r="Z146" s="2">
        <v>3.1500345496826877E-2</v>
      </c>
      <c r="AA146" s="2">
        <v>4.3675741796005592E-2</v>
      </c>
      <c r="AB146" s="2">
        <v>5.8196069088903644E-2</v>
      </c>
      <c r="AC146" s="2">
        <v>7.468624531377735E-2</v>
      </c>
      <c r="AD146" s="2">
        <v>9.2466826976590588E-2</v>
      </c>
      <c r="AE146" s="2">
        <v>0.11060029657343158</v>
      </c>
      <c r="AF146" s="2">
        <v>0.12801529110524809</v>
      </c>
      <c r="AG146" s="2">
        <v>0.14369381857471461</v>
      </c>
      <c r="AH146" s="2">
        <v>0.15687437878353735</v>
      </c>
      <c r="AI146" s="2">
        <v>0.16720309652149504</v>
      </c>
      <c r="AJ146" s="2">
        <v>0.17525347853594744</v>
      </c>
      <c r="AK146" s="2">
        <v>0.18036500111692311</v>
      </c>
      <c r="AL146" s="2">
        <v>0.18481268528724012</v>
      </c>
      <c r="AM146" s="2">
        <v>0.18708286590495959</v>
      </c>
      <c r="AN146" s="2">
        <v>0.18863000770220503</v>
      </c>
      <c r="AO146" s="2">
        <v>0.19019653782874466</v>
      </c>
      <c r="AP146" s="2">
        <v>0.19178266617005388</v>
      </c>
      <c r="AQ146" s="2">
        <v>0.19338860499321281</v>
      </c>
      <c r="AR146" s="2">
        <v>2.5531589600187643</v>
      </c>
    </row>
    <row r="147" spans="1:44" x14ac:dyDescent="0.25">
      <c r="A147" t="s">
        <v>250</v>
      </c>
      <c r="B147" t="s">
        <v>281</v>
      </c>
      <c r="C147" t="s">
        <v>43</v>
      </c>
      <c r="D147" t="s">
        <v>282</v>
      </c>
      <c r="E147" t="s">
        <v>148</v>
      </c>
      <c r="F147" t="s">
        <v>282</v>
      </c>
      <c r="G147" t="s">
        <v>31</v>
      </c>
      <c r="H147" t="s">
        <v>274</v>
      </c>
      <c r="I147" t="s">
        <v>135</v>
      </c>
      <c r="J147" t="s">
        <v>39</v>
      </c>
      <c r="K147" t="s">
        <v>31</v>
      </c>
      <c r="L147">
        <v>2077.3599999999997</v>
      </c>
      <c r="M147">
        <v>1</v>
      </c>
      <c r="N147">
        <v>3.2065728737266936</v>
      </c>
      <c r="O147">
        <v>4.4372583223218758</v>
      </c>
      <c r="P147">
        <v>-1.16169772439717</v>
      </c>
      <c r="Q147">
        <v>0.74954200350345179</v>
      </c>
      <c r="R147">
        <v>-1.3695852012614622</v>
      </c>
      <c r="S147" s="2">
        <v>2.1827581223307895E-4</v>
      </c>
      <c r="T147" s="2">
        <v>4.7189625794582586E-4</v>
      </c>
      <c r="U147" s="2">
        <v>1.0372322018286587E-3</v>
      </c>
      <c r="V147" s="2">
        <v>1.9648037365381258E-3</v>
      </c>
      <c r="W147" s="2">
        <v>3.3848799753945589E-3</v>
      </c>
      <c r="X147" s="2">
        <v>5.4364647274404232E-3</v>
      </c>
      <c r="Y147" s="2">
        <v>8.2520257670910362E-3</v>
      </c>
      <c r="Z147" s="2">
        <v>1.1935533747388901E-2</v>
      </c>
      <c r="AA147" s="2">
        <v>1.6535103854373494E-2</v>
      </c>
      <c r="AB147" s="2">
        <v>2.2014288368549902E-2</v>
      </c>
      <c r="AC147" s="2">
        <v>2.822930752880478E-2</v>
      </c>
      <c r="AD147" s="2">
        <v>3.4921940324969321E-2</v>
      </c>
      <c r="AE147" s="2">
        <v>4.1737430570396049E-2</v>
      </c>
      <c r="AF147" s="2">
        <v>4.8271683646678984E-2</v>
      </c>
      <c r="AG147" s="2">
        <v>5.4141965332181179E-2</v>
      </c>
      <c r="AH147" s="2">
        <v>5.9063259481283326E-2</v>
      </c>
      <c r="AI147" s="2">
        <v>6.290472592424963E-2</v>
      </c>
      <c r="AJ147" s="2">
        <v>6.5884500053004919E-2</v>
      </c>
      <c r="AK147" s="2">
        <v>6.7756440784292854E-2</v>
      </c>
      <c r="AL147" s="2">
        <v>6.9377050892784675E-2</v>
      </c>
      <c r="AM147" s="2">
        <v>7.0179104439878695E-2</v>
      </c>
      <c r="AN147" s="2">
        <v>7.0709590674560188E-2</v>
      </c>
      <c r="AO147" s="2">
        <v>7.1247205959303339E-2</v>
      </c>
      <c r="AP147" s="2">
        <v>7.1792024813454605E-2</v>
      </c>
      <c r="AQ147" s="2">
        <v>7.2344122617012868E-2</v>
      </c>
      <c r="AR147" s="2">
        <v>0.95981085749163941</v>
      </c>
    </row>
    <row r="148" spans="1:44" x14ac:dyDescent="0.25">
      <c r="A148" t="s">
        <v>250</v>
      </c>
      <c r="B148" t="s">
        <v>281</v>
      </c>
      <c r="C148" t="s">
        <v>43</v>
      </c>
      <c r="D148" t="s">
        <v>282</v>
      </c>
      <c r="E148" t="s">
        <v>148</v>
      </c>
      <c r="F148" t="s">
        <v>282</v>
      </c>
      <c r="G148" t="s">
        <v>31</v>
      </c>
      <c r="H148" t="s">
        <v>274</v>
      </c>
      <c r="I148" t="s">
        <v>135</v>
      </c>
      <c r="J148" t="s">
        <v>39</v>
      </c>
      <c r="K148" t="s">
        <v>33</v>
      </c>
      <c r="L148">
        <v>2077.3599999999997</v>
      </c>
      <c r="M148">
        <v>1</v>
      </c>
      <c r="N148">
        <v>3.2065728737266936</v>
      </c>
      <c r="O148">
        <v>4.4372583223218758</v>
      </c>
      <c r="P148">
        <v>-1.16169772439717</v>
      </c>
      <c r="Q148">
        <v>0.74954200350345179</v>
      </c>
      <c r="R148">
        <v>-1.3695852012614622</v>
      </c>
      <c r="S148" s="2">
        <v>7.022986330282702E-7</v>
      </c>
      <c r="T148" s="2">
        <v>1.5183180101174892E-6</v>
      </c>
      <c r="U148" s="2">
        <v>3.3372765860988943E-6</v>
      </c>
      <c r="V148" s="2">
        <v>6.3217218812412664E-6</v>
      </c>
      <c r="W148" s="2">
        <v>1.089079250405411E-5</v>
      </c>
      <c r="X148" s="2">
        <v>1.7491730794756631E-5</v>
      </c>
      <c r="Y148" s="2">
        <v>2.65507495157259E-5</v>
      </c>
      <c r="Z148" s="2">
        <v>3.8402372436499022E-5</v>
      </c>
      <c r="AA148" s="2">
        <v>5.3201409332092359E-5</v>
      </c>
      <c r="AB148" s="2">
        <v>7.0830590298358694E-5</v>
      </c>
      <c r="AC148" s="2">
        <v>9.0827306452280655E-5</v>
      </c>
      <c r="AD148" s="2">
        <v>1.1236073618057097E-4</v>
      </c>
      <c r="AE148" s="2">
        <v>1.342894576170514E-4</v>
      </c>
      <c r="AF148" s="2">
        <v>1.5531330334868083E-4</v>
      </c>
      <c r="AG148" s="2">
        <v>1.7420083266785432E-4</v>
      </c>
      <c r="AH148" s="2">
        <v>1.9003501107857918E-4</v>
      </c>
      <c r="AI148" s="2">
        <v>2.0239486260825127E-4</v>
      </c>
      <c r="AJ148" s="2">
        <v>2.119822340899948E-4</v>
      </c>
      <c r="AK148" s="2">
        <v>2.1800517086546185E-4</v>
      </c>
      <c r="AL148" s="2">
        <v>2.232194557292835E-4</v>
      </c>
      <c r="AM148" s="2">
        <v>2.2580004908031513E-4</v>
      </c>
      <c r="AN148" s="2">
        <v>2.2750687932250309E-4</v>
      </c>
      <c r="AO148" s="2">
        <v>2.2923664715938442E-4</v>
      </c>
      <c r="AP148" s="2">
        <v>2.3098959235566397E-4</v>
      </c>
      <c r="AQ148" s="2">
        <v>2.3276595744518472E-4</v>
      </c>
      <c r="AR148" s="2">
        <v>3.0881747559930325E-3</v>
      </c>
    </row>
    <row r="149" spans="1:44" x14ac:dyDescent="0.25">
      <c r="A149" t="s">
        <v>250</v>
      </c>
      <c r="B149" t="s">
        <v>281</v>
      </c>
      <c r="C149" t="s">
        <v>43</v>
      </c>
      <c r="D149" t="s">
        <v>282</v>
      </c>
      <c r="E149" t="s">
        <v>148</v>
      </c>
      <c r="F149" t="s">
        <v>282</v>
      </c>
      <c r="G149" t="s">
        <v>31</v>
      </c>
      <c r="H149" t="s">
        <v>278</v>
      </c>
      <c r="I149" t="s">
        <v>135</v>
      </c>
      <c r="J149" t="s">
        <v>39</v>
      </c>
      <c r="K149" t="s">
        <v>31</v>
      </c>
      <c r="L149">
        <v>2077.3599999999997</v>
      </c>
      <c r="M149">
        <v>1</v>
      </c>
      <c r="N149">
        <v>3.2065728737266936</v>
      </c>
      <c r="O149">
        <v>4.4372583223218758</v>
      </c>
      <c r="P149">
        <v>-1.16169772439717</v>
      </c>
      <c r="Q149">
        <v>0.74954200350345179</v>
      </c>
      <c r="R149">
        <v>-1.3695852012614622</v>
      </c>
      <c r="S149" s="2">
        <v>3.3576587379042129E-2</v>
      </c>
      <c r="T149" s="2">
        <v>9.2625649172755647E-2</v>
      </c>
      <c r="U149" s="2">
        <v>0.20270607891192211</v>
      </c>
      <c r="V149" s="2">
        <v>0.38232929927467929</v>
      </c>
      <c r="W149" s="2">
        <v>0.65585964883813075</v>
      </c>
      <c r="X149" s="2">
        <v>1.0489507149270976</v>
      </c>
      <c r="Y149" s="2">
        <v>1.5855926070375155</v>
      </c>
      <c r="Z149" s="2">
        <v>2.2839525748751246</v>
      </c>
      <c r="AA149" s="2">
        <v>3.1512876104622527</v>
      </c>
      <c r="AB149" s="2">
        <v>4.1787204891527274</v>
      </c>
      <c r="AC149" s="2">
        <v>5.3372571026327238</v>
      </c>
      <c r="AD149" s="2">
        <v>6.5768380693739719</v>
      </c>
      <c r="AE149" s="2">
        <v>7.8300946738714536</v>
      </c>
      <c r="AF149" s="2">
        <v>9.0214818357261386</v>
      </c>
      <c r="AG149" s="2">
        <v>10.080571446622184</v>
      </c>
      <c r="AH149" s="2">
        <v>10.956094839678222</v>
      </c>
      <c r="AI149" s="2">
        <v>11.626001397182856</v>
      </c>
      <c r="AJ149" s="2">
        <v>12.132785182037479</v>
      </c>
      <c r="AK149" s="2">
        <v>12.433098351217673</v>
      </c>
      <c r="AL149" s="2">
        <v>12.685788268378234</v>
      </c>
      <c r="AM149" s="2">
        <v>12.788026327991213</v>
      </c>
      <c r="AN149" s="2">
        <v>12.840716524980133</v>
      </c>
      <c r="AO149" s="2">
        <v>12.894814074931165</v>
      </c>
      <c r="AP149" s="2">
        <v>12.950327412123173</v>
      </c>
      <c r="AQ149" s="2">
        <v>13.007265131554544</v>
      </c>
      <c r="AR149" s="2">
        <v>176.77676189833244</v>
      </c>
    </row>
    <row r="150" spans="1:44" x14ac:dyDescent="0.25">
      <c r="A150" t="s">
        <v>250</v>
      </c>
      <c r="B150" t="s">
        <v>281</v>
      </c>
      <c r="C150" t="s">
        <v>43</v>
      </c>
      <c r="D150" t="s">
        <v>282</v>
      </c>
      <c r="E150" t="s">
        <v>148</v>
      </c>
      <c r="F150" t="s">
        <v>282</v>
      </c>
      <c r="G150" t="s">
        <v>31</v>
      </c>
      <c r="H150" t="s">
        <v>276</v>
      </c>
      <c r="I150" t="s">
        <v>135</v>
      </c>
      <c r="J150" t="s">
        <v>39</v>
      </c>
      <c r="K150" t="s">
        <v>31</v>
      </c>
      <c r="L150">
        <v>2077.3599999999997</v>
      </c>
      <c r="M150">
        <v>1</v>
      </c>
      <c r="N150">
        <v>3.2065728737266936</v>
      </c>
      <c r="O150">
        <v>4.4372583223218758</v>
      </c>
      <c r="P150">
        <v>-1.16169772439717</v>
      </c>
      <c r="Q150">
        <v>0.74954200350345179</v>
      </c>
      <c r="R150">
        <v>-1.3695852012614622</v>
      </c>
      <c r="S150" s="2">
        <v>4.3199923506244417E-3</v>
      </c>
      <c r="T150" s="2">
        <v>7.8748529359694806E-3</v>
      </c>
      <c r="U150" s="2">
        <v>1.7351694497829626E-2</v>
      </c>
      <c r="V150" s="2">
        <v>3.2949059459519224E-2</v>
      </c>
      <c r="W150" s="2">
        <v>5.690010747455878E-2</v>
      </c>
      <c r="X150" s="2">
        <v>9.1605264938870792E-2</v>
      </c>
      <c r="Y150" s="2">
        <v>0.1393755601487533</v>
      </c>
      <c r="Z150" s="2">
        <v>0.20205904260466079</v>
      </c>
      <c r="AA150" s="2">
        <v>0.28057052062455123</v>
      </c>
      <c r="AB150" s="2">
        <v>0.37439217478721648</v>
      </c>
      <c r="AC150" s="2">
        <v>0.48116911164653298</v>
      </c>
      <c r="AD150" s="2">
        <v>0.59656772770741484</v>
      </c>
      <c r="AE150" s="2">
        <v>0.71456133832827984</v>
      </c>
      <c r="AF150" s="2">
        <v>0.82822298429876884</v>
      </c>
      <c r="AG150" s="2">
        <v>0.93093328520808671</v>
      </c>
      <c r="AH150" s="2">
        <v>1.0177015112312415</v>
      </c>
      <c r="AI150" s="2">
        <v>1.0861594400506145</v>
      </c>
      <c r="AJ150" s="2">
        <v>1.1399603996628707</v>
      </c>
      <c r="AK150" s="2">
        <v>1.174741416542034</v>
      </c>
      <c r="AL150" s="2">
        <v>1.2052628639486578</v>
      </c>
      <c r="AM150" s="2">
        <v>1.2216228424304822</v>
      </c>
      <c r="AN150" s="2">
        <v>1.2332758987304571</v>
      </c>
      <c r="AO150" s="2">
        <v>1.2450639339212843</v>
      </c>
      <c r="AP150" s="2">
        <v>1.2569884526729631</v>
      </c>
      <c r="AQ150" s="2">
        <v>1.2690509765483522</v>
      </c>
      <c r="AR150" s="2">
        <v>16.608680452750598</v>
      </c>
    </row>
    <row r="151" spans="1:44" x14ac:dyDescent="0.25">
      <c r="A151" t="s">
        <v>250</v>
      </c>
      <c r="B151" t="s">
        <v>281</v>
      </c>
      <c r="C151" t="s">
        <v>43</v>
      </c>
      <c r="D151" t="s">
        <v>282</v>
      </c>
      <c r="E151" t="s">
        <v>148</v>
      </c>
      <c r="F151" t="s">
        <v>282</v>
      </c>
      <c r="G151" t="s">
        <v>31</v>
      </c>
      <c r="H151" t="s">
        <v>275</v>
      </c>
      <c r="I151" t="s">
        <v>135</v>
      </c>
      <c r="J151" t="s">
        <v>39</v>
      </c>
      <c r="K151" t="s">
        <v>31</v>
      </c>
      <c r="L151">
        <v>2077.3599999999997</v>
      </c>
      <c r="M151">
        <v>1</v>
      </c>
      <c r="N151">
        <v>3.2065728737266936</v>
      </c>
      <c r="O151">
        <v>4.4372583223218758</v>
      </c>
      <c r="P151">
        <v>-1.16169772439717</v>
      </c>
      <c r="Q151">
        <v>0.74954200350345179</v>
      </c>
      <c r="R151">
        <v>-1.3695852012614622</v>
      </c>
      <c r="S151" s="2">
        <v>3.3345720785041982E-4</v>
      </c>
      <c r="T151" s="2">
        <v>7.2090996688925751E-4</v>
      </c>
      <c r="U151" s="2">
        <v>1.5845665645490723E-3</v>
      </c>
      <c r="V151" s="2">
        <v>3.0016059097765163E-3</v>
      </c>
      <c r="W151" s="2">
        <v>5.1710384854671788E-3</v>
      </c>
      <c r="X151" s="2">
        <v>8.3052186591055874E-3</v>
      </c>
      <c r="Y151" s="2">
        <v>1.2606515780436544E-2</v>
      </c>
      <c r="Z151" s="2">
        <v>1.8233764505976746E-2</v>
      </c>
      <c r="AA151" s="2">
        <v>2.5260469799138485E-2</v>
      </c>
      <c r="AB151" s="2">
        <v>3.3630950938127305E-2</v>
      </c>
      <c r="AC151" s="2">
        <v>4.3125557393663021E-2</v>
      </c>
      <c r="AD151" s="2">
        <v>5.3349808182358877E-2</v>
      </c>
      <c r="AE151" s="2">
        <v>6.3761746748162262E-2</v>
      </c>
      <c r="AF151" s="2">
        <v>7.3744042834540668E-2</v>
      </c>
      <c r="AG151" s="2">
        <v>8.2711998193939984E-2</v>
      </c>
      <c r="AH151" s="2">
        <v>9.0230197252193764E-2</v>
      </c>
      <c r="AI151" s="2">
        <v>9.6098757130714876E-2</v>
      </c>
      <c r="AJ151" s="2">
        <v>0.10065092051901989</v>
      </c>
      <c r="AK151" s="2">
        <v>0.10351066078584271</v>
      </c>
      <c r="AL151" s="2">
        <v>0.10598644642724341</v>
      </c>
      <c r="AM151" s="2">
        <v>0.10721173352444718</v>
      </c>
      <c r="AN151" s="2">
        <v>0.10802215066049961</v>
      </c>
      <c r="AO151" s="2">
        <v>0.1088434587565031</v>
      </c>
      <c r="AP151" s="2">
        <v>0.10967577165471365</v>
      </c>
      <c r="AQ151" s="2">
        <v>0.11051920451221678</v>
      </c>
      <c r="AR151" s="2">
        <v>1.4662909523933771</v>
      </c>
    </row>
    <row r="152" spans="1:44" x14ac:dyDescent="0.25">
      <c r="A152" t="s">
        <v>250</v>
      </c>
      <c r="B152" t="s">
        <v>281</v>
      </c>
      <c r="C152" t="s">
        <v>43</v>
      </c>
      <c r="D152" t="s">
        <v>282</v>
      </c>
      <c r="E152" t="s">
        <v>148</v>
      </c>
      <c r="F152" t="s">
        <v>282</v>
      </c>
      <c r="G152" t="s">
        <v>31</v>
      </c>
      <c r="H152" t="s">
        <v>277</v>
      </c>
      <c r="I152" t="s">
        <v>135</v>
      </c>
      <c r="J152" t="s">
        <v>39</v>
      </c>
      <c r="K152" t="s">
        <v>31</v>
      </c>
      <c r="L152">
        <v>2077.3599999999997</v>
      </c>
      <c r="M152">
        <v>1</v>
      </c>
      <c r="N152">
        <v>3.2065728737266936</v>
      </c>
      <c r="O152">
        <v>4.4372583223218758</v>
      </c>
      <c r="P152">
        <v>-1.16169772439717</v>
      </c>
      <c r="Q152">
        <v>0.74954200350345179</v>
      </c>
      <c r="R152">
        <v>-1.3695852012614622</v>
      </c>
      <c r="S152" s="2">
        <v>2.4985671161399732E-3</v>
      </c>
      <c r="T152" s="2">
        <v>5.4423799615692303E-3</v>
      </c>
      <c r="U152" s="2">
        <v>1.1960981934096167E-2</v>
      </c>
      <c r="V152" s="2">
        <v>2.2654741865739365E-2</v>
      </c>
      <c r="W152" s="2">
        <v>3.9024100069245025E-2</v>
      </c>
      <c r="X152" s="2">
        <v>6.2669532797571315E-2</v>
      </c>
      <c r="Y152" s="2">
        <v>9.5115499887359012E-2</v>
      </c>
      <c r="Z152" s="2">
        <v>0.13755740584600176</v>
      </c>
      <c r="AA152" s="2">
        <v>0.19054653043403114</v>
      </c>
      <c r="AB152" s="2">
        <v>0.25365961422635336</v>
      </c>
      <c r="AC152" s="2">
        <v>0.32523706212536624</v>
      </c>
      <c r="AD152" s="2">
        <v>0.40230169812383426</v>
      </c>
      <c r="AE152" s="2">
        <v>0.48076569384113971</v>
      </c>
      <c r="AF152" s="2">
        <v>0.55597470136846072</v>
      </c>
      <c r="AG152" s="2">
        <v>0.62352228987739433</v>
      </c>
      <c r="AH152" s="2">
        <v>0.68012903929714241</v>
      </c>
      <c r="AI152" s="2">
        <v>0.72429198264875005</v>
      </c>
      <c r="AJ152" s="2">
        <v>0.75852640884879785</v>
      </c>
      <c r="AK152" s="2">
        <v>0.78000184906142844</v>
      </c>
      <c r="AL152" s="2">
        <v>0.79858109515134279</v>
      </c>
      <c r="AM152" s="2">
        <v>0.80773648003209764</v>
      </c>
      <c r="AN152" s="2">
        <v>0.81376578150086021</v>
      </c>
      <c r="AO152" s="2">
        <v>0.81987699389063806</v>
      </c>
      <c r="AP152" s="2">
        <v>0.82607096829690863</v>
      </c>
      <c r="AQ152" s="2">
        <v>0.83234856567810367</v>
      </c>
      <c r="AR152" s="2">
        <v>11.050259963880372</v>
      </c>
    </row>
    <row r="153" spans="1:44" x14ac:dyDescent="0.25">
      <c r="A153" t="s">
        <v>250</v>
      </c>
      <c r="B153" t="s">
        <v>281</v>
      </c>
      <c r="C153" t="s">
        <v>43</v>
      </c>
      <c r="D153" t="s">
        <v>282</v>
      </c>
      <c r="E153" t="s">
        <v>148</v>
      </c>
      <c r="F153" t="s">
        <v>282</v>
      </c>
      <c r="G153" t="s">
        <v>31</v>
      </c>
      <c r="H153" t="s">
        <v>277</v>
      </c>
      <c r="I153" t="s">
        <v>135</v>
      </c>
      <c r="J153" t="s">
        <v>40</v>
      </c>
      <c r="K153" t="s">
        <v>31</v>
      </c>
      <c r="L153">
        <v>2077.3599999999997</v>
      </c>
      <c r="M153">
        <v>1</v>
      </c>
      <c r="N153">
        <v>3.2065728737266936</v>
      </c>
      <c r="O153">
        <v>3.2645157400827758</v>
      </c>
      <c r="P153">
        <v>-1.16169772439717</v>
      </c>
      <c r="Q153">
        <v>0.4672931329656026</v>
      </c>
      <c r="R153">
        <v>-1.226585201261462</v>
      </c>
      <c r="S153" s="2">
        <v>3.9413744422963498E-4</v>
      </c>
      <c r="T153" s="2">
        <v>8.5851034968128528E-4</v>
      </c>
      <c r="U153" s="2">
        <v>1.8867897602304711E-3</v>
      </c>
      <c r="V153" s="2">
        <v>3.5736810914405847E-3</v>
      </c>
      <c r="W153" s="2">
        <v>6.1558718856492582E-3</v>
      </c>
      <c r="X153" s="2">
        <v>9.8858298935990043E-3</v>
      </c>
      <c r="Y153" s="2">
        <v>1.5004031626792464E-2</v>
      </c>
      <c r="Z153" s="2">
        <v>2.1699046635481365E-2</v>
      </c>
      <c r="AA153" s="2">
        <v>3.0057836760502225E-2</v>
      </c>
      <c r="AB153" s="2">
        <v>4.0013634778761971E-2</v>
      </c>
      <c r="AC153" s="2">
        <v>5.1304647214314276E-2</v>
      </c>
      <c r="AD153" s="2">
        <v>6.3461238276733847E-2</v>
      </c>
      <c r="AE153" s="2">
        <v>7.5838571883781153E-2</v>
      </c>
      <c r="AF153" s="2">
        <v>8.7702446109286694E-2</v>
      </c>
      <c r="AG153" s="2">
        <v>9.8357766803617158E-2</v>
      </c>
      <c r="AH153" s="2">
        <v>0.10728722056866952</v>
      </c>
      <c r="AI153" s="2">
        <v>0.11425372129215192</v>
      </c>
      <c r="AJ153" s="2">
        <v>0.11965404420523164</v>
      </c>
      <c r="AK153" s="2">
        <v>0.12304169589744762</v>
      </c>
      <c r="AL153" s="2">
        <v>0.12597248631820274</v>
      </c>
      <c r="AM153" s="2">
        <v>0.12741670607701022</v>
      </c>
      <c r="AN153" s="2">
        <v>0.12836780058875588</v>
      </c>
      <c r="AO153" s="2">
        <v>0.12933181617068554</v>
      </c>
      <c r="AP153" s="2">
        <v>0.13030888707918212</v>
      </c>
      <c r="AQ153" s="2">
        <v>0.13129914912647728</v>
      </c>
      <c r="AR153" s="2">
        <v>1.7431275678379157</v>
      </c>
    </row>
    <row r="154" spans="1:44" x14ac:dyDescent="0.25">
      <c r="A154" t="s">
        <v>250</v>
      </c>
      <c r="B154" t="s">
        <v>283</v>
      </c>
      <c r="C154" t="s">
        <v>43</v>
      </c>
      <c r="D154" t="s">
        <v>284</v>
      </c>
      <c r="E154" t="s">
        <v>145</v>
      </c>
      <c r="F154" t="s">
        <v>284</v>
      </c>
      <c r="G154" t="s">
        <v>31</v>
      </c>
      <c r="H154" t="s">
        <v>278</v>
      </c>
      <c r="I154" t="s">
        <v>135</v>
      </c>
      <c r="J154" t="s">
        <v>39</v>
      </c>
      <c r="K154" t="s">
        <v>31</v>
      </c>
      <c r="L154">
        <v>317.69</v>
      </c>
      <c r="M154">
        <v>1</v>
      </c>
      <c r="N154">
        <v>1.6375784010064771</v>
      </c>
      <c r="O154">
        <v>3.9932926555063242</v>
      </c>
      <c r="P154">
        <v>-0.35075582285265838</v>
      </c>
      <c r="Q154">
        <v>1.320843656536087</v>
      </c>
      <c r="R154">
        <v>-1.1299449527495853</v>
      </c>
      <c r="S154" s="2">
        <v>2.036542528027327</v>
      </c>
      <c r="T154" s="2">
        <v>3.9608477891906397</v>
      </c>
      <c r="U154" s="2">
        <v>6.9198786160528583</v>
      </c>
      <c r="V154" s="2">
        <v>11.012416599701535</v>
      </c>
      <c r="W154" s="2">
        <v>16.153662081978201</v>
      </c>
      <c r="X154" s="2">
        <v>22.067005475927463</v>
      </c>
      <c r="Y154" s="2">
        <v>28.334461612581073</v>
      </c>
      <c r="Z154" s="2">
        <v>34.48731611133136</v>
      </c>
      <c r="AA154" s="2">
        <v>40.103777879621255</v>
      </c>
      <c r="AB154" s="2">
        <v>44.882161615380376</v>
      </c>
      <c r="AC154" s="2">
        <v>48.672510059585413</v>
      </c>
      <c r="AD154" s="2">
        <v>51.467321375002847</v>
      </c>
      <c r="AE154" s="2">
        <v>61.203930687485673</v>
      </c>
      <c r="AF154" s="2">
        <v>68.5617610764006</v>
      </c>
      <c r="AG154" s="2">
        <v>68.74210575823345</v>
      </c>
      <c r="AH154" s="2">
        <v>68.101936291707915</v>
      </c>
      <c r="AI154" s="2">
        <v>66.820571628627562</v>
      </c>
      <c r="AJ154" s="2">
        <v>48.668277420154055</v>
      </c>
      <c r="AK154" s="2">
        <v>8.5243659003304444</v>
      </c>
      <c r="AL154" s="2">
        <v>6.8562853875845553</v>
      </c>
      <c r="AM154" s="2">
        <v>5.2925113431748985</v>
      </c>
      <c r="AN154" s="2">
        <v>3.9185904957673925</v>
      </c>
      <c r="AO154" s="2">
        <v>2.782695941445446</v>
      </c>
      <c r="AP154" s="2">
        <v>1.8958563040878897</v>
      </c>
      <c r="AQ154" s="2">
        <v>1.2399382529314213</v>
      </c>
      <c r="AR154" s="2">
        <v>722.70672823231166</v>
      </c>
    </row>
    <row r="155" spans="1:44" x14ac:dyDescent="0.25">
      <c r="A155" t="s">
        <v>250</v>
      </c>
      <c r="B155" t="s">
        <v>283</v>
      </c>
      <c r="C155" t="s">
        <v>43</v>
      </c>
      <c r="D155" t="s">
        <v>284</v>
      </c>
      <c r="E155" t="s">
        <v>148</v>
      </c>
      <c r="F155" t="s">
        <v>284</v>
      </c>
      <c r="G155" t="s">
        <v>31</v>
      </c>
      <c r="H155" t="s">
        <v>278</v>
      </c>
      <c r="I155" t="s">
        <v>135</v>
      </c>
      <c r="J155" t="s">
        <v>39</v>
      </c>
      <c r="K155" t="s">
        <v>31</v>
      </c>
      <c r="L155">
        <v>317.69</v>
      </c>
      <c r="M155">
        <v>1</v>
      </c>
      <c r="N155">
        <v>1.6375784010064771</v>
      </c>
      <c r="O155">
        <v>3.9932926555063242</v>
      </c>
      <c r="P155">
        <v>-0.35075582285265838</v>
      </c>
      <c r="Q155">
        <v>1.320843656536087</v>
      </c>
      <c r="R155">
        <v>-1.1299449527495853</v>
      </c>
      <c r="S155" s="2">
        <v>0.27716936891750482</v>
      </c>
      <c r="T155" s="2">
        <v>0.9756155714479452</v>
      </c>
      <c r="U155" s="2">
        <v>1.723853588503661</v>
      </c>
      <c r="V155" s="2">
        <v>2.7748495504374424</v>
      </c>
      <c r="W155" s="2">
        <v>4.1174295112184121</v>
      </c>
      <c r="X155" s="2">
        <v>5.6903672061374735</v>
      </c>
      <c r="Y155" s="2">
        <v>7.392592629955888</v>
      </c>
      <c r="Z155" s="2">
        <v>9.1047745826764022</v>
      </c>
      <c r="AA155" s="2">
        <v>10.714354201252457</v>
      </c>
      <c r="AB155" s="2">
        <v>12.135792981610798</v>
      </c>
      <c r="AC155" s="2">
        <v>13.320926242469284</v>
      </c>
      <c r="AD155" s="2">
        <v>14.258733966208348</v>
      </c>
      <c r="AE155" s="2">
        <v>14.967358282584867</v>
      </c>
      <c r="AF155" s="2">
        <v>15.482675397022875</v>
      </c>
      <c r="AG155" s="2">
        <v>15.84728363201781</v>
      </c>
      <c r="AH155" s="2">
        <v>16.102257504969117</v>
      </c>
      <c r="AI155" s="2">
        <v>16.282380963091761</v>
      </c>
      <c r="AJ155" s="2">
        <v>16.431233276656137</v>
      </c>
      <c r="AK155" s="2">
        <v>16.560553241485756</v>
      </c>
      <c r="AL155" s="2">
        <v>16.625689597602985</v>
      </c>
      <c r="AM155" s="2">
        <v>16.692641623053632</v>
      </c>
      <c r="AN155" s="2">
        <v>16.761419912433517</v>
      </c>
      <c r="AO155" s="2">
        <v>16.832035267051708</v>
      </c>
      <c r="AP155" s="2">
        <v>16.904498696456567</v>
      </c>
      <c r="AQ155" s="2">
        <v>16.978821419989089</v>
      </c>
      <c r="AR155" s="2">
        <v>294.95530821525142</v>
      </c>
    </row>
    <row r="156" spans="1:44" x14ac:dyDescent="0.25">
      <c r="A156" t="s">
        <v>250</v>
      </c>
      <c r="B156" t="s">
        <v>285</v>
      </c>
      <c r="C156" t="s">
        <v>43</v>
      </c>
      <c r="D156" t="s">
        <v>284</v>
      </c>
      <c r="E156" t="s">
        <v>145</v>
      </c>
      <c r="F156" t="s">
        <v>284</v>
      </c>
      <c r="G156" t="s">
        <v>31</v>
      </c>
      <c r="H156" t="s">
        <v>272</v>
      </c>
      <c r="I156" t="s">
        <v>135</v>
      </c>
      <c r="J156" t="s">
        <v>39</v>
      </c>
      <c r="K156" t="s">
        <v>31</v>
      </c>
      <c r="L156">
        <v>259.74</v>
      </c>
      <c r="M156">
        <v>1</v>
      </c>
      <c r="N156">
        <v>1.3953794259707024</v>
      </c>
      <c r="O156">
        <v>3.994835640102659</v>
      </c>
      <c r="P156">
        <v>-0.1208952283669998</v>
      </c>
      <c r="Q156">
        <v>1.550704251021745</v>
      </c>
      <c r="R156">
        <v>-1.1299449527495853</v>
      </c>
      <c r="S156" s="2">
        <v>6.2317185523068822E-2</v>
      </c>
      <c r="T156" s="2">
        <v>0.12173808962440501</v>
      </c>
      <c r="U156" s="2">
        <v>0.2136292852009356</v>
      </c>
      <c r="V156" s="2">
        <v>0.34148287192465537</v>
      </c>
      <c r="W156" s="2">
        <v>0.5031312219478532</v>
      </c>
      <c r="X156" s="2">
        <v>0.69036324188099663</v>
      </c>
      <c r="Y156" s="2">
        <v>0.89037550482069494</v>
      </c>
      <c r="Z156" s="2">
        <v>1.08853304685515</v>
      </c>
      <c r="AA156" s="2">
        <v>1.2714271722027002</v>
      </c>
      <c r="AB156" s="2">
        <v>1.429236009359379</v>
      </c>
      <c r="AC156" s="2">
        <v>1.5568182350919133</v>
      </c>
      <c r="AD156" s="2">
        <v>1.6535209971574705</v>
      </c>
      <c r="AE156" s="2">
        <v>1.9619681117683363</v>
      </c>
      <c r="AF156" s="2">
        <v>2.1039327391225089</v>
      </c>
      <c r="AG156" s="2">
        <v>2.1226031150031095</v>
      </c>
      <c r="AH156" s="2">
        <v>2.1180884484381575</v>
      </c>
      <c r="AI156" s="2">
        <v>2.0955755341925708</v>
      </c>
      <c r="AJ156" s="2">
        <v>2.0624245156526624</v>
      </c>
      <c r="AK156" s="2">
        <v>0.83822080009121025</v>
      </c>
      <c r="AL156" s="2">
        <v>0.16865100658430565</v>
      </c>
      <c r="AM156" s="2">
        <v>0.13071516345411779</v>
      </c>
      <c r="AN156" s="2">
        <v>9.7170960844662008E-2</v>
      </c>
      <c r="AO156" s="2">
        <v>6.9277649389172899E-2</v>
      </c>
      <c r="AP156" s="2">
        <v>4.7384022039893614E-2</v>
      </c>
      <c r="AQ156" s="2">
        <v>3.1110288803058352E-2</v>
      </c>
      <c r="AR156" s="2">
        <v>23.669695216972986</v>
      </c>
    </row>
    <row r="157" spans="1:44" x14ac:dyDescent="0.25">
      <c r="A157" t="s">
        <v>250</v>
      </c>
      <c r="B157" t="s">
        <v>285</v>
      </c>
      <c r="C157" t="s">
        <v>43</v>
      </c>
      <c r="D157" t="s">
        <v>284</v>
      </c>
      <c r="E157" t="s">
        <v>145</v>
      </c>
      <c r="F157" t="s">
        <v>284</v>
      </c>
      <c r="G157" t="s">
        <v>31</v>
      </c>
      <c r="H157" t="s">
        <v>272</v>
      </c>
      <c r="I157" t="s">
        <v>135</v>
      </c>
      <c r="J157" t="s">
        <v>40</v>
      </c>
      <c r="K157" t="s">
        <v>31</v>
      </c>
      <c r="L157">
        <v>259.74</v>
      </c>
      <c r="M157">
        <v>1</v>
      </c>
      <c r="N157">
        <v>1.3953794259707024</v>
      </c>
      <c r="O157">
        <v>2.8220930578635595</v>
      </c>
      <c r="P157">
        <v>-0.1208952283669998</v>
      </c>
      <c r="Q157">
        <v>0.4672931329656026</v>
      </c>
      <c r="R157">
        <v>-0.98694495274958527</v>
      </c>
      <c r="S157" s="2">
        <v>6.1641568610395023E-3</v>
      </c>
      <c r="T157" s="2">
        <v>1.204182560732508E-2</v>
      </c>
      <c r="U157" s="2">
        <v>2.1131320566504682E-2</v>
      </c>
      <c r="V157" s="2">
        <v>3.3778065717082466E-2</v>
      </c>
      <c r="W157" s="2">
        <v>4.9767648325917534E-2</v>
      </c>
      <c r="X157" s="2">
        <v>6.8287861178757805E-2</v>
      </c>
      <c r="Y157" s="2">
        <v>8.8072242526265485E-2</v>
      </c>
      <c r="Z157" s="2">
        <v>0.1076731625942336</v>
      </c>
      <c r="AA157" s="2">
        <v>0.12576428895274955</v>
      </c>
      <c r="AB157" s="2">
        <v>0.1413740829145117</v>
      </c>
      <c r="AC157" s="2">
        <v>0.15399398616423027</v>
      </c>
      <c r="AD157" s="2">
        <v>0.16355942127277198</v>
      </c>
      <c r="AE157" s="2">
        <v>0.19406972724755914</v>
      </c>
      <c r="AF157" s="2">
        <v>0.20811227785996117</v>
      </c>
      <c r="AG157" s="2">
        <v>0.20995907380583978</v>
      </c>
      <c r="AH157" s="2">
        <v>0.20951250176238159</v>
      </c>
      <c r="AI157" s="2">
        <v>0.20728561789970149</v>
      </c>
      <c r="AJ157" s="2">
        <v>0.20400645699620451</v>
      </c>
      <c r="AK157" s="2">
        <v>8.2913316007114934E-2</v>
      </c>
      <c r="AL157" s="2">
        <v>1.6682256277010667E-2</v>
      </c>
      <c r="AM157" s="2">
        <v>1.2929800421576168E-2</v>
      </c>
      <c r="AN157" s="2">
        <v>9.6117473848797153E-3</v>
      </c>
      <c r="AO157" s="2">
        <v>6.8526570032735774E-3</v>
      </c>
      <c r="AP157" s="2">
        <v>4.687030425222536E-3</v>
      </c>
      <c r="AQ157" s="2">
        <v>3.0773004038075905E-3</v>
      </c>
      <c r="AR157" s="2">
        <v>2.3413078261759219</v>
      </c>
    </row>
    <row r="158" spans="1:44" x14ac:dyDescent="0.25">
      <c r="A158" t="s">
        <v>250</v>
      </c>
      <c r="B158" t="s">
        <v>285</v>
      </c>
      <c r="C158" t="s">
        <v>43</v>
      </c>
      <c r="D158" t="s">
        <v>284</v>
      </c>
      <c r="E158" t="s">
        <v>145</v>
      </c>
      <c r="F158" t="s">
        <v>284</v>
      </c>
      <c r="G158" t="s">
        <v>31</v>
      </c>
      <c r="H158" t="s">
        <v>253</v>
      </c>
      <c r="I158" t="s">
        <v>135</v>
      </c>
      <c r="J158" t="s">
        <v>39</v>
      </c>
      <c r="K158" t="s">
        <v>31</v>
      </c>
      <c r="L158">
        <v>259.74</v>
      </c>
      <c r="M158">
        <v>1</v>
      </c>
      <c r="N158">
        <v>1.3953794259707024</v>
      </c>
      <c r="O158">
        <v>3.994835640102659</v>
      </c>
      <c r="P158">
        <v>-0.1208952283669998</v>
      </c>
      <c r="Q158">
        <v>1.550704251021745</v>
      </c>
      <c r="R158">
        <v>-1.1299449527495853</v>
      </c>
      <c r="S158" s="2">
        <v>1.0189203977722786E-2</v>
      </c>
      <c r="T158" s="2">
        <v>1.9914848366064629E-2</v>
      </c>
      <c r="U158" s="2">
        <v>3.4964667691091772E-2</v>
      </c>
      <c r="V158" s="2">
        <v>5.5918516199250388E-2</v>
      </c>
      <c r="W158" s="2">
        <v>8.2430147696508624E-2</v>
      </c>
      <c r="X158" s="2">
        <v>0.11316198711427855</v>
      </c>
      <c r="Y158" s="2">
        <v>0.1460206257081115</v>
      </c>
      <c r="Z158" s="2">
        <v>0.17860792121247163</v>
      </c>
      <c r="AA158" s="2">
        <v>0.20872221845021274</v>
      </c>
      <c r="AB158" s="2">
        <v>0.23474656121433848</v>
      </c>
      <c r="AC158" s="2">
        <v>0.25582989655308036</v>
      </c>
      <c r="AD158" s="2">
        <v>0.27185742279120884</v>
      </c>
      <c r="AE158" s="2">
        <v>0.32249455680398059</v>
      </c>
      <c r="AF158" s="2">
        <v>0.34417061558586981</v>
      </c>
      <c r="AG158" s="2">
        <v>0.34746955105630856</v>
      </c>
      <c r="AH158" s="2">
        <v>0.34701492044337939</v>
      </c>
      <c r="AI158" s="2">
        <v>0.34364982739501282</v>
      </c>
      <c r="AJ158" s="2">
        <v>0.33856924808340588</v>
      </c>
      <c r="AK158" s="2">
        <v>0.15888295732520913</v>
      </c>
      <c r="AL158" s="2">
        <v>2.6787480837297626E-2</v>
      </c>
      <c r="AM158" s="2">
        <v>2.0771549386946433E-2</v>
      </c>
      <c r="AN158" s="2">
        <v>1.5448169821731222E-2</v>
      </c>
      <c r="AO158" s="2">
        <v>1.1018663900685607E-2</v>
      </c>
      <c r="AP158" s="2">
        <v>7.5398137569255555E-3</v>
      </c>
      <c r="AQ158" s="2">
        <v>4.9524865395625733E-3</v>
      </c>
      <c r="AR158" s="2">
        <v>3.9011338579106556</v>
      </c>
    </row>
    <row r="159" spans="1:44" x14ac:dyDescent="0.25">
      <c r="A159" t="s">
        <v>250</v>
      </c>
      <c r="B159" t="s">
        <v>285</v>
      </c>
      <c r="C159" t="s">
        <v>43</v>
      </c>
      <c r="D159" t="s">
        <v>284</v>
      </c>
      <c r="E159" t="s">
        <v>145</v>
      </c>
      <c r="F159" t="s">
        <v>284</v>
      </c>
      <c r="G159" t="s">
        <v>31</v>
      </c>
      <c r="H159" t="s">
        <v>253</v>
      </c>
      <c r="I159" t="s">
        <v>135</v>
      </c>
      <c r="J159" t="s">
        <v>40</v>
      </c>
      <c r="K159" t="s">
        <v>31</v>
      </c>
      <c r="L159">
        <v>259.74</v>
      </c>
      <c r="M159">
        <v>1</v>
      </c>
      <c r="N159">
        <v>1.3953794259707024</v>
      </c>
      <c r="O159">
        <v>2.8220930578635595</v>
      </c>
      <c r="P159">
        <v>-0.1208952283669998</v>
      </c>
      <c r="Q159">
        <v>0.4672931329656026</v>
      </c>
      <c r="R159">
        <v>-0.98694495274958527</v>
      </c>
      <c r="S159" s="2">
        <v>5.3597330641195077E-3</v>
      </c>
      <c r="T159" s="2">
        <v>1.0475624149628434E-2</v>
      </c>
      <c r="U159" s="2">
        <v>1.8392141909183615E-2</v>
      </c>
      <c r="V159" s="2">
        <v>2.9414301728073491E-2</v>
      </c>
      <c r="W159" s="2">
        <v>4.3359970911876038E-2</v>
      </c>
      <c r="X159" s="2">
        <v>5.95255571744297E-2</v>
      </c>
      <c r="Y159" s="2">
        <v>7.6809884006865919E-2</v>
      </c>
      <c r="Z159" s="2">
        <v>9.395147873466006E-2</v>
      </c>
      <c r="AA159" s="2">
        <v>0.10979222497555693</v>
      </c>
      <c r="AB159" s="2">
        <v>0.12348157015795044</v>
      </c>
      <c r="AC159" s="2">
        <v>0.13457184274097406</v>
      </c>
      <c r="AD159" s="2">
        <v>0.14300265465742554</v>
      </c>
      <c r="AE159" s="2">
        <v>0.16963883958746356</v>
      </c>
      <c r="AF159" s="2">
        <v>0.1810408970207131</v>
      </c>
      <c r="AG159" s="2">
        <v>0.18277620564305117</v>
      </c>
      <c r="AH159" s="2">
        <v>0.1825370604916341</v>
      </c>
      <c r="AI159" s="2">
        <v>0.18076695160829029</v>
      </c>
      <c r="AJ159" s="2">
        <v>0.17809446129591278</v>
      </c>
      <c r="AK159" s="2">
        <v>8.3575737767430963E-2</v>
      </c>
      <c r="AL159" s="2">
        <v>1.4090771669900136E-2</v>
      </c>
      <c r="AM159" s="2">
        <v>1.0926266692237653E-2</v>
      </c>
      <c r="AN159" s="2">
        <v>8.1260584001157706E-3</v>
      </c>
      <c r="AO159" s="2">
        <v>5.7960462230458743E-3</v>
      </c>
      <c r="AP159" s="2">
        <v>3.9660987432041253E-3</v>
      </c>
      <c r="AQ159" s="2">
        <v>2.605110852009122E-3</v>
      </c>
      <c r="AR159" s="2">
        <v>2.0520774902057521</v>
      </c>
    </row>
    <row r="160" spans="1:44" x14ac:dyDescent="0.25">
      <c r="A160" t="s">
        <v>250</v>
      </c>
      <c r="B160" t="s">
        <v>285</v>
      </c>
      <c r="C160" t="s">
        <v>43</v>
      </c>
      <c r="D160" t="s">
        <v>284</v>
      </c>
      <c r="E160" t="s">
        <v>145</v>
      </c>
      <c r="F160" t="s">
        <v>284</v>
      </c>
      <c r="G160" t="s">
        <v>31</v>
      </c>
      <c r="H160" t="s">
        <v>253</v>
      </c>
      <c r="I160" t="s">
        <v>256</v>
      </c>
      <c r="J160" t="s">
        <v>39</v>
      </c>
      <c r="K160" t="s">
        <v>31</v>
      </c>
      <c r="L160">
        <v>259.74</v>
      </c>
      <c r="M160">
        <v>0</v>
      </c>
      <c r="N160">
        <v>0.92441308277863887</v>
      </c>
      <c r="O160">
        <v>2.6465047861031117</v>
      </c>
      <c r="P160">
        <v>0.60943428210909911</v>
      </c>
      <c r="Q160">
        <v>0.4672931329656026</v>
      </c>
      <c r="R160">
        <v>-0.39961544227348617</v>
      </c>
      <c r="S160" s="2">
        <v>5.3448581321080737E-3</v>
      </c>
      <c r="T160" s="2">
        <v>1.0446551023198648E-2</v>
      </c>
      <c r="U160" s="2">
        <v>1.8341097975246825E-2</v>
      </c>
      <c r="V160" s="2">
        <v>2.9332667860652372E-2</v>
      </c>
      <c r="W160" s="2">
        <v>4.3239633460063452E-2</v>
      </c>
      <c r="X160" s="2">
        <v>5.9360355175501846E-2</v>
      </c>
      <c r="Y160" s="2">
        <v>7.6596712606585377E-2</v>
      </c>
      <c r="Z160" s="2">
        <v>9.3690734059163547E-2</v>
      </c>
      <c r="AA160" s="2">
        <v>0.10948751728538694</v>
      </c>
      <c r="AB160" s="2">
        <v>0.12313887026249092</v>
      </c>
      <c r="AC160" s="2">
        <v>0.13419836387785192</v>
      </c>
      <c r="AD160" s="2">
        <v>0.14260577766000121</v>
      </c>
      <c r="AE160" s="2">
        <v>0.16916803886377554</v>
      </c>
      <c r="AF160" s="2">
        <v>0.18053845202909594</v>
      </c>
      <c r="AG160" s="2">
        <v>0.1822689446284218</v>
      </c>
      <c r="AH160" s="2">
        <v>0.182030463179436</v>
      </c>
      <c r="AI160" s="2">
        <v>0.18026526690069003</v>
      </c>
      <c r="AJ160" s="2">
        <v>0.17760019358300677</v>
      </c>
      <c r="AK160" s="2">
        <v>8.3343789011358776E-2</v>
      </c>
      <c r="AL160" s="2">
        <v>1.4051665380823617E-2</v>
      </c>
      <c r="AM160" s="2">
        <v>1.0895942892107902E-2</v>
      </c>
      <c r="AN160" s="2">
        <v>8.1035060519340542E-3</v>
      </c>
      <c r="AO160" s="2">
        <v>5.7799603858463061E-3</v>
      </c>
      <c r="AP160" s="2">
        <v>3.9550915813827987E-3</v>
      </c>
      <c r="AQ160" s="2">
        <v>2.5978808563466324E-3</v>
      </c>
      <c r="AR160" s="2">
        <v>2.0463823347224777</v>
      </c>
    </row>
    <row r="161" spans="1:44" x14ac:dyDescent="0.25">
      <c r="A161" t="s">
        <v>250</v>
      </c>
      <c r="B161" t="s">
        <v>285</v>
      </c>
      <c r="C161" t="s">
        <v>43</v>
      </c>
      <c r="D161" t="s">
        <v>284</v>
      </c>
      <c r="E161" t="s">
        <v>145</v>
      </c>
      <c r="F161" t="s">
        <v>284</v>
      </c>
      <c r="G161" t="s">
        <v>31</v>
      </c>
      <c r="H161" t="s">
        <v>273</v>
      </c>
      <c r="I161" t="s">
        <v>135</v>
      </c>
      <c r="J161" t="s">
        <v>39</v>
      </c>
      <c r="K161" t="s">
        <v>31</v>
      </c>
      <c r="L161">
        <v>259.74</v>
      </c>
      <c r="M161">
        <v>1</v>
      </c>
      <c r="N161">
        <v>1.3953794259707024</v>
      </c>
      <c r="O161">
        <v>3.994835640102659</v>
      </c>
      <c r="P161">
        <v>-0.1208952283669998</v>
      </c>
      <c r="Q161">
        <v>1.550704251021745</v>
      </c>
      <c r="R161">
        <v>-1.1299449527495853</v>
      </c>
      <c r="S161" s="2">
        <v>1.8742301566501567E-2</v>
      </c>
      <c r="T161" s="2">
        <v>3.6613527532076424E-2</v>
      </c>
      <c r="U161" s="2">
        <v>6.4250406257354564E-2</v>
      </c>
      <c r="V161" s="2">
        <v>0.10270320958313631</v>
      </c>
      <c r="W161" s="2">
        <v>0.15132000924172551</v>
      </c>
      <c r="X161" s="2">
        <v>0.20763126513426211</v>
      </c>
      <c r="Y161" s="2">
        <v>0.26778626278938783</v>
      </c>
      <c r="Z161" s="2">
        <v>0.32738344098851602</v>
      </c>
      <c r="AA161" s="2">
        <v>0.38239004668216353</v>
      </c>
      <c r="AB161" s="2">
        <v>0.42985208770701899</v>
      </c>
      <c r="AC161" s="2">
        <v>0.46822327743797121</v>
      </c>
      <c r="AD161" s="2">
        <v>0.49730726628845257</v>
      </c>
      <c r="AE161" s="2">
        <v>0.5900747555585526</v>
      </c>
      <c r="AF161" s="2">
        <v>0.63277154674568004</v>
      </c>
      <c r="AG161" s="2">
        <v>0.63838678453565589</v>
      </c>
      <c r="AH161" s="2">
        <v>0.6370289690065658</v>
      </c>
      <c r="AI161" s="2">
        <v>0.63025806264438011</v>
      </c>
      <c r="AJ161" s="2">
        <v>0.62028767676291852</v>
      </c>
      <c r="AK161" s="2">
        <v>0.25210039386017841</v>
      </c>
      <c r="AL161" s="2">
        <v>5.072289446908558E-2</v>
      </c>
      <c r="AM161" s="2">
        <v>3.9313441263561635E-2</v>
      </c>
      <c r="AN161" s="2">
        <v>2.9224802698818646E-2</v>
      </c>
      <c r="AO161" s="2">
        <v>2.0835706647720664E-2</v>
      </c>
      <c r="AP161" s="2">
        <v>1.4251054874368389E-2</v>
      </c>
      <c r="AQ161" s="2">
        <v>9.3566230514698576E-3</v>
      </c>
      <c r="AR161" s="2">
        <v>7.1188158133275232</v>
      </c>
    </row>
    <row r="162" spans="1:44" x14ac:dyDescent="0.25">
      <c r="A162" t="s">
        <v>250</v>
      </c>
      <c r="B162" t="s">
        <v>285</v>
      </c>
      <c r="C162" t="s">
        <v>43</v>
      </c>
      <c r="D162" t="s">
        <v>284</v>
      </c>
      <c r="E162" t="s">
        <v>145</v>
      </c>
      <c r="F162" t="s">
        <v>284</v>
      </c>
      <c r="G162" t="s">
        <v>31</v>
      </c>
      <c r="H162" t="s">
        <v>252</v>
      </c>
      <c r="I162" t="s">
        <v>135</v>
      </c>
      <c r="J162" t="s">
        <v>39</v>
      </c>
      <c r="K162" t="s">
        <v>31</v>
      </c>
      <c r="L162">
        <v>259.74</v>
      </c>
      <c r="M162">
        <v>1</v>
      </c>
      <c r="N162">
        <v>1.3953794259707024</v>
      </c>
      <c r="O162">
        <v>3.994835640102659</v>
      </c>
      <c r="P162">
        <v>-0.1208952283669998</v>
      </c>
      <c r="Q162">
        <v>1.550704251021745</v>
      </c>
      <c r="R162">
        <v>-1.1299449527495853</v>
      </c>
      <c r="S162" s="2">
        <v>3.1486608784157551E-2</v>
      </c>
      <c r="T162" s="2">
        <v>6.1565446514051145E-2</v>
      </c>
      <c r="U162" s="2">
        <v>0.10813438947702485</v>
      </c>
      <c r="V162" s="2">
        <v>0.17300731430916969</v>
      </c>
      <c r="W162" s="2">
        <v>0.25513456601727541</v>
      </c>
      <c r="X162" s="2">
        <v>0.35039523083754098</v>
      </c>
      <c r="Y162" s="2">
        <v>0.4523204512891959</v>
      </c>
      <c r="Z162" s="2">
        <v>0.55348662819879846</v>
      </c>
      <c r="AA162" s="2">
        <v>0.64706736610176985</v>
      </c>
      <c r="AB162" s="2">
        <v>0.72803867775417852</v>
      </c>
      <c r="AC162" s="2">
        <v>0.79374482416547698</v>
      </c>
      <c r="AD162" s="2">
        <v>0.84381104270432905</v>
      </c>
      <c r="AE162" s="2">
        <v>1.0007988958695684</v>
      </c>
      <c r="AF162" s="2">
        <v>1.0639894928459634</v>
      </c>
      <c r="AG162" s="2">
        <v>1.0747935371290989</v>
      </c>
      <c r="AH162" s="2">
        <v>1.0740913180848488</v>
      </c>
      <c r="AI162" s="2">
        <v>1.064476197460567</v>
      </c>
      <c r="AJ162" s="2">
        <v>1.0496202220352151</v>
      </c>
      <c r="AK162" s="2">
        <v>0.54576503973692414</v>
      </c>
      <c r="AL162" s="2">
        <v>8.0819957348962732E-2</v>
      </c>
      <c r="AM162" s="2">
        <v>6.2692493036592009E-2</v>
      </c>
      <c r="AN162" s="2">
        <v>4.6642487528589648E-2</v>
      </c>
      <c r="AO162" s="2">
        <v>3.3280493116277073E-2</v>
      </c>
      <c r="AP162" s="2">
        <v>2.2781153898222339E-2</v>
      </c>
      <c r="AQ162" s="2">
        <v>1.49689325651157E-2</v>
      </c>
      <c r="AR162" s="2">
        <v>12.132912766808916</v>
      </c>
    </row>
    <row r="163" spans="1:44" x14ac:dyDescent="0.25">
      <c r="A163" t="s">
        <v>250</v>
      </c>
      <c r="B163" t="s">
        <v>285</v>
      </c>
      <c r="C163" t="s">
        <v>43</v>
      </c>
      <c r="D163" t="s">
        <v>284</v>
      </c>
      <c r="E163" t="s">
        <v>145</v>
      </c>
      <c r="F163" t="s">
        <v>284</v>
      </c>
      <c r="G163" t="s">
        <v>31</v>
      </c>
      <c r="H163" t="s">
        <v>274</v>
      </c>
      <c r="I163" t="s">
        <v>135</v>
      </c>
      <c r="J163" t="s">
        <v>39</v>
      </c>
      <c r="K163" t="s">
        <v>31</v>
      </c>
      <c r="L163">
        <v>259.74</v>
      </c>
      <c r="M163">
        <v>1</v>
      </c>
      <c r="N163">
        <v>1.3953794259707024</v>
      </c>
      <c r="O163">
        <v>3.994835640102659</v>
      </c>
      <c r="P163">
        <v>-0.1208952283669998</v>
      </c>
      <c r="Q163">
        <v>1.550704251021745</v>
      </c>
      <c r="R163">
        <v>-1.1299449527495853</v>
      </c>
      <c r="S163" s="2">
        <v>2.9503738857703021E-2</v>
      </c>
      <c r="T163" s="2">
        <v>5.7636248735663614E-2</v>
      </c>
      <c r="U163" s="2">
        <v>0.10114164479705115</v>
      </c>
      <c r="V163" s="2">
        <v>0.16167324299191707</v>
      </c>
      <c r="W163" s="2">
        <v>0.2382047914858314</v>
      </c>
      <c r="X163" s="2">
        <v>0.32684879194157723</v>
      </c>
      <c r="Y163" s="2">
        <v>0.42154353023213442</v>
      </c>
      <c r="Z163" s="2">
        <v>0.51536016080998104</v>
      </c>
      <c r="AA163" s="2">
        <v>0.60195040822840129</v>
      </c>
      <c r="AB163" s="2">
        <v>0.67666415984969186</v>
      </c>
      <c r="AC163" s="2">
        <v>0.73706728363171459</v>
      </c>
      <c r="AD163" s="2">
        <v>0.78285069016480668</v>
      </c>
      <c r="AE163" s="2">
        <v>0.92888333019028047</v>
      </c>
      <c r="AF163" s="2">
        <v>0.99609572525164303</v>
      </c>
      <c r="AG163" s="2">
        <v>1.0049351150561181</v>
      </c>
      <c r="AH163" s="2">
        <v>1.0027976702687167</v>
      </c>
      <c r="AI163" s="2">
        <v>0.99213905118551438</v>
      </c>
      <c r="AJ163" s="2">
        <v>0.9764438784067897</v>
      </c>
      <c r="AK163" s="2">
        <v>0.3968511636622421</v>
      </c>
      <c r="AL163" s="2">
        <v>7.9846918864943078E-2</v>
      </c>
      <c r="AM163" s="2">
        <v>6.1886396423737944E-2</v>
      </c>
      <c r="AN163" s="2">
        <v>4.6005072745971681E-2</v>
      </c>
      <c r="AO163" s="2">
        <v>3.2799133322493047E-2</v>
      </c>
      <c r="AP163" s="2">
        <v>2.243371231480196E-2</v>
      </c>
      <c r="AQ163" s="2">
        <v>1.4729000177541246E-2</v>
      </c>
      <c r="AR163" s="2">
        <v>11.206290859597267</v>
      </c>
    </row>
    <row r="164" spans="1:44" x14ac:dyDescent="0.25">
      <c r="A164" t="s">
        <v>250</v>
      </c>
      <c r="B164" t="s">
        <v>285</v>
      </c>
      <c r="C164" t="s">
        <v>43</v>
      </c>
      <c r="D164" t="s">
        <v>284</v>
      </c>
      <c r="E164" t="s">
        <v>145</v>
      </c>
      <c r="F164" t="s">
        <v>284</v>
      </c>
      <c r="G164" t="s">
        <v>31</v>
      </c>
      <c r="H164" t="s">
        <v>274</v>
      </c>
      <c r="I164" t="s">
        <v>135</v>
      </c>
      <c r="J164" t="s">
        <v>39</v>
      </c>
      <c r="K164" t="s">
        <v>33</v>
      </c>
      <c r="L164">
        <v>259.74</v>
      </c>
      <c r="M164">
        <v>1</v>
      </c>
      <c r="N164">
        <v>1.3953794259707024</v>
      </c>
      <c r="O164">
        <v>3.994835640102659</v>
      </c>
      <c r="P164">
        <v>-0.1208952283669998</v>
      </c>
      <c r="Q164">
        <v>1.550704251021745</v>
      </c>
      <c r="R164">
        <v>-1.1299449527495853</v>
      </c>
      <c r="S164" s="2">
        <v>9.4927767108076219E-5</v>
      </c>
      <c r="T164" s="2">
        <v>1.8544362880075287E-4</v>
      </c>
      <c r="U164" s="2">
        <v>3.2542148466432462E-4</v>
      </c>
      <c r="V164" s="2">
        <v>5.2018085003952485E-4</v>
      </c>
      <c r="W164" s="2">
        <v>7.6641977748156194E-4</v>
      </c>
      <c r="X164" s="2">
        <v>1.0516303086408785E-3</v>
      </c>
      <c r="Y164" s="2">
        <v>1.3563089836441072E-3</v>
      </c>
      <c r="Z164" s="2">
        <v>1.6581623623399752E-3</v>
      </c>
      <c r="AA164" s="2">
        <v>1.9367649787883786E-3</v>
      </c>
      <c r="AB164" s="2">
        <v>2.1771551763793803E-3</v>
      </c>
      <c r="AC164" s="2">
        <v>2.371501177563671E-3</v>
      </c>
      <c r="AD164" s="2">
        <v>2.5188084925364994E-3</v>
      </c>
      <c r="AE164" s="2">
        <v>2.9886659743077085E-3</v>
      </c>
      <c r="AF164" s="2">
        <v>3.2049206875131536E-3</v>
      </c>
      <c r="AG164" s="2">
        <v>3.2333612706129406E-3</v>
      </c>
      <c r="AH164" s="2">
        <v>3.2264840791504119E-3</v>
      </c>
      <c r="AI164" s="2">
        <v>3.1921901574578429E-3</v>
      </c>
      <c r="AJ164" s="2">
        <v>3.1416912117667429E-3</v>
      </c>
      <c r="AK164" s="2">
        <v>1.2768617232680954E-3</v>
      </c>
      <c r="AL164" s="2">
        <v>2.5690607400186615E-4</v>
      </c>
      <c r="AM164" s="2">
        <v>1.9911840513518004E-4</v>
      </c>
      <c r="AN164" s="2">
        <v>1.4802052216102363E-4</v>
      </c>
      <c r="AO164" s="2">
        <v>1.0553064153669011E-4</v>
      </c>
      <c r="AP164" s="2">
        <v>7.2180079557377915E-5</v>
      </c>
      <c r="AQ164" s="2">
        <v>4.7390302135330953E-5</v>
      </c>
      <c r="AR164" s="2">
        <v>3.6056046116591502E-2</v>
      </c>
    </row>
    <row r="165" spans="1:44" x14ac:dyDescent="0.25">
      <c r="A165" t="s">
        <v>250</v>
      </c>
      <c r="B165" t="s">
        <v>285</v>
      </c>
      <c r="C165" t="s">
        <v>43</v>
      </c>
      <c r="D165" t="s">
        <v>284</v>
      </c>
      <c r="E165" t="s">
        <v>145</v>
      </c>
      <c r="F165" t="s">
        <v>284</v>
      </c>
      <c r="G165" t="s">
        <v>31</v>
      </c>
      <c r="H165" t="s">
        <v>276</v>
      </c>
      <c r="I165" t="s">
        <v>135</v>
      </c>
      <c r="J165" t="s">
        <v>39</v>
      </c>
      <c r="K165" t="s">
        <v>31</v>
      </c>
      <c r="L165">
        <v>259.74</v>
      </c>
      <c r="M165">
        <v>1</v>
      </c>
      <c r="N165">
        <v>1.3953794259707024</v>
      </c>
      <c r="O165">
        <v>3.994835640102659</v>
      </c>
      <c r="P165">
        <v>-0.1208952283669998</v>
      </c>
      <c r="Q165">
        <v>1.550704251021745</v>
      </c>
      <c r="R165">
        <v>-1.1299449527495853</v>
      </c>
      <c r="S165" s="2">
        <v>4.4517929440009471E-2</v>
      </c>
      <c r="T165" s="2">
        <v>8.7185245454417443E-2</v>
      </c>
      <c r="U165" s="2">
        <v>0.15337927685001437</v>
      </c>
      <c r="V165" s="2">
        <v>0.24579000021009245</v>
      </c>
      <c r="W165" s="2">
        <v>0.36304958056211911</v>
      </c>
      <c r="X165" s="2">
        <v>0.49940365512607088</v>
      </c>
      <c r="Y165" s="2">
        <v>0.64570871338034941</v>
      </c>
      <c r="Z165" s="2">
        <v>0.79139708801984121</v>
      </c>
      <c r="AA165" s="2">
        <v>0.92668835259205973</v>
      </c>
      <c r="AB165" s="2">
        <v>1.0443247041993788</v>
      </c>
      <c r="AC165" s="2">
        <v>1.1404044362965917</v>
      </c>
      <c r="AD165" s="2">
        <v>1.214283485587788</v>
      </c>
      <c r="AE165" s="2">
        <v>1.4391775465502759</v>
      </c>
      <c r="AF165" s="2">
        <v>1.5071286883914186</v>
      </c>
      <c r="AG165" s="2">
        <v>1.5258655933190441</v>
      </c>
      <c r="AH165" s="2">
        <v>1.528869189622365</v>
      </c>
      <c r="AI165" s="2">
        <v>1.5197419568879269</v>
      </c>
      <c r="AJ165" s="2">
        <v>1.5035617203226177</v>
      </c>
      <c r="AK165" s="2">
        <v>1.0920178826681211</v>
      </c>
      <c r="AL165" s="2">
        <v>0.10305644203221287</v>
      </c>
      <c r="AM165" s="2">
        <v>8.0059125614297247E-2</v>
      </c>
      <c r="AN165" s="2">
        <v>5.9649714613901783E-2</v>
      </c>
      <c r="AO165" s="2">
        <v>4.2622647275877806E-2</v>
      </c>
      <c r="AP165" s="2">
        <v>2.9217501348629243E-2</v>
      </c>
      <c r="AQ165" s="2">
        <v>1.9225055806384447E-2</v>
      </c>
      <c r="AR165" s="2">
        <v>17.606325532171802</v>
      </c>
    </row>
    <row r="166" spans="1:44" x14ac:dyDescent="0.25">
      <c r="A166" t="s">
        <v>250</v>
      </c>
      <c r="B166" t="s">
        <v>285</v>
      </c>
      <c r="C166" t="s">
        <v>43</v>
      </c>
      <c r="D166" t="s">
        <v>284</v>
      </c>
      <c r="E166" t="s">
        <v>145</v>
      </c>
      <c r="F166" t="s">
        <v>284</v>
      </c>
      <c r="G166" t="s">
        <v>31</v>
      </c>
      <c r="H166" t="s">
        <v>275</v>
      </c>
      <c r="I166" t="s">
        <v>135</v>
      </c>
      <c r="J166" t="s">
        <v>39</v>
      </c>
      <c r="K166" t="s">
        <v>31</v>
      </c>
      <c r="L166">
        <v>259.74</v>
      </c>
      <c r="M166">
        <v>1</v>
      </c>
      <c r="N166">
        <v>1.3953794259707024</v>
      </c>
      <c r="O166">
        <v>3.994835640102659</v>
      </c>
      <c r="P166">
        <v>-0.1208952283669998</v>
      </c>
      <c r="Q166">
        <v>1.550704251021745</v>
      </c>
      <c r="R166">
        <v>-1.1299449527495853</v>
      </c>
      <c r="S166" s="2">
        <v>4.5072490075685243E-2</v>
      </c>
      <c r="T166" s="2">
        <v>8.8050170917902904E-2</v>
      </c>
      <c r="U166" s="2">
        <v>0.15451281626848304</v>
      </c>
      <c r="V166" s="2">
        <v>0.24698617607085044</v>
      </c>
      <c r="W166" s="2">
        <v>0.36390245832936724</v>
      </c>
      <c r="X166" s="2">
        <v>0.4993227808207148</v>
      </c>
      <c r="Y166" s="2">
        <v>0.64398673925682981</v>
      </c>
      <c r="Z166" s="2">
        <v>0.78730922360529088</v>
      </c>
      <c r="AA166" s="2">
        <v>0.91959205346090056</v>
      </c>
      <c r="AB166" s="2">
        <v>1.0337313103432064</v>
      </c>
      <c r="AC166" s="2">
        <v>1.1260084014039822</v>
      </c>
      <c r="AD166" s="2">
        <v>1.195951134646928</v>
      </c>
      <c r="AE166" s="2">
        <v>1.4190433586535067</v>
      </c>
      <c r="AF166" s="2">
        <v>1.5217228876439579</v>
      </c>
      <c r="AG166" s="2">
        <v>1.535226712062923</v>
      </c>
      <c r="AH166" s="2">
        <v>1.5319613645951966</v>
      </c>
      <c r="AI166" s="2">
        <v>1.5156783265312672</v>
      </c>
      <c r="AJ166" s="2">
        <v>1.4917010088524112</v>
      </c>
      <c r="AK166" s="2">
        <v>0.6062645219970314</v>
      </c>
      <c r="AL166" s="2">
        <v>0.1219811317972863</v>
      </c>
      <c r="AM166" s="2">
        <v>9.4543067984774715E-2</v>
      </c>
      <c r="AN166" s="2">
        <v>7.0281369923140755E-2</v>
      </c>
      <c r="AO166" s="2">
        <v>5.0106822674210592E-2</v>
      </c>
      <c r="AP166" s="2">
        <v>3.4271699615647237E-2</v>
      </c>
      <c r="AQ166" s="2">
        <v>2.2501307970791792E-2</v>
      </c>
      <c r="AR166" s="2">
        <v>17.119709335502289</v>
      </c>
    </row>
    <row r="167" spans="1:44" x14ac:dyDescent="0.25">
      <c r="A167" t="s">
        <v>250</v>
      </c>
      <c r="B167" t="s">
        <v>285</v>
      </c>
      <c r="C167" t="s">
        <v>43</v>
      </c>
      <c r="D167" t="s">
        <v>284</v>
      </c>
      <c r="E167" t="s">
        <v>145</v>
      </c>
      <c r="F167" t="s">
        <v>284</v>
      </c>
      <c r="G167" t="s">
        <v>31</v>
      </c>
      <c r="H167" t="s">
        <v>277</v>
      </c>
      <c r="I167" t="s">
        <v>135</v>
      </c>
      <c r="J167" t="s">
        <v>39</v>
      </c>
      <c r="K167" t="s">
        <v>31</v>
      </c>
      <c r="L167">
        <v>259.74</v>
      </c>
      <c r="M167">
        <v>1</v>
      </c>
      <c r="N167">
        <v>1.3953794259707024</v>
      </c>
      <c r="O167">
        <v>3.994835640102659</v>
      </c>
      <c r="P167">
        <v>-0.1208952283669998</v>
      </c>
      <c r="Q167">
        <v>1.550704251021745</v>
      </c>
      <c r="R167">
        <v>-1.1299449527495853</v>
      </c>
      <c r="S167" s="2">
        <v>0.72819295116321126</v>
      </c>
      <c r="T167" s="2">
        <v>1.4223705867014647</v>
      </c>
      <c r="U167" s="2">
        <v>2.4957133873053721</v>
      </c>
      <c r="V167" s="2">
        <v>3.9888755531760616</v>
      </c>
      <c r="W167" s="2">
        <v>5.8763881060092782</v>
      </c>
      <c r="X167" s="2">
        <v>8.062217361316911</v>
      </c>
      <c r="Y167" s="2">
        <v>10.396752070126437</v>
      </c>
      <c r="Z167" s="2">
        <v>12.709069157981546</v>
      </c>
      <c r="AA167" s="2">
        <v>14.842643416327972</v>
      </c>
      <c r="AB167" s="2">
        <v>16.682892663880985</v>
      </c>
      <c r="AC167" s="2">
        <v>18.169917545069556</v>
      </c>
      <c r="AD167" s="2">
        <v>19.296227085675582</v>
      </c>
      <c r="AE167" s="2">
        <v>22.897029294688739</v>
      </c>
      <c r="AF167" s="2">
        <v>24.582289771114318</v>
      </c>
      <c r="AG167" s="2">
        <v>24.796239393338308</v>
      </c>
      <c r="AH167" s="2">
        <v>24.73862903161816</v>
      </c>
      <c r="AI167" s="2">
        <v>24.470154300739022</v>
      </c>
      <c r="AJ167" s="2">
        <v>24.076966402478924</v>
      </c>
      <c r="AK167" s="2">
        <v>9.4243057535942647</v>
      </c>
      <c r="AL167" s="2">
        <v>1.9841947789701024</v>
      </c>
      <c r="AM167" s="2">
        <v>1.5377060450131934</v>
      </c>
      <c r="AN167" s="2">
        <v>1.1429741457908464</v>
      </c>
      <c r="AO167" s="2">
        <v>0.8147909207955818</v>
      </c>
      <c r="AP167" s="2">
        <v>0.55723534363534799</v>
      </c>
      <c r="AQ167" s="2">
        <v>0.3658179706299669</v>
      </c>
      <c r="AR167" s="2">
        <v>276.0595930371411</v>
      </c>
    </row>
    <row r="168" spans="1:44" x14ac:dyDescent="0.25">
      <c r="A168" t="s">
        <v>250</v>
      </c>
      <c r="B168" t="s">
        <v>285</v>
      </c>
      <c r="C168" t="s">
        <v>43</v>
      </c>
      <c r="D168" t="s">
        <v>284</v>
      </c>
      <c r="E168" t="s">
        <v>145</v>
      </c>
      <c r="F168" t="s">
        <v>284</v>
      </c>
      <c r="G168" t="s">
        <v>31</v>
      </c>
      <c r="H168" t="s">
        <v>277</v>
      </c>
      <c r="I168" t="s">
        <v>135</v>
      </c>
      <c r="J168" t="s">
        <v>40</v>
      </c>
      <c r="K168" t="s">
        <v>31</v>
      </c>
      <c r="L168">
        <v>259.74</v>
      </c>
      <c r="M168">
        <v>1</v>
      </c>
      <c r="N168">
        <v>1.3953794259707024</v>
      </c>
      <c r="O168">
        <v>2.8220930578635595</v>
      </c>
      <c r="P168">
        <v>-0.1208952283669998</v>
      </c>
      <c r="Q168">
        <v>0.4672931329656026</v>
      </c>
      <c r="R168">
        <v>-0.98694495274958527</v>
      </c>
      <c r="S168" s="2">
        <v>0.11486908109192649</v>
      </c>
      <c r="T168" s="2">
        <v>0.22437240295389999</v>
      </c>
      <c r="U168" s="2">
        <v>0.39368728166160599</v>
      </c>
      <c r="V168" s="2">
        <v>0.62922672988177153</v>
      </c>
      <c r="W168" s="2">
        <v>0.92697313369835066</v>
      </c>
      <c r="X168" s="2">
        <v>1.271777622096594</v>
      </c>
      <c r="Y168" s="2">
        <v>1.6400397102557718</v>
      </c>
      <c r="Z168" s="2">
        <v>2.0047970711321517</v>
      </c>
      <c r="AA168" s="2">
        <v>2.3413585746541923</v>
      </c>
      <c r="AB168" s="2">
        <v>2.6316494099456551</v>
      </c>
      <c r="AC168" s="2">
        <v>2.8662207297999696</v>
      </c>
      <c r="AD168" s="2">
        <v>3.0438908675674599</v>
      </c>
      <c r="AE168" s="2">
        <v>3.6119008164174238</v>
      </c>
      <c r="AF168" s="2">
        <v>3.8777428875584881</v>
      </c>
      <c r="AG168" s="2">
        <v>3.9114924541610931</v>
      </c>
      <c r="AH168" s="2">
        <v>3.9024046851822916</v>
      </c>
      <c r="AI168" s="2">
        <v>3.8600540340489253</v>
      </c>
      <c r="AJ168" s="2">
        <v>3.7980304556862694</v>
      </c>
      <c r="AK168" s="2">
        <v>1.4866407867797202</v>
      </c>
      <c r="AL168" s="2">
        <v>0.31299757928665789</v>
      </c>
      <c r="AM168" s="2">
        <v>0.24256603980855934</v>
      </c>
      <c r="AN168" s="2">
        <v>0.18029890241191923</v>
      </c>
      <c r="AO168" s="2">
        <v>0.12852951158662954</v>
      </c>
      <c r="AP168" s="2">
        <v>8.7901306615353364E-2</v>
      </c>
      <c r="AQ168" s="2">
        <v>5.7706098453786298E-2</v>
      </c>
      <c r="AR168" s="2">
        <v>43.547128172736464</v>
      </c>
    </row>
    <row r="169" spans="1:44" x14ac:dyDescent="0.25">
      <c r="A169" t="s">
        <v>250</v>
      </c>
      <c r="B169" t="s">
        <v>285</v>
      </c>
      <c r="C169" t="s">
        <v>43</v>
      </c>
      <c r="D169" t="s">
        <v>284</v>
      </c>
      <c r="E169" t="s">
        <v>148</v>
      </c>
      <c r="F169" t="s">
        <v>284</v>
      </c>
      <c r="G169" t="s">
        <v>31</v>
      </c>
      <c r="H169" t="s">
        <v>272</v>
      </c>
      <c r="I169" t="s">
        <v>135</v>
      </c>
      <c r="J169" t="s">
        <v>39</v>
      </c>
      <c r="K169" t="s">
        <v>31</v>
      </c>
      <c r="L169">
        <v>259.74</v>
      </c>
      <c r="M169">
        <v>1</v>
      </c>
      <c r="N169">
        <v>1.3953794259707024</v>
      </c>
      <c r="O169">
        <v>3.994835640102659</v>
      </c>
      <c r="P169">
        <v>-0.1208952283669998</v>
      </c>
      <c r="Q169">
        <v>1.550704251021745</v>
      </c>
      <c r="R169">
        <v>-1.1299449527495853</v>
      </c>
      <c r="S169" s="2">
        <v>8.4812444358207308E-3</v>
      </c>
      <c r="T169" s="2">
        <v>2.3395874326273998E-2</v>
      </c>
      <c r="U169" s="2">
        <v>4.1519764698119639E-2</v>
      </c>
      <c r="V169" s="2">
        <v>6.7122221780373484E-2</v>
      </c>
      <c r="W169" s="2">
        <v>0.10002390881311851</v>
      </c>
      <c r="X169" s="2">
        <v>0.13881841198353437</v>
      </c>
      <c r="Y169" s="2">
        <v>0.18109690409754969</v>
      </c>
      <c r="Z169" s="2">
        <v>0.2239593761473424</v>
      </c>
      <c r="AA169" s="2">
        <v>0.2646245742161929</v>
      </c>
      <c r="AB169" s="2">
        <v>0.30093643770860284</v>
      </c>
      <c r="AC169" s="2">
        <v>0.33163611015490874</v>
      </c>
      <c r="AD169" s="2">
        <v>0.35637519734959533</v>
      </c>
      <c r="AE169" s="2">
        <v>0.37553389266700543</v>
      </c>
      <c r="AF169" s="2">
        <v>0.38994725193369917</v>
      </c>
      <c r="AG169" s="2">
        <v>0.40063508853635316</v>
      </c>
      <c r="AH169" s="2">
        <v>0.40859559732909162</v>
      </c>
      <c r="AI169" s="2">
        <v>0.4146828773512552</v>
      </c>
      <c r="AJ169" s="2">
        <v>0.41998927069046182</v>
      </c>
      <c r="AK169" s="2">
        <v>0.424806687092395</v>
      </c>
      <c r="AL169" s="2">
        <v>0.42797985961781276</v>
      </c>
      <c r="AM169" s="2">
        <v>0.43119593450936744</v>
      </c>
      <c r="AN169" s="2">
        <v>0.43445535922749745</v>
      </c>
      <c r="AO169" s="2">
        <v>0.43775858640547022</v>
      </c>
      <c r="AP169" s="2">
        <v>0.44110607390661288</v>
      </c>
      <c r="AQ169" s="2">
        <v>0.44449828488231879</v>
      </c>
      <c r="AR169" s="2">
        <v>7.4891747898607743</v>
      </c>
    </row>
    <row r="170" spans="1:44" x14ac:dyDescent="0.25">
      <c r="A170" t="s">
        <v>250</v>
      </c>
      <c r="B170" t="s">
        <v>285</v>
      </c>
      <c r="C170" t="s">
        <v>43</v>
      </c>
      <c r="D170" t="s">
        <v>284</v>
      </c>
      <c r="E170" t="s">
        <v>148</v>
      </c>
      <c r="F170" t="s">
        <v>284</v>
      </c>
      <c r="G170" t="s">
        <v>31</v>
      </c>
      <c r="H170" t="s">
        <v>272</v>
      </c>
      <c r="I170" t="s">
        <v>135</v>
      </c>
      <c r="J170" t="s">
        <v>40</v>
      </c>
      <c r="K170" t="s">
        <v>31</v>
      </c>
      <c r="L170">
        <v>259.74</v>
      </c>
      <c r="M170">
        <v>1</v>
      </c>
      <c r="N170">
        <v>1.3953794259707024</v>
      </c>
      <c r="O170">
        <v>2.8220930578635595</v>
      </c>
      <c r="P170">
        <v>-0.1208952283669998</v>
      </c>
      <c r="Q170">
        <v>0.4672931329656026</v>
      </c>
      <c r="R170">
        <v>-0.98694495274958527</v>
      </c>
      <c r="S170" s="2">
        <v>8.3892943239332197E-4</v>
      </c>
      <c r="T170" s="2">
        <v>2.3142226022857433E-3</v>
      </c>
      <c r="U170" s="2">
        <v>4.1069624740660724E-3</v>
      </c>
      <c r="V170" s="2">
        <v>6.6394510670342551E-3</v>
      </c>
      <c r="W170" s="2">
        <v>9.8939491346272338E-3</v>
      </c>
      <c r="X170" s="2">
        <v>1.3731340070712111E-2</v>
      </c>
      <c r="Y170" s="2">
        <v>1.7913352705774495E-2</v>
      </c>
      <c r="Z170" s="2">
        <v>2.2153130207745075E-2</v>
      </c>
      <c r="AA170" s="2">
        <v>2.6175562504352736E-2</v>
      </c>
      <c r="AB170" s="2">
        <v>2.9767381046943493E-2</v>
      </c>
      <c r="AC170" s="2">
        <v>3.2804064988189628E-2</v>
      </c>
      <c r="AD170" s="2">
        <v>3.5251152621994464E-2</v>
      </c>
      <c r="AE170" s="2">
        <v>3.7146251096004154E-2</v>
      </c>
      <c r="AF170" s="2">
        <v>3.8571960660206558E-2</v>
      </c>
      <c r="AG170" s="2">
        <v>3.9629157014164626E-2</v>
      </c>
      <c r="AH170" s="2">
        <v>4.0416577442097715E-2</v>
      </c>
      <c r="AI170" s="2">
        <v>4.1018705869412059E-2</v>
      </c>
      <c r="AJ170" s="2">
        <v>4.1543592233176545E-2</v>
      </c>
      <c r="AK170" s="2">
        <v>4.2020111031598015E-2</v>
      </c>
      <c r="AL170" s="2">
        <v>4.2333988062944146E-2</v>
      </c>
      <c r="AM170" s="2">
        <v>4.2652108817949112E-2</v>
      </c>
      <c r="AN170" s="2">
        <v>4.2974517557539331E-2</v>
      </c>
      <c r="AO170" s="2">
        <v>4.3301259054315491E-2</v>
      </c>
      <c r="AP170" s="2">
        <v>4.3632378598213527E-2</v>
      </c>
      <c r="AQ170" s="2">
        <v>4.3967922002243399E-2</v>
      </c>
      <c r="AR170" s="2">
        <v>0.7407980282959834</v>
      </c>
    </row>
    <row r="171" spans="1:44" x14ac:dyDescent="0.25">
      <c r="A171" t="s">
        <v>250</v>
      </c>
      <c r="B171" t="s">
        <v>285</v>
      </c>
      <c r="C171" t="s">
        <v>43</v>
      </c>
      <c r="D171" t="s">
        <v>284</v>
      </c>
      <c r="E171" t="s">
        <v>148</v>
      </c>
      <c r="F171" t="s">
        <v>284</v>
      </c>
      <c r="G171" t="s">
        <v>31</v>
      </c>
      <c r="H171" t="s">
        <v>253</v>
      </c>
      <c r="I171" t="s">
        <v>135</v>
      </c>
      <c r="J171" t="s">
        <v>39</v>
      </c>
      <c r="K171" t="s">
        <v>31</v>
      </c>
      <c r="L171">
        <v>259.74</v>
      </c>
      <c r="M171">
        <v>1</v>
      </c>
      <c r="N171">
        <v>1.3953794259707024</v>
      </c>
      <c r="O171">
        <v>3.994835640102659</v>
      </c>
      <c r="P171">
        <v>-0.1208952283669998</v>
      </c>
      <c r="Q171">
        <v>1.550704251021745</v>
      </c>
      <c r="R171">
        <v>-1.1299449527495853</v>
      </c>
      <c r="S171" s="2">
        <v>1.3867303026628764E-3</v>
      </c>
      <c r="T171" s="2">
        <v>3.7053736429803921E-3</v>
      </c>
      <c r="U171" s="2">
        <v>6.5790321286788413E-3</v>
      </c>
      <c r="V171" s="2">
        <v>1.0641072973923147E-2</v>
      </c>
      <c r="W171" s="2">
        <v>1.5864722528634856E-2</v>
      </c>
      <c r="X171" s="2">
        <v>2.2028396488866904E-2</v>
      </c>
      <c r="Y171" s="2">
        <v>2.8750909986574969E-2</v>
      </c>
      <c r="Z171" s="2">
        <v>3.5572319539528607E-2</v>
      </c>
      <c r="AA171" s="2">
        <v>4.2050686906425369E-2</v>
      </c>
      <c r="AB171" s="2">
        <v>4.7842659523570204E-2</v>
      </c>
      <c r="AC171" s="2">
        <v>5.2746980697915904E-2</v>
      </c>
      <c r="AD171" s="2">
        <v>5.6706934108322296E-2</v>
      </c>
      <c r="AE171" s="2">
        <v>5.978171917195596E-2</v>
      </c>
      <c r="AF171" s="2">
        <v>6.2103111642171561E-2</v>
      </c>
      <c r="AG171" s="2">
        <v>6.3832580016831342E-2</v>
      </c>
      <c r="AH171" s="2">
        <v>6.5128445298517634E-2</v>
      </c>
      <c r="AI171" s="2">
        <v>6.612633483028009E-2</v>
      </c>
      <c r="AJ171" s="2">
        <v>6.7000120533660071E-2</v>
      </c>
      <c r="AK171" s="2">
        <v>6.7796223848708051E-2</v>
      </c>
      <c r="AL171" s="2">
        <v>6.8330092755273283E-2</v>
      </c>
      <c r="AM171" s="2">
        <v>6.8870876953467552E-2</v>
      </c>
      <c r="AN171" s="2">
        <v>6.941865018743075E-2</v>
      </c>
      <c r="AO171" s="2">
        <v>6.9973487043898025E-2</v>
      </c>
      <c r="AP171" s="2">
        <v>7.0535462961579393E-2</v>
      </c>
      <c r="AQ171" s="2">
        <v>7.1104654240664408E-2</v>
      </c>
      <c r="AR171" s="2">
        <v>1.1938775783125226</v>
      </c>
    </row>
    <row r="172" spans="1:44" x14ac:dyDescent="0.25">
      <c r="A172" t="s">
        <v>250</v>
      </c>
      <c r="B172" t="s">
        <v>285</v>
      </c>
      <c r="C172" t="s">
        <v>43</v>
      </c>
      <c r="D172" t="s">
        <v>284</v>
      </c>
      <c r="E172" t="s">
        <v>148</v>
      </c>
      <c r="F172" t="s">
        <v>284</v>
      </c>
      <c r="G172" t="s">
        <v>31</v>
      </c>
      <c r="H172" t="s">
        <v>253</v>
      </c>
      <c r="I172" t="s">
        <v>135</v>
      </c>
      <c r="J172" t="s">
        <v>40</v>
      </c>
      <c r="K172" t="s">
        <v>31</v>
      </c>
      <c r="L172">
        <v>259.74</v>
      </c>
      <c r="M172">
        <v>1</v>
      </c>
      <c r="N172">
        <v>1.3953794259707024</v>
      </c>
      <c r="O172">
        <v>2.8220930578635595</v>
      </c>
      <c r="P172">
        <v>-0.1208952283669998</v>
      </c>
      <c r="Q172">
        <v>0.4672931329656026</v>
      </c>
      <c r="R172">
        <v>-0.98694495274958527</v>
      </c>
      <c r="S172" s="2">
        <v>7.2944896092459808E-4</v>
      </c>
      <c r="T172" s="2">
        <v>1.9491035484832349E-3</v>
      </c>
      <c r="U172" s="2">
        <v>3.4607076379154838E-3</v>
      </c>
      <c r="V172" s="2">
        <v>5.5974255477405201E-3</v>
      </c>
      <c r="W172" s="2">
        <v>8.3451737815548547E-3</v>
      </c>
      <c r="X172" s="2">
        <v>1.1587394390086709E-2</v>
      </c>
      <c r="Y172" s="2">
        <v>1.512357621022031E-2</v>
      </c>
      <c r="Z172" s="2">
        <v>1.8711779410862699E-2</v>
      </c>
      <c r="AA172" s="2">
        <v>2.2119535291870343E-2</v>
      </c>
      <c r="AB172" s="2">
        <v>2.5166233268519186E-2</v>
      </c>
      <c r="AC172" s="2">
        <v>2.7746008137357402E-2</v>
      </c>
      <c r="AD172" s="2">
        <v>2.9829025934678247E-2</v>
      </c>
      <c r="AE172" s="2">
        <v>3.1446426784307778E-2</v>
      </c>
      <c r="AF172" s="2">
        <v>3.2667527471330955E-2</v>
      </c>
      <c r="AG172" s="2">
        <v>3.3577263781574163E-2</v>
      </c>
      <c r="AH172" s="2">
        <v>3.4258915852932011E-2</v>
      </c>
      <c r="AI172" s="2">
        <v>3.4783826486718419E-2</v>
      </c>
      <c r="AJ172" s="2">
        <v>3.5243455927408303E-2</v>
      </c>
      <c r="AK172" s="2">
        <v>3.5662222817290187E-2</v>
      </c>
      <c r="AL172" s="2">
        <v>3.594304895804426E-2</v>
      </c>
      <c r="AM172" s="2">
        <v>3.6227512685922655E-2</v>
      </c>
      <c r="AN172" s="2">
        <v>3.6515652791874999E-2</v>
      </c>
      <c r="AO172" s="2">
        <v>3.6807508510074569E-2</v>
      </c>
      <c r="AP172" s="2">
        <v>3.7103119522850718E-2</v>
      </c>
      <c r="AQ172" s="2">
        <v>3.7402525965688591E-2</v>
      </c>
      <c r="AR172" s="2">
        <v>0.628004419676231</v>
      </c>
    </row>
    <row r="173" spans="1:44" x14ac:dyDescent="0.25">
      <c r="A173" t="s">
        <v>250</v>
      </c>
      <c r="B173" t="s">
        <v>285</v>
      </c>
      <c r="C173" t="s">
        <v>43</v>
      </c>
      <c r="D173" t="s">
        <v>284</v>
      </c>
      <c r="E173" t="s">
        <v>148</v>
      </c>
      <c r="F173" t="s">
        <v>284</v>
      </c>
      <c r="G173" t="s">
        <v>31</v>
      </c>
      <c r="H173" t="s">
        <v>253</v>
      </c>
      <c r="I173" t="s">
        <v>256</v>
      </c>
      <c r="J173" t="s">
        <v>39</v>
      </c>
      <c r="K173" t="s">
        <v>31</v>
      </c>
      <c r="L173">
        <v>259.74</v>
      </c>
      <c r="M173">
        <v>0</v>
      </c>
      <c r="N173">
        <v>0.92441308277863887</v>
      </c>
      <c r="O173">
        <v>2.6465047861031117</v>
      </c>
      <c r="P173">
        <v>0.60943428210909911</v>
      </c>
      <c r="Q173">
        <v>0.4672931329656026</v>
      </c>
      <c r="R173">
        <v>-0.39961544227348617</v>
      </c>
      <c r="S173" s="2">
        <v>7.2742451239894256E-4</v>
      </c>
      <c r="T173" s="2">
        <v>1.9436941778261402E-3</v>
      </c>
      <c r="U173" s="2">
        <v>3.4511030941425961E-3</v>
      </c>
      <c r="V173" s="2">
        <v>5.5818909449037663E-3</v>
      </c>
      <c r="W173" s="2">
        <v>8.3220133198043701E-3</v>
      </c>
      <c r="X173" s="2">
        <v>1.1555235754259202E-2</v>
      </c>
      <c r="Y173" s="2">
        <v>1.5081603566208836E-2</v>
      </c>
      <c r="Z173" s="2">
        <v>1.8659848383100721E-2</v>
      </c>
      <c r="AA173" s="2">
        <v>2.2058146677987236E-2</v>
      </c>
      <c r="AB173" s="2">
        <v>2.509638911688402E-2</v>
      </c>
      <c r="AC173" s="2">
        <v>2.7669004305320866E-2</v>
      </c>
      <c r="AD173" s="2">
        <v>2.9746241078149362E-2</v>
      </c>
      <c r="AE173" s="2">
        <v>3.1359153135635219E-2</v>
      </c>
      <c r="AF173" s="2">
        <v>3.257686488714908E-2</v>
      </c>
      <c r="AG173" s="2">
        <v>3.3484076395205328E-2</v>
      </c>
      <c r="AH173" s="2">
        <v>3.416383666932335E-2</v>
      </c>
      <c r="AI173" s="2">
        <v>3.4687290512277355E-2</v>
      </c>
      <c r="AJ173" s="2">
        <v>3.5145644337820518E-2</v>
      </c>
      <c r="AK173" s="2">
        <v>3.556324901888689E-2</v>
      </c>
      <c r="AL173" s="2">
        <v>3.5843295779455421E-2</v>
      </c>
      <c r="AM173" s="2">
        <v>3.6126970031708387E-2</v>
      </c>
      <c r="AN173" s="2">
        <v>3.6414310458939274E-2</v>
      </c>
      <c r="AO173" s="2">
        <v>3.6705356186432676E-2</v>
      </c>
      <c r="AP173" s="2">
        <v>3.7000146786389625E-2</v>
      </c>
      <c r="AQ173" s="2">
        <v>3.7298722282904741E-2</v>
      </c>
      <c r="AR173" s="2">
        <v>0.62626151141311392</v>
      </c>
    </row>
    <row r="174" spans="1:44" x14ac:dyDescent="0.25">
      <c r="A174" t="s">
        <v>250</v>
      </c>
      <c r="B174" t="s">
        <v>285</v>
      </c>
      <c r="C174" t="s">
        <v>43</v>
      </c>
      <c r="D174" t="s">
        <v>284</v>
      </c>
      <c r="E174" t="s">
        <v>148</v>
      </c>
      <c r="F174" t="s">
        <v>284</v>
      </c>
      <c r="G174" t="s">
        <v>31</v>
      </c>
      <c r="H174" t="s">
        <v>273</v>
      </c>
      <c r="I174" t="s">
        <v>135</v>
      </c>
      <c r="J174" t="s">
        <v>39</v>
      </c>
      <c r="K174" t="s">
        <v>31</v>
      </c>
      <c r="L174">
        <v>259.74</v>
      </c>
      <c r="M174">
        <v>1</v>
      </c>
      <c r="N174">
        <v>1.3953794259707024</v>
      </c>
      <c r="O174">
        <v>3.994835640102659</v>
      </c>
      <c r="P174">
        <v>-0.1208952283669998</v>
      </c>
      <c r="Q174">
        <v>1.550704251021745</v>
      </c>
      <c r="R174">
        <v>-1.1299449527495853</v>
      </c>
      <c r="S174" s="2">
        <v>2.5507897948395288E-3</v>
      </c>
      <c r="T174" s="2">
        <v>7.0364623876134061E-3</v>
      </c>
      <c r="U174" s="2">
        <v>1.2487341082730198E-2</v>
      </c>
      <c r="V174" s="2">
        <v>2.0187447681758279E-2</v>
      </c>
      <c r="W174" s="2">
        <v>3.0082845479947745E-2</v>
      </c>
      <c r="X174" s="2">
        <v>4.1750546314629898E-2</v>
      </c>
      <c r="Y174" s="2">
        <v>5.4466079635442324E-2</v>
      </c>
      <c r="Z174" s="2">
        <v>6.7357248745534726E-2</v>
      </c>
      <c r="AA174" s="2">
        <v>7.9587573319257324E-2</v>
      </c>
      <c r="AB174" s="2">
        <v>9.0508604015747784E-2</v>
      </c>
      <c r="AC174" s="2">
        <v>9.9741731509423434E-2</v>
      </c>
      <c r="AD174" s="2">
        <v>0.10718217396186974</v>
      </c>
      <c r="AE174" s="2">
        <v>0.11294427701972626</v>
      </c>
      <c r="AF174" s="2">
        <v>0.11727918919034891</v>
      </c>
      <c r="AG174" s="2">
        <v>0.12049362602697618</v>
      </c>
      <c r="AH174" s="2">
        <v>0.12288780116765438</v>
      </c>
      <c r="AI174" s="2">
        <v>0.12471859049065578</v>
      </c>
      <c r="AJ174" s="2">
        <v>0.12631452303091889</v>
      </c>
      <c r="AK174" s="2">
        <v>0.12776339255572919</v>
      </c>
      <c r="AL174" s="2">
        <v>0.12871774496903016</v>
      </c>
      <c r="AM174" s="2">
        <v>0.12968500054984525</v>
      </c>
      <c r="AN174" s="2">
        <v>0.13066529387483802</v>
      </c>
      <c r="AO174" s="2">
        <v>0.13165876107642122</v>
      </c>
      <c r="AP174" s="2">
        <v>0.13266553985999291</v>
      </c>
      <c r="AQ174" s="2">
        <v>0.13368576952136474</v>
      </c>
      <c r="AR174" s="2">
        <v>2.2524183532622959</v>
      </c>
    </row>
    <row r="175" spans="1:44" x14ac:dyDescent="0.25">
      <c r="A175" t="s">
        <v>250</v>
      </c>
      <c r="B175" t="s">
        <v>285</v>
      </c>
      <c r="C175" t="s">
        <v>43</v>
      </c>
      <c r="D175" t="s">
        <v>284</v>
      </c>
      <c r="E175" t="s">
        <v>148</v>
      </c>
      <c r="F175" t="s">
        <v>284</v>
      </c>
      <c r="G175" t="s">
        <v>31</v>
      </c>
      <c r="H175" t="s">
        <v>252</v>
      </c>
      <c r="I175" t="s">
        <v>135</v>
      </c>
      <c r="J175" t="s">
        <v>39</v>
      </c>
      <c r="K175" t="s">
        <v>31</v>
      </c>
      <c r="L175">
        <v>259.74</v>
      </c>
      <c r="M175">
        <v>1</v>
      </c>
      <c r="N175">
        <v>1.3953794259707024</v>
      </c>
      <c r="O175">
        <v>3.994835640102659</v>
      </c>
      <c r="P175">
        <v>-0.1208952283669998</v>
      </c>
      <c r="Q175">
        <v>1.550704251021745</v>
      </c>
      <c r="R175">
        <v>-1.1299449527495853</v>
      </c>
      <c r="S175" s="2">
        <v>4.2852645431916119E-3</v>
      </c>
      <c r="T175" s="2">
        <v>1.1153708806525936E-2</v>
      </c>
      <c r="U175" s="2">
        <v>1.9811651559182689E-2</v>
      </c>
      <c r="V175" s="2">
        <v>3.2056311013934642E-2</v>
      </c>
      <c r="W175" s="2">
        <v>4.7811032790060361E-2</v>
      </c>
      <c r="X175" s="2">
        <v>6.6411629302055949E-2</v>
      </c>
      <c r="Y175" s="2">
        <v>8.671146869162312E-2</v>
      </c>
      <c r="Z175" s="2">
        <v>0.10732451347143576</v>
      </c>
      <c r="AA175" s="2">
        <v>0.12691698375286833</v>
      </c>
      <c r="AB175" s="2">
        <v>0.1444508104140331</v>
      </c>
      <c r="AC175" s="2">
        <v>0.15931564333423059</v>
      </c>
      <c r="AD175" s="2">
        <v>0.1713370428853683</v>
      </c>
      <c r="AE175" s="2">
        <v>0.18069075317279557</v>
      </c>
      <c r="AF175" s="2">
        <v>0.18777227703146407</v>
      </c>
      <c r="AG175" s="2">
        <v>0.19306753865003839</v>
      </c>
      <c r="AH175" s="2">
        <v>0.19705365678825476</v>
      </c>
      <c r="AI175" s="2">
        <v>0.20013974963117917</v>
      </c>
      <c r="AJ175" s="2">
        <v>0.20285129991715001</v>
      </c>
      <c r="AK175" s="2">
        <v>0.20532850070866343</v>
      </c>
      <c r="AL175" s="2">
        <v>0.20701198117138003</v>
      </c>
      <c r="AM175" s="2">
        <v>0.20871663152016157</v>
      </c>
      <c r="AN175" s="2">
        <v>0.21044268068475566</v>
      </c>
      <c r="AO175" s="2">
        <v>0.21219036019353704</v>
      </c>
      <c r="AP175" s="2">
        <v>0.2139599042025801</v>
      </c>
      <c r="AQ175" s="2">
        <v>0.21575154952496603</v>
      </c>
      <c r="AR175" s="2">
        <v>3.6125629437614366</v>
      </c>
    </row>
    <row r="176" spans="1:44" x14ac:dyDescent="0.25">
      <c r="A176" t="s">
        <v>250</v>
      </c>
      <c r="B176" t="s">
        <v>285</v>
      </c>
      <c r="C176" t="s">
        <v>43</v>
      </c>
      <c r="D176" t="s">
        <v>284</v>
      </c>
      <c r="E176" t="s">
        <v>148</v>
      </c>
      <c r="F176" t="s">
        <v>284</v>
      </c>
      <c r="G176" t="s">
        <v>31</v>
      </c>
      <c r="H176" t="s">
        <v>274</v>
      </c>
      <c r="I176" t="s">
        <v>135</v>
      </c>
      <c r="J176" t="s">
        <v>39</v>
      </c>
      <c r="K176" t="s">
        <v>31</v>
      </c>
      <c r="L176">
        <v>259.74</v>
      </c>
      <c r="M176">
        <v>1</v>
      </c>
      <c r="N176">
        <v>1.3953794259707024</v>
      </c>
      <c r="O176">
        <v>3.994835640102659</v>
      </c>
      <c r="P176">
        <v>-0.1208952283669998</v>
      </c>
      <c r="Q176">
        <v>1.550704251021745</v>
      </c>
      <c r="R176">
        <v>-1.1299449527495853</v>
      </c>
      <c r="S176" s="2">
        <v>4.0153999081067471E-3</v>
      </c>
      <c r="T176" s="2">
        <v>1.107665182045983E-2</v>
      </c>
      <c r="U176" s="2">
        <v>1.9657310977773786E-2</v>
      </c>
      <c r="V176" s="2">
        <v>3.1778657626055272E-2</v>
      </c>
      <c r="W176" s="2">
        <v>4.7355785733560134E-2</v>
      </c>
      <c r="X176" s="2">
        <v>6.572283618757245E-2</v>
      </c>
      <c r="Y176" s="2">
        <v>8.5739362610569456E-2</v>
      </c>
      <c r="Z176" s="2">
        <v>0.10603237121707297</v>
      </c>
      <c r="AA176" s="2">
        <v>0.12528509218560963</v>
      </c>
      <c r="AB176" s="2">
        <v>0.14247675013556677</v>
      </c>
      <c r="AC176" s="2">
        <v>0.15701134619073576</v>
      </c>
      <c r="AD176" s="2">
        <v>0.16872393497412672</v>
      </c>
      <c r="AE176" s="2">
        <v>0.17779451700947629</v>
      </c>
      <c r="AF176" s="2">
        <v>0.18461844502062547</v>
      </c>
      <c r="AG176" s="2">
        <v>0.18967854421207384</v>
      </c>
      <c r="AH176" s="2">
        <v>0.19344740460947224</v>
      </c>
      <c r="AI176" s="2">
        <v>0.19632939484411396</v>
      </c>
      <c r="AJ176" s="2">
        <v>0.19884167844681336</v>
      </c>
      <c r="AK176" s="2">
        <v>0.20112245852855948</v>
      </c>
      <c r="AL176" s="2">
        <v>0.20262478012339147</v>
      </c>
      <c r="AM176" s="2">
        <v>0.20414741361446928</v>
      </c>
      <c r="AN176" s="2">
        <v>0.205690570849556</v>
      </c>
      <c r="AO176" s="2">
        <v>0.20725446612544879</v>
      </c>
      <c r="AP176" s="2">
        <v>0.20883931621510288</v>
      </c>
      <c r="AQ176" s="2">
        <v>0.21044534039506665</v>
      </c>
      <c r="AR176" s="2">
        <v>3.5457098295613791</v>
      </c>
    </row>
    <row r="177" spans="1:44" x14ac:dyDescent="0.25">
      <c r="A177" t="s">
        <v>250</v>
      </c>
      <c r="B177" t="s">
        <v>285</v>
      </c>
      <c r="C177" t="s">
        <v>43</v>
      </c>
      <c r="D177" t="s">
        <v>284</v>
      </c>
      <c r="E177" t="s">
        <v>148</v>
      </c>
      <c r="F177" t="s">
        <v>284</v>
      </c>
      <c r="G177" t="s">
        <v>31</v>
      </c>
      <c r="H177" t="s">
        <v>274</v>
      </c>
      <c r="I177" t="s">
        <v>135</v>
      </c>
      <c r="J177" t="s">
        <v>39</v>
      </c>
      <c r="K177" t="s">
        <v>33</v>
      </c>
      <c r="L177">
        <v>259.74</v>
      </c>
      <c r="M177">
        <v>1</v>
      </c>
      <c r="N177">
        <v>1.3953794259707024</v>
      </c>
      <c r="O177">
        <v>3.994835640102659</v>
      </c>
      <c r="P177">
        <v>-0.1208952283669998</v>
      </c>
      <c r="Q177">
        <v>1.550704251021745</v>
      </c>
      <c r="R177">
        <v>-1.1299449527495853</v>
      </c>
      <c r="S177" s="2">
        <v>1.2919479431435816E-5</v>
      </c>
      <c r="T177" s="2">
        <v>3.5638934760816725E-5</v>
      </c>
      <c r="U177" s="2">
        <v>6.3247056499144474E-5</v>
      </c>
      <c r="V177" s="2">
        <v>1.022472787155197E-4</v>
      </c>
      <c r="W177" s="2">
        <v>1.5236641772815938E-4</v>
      </c>
      <c r="X177" s="2">
        <v>2.1146208341209268E-4</v>
      </c>
      <c r="Y177" s="2">
        <v>2.7586490936439543E-4</v>
      </c>
      <c r="Z177" s="2">
        <v>3.4115731193788896E-4</v>
      </c>
      <c r="AA177" s="2">
        <v>4.0310260711259909E-4</v>
      </c>
      <c r="AB177" s="2">
        <v>4.5841646783873277E-4</v>
      </c>
      <c r="AC177" s="2">
        <v>5.0518127808836424E-4</v>
      </c>
      <c r="AD177" s="2">
        <v>5.4286632897716336E-4</v>
      </c>
      <c r="AE177" s="2">
        <v>5.7205076906251024E-4</v>
      </c>
      <c r="AF177" s="2">
        <v>5.9400663886358682E-4</v>
      </c>
      <c r="AG177" s="2">
        <v>6.102874200861327E-4</v>
      </c>
      <c r="AH177" s="2">
        <v>6.2241366292581531E-4</v>
      </c>
      <c r="AI177" s="2">
        <v>6.3168641642737697E-4</v>
      </c>
      <c r="AJ177" s="2">
        <v>6.3976964526480317E-4</v>
      </c>
      <c r="AK177" s="2">
        <v>6.4710801554624449E-4</v>
      </c>
      <c r="AL177" s="2">
        <v>6.5194170917278295E-4</v>
      </c>
      <c r="AM177" s="2">
        <v>6.5684075597255127E-4</v>
      </c>
      <c r="AN177" s="2">
        <v>6.6180583756204545E-4</v>
      </c>
      <c r="AO177" s="2">
        <v>6.6683764343747278E-4</v>
      </c>
      <c r="AP177" s="2">
        <v>6.7193687106205662E-4</v>
      </c>
      <c r="AQ177" s="2">
        <v>6.771042259543004E-4</v>
      </c>
      <c r="AR177" s="2">
        <v>1.1408259765203993E-2</v>
      </c>
    </row>
    <row r="178" spans="1:44" x14ac:dyDescent="0.25">
      <c r="A178" t="s">
        <v>250</v>
      </c>
      <c r="B178" t="s">
        <v>285</v>
      </c>
      <c r="C178" t="s">
        <v>43</v>
      </c>
      <c r="D178" t="s">
        <v>284</v>
      </c>
      <c r="E178" t="s">
        <v>148</v>
      </c>
      <c r="F178" t="s">
        <v>284</v>
      </c>
      <c r="G178" t="s">
        <v>31</v>
      </c>
      <c r="H178" t="s">
        <v>276</v>
      </c>
      <c r="I178" t="s">
        <v>135</v>
      </c>
      <c r="J178" t="s">
        <v>39</v>
      </c>
      <c r="K178" t="s">
        <v>31</v>
      </c>
      <c r="L178">
        <v>259.74</v>
      </c>
      <c r="M178">
        <v>1</v>
      </c>
      <c r="N178">
        <v>1.3953794259707024</v>
      </c>
      <c r="O178">
        <v>3.994835640102659</v>
      </c>
      <c r="P178">
        <v>-0.1208952283669998</v>
      </c>
      <c r="Q178">
        <v>1.550704251021745</v>
      </c>
      <c r="R178">
        <v>-1.1299449527495853</v>
      </c>
      <c r="S178" s="2">
        <v>6.0588012470102768E-3</v>
      </c>
      <c r="T178" s="2">
        <v>1.4092399929748348E-2</v>
      </c>
      <c r="U178" s="2">
        <v>2.5070935876302568E-2</v>
      </c>
      <c r="V178" s="2">
        <v>4.0629355321389338E-2</v>
      </c>
      <c r="W178" s="2">
        <v>6.0690874666938503E-2</v>
      </c>
      <c r="X178" s="2">
        <v>8.4430759045777487E-2</v>
      </c>
      <c r="Y178" s="2">
        <v>0.11040451585241676</v>
      </c>
      <c r="Z178" s="2">
        <v>0.13685335731430476</v>
      </c>
      <c r="AA178" s="2">
        <v>0.1620746321083128</v>
      </c>
      <c r="AB178" s="2">
        <v>0.18473392122713064</v>
      </c>
      <c r="AC178" s="2">
        <v>0.20403707504091448</v>
      </c>
      <c r="AD178" s="2">
        <v>0.21974480765717611</v>
      </c>
      <c r="AE178" s="2">
        <v>0.23206663523490739</v>
      </c>
      <c r="AF178" s="2">
        <v>0.24149628664341258</v>
      </c>
      <c r="AG178" s="2">
        <v>0.24864703595955129</v>
      </c>
      <c r="AH178" s="2">
        <v>0.2541244507413174</v>
      </c>
      <c r="AI178" s="2">
        <v>0.25844978256450374</v>
      </c>
      <c r="AJ178" s="2">
        <v>0.26229769077098292</v>
      </c>
      <c r="AK178" s="2">
        <v>0.26584763527254318</v>
      </c>
      <c r="AL178" s="2">
        <v>0.26837313157505815</v>
      </c>
      <c r="AM178" s="2">
        <v>0.27092790676847367</v>
      </c>
      <c r="AN178" s="2">
        <v>0.27351228718536746</v>
      </c>
      <c r="AO178" s="2">
        <v>0.27612660282210671</v>
      </c>
      <c r="AP178" s="2">
        <v>0.27877118737996104</v>
      </c>
      <c r="AQ178" s="2">
        <v>0.28144637830664826</v>
      </c>
      <c r="AR178" s="2">
        <v>4.6609084465122539</v>
      </c>
    </row>
    <row r="179" spans="1:44" x14ac:dyDescent="0.25">
      <c r="A179" t="s">
        <v>250</v>
      </c>
      <c r="B179" t="s">
        <v>285</v>
      </c>
      <c r="C179" t="s">
        <v>43</v>
      </c>
      <c r="D179" t="s">
        <v>284</v>
      </c>
      <c r="E179" t="s">
        <v>148</v>
      </c>
      <c r="F179" t="s">
        <v>284</v>
      </c>
      <c r="G179" t="s">
        <v>31</v>
      </c>
      <c r="H179" t="s">
        <v>275</v>
      </c>
      <c r="I179" t="s">
        <v>135</v>
      </c>
      <c r="J179" t="s">
        <v>39</v>
      </c>
      <c r="K179" t="s">
        <v>31</v>
      </c>
      <c r="L179">
        <v>259.74</v>
      </c>
      <c r="M179">
        <v>1</v>
      </c>
      <c r="N179">
        <v>1.3953794259707024</v>
      </c>
      <c r="O179">
        <v>3.994835640102659</v>
      </c>
      <c r="P179">
        <v>-0.1208952283669998</v>
      </c>
      <c r="Q179">
        <v>1.550704251021745</v>
      </c>
      <c r="R179">
        <v>-1.1299449527495853</v>
      </c>
      <c r="S179" s="2">
        <v>6.1342758414768273E-3</v>
      </c>
      <c r="T179" s="2">
        <v>1.692166140899606E-2</v>
      </c>
      <c r="U179" s="2">
        <v>3.003022627856013E-2</v>
      </c>
      <c r="V179" s="2">
        <v>4.8547854811798477E-2</v>
      </c>
      <c r="W179" s="2">
        <v>7.2344837133917192E-2</v>
      </c>
      <c r="X179" s="2">
        <v>0.10040394866892814</v>
      </c>
      <c r="Y179" s="2">
        <v>0.13098294385667431</v>
      </c>
      <c r="Z179" s="2">
        <v>0.16198431739220479</v>
      </c>
      <c r="AA179" s="2">
        <v>0.19139645661190091</v>
      </c>
      <c r="AB179" s="2">
        <v>0.21765993582960835</v>
      </c>
      <c r="AC179" s="2">
        <v>0.23986425507234396</v>
      </c>
      <c r="AD179" s="2">
        <v>0.25775742936615759</v>
      </c>
      <c r="AE179" s="2">
        <v>0.27161444324296546</v>
      </c>
      <c r="AF179" s="2">
        <v>0.28203927207713941</v>
      </c>
      <c r="AG179" s="2">
        <v>0.28976952184949767</v>
      </c>
      <c r="AH179" s="2">
        <v>0.29552716238711657</v>
      </c>
      <c r="AI179" s="2">
        <v>0.29992994255256022</v>
      </c>
      <c r="AJ179" s="2">
        <v>0.30376792655507023</v>
      </c>
      <c r="AK179" s="2">
        <v>0.30725224554579161</v>
      </c>
      <c r="AL179" s="2">
        <v>0.30954732331542917</v>
      </c>
      <c r="AM179" s="2">
        <v>0.31187343131301737</v>
      </c>
      <c r="AN179" s="2">
        <v>0.31423089317569586</v>
      </c>
      <c r="AO179" s="2">
        <v>0.31662003628200863</v>
      </c>
      <c r="AP179" s="2">
        <v>0.31904119179323642</v>
      </c>
      <c r="AQ179" s="2">
        <v>0.3214946946954319</v>
      </c>
      <c r="AR179" s="2">
        <v>5.4167362270575268</v>
      </c>
    </row>
    <row r="180" spans="1:44" x14ac:dyDescent="0.25">
      <c r="A180" t="s">
        <v>250</v>
      </c>
      <c r="B180" t="s">
        <v>285</v>
      </c>
      <c r="C180" t="s">
        <v>43</v>
      </c>
      <c r="D180" t="s">
        <v>284</v>
      </c>
      <c r="E180" t="s">
        <v>148</v>
      </c>
      <c r="F180" t="s">
        <v>284</v>
      </c>
      <c r="G180" t="s">
        <v>31</v>
      </c>
      <c r="H180" t="s">
        <v>277</v>
      </c>
      <c r="I180" t="s">
        <v>135</v>
      </c>
      <c r="J180" t="s">
        <v>39</v>
      </c>
      <c r="K180" t="s">
        <v>31</v>
      </c>
      <c r="L180">
        <v>259.74</v>
      </c>
      <c r="M180">
        <v>1</v>
      </c>
      <c r="N180">
        <v>1.3953794259707024</v>
      </c>
      <c r="O180">
        <v>3.994835640102659</v>
      </c>
      <c r="P180">
        <v>-0.1208952283669998</v>
      </c>
      <c r="Q180">
        <v>1.550704251021745</v>
      </c>
      <c r="R180">
        <v>-1.1299449527495853</v>
      </c>
      <c r="S180" s="2">
        <v>9.9105605675510106E-2</v>
      </c>
      <c r="T180" s="2">
        <v>0.27544496512548261</v>
      </c>
      <c r="U180" s="2">
        <v>0.48876371784441713</v>
      </c>
      <c r="V180" s="2">
        <v>0.79005895345924582</v>
      </c>
      <c r="W180" s="2">
        <v>1.1771903091904015</v>
      </c>
      <c r="X180" s="2">
        <v>1.6335791714630221</v>
      </c>
      <c r="Y180" s="2">
        <v>2.130860300949367</v>
      </c>
      <c r="Z180" s="2">
        <v>2.6349028912010719</v>
      </c>
      <c r="AA180" s="2">
        <v>3.1129885521974123</v>
      </c>
      <c r="AB180" s="2">
        <v>3.5397670748279508</v>
      </c>
      <c r="AC180" s="2">
        <v>3.9004512125437913</v>
      </c>
      <c r="AD180" s="2">
        <v>4.1909666383116218</v>
      </c>
      <c r="AE180" s="2">
        <v>4.4158074966089877</v>
      </c>
      <c r="AF180" s="2">
        <v>4.5848135683077986</v>
      </c>
      <c r="AG180" s="2">
        <v>4.7099921477274815</v>
      </c>
      <c r="AH180" s="2">
        <v>4.8030910957641844</v>
      </c>
      <c r="AI180" s="2">
        <v>4.8741595338609098</v>
      </c>
      <c r="AJ180" s="2">
        <v>4.9360423800006457</v>
      </c>
      <c r="AK180" s="2">
        <v>4.9921729781932536</v>
      </c>
      <c r="AL180" s="2">
        <v>5.0289782246089469</v>
      </c>
      <c r="AM180" s="2">
        <v>5.0662867393069666</v>
      </c>
      <c r="AN180" s="2">
        <v>5.1041037388279769</v>
      </c>
      <c r="AO180" s="2">
        <v>5.1424345002295055</v>
      </c>
      <c r="AP180" s="2">
        <v>5.181284361754698</v>
      </c>
      <c r="AQ180" s="2">
        <v>5.2206587235091577</v>
      </c>
      <c r="AR180" s="2">
        <v>88.033904881489818</v>
      </c>
    </row>
    <row r="181" spans="1:44" x14ac:dyDescent="0.25">
      <c r="A181" t="s">
        <v>250</v>
      </c>
      <c r="B181" t="s">
        <v>285</v>
      </c>
      <c r="C181" t="s">
        <v>43</v>
      </c>
      <c r="D181" t="s">
        <v>284</v>
      </c>
      <c r="E181" t="s">
        <v>148</v>
      </c>
      <c r="F181" t="s">
        <v>284</v>
      </c>
      <c r="G181" t="s">
        <v>31</v>
      </c>
      <c r="H181" t="s">
        <v>277</v>
      </c>
      <c r="I181" t="s">
        <v>135</v>
      </c>
      <c r="J181" t="s">
        <v>40</v>
      </c>
      <c r="K181" t="s">
        <v>31</v>
      </c>
      <c r="L181">
        <v>259.74</v>
      </c>
      <c r="M181">
        <v>1</v>
      </c>
      <c r="N181">
        <v>1.3953794259707024</v>
      </c>
      <c r="O181">
        <v>2.8220930578635595</v>
      </c>
      <c r="P181">
        <v>-0.1208952283669998</v>
      </c>
      <c r="Q181">
        <v>0.4672931329656026</v>
      </c>
      <c r="R181">
        <v>-0.98694495274958527</v>
      </c>
      <c r="S181" s="2">
        <v>1.5633452420570192E-2</v>
      </c>
      <c r="T181" s="2">
        <v>4.3450173453094258E-2</v>
      </c>
      <c r="U181" s="2">
        <v>7.7100223299577025E-2</v>
      </c>
      <c r="V181" s="2">
        <v>0.12462815775316706</v>
      </c>
      <c r="W181" s="2">
        <v>0.18569634445241276</v>
      </c>
      <c r="X181" s="2">
        <v>0.25768958353293614</v>
      </c>
      <c r="Y181" s="2">
        <v>0.33613338925394082</v>
      </c>
      <c r="Z181" s="2">
        <v>0.41564378424048787</v>
      </c>
      <c r="AA181" s="2">
        <v>0.49105959329790377</v>
      </c>
      <c r="AB181" s="2">
        <v>0.55838193780291956</v>
      </c>
      <c r="AC181" s="2">
        <v>0.61527819778137249</v>
      </c>
      <c r="AD181" s="2">
        <v>0.66110566692628892</v>
      </c>
      <c r="AE181" s="2">
        <v>0.69657327581110295</v>
      </c>
      <c r="AF181" s="2">
        <v>0.72323320450719242</v>
      </c>
      <c r="AG181" s="2">
        <v>0.74297954834002977</v>
      </c>
      <c r="AH181" s="2">
        <v>0.75766547820865848</v>
      </c>
      <c r="AI181" s="2">
        <v>0.76887619669441665</v>
      </c>
      <c r="AJ181" s="2">
        <v>0.77863793039435991</v>
      </c>
      <c r="AK181" s="2">
        <v>0.78749227349836126</v>
      </c>
      <c r="AL181" s="2">
        <v>0.79329813144904238</v>
      </c>
      <c r="AM181" s="2">
        <v>0.79918337765118452</v>
      </c>
      <c r="AN181" s="2">
        <v>0.80514883499005963</v>
      </c>
      <c r="AO181" s="2">
        <v>0.81119533589716453</v>
      </c>
      <c r="AP181" s="2">
        <v>0.81732372245571361</v>
      </c>
      <c r="AQ181" s="2">
        <v>0.82353484650752196</v>
      </c>
      <c r="AR181" s="2">
        <v>13.88694266061948</v>
      </c>
    </row>
    <row r="182" spans="1:44" x14ac:dyDescent="0.25">
      <c r="A182" t="s">
        <v>250</v>
      </c>
      <c r="B182" t="s">
        <v>296</v>
      </c>
      <c r="C182" t="s">
        <v>44</v>
      </c>
      <c r="D182" t="s">
        <v>144</v>
      </c>
      <c r="E182" t="s">
        <v>145</v>
      </c>
      <c r="F182" t="s">
        <v>144</v>
      </c>
      <c r="G182" t="s">
        <v>31</v>
      </c>
      <c r="H182" t="s">
        <v>253</v>
      </c>
      <c r="I182" t="s">
        <v>135</v>
      </c>
      <c r="J182" t="s">
        <v>39</v>
      </c>
      <c r="K182" t="s">
        <v>31</v>
      </c>
      <c r="L182">
        <v>2.6708224418090953</v>
      </c>
      <c r="M182">
        <v>1</v>
      </c>
      <c r="N182">
        <v>6.5014350159184158</v>
      </c>
      <c r="O182">
        <v>5.375660204303025</v>
      </c>
      <c r="P182">
        <v>-1.9563441520871856</v>
      </c>
      <c r="Q182">
        <v>0.44786276817432807</v>
      </c>
      <c r="R182">
        <v>-1.8625523936223527</v>
      </c>
      <c r="S182" s="2">
        <v>8.6416392815071461</v>
      </c>
      <c r="T182" s="2">
        <v>12.630173259850743</v>
      </c>
      <c r="U182" s="2">
        <v>17.149412506264778</v>
      </c>
      <c r="V182" s="2">
        <v>22.40126449290862</v>
      </c>
      <c r="W182" s="2">
        <v>28.123978662573077</v>
      </c>
      <c r="X182" s="2">
        <v>33.92429952225951</v>
      </c>
      <c r="Y182" s="2">
        <v>39.337123889755468</v>
      </c>
      <c r="Z182" s="2">
        <v>43.928615428984934</v>
      </c>
      <c r="AA182" s="2">
        <v>47.411325716991087</v>
      </c>
      <c r="AB182" s="2">
        <v>49.720344749553604</v>
      </c>
      <c r="AC182" s="2">
        <v>51.008406227533733</v>
      </c>
      <c r="AD182" s="2">
        <v>51.493240428719865</v>
      </c>
      <c r="AE182" s="2">
        <v>51.282118142962119</v>
      </c>
      <c r="AF182" s="2">
        <v>51.071861458575967</v>
      </c>
      <c r="AG182" s="2">
        <v>50.862466826595828</v>
      </c>
      <c r="AH182" s="2">
        <v>50.65393071260678</v>
      </c>
      <c r="AI182" s="2">
        <v>50.446249596685092</v>
      </c>
      <c r="AJ182" s="2">
        <v>50.239419973338684</v>
      </c>
      <c r="AK182" s="2">
        <v>50.033438351447991</v>
      </c>
      <c r="AL182" s="2">
        <v>49.828301254207055</v>
      </c>
      <c r="AM182" s="2">
        <v>49.624005219064799</v>
      </c>
      <c r="AN182" s="2">
        <v>49.420546797666631</v>
      </c>
      <c r="AO182" s="2">
        <v>49.217922555796193</v>
      </c>
      <c r="AP182" s="2">
        <v>49.01612907331743</v>
      </c>
      <c r="AQ182" s="2">
        <v>48.815162944116828</v>
      </c>
      <c r="AR182" s="2">
        <v>1056.2813770732841</v>
      </c>
    </row>
    <row r="183" spans="1:44" x14ac:dyDescent="0.25">
      <c r="A183" t="s">
        <v>250</v>
      </c>
      <c r="B183" t="s">
        <v>296</v>
      </c>
      <c r="C183" t="s">
        <v>44</v>
      </c>
      <c r="D183" t="s">
        <v>144</v>
      </c>
      <c r="E183" t="s">
        <v>145</v>
      </c>
      <c r="F183" t="s">
        <v>144</v>
      </c>
      <c r="G183" t="s">
        <v>31</v>
      </c>
      <c r="H183" t="s">
        <v>253</v>
      </c>
      <c r="I183" t="s">
        <v>135</v>
      </c>
      <c r="J183" t="s">
        <v>40</v>
      </c>
      <c r="K183" t="s">
        <v>31</v>
      </c>
      <c r="L183">
        <v>2.6708224418090953</v>
      </c>
      <c r="M183">
        <v>1</v>
      </c>
      <c r="N183">
        <v>6.5014350159184158</v>
      </c>
      <c r="O183">
        <v>4.1746294160814506</v>
      </c>
      <c r="P183">
        <v>-1.9563441520871856</v>
      </c>
      <c r="Q183">
        <v>0.4672931329656026</v>
      </c>
      <c r="R183">
        <v>-1.7195523936223529</v>
      </c>
      <c r="S183" s="2">
        <v>4.5456818694132464</v>
      </c>
      <c r="T183" s="2">
        <v>6.6437336394858697</v>
      </c>
      <c r="U183" s="2">
        <v>9.0209474107117185</v>
      </c>
      <c r="V183" s="2">
        <v>11.783530709880074</v>
      </c>
      <c r="W183" s="2">
        <v>14.793797303690164</v>
      </c>
      <c r="X183" s="2">
        <v>17.844886629424856</v>
      </c>
      <c r="Y183" s="2">
        <v>20.692144746562246</v>
      </c>
      <c r="Z183" s="2">
        <v>23.10736472549657</v>
      </c>
      <c r="AA183" s="2">
        <v>24.939342721440816</v>
      </c>
      <c r="AB183" s="2">
        <v>26.15393472308925</v>
      </c>
      <c r="AC183" s="2">
        <v>26.831481831503481</v>
      </c>
      <c r="AD183" s="2">
        <v>27.086514698093914</v>
      </c>
      <c r="AE183" s="2">
        <v>26.975459987831726</v>
      </c>
      <c r="AF183" s="2">
        <v>26.864860601881624</v>
      </c>
      <c r="AG183" s="2">
        <v>26.754714673413908</v>
      </c>
      <c r="AH183" s="2">
        <v>26.645020343252909</v>
      </c>
      <c r="AI183" s="2">
        <v>26.535775759845581</v>
      </c>
      <c r="AJ183" s="2">
        <v>26.426979079230215</v>
      </c>
      <c r="AK183" s="2">
        <v>26.318628465005368</v>
      </c>
      <c r="AL183" s="2">
        <v>26.210722088298844</v>
      </c>
      <c r="AM183" s="2">
        <v>26.103258127736826</v>
      </c>
      <c r="AN183" s="2">
        <v>25.996234769413107</v>
      </c>
      <c r="AO183" s="2">
        <v>25.889650206858509</v>
      </c>
      <c r="AP183" s="2">
        <v>25.78350264101039</v>
      </c>
      <c r="AQ183" s="2">
        <v>25.677790280182247</v>
      </c>
      <c r="AR183" s="2">
        <v>555.62595803275337</v>
      </c>
    </row>
    <row r="184" spans="1:44" x14ac:dyDescent="0.25">
      <c r="A184" t="s">
        <v>250</v>
      </c>
      <c r="B184" t="s">
        <v>296</v>
      </c>
      <c r="C184" t="s">
        <v>44</v>
      </c>
      <c r="D184" t="s">
        <v>144</v>
      </c>
      <c r="E184" t="s">
        <v>145</v>
      </c>
      <c r="F184" t="s">
        <v>144</v>
      </c>
      <c r="G184" t="s">
        <v>31</v>
      </c>
      <c r="H184" t="s">
        <v>253</v>
      </c>
      <c r="I184" t="s">
        <v>256</v>
      </c>
      <c r="J184" t="s">
        <v>39</v>
      </c>
      <c r="K184" t="s">
        <v>31</v>
      </c>
      <c r="L184">
        <v>2.6708224418090953</v>
      </c>
      <c r="M184">
        <v>1</v>
      </c>
      <c r="N184">
        <v>3.2349501564772121</v>
      </c>
      <c r="O184">
        <v>2.6747929920855822</v>
      </c>
      <c r="P184">
        <v>-0.4934072007383169</v>
      </c>
      <c r="Q184">
        <v>0.4672931329656026</v>
      </c>
      <c r="R184">
        <v>-0.39961544227348439</v>
      </c>
      <c r="S184" s="2">
        <v>4.5330661835303454</v>
      </c>
      <c r="T184" s="2">
        <v>6.6252952051446128</v>
      </c>
      <c r="U184" s="2">
        <v>8.9959114662331867</v>
      </c>
      <c r="V184" s="2">
        <v>11.750827734551411</v>
      </c>
      <c r="W184" s="2">
        <v>14.752739899067443</v>
      </c>
      <c r="X184" s="2">
        <v>17.795361499686322</v>
      </c>
      <c r="Y184" s="2">
        <v>20.634717586926936</v>
      </c>
      <c r="Z184" s="2">
        <v>23.043234576635957</v>
      </c>
      <c r="AA184" s="2">
        <v>24.87012826188597</v>
      </c>
      <c r="AB184" s="2">
        <v>26.08134939165889</v>
      </c>
      <c r="AC184" s="2">
        <v>26.7570160953866</v>
      </c>
      <c r="AD184" s="2">
        <v>27.011341166177164</v>
      </c>
      <c r="AE184" s="2">
        <v>26.90059466739584</v>
      </c>
      <c r="AF184" s="2">
        <v>26.79030222925951</v>
      </c>
      <c r="AG184" s="2">
        <v>26.680461990119543</v>
      </c>
      <c r="AH184" s="2">
        <v>26.571072095960059</v>
      </c>
      <c r="AI184" s="2">
        <v>26.462130700366615</v>
      </c>
      <c r="AJ184" s="2">
        <v>26.353635964495115</v>
      </c>
      <c r="AK184" s="2">
        <v>26.245586057040683</v>
      </c>
      <c r="AL184" s="2">
        <v>26.137979154206818</v>
      </c>
      <c r="AM184" s="2">
        <v>26.030813439674574</v>
      </c>
      <c r="AN184" s="2">
        <v>25.924087104571903</v>
      </c>
      <c r="AO184" s="2">
        <v>25.817798347443166</v>
      </c>
      <c r="AP184" s="2">
        <v>25.711945374218647</v>
      </c>
      <c r="AQ184" s="2">
        <v>25.60652639818435</v>
      </c>
      <c r="AR184" s="2">
        <v>554.08392258982155</v>
      </c>
    </row>
    <row r="185" spans="1:44" x14ac:dyDescent="0.25">
      <c r="A185" t="s">
        <v>250</v>
      </c>
      <c r="B185" t="s">
        <v>296</v>
      </c>
      <c r="C185" t="s">
        <v>44</v>
      </c>
      <c r="D185" t="s">
        <v>144</v>
      </c>
      <c r="E185" t="s">
        <v>148</v>
      </c>
      <c r="F185" t="s">
        <v>144</v>
      </c>
      <c r="G185" t="s">
        <v>31</v>
      </c>
      <c r="H185" t="s">
        <v>253</v>
      </c>
      <c r="I185" t="s">
        <v>135</v>
      </c>
      <c r="J185" t="s">
        <v>39</v>
      </c>
      <c r="K185" t="s">
        <v>31</v>
      </c>
      <c r="L185">
        <v>2.6708224418090953</v>
      </c>
      <c r="M185">
        <v>1</v>
      </c>
      <c r="N185">
        <v>6.5014350159184158</v>
      </c>
      <c r="O185">
        <v>5.375660204303025</v>
      </c>
      <c r="P185">
        <v>-1.9563441520871856</v>
      </c>
      <c r="Q185">
        <v>0.44786276817432807</v>
      </c>
      <c r="R185">
        <v>-1.8625523936223527</v>
      </c>
      <c r="S185" s="2">
        <v>2.4502288325933543</v>
      </c>
      <c r="T185" s="2">
        <v>4.8957933132649138</v>
      </c>
      <c r="U185" s="2">
        <v>6.7226517103571917</v>
      </c>
      <c r="V185" s="2">
        <v>8.8809838247426836</v>
      </c>
      <c r="W185" s="2">
        <v>11.276697360111893</v>
      </c>
      <c r="X185" s="2">
        <v>13.757894389938031</v>
      </c>
      <c r="Y185" s="2">
        <v>16.136106665875523</v>
      </c>
      <c r="Z185" s="2">
        <v>18.227107155076869</v>
      </c>
      <c r="AA185" s="2">
        <v>19.89964249640671</v>
      </c>
      <c r="AB185" s="2">
        <v>21.111007911239355</v>
      </c>
      <c r="AC185" s="2">
        <v>21.910224454527793</v>
      </c>
      <c r="AD185" s="2">
        <v>22.377107961860787</v>
      </c>
      <c r="AE185" s="2">
        <v>22.546889269324534</v>
      </c>
      <c r="AF185" s="2">
        <v>22.71890732411828</v>
      </c>
      <c r="AG185" s="2">
        <v>22.893185845484624</v>
      </c>
      <c r="AH185" s="2">
        <v>23.069748824252581</v>
      </c>
      <c r="AI185" s="2">
        <v>23.248620525866102</v>
      </c>
      <c r="AJ185" s="2">
        <v>23.429825493434006</v>
      </c>
      <c r="AK185" s="2">
        <v>23.613388550825579</v>
      </c>
      <c r="AL185" s="2">
        <v>23.799334805797848</v>
      </c>
      <c r="AM185" s="2">
        <v>23.987689653150472</v>
      </c>
      <c r="AN185" s="2">
        <v>24.178478777927996</v>
      </c>
      <c r="AO185" s="2">
        <v>24.371728158650384</v>
      </c>
      <c r="AP185" s="2">
        <v>24.567464070580098</v>
      </c>
      <c r="AQ185" s="2">
        <v>24.765713089032353</v>
      </c>
      <c r="AR185" s="2">
        <v>474.83642046443993</v>
      </c>
    </row>
    <row r="186" spans="1:44" x14ac:dyDescent="0.25">
      <c r="A186" t="s">
        <v>250</v>
      </c>
      <c r="B186" t="s">
        <v>296</v>
      </c>
      <c r="C186" t="s">
        <v>44</v>
      </c>
      <c r="D186" t="s">
        <v>144</v>
      </c>
      <c r="E186" t="s">
        <v>148</v>
      </c>
      <c r="F186" t="s">
        <v>144</v>
      </c>
      <c r="G186" t="s">
        <v>31</v>
      </c>
      <c r="H186" t="s">
        <v>253</v>
      </c>
      <c r="I186" t="s">
        <v>135</v>
      </c>
      <c r="J186" t="s">
        <v>40</v>
      </c>
      <c r="K186" t="s">
        <v>31</v>
      </c>
      <c r="L186">
        <v>2.6708224418090953</v>
      </c>
      <c r="M186">
        <v>1</v>
      </c>
      <c r="N186">
        <v>6.5014350159184158</v>
      </c>
      <c r="O186">
        <v>4.1746294160814506</v>
      </c>
      <c r="P186">
        <v>-1.9563441520871856</v>
      </c>
      <c r="Q186">
        <v>0.4672931329656026</v>
      </c>
      <c r="R186">
        <v>-1.7195523936223529</v>
      </c>
      <c r="S186" s="2">
        <v>1.2888712913611309</v>
      </c>
      <c r="T186" s="2">
        <v>2.5752890366677752</v>
      </c>
      <c r="U186" s="2">
        <v>3.5362545228595321</v>
      </c>
      <c r="V186" s="2">
        <v>4.6715820736785814</v>
      </c>
      <c r="W186" s="2">
        <v>5.9317771856569825</v>
      </c>
      <c r="X186" s="2">
        <v>7.2369383924037676</v>
      </c>
      <c r="Y186" s="2">
        <v>8.4879274781759264</v>
      </c>
      <c r="Z186" s="2">
        <v>9.5878371947311898</v>
      </c>
      <c r="AA186" s="2">
        <v>10.46762554615041</v>
      </c>
      <c r="AB186" s="2">
        <v>11.104828931302627</v>
      </c>
      <c r="AC186" s="2">
        <v>11.525233443943359</v>
      </c>
      <c r="AD186" s="2">
        <v>11.770823872480884</v>
      </c>
      <c r="AE186" s="2">
        <v>11.860132368931852</v>
      </c>
      <c r="AF186" s="2">
        <v>11.950617440966996</v>
      </c>
      <c r="AG186" s="2">
        <v>12.042291565400447</v>
      </c>
      <c r="AH186" s="2">
        <v>12.135167361907461</v>
      </c>
      <c r="AI186" s="2">
        <v>12.229257594615447</v>
      </c>
      <c r="AJ186" s="2">
        <v>12.324575173709764</v>
      </c>
      <c r="AK186" s="2">
        <v>12.421133157062084</v>
      </c>
      <c r="AL186" s="2">
        <v>12.518944751873809</v>
      </c>
      <c r="AM186" s="2">
        <v>12.618023316337789</v>
      </c>
      <c r="AN186" s="2">
        <v>12.718382361321069</v>
      </c>
      <c r="AO186" s="2">
        <v>12.82003555206523</v>
      </c>
      <c r="AP186" s="2">
        <v>12.922996709904393</v>
      </c>
      <c r="AQ186" s="2">
        <v>13.027279814006601</v>
      </c>
      <c r="AR186" s="2">
        <v>249.77382613751516</v>
      </c>
    </row>
    <row r="187" spans="1:44" x14ac:dyDescent="0.25">
      <c r="A187" t="s">
        <v>250</v>
      </c>
      <c r="B187" t="s">
        <v>296</v>
      </c>
      <c r="C187" t="s">
        <v>44</v>
      </c>
      <c r="D187" t="s">
        <v>144</v>
      </c>
      <c r="E187" t="s">
        <v>148</v>
      </c>
      <c r="F187" t="s">
        <v>144</v>
      </c>
      <c r="G187" t="s">
        <v>31</v>
      </c>
      <c r="H187" t="s">
        <v>253</v>
      </c>
      <c r="I187" t="s">
        <v>256</v>
      </c>
      <c r="J187" t="s">
        <v>39</v>
      </c>
      <c r="K187" t="s">
        <v>31</v>
      </c>
      <c r="L187">
        <v>2.6708224418090953</v>
      </c>
      <c r="M187">
        <v>1</v>
      </c>
      <c r="N187">
        <v>3.2349501564772121</v>
      </c>
      <c r="O187">
        <v>2.6747929920855822</v>
      </c>
      <c r="P187">
        <v>-0.4934072007383169</v>
      </c>
      <c r="Q187">
        <v>0.4672931329656026</v>
      </c>
      <c r="R187">
        <v>-0.39961544227348439</v>
      </c>
      <c r="S187" s="2">
        <v>1.2852942712742856</v>
      </c>
      <c r="T187" s="2">
        <v>2.5681418058501366</v>
      </c>
      <c r="U187" s="2">
        <v>3.5264403129029414</v>
      </c>
      <c r="V187" s="2">
        <v>4.6586169754356606</v>
      </c>
      <c r="W187" s="2">
        <v>5.9153146526748106</v>
      </c>
      <c r="X187" s="2">
        <v>7.2168536297355947</v>
      </c>
      <c r="Y187" s="2">
        <v>8.4643708303642882</v>
      </c>
      <c r="Z187" s="2">
        <v>9.5612279541771983</v>
      </c>
      <c r="AA187" s="2">
        <v>10.43857461834174</v>
      </c>
      <c r="AB187" s="2">
        <v>11.074009565230442</v>
      </c>
      <c r="AC187" s="2">
        <v>11.493247324141697</v>
      </c>
      <c r="AD187" s="2">
        <v>11.738156162591727</v>
      </c>
      <c r="AE187" s="2">
        <v>11.827216800092311</v>
      </c>
      <c r="AF187" s="2">
        <v>11.917450747812214</v>
      </c>
      <c r="AG187" s="2">
        <v>12.0088704479392</v>
      </c>
      <c r="AH187" s="2">
        <v>12.101488485124616</v>
      </c>
      <c r="AI187" s="2">
        <v>12.195317588071374</v>
      </c>
      <c r="AJ187" s="2">
        <v>12.29037063113546</v>
      </c>
      <c r="AK187" s="2">
        <v>12.386660635948465</v>
      </c>
      <c r="AL187" s="2">
        <v>12.484200773057898</v>
      </c>
      <c r="AM187" s="2">
        <v>12.583004363583271</v>
      </c>
      <c r="AN187" s="2">
        <v>12.683084880895041</v>
      </c>
      <c r="AO187" s="2">
        <v>12.78445595230893</v>
      </c>
      <c r="AP187" s="2">
        <v>12.887131360801416</v>
      </c>
      <c r="AQ187" s="2">
        <v>12.991125046743283</v>
      </c>
      <c r="AR187" s="2">
        <v>249.080625816234</v>
      </c>
    </row>
    <row r="188" spans="1:44" x14ac:dyDescent="0.25">
      <c r="A188" t="s">
        <v>250</v>
      </c>
      <c r="B188" t="s">
        <v>297</v>
      </c>
      <c r="C188" t="s">
        <v>44</v>
      </c>
      <c r="D188" t="s">
        <v>144</v>
      </c>
      <c r="E188" t="s">
        <v>145</v>
      </c>
      <c r="F188" t="s">
        <v>144</v>
      </c>
      <c r="G188" t="s">
        <v>31</v>
      </c>
      <c r="H188" t="s">
        <v>252</v>
      </c>
      <c r="I188" t="s">
        <v>135</v>
      </c>
      <c r="J188" t="s">
        <v>39</v>
      </c>
      <c r="K188" t="s">
        <v>31</v>
      </c>
      <c r="L188">
        <v>1.7838218382297353</v>
      </c>
      <c r="M188">
        <v>1</v>
      </c>
      <c r="N188">
        <v>5.6033078212052585</v>
      </c>
      <c r="O188">
        <v>5.4421202420407448</v>
      </c>
      <c r="P188">
        <v>-1.8781339009530855</v>
      </c>
      <c r="Q188">
        <v>0.52607301930842676</v>
      </c>
      <c r="R188">
        <v>-1.862552393622352</v>
      </c>
      <c r="S188" s="2">
        <v>1.9218765726103921</v>
      </c>
      <c r="T188" s="2">
        <v>2.8100436423410207</v>
      </c>
      <c r="U188" s="2">
        <v>3.8170460680333935</v>
      </c>
      <c r="V188" s="2">
        <v>4.9879843984182388</v>
      </c>
      <c r="W188" s="2">
        <v>6.2647495024697637</v>
      </c>
      <c r="X188" s="2">
        <v>7.5598336202573231</v>
      </c>
      <c r="Y188" s="2">
        <v>8.7695710288717841</v>
      </c>
      <c r="Z188" s="2">
        <v>9.7971026737085758</v>
      </c>
      <c r="AA188" s="2">
        <v>10.578074991988817</v>
      </c>
      <c r="AB188" s="2">
        <v>11.097702326336838</v>
      </c>
      <c r="AC188" s="2">
        <v>11.389773621577422</v>
      </c>
      <c r="AD188" s="2">
        <v>11.502651411255618</v>
      </c>
      <c r="AE188" s="2">
        <v>11.460091601033971</v>
      </c>
      <c r="AF188" s="2">
        <v>11.417689262110144</v>
      </c>
      <c r="AG188" s="2">
        <v>11.375443811840334</v>
      </c>
      <c r="AH188" s="2">
        <v>11.333354669736527</v>
      </c>
      <c r="AI188" s="2">
        <v>11.291421257458502</v>
      </c>
      <c r="AJ188" s="2">
        <v>11.249642998805905</v>
      </c>
      <c r="AK188" s="2">
        <v>11.208019319710322</v>
      </c>
      <c r="AL188" s="2">
        <v>11.166549648227395</v>
      </c>
      <c r="AM188" s="2">
        <v>11.125233414528955</v>
      </c>
      <c r="AN188" s="2">
        <v>11.084070050895196</v>
      </c>
      <c r="AO188" s="2">
        <v>11.043058991706882</v>
      </c>
      <c r="AP188" s="2">
        <v>11.002199673437568</v>
      </c>
      <c r="AQ188" s="2">
        <v>10.961491534645848</v>
      </c>
      <c r="AR188" s="2">
        <v>236.21467609200675</v>
      </c>
    </row>
    <row r="189" spans="1:44" x14ac:dyDescent="0.25">
      <c r="A189" t="s">
        <v>250</v>
      </c>
      <c r="B189" t="s">
        <v>297</v>
      </c>
      <c r="C189" t="s">
        <v>44</v>
      </c>
      <c r="D189" t="s">
        <v>144</v>
      </c>
      <c r="E189" t="s">
        <v>148</v>
      </c>
      <c r="F189" t="s">
        <v>144</v>
      </c>
      <c r="G189" t="s">
        <v>31</v>
      </c>
      <c r="H189" t="s">
        <v>252</v>
      </c>
      <c r="I189" t="s">
        <v>135</v>
      </c>
      <c r="J189" t="s">
        <v>39</v>
      </c>
      <c r="K189" t="s">
        <v>31</v>
      </c>
      <c r="L189">
        <v>1.7838218382297353</v>
      </c>
      <c r="M189">
        <v>1</v>
      </c>
      <c r="N189">
        <v>5.6033078212052585</v>
      </c>
      <c r="O189">
        <v>5.4421202420407448</v>
      </c>
      <c r="P189">
        <v>-1.8781339009530855</v>
      </c>
      <c r="Q189">
        <v>0.52607301930842676</v>
      </c>
      <c r="R189">
        <v>-1.862552393622352</v>
      </c>
      <c r="S189" s="2">
        <v>0.5449240864488385</v>
      </c>
      <c r="T189" s="2">
        <v>1.060606039824491</v>
      </c>
      <c r="U189" s="2">
        <v>1.4569445146559437</v>
      </c>
      <c r="V189" s="2">
        <v>1.9254530250019848</v>
      </c>
      <c r="W189" s="2">
        <v>2.445802004929488</v>
      </c>
      <c r="X189" s="2">
        <v>2.9850866951352173</v>
      </c>
      <c r="Y189" s="2">
        <v>3.5024135983204219</v>
      </c>
      <c r="Z189" s="2">
        <v>3.9577487223556647</v>
      </c>
      <c r="AA189" s="2">
        <v>4.3225064415849488</v>
      </c>
      <c r="AB189" s="2">
        <v>4.5873023409682885</v>
      </c>
      <c r="AC189" s="2">
        <v>4.7626796439813219</v>
      </c>
      <c r="AD189" s="2">
        <v>4.8658955678568203</v>
      </c>
      <c r="AE189" s="2">
        <v>4.9045355531596471</v>
      </c>
      <c r="AF189" s="2">
        <v>4.9436677918086938</v>
      </c>
      <c r="AG189" s="2">
        <v>4.9832975860373017</v>
      </c>
      <c r="AH189" s="2">
        <v>5.0234302983458958</v>
      </c>
      <c r="AI189" s="2">
        <v>5.0640713521760468</v>
      </c>
      <c r="AJ189" s="2">
        <v>5.105226232589847</v>
      </c>
      <c r="AK189" s="2">
        <v>5.146900486958514</v>
      </c>
      <c r="AL189" s="2">
        <v>5.1890997256586271</v>
      </c>
      <c r="AM189" s="2">
        <v>5.2318296227745016</v>
      </c>
      <c r="AN189" s="2">
        <v>5.2750959168111402</v>
      </c>
      <c r="AO189" s="2">
        <v>5.3189044114124702</v>
      </c>
      <c r="AP189" s="2">
        <v>5.3632609760900687</v>
      </c>
      <c r="AQ189" s="2">
        <v>5.4081715469578189</v>
      </c>
      <c r="AR189" s="2">
        <v>103.37485418184401</v>
      </c>
    </row>
    <row r="190" spans="1:44" x14ac:dyDescent="0.25">
      <c r="A190" t="s">
        <v>250</v>
      </c>
      <c r="B190" t="s">
        <v>293</v>
      </c>
      <c r="C190" t="s">
        <v>44</v>
      </c>
      <c r="D190" t="s">
        <v>144</v>
      </c>
      <c r="E190" t="s">
        <v>145</v>
      </c>
      <c r="F190" t="s">
        <v>144</v>
      </c>
      <c r="G190" t="s">
        <v>31</v>
      </c>
      <c r="H190" t="s">
        <v>288</v>
      </c>
      <c r="I190" t="s">
        <v>135</v>
      </c>
      <c r="J190" t="s">
        <v>39</v>
      </c>
      <c r="K190" t="s">
        <v>31</v>
      </c>
      <c r="L190">
        <v>0.80006055422654132</v>
      </c>
      <c r="M190">
        <v>1</v>
      </c>
      <c r="N190">
        <v>3.6363315675395942</v>
      </c>
      <c r="O190">
        <v>5.4757113018011117</v>
      </c>
      <c r="P190">
        <v>-1.5885651785496615</v>
      </c>
      <c r="Q190">
        <v>0.81564174171185133</v>
      </c>
      <c r="R190">
        <v>-1.8625523936223525</v>
      </c>
      <c r="S190" s="2">
        <v>1.9318462289983593</v>
      </c>
      <c r="T190" s="2">
        <v>2.8266052065797602</v>
      </c>
      <c r="U190" s="2">
        <v>3.8422402672311491</v>
      </c>
      <c r="V190" s="2">
        <v>5.0244349981712144</v>
      </c>
      <c r="W190" s="2">
        <v>6.3149640707328043</v>
      </c>
      <c r="X190" s="2">
        <v>7.6257829358040983</v>
      </c>
      <c r="Y190" s="2">
        <v>8.8522889138239282</v>
      </c>
      <c r="Z190" s="2">
        <v>9.8964609905393495</v>
      </c>
      <c r="AA190" s="2">
        <v>10.692861144682677</v>
      </c>
      <c r="AB190" s="2">
        <v>11.226008977087904</v>
      </c>
      <c r="AC190" s="2">
        <v>11.529552040828818</v>
      </c>
      <c r="AD190" s="2">
        <v>11.651996037682975</v>
      </c>
      <c r="AE190" s="2">
        <v>11.61704004956993</v>
      </c>
      <c r="AF190" s="2">
        <v>11.582188929421219</v>
      </c>
      <c r="AG190" s="2">
        <v>11.547442362632951</v>
      </c>
      <c r="AH190" s="2">
        <v>11.512800035545053</v>
      </c>
      <c r="AI190" s="2">
        <v>11.478261635438418</v>
      </c>
      <c r="AJ190" s="2">
        <v>11.443826850532101</v>
      </c>
      <c r="AK190" s="2">
        <v>11.409495369980508</v>
      </c>
      <c r="AL190" s="2">
        <v>11.375266883870566</v>
      </c>
      <c r="AM190" s="2">
        <v>11.341141083218954</v>
      </c>
      <c r="AN190" s="2">
        <v>11.3071176599693</v>
      </c>
      <c r="AO190" s="2">
        <v>11.273196306989389</v>
      </c>
      <c r="AP190" s="2">
        <v>11.239376718068423</v>
      </c>
      <c r="AQ190" s="2">
        <v>11.205658587914217</v>
      </c>
      <c r="AR190" s="2">
        <v>239.74785428531411</v>
      </c>
    </row>
    <row r="191" spans="1:44" x14ac:dyDescent="0.25">
      <c r="A191" t="s">
        <v>250</v>
      </c>
      <c r="B191" t="s">
        <v>293</v>
      </c>
      <c r="C191" t="s">
        <v>44</v>
      </c>
      <c r="D191" t="s">
        <v>144</v>
      </c>
      <c r="E191" t="s">
        <v>145</v>
      </c>
      <c r="F191" t="s">
        <v>144</v>
      </c>
      <c r="G191" t="s">
        <v>31</v>
      </c>
      <c r="H191" t="s">
        <v>288</v>
      </c>
      <c r="I191" t="s">
        <v>135</v>
      </c>
      <c r="J191" t="s">
        <v>39</v>
      </c>
      <c r="K191" t="s">
        <v>33</v>
      </c>
      <c r="L191">
        <v>0.80006055422654132</v>
      </c>
      <c r="M191">
        <v>1</v>
      </c>
      <c r="N191">
        <v>3.6363315675395942</v>
      </c>
      <c r="O191">
        <v>5.4757113018011117</v>
      </c>
      <c r="P191">
        <v>-1.5885651785496615</v>
      </c>
      <c r="Q191">
        <v>0.81564174171185133</v>
      </c>
      <c r="R191">
        <v>-1.8625523936223525</v>
      </c>
      <c r="S191" s="2">
        <v>1.8173096499989629E-2</v>
      </c>
      <c r="T191" s="2">
        <v>2.6590195645737769E-2</v>
      </c>
      <c r="U191" s="2">
        <v>3.6144389809297246E-2</v>
      </c>
      <c r="V191" s="2">
        <v>4.7265429675028371E-2</v>
      </c>
      <c r="W191" s="2">
        <v>5.9405582974840394E-2</v>
      </c>
      <c r="X191" s="2">
        <v>7.1736604653154221E-2</v>
      </c>
      <c r="Y191" s="2">
        <v>8.327448544396919E-2</v>
      </c>
      <c r="Z191" s="2">
        <v>9.3097130553038115E-2</v>
      </c>
      <c r="AA191" s="2">
        <v>0.10058895709523517</v>
      </c>
      <c r="AB191" s="2">
        <v>0.10560433920050973</v>
      </c>
      <c r="AC191" s="2">
        <v>0.108459803215431</v>
      </c>
      <c r="AD191" s="2">
        <v>0.10961164777597286</v>
      </c>
      <c r="AE191" s="2">
        <v>0.10928281283264492</v>
      </c>
      <c r="AF191" s="2">
        <v>0.10895496439414701</v>
      </c>
      <c r="AG191" s="2">
        <v>0.10862809950096455</v>
      </c>
      <c r="AH191" s="2">
        <v>0.10830221520246168</v>
      </c>
      <c r="AI191" s="2">
        <v>0.10797730855685428</v>
      </c>
      <c r="AJ191" s="2">
        <v>0.10765337663118371</v>
      </c>
      <c r="AK191" s="2">
        <v>0.10733041650129016</v>
      </c>
      <c r="AL191" s="2">
        <v>0.10700842525178633</v>
      </c>
      <c r="AM191" s="2">
        <v>0.10668739997603095</v>
      </c>
      <c r="AN191" s="2">
        <v>0.10636733777610285</v>
      </c>
      <c r="AO191" s="2">
        <v>0.10604823576277456</v>
      </c>
      <c r="AP191" s="2">
        <v>0.1057300910554862</v>
      </c>
      <c r="AQ191" s="2">
        <v>0.10541290078231977</v>
      </c>
      <c r="AR191" s="2">
        <v>2.2553352467662506</v>
      </c>
    </row>
    <row r="192" spans="1:44" x14ac:dyDescent="0.25">
      <c r="A192" t="s">
        <v>250</v>
      </c>
      <c r="B192" t="s">
        <v>293</v>
      </c>
      <c r="C192" t="s">
        <v>44</v>
      </c>
      <c r="D192" t="s">
        <v>144</v>
      </c>
      <c r="E192" t="s">
        <v>145</v>
      </c>
      <c r="F192" t="s">
        <v>144</v>
      </c>
      <c r="G192" t="s">
        <v>31</v>
      </c>
      <c r="H192" t="s">
        <v>289</v>
      </c>
      <c r="I192" t="s">
        <v>135</v>
      </c>
      <c r="J192" t="s">
        <v>39</v>
      </c>
      <c r="K192" t="s">
        <v>31</v>
      </c>
      <c r="L192">
        <v>0.80006055422654132</v>
      </c>
      <c r="M192">
        <v>1</v>
      </c>
      <c r="N192">
        <v>3.6363315675395942</v>
      </c>
      <c r="O192">
        <v>5.4757113018011117</v>
      </c>
      <c r="P192">
        <v>-1.5885651785496615</v>
      </c>
      <c r="Q192">
        <v>0.81564174171185133</v>
      </c>
      <c r="R192">
        <v>-1.8625523936223525</v>
      </c>
      <c r="S192" s="2">
        <v>1.8361360986325601</v>
      </c>
      <c r="T192" s="2">
        <v>2.686565720644762</v>
      </c>
      <c r="U192" s="2">
        <v>3.6518828198560085</v>
      </c>
      <c r="V192" s="2">
        <v>4.7755076656170168</v>
      </c>
      <c r="W192" s="2">
        <v>6.0020996069920463</v>
      </c>
      <c r="X192" s="2">
        <v>7.2479761166218486</v>
      </c>
      <c r="Y192" s="2">
        <v>8.4137168819199726</v>
      </c>
      <c r="Z192" s="2">
        <v>9.4061571778721937</v>
      </c>
      <c r="AA192" s="2">
        <v>10.163101001883112</v>
      </c>
      <c r="AB192" s="2">
        <v>10.66983490559268</v>
      </c>
      <c r="AC192" s="2">
        <v>10.958339429637116</v>
      </c>
      <c r="AD192" s="2">
        <v>11.0747171409218</v>
      </c>
      <c r="AE192" s="2">
        <v>11.041492989499035</v>
      </c>
      <c r="AF192" s="2">
        <v>11.008368510530536</v>
      </c>
      <c r="AG192" s="2">
        <v>10.975343404998945</v>
      </c>
      <c r="AH192" s="2">
        <v>10.942417374783947</v>
      </c>
      <c r="AI192" s="2">
        <v>10.909590122659596</v>
      </c>
      <c r="AJ192" s="2">
        <v>10.876861352291618</v>
      </c>
      <c r="AK192" s="2">
        <v>10.844230768234741</v>
      </c>
      <c r="AL192" s="2">
        <v>10.811698075930037</v>
      </c>
      <c r="AM192" s="2">
        <v>10.779262981702248</v>
      </c>
      <c r="AN192" s="2">
        <v>10.746925192757143</v>
      </c>
      <c r="AO192" s="2">
        <v>10.714684417178871</v>
      </c>
      <c r="AP192" s="2">
        <v>10.682540363927334</v>
      </c>
      <c r="AQ192" s="2">
        <v>10.650492742835553</v>
      </c>
      <c r="AR192" s="2">
        <v>227.86994286352072</v>
      </c>
    </row>
    <row r="193" spans="1:44" x14ac:dyDescent="0.25">
      <c r="A193" t="s">
        <v>250</v>
      </c>
      <c r="B193" t="s">
        <v>293</v>
      </c>
      <c r="C193" t="s">
        <v>44</v>
      </c>
      <c r="D193" t="s">
        <v>144</v>
      </c>
      <c r="E193" t="s">
        <v>145</v>
      </c>
      <c r="F193" t="s">
        <v>144</v>
      </c>
      <c r="G193" t="s">
        <v>31</v>
      </c>
      <c r="H193" t="s">
        <v>290</v>
      </c>
      <c r="I193" t="s">
        <v>135</v>
      </c>
      <c r="J193" t="s">
        <v>39</v>
      </c>
      <c r="K193" t="s">
        <v>31</v>
      </c>
      <c r="L193">
        <v>0.80006055422654132</v>
      </c>
      <c r="M193">
        <v>1</v>
      </c>
      <c r="N193">
        <v>3.6363315675395942</v>
      </c>
      <c r="O193">
        <v>5.4757113018011117</v>
      </c>
      <c r="P193">
        <v>-1.5885651785496615</v>
      </c>
      <c r="Q193">
        <v>0.81564174171185133</v>
      </c>
      <c r="R193">
        <v>-1.8625523936223525</v>
      </c>
      <c r="S193" s="2">
        <v>2.6588501294877656</v>
      </c>
      <c r="T193" s="2">
        <v>3.8903301446627543</v>
      </c>
      <c r="U193" s="2">
        <v>5.2881750517728801</v>
      </c>
      <c r="V193" s="2">
        <v>6.9152603581792302</v>
      </c>
      <c r="W193" s="2">
        <v>8.6914490320920645</v>
      </c>
      <c r="X193" s="2">
        <v>10.495563074303847</v>
      </c>
      <c r="Y193" s="2">
        <v>12.183635100702338</v>
      </c>
      <c r="Z193" s="2">
        <v>13.620756244046021</v>
      </c>
      <c r="AA193" s="2">
        <v>14.716862456426057</v>
      </c>
      <c r="AB193" s="2">
        <v>15.450647662488629</v>
      </c>
      <c r="AC193" s="2">
        <v>15.86842186325983</v>
      </c>
      <c r="AD193" s="2">
        <v>16.03694471565035</v>
      </c>
      <c r="AE193" s="2">
        <v>15.988833881503398</v>
      </c>
      <c r="AF193" s="2">
        <v>15.940867379858888</v>
      </c>
      <c r="AG193" s="2">
        <v>15.893044777719313</v>
      </c>
      <c r="AH193" s="2">
        <v>15.845365643386152</v>
      </c>
      <c r="AI193" s="2">
        <v>15.797829546455995</v>
      </c>
      <c r="AJ193" s="2">
        <v>15.75043605781663</v>
      </c>
      <c r="AK193" s="2">
        <v>15.703184749643178</v>
      </c>
      <c r="AL193" s="2">
        <v>15.65607519539425</v>
      </c>
      <c r="AM193" s="2">
        <v>15.609106969808066</v>
      </c>
      <c r="AN193" s="2">
        <v>15.56227964889864</v>
      </c>
      <c r="AO193" s="2">
        <v>15.515592809951945</v>
      </c>
      <c r="AP193" s="2">
        <v>15.469046031522092</v>
      </c>
      <c r="AQ193" s="2">
        <v>15.422638893427521</v>
      </c>
      <c r="AR193" s="2">
        <v>329.97119741845779</v>
      </c>
    </row>
    <row r="194" spans="1:44" x14ac:dyDescent="0.25">
      <c r="A194" t="s">
        <v>250</v>
      </c>
      <c r="B194" t="s">
        <v>293</v>
      </c>
      <c r="C194" t="s">
        <v>44</v>
      </c>
      <c r="D194" t="s">
        <v>144</v>
      </c>
      <c r="E194" t="s">
        <v>148</v>
      </c>
      <c r="F194" t="s">
        <v>144</v>
      </c>
      <c r="G194" t="s">
        <v>31</v>
      </c>
      <c r="H194" t="s">
        <v>288</v>
      </c>
      <c r="I194" t="s">
        <v>135</v>
      </c>
      <c r="J194" t="s">
        <v>39</v>
      </c>
      <c r="K194" t="s">
        <v>31</v>
      </c>
      <c r="L194">
        <v>0.80006055422654132</v>
      </c>
      <c r="M194">
        <v>1</v>
      </c>
      <c r="N194">
        <v>3.6363315675395942</v>
      </c>
      <c r="O194">
        <v>5.4757113018011117</v>
      </c>
      <c r="P194">
        <v>-1.5885651785496615</v>
      </c>
      <c r="Q194">
        <v>0.81564174171185133</v>
      </c>
      <c r="R194">
        <v>-1.8625523936223525</v>
      </c>
      <c r="S194" s="2">
        <v>0.54775085793710465</v>
      </c>
      <c r="T194" s="2">
        <v>1.0164934560091621</v>
      </c>
      <c r="U194" s="2">
        <v>1.3973111101905933</v>
      </c>
      <c r="V194" s="2">
        <v>1.8479034012181106</v>
      </c>
      <c r="W194" s="2">
        <v>2.3488783075577064</v>
      </c>
      <c r="X194" s="2">
        <v>2.8687038412024433</v>
      </c>
      <c r="Y194" s="2">
        <v>3.3680801825295763</v>
      </c>
      <c r="Z194" s="2">
        <v>3.8084313526692073</v>
      </c>
      <c r="AA194" s="2">
        <v>4.1621066251936485</v>
      </c>
      <c r="AB194" s="2">
        <v>4.4198882538733066</v>
      </c>
      <c r="AC194" s="2">
        <v>4.5917519565785305</v>
      </c>
      <c r="AD194" s="2">
        <v>4.6941799055497411</v>
      </c>
      <c r="AE194" s="2">
        <v>4.734362646704632</v>
      </c>
      <c r="AF194" s="2">
        <v>4.775033387482261</v>
      </c>
      <c r="AG194" s="2">
        <v>4.816197488329963</v>
      </c>
      <c r="AH194" s="2">
        <v>4.8578603701447092</v>
      </c>
      <c r="AI194" s="2">
        <v>4.9000275149513257</v>
      </c>
      <c r="AJ194" s="2">
        <v>4.9427044665851527</v>
      </c>
      <c r="AK194" s="2">
        <v>4.985896831386019</v>
      </c>
      <c r="AL194" s="2">
        <v>5.0296102788972235</v>
      </c>
      <c r="AM194" s="2">
        <v>5.073850542573159</v>
      </c>
      <c r="AN194" s="2">
        <v>5.1186234204955099</v>
      </c>
      <c r="AO194" s="2">
        <v>5.1639347760970624</v>
      </c>
      <c r="AP194" s="2">
        <v>5.2097905388931753</v>
      </c>
      <c r="AQ194" s="2">
        <v>5.2561967052222247</v>
      </c>
      <c r="AR194" s="2">
        <v>99.935568218271541</v>
      </c>
    </row>
    <row r="195" spans="1:44" x14ac:dyDescent="0.25">
      <c r="A195" t="s">
        <v>250</v>
      </c>
      <c r="B195" t="s">
        <v>293</v>
      </c>
      <c r="C195" t="s">
        <v>44</v>
      </c>
      <c r="D195" t="s">
        <v>144</v>
      </c>
      <c r="E195" t="s">
        <v>148</v>
      </c>
      <c r="F195" t="s">
        <v>144</v>
      </c>
      <c r="G195" t="s">
        <v>31</v>
      </c>
      <c r="H195" t="s">
        <v>288</v>
      </c>
      <c r="I195" t="s">
        <v>135</v>
      </c>
      <c r="J195" t="s">
        <v>39</v>
      </c>
      <c r="K195" t="s">
        <v>33</v>
      </c>
      <c r="L195">
        <v>0.80006055422654132</v>
      </c>
      <c r="M195">
        <v>1</v>
      </c>
      <c r="N195">
        <v>3.6363315675395942</v>
      </c>
      <c r="O195">
        <v>5.4757113018011117</v>
      </c>
      <c r="P195">
        <v>-1.5885651785496615</v>
      </c>
      <c r="Q195">
        <v>0.81564174171185133</v>
      </c>
      <c r="R195">
        <v>-1.8625523936223525</v>
      </c>
      <c r="S195" s="2">
        <v>5.1527544220765021E-3</v>
      </c>
      <c r="T195" s="2">
        <v>9.5622691860108334E-3</v>
      </c>
      <c r="U195" s="2">
        <v>1.3144664034242363E-2</v>
      </c>
      <c r="V195" s="2">
        <v>1.7383436802010637E-2</v>
      </c>
      <c r="W195" s="2">
        <v>2.209616454416833E-2</v>
      </c>
      <c r="X195" s="2">
        <v>2.6986222274582361E-2</v>
      </c>
      <c r="Y195" s="2">
        <v>3.1683912134428796E-2</v>
      </c>
      <c r="Z195" s="2">
        <v>3.5826345516914535E-2</v>
      </c>
      <c r="AA195" s="2">
        <v>3.9153408903620741E-2</v>
      </c>
      <c r="AB195" s="2">
        <v>4.1578389910701022E-2</v>
      </c>
      <c r="AC195" s="2">
        <v>4.319513124716097E-2</v>
      </c>
      <c r="AD195" s="2">
        <v>4.4158682575940786E-2</v>
      </c>
      <c r="AE195" s="2">
        <v>4.4536686177719172E-2</v>
      </c>
      <c r="AF195" s="2">
        <v>4.4919280447274577E-2</v>
      </c>
      <c r="AG195" s="2">
        <v>4.5306515810944567E-2</v>
      </c>
      <c r="AH195" s="2">
        <v>4.5698443263721349E-2</v>
      </c>
      <c r="AI195" s="2">
        <v>4.6095114375632469E-2</v>
      </c>
      <c r="AJ195" s="2">
        <v>4.6496581298168839E-2</v>
      </c>
      <c r="AK195" s="2">
        <v>4.6902896770800208E-2</v>
      </c>
      <c r="AL195" s="2">
        <v>4.7314114127567933E-2</v>
      </c>
      <c r="AM195" s="2">
        <v>4.7730287303723279E-2</v>
      </c>
      <c r="AN195" s="2">
        <v>4.8151470842481225E-2</v>
      </c>
      <c r="AO195" s="2">
        <v>4.8577719901817536E-2</v>
      </c>
      <c r="AP195" s="2">
        <v>4.9009090261355158E-2</v>
      </c>
      <c r="AQ195" s="2">
        <v>4.9445638329328835E-2</v>
      </c>
      <c r="AR195" s="2">
        <v>0.94010522046239309</v>
      </c>
    </row>
    <row r="196" spans="1:44" x14ac:dyDescent="0.25">
      <c r="A196" t="s">
        <v>250</v>
      </c>
      <c r="B196" t="s">
        <v>293</v>
      </c>
      <c r="C196" t="s">
        <v>44</v>
      </c>
      <c r="D196" t="s">
        <v>144</v>
      </c>
      <c r="E196" t="s">
        <v>148</v>
      </c>
      <c r="F196" t="s">
        <v>144</v>
      </c>
      <c r="G196" t="s">
        <v>31</v>
      </c>
      <c r="H196" t="s">
        <v>289</v>
      </c>
      <c r="I196" t="s">
        <v>135</v>
      </c>
      <c r="J196" t="s">
        <v>39</v>
      </c>
      <c r="K196" t="s">
        <v>31</v>
      </c>
      <c r="L196">
        <v>0.80006055422654132</v>
      </c>
      <c r="M196">
        <v>1</v>
      </c>
      <c r="N196">
        <v>3.6363315675395942</v>
      </c>
      <c r="O196">
        <v>5.4757113018011117</v>
      </c>
      <c r="P196">
        <v>-1.5885651785496615</v>
      </c>
      <c r="Q196">
        <v>0.81564174171185133</v>
      </c>
      <c r="R196">
        <v>-1.8625523936223525</v>
      </c>
      <c r="S196" s="2">
        <v>0.5206134464629415</v>
      </c>
      <c r="T196" s="2">
        <v>0.96613296678891902</v>
      </c>
      <c r="U196" s="2">
        <v>1.3280836393337474</v>
      </c>
      <c r="V196" s="2">
        <v>1.7563520795967706</v>
      </c>
      <c r="W196" s="2">
        <v>2.2325070117189401</v>
      </c>
      <c r="X196" s="2">
        <v>2.7265786479541925</v>
      </c>
      <c r="Y196" s="2">
        <v>3.2012142133268648</v>
      </c>
      <c r="Z196" s="2">
        <v>3.6197489121200248</v>
      </c>
      <c r="AA196" s="2">
        <v>3.9559019274728682</v>
      </c>
      <c r="AB196" s="2">
        <v>4.200912191166803</v>
      </c>
      <c r="AC196" s="2">
        <v>4.3642611906083095</v>
      </c>
      <c r="AD196" s="2">
        <v>4.4616145160396119</v>
      </c>
      <c r="AE196" s="2">
        <v>4.4998064696583953</v>
      </c>
      <c r="AF196" s="2">
        <v>4.5384622457646433</v>
      </c>
      <c r="AG196" s="2">
        <v>4.5775869392312796</v>
      </c>
      <c r="AH196" s="2">
        <v>4.6171857023858713</v>
      </c>
      <c r="AI196" s="2">
        <v>4.6572637456551771</v>
      </c>
      <c r="AJ196" s="2">
        <v>4.6978263382148695</v>
      </c>
      <c r="AK196" s="2">
        <v>4.7388788086473337</v>
      </c>
      <c r="AL196" s="2">
        <v>4.7804265456080337</v>
      </c>
      <c r="AM196" s="2">
        <v>4.8224749984968422</v>
      </c>
      <c r="AN196" s="2">
        <v>4.8650296781389208</v>
      </c>
      <c r="AO196" s="2">
        <v>4.9080961574731718</v>
      </c>
      <c r="AP196" s="2">
        <v>4.9516800722467149</v>
      </c>
      <c r="AQ196" s="2">
        <v>4.9957871217192897</v>
      </c>
      <c r="AR196" s="2">
        <v>94.984425565830534</v>
      </c>
    </row>
    <row r="197" spans="1:44" x14ac:dyDescent="0.25">
      <c r="A197" t="s">
        <v>250</v>
      </c>
      <c r="B197" t="s">
        <v>293</v>
      </c>
      <c r="C197" t="s">
        <v>44</v>
      </c>
      <c r="D197" t="s">
        <v>144</v>
      </c>
      <c r="E197" t="s">
        <v>148</v>
      </c>
      <c r="F197" t="s">
        <v>144</v>
      </c>
      <c r="G197" t="s">
        <v>31</v>
      </c>
      <c r="H197" t="s">
        <v>290</v>
      </c>
      <c r="I197" t="s">
        <v>135</v>
      </c>
      <c r="J197" t="s">
        <v>39</v>
      </c>
      <c r="K197" t="s">
        <v>31</v>
      </c>
      <c r="L197">
        <v>0.80006055422654132</v>
      </c>
      <c r="M197">
        <v>1</v>
      </c>
      <c r="N197">
        <v>3.6363315675395942</v>
      </c>
      <c r="O197">
        <v>5.4757113018011117</v>
      </c>
      <c r="P197">
        <v>-1.5885651785496615</v>
      </c>
      <c r="Q197">
        <v>0.81564174171185133</v>
      </c>
      <c r="R197">
        <v>-1.8625523936223525</v>
      </c>
      <c r="S197" s="2">
        <v>0.75388372930086944</v>
      </c>
      <c r="T197" s="2">
        <v>1.3990263389310948</v>
      </c>
      <c r="U197" s="2">
        <v>1.9231555651255243</v>
      </c>
      <c r="V197" s="2">
        <v>2.5433174358588273</v>
      </c>
      <c r="W197" s="2">
        <v>3.2328222083384728</v>
      </c>
      <c r="X197" s="2">
        <v>3.9482715886750697</v>
      </c>
      <c r="Y197" s="2">
        <v>4.6355762146177417</v>
      </c>
      <c r="Z197" s="2">
        <v>5.2416429647405618</v>
      </c>
      <c r="AA197" s="2">
        <v>5.7284154262504341</v>
      </c>
      <c r="AB197" s="2">
        <v>6.0832069756534004</v>
      </c>
      <c r="AC197" s="2">
        <v>6.3197474524950774</v>
      </c>
      <c r="AD197" s="2">
        <v>6.4607216984247815</v>
      </c>
      <c r="AE197" s="2">
        <v>6.516026248507063</v>
      </c>
      <c r="AF197" s="2">
        <v>6.5720024451420409</v>
      </c>
      <c r="AG197" s="2">
        <v>6.6286576660525229</v>
      </c>
      <c r="AH197" s="2">
        <v>6.6859993721600546</v>
      </c>
      <c r="AI197" s="2">
        <v>6.7440351085173962</v>
      </c>
      <c r="AJ197" s="2">
        <v>6.8027725052494068</v>
      </c>
      <c r="AK197" s="2">
        <v>6.8622192785068687</v>
      </c>
      <c r="AL197" s="2">
        <v>6.9223832314296585</v>
      </c>
      <c r="AM197" s="2">
        <v>6.9832722551198581</v>
      </c>
      <c r="AN197" s="2">
        <v>7.044894329627871</v>
      </c>
      <c r="AO197" s="2">
        <v>7.1072575249485803</v>
      </c>
      <c r="AP197" s="2">
        <v>7.1703700020277896</v>
      </c>
      <c r="AQ197" s="2">
        <v>7.2342400137817675</v>
      </c>
      <c r="AR197" s="2">
        <v>137.54391757948275</v>
      </c>
    </row>
    <row r="198" spans="1:44" x14ac:dyDescent="0.25">
      <c r="A198" t="s">
        <v>250</v>
      </c>
      <c r="B198" t="s">
        <v>294</v>
      </c>
      <c r="C198" t="s">
        <v>44</v>
      </c>
      <c r="D198" t="s">
        <v>144</v>
      </c>
      <c r="E198" t="s">
        <v>145</v>
      </c>
      <c r="F198" t="s">
        <v>144</v>
      </c>
      <c r="G198" t="s">
        <v>31</v>
      </c>
      <c r="H198" t="s">
        <v>272</v>
      </c>
      <c r="I198" t="s">
        <v>135</v>
      </c>
      <c r="J198" t="s">
        <v>39</v>
      </c>
      <c r="K198" t="s">
        <v>31</v>
      </c>
      <c r="L198">
        <v>1.192972744211509</v>
      </c>
      <c r="M198">
        <v>1</v>
      </c>
      <c r="N198">
        <v>4.607753102766619</v>
      </c>
      <c r="O198">
        <v>5.4674005771508289</v>
      </c>
      <c r="P198">
        <v>-1.7614983797832529</v>
      </c>
      <c r="Q198">
        <v>0.64270854047825887</v>
      </c>
      <c r="R198">
        <v>-1.862552393622352</v>
      </c>
      <c r="S198" s="2">
        <v>0</v>
      </c>
      <c r="T198" s="2">
        <v>0</v>
      </c>
      <c r="U198" s="2">
        <v>0</v>
      </c>
      <c r="V198" s="2">
        <v>0</v>
      </c>
      <c r="W198" s="2">
        <v>0</v>
      </c>
      <c r="X198" s="2">
        <v>0</v>
      </c>
      <c r="Y198" s="2">
        <v>0</v>
      </c>
      <c r="Z198" s="2">
        <v>0</v>
      </c>
      <c r="AA198" s="2">
        <v>0</v>
      </c>
      <c r="AB198" s="2">
        <v>0</v>
      </c>
      <c r="AC198" s="2">
        <v>0</v>
      </c>
      <c r="AD198" s="2">
        <v>0</v>
      </c>
      <c r="AE198" s="2">
        <v>0</v>
      </c>
      <c r="AF198" s="2">
        <v>0</v>
      </c>
      <c r="AG198" s="2">
        <v>0</v>
      </c>
      <c r="AH198" s="2">
        <v>0</v>
      </c>
      <c r="AI198" s="2">
        <v>0</v>
      </c>
      <c r="AJ198" s="2">
        <v>0</v>
      </c>
      <c r="AK198" s="2">
        <v>0</v>
      </c>
      <c r="AL198" s="2">
        <v>0</v>
      </c>
      <c r="AM198" s="2">
        <v>0</v>
      </c>
      <c r="AN198" s="2">
        <v>0</v>
      </c>
      <c r="AO198" s="2">
        <v>0</v>
      </c>
      <c r="AP198" s="2">
        <v>0</v>
      </c>
      <c r="AQ198" s="2">
        <v>0</v>
      </c>
      <c r="AR198" s="2">
        <v>0</v>
      </c>
    </row>
    <row r="199" spans="1:44" x14ac:dyDescent="0.25">
      <c r="A199" t="s">
        <v>250</v>
      </c>
      <c r="B199" t="s">
        <v>294</v>
      </c>
      <c r="C199" t="s">
        <v>44</v>
      </c>
      <c r="D199" t="s">
        <v>144</v>
      </c>
      <c r="E199" t="s">
        <v>145</v>
      </c>
      <c r="F199" t="s">
        <v>144</v>
      </c>
      <c r="G199" t="s">
        <v>31</v>
      </c>
      <c r="H199" t="s">
        <v>272</v>
      </c>
      <c r="I199" t="s">
        <v>135</v>
      </c>
      <c r="J199" t="s">
        <v>40</v>
      </c>
      <c r="K199" t="s">
        <v>31</v>
      </c>
      <c r="L199">
        <v>1.192972744211509</v>
      </c>
      <c r="M199">
        <v>1</v>
      </c>
      <c r="N199">
        <v>4.607753102766619</v>
      </c>
      <c r="O199">
        <v>4.1746294160814514</v>
      </c>
      <c r="P199">
        <v>-1.7614983797832529</v>
      </c>
      <c r="Q199">
        <v>0.4672931329656026</v>
      </c>
      <c r="R199">
        <v>-1.7195523936223516</v>
      </c>
      <c r="S199" s="2">
        <v>0</v>
      </c>
      <c r="T199" s="2">
        <v>0</v>
      </c>
      <c r="U199" s="2">
        <v>0</v>
      </c>
      <c r="V199" s="2">
        <v>0</v>
      </c>
      <c r="W199" s="2">
        <v>0</v>
      </c>
      <c r="X199" s="2">
        <v>0</v>
      </c>
      <c r="Y199" s="2">
        <v>0</v>
      </c>
      <c r="Z199" s="2">
        <v>0</v>
      </c>
      <c r="AA199" s="2">
        <v>0</v>
      </c>
      <c r="AB199" s="2">
        <v>0</v>
      </c>
      <c r="AC199" s="2">
        <v>0</v>
      </c>
      <c r="AD199" s="2">
        <v>0</v>
      </c>
      <c r="AE199" s="2">
        <v>0</v>
      </c>
      <c r="AF199" s="2">
        <v>0</v>
      </c>
      <c r="AG199" s="2">
        <v>0</v>
      </c>
      <c r="AH199" s="2">
        <v>0</v>
      </c>
      <c r="AI199" s="2">
        <v>0</v>
      </c>
      <c r="AJ199" s="2">
        <v>0</v>
      </c>
      <c r="AK199" s="2">
        <v>0</v>
      </c>
      <c r="AL199" s="2">
        <v>0</v>
      </c>
      <c r="AM199" s="2">
        <v>0</v>
      </c>
      <c r="AN199" s="2">
        <v>0</v>
      </c>
      <c r="AO199" s="2">
        <v>0</v>
      </c>
      <c r="AP199" s="2">
        <v>0</v>
      </c>
      <c r="AQ199" s="2">
        <v>0</v>
      </c>
      <c r="AR199" s="2">
        <v>0</v>
      </c>
    </row>
    <row r="200" spans="1:44" x14ac:dyDescent="0.25">
      <c r="A200" t="s">
        <v>250</v>
      </c>
      <c r="B200" t="s">
        <v>294</v>
      </c>
      <c r="C200" t="s">
        <v>44</v>
      </c>
      <c r="D200" t="s">
        <v>144</v>
      </c>
      <c r="E200" t="s">
        <v>145</v>
      </c>
      <c r="F200" t="s">
        <v>144</v>
      </c>
      <c r="G200" t="s">
        <v>31</v>
      </c>
      <c r="H200" t="s">
        <v>273</v>
      </c>
      <c r="I200" t="s">
        <v>135</v>
      </c>
      <c r="J200" t="s">
        <v>39</v>
      </c>
      <c r="K200" t="s">
        <v>31</v>
      </c>
      <c r="L200">
        <v>1.192972744211509</v>
      </c>
      <c r="M200">
        <v>1</v>
      </c>
      <c r="N200">
        <v>4.607753102766619</v>
      </c>
      <c r="O200">
        <v>5.4674005771508289</v>
      </c>
      <c r="P200">
        <v>-1.7614983797832529</v>
      </c>
      <c r="Q200">
        <v>0.64270854047825887</v>
      </c>
      <c r="R200">
        <v>-1.862552393622352</v>
      </c>
      <c r="S200" s="2">
        <v>0</v>
      </c>
      <c r="T200" s="2">
        <v>0</v>
      </c>
      <c r="U200" s="2">
        <v>0</v>
      </c>
      <c r="V200" s="2">
        <v>0</v>
      </c>
      <c r="W200" s="2">
        <v>0</v>
      </c>
      <c r="X200" s="2">
        <v>0</v>
      </c>
      <c r="Y200" s="2">
        <v>0</v>
      </c>
      <c r="Z200" s="2">
        <v>0</v>
      </c>
      <c r="AA200" s="2">
        <v>0</v>
      </c>
      <c r="AB200" s="2">
        <v>0</v>
      </c>
      <c r="AC200" s="2">
        <v>0</v>
      </c>
      <c r="AD200" s="2">
        <v>0</v>
      </c>
      <c r="AE200" s="2">
        <v>0</v>
      </c>
      <c r="AF200" s="2">
        <v>0</v>
      </c>
      <c r="AG200" s="2">
        <v>0</v>
      </c>
      <c r="AH200" s="2">
        <v>0</v>
      </c>
      <c r="AI200" s="2">
        <v>0</v>
      </c>
      <c r="AJ200" s="2">
        <v>0</v>
      </c>
      <c r="AK200" s="2">
        <v>0</v>
      </c>
      <c r="AL200" s="2">
        <v>0</v>
      </c>
      <c r="AM200" s="2">
        <v>0</v>
      </c>
      <c r="AN200" s="2">
        <v>0</v>
      </c>
      <c r="AO200" s="2">
        <v>0</v>
      </c>
      <c r="AP200" s="2">
        <v>0</v>
      </c>
      <c r="AQ200" s="2">
        <v>0</v>
      </c>
      <c r="AR200" s="2">
        <v>0</v>
      </c>
    </row>
    <row r="201" spans="1:44" x14ac:dyDescent="0.25">
      <c r="A201" t="s">
        <v>250</v>
      </c>
      <c r="B201" t="s">
        <v>294</v>
      </c>
      <c r="C201" t="s">
        <v>44</v>
      </c>
      <c r="D201" t="s">
        <v>144</v>
      </c>
      <c r="E201" t="s">
        <v>145</v>
      </c>
      <c r="F201" t="s">
        <v>144</v>
      </c>
      <c r="G201" t="s">
        <v>31</v>
      </c>
      <c r="H201" t="s">
        <v>274</v>
      </c>
      <c r="I201" t="s">
        <v>135</v>
      </c>
      <c r="J201" t="s">
        <v>39</v>
      </c>
      <c r="K201" t="s">
        <v>31</v>
      </c>
      <c r="L201">
        <v>1.192972744211509</v>
      </c>
      <c r="M201">
        <v>1</v>
      </c>
      <c r="N201">
        <v>4.607753102766619</v>
      </c>
      <c r="O201">
        <v>5.4674005771508289</v>
      </c>
      <c r="P201">
        <v>-1.7614983797832529</v>
      </c>
      <c r="Q201">
        <v>0.64270854047825887</v>
      </c>
      <c r="R201">
        <v>-1.862552393622352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>
        <v>0</v>
      </c>
      <c r="Y201" s="2">
        <v>0</v>
      </c>
      <c r="Z201" s="2">
        <v>0</v>
      </c>
      <c r="AA201" s="2">
        <v>0</v>
      </c>
      <c r="AB201" s="2">
        <v>0</v>
      </c>
      <c r="AC201" s="2">
        <v>0</v>
      </c>
      <c r="AD201" s="2">
        <v>0</v>
      </c>
      <c r="AE201" s="2">
        <v>0</v>
      </c>
      <c r="AF201" s="2">
        <v>0</v>
      </c>
      <c r="AG201" s="2">
        <v>0</v>
      </c>
      <c r="AH201" s="2">
        <v>0</v>
      </c>
      <c r="AI201" s="2">
        <v>0</v>
      </c>
      <c r="AJ201" s="2">
        <v>0</v>
      </c>
      <c r="AK201" s="2">
        <v>0</v>
      </c>
      <c r="AL201" s="2">
        <v>0</v>
      </c>
      <c r="AM201" s="2">
        <v>0</v>
      </c>
      <c r="AN201" s="2">
        <v>0</v>
      </c>
      <c r="AO201" s="2">
        <v>0</v>
      </c>
      <c r="AP201" s="2">
        <v>0</v>
      </c>
      <c r="AQ201" s="2">
        <v>0</v>
      </c>
      <c r="AR201" s="2">
        <v>0</v>
      </c>
    </row>
    <row r="202" spans="1:44" x14ac:dyDescent="0.25">
      <c r="A202" t="s">
        <v>250</v>
      </c>
      <c r="B202" t="s">
        <v>294</v>
      </c>
      <c r="C202" t="s">
        <v>44</v>
      </c>
      <c r="D202" t="s">
        <v>144</v>
      </c>
      <c r="E202" t="s">
        <v>145</v>
      </c>
      <c r="F202" t="s">
        <v>144</v>
      </c>
      <c r="G202" t="s">
        <v>31</v>
      </c>
      <c r="H202" t="s">
        <v>274</v>
      </c>
      <c r="I202" t="s">
        <v>135</v>
      </c>
      <c r="J202" t="s">
        <v>39</v>
      </c>
      <c r="K202" t="s">
        <v>33</v>
      </c>
      <c r="L202">
        <v>1.192972744211509</v>
      </c>
      <c r="M202">
        <v>1</v>
      </c>
      <c r="N202">
        <v>4.607753102766619</v>
      </c>
      <c r="O202">
        <v>5.4674005771508289</v>
      </c>
      <c r="P202">
        <v>-1.7614983797832529</v>
      </c>
      <c r="Q202">
        <v>0.64270854047825887</v>
      </c>
      <c r="R202">
        <v>-1.862552393622352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0</v>
      </c>
      <c r="Y202" s="2">
        <v>0</v>
      </c>
      <c r="Z202" s="2">
        <v>0</v>
      </c>
      <c r="AA202" s="2">
        <v>0</v>
      </c>
      <c r="AB202" s="2">
        <v>0</v>
      </c>
      <c r="AC202" s="2">
        <v>0</v>
      </c>
      <c r="AD202" s="2">
        <v>0</v>
      </c>
      <c r="AE202" s="2">
        <v>0</v>
      </c>
      <c r="AF202" s="2">
        <v>0</v>
      </c>
      <c r="AG202" s="2">
        <v>0</v>
      </c>
      <c r="AH202" s="2">
        <v>0</v>
      </c>
      <c r="AI202" s="2">
        <v>0</v>
      </c>
      <c r="AJ202" s="2">
        <v>0</v>
      </c>
      <c r="AK202" s="2">
        <v>0</v>
      </c>
      <c r="AL202" s="2">
        <v>0</v>
      </c>
      <c r="AM202" s="2">
        <v>0</v>
      </c>
      <c r="AN202" s="2">
        <v>0</v>
      </c>
      <c r="AO202" s="2">
        <v>0</v>
      </c>
      <c r="AP202" s="2">
        <v>0</v>
      </c>
      <c r="AQ202" s="2">
        <v>0</v>
      </c>
      <c r="AR202" s="2">
        <v>0</v>
      </c>
    </row>
    <row r="203" spans="1:44" x14ac:dyDescent="0.25">
      <c r="A203" t="s">
        <v>250</v>
      </c>
      <c r="B203" t="s">
        <v>294</v>
      </c>
      <c r="C203" t="s">
        <v>44</v>
      </c>
      <c r="D203" t="s">
        <v>144</v>
      </c>
      <c r="E203" t="s">
        <v>145</v>
      </c>
      <c r="F203" t="s">
        <v>144</v>
      </c>
      <c r="G203" t="s">
        <v>31</v>
      </c>
      <c r="H203" t="s">
        <v>275</v>
      </c>
      <c r="I203" t="s">
        <v>135</v>
      </c>
      <c r="J203" t="s">
        <v>39</v>
      </c>
      <c r="K203" t="s">
        <v>31</v>
      </c>
      <c r="L203">
        <v>1.192972744211509</v>
      </c>
      <c r="M203">
        <v>1</v>
      </c>
      <c r="N203">
        <v>4.607753102766619</v>
      </c>
      <c r="O203">
        <v>5.4674005771508289</v>
      </c>
      <c r="P203">
        <v>-1.7614983797832529</v>
      </c>
      <c r="Q203">
        <v>0.64270854047825887</v>
      </c>
      <c r="R203">
        <v>-1.862552393622352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  <c r="X203" s="2">
        <v>0</v>
      </c>
      <c r="Y203" s="2">
        <v>0</v>
      </c>
      <c r="Z203" s="2">
        <v>0</v>
      </c>
      <c r="AA203" s="2">
        <v>0</v>
      </c>
      <c r="AB203" s="2">
        <v>0</v>
      </c>
      <c r="AC203" s="2">
        <v>0</v>
      </c>
      <c r="AD203" s="2">
        <v>0</v>
      </c>
      <c r="AE203" s="2">
        <v>0</v>
      </c>
      <c r="AF203" s="2">
        <v>0</v>
      </c>
      <c r="AG203" s="2">
        <v>0</v>
      </c>
      <c r="AH203" s="2">
        <v>0</v>
      </c>
      <c r="AI203" s="2">
        <v>0</v>
      </c>
      <c r="AJ203" s="2">
        <v>0</v>
      </c>
      <c r="AK203" s="2">
        <v>0</v>
      </c>
      <c r="AL203" s="2">
        <v>0</v>
      </c>
      <c r="AM203" s="2">
        <v>0</v>
      </c>
      <c r="AN203" s="2">
        <v>0</v>
      </c>
      <c r="AO203" s="2">
        <v>0</v>
      </c>
      <c r="AP203" s="2">
        <v>0</v>
      </c>
      <c r="AQ203" s="2">
        <v>0</v>
      </c>
      <c r="AR203" s="2">
        <v>0</v>
      </c>
    </row>
    <row r="204" spans="1:44" x14ac:dyDescent="0.25">
      <c r="A204" t="s">
        <v>250</v>
      </c>
      <c r="B204" t="s">
        <v>294</v>
      </c>
      <c r="C204" t="s">
        <v>44</v>
      </c>
      <c r="D204" t="s">
        <v>144</v>
      </c>
      <c r="E204" t="s">
        <v>148</v>
      </c>
      <c r="F204" t="s">
        <v>144</v>
      </c>
      <c r="G204" t="s">
        <v>31</v>
      </c>
      <c r="H204" t="s">
        <v>272</v>
      </c>
      <c r="I204" t="s">
        <v>135</v>
      </c>
      <c r="J204" t="s">
        <v>39</v>
      </c>
      <c r="K204" t="s">
        <v>31</v>
      </c>
      <c r="L204">
        <v>1.192972744211509</v>
      </c>
      <c r="M204">
        <v>1</v>
      </c>
      <c r="N204">
        <v>4.607753102766619</v>
      </c>
      <c r="O204">
        <v>5.4674005771508289</v>
      </c>
      <c r="P204">
        <v>-1.7614983797832529</v>
      </c>
      <c r="Q204">
        <v>0.64270854047825887</v>
      </c>
      <c r="R204">
        <v>-1.862552393622352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2">
        <v>0</v>
      </c>
      <c r="Z204" s="2">
        <v>0</v>
      </c>
      <c r="AA204" s="2">
        <v>0</v>
      </c>
      <c r="AB204" s="2">
        <v>0</v>
      </c>
      <c r="AC204" s="2">
        <v>0</v>
      </c>
      <c r="AD204" s="2">
        <v>0</v>
      </c>
      <c r="AE204" s="2">
        <v>0</v>
      </c>
      <c r="AF204" s="2">
        <v>0</v>
      </c>
      <c r="AG204" s="2">
        <v>0</v>
      </c>
      <c r="AH204" s="2">
        <v>0</v>
      </c>
      <c r="AI204" s="2">
        <v>0</v>
      </c>
      <c r="AJ204" s="2">
        <v>0</v>
      </c>
      <c r="AK204" s="2">
        <v>0</v>
      </c>
      <c r="AL204" s="2">
        <v>0</v>
      </c>
      <c r="AM204" s="2">
        <v>0</v>
      </c>
      <c r="AN204" s="2">
        <v>0</v>
      </c>
      <c r="AO204" s="2">
        <v>0</v>
      </c>
      <c r="AP204" s="2">
        <v>0</v>
      </c>
      <c r="AQ204" s="2">
        <v>0</v>
      </c>
      <c r="AR204" s="2">
        <v>0</v>
      </c>
    </row>
    <row r="205" spans="1:44" x14ac:dyDescent="0.25">
      <c r="A205" t="s">
        <v>250</v>
      </c>
      <c r="B205" t="s">
        <v>294</v>
      </c>
      <c r="C205" t="s">
        <v>44</v>
      </c>
      <c r="D205" t="s">
        <v>144</v>
      </c>
      <c r="E205" t="s">
        <v>148</v>
      </c>
      <c r="F205" t="s">
        <v>144</v>
      </c>
      <c r="G205" t="s">
        <v>31</v>
      </c>
      <c r="H205" t="s">
        <v>272</v>
      </c>
      <c r="I205" t="s">
        <v>135</v>
      </c>
      <c r="J205" t="s">
        <v>40</v>
      </c>
      <c r="K205" t="s">
        <v>31</v>
      </c>
      <c r="L205">
        <v>1.192972744211509</v>
      </c>
      <c r="M205">
        <v>1</v>
      </c>
      <c r="N205">
        <v>4.607753102766619</v>
      </c>
      <c r="O205">
        <v>4.1746294160814514</v>
      </c>
      <c r="P205">
        <v>-1.7614983797832529</v>
      </c>
      <c r="Q205">
        <v>0.4672931329656026</v>
      </c>
      <c r="R205">
        <v>-1.7195523936223516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  <c r="Y205" s="2">
        <v>0</v>
      </c>
      <c r="Z205" s="2">
        <v>0</v>
      </c>
      <c r="AA205" s="2">
        <v>0</v>
      </c>
      <c r="AB205" s="2">
        <v>0</v>
      </c>
      <c r="AC205" s="2">
        <v>0</v>
      </c>
      <c r="AD205" s="2">
        <v>0</v>
      </c>
      <c r="AE205" s="2">
        <v>0</v>
      </c>
      <c r="AF205" s="2">
        <v>0</v>
      </c>
      <c r="AG205" s="2">
        <v>0</v>
      </c>
      <c r="AH205" s="2">
        <v>0</v>
      </c>
      <c r="AI205" s="2">
        <v>0</v>
      </c>
      <c r="AJ205" s="2">
        <v>0</v>
      </c>
      <c r="AK205" s="2">
        <v>0</v>
      </c>
      <c r="AL205" s="2">
        <v>0</v>
      </c>
      <c r="AM205" s="2">
        <v>0</v>
      </c>
      <c r="AN205" s="2">
        <v>0</v>
      </c>
      <c r="AO205" s="2">
        <v>0</v>
      </c>
      <c r="AP205" s="2">
        <v>0</v>
      </c>
      <c r="AQ205" s="2">
        <v>0</v>
      </c>
      <c r="AR205" s="2">
        <v>0</v>
      </c>
    </row>
    <row r="206" spans="1:44" x14ac:dyDescent="0.25">
      <c r="A206" t="s">
        <v>250</v>
      </c>
      <c r="B206" t="s">
        <v>294</v>
      </c>
      <c r="C206" t="s">
        <v>44</v>
      </c>
      <c r="D206" t="s">
        <v>144</v>
      </c>
      <c r="E206" t="s">
        <v>148</v>
      </c>
      <c r="F206" t="s">
        <v>144</v>
      </c>
      <c r="G206" t="s">
        <v>31</v>
      </c>
      <c r="H206" t="s">
        <v>273</v>
      </c>
      <c r="I206" t="s">
        <v>135</v>
      </c>
      <c r="J206" t="s">
        <v>39</v>
      </c>
      <c r="K206" t="s">
        <v>31</v>
      </c>
      <c r="L206">
        <v>1.192972744211509</v>
      </c>
      <c r="M206">
        <v>1</v>
      </c>
      <c r="N206">
        <v>4.607753102766619</v>
      </c>
      <c r="O206">
        <v>5.4674005771508289</v>
      </c>
      <c r="P206">
        <v>-1.7614983797832529</v>
      </c>
      <c r="Q206">
        <v>0.64270854047825887</v>
      </c>
      <c r="R206">
        <v>-1.862552393622352</v>
      </c>
      <c r="S206" s="2">
        <v>0</v>
      </c>
      <c r="T206" s="2">
        <v>0</v>
      </c>
      <c r="U206" s="2">
        <v>0</v>
      </c>
      <c r="V206" s="2">
        <v>0</v>
      </c>
      <c r="W206" s="2">
        <v>0</v>
      </c>
      <c r="X206" s="2">
        <v>0</v>
      </c>
      <c r="Y206" s="2">
        <v>0</v>
      </c>
      <c r="Z206" s="2">
        <v>0</v>
      </c>
      <c r="AA206" s="2">
        <v>0</v>
      </c>
      <c r="AB206" s="2">
        <v>0</v>
      </c>
      <c r="AC206" s="2">
        <v>0</v>
      </c>
      <c r="AD206" s="2">
        <v>0</v>
      </c>
      <c r="AE206" s="2">
        <v>0</v>
      </c>
      <c r="AF206" s="2">
        <v>0</v>
      </c>
      <c r="AG206" s="2">
        <v>0</v>
      </c>
      <c r="AH206" s="2">
        <v>0</v>
      </c>
      <c r="AI206" s="2">
        <v>0</v>
      </c>
      <c r="AJ206" s="2">
        <v>0</v>
      </c>
      <c r="AK206" s="2">
        <v>0</v>
      </c>
      <c r="AL206" s="2">
        <v>0</v>
      </c>
      <c r="AM206" s="2">
        <v>0</v>
      </c>
      <c r="AN206" s="2">
        <v>0</v>
      </c>
      <c r="AO206" s="2">
        <v>0</v>
      </c>
      <c r="AP206" s="2">
        <v>0</v>
      </c>
      <c r="AQ206" s="2">
        <v>0</v>
      </c>
      <c r="AR206" s="2">
        <v>0</v>
      </c>
    </row>
    <row r="207" spans="1:44" x14ac:dyDescent="0.25">
      <c r="A207" t="s">
        <v>250</v>
      </c>
      <c r="B207" t="s">
        <v>294</v>
      </c>
      <c r="C207" t="s">
        <v>44</v>
      </c>
      <c r="D207" t="s">
        <v>144</v>
      </c>
      <c r="E207" t="s">
        <v>148</v>
      </c>
      <c r="F207" t="s">
        <v>144</v>
      </c>
      <c r="G207" t="s">
        <v>31</v>
      </c>
      <c r="H207" t="s">
        <v>274</v>
      </c>
      <c r="I207" t="s">
        <v>135</v>
      </c>
      <c r="J207" t="s">
        <v>39</v>
      </c>
      <c r="K207" t="s">
        <v>31</v>
      </c>
      <c r="L207">
        <v>1.192972744211509</v>
      </c>
      <c r="M207">
        <v>1</v>
      </c>
      <c r="N207">
        <v>4.607753102766619</v>
      </c>
      <c r="O207">
        <v>5.4674005771508289</v>
      </c>
      <c r="P207">
        <v>-1.7614983797832529</v>
      </c>
      <c r="Q207">
        <v>0.64270854047825887</v>
      </c>
      <c r="R207">
        <v>-1.862552393622352</v>
      </c>
      <c r="S207" s="2">
        <v>0</v>
      </c>
      <c r="T207" s="2">
        <v>0</v>
      </c>
      <c r="U207" s="2">
        <v>0</v>
      </c>
      <c r="V207" s="2">
        <v>0</v>
      </c>
      <c r="W207" s="2">
        <v>0</v>
      </c>
      <c r="X207" s="2">
        <v>0</v>
      </c>
      <c r="Y207" s="2">
        <v>0</v>
      </c>
      <c r="Z207" s="2">
        <v>0</v>
      </c>
      <c r="AA207" s="2">
        <v>0</v>
      </c>
      <c r="AB207" s="2">
        <v>0</v>
      </c>
      <c r="AC207" s="2">
        <v>0</v>
      </c>
      <c r="AD207" s="2">
        <v>0</v>
      </c>
      <c r="AE207" s="2">
        <v>0</v>
      </c>
      <c r="AF207" s="2">
        <v>0</v>
      </c>
      <c r="AG207" s="2">
        <v>0</v>
      </c>
      <c r="AH207" s="2">
        <v>0</v>
      </c>
      <c r="AI207" s="2">
        <v>0</v>
      </c>
      <c r="AJ207" s="2">
        <v>0</v>
      </c>
      <c r="AK207" s="2">
        <v>0</v>
      </c>
      <c r="AL207" s="2">
        <v>0</v>
      </c>
      <c r="AM207" s="2">
        <v>0</v>
      </c>
      <c r="AN207" s="2">
        <v>0</v>
      </c>
      <c r="AO207" s="2">
        <v>0</v>
      </c>
      <c r="AP207" s="2">
        <v>0</v>
      </c>
      <c r="AQ207" s="2">
        <v>0</v>
      </c>
      <c r="AR207" s="2">
        <v>0</v>
      </c>
    </row>
    <row r="208" spans="1:44" x14ac:dyDescent="0.25">
      <c r="A208" t="s">
        <v>250</v>
      </c>
      <c r="B208" t="s">
        <v>294</v>
      </c>
      <c r="C208" t="s">
        <v>44</v>
      </c>
      <c r="D208" t="s">
        <v>144</v>
      </c>
      <c r="E208" t="s">
        <v>148</v>
      </c>
      <c r="F208" t="s">
        <v>144</v>
      </c>
      <c r="G208" t="s">
        <v>31</v>
      </c>
      <c r="H208" t="s">
        <v>274</v>
      </c>
      <c r="I208" t="s">
        <v>135</v>
      </c>
      <c r="J208" t="s">
        <v>39</v>
      </c>
      <c r="K208" t="s">
        <v>33</v>
      </c>
      <c r="L208">
        <v>1.192972744211509</v>
      </c>
      <c r="M208">
        <v>1</v>
      </c>
      <c r="N208">
        <v>4.607753102766619</v>
      </c>
      <c r="O208">
        <v>5.4674005771508289</v>
      </c>
      <c r="P208">
        <v>-1.7614983797832529</v>
      </c>
      <c r="Q208">
        <v>0.64270854047825887</v>
      </c>
      <c r="R208">
        <v>-1.862552393622352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  <c r="Y208" s="2">
        <v>0</v>
      </c>
      <c r="Z208" s="2">
        <v>0</v>
      </c>
      <c r="AA208" s="2">
        <v>0</v>
      </c>
      <c r="AB208" s="2">
        <v>0</v>
      </c>
      <c r="AC208" s="2">
        <v>0</v>
      </c>
      <c r="AD208" s="2">
        <v>0</v>
      </c>
      <c r="AE208" s="2">
        <v>0</v>
      </c>
      <c r="AF208" s="2">
        <v>0</v>
      </c>
      <c r="AG208" s="2">
        <v>0</v>
      </c>
      <c r="AH208" s="2">
        <v>0</v>
      </c>
      <c r="AI208" s="2">
        <v>0</v>
      </c>
      <c r="AJ208" s="2">
        <v>0</v>
      </c>
      <c r="AK208" s="2">
        <v>0</v>
      </c>
      <c r="AL208" s="2">
        <v>0</v>
      </c>
      <c r="AM208" s="2">
        <v>0</v>
      </c>
      <c r="AN208" s="2">
        <v>0</v>
      </c>
      <c r="AO208" s="2">
        <v>0</v>
      </c>
      <c r="AP208" s="2">
        <v>0</v>
      </c>
      <c r="AQ208" s="2">
        <v>0</v>
      </c>
      <c r="AR208" s="2">
        <v>0</v>
      </c>
    </row>
    <row r="209" spans="1:44" x14ac:dyDescent="0.25">
      <c r="A209" t="s">
        <v>250</v>
      </c>
      <c r="B209" t="s">
        <v>294</v>
      </c>
      <c r="C209" t="s">
        <v>44</v>
      </c>
      <c r="D209" t="s">
        <v>144</v>
      </c>
      <c r="E209" t="s">
        <v>148</v>
      </c>
      <c r="F209" t="s">
        <v>144</v>
      </c>
      <c r="G209" t="s">
        <v>31</v>
      </c>
      <c r="H209" t="s">
        <v>275</v>
      </c>
      <c r="I209" t="s">
        <v>135</v>
      </c>
      <c r="J209" t="s">
        <v>39</v>
      </c>
      <c r="K209" t="s">
        <v>31</v>
      </c>
      <c r="L209">
        <v>1.192972744211509</v>
      </c>
      <c r="M209">
        <v>1</v>
      </c>
      <c r="N209">
        <v>4.607753102766619</v>
      </c>
      <c r="O209">
        <v>5.4674005771508289</v>
      </c>
      <c r="P209">
        <v>-1.7614983797832529</v>
      </c>
      <c r="Q209">
        <v>0.64270854047825887</v>
      </c>
      <c r="R209">
        <v>-1.862552393622352</v>
      </c>
      <c r="S209" s="2">
        <v>0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0</v>
      </c>
      <c r="AA209" s="2">
        <v>0</v>
      </c>
      <c r="AB209" s="2">
        <v>0</v>
      </c>
      <c r="AC209" s="2">
        <v>0</v>
      </c>
      <c r="AD209" s="2">
        <v>0</v>
      </c>
      <c r="AE209" s="2">
        <v>0</v>
      </c>
      <c r="AF209" s="2">
        <v>0</v>
      </c>
      <c r="AG209" s="2">
        <v>0</v>
      </c>
      <c r="AH209" s="2">
        <v>0</v>
      </c>
      <c r="AI209" s="2">
        <v>0</v>
      </c>
      <c r="AJ209" s="2">
        <v>0</v>
      </c>
      <c r="AK209" s="2">
        <v>0</v>
      </c>
      <c r="AL209" s="2">
        <v>0</v>
      </c>
      <c r="AM209" s="2">
        <v>0</v>
      </c>
      <c r="AN209" s="2">
        <v>0</v>
      </c>
      <c r="AO209" s="2">
        <v>0</v>
      </c>
      <c r="AP209" s="2">
        <v>0</v>
      </c>
      <c r="AQ209" s="2">
        <v>0</v>
      </c>
      <c r="AR209" s="2">
        <v>0</v>
      </c>
    </row>
    <row r="210" spans="1:44" x14ac:dyDescent="0.25">
      <c r="A210" t="s">
        <v>250</v>
      </c>
      <c r="B210" t="s">
        <v>295</v>
      </c>
      <c r="C210" t="s">
        <v>44</v>
      </c>
      <c r="D210" t="s">
        <v>144</v>
      </c>
      <c r="E210" t="s">
        <v>145</v>
      </c>
      <c r="F210" t="s">
        <v>144</v>
      </c>
      <c r="G210" t="s">
        <v>31</v>
      </c>
      <c r="H210" t="s">
        <v>276</v>
      </c>
      <c r="I210" t="s">
        <v>135</v>
      </c>
      <c r="J210" t="s">
        <v>39</v>
      </c>
      <c r="K210" t="s">
        <v>31</v>
      </c>
      <c r="L210">
        <v>0.93349170799660908</v>
      </c>
      <c r="M210">
        <v>1</v>
      </c>
      <c r="N210">
        <v>3.9962486596992206</v>
      </c>
      <c r="O210">
        <v>5.463966537645744</v>
      </c>
      <c r="P210">
        <v>-1.663616816755924</v>
      </c>
      <c r="Q210">
        <v>0.74059010350558885</v>
      </c>
      <c r="R210">
        <v>-1.8625523936223525</v>
      </c>
      <c r="S210" s="2">
        <v>32.101824659055517</v>
      </c>
      <c r="T210" s="2">
        <v>47.012590525040949</v>
      </c>
      <c r="U210" s="2">
        <v>63.96249728872214</v>
      </c>
      <c r="V210" s="2">
        <v>83.718220561262299</v>
      </c>
      <c r="W210" s="2">
        <v>105.31627867146206</v>
      </c>
      <c r="X210" s="2">
        <v>127.29194558679119</v>
      </c>
      <c r="Y210" s="2">
        <v>147.89855446776212</v>
      </c>
      <c r="Z210" s="2">
        <v>165.49319141781811</v>
      </c>
      <c r="AA210" s="2">
        <v>178.9723767258015</v>
      </c>
      <c r="AB210" s="2">
        <v>188.06558436864464</v>
      </c>
      <c r="AC210" s="2">
        <v>193.32509882211332</v>
      </c>
      <c r="AD210" s="2">
        <v>195.55458345793559</v>
      </c>
      <c r="AE210" s="2">
        <v>195.14391883267402</v>
      </c>
      <c r="AF210" s="2">
        <v>194.73411660312539</v>
      </c>
      <c r="AG210" s="2">
        <v>194.32517495825883</v>
      </c>
      <c r="AH210" s="2">
        <v>193.9170920908465</v>
      </c>
      <c r="AI210" s="2">
        <v>193.50986619745566</v>
      </c>
      <c r="AJ210" s="2">
        <v>193.10349547844103</v>
      </c>
      <c r="AK210" s="2">
        <v>192.69797813793633</v>
      </c>
      <c r="AL210" s="2">
        <v>192.29331238384663</v>
      </c>
      <c r="AM210" s="2">
        <v>191.88949642784061</v>
      </c>
      <c r="AN210" s="2">
        <v>191.48652848534212</v>
      </c>
      <c r="AO210" s="2">
        <v>191.08440677552295</v>
      </c>
      <c r="AP210" s="2">
        <v>190.68312952129429</v>
      </c>
      <c r="AQ210" s="2">
        <v>190.28269494929958</v>
      </c>
      <c r="AR210" s="2">
        <v>4033.8639573942937</v>
      </c>
    </row>
    <row r="211" spans="1:44" x14ac:dyDescent="0.25">
      <c r="A211" t="s">
        <v>250</v>
      </c>
      <c r="B211" t="s">
        <v>295</v>
      </c>
      <c r="C211" t="s">
        <v>44</v>
      </c>
      <c r="D211" t="s">
        <v>144</v>
      </c>
      <c r="E211" t="s">
        <v>148</v>
      </c>
      <c r="F211" t="s">
        <v>144</v>
      </c>
      <c r="G211" t="s">
        <v>31</v>
      </c>
      <c r="H211" t="s">
        <v>276</v>
      </c>
      <c r="I211" t="s">
        <v>135</v>
      </c>
      <c r="J211" t="s">
        <v>39</v>
      </c>
      <c r="K211" t="s">
        <v>31</v>
      </c>
      <c r="L211">
        <v>0.93349170799660908</v>
      </c>
      <c r="M211">
        <v>1</v>
      </c>
      <c r="N211">
        <v>3.9962486596992206</v>
      </c>
      <c r="O211">
        <v>5.463966537645744</v>
      </c>
      <c r="P211">
        <v>-1.663616816755924</v>
      </c>
      <c r="Q211">
        <v>0.74059010350558885</v>
      </c>
      <c r="R211">
        <v>-1.8625523936223525</v>
      </c>
      <c r="S211" s="2">
        <v>9.1020712385898133</v>
      </c>
      <c r="T211" s="2">
        <v>15.831239180228136</v>
      </c>
      <c r="U211" s="2">
        <v>21.781512537460863</v>
      </c>
      <c r="V211" s="2">
        <v>28.830652582409087</v>
      </c>
      <c r="W211" s="2">
        <v>36.678513368968211</v>
      </c>
      <c r="X211" s="2">
        <v>44.834121473312898</v>
      </c>
      <c r="Y211" s="2">
        <v>52.683289316205233</v>
      </c>
      <c r="Z211" s="2">
        <v>59.621088665635703</v>
      </c>
      <c r="AA211" s="2">
        <v>65.211788016994561</v>
      </c>
      <c r="AB211" s="2">
        <v>69.307333063710459</v>
      </c>
      <c r="AC211" s="2">
        <v>72.060487271364181</v>
      </c>
      <c r="AD211" s="2">
        <v>73.726784901128525</v>
      </c>
      <c r="AE211" s="2">
        <v>74.416599552063772</v>
      </c>
      <c r="AF211" s="2">
        <v>75.114437659671538</v>
      </c>
      <c r="AG211" s="2">
        <v>75.820388597422735</v>
      </c>
      <c r="AH211" s="2">
        <v>76.534542742317242</v>
      </c>
      <c r="AI211" s="2">
        <v>77.256991486143207</v>
      </c>
      <c r="AJ211" s="2">
        <v>77.987827246834826</v>
      </c>
      <c r="AK211" s="2">
        <v>78.727143480001303</v>
      </c>
      <c r="AL211" s="2">
        <v>79.475034690553088</v>
      </c>
      <c r="AM211" s="2">
        <v>80.231596444450133</v>
      </c>
      <c r="AN211" s="2">
        <v>80.996925380624845</v>
      </c>
      <c r="AO211" s="2">
        <v>81.771119222990905</v>
      </c>
      <c r="AP211" s="2">
        <v>82.55427679261814</v>
      </c>
      <c r="AQ211" s="2">
        <v>83.346498020035838</v>
      </c>
      <c r="AR211" s="2">
        <v>1573.9022629317353</v>
      </c>
    </row>
    <row r="212" spans="1:44" x14ac:dyDescent="0.25">
      <c r="A212" t="s">
        <v>250</v>
      </c>
      <c r="B212" t="s">
        <v>350</v>
      </c>
      <c r="C212" t="s">
        <v>45</v>
      </c>
      <c r="D212" t="s">
        <v>345</v>
      </c>
      <c r="E212" t="s">
        <v>145</v>
      </c>
      <c r="F212" t="s">
        <v>345</v>
      </c>
      <c r="G212" t="s">
        <v>31</v>
      </c>
      <c r="H212" t="s">
        <v>253</v>
      </c>
      <c r="I212" t="s">
        <v>135</v>
      </c>
      <c r="J212" t="s">
        <v>39</v>
      </c>
      <c r="K212" t="s">
        <v>31</v>
      </c>
      <c r="L212">
        <v>0.36000000000000054</v>
      </c>
      <c r="M212">
        <v>1</v>
      </c>
      <c r="N212">
        <v>1.3933456709467129</v>
      </c>
      <c r="O212">
        <v>3.1590792310146649</v>
      </c>
      <c r="P212">
        <v>1.2700298285369591E-2</v>
      </c>
      <c r="Q212">
        <v>1.2280725459377344</v>
      </c>
      <c r="R212">
        <v>-0.67371772101320471</v>
      </c>
      <c r="S212" s="2">
        <v>2.5351571498286492E-3</v>
      </c>
      <c r="T212" s="2">
        <v>3.8833170887796419E-3</v>
      </c>
      <c r="U212" s="2">
        <v>8.4444060663171894E-3</v>
      </c>
      <c r="V212" s="2">
        <v>1.5824393982721743E-2</v>
      </c>
      <c r="W212" s="2">
        <v>2.696771349991528E-2</v>
      </c>
      <c r="X212" s="2">
        <v>4.2843867146676394E-2</v>
      </c>
      <c r="Y212" s="2">
        <v>6.4325378564700983E-2</v>
      </c>
      <c r="Z212" s="2">
        <v>9.2022050885480655E-2</v>
      </c>
      <c r="AA212" s="2">
        <v>0.12608517720379978</v>
      </c>
      <c r="AB212" s="2">
        <v>0.16601514559519687</v>
      </c>
      <c r="AC212" s="2">
        <v>0.21052724337898934</v>
      </c>
      <c r="AD212" s="2">
        <v>0.257543555377166</v>
      </c>
      <c r="AE212" s="2">
        <v>0.30436986557939327</v>
      </c>
      <c r="AF212" s="2">
        <v>0.34807397230550341</v>
      </c>
      <c r="AG212" s="2">
        <v>0.38600770738471379</v>
      </c>
      <c r="AH212" s="2">
        <v>0.41633419601935867</v>
      </c>
      <c r="AI212" s="2">
        <v>0.4383799446120209</v>
      </c>
      <c r="AJ212" s="2">
        <v>0.45391398622378876</v>
      </c>
      <c r="AK212" s="2">
        <v>0.46147070844027693</v>
      </c>
      <c r="AL212" s="2">
        <v>0.46708200389951948</v>
      </c>
      <c r="AM212" s="2">
        <v>0.5814699993047252</v>
      </c>
      <c r="AN212" s="2">
        <v>0.62050256018328864</v>
      </c>
      <c r="AO212" s="2">
        <v>0.61827088470468028</v>
      </c>
      <c r="AP212" s="2">
        <v>0.61513549828070979</v>
      </c>
      <c r="AQ212" s="2">
        <v>0.61076229333277954</v>
      </c>
      <c r="AR212" s="2">
        <v>7.3387910262103304</v>
      </c>
    </row>
    <row r="213" spans="1:44" x14ac:dyDescent="0.25">
      <c r="A213" t="s">
        <v>250</v>
      </c>
      <c r="B213" t="s">
        <v>350</v>
      </c>
      <c r="C213" t="s">
        <v>45</v>
      </c>
      <c r="D213" t="s">
        <v>345</v>
      </c>
      <c r="E213" t="s">
        <v>145</v>
      </c>
      <c r="F213" t="s">
        <v>345</v>
      </c>
      <c r="G213" t="s">
        <v>31</v>
      </c>
      <c r="H213" t="s">
        <v>253</v>
      </c>
      <c r="I213" t="s">
        <v>135</v>
      </c>
      <c r="J213" t="s">
        <v>40</v>
      </c>
      <c r="K213" t="s">
        <v>31</v>
      </c>
      <c r="L213">
        <v>0.36000000000000054</v>
      </c>
      <c r="M213">
        <v>1</v>
      </c>
      <c r="N213">
        <v>1.3933456709467129</v>
      </c>
      <c r="O213">
        <v>1.9798085216903551</v>
      </c>
      <c r="P213">
        <v>1.2700298285369591E-2</v>
      </c>
      <c r="Q213">
        <v>0.4672931329656026</v>
      </c>
      <c r="R213">
        <v>-0.53071772101320469</v>
      </c>
      <c r="S213" s="2">
        <v>1.333545351372223E-3</v>
      </c>
      <c r="T213" s="2">
        <v>2.0427054993401189E-3</v>
      </c>
      <c r="U213" s="2">
        <v>4.4419330989393753E-3</v>
      </c>
      <c r="V213" s="2">
        <v>8.323960128218278E-3</v>
      </c>
      <c r="W213" s="2">
        <v>1.418557779638263E-2</v>
      </c>
      <c r="X213" s="2">
        <v>2.2536764583655534E-2</v>
      </c>
      <c r="Y213" s="2">
        <v>3.383648606005088E-2</v>
      </c>
      <c r="Z213" s="2">
        <v>4.8405511346846952E-2</v>
      </c>
      <c r="AA213" s="2">
        <v>6.6323423756367378E-2</v>
      </c>
      <c r="AB213" s="2">
        <v>8.7327417032439625E-2</v>
      </c>
      <c r="AC213" s="2">
        <v>0.11074170560362911</v>
      </c>
      <c r="AD213" s="2">
        <v>0.13547326289903086</v>
      </c>
      <c r="AE213" s="2">
        <v>0.16010487530077658</v>
      </c>
      <c r="AF213" s="2">
        <v>0.18309414378238495</v>
      </c>
      <c r="AG213" s="2">
        <v>0.20304807684664705</v>
      </c>
      <c r="AH213" s="2">
        <v>0.21900044017248926</v>
      </c>
      <c r="AI213" s="2">
        <v>0.23059696212981748</v>
      </c>
      <c r="AJ213" s="2">
        <v>0.2387681908762469</v>
      </c>
      <c r="AK213" s="2">
        <v>0.24274318382060536</v>
      </c>
      <c r="AL213" s="2">
        <v>0.2456948418570134</v>
      </c>
      <c r="AM213" s="2">
        <v>0.30586530487375757</v>
      </c>
      <c r="AN213" s="2">
        <v>0.32639724314641255</v>
      </c>
      <c r="AO213" s="2">
        <v>0.32522333546164695</v>
      </c>
      <c r="AP213" s="2">
        <v>0.32357405703694664</v>
      </c>
      <c r="AQ213" s="2">
        <v>0.32127366034189198</v>
      </c>
      <c r="AR213" s="2">
        <v>3.8603566088029089</v>
      </c>
    </row>
    <row r="214" spans="1:44" x14ac:dyDescent="0.25">
      <c r="A214" t="s">
        <v>250</v>
      </c>
      <c r="B214" t="s">
        <v>350</v>
      </c>
      <c r="C214" t="s">
        <v>45</v>
      </c>
      <c r="D214" t="s">
        <v>345</v>
      </c>
      <c r="E214" t="s">
        <v>145</v>
      </c>
      <c r="F214" t="s">
        <v>345</v>
      </c>
      <c r="G214" t="s">
        <v>31</v>
      </c>
      <c r="H214" t="s">
        <v>253</v>
      </c>
      <c r="I214" t="s">
        <v>256</v>
      </c>
      <c r="J214" t="s">
        <v>39</v>
      </c>
      <c r="K214" t="s">
        <v>31</v>
      </c>
      <c r="L214">
        <v>0.36000000000000054</v>
      </c>
      <c r="M214">
        <v>1</v>
      </c>
      <c r="N214">
        <v>1.1701485319451077</v>
      </c>
      <c r="O214">
        <v>2.6530329131883184</v>
      </c>
      <c r="P214">
        <v>0.28680257702508921</v>
      </c>
      <c r="Q214">
        <v>0.4672931329656026</v>
      </c>
      <c r="R214">
        <v>-0.39961544227348506</v>
      </c>
      <c r="S214" s="2">
        <v>1.329844346826191E-3</v>
      </c>
      <c r="T214" s="2">
        <v>2.0370363540564715E-3</v>
      </c>
      <c r="U214" s="2">
        <v>4.4296053482742572E-3</v>
      </c>
      <c r="V214" s="2">
        <v>8.3008585409765513E-3</v>
      </c>
      <c r="W214" s="2">
        <v>1.4146208390716387E-2</v>
      </c>
      <c r="X214" s="2">
        <v>2.2474218028271323E-2</v>
      </c>
      <c r="Y214" s="2">
        <v>3.3742579250956507E-2</v>
      </c>
      <c r="Z214" s="2">
        <v>4.8271170945627488E-2</v>
      </c>
      <c r="AA214" s="2">
        <v>6.61393555560785E-2</v>
      </c>
      <c r="AB214" s="2">
        <v>8.7085056195518873E-2</v>
      </c>
      <c r="AC214" s="2">
        <v>0.11043436280838584</v>
      </c>
      <c r="AD214" s="2">
        <v>0.13509728231363924</v>
      </c>
      <c r="AE214" s="2">
        <v>0.15966053430350916</v>
      </c>
      <c r="AF214" s="2">
        <v>0.18258600039019113</v>
      </c>
      <c r="AG214" s="2">
        <v>0.20248455506263024</v>
      </c>
      <c r="AH214" s="2">
        <v>0.21839264560155294</v>
      </c>
      <c r="AI214" s="2">
        <v>0.22995698359120562</v>
      </c>
      <c r="AJ214" s="2">
        <v>0.23810553462764483</v>
      </c>
      <c r="AK214" s="2">
        <v>0.24206949572599798</v>
      </c>
      <c r="AL214" s="2">
        <v>0.2450129619901503</v>
      </c>
      <c r="AM214" s="2">
        <v>0.30501643319298077</v>
      </c>
      <c r="AN214" s="2">
        <v>0.32549138892896573</v>
      </c>
      <c r="AO214" s="2">
        <v>0.32432073920439913</v>
      </c>
      <c r="AP214" s="2">
        <v>0.32267603804206119</v>
      </c>
      <c r="AQ214" s="2">
        <v>0.32038202566578378</v>
      </c>
      <c r="AR214" s="2">
        <v>3.8496429144064002</v>
      </c>
    </row>
    <row r="215" spans="1:44" x14ac:dyDescent="0.25">
      <c r="A215" t="s">
        <v>250</v>
      </c>
      <c r="B215" t="s">
        <v>350</v>
      </c>
      <c r="C215" t="s">
        <v>45</v>
      </c>
      <c r="D215" t="s">
        <v>345</v>
      </c>
      <c r="E215" t="s">
        <v>148</v>
      </c>
      <c r="F215" t="s">
        <v>345</v>
      </c>
      <c r="G215" t="s">
        <v>31</v>
      </c>
      <c r="H215" t="s">
        <v>253</v>
      </c>
      <c r="I215" t="s">
        <v>135</v>
      </c>
      <c r="J215" t="s">
        <v>39</v>
      </c>
      <c r="K215" t="s">
        <v>31</v>
      </c>
      <c r="L215">
        <v>0.36000000000000054</v>
      </c>
      <c r="M215">
        <v>1</v>
      </c>
      <c r="N215">
        <v>1.3933456709467129</v>
      </c>
      <c r="O215">
        <v>3.1590792310146649</v>
      </c>
      <c r="P215">
        <v>1.2700298285369591E-2</v>
      </c>
      <c r="Q215">
        <v>1.2280725459377344</v>
      </c>
      <c r="R215">
        <v>-0.67371772101320471</v>
      </c>
      <c r="S215" s="2">
        <v>5.7504970446597872E-4</v>
      </c>
      <c r="T215" s="2">
        <v>1.2042221398162777E-3</v>
      </c>
      <c r="U215" s="2">
        <v>2.6481980470848179E-3</v>
      </c>
      <c r="V215" s="2">
        <v>5.0188662177135818E-3</v>
      </c>
      <c r="W215" s="2">
        <v>8.6504615092017172E-3</v>
      </c>
      <c r="X215" s="2">
        <v>1.3900157887092019E-2</v>
      </c>
      <c r="Y215" s="2">
        <v>2.1109040360994029E-2</v>
      </c>
      <c r="Z215" s="2">
        <v>3.0545843810280995E-2</v>
      </c>
      <c r="AA215" s="2">
        <v>4.2336718706054148E-2</v>
      </c>
      <c r="AB215" s="2">
        <v>5.639135560623354E-2</v>
      </c>
      <c r="AC215" s="2">
        <v>7.2344140856324568E-2</v>
      </c>
      <c r="AD215" s="2">
        <v>8.953532379122929E-2</v>
      </c>
      <c r="AE215" s="2">
        <v>0.10705632145702755</v>
      </c>
      <c r="AF215" s="2">
        <v>0.12387032848074986</v>
      </c>
      <c r="AG215" s="2">
        <v>0.13899359168835104</v>
      </c>
      <c r="AH215" s="2">
        <v>0.15169168819071829</v>
      </c>
      <c r="AI215" s="2">
        <v>0.1616251604020893</v>
      </c>
      <c r="AJ215" s="2">
        <v>0.16935108712475241</v>
      </c>
      <c r="AK215" s="2">
        <v>0.17423367255606001</v>
      </c>
      <c r="AL215" s="2">
        <v>0.17847272674789946</v>
      </c>
      <c r="AM215" s="2">
        <v>0.18060764230788878</v>
      </c>
      <c r="AN215" s="2">
        <v>0.1820441280429595</v>
      </c>
      <c r="AO215" s="2">
        <v>0.1834991374888211</v>
      </c>
      <c r="AP215" s="2">
        <v>0.18497286847666414</v>
      </c>
      <c r="AQ215" s="2">
        <v>0.18646552109683062</v>
      </c>
      <c r="AR215" s="2">
        <v>2.4671432526973032</v>
      </c>
    </row>
    <row r="216" spans="1:44" x14ac:dyDescent="0.25">
      <c r="A216" t="s">
        <v>250</v>
      </c>
      <c r="B216" t="s">
        <v>350</v>
      </c>
      <c r="C216" t="s">
        <v>45</v>
      </c>
      <c r="D216" t="s">
        <v>345</v>
      </c>
      <c r="E216" t="s">
        <v>148</v>
      </c>
      <c r="F216" t="s">
        <v>345</v>
      </c>
      <c r="G216" t="s">
        <v>31</v>
      </c>
      <c r="H216" t="s">
        <v>253</v>
      </c>
      <c r="I216" t="s">
        <v>135</v>
      </c>
      <c r="J216" t="s">
        <v>40</v>
      </c>
      <c r="K216" t="s">
        <v>31</v>
      </c>
      <c r="L216">
        <v>0.36000000000000054</v>
      </c>
      <c r="M216">
        <v>1</v>
      </c>
      <c r="N216">
        <v>1.3933456709467129</v>
      </c>
      <c r="O216">
        <v>1.9798085216903551</v>
      </c>
      <c r="P216">
        <v>1.2700298285369591E-2</v>
      </c>
      <c r="Q216">
        <v>0.4672931329656026</v>
      </c>
      <c r="R216">
        <v>-0.53071772101320469</v>
      </c>
      <c r="S216" s="2">
        <v>3.0248809634953312E-4</v>
      </c>
      <c r="T216" s="2">
        <v>6.3344587402798731E-4</v>
      </c>
      <c r="U216" s="2">
        <v>1.3930072127645438E-3</v>
      </c>
      <c r="V216" s="2">
        <v>2.640027942348056E-3</v>
      </c>
      <c r="W216" s="2">
        <v>4.5503225445413086E-3</v>
      </c>
      <c r="X216" s="2">
        <v>7.3117719487032209E-3</v>
      </c>
      <c r="Y216" s="2">
        <v>1.1103793958980023E-2</v>
      </c>
      <c r="Z216" s="2">
        <v>1.6067748707292138E-2</v>
      </c>
      <c r="AA216" s="2">
        <v>2.2269993963343768E-2</v>
      </c>
      <c r="AB216" s="2">
        <v>2.9663025083614483E-2</v>
      </c>
      <c r="AC216" s="2">
        <v>3.8054521686945036E-2</v>
      </c>
      <c r="AD216" s="2">
        <v>4.7097441211275674E-2</v>
      </c>
      <c r="AE216" s="2">
        <v>5.6313850138906732E-2</v>
      </c>
      <c r="AF216" s="2">
        <v>6.5158367294753314E-2</v>
      </c>
      <c r="AG216" s="2">
        <v>7.3113518062995084E-2</v>
      </c>
      <c r="AH216" s="2">
        <v>7.9792980739758296E-2</v>
      </c>
      <c r="AI216" s="2">
        <v>8.5018193579662102E-2</v>
      </c>
      <c r="AJ216" s="2">
        <v>8.9082191611004349E-2</v>
      </c>
      <c r="AK216" s="2">
        <v>9.1650533027252026E-2</v>
      </c>
      <c r="AL216" s="2">
        <v>9.3880363636420675E-2</v>
      </c>
      <c r="AM216" s="2">
        <v>9.5003373592939186E-2</v>
      </c>
      <c r="AN216" s="2">
        <v>9.5758994945424059E-2</v>
      </c>
      <c r="AO216" s="2">
        <v>9.6524360154781177E-2</v>
      </c>
      <c r="AP216" s="2">
        <v>9.7299573284328214E-2</v>
      </c>
      <c r="AQ216" s="2">
        <v>9.8084739585742931E-2</v>
      </c>
      <c r="AR216" s="2">
        <v>1.297768627884154</v>
      </c>
    </row>
    <row r="217" spans="1:44" x14ac:dyDescent="0.25">
      <c r="A217" t="s">
        <v>250</v>
      </c>
      <c r="B217" t="s">
        <v>350</v>
      </c>
      <c r="C217" t="s">
        <v>45</v>
      </c>
      <c r="D217" t="s">
        <v>345</v>
      </c>
      <c r="E217" t="s">
        <v>148</v>
      </c>
      <c r="F217" t="s">
        <v>345</v>
      </c>
      <c r="G217" t="s">
        <v>31</v>
      </c>
      <c r="H217" t="s">
        <v>253</v>
      </c>
      <c r="I217" t="s">
        <v>256</v>
      </c>
      <c r="J217" t="s">
        <v>39</v>
      </c>
      <c r="K217" t="s">
        <v>31</v>
      </c>
      <c r="L217">
        <v>0.36000000000000054</v>
      </c>
      <c r="M217">
        <v>1</v>
      </c>
      <c r="N217">
        <v>1.1701485319451077</v>
      </c>
      <c r="O217">
        <v>2.6530329131883184</v>
      </c>
      <c r="P217">
        <v>0.28680257702508921</v>
      </c>
      <c r="Q217">
        <v>0.4672931329656026</v>
      </c>
      <c r="R217">
        <v>-0.39961544227348506</v>
      </c>
      <c r="S217" s="2">
        <v>3.0164859747642907E-4</v>
      </c>
      <c r="T217" s="2">
        <v>6.3168786403078054E-4</v>
      </c>
      <c r="U217" s="2">
        <v>1.3891411829952667E-3</v>
      </c>
      <c r="V217" s="2">
        <v>2.6327010408622718E-3</v>
      </c>
      <c r="W217" s="2">
        <v>4.5376939793365734E-3</v>
      </c>
      <c r="X217" s="2">
        <v>7.2914794995609638E-3</v>
      </c>
      <c r="Y217" s="2">
        <v>1.1072977465279148E-2</v>
      </c>
      <c r="Z217" s="2">
        <v>1.6023155689927557E-2</v>
      </c>
      <c r="AA217" s="2">
        <v>2.2208187779689574E-2</v>
      </c>
      <c r="AB217" s="2">
        <v>2.9580700931255553E-2</v>
      </c>
      <c r="AC217" s="2">
        <v>3.7948908512548715E-2</v>
      </c>
      <c r="AD217" s="2">
        <v>4.6966731112927471E-2</v>
      </c>
      <c r="AE217" s="2">
        <v>5.6157561629368476E-2</v>
      </c>
      <c r="AF217" s="2">
        <v>6.4977532489756268E-2</v>
      </c>
      <c r="AG217" s="2">
        <v>7.2910605231835207E-2</v>
      </c>
      <c r="AH217" s="2">
        <v>7.9571530315027783E-2</v>
      </c>
      <c r="AI217" s="2">
        <v>8.4782241558524762E-2</v>
      </c>
      <c r="AJ217" s="2">
        <v>8.883496072696781E-2</v>
      </c>
      <c r="AK217" s="2">
        <v>9.1396174194212726E-2</v>
      </c>
      <c r="AL217" s="2">
        <v>9.361981632751705E-2</v>
      </c>
      <c r="AM217" s="2">
        <v>9.4739709580917306E-2</v>
      </c>
      <c r="AN217" s="2">
        <v>9.5493233848322465E-2</v>
      </c>
      <c r="AO217" s="2">
        <v>9.6256474930353164E-2</v>
      </c>
      <c r="AP217" s="2">
        <v>9.7029536601525468E-2</v>
      </c>
      <c r="AQ217" s="2">
        <v>9.7812523821405636E-2</v>
      </c>
      <c r="AR217" s="2">
        <v>1.2941669149116244</v>
      </c>
    </row>
    <row r="218" spans="1:44" x14ac:dyDescent="0.25">
      <c r="A218" t="s">
        <v>250</v>
      </c>
      <c r="B218" t="s">
        <v>351</v>
      </c>
      <c r="C218" t="s">
        <v>45</v>
      </c>
      <c r="D218" t="s">
        <v>345</v>
      </c>
      <c r="E218" t="s">
        <v>145</v>
      </c>
      <c r="F218" t="s">
        <v>345</v>
      </c>
      <c r="G218" t="s">
        <v>31</v>
      </c>
      <c r="H218" t="s">
        <v>252</v>
      </c>
      <c r="I218" t="s">
        <v>135</v>
      </c>
      <c r="J218" t="s">
        <v>39</v>
      </c>
      <c r="K218" t="s">
        <v>31</v>
      </c>
      <c r="L218">
        <v>1.0857142857142874</v>
      </c>
      <c r="M218">
        <v>1</v>
      </c>
      <c r="N218">
        <v>2.8421418453635772</v>
      </c>
      <c r="O218">
        <v>3.1557944646272498</v>
      </c>
      <c r="P218">
        <v>-0.61394190043143382</v>
      </c>
      <c r="Q218">
        <v>0.60143034722093058</v>
      </c>
      <c r="R218">
        <v>-0.67371772101320504</v>
      </c>
      <c r="S218" s="2">
        <v>1.5276945307134464E-2</v>
      </c>
      <c r="T218" s="2">
        <v>2.3410403005028387E-2</v>
      </c>
      <c r="U218" s="2">
        <v>5.0927169981300056E-2</v>
      </c>
      <c r="V218" s="2">
        <v>9.5473296715227376E-2</v>
      </c>
      <c r="W218" s="2">
        <v>0.16276962226875319</v>
      </c>
      <c r="X218" s="2">
        <v>0.25869753577615201</v>
      </c>
      <c r="Y218" s="2">
        <v>0.38856204542941114</v>
      </c>
      <c r="Z218" s="2">
        <v>0.55608903526198517</v>
      </c>
      <c r="AA218" s="2">
        <v>0.76223845450390337</v>
      </c>
      <c r="AB218" s="2">
        <v>1.0040351803956395</v>
      </c>
      <c r="AC218" s="2">
        <v>1.2737491920669981</v>
      </c>
      <c r="AD218" s="2">
        <v>1.5588369889084068</v>
      </c>
      <c r="AE218" s="2">
        <v>1.843003101373593</v>
      </c>
      <c r="AF218" s="2">
        <v>2.1084842489335824</v>
      </c>
      <c r="AG218" s="2">
        <v>2.3392098591561603</v>
      </c>
      <c r="AH218" s="2">
        <v>2.5240019781360474</v>
      </c>
      <c r="AI218" s="2">
        <v>2.6587204913328049</v>
      </c>
      <c r="AJ218" s="2">
        <v>2.7540382511359214</v>
      </c>
      <c r="AK218" s="2">
        <v>2.8010118160568584</v>
      </c>
      <c r="AL218" s="2">
        <v>2.8362096735184674</v>
      </c>
      <c r="AM218" s="2">
        <v>3.5266525946377798</v>
      </c>
      <c r="AN218" s="2">
        <v>3.7386508122855351</v>
      </c>
      <c r="AO218" s="2">
        <v>3.7266458927292665</v>
      </c>
      <c r="AP218" s="2">
        <v>3.7093194414417106</v>
      </c>
      <c r="AQ218" s="2">
        <v>3.68470185440705</v>
      </c>
      <c r="AR218" s="2">
        <v>44.400715884764715</v>
      </c>
    </row>
    <row r="219" spans="1:44" x14ac:dyDescent="0.25">
      <c r="A219" t="s">
        <v>250</v>
      </c>
      <c r="B219" t="s">
        <v>351</v>
      </c>
      <c r="C219" t="s">
        <v>45</v>
      </c>
      <c r="D219" t="s">
        <v>345</v>
      </c>
      <c r="E219" t="s">
        <v>148</v>
      </c>
      <c r="F219" t="s">
        <v>345</v>
      </c>
      <c r="G219" t="s">
        <v>31</v>
      </c>
      <c r="H219" t="s">
        <v>252</v>
      </c>
      <c r="I219" t="s">
        <v>135</v>
      </c>
      <c r="J219" t="s">
        <v>39</v>
      </c>
      <c r="K219" t="s">
        <v>31</v>
      </c>
      <c r="L219">
        <v>1.0857142857142874</v>
      </c>
      <c r="M219">
        <v>1</v>
      </c>
      <c r="N219">
        <v>2.8421418453635772</v>
      </c>
      <c r="O219">
        <v>3.1557944646272498</v>
      </c>
      <c r="P219">
        <v>-0.61394190043143382</v>
      </c>
      <c r="Q219">
        <v>0.60143034722093058</v>
      </c>
      <c r="R219">
        <v>-0.67371772101320504</v>
      </c>
      <c r="S219" s="2">
        <v>3.4652695532521012E-3</v>
      </c>
      <c r="T219" s="2">
        <v>7.0687058229952715E-3</v>
      </c>
      <c r="U219" s="2">
        <v>1.5550886131051394E-2</v>
      </c>
      <c r="V219" s="2">
        <v>2.9483548188409169E-2</v>
      </c>
      <c r="W219" s="2">
        <v>5.0837118812758583E-2</v>
      </c>
      <c r="X219" s="2">
        <v>8.1719742618713648E-2</v>
      </c>
      <c r="Y219" s="2">
        <v>0.12414791895500497</v>
      </c>
      <c r="Z219" s="2">
        <v>0.1797152274196597</v>
      </c>
      <c r="AA219" s="2">
        <v>0.24917808823341803</v>
      </c>
      <c r="AB219" s="2">
        <v>0.33201920887807668</v>
      </c>
      <c r="AC219" s="2">
        <v>0.42609867764904513</v>
      </c>
      <c r="AD219" s="2">
        <v>0.52754014525162096</v>
      </c>
      <c r="AE219" s="2">
        <v>0.63099490300442229</v>
      </c>
      <c r="AF219" s="2">
        <v>0.730350629217419</v>
      </c>
      <c r="AG219" s="2">
        <v>0.81979949351842751</v>
      </c>
      <c r="AH219" s="2">
        <v>0.89499699811994726</v>
      </c>
      <c r="AI219" s="2">
        <v>0.95392422028065382</v>
      </c>
      <c r="AJ219" s="2">
        <v>0.99985312079662414</v>
      </c>
      <c r="AK219" s="2">
        <v>1.0290152911986381</v>
      </c>
      <c r="AL219" s="2">
        <v>1.054390142158284</v>
      </c>
      <c r="AM219" s="2">
        <v>1.0673419374342519</v>
      </c>
      <c r="AN219" s="2">
        <v>1.0761686641115968</v>
      </c>
      <c r="AO219" s="2">
        <v>1.0851060047505803</v>
      </c>
      <c r="AP219" s="2">
        <v>1.0941551567861945</v>
      </c>
      <c r="AQ219" s="2">
        <v>1.1033173312409204</v>
      </c>
      <c r="AR219" s="2">
        <v>14.566238430131964</v>
      </c>
    </row>
    <row r="220" spans="1:44" x14ac:dyDescent="0.25">
      <c r="A220" t="s">
        <v>250</v>
      </c>
      <c r="B220" t="s">
        <v>344</v>
      </c>
      <c r="C220" t="s">
        <v>45</v>
      </c>
      <c r="D220" t="s">
        <v>345</v>
      </c>
      <c r="E220" t="s">
        <v>145</v>
      </c>
      <c r="F220" t="s">
        <v>345</v>
      </c>
      <c r="G220" t="s">
        <v>31</v>
      </c>
      <c r="H220" t="s">
        <v>288</v>
      </c>
      <c r="I220" t="s">
        <v>135</v>
      </c>
      <c r="J220" t="s">
        <v>39</v>
      </c>
      <c r="K220" t="s">
        <v>31</v>
      </c>
      <c r="L220">
        <v>0.53714285714285792</v>
      </c>
      <c r="M220">
        <v>1</v>
      </c>
      <c r="N220">
        <v>1.8618160303353684</v>
      </c>
      <c r="O220">
        <v>3.1585068309872639</v>
      </c>
      <c r="P220">
        <v>-0.29647398136297803</v>
      </c>
      <c r="Q220">
        <v>0.91889826628938653</v>
      </c>
      <c r="R220">
        <v>-0.67371772101320526</v>
      </c>
      <c r="S220" s="2">
        <v>2.769642166543552E-4</v>
      </c>
      <c r="T220" s="2">
        <v>4.2471838091168759E-4</v>
      </c>
      <c r="U220" s="2">
        <v>9.2458477527412744E-4</v>
      </c>
      <c r="V220" s="2">
        <v>1.7345392902593021E-3</v>
      </c>
      <c r="W220" s="2">
        <v>2.959242845601096E-3</v>
      </c>
      <c r="X220" s="2">
        <v>4.7065705231693891E-3</v>
      </c>
      <c r="Y220" s="2">
        <v>7.0742056911637713E-3</v>
      </c>
      <c r="Z220" s="2">
        <v>1.0131334783496844E-2</v>
      </c>
      <c r="AA220" s="2">
        <v>1.3896909124286122E-2</v>
      </c>
      <c r="AB220" s="2">
        <v>1.8318137768363527E-2</v>
      </c>
      <c r="AC220" s="2">
        <v>2.325526753834169E-2</v>
      </c>
      <c r="AD220" s="2">
        <v>2.8480207493545913E-2</v>
      </c>
      <c r="AE220" s="2">
        <v>3.3695626894467867E-2</v>
      </c>
      <c r="AF220" s="2">
        <v>3.8576503694027195E-2</v>
      </c>
      <c r="AG220" s="2">
        <v>4.2827893725426724E-2</v>
      </c>
      <c r="AH220" s="2">
        <v>4.6243665335823178E-2</v>
      </c>
      <c r="AI220" s="2">
        <v>4.8746144256369195E-2</v>
      </c>
      <c r="AJ220" s="2">
        <v>5.0529218634687803E-2</v>
      </c>
      <c r="AK220" s="2">
        <v>5.1427164957508403E-2</v>
      </c>
      <c r="AL220" s="2">
        <v>5.2109991764066659E-2</v>
      </c>
      <c r="AM220" s="2">
        <v>6.4664246070012227E-2</v>
      </c>
      <c r="AN220" s="2">
        <v>6.7771964990735942E-2</v>
      </c>
      <c r="AO220" s="2">
        <v>6.760007479776646E-2</v>
      </c>
      <c r="AP220" s="2">
        <v>6.7335717859300676E-2</v>
      </c>
      <c r="AQ220" s="2">
        <v>6.6944592396634375E-2</v>
      </c>
      <c r="AR220" s="2">
        <v>0.81065548780789465</v>
      </c>
    </row>
    <row r="221" spans="1:44" x14ac:dyDescent="0.25">
      <c r="A221" t="s">
        <v>250</v>
      </c>
      <c r="B221" t="s">
        <v>344</v>
      </c>
      <c r="C221" t="s">
        <v>45</v>
      </c>
      <c r="D221" t="s">
        <v>345</v>
      </c>
      <c r="E221" t="s">
        <v>145</v>
      </c>
      <c r="F221" t="s">
        <v>345</v>
      </c>
      <c r="G221" t="s">
        <v>31</v>
      </c>
      <c r="H221" t="s">
        <v>288</v>
      </c>
      <c r="I221" t="s">
        <v>135</v>
      </c>
      <c r="J221" t="s">
        <v>39</v>
      </c>
      <c r="K221" t="s">
        <v>33</v>
      </c>
      <c r="L221">
        <v>0.53714285714285792</v>
      </c>
      <c r="M221">
        <v>1</v>
      </c>
      <c r="N221">
        <v>1.8618160303353684</v>
      </c>
      <c r="O221">
        <v>3.1585068309872639</v>
      </c>
      <c r="P221">
        <v>-0.29647398136297803</v>
      </c>
      <c r="Q221">
        <v>0.91889826628938653</v>
      </c>
      <c r="R221">
        <v>-0.67371772101320526</v>
      </c>
      <c r="S221" s="2">
        <v>2.6054337869910794E-6</v>
      </c>
      <c r="T221" s="2">
        <v>3.9953739618444586E-6</v>
      </c>
      <c r="U221" s="2">
        <v>8.6976738061547908E-6</v>
      </c>
      <c r="V221" s="2">
        <v>1.6317007757521987E-5</v>
      </c>
      <c r="W221" s="2">
        <v>2.7837932953854326E-5</v>
      </c>
      <c r="X221" s="2">
        <v>4.4275242520680281E-5</v>
      </c>
      <c r="Y221" s="2">
        <v>6.6547854977542443E-5</v>
      </c>
      <c r="Z221" s="2">
        <v>9.5306614952294977E-5</v>
      </c>
      <c r="AA221" s="2">
        <v>1.3072979969952494E-4</v>
      </c>
      <c r="AB221" s="2">
        <v>1.7232079881284267E-4</v>
      </c>
      <c r="AC221" s="2">
        <v>2.1876493830799549E-4</v>
      </c>
      <c r="AD221" s="2">
        <v>2.679165408461594E-4</v>
      </c>
      <c r="AE221" s="2">
        <v>3.169785824507932E-4</v>
      </c>
      <c r="AF221" s="2">
        <v>3.6289354387551411E-4</v>
      </c>
      <c r="AG221" s="2">
        <v>4.0288685190385375E-4</v>
      </c>
      <c r="AH221" s="2">
        <v>4.3501940270726058E-4</v>
      </c>
      <c r="AI221" s="2">
        <v>4.5856050563233792E-4</v>
      </c>
      <c r="AJ221" s="2">
        <v>4.753340884659178E-4</v>
      </c>
      <c r="AK221" s="2">
        <v>4.8378117132969758E-4</v>
      </c>
      <c r="AL221" s="2">
        <v>4.9020460051474053E-4</v>
      </c>
      <c r="AM221" s="2">
        <v>6.0830389411413422E-4</v>
      </c>
      <c r="AN221" s="2">
        <v>6.3753855834019677E-4</v>
      </c>
      <c r="AO221" s="2">
        <v>6.3592156780681991E-4</v>
      </c>
      <c r="AP221" s="2">
        <v>6.3343473211510139E-4</v>
      </c>
      <c r="AQ221" s="2">
        <v>6.2975537054380329E-4</v>
      </c>
      <c r="AR221" s="2">
        <v>7.6259280821835782E-3</v>
      </c>
    </row>
    <row r="222" spans="1:44" x14ac:dyDescent="0.25">
      <c r="A222" t="s">
        <v>250</v>
      </c>
      <c r="B222" t="s">
        <v>344</v>
      </c>
      <c r="C222" t="s">
        <v>45</v>
      </c>
      <c r="D222" t="s">
        <v>345</v>
      </c>
      <c r="E222" t="s">
        <v>145</v>
      </c>
      <c r="F222" t="s">
        <v>345</v>
      </c>
      <c r="G222" t="s">
        <v>31</v>
      </c>
      <c r="H222" t="s">
        <v>289</v>
      </c>
      <c r="I222" t="s">
        <v>135</v>
      </c>
      <c r="J222" t="s">
        <v>39</v>
      </c>
      <c r="K222" t="s">
        <v>31</v>
      </c>
      <c r="L222">
        <v>0.53714285714285792</v>
      </c>
      <c r="M222">
        <v>1</v>
      </c>
      <c r="N222">
        <v>1.8618160303353684</v>
      </c>
      <c r="O222">
        <v>3.1585068309872639</v>
      </c>
      <c r="P222">
        <v>-0.29647398136297803</v>
      </c>
      <c r="Q222">
        <v>0.91889826628938653</v>
      </c>
      <c r="R222">
        <v>-0.67371772101320526</v>
      </c>
      <c r="S222" s="2">
        <v>2.6324248203348221E-4</v>
      </c>
      <c r="T222" s="2">
        <v>4.0367641028502698E-4</v>
      </c>
      <c r="U222" s="2">
        <v>8.7877774982490081E-4</v>
      </c>
      <c r="V222" s="2">
        <v>1.64860440625904E-3</v>
      </c>
      <c r="W222" s="2">
        <v>2.8126320469334452E-3</v>
      </c>
      <c r="X222" s="2">
        <v>4.4733912609762842E-3</v>
      </c>
      <c r="Y222" s="2">
        <v>6.723725855464417E-3</v>
      </c>
      <c r="Z222" s="2">
        <v>9.6293945367253407E-3</v>
      </c>
      <c r="AA222" s="2">
        <v>1.3208409716827216E-2</v>
      </c>
      <c r="AB222" s="2">
        <v>1.7410595890779527E-2</v>
      </c>
      <c r="AC222" s="2">
        <v>2.2103123721522348E-2</v>
      </c>
      <c r="AD222" s="2">
        <v>2.7069202657272997E-2</v>
      </c>
      <c r="AE222" s="2">
        <v>3.2026232718877105E-2</v>
      </c>
      <c r="AF222" s="2">
        <v>3.6665294539701049E-2</v>
      </c>
      <c r="AG222" s="2">
        <v>4.0706056474498889E-2</v>
      </c>
      <c r="AH222" s="2">
        <v>4.3952599322676332E-2</v>
      </c>
      <c r="AI222" s="2">
        <v>4.6331097058732687E-2</v>
      </c>
      <c r="AJ222" s="2">
        <v>4.8025831962284049E-2</v>
      </c>
      <c r="AK222" s="2">
        <v>4.8879291017780477E-2</v>
      </c>
      <c r="AL222" s="2">
        <v>4.9528288298110443E-2</v>
      </c>
      <c r="AM222" s="2">
        <v>6.1460562811756256E-2</v>
      </c>
      <c r="AN222" s="2">
        <v>6.441431493192501E-2</v>
      </c>
      <c r="AO222" s="2">
        <v>6.4250940754635999E-2</v>
      </c>
      <c r="AP222" s="2">
        <v>6.3999680944017853E-2</v>
      </c>
      <c r="AQ222" s="2">
        <v>6.3627933146332943E-2</v>
      </c>
      <c r="AR222" s="2">
        <v>0.77049290071623311</v>
      </c>
    </row>
    <row r="223" spans="1:44" x14ac:dyDescent="0.25">
      <c r="A223" t="s">
        <v>250</v>
      </c>
      <c r="B223" t="s">
        <v>344</v>
      </c>
      <c r="C223" t="s">
        <v>45</v>
      </c>
      <c r="D223" t="s">
        <v>345</v>
      </c>
      <c r="E223" t="s">
        <v>145</v>
      </c>
      <c r="F223" t="s">
        <v>345</v>
      </c>
      <c r="G223" t="s">
        <v>31</v>
      </c>
      <c r="H223" t="s">
        <v>290</v>
      </c>
      <c r="I223" t="s">
        <v>135</v>
      </c>
      <c r="J223" t="s">
        <v>39</v>
      </c>
      <c r="K223" t="s">
        <v>31</v>
      </c>
      <c r="L223">
        <v>0.53714285714285792</v>
      </c>
      <c r="M223">
        <v>1</v>
      </c>
      <c r="N223">
        <v>1.8618160303353684</v>
      </c>
      <c r="O223">
        <v>3.1585068309872639</v>
      </c>
      <c r="P223">
        <v>-0.29647398136297803</v>
      </c>
      <c r="Q223">
        <v>0.91889826628938653</v>
      </c>
      <c r="R223">
        <v>-0.67371772101320526</v>
      </c>
      <c r="S223" s="2">
        <v>3.8119304334938088E-4</v>
      </c>
      <c r="T223" s="2">
        <v>5.8455093636949787E-4</v>
      </c>
      <c r="U223" s="2">
        <v>1.2725300350300897E-3</v>
      </c>
      <c r="V223" s="2">
        <v>2.3872914662047238E-3</v>
      </c>
      <c r="W223" s="2">
        <v>4.0728827714676752E-3</v>
      </c>
      <c r="X223" s="2">
        <v>6.4777752272035796E-3</v>
      </c>
      <c r="Y223" s="2">
        <v>9.7364129896230188E-3</v>
      </c>
      <c r="Z223" s="2">
        <v>1.3944019144293577E-2</v>
      </c>
      <c r="AA223" s="2">
        <v>1.9126676890709828E-2</v>
      </c>
      <c r="AB223" s="2">
        <v>2.5211728680207209E-2</v>
      </c>
      <c r="AC223" s="2">
        <v>3.2006828585757444E-2</v>
      </c>
      <c r="AD223" s="2">
        <v>3.9198049122841062E-2</v>
      </c>
      <c r="AE223" s="2">
        <v>4.637616627384443E-2</v>
      </c>
      <c r="AF223" s="2">
        <v>5.3093843755478584E-2</v>
      </c>
      <c r="AG223" s="2">
        <v>5.8945142252124744E-2</v>
      </c>
      <c r="AH223" s="2">
        <v>6.3646357417325605E-2</v>
      </c>
      <c r="AI223" s="2">
        <v>6.709058413788821E-2</v>
      </c>
      <c r="AJ223" s="2">
        <v>6.9544675706106257E-2</v>
      </c>
      <c r="AK223" s="2">
        <v>7.0780542547300193E-2</v>
      </c>
      <c r="AL223" s="2">
        <v>7.1720334812224146E-2</v>
      </c>
      <c r="AM223" s="2">
        <v>8.8999081011549117E-2</v>
      </c>
      <c r="AN223" s="2">
        <v>9.3276315260706677E-2</v>
      </c>
      <c r="AO223" s="2">
        <v>9.3039738324626572E-2</v>
      </c>
      <c r="AP223" s="2">
        <v>9.2675897005623009E-2</v>
      </c>
      <c r="AQ223" s="2">
        <v>9.213758087494664E-2</v>
      </c>
      <c r="AR223" s="2">
        <v>1.1157261982728013</v>
      </c>
    </row>
    <row r="224" spans="1:44" x14ac:dyDescent="0.25">
      <c r="A224" t="s">
        <v>250</v>
      </c>
      <c r="B224" t="s">
        <v>344</v>
      </c>
      <c r="C224" t="s">
        <v>45</v>
      </c>
      <c r="D224" t="s">
        <v>345</v>
      </c>
      <c r="E224" t="s">
        <v>148</v>
      </c>
      <c r="F224" t="s">
        <v>345</v>
      </c>
      <c r="G224" t="s">
        <v>31</v>
      </c>
      <c r="H224" t="s">
        <v>288</v>
      </c>
      <c r="I224" t="s">
        <v>135</v>
      </c>
      <c r="J224" t="s">
        <v>39</v>
      </c>
      <c r="K224" t="s">
        <v>31</v>
      </c>
      <c r="L224">
        <v>0.53714285714285792</v>
      </c>
      <c r="M224">
        <v>1</v>
      </c>
      <c r="N224">
        <v>1.8618160303353684</v>
      </c>
      <c r="O224">
        <v>3.1585068309872639</v>
      </c>
      <c r="P224">
        <v>-0.29647398136297803</v>
      </c>
      <c r="Q224">
        <v>0.91889826628938653</v>
      </c>
      <c r="R224">
        <v>-0.67371772101320526</v>
      </c>
      <c r="S224" s="2">
        <v>6.2823794156312236E-5</v>
      </c>
      <c r="T224" s="2">
        <v>1.2218854018624826E-4</v>
      </c>
      <c r="U224" s="2">
        <v>2.6899568771312105E-4</v>
      </c>
      <c r="V224" s="2">
        <v>5.1034769962127213E-4</v>
      </c>
      <c r="W224" s="2">
        <v>8.8056258106578955E-4</v>
      </c>
      <c r="X224" s="2">
        <v>1.4164323377539232E-3</v>
      </c>
      <c r="Y224" s="2">
        <v>2.1532502815933777E-3</v>
      </c>
      <c r="Z224" s="2">
        <v>3.1190538169750034E-3</v>
      </c>
      <c r="AA224" s="2">
        <v>4.3274043684495495E-3</v>
      </c>
      <c r="AB224" s="2">
        <v>5.7697528744521318E-3</v>
      </c>
      <c r="AC224" s="2">
        <v>7.4093022758765521E-3</v>
      </c>
      <c r="AD224" s="2">
        <v>9.1789401431121818E-3</v>
      </c>
      <c r="AE224" s="2">
        <v>1.0985746224219687E-2</v>
      </c>
      <c r="AF224" s="2">
        <v>1.2723266334804478E-2</v>
      </c>
      <c r="AG224" s="2">
        <v>1.4290097336763417E-2</v>
      </c>
      <c r="AH224" s="2">
        <v>1.5610122195229774E-2</v>
      </c>
      <c r="AI224" s="2">
        <v>1.6647639211605919E-2</v>
      </c>
      <c r="AJ224" s="2">
        <v>1.7459264136078151E-2</v>
      </c>
      <c r="AK224" s="2">
        <v>1.7978747034400722E-2</v>
      </c>
      <c r="AL224" s="2">
        <v>1.8432478315312754E-2</v>
      </c>
      <c r="AM224" s="2">
        <v>1.8669286851764375E-2</v>
      </c>
      <c r="AN224" s="2">
        <v>1.8834029130650558E-2</v>
      </c>
      <c r="AO224" s="2">
        <v>1.9000752743864962E-2</v>
      </c>
      <c r="AP224" s="2">
        <v>1.9169479509122216E-2</v>
      </c>
      <c r="AQ224" s="2">
        <v>1.9340231490012912E-2</v>
      </c>
      <c r="AR224" s="2">
        <v>0.25436019491478534</v>
      </c>
    </row>
    <row r="225" spans="1:44" x14ac:dyDescent="0.25">
      <c r="A225" t="s">
        <v>250</v>
      </c>
      <c r="B225" t="s">
        <v>344</v>
      </c>
      <c r="C225" t="s">
        <v>45</v>
      </c>
      <c r="D225" t="s">
        <v>345</v>
      </c>
      <c r="E225" t="s">
        <v>148</v>
      </c>
      <c r="F225" t="s">
        <v>345</v>
      </c>
      <c r="G225" t="s">
        <v>31</v>
      </c>
      <c r="H225" t="s">
        <v>288</v>
      </c>
      <c r="I225" t="s">
        <v>135</v>
      </c>
      <c r="J225" t="s">
        <v>39</v>
      </c>
      <c r="K225" t="s">
        <v>33</v>
      </c>
      <c r="L225">
        <v>0.53714285714285792</v>
      </c>
      <c r="M225">
        <v>1</v>
      </c>
      <c r="N225">
        <v>1.8618160303353684</v>
      </c>
      <c r="O225">
        <v>3.1585068309872639</v>
      </c>
      <c r="P225">
        <v>-0.29647398136297803</v>
      </c>
      <c r="Q225">
        <v>0.91889826628938653</v>
      </c>
      <c r="R225">
        <v>-0.67371772101320526</v>
      </c>
      <c r="S225" s="2">
        <v>5.9099055430002148E-7</v>
      </c>
      <c r="T225" s="2">
        <v>1.1494414507043096E-6</v>
      </c>
      <c r="U225" s="2">
        <v>2.5304729318059039E-6</v>
      </c>
      <c r="V225" s="2">
        <v>4.8008986712021131E-6</v>
      </c>
      <c r="W225" s="2">
        <v>8.2835520342039834E-6</v>
      </c>
      <c r="X225" s="2">
        <v>1.3324539589807111E-5</v>
      </c>
      <c r="Y225" s="2">
        <v>2.0255869524519425E-5</v>
      </c>
      <c r="Z225" s="2">
        <v>2.9341292880198446E-5</v>
      </c>
      <c r="AA225" s="2">
        <v>4.070838351512362E-5</v>
      </c>
      <c r="AB225" s="2">
        <v>5.4276719437901722E-5</v>
      </c>
      <c r="AC225" s="2">
        <v>6.9700146541637928E-5</v>
      </c>
      <c r="AD225" s="2">
        <v>8.6347330592090438E-5</v>
      </c>
      <c r="AE225" s="2">
        <v>1.0334416024439797E-4</v>
      </c>
      <c r="AF225" s="2">
        <v>1.196892089166723E-4</v>
      </c>
      <c r="AG225" s="2">
        <v>1.3442856579216179E-4</v>
      </c>
      <c r="AH225" s="2">
        <v>1.4684618929407706E-4</v>
      </c>
      <c r="AI225" s="2">
        <v>1.566062294960116E-4</v>
      </c>
      <c r="AJ225" s="2">
        <v>1.6424127717881143E-4</v>
      </c>
      <c r="AK225" s="2">
        <v>1.6912811169989911E-4</v>
      </c>
      <c r="AL225" s="2">
        <v>1.7339641330139924E-4</v>
      </c>
      <c r="AM225" s="2">
        <v>1.7562409805205423E-4</v>
      </c>
      <c r="AN225" s="2">
        <v>1.7717384734725625E-4</v>
      </c>
      <c r="AO225" s="2">
        <v>1.787422352791185E-4</v>
      </c>
      <c r="AP225" s="2">
        <v>1.8032946708935478E-4</v>
      </c>
      <c r="AQ225" s="2">
        <v>1.8193575033266269E-4</v>
      </c>
      <c r="AR225" s="2">
        <v>2.3927951917473724E-3</v>
      </c>
    </row>
    <row r="226" spans="1:44" x14ac:dyDescent="0.25">
      <c r="A226" t="s">
        <v>250</v>
      </c>
      <c r="B226" t="s">
        <v>344</v>
      </c>
      <c r="C226" t="s">
        <v>45</v>
      </c>
      <c r="D226" t="s">
        <v>345</v>
      </c>
      <c r="E226" t="s">
        <v>148</v>
      </c>
      <c r="F226" t="s">
        <v>345</v>
      </c>
      <c r="G226" t="s">
        <v>31</v>
      </c>
      <c r="H226" t="s">
        <v>289</v>
      </c>
      <c r="I226" t="s">
        <v>135</v>
      </c>
      <c r="J226" t="s">
        <v>39</v>
      </c>
      <c r="K226" t="s">
        <v>31</v>
      </c>
      <c r="L226">
        <v>0.53714285714285792</v>
      </c>
      <c r="M226">
        <v>1</v>
      </c>
      <c r="N226">
        <v>1.8618160303353684</v>
      </c>
      <c r="O226">
        <v>3.1585068309872639</v>
      </c>
      <c r="P226">
        <v>-0.29647398136297803</v>
      </c>
      <c r="Q226">
        <v>0.91889826628938653</v>
      </c>
      <c r="R226">
        <v>-0.67371772101320526</v>
      </c>
      <c r="S226" s="2">
        <v>5.9711293048036946E-5</v>
      </c>
      <c r="T226" s="2">
        <v>1.1613491079541497E-4</v>
      </c>
      <c r="U226" s="2">
        <v>2.556687406961198E-4</v>
      </c>
      <c r="V226" s="2">
        <v>4.8506336584281859E-4</v>
      </c>
      <c r="W226" s="2">
        <v>8.3693656251214964E-4</v>
      </c>
      <c r="X226" s="2">
        <v>1.3462575372621558E-3</v>
      </c>
      <c r="Y226" s="2">
        <v>2.0465710531599761E-3</v>
      </c>
      <c r="Z226" s="2">
        <v>2.9645254477085816E-3</v>
      </c>
      <c r="AA226" s="2">
        <v>4.1130102670802211E-3</v>
      </c>
      <c r="AB226" s="2">
        <v>5.4838999988438249E-3</v>
      </c>
      <c r="AC226" s="2">
        <v>7.0422206334047281E-3</v>
      </c>
      <c r="AD226" s="2">
        <v>8.7241847156200921E-3</v>
      </c>
      <c r="AE226" s="2">
        <v>1.0441475573946065E-2</v>
      </c>
      <c r="AF226" s="2">
        <v>1.2092913120711228E-2</v>
      </c>
      <c r="AG226" s="2">
        <v>1.3582118068790934E-2</v>
      </c>
      <c r="AH226" s="2">
        <v>1.4836744476079754E-2</v>
      </c>
      <c r="AI226" s="2">
        <v>1.5822859425663843E-2</v>
      </c>
      <c r="AJ226" s="2">
        <v>1.6594273733906879E-2</v>
      </c>
      <c r="AK226" s="2">
        <v>1.7088019710120708E-2</v>
      </c>
      <c r="AL226" s="2">
        <v>1.7519271624199362E-2</v>
      </c>
      <c r="AM226" s="2">
        <v>1.774434787287615E-2</v>
      </c>
      <c r="AN226" s="2">
        <v>1.7900928267678241E-2</v>
      </c>
      <c r="AO226" s="2">
        <v>1.8059391834872505E-2</v>
      </c>
      <c r="AP226" s="2">
        <v>1.8219759311250212E-2</v>
      </c>
      <c r="AQ226" s="2">
        <v>1.8382051667297984E-2</v>
      </c>
      <c r="AR226" s="2">
        <v>0.24175833921336801</v>
      </c>
    </row>
    <row r="227" spans="1:44" x14ac:dyDescent="0.25">
      <c r="A227" t="s">
        <v>250</v>
      </c>
      <c r="B227" t="s">
        <v>344</v>
      </c>
      <c r="C227" t="s">
        <v>45</v>
      </c>
      <c r="D227" t="s">
        <v>345</v>
      </c>
      <c r="E227" t="s">
        <v>148</v>
      </c>
      <c r="F227" t="s">
        <v>345</v>
      </c>
      <c r="G227" t="s">
        <v>31</v>
      </c>
      <c r="H227" t="s">
        <v>290</v>
      </c>
      <c r="I227" t="s">
        <v>135</v>
      </c>
      <c r="J227" t="s">
        <v>39</v>
      </c>
      <c r="K227" t="s">
        <v>31</v>
      </c>
      <c r="L227">
        <v>0.53714285714285792</v>
      </c>
      <c r="M227">
        <v>1</v>
      </c>
      <c r="N227">
        <v>1.8618160303353684</v>
      </c>
      <c r="O227">
        <v>3.1585068309872639</v>
      </c>
      <c r="P227">
        <v>-0.29647398136297803</v>
      </c>
      <c r="Q227">
        <v>0.91889826628938653</v>
      </c>
      <c r="R227">
        <v>-0.67371772101320526</v>
      </c>
      <c r="S227" s="2">
        <v>8.6466019251455283E-5</v>
      </c>
      <c r="T227" s="2">
        <v>1.6817126074499894E-4</v>
      </c>
      <c r="U227" s="2">
        <v>3.7022575004767112E-4</v>
      </c>
      <c r="V227" s="2">
        <v>7.0240479125782121E-4</v>
      </c>
      <c r="W227" s="2">
        <v>1.2119411460107732E-3</v>
      </c>
      <c r="X227" s="2">
        <v>1.9494726071445196E-3</v>
      </c>
      <c r="Y227" s="2">
        <v>2.9635742763037881E-3</v>
      </c>
      <c r="Z227" s="2">
        <v>4.2928347612031289E-3</v>
      </c>
      <c r="AA227" s="2">
        <v>5.9559190026028152E-3</v>
      </c>
      <c r="AB227" s="2">
        <v>7.9410607050767173E-3</v>
      </c>
      <c r="AC227" s="2">
        <v>1.0197615120662499E-2</v>
      </c>
      <c r="AD227" s="2">
        <v>1.2633213669769256E-2</v>
      </c>
      <c r="AE227" s="2">
        <v>1.511996779678015E-2</v>
      </c>
      <c r="AF227" s="2">
        <v>1.7511361843402205E-2</v>
      </c>
      <c r="AG227" s="2">
        <v>1.966783203751464E-2</v>
      </c>
      <c r="AH227" s="2">
        <v>2.1484616527489651E-2</v>
      </c>
      <c r="AI227" s="2">
        <v>2.2912578138475304E-2</v>
      </c>
      <c r="AJ227" s="2">
        <v>2.4029638597603029E-2</v>
      </c>
      <c r="AK227" s="2">
        <v>2.47446164000482E-2</v>
      </c>
      <c r="AL227" s="2">
        <v>2.5369098544070146E-2</v>
      </c>
      <c r="AM227" s="2">
        <v>2.5695024282028363E-2</v>
      </c>
      <c r="AN227" s="2">
        <v>2.5921763358344837E-2</v>
      </c>
      <c r="AO227" s="2">
        <v>2.6151229396547147E-2</v>
      </c>
      <c r="AP227" s="2">
        <v>2.6383452424921898E-2</v>
      </c>
      <c r="AQ227" s="2">
        <v>2.661846281016195E-2</v>
      </c>
      <c r="AR227" s="2">
        <v>0.35008254126746297</v>
      </c>
    </row>
    <row r="228" spans="1:44" x14ac:dyDescent="0.25">
      <c r="A228" t="s">
        <v>250</v>
      </c>
      <c r="B228" t="s">
        <v>352</v>
      </c>
      <c r="C228" t="s">
        <v>45</v>
      </c>
      <c r="D228" t="s">
        <v>345</v>
      </c>
      <c r="E228" t="s">
        <v>145</v>
      </c>
      <c r="F228" t="s">
        <v>345</v>
      </c>
      <c r="G228" t="s">
        <v>31</v>
      </c>
      <c r="H228" t="s">
        <v>254</v>
      </c>
      <c r="I228" t="s">
        <v>135</v>
      </c>
      <c r="J228" t="s">
        <v>39</v>
      </c>
      <c r="K228" t="s">
        <v>31</v>
      </c>
      <c r="L228">
        <v>0.49714285714285794</v>
      </c>
      <c r="M228">
        <v>1</v>
      </c>
      <c r="N228">
        <v>1.7649382741650612</v>
      </c>
      <c r="O228">
        <v>3.1588853240212433</v>
      </c>
      <c r="P228">
        <v>-0.24591934386764219</v>
      </c>
      <c r="Q228">
        <v>0.96945290378472293</v>
      </c>
      <c r="R228">
        <v>-0.67371772101320515</v>
      </c>
      <c r="S228" s="2">
        <v>0</v>
      </c>
      <c r="T228" s="2">
        <v>0</v>
      </c>
      <c r="U228" s="2">
        <v>0</v>
      </c>
      <c r="V228" s="2">
        <v>0</v>
      </c>
      <c r="W228" s="2">
        <v>0</v>
      </c>
      <c r="X228" s="2">
        <v>0</v>
      </c>
      <c r="Y228" s="2">
        <v>0</v>
      </c>
      <c r="Z228" s="2">
        <v>0</v>
      </c>
      <c r="AA228" s="2">
        <v>0</v>
      </c>
      <c r="AB228" s="2">
        <v>0</v>
      </c>
      <c r="AC228" s="2">
        <v>0</v>
      </c>
      <c r="AD228" s="2">
        <v>0</v>
      </c>
      <c r="AE228" s="2">
        <v>0</v>
      </c>
      <c r="AF228" s="2">
        <v>0</v>
      </c>
      <c r="AG228" s="2">
        <v>0</v>
      </c>
      <c r="AH228" s="2">
        <v>0</v>
      </c>
      <c r="AI228" s="2">
        <v>0</v>
      </c>
      <c r="AJ228" s="2">
        <v>0</v>
      </c>
      <c r="AK228" s="2">
        <v>0</v>
      </c>
      <c r="AL228" s="2">
        <v>0</v>
      </c>
      <c r="AM228" s="2">
        <v>0</v>
      </c>
      <c r="AN228" s="2">
        <v>0</v>
      </c>
      <c r="AO228" s="2">
        <v>0</v>
      </c>
      <c r="AP228" s="2">
        <v>0</v>
      </c>
      <c r="AQ228" s="2">
        <v>0</v>
      </c>
      <c r="AR228" s="2">
        <v>0</v>
      </c>
    </row>
    <row r="229" spans="1:44" x14ac:dyDescent="0.25">
      <c r="A229" t="s">
        <v>250</v>
      </c>
      <c r="B229" t="s">
        <v>352</v>
      </c>
      <c r="C229" t="s">
        <v>45</v>
      </c>
      <c r="D229" t="s">
        <v>345</v>
      </c>
      <c r="E229" t="s">
        <v>145</v>
      </c>
      <c r="F229" t="s">
        <v>345</v>
      </c>
      <c r="G229" t="s">
        <v>31</v>
      </c>
      <c r="H229" t="s">
        <v>255</v>
      </c>
      <c r="I229" t="s">
        <v>135</v>
      </c>
      <c r="J229" t="s">
        <v>39</v>
      </c>
      <c r="K229" t="s">
        <v>31</v>
      </c>
      <c r="L229">
        <v>0.49714285714285794</v>
      </c>
      <c r="M229">
        <v>1</v>
      </c>
      <c r="N229">
        <v>1.7649382741650612</v>
      </c>
      <c r="O229">
        <v>3.1588853240212433</v>
      </c>
      <c r="P229">
        <v>-0.24591934386764219</v>
      </c>
      <c r="Q229">
        <v>0.96945290378472293</v>
      </c>
      <c r="R229">
        <v>-0.67371772101320515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0</v>
      </c>
      <c r="Z229" s="2">
        <v>0</v>
      </c>
      <c r="AA229" s="2">
        <v>0</v>
      </c>
      <c r="AB229" s="2">
        <v>0</v>
      </c>
      <c r="AC229" s="2">
        <v>0</v>
      </c>
      <c r="AD229" s="2">
        <v>0</v>
      </c>
      <c r="AE229" s="2">
        <v>0</v>
      </c>
      <c r="AF229" s="2">
        <v>0</v>
      </c>
      <c r="AG229" s="2">
        <v>0</v>
      </c>
      <c r="AH229" s="2">
        <v>0</v>
      </c>
      <c r="AI229" s="2">
        <v>0</v>
      </c>
      <c r="AJ229" s="2">
        <v>0</v>
      </c>
      <c r="AK229" s="2">
        <v>0</v>
      </c>
      <c r="AL229" s="2">
        <v>0</v>
      </c>
      <c r="AM229" s="2">
        <v>0</v>
      </c>
      <c r="AN229" s="2">
        <v>0</v>
      </c>
      <c r="AO229" s="2">
        <v>0</v>
      </c>
      <c r="AP229" s="2">
        <v>0</v>
      </c>
      <c r="AQ229" s="2">
        <v>0</v>
      </c>
      <c r="AR229" s="2">
        <v>0</v>
      </c>
    </row>
    <row r="230" spans="1:44" x14ac:dyDescent="0.25">
      <c r="A230" t="s">
        <v>250</v>
      </c>
      <c r="B230" t="s">
        <v>352</v>
      </c>
      <c r="C230" t="s">
        <v>45</v>
      </c>
      <c r="D230" t="s">
        <v>345</v>
      </c>
      <c r="E230" t="s">
        <v>148</v>
      </c>
      <c r="F230" t="s">
        <v>345</v>
      </c>
      <c r="G230" t="s">
        <v>31</v>
      </c>
      <c r="H230" t="s">
        <v>254</v>
      </c>
      <c r="I230" t="s">
        <v>135</v>
      </c>
      <c r="J230" t="s">
        <v>39</v>
      </c>
      <c r="K230" t="s">
        <v>31</v>
      </c>
      <c r="L230">
        <v>0.49714285714285794</v>
      </c>
      <c r="M230">
        <v>1</v>
      </c>
      <c r="N230">
        <v>1.7649382741650612</v>
      </c>
      <c r="O230">
        <v>3.1588853240212433</v>
      </c>
      <c r="P230">
        <v>-0.24591934386764219</v>
      </c>
      <c r="Q230">
        <v>0.96945290378472293</v>
      </c>
      <c r="R230">
        <v>-0.67371772101320515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0</v>
      </c>
      <c r="AB230" s="2">
        <v>0</v>
      </c>
      <c r="AC230" s="2">
        <v>0</v>
      </c>
      <c r="AD230" s="2">
        <v>0</v>
      </c>
      <c r="AE230" s="2">
        <v>0</v>
      </c>
      <c r="AF230" s="2">
        <v>0</v>
      </c>
      <c r="AG230" s="2">
        <v>0</v>
      </c>
      <c r="AH230" s="2">
        <v>0</v>
      </c>
      <c r="AI230" s="2">
        <v>0</v>
      </c>
      <c r="AJ230" s="2">
        <v>0</v>
      </c>
      <c r="AK230" s="2">
        <v>0</v>
      </c>
      <c r="AL230" s="2">
        <v>0</v>
      </c>
      <c r="AM230" s="2">
        <v>0</v>
      </c>
      <c r="AN230" s="2">
        <v>0</v>
      </c>
      <c r="AO230" s="2">
        <v>0</v>
      </c>
      <c r="AP230" s="2">
        <v>0</v>
      </c>
      <c r="AQ230" s="2">
        <v>0</v>
      </c>
      <c r="AR230" s="2">
        <v>0</v>
      </c>
    </row>
    <row r="231" spans="1:44" x14ac:dyDescent="0.25">
      <c r="A231" t="s">
        <v>250</v>
      </c>
      <c r="B231" t="s">
        <v>352</v>
      </c>
      <c r="C231" t="s">
        <v>45</v>
      </c>
      <c r="D231" t="s">
        <v>345</v>
      </c>
      <c r="E231" t="s">
        <v>148</v>
      </c>
      <c r="F231" t="s">
        <v>345</v>
      </c>
      <c r="G231" t="s">
        <v>31</v>
      </c>
      <c r="H231" t="s">
        <v>255</v>
      </c>
      <c r="I231" t="s">
        <v>135</v>
      </c>
      <c r="J231" t="s">
        <v>39</v>
      </c>
      <c r="K231" t="s">
        <v>31</v>
      </c>
      <c r="L231">
        <v>0.49714285714285794</v>
      </c>
      <c r="M231">
        <v>1</v>
      </c>
      <c r="N231">
        <v>1.7649382741650612</v>
      </c>
      <c r="O231">
        <v>3.1588853240212433</v>
      </c>
      <c r="P231">
        <v>-0.24591934386764219</v>
      </c>
      <c r="Q231">
        <v>0.96945290378472293</v>
      </c>
      <c r="R231">
        <v>-0.67371772101320515</v>
      </c>
      <c r="S231" s="2">
        <v>0</v>
      </c>
      <c r="T231" s="2">
        <v>0</v>
      </c>
      <c r="U231" s="2">
        <v>0</v>
      </c>
      <c r="V231" s="2">
        <v>0</v>
      </c>
      <c r="W231" s="2">
        <v>0</v>
      </c>
      <c r="X231" s="2">
        <v>0</v>
      </c>
      <c r="Y231" s="2">
        <v>0</v>
      </c>
      <c r="Z231" s="2">
        <v>0</v>
      </c>
      <c r="AA231" s="2">
        <v>0</v>
      </c>
      <c r="AB231" s="2">
        <v>0</v>
      </c>
      <c r="AC231" s="2">
        <v>0</v>
      </c>
      <c r="AD231" s="2">
        <v>0</v>
      </c>
      <c r="AE231" s="2">
        <v>0</v>
      </c>
      <c r="AF231" s="2">
        <v>0</v>
      </c>
      <c r="AG231" s="2">
        <v>0</v>
      </c>
      <c r="AH231" s="2">
        <v>0</v>
      </c>
      <c r="AI231" s="2">
        <v>0</v>
      </c>
      <c r="AJ231" s="2">
        <v>0</v>
      </c>
      <c r="AK231" s="2">
        <v>0</v>
      </c>
      <c r="AL231" s="2">
        <v>0</v>
      </c>
      <c r="AM231" s="2">
        <v>0</v>
      </c>
      <c r="AN231" s="2">
        <v>0</v>
      </c>
      <c r="AO231" s="2">
        <v>0</v>
      </c>
      <c r="AP231" s="2">
        <v>0</v>
      </c>
      <c r="AQ231" s="2">
        <v>0</v>
      </c>
      <c r="AR231" s="2">
        <v>0</v>
      </c>
    </row>
    <row r="232" spans="1:44" x14ac:dyDescent="0.25">
      <c r="A232" t="s">
        <v>250</v>
      </c>
      <c r="B232" t="s">
        <v>346</v>
      </c>
      <c r="C232" t="s">
        <v>45</v>
      </c>
      <c r="D232" t="s">
        <v>345</v>
      </c>
      <c r="E232" t="s">
        <v>145</v>
      </c>
      <c r="F232" t="s">
        <v>345</v>
      </c>
      <c r="G232" t="s">
        <v>31</v>
      </c>
      <c r="H232" t="s">
        <v>278</v>
      </c>
      <c r="I232" t="s">
        <v>135</v>
      </c>
      <c r="J232" t="s">
        <v>39</v>
      </c>
      <c r="K232" t="s">
        <v>31</v>
      </c>
      <c r="L232">
        <v>1.0514285714285732</v>
      </c>
      <c r="M232">
        <v>1</v>
      </c>
      <c r="N232">
        <v>2.7977716919256275</v>
      </c>
      <c r="O232">
        <v>3.1588853240212433</v>
      </c>
      <c r="P232">
        <v>-0.60380535681987313</v>
      </c>
      <c r="Q232">
        <v>0.61156689083249149</v>
      </c>
      <c r="R232">
        <v>-0.67371772101320493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0</v>
      </c>
      <c r="Y232" s="2">
        <v>0</v>
      </c>
      <c r="Z232" s="2">
        <v>0</v>
      </c>
      <c r="AA232" s="2">
        <v>0</v>
      </c>
      <c r="AB232" s="2">
        <v>0</v>
      </c>
      <c r="AC232" s="2">
        <v>0</v>
      </c>
      <c r="AD232" s="2">
        <v>0</v>
      </c>
      <c r="AE232" s="2">
        <v>0</v>
      </c>
      <c r="AF232" s="2">
        <v>0</v>
      </c>
      <c r="AG232" s="2">
        <v>0</v>
      </c>
      <c r="AH232" s="2">
        <v>0</v>
      </c>
      <c r="AI232" s="2">
        <v>0</v>
      </c>
      <c r="AJ232" s="2">
        <v>0</v>
      </c>
      <c r="AK232" s="2">
        <v>0</v>
      </c>
      <c r="AL232" s="2">
        <v>0</v>
      </c>
      <c r="AM232" s="2">
        <v>0</v>
      </c>
      <c r="AN232" s="2">
        <v>0</v>
      </c>
      <c r="AO232" s="2">
        <v>0</v>
      </c>
      <c r="AP232" s="2">
        <v>0</v>
      </c>
      <c r="AQ232" s="2">
        <v>0</v>
      </c>
      <c r="AR232" s="2">
        <v>0</v>
      </c>
    </row>
    <row r="233" spans="1:44" x14ac:dyDescent="0.25">
      <c r="A233" t="s">
        <v>250</v>
      </c>
      <c r="B233" t="s">
        <v>346</v>
      </c>
      <c r="C233" t="s">
        <v>45</v>
      </c>
      <c r="D233" t="s">
        <v>345</v>
      </c>
      <c r="E233" t="s">
        <v>148</v>
      </c>
      <c r="F233" t="s">
        <v>345</v>
      </c>
      <c r="G233" t="s">
        <v>31</v>
      </c>
      <c r="H233" t="s">
        <v>278</v>
      </c>
      <c r="I233" t="s">
        <v>135</v>
      </c>
      <c r="J233" t="s">
        <v>39</v>
      </c>
      <c r="K233" t="s">
        <v>31</v>
      </c>
      <c r="L233">
        <v>1.0514285714285732</v>
      </c>
      <c r="M233">
        <v>1</v>
      </c>
      <c r="N233">
        <v>2.7977716919256275</v>
      </c>
      <c r="O233">
        <v>3.1588853240212433</v>
      </c>
      <c r="P233">
        <v>-0.60380535681987313</v>
      </c>
      <c r="Q233">
        <v>0.61156689083249149</v>
      </c>
      <c r="R233">
        <v>-0.67371772101320493</v>
      </c>
      <c r="S233" s="2">
        <v>0</v>
      </c>
      <c r="T233" s="2">
        <v>0</v>
      </c>
      <c r="U233" s="2">
        <v>0</v>
      </c>
      <c r="V233" s="2">
        <v>0</v>
      </c>
      <c r="W233" s="2">
        <v>0</v>
      </c>
      <c r="X233" s="2">
        <v>0</v>
      </c>
      <c r="Y233" s="2">
        <v>0</v>
      </c>
      <c r="Z233" s="2">
        <v>0</v>
      </c>
      <c r="AA233" s="2">
        <v>0</v>
      </c>
      <c r="AB233" s="2">
        <v>0</v>
      </c>
      <c r="AC233" s="2">
        <v>0</v>
      </c>
      <c r="AD233" s="2">
        <v>0</v>
      </c>
      <c r="AE233" s="2">
        <v>0</v>
      </c>
      <c r="AF233" s="2">
        <v>0</v>
      </c>
      <c r="AG233" s="2">
        <v>0</v>
      </c>
      <c r="AH233" s="2">
        <v>0</v>
      </c>
      <c r="AI233" s="2">
        <v>0</v>
      </c>
      <c r="AJ233" s="2">
        <v>0</v>
      </c>
      <c r="AK233" s="2">
        <v>0</v>
      </c>
      <c r="AL233" s="2">
        <v>0</v>
      </c>
      <c r="AM233" s="2">
        <v>0</v>
      </c>
      <c r="AN233" s="2">
        <v>0</v>
      </c>
      <c r="AO233" s="2">
        <v>0</v>
      </c>
      <c r="AP233" s="2">
        <v>0</v>
      </c>
      <c r="AQ233" s="2">
        <v>0</v>
      </c>
      <c r="AR233" s="2">
        <v>0</v>
      </c>
    </row>
    <row r="234" spans="1:44" x14ac:dyDescent="0.25">
      <c r="A234" t="s">
        <v>250</v>
      </c>
      <c r="B234" t="s">
        <v>347</v>
      </c>
      <c r="C234" t="s">
        <v>45</v>
      </c>
      <c r="D234" t="s">
        <v>345</v>
      </c>
      <c r="E234" t="s">
        <v>145</v>
      </c>
      <c r="F234" t="s">
        <v>345</v>
      </c>
      <c r="G234" t="s">
        <v>31</v>
      </c>
      <c r="H234" t="s">
        <v>272</v>
      </c>
      <c r="I234" t="s">
        <v>135</v>
      </c>
      <c r="J234" t="s">
        <v>39</v>
      </c>
      <c r="K234" t="s">
        <v>31</v>
      </c>
      <c r="L234">
        <v>0.63428571428571534</v>
      </c>
      <c r="M234">
        <v>1</v>
      </c>
      <c r="N234">
        <v>2.0798461922427691</v>
      </c>
      <c r="O234">
        <v>3.1588853240212438</v>
      </c>
      <c r="P234">
        <v>-0.39270346508962162</v>
      </c>
      <c r="Q234">
        <v>0.82266878256274323</v>
      </c>
      <c r="R234">
        <v>-0.67371772101320504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  <c r="AA234" s="2">
        <v>0</v>
      </c>
      <c r="AB234" s="2">
        <v>0</v>
      </c>
      <c r="AC234" s="2">
        <v>0</v>
      </c>
      <c r="AD234" s="2">
        <v>0</v>
      </c>
      <c r="AE234" s="2">
        <v>0</v>
      </c>
      <c r="AF234" s="2">
        <v>0</v>
      </c>
      <c r="AG234" s="2">
        <v>0</v>
      </c>
      <c r="AH234" s="2">
        <v>0</v>
      </c>
      <c r="AI234" s="2">
        <v>0</v>
      </c>
      <c r="AJ234" s="2">
        <v>0</v>
      </c>
      <c r="AK234" s="2">
        <v>0</v>
      </c>
      <c r="AL234" s="2">
        <v>0</v>
      </c>
      <c r="AM234" s="2">
        <v>0</v>
      </c>
      <c r="AN234" s="2">
        <v>0</v>
      </c>
      <c r="AO234" s="2">
        <v>0</v>
      </c>
      <c r="AP234" s="2">
        <v>0</v>
      </c>
      <c r="AQ234" s="2">
        <v>0</v>
      </c>
      <c r="AR234" s="2">
        <v>0</v>
      </c>
    </row>
    <row r="235" spans="1:44" x14ac:dyDescent="0.25">
      <c r="A235" t="s">
        <v>250</v>
      </c>
      <c r="B235" t="s">
        <v>347</v>
      </c>
      <c r="C235" t="s">
        <v>45</v>
      </c>
      <c r="D235" t="s">
        <v>345</v>
      </c>
      <c r="E235" t="s">
        <v>145</v>
      </c>
      <c r="F235" t="s">
        <v>345</v>
      </c>
      <c r="G235" t="s">
        <v>31</v>
      </c>
      <c r="H235" t="s">
        <v>272</v>
      </c>
      <c r="I235" t="s">
        <v>135</v>
      </c>
      <c r="J235" t="s">
        <v>40</v>
      </c>
      <c r="K235" t="s">
        <v>31</v>
      </c>
      <c r="L235">
        <v>0.63428571428571534</v>
      </c>
      <c r="M235">
        <v>1</v>
      </c>
      <c r="N235">
        <v>2.0798461922427691</v>
      </c>
      <c r="O235">
        <v>1.9798085216903567</v>
      </c>
      <c r="P235">
        <v>-0.39270346508962162</v>
      </c>
      <c r="Q235">
        <v>0.4672931329656026</v>
      </c>
      <c r="R235">
        <v>-0.53071772101320513</v>
      </c>
      <c r="S235" s="2">
        <v>0</v>
      </c>
      <c r="T235" s="2">
        <v>0</v>
      </c>
      <c r="U235" s="2">
        <v>0</v>
      </c>
      <c r="V235" s="2">
        <v>0</v>
      </c>
      <c r="W235" s="2">
        <v>0</v>
      </c>
      <c r="X235" s="2">
        <v>0</v>
      </c>
      <c r="Y235" s="2">
        <v>0</v>
      </c>
      <c r="Z235" s="2">
        <v>0</v>
      </c>
      <c r="AA235" s="2">
        <v>0</v>
      </c>
      <c r="AB235" s="2">
        <v>0</v>
      </c>
      <c r="AC235" s="2">
        <v>0</v>
      </c>
      <c r="AD235" s="2">
        <v>0</v>
      </c>
      <c r="AE235" s="2">
        <v>0</v>
      </c>
      <c r="AF235" s="2">
        <v>0</v>
      </c>
      <c r="AG235" s="2">
        <v>0</v>
      </c>
      <c r="AH235" s="2">
        <v>0</v>
      </c>
      <c r="AI235" s="2">
        <v>0</v>
      </c>
      <c r="AJ235" s="2">
        <v>0</v>
      </c>
      <c r="AK235" s="2">
        <v>0</v>
      </c>
      <c r="AL235" s="2">
        <v>0</v>
      </c>
      <c r="AM235" s="2">
        <v>0</v>
      </c>
      <c r="AN235" s="2">
        <v>0</v>
      </c>
      <c r="AO235" s="2">
        <v>0</v>
      </c>
      <c r="AP235" s="2">
        <v>0</v>
      </c>
      <c r="AQ235" s="2">
        <v>0</v>
      </c>
      <c r="AR235" s="2">
        <v>0</v>
      </c>
    </row>
    <row r="236" spans="1:44" x14ac:dyDescent="0.25">
      <c r="A236" t="s">
        <v>250</v>
      </c>
      <c r="B236" t="s">
        <v>347</v>
      </c>
      <c r="C236" t="s">
        <v>45</v>
      </c>
      <c r="D236" t="s">
        <v>345</v>
      </c>
      <c r="E236" t="s">
        <v>145</v>
      </c>
      <c r="F236" t="s">
        <v>345</v>
      </c>
      <c r="G236" t="s">
        <v>31</v>
      </c>
      <c r="H236" t="s">
        <v>273</v>
      </c>
      <c r="I236" t="s">
        <v>135</v>
      </c>
      <c r="J236" t="s">
        <v>39</v>
      </c>
      <c r="K236" t="s">
        <v>31</v>
      </c>
      <c r="L236">
        <v>0.63428571428571534</v>
      </c>
      <c r="M236">
        <v>1</v>
      </c>
      <c r="N236">
        <v>2.0798461922427691</v>
      </c>
      <c r="O236">
        <v>3.1588853240212438</v>
      </c>
      <c r="P236">
        <v>-0.39270346508962162</v>
      </c>
      <c r="Q236">
        <v>0.82266878256274323</v>
      </c>
      <c r="R236">
        <v>-0.67371772101320504</v>
      </c>
      <c r="S236" s="2">
        <v>0</v>
      </c>
      <c r="T236" s="2">
        <v>0</v>
      </c>
      <c r="U236" s="2">
        <v>0</v>
      </c>
      <c r="V236" s="2">
        <v>0</v>
      </c>
      <c r="W236" s="2">
        <v>0</v>
      </c>
      <c r="X236" s="2">
        <v>0</v>
      </c>
      <c r="Y236" s="2">
        <v>0</v>
      </c>
      <c r="Z236" s="2">
        <v>0</v>
      </c>
      <c r="AA236" s="2">
        <v>0</v>
      </c>
      <c r="AB236" s="2">
        <v>0</v>
      </c>
      <c r="AC236" s="2">
        <v>0</v>
      </c>
      <c r="AD236" s="2">
        <v>0</v>
      </c>
      <c r="AE236" s="2">
        <v>0</v>
      </c>
      <c r="AF236" s="2">
        <v>0</v>
      </c>
      <c r="AG236" s="2">
        <v>0</v>
      </c>
      <c r="AH236" s="2">
        <v>0</v>
      </c>
      <c r="AI236" s="2">
        <v>0</v>
      </c>
      <c r="AJ236" s="2">
        <v>0</v>
      </c>
      <c r="AK236" s="2">
        <v>0</v>
      </c>
      <c r="AL236" s="2">
        <v>0</v>
      </c>
      <c r="AM236" s="2">
        <v>0</v>
      </c>
      <c r="AN236" s="2">
        <v>0</v>
      </c>
      <c r="AO236" s="2">
        <v>0</v>
      </c>
      <c r="AP236" s="2">
        <v>0</v>
      </c>
      <c r="AQ236" s="2">
        <v>0</v>
      </c>
      <c r="AR236" s="2">
        <v>0</v>
      </c>
    </row>
    <row r="237" spans="1:44" x14ac:dyDescent="0.25">
      <c r="A237" t="s">
        <v>250</v>
      </c>
      <c r="B237" t="s">
        <v>347</v>
      </c>
      <c r="C237" t="s">
        <v>45</v>
      </c>
      <c r="D237" t="s">
        <v>345</v>
      </c>
      <c r="E237" t="s">
        <v>145</v>
      </c>
      <c r="F237" t="s">
        <v>345</v>
      </c>
      <c r="G237" t="s">
        <v>31</v>
      </c>
      <c r="H237" t="s">
        <v>274</v>
      </c>
      <c r="I237" t="s">
        <v>135</v>
      </c>
      <c r="J237" t="s">
        <v>39</v>
      </c>
      <c r="K237" t="s">
        <v>31</v>
      </c>
      <c r="L237">
        <v>0.63428571428571534</v>
      </c>
      <c r="M237">
        <v>1</v>
      </c>
      <c r="N237">
        <v>2.0798461922427691</v>
      </c>
      <c r="O237">
        <v>3.1588853240212438</v>
      </c>
      <c r="P237">
        <v>-0.39270346508962162</v>
      </c>
      <c r="Q237">
        <v>0.82266878256274323</v>
      </c>
      <c r="R237">
        <v>-0.67371772101320504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0</v>
      </c>
      <c r="Y237" s="2">
        <v>0</v>
      </c>
      <c r="Z237" s="2">
        <v>0</v>
      </c>
      <c r="AA237" s="2">
        <v>0</v>
      </c>
      <c r="AB237" s="2">
        <v>0</v>
      </c>
      <c r="AC237" s="2">
        <v>0</v>
      </c>
      <c r="AD237" s="2">
        <v>0</v>
      </c>
      <c r="AE237" s="2">
        <v>0</v>
      </c>
      <c r="AF237" s="2">
        <v>0</v>
      </c>
      <c r="AG237" s="2">
        <v>0</v>
      </c>
      <c r="AH237" s="2">
        <v>0</v>
      </c>
      <c r="AI237" s="2">
        <v>0</v>
      </c>
      <c r="AJ237" s="2">
        <v>0</v>
      </c>
      <c r="AK237" s="2">
        <v>0</v>
      </c>
      <c r="AL237" s="2">
        <v>0</v>
      </c>
      <c r="AM237" s="2">
        <v>0</v>
      </c>
      <c r="AN237" s="2">
        <v>0</v>
      </c>
      <c r="AO237" s="2">
        <v>0</v>
      </c>
      <c r="AP237" s="2">
        <v>0</v>
      </c>
      <c r="AQ237" s="2">
        <v>0</v>
      </c>
      <c r="AR237" s="2">
        <v>0</v>
      </c>
    </row>
    <row r="238" spans="1:44" x14ac:dyDescent="0.25">
      <c r="A238" t="s">
        <v>250</v>
      </c>
      <c r="B238" t="s">
        <v>347</v>
      </c>
      <c r="C238" t="s">
        <v>45</v>
      </c>
      <c r="D238" t="s">
        <v>345</v>
      </c>
      <c r="E238" t="s">
        <v>145</v>
      </c>
      <c r="F238" t="s">
        <v>345</v>
      </c>
      <c r="G238" t="s">
        <v>31</v>
      </c>
      <c r="H238" t="s">
        <v>274</v>
      </c>
      <c r="I238" t="s">
        <v>135</v>
      </c>
      <c r="J238" t="s">
        <v>39</v>
      </c>
      <c r="K238" t="s">
        <v>33</v>
      </c>
      <c r="L238">
        <v>0.63428571428571534</v>
      </c>
      <c r="M238">
        <v>1</v>
      </c>
      <c r="N238">
        <v>2.0798461922427691</v>
      </c>
      <c r="O238">
        <v>3.1588853240212438</v>
      </c>
      <c r="P238">
        <v>-0.39270346508962162</v>
      </c>
      <c r="Q238">
        <v>0.82266878256274323</v>
      </c>
      <c r="R238">
        <v>-0.67371772101320504</v>
      </c>
      <c r="S238" s="2">
        <v>0</v>
      </c>
      <c r="T238" s="2">
        <v>0</v>
      </c>
      <c r="U238" s="2">
        <v>0</v>
      </c>
      <c r="V238" s="2">
        <v>0</v>
      </c>
      <c r="W238" s="2">
        <v>0</v>
      </c>
      <c r="X238" s="2">
        <v>0</v>
      </c>
      <c r="Y238" s="2">
        <v>0</v>
      </c>
      <c r="Z238" s="2">
        <v>0</v>
      </c>
      <c r="AA238" s="2">
        <v>0</v>
      </c>
      <c r="AB238" s="2">
        <v>0</v>
      </c>
      <c r="AC238" s="2">
        <v>0</v>
      </c>
      <c r="AD238" s="2">
        <v>0</v>
      </c>
      <c r="AE238" s="2">
        <v>0</v>
      </c>
      <c r="AF238" s="2">
        <v>0</v>
      </c>
      <c r="AG238" s="2">
        <v>0</v>
      </c>
      <c r="AH238" s="2">
        <v>0</v>
      </c>
      <c r="AI238" s="2">
        <v>0</v>
      </c>
      <c r="AJ238" s="2">
        <v>0</v>
      </c>
      <c r="AK238" s="2">
        <v>0</v>
      </c>
      <c r="AL238" s="2">
        <v>0</v>
      </c>
      <c r="AM238" s="2">
        <v>0</v>
      </c>
      <c r="AN238" s="2">
        <v>0</v>
      </c>
      <c r="AO238" s="2">
        <v>0</v>
      </c>
      <c r="AP238" s="2">
        <v>0</v>
      </c>
      <c r="AQ238" s="2">
        <v>0</v>
      </c>
      <c r="AR238" s="2">
        <v>0</v>
      </c>
    </row>
    <row r="239" spans="1:44" x14ac:dyDescent="0.25">
      <c r="A239" t="s">
        <v>250</v>
      </c>
      <c r="B239" t="s">
        <v>347</v>
      </c>
      <c r="C239" t="s">
        <v>45</v>
      </c>
      <c r="D239" t="s">
        <v>345</v>
      </c>
      <c r="E239" t="s">
        <v>145</v>
      </c>
      <c r="F239" t="s">
        <v>345</v>
      </c>
      <c r="G239" t="s">
        <v>31</v>
      </c>
      <c r="H239" t="s">
        <v>275</v>
      </c>
      <c r="I239" t="s">
        <v>135</v>
      </c>
      <c r="J239" t="s">
        <v>39</v>
      </c>
      <c r="K239" t="s">
        <v>31</v>
      </c>
      <c r="L239">
        <v>0.63428571428571534</v>
      </c>
      <c r="M239">
        <v>1</v>
      </c>
      <c r="N239">
        <v>2.0798461922427691</v>
      </c>
      <c r="O239">
        <v>3.1588853240212438</v>
      </c>
      <c r="P239">
        <v>-0.39270346508962162</v>
      </c>
      <c r="Q239">
        <v>0.82266878256274323</v>
      </c>
      <c r="R239">
        <v>-0.67371772101320504</v>
      </c>
      <c r="S239" s="2">
        <v>0</v>
      </c>
      <c r="T239" s="2">
        <v>0</v>
      </c>
      <c r="U239" s="2">
        <v>0</v>
      </c>
      <c r="V239" s="2">
        <v>0</v>
      </c>
      <c r="W239" s="2">
        <v>0</v>
      </c>
      <c r="X239" s="2">
        <v>0</v>
      </c>
      <c r="Y239" s="2">
        <v>0</v>
      </c>
      <c r="Z239" s="2">
        <v>0</v>
      </c>
      <c r="AA239" s="2">
        <v>0</v>
      </c>
      <c r="AB239" s="2">
        <v>0</v>
      </c>
      <c r="AC239" s="2">
        <v>0</v>
      </c>
      <c r="AD239" s="2">
        <v>0</v>
      </c>
      <c r="AE239" s="2">
        <v>0</v>
      </c>
      <c r="AF239" s="2">
        <v>0</v>
      </c>
      <c r="AG239" s="2">
        <v>0</v>
      </c>
      <c r="AH239" s="2">
        <v>0</v>
      </c>
      <c r="AI239" s="2">
        <v>0</v>
      </c>
      <c r="AJ239" s="2">
        <v>0</v>
      </c>
      <c r="AK239" s="2">
        <v>0</v>
      </c>
      <c r="AL239" s="2">
        <v>0</v>
      </c>
      <c r="AM239" s="2">
        <v>0</v>
      </c>
      <c r="AN239" s="2">
        <v>0</v>
      </c>
      <c r="AO239" s="2">
        <v>0</v>
      </c>
      <c r="AP239" s="2">
        <v>0</v>
      </c>
      <c r="AQ239" s="2">
        <v>0</v>
      </c>
      <c r="AR239" s="2">
        <v>0</v>
      </c>
    </row>
    <row r="240" spans="1:44" x14ac:dyDescent="0.25">
      <c r="A240" t="s">
        <v>250</v>
      </c>
      <c r="B240" t="s">
        <v>347</v>
      </c>
      <c r="C240" t="s">
        <v>45</v>
      </c>
      <c r="D240" t="s">
        <v>345</v>
      </c>
      <c r="E240" t="s">
        <v>148</v>
      </c>
      <c r="F240" t="s">
        <v>345</v>
      </c>
      <c r="G240" t="s">
        <v>31</v>
      </c>
      <c r="H240" t="s">
        <v>272</v>
      </c>
      <c r="I240" t="s">
        <v>135</v>
      </c>
      <c r="J240" t="s">
        <v>39</v>
      </c>
      <c r="K240" t="s">
        <v>31</v>
      </c>
      <c r="L240">
        <v>0.63428571428571534</v>
      </c>
      <c r="M240">
        <v>1</v>
      </c>
      <c r="N240">
        <v>2.0798461922427691</v>
      </c>
      <c r="O240">
        <v>3.1588853240212438</v>
      </c>
      <c r="P240">
        <v>-0.39270346508962162</v>
      </c>
      <c r="Q240">
        <v>0.82266878256274323</v>
      </c>
      <c r="R240">
        <v>-0.67371772101320504</v>
      </c>
      <c r="S240" s="2">
        <v>0</v>
      </c>
      <c r="T240" s="2">
        <v>0</v>
      </c>
      <c r="U240" s="2">
        <v>0</v>
      </c>
      <c r="V240" s="2">
        <v>0</v>
      </c>
      <c r="W240" s="2">
        <v>0</v>
      </c>
      <c r="X240" s="2">
        <v>0</v>
      </c>
      <c r="Y240" s="2">
        <v>0</v>
      </c>
      <c r="Z240" s="2">
        <v>0</v>
      </c>
      <c r="AA240" s="2">
        <v>0</v>
      </c>
      <c r="AB240" s="2">
        <v>0</v>
      </c>
      <c r="AC240" s="2">
        <v>0</v>
      </c>
      <c r="AD240" s="2">
        <v>0</v>
      </c>
      <c r="AE240" s="2">
        <v>0</v>
      </c>
      <c r="AF240" s="2">
        <v>0</v>
      </c>
      <c r="AG240" s="2">
        <v>0</v>
      </c>
      <c r="AH240" s="2">
        <v>0</v>
      </c>
      <c r="AI240" s="2">
        <v>0</v>
      </c>
      <c r="AJ240" s="2">
        <v>0</v>
      </c>
      <c r="AK240" s="2">
        <v>0</v>
      </c>
      <c r="AL240" s="2">
        <v>0</v>
      </c>
      <c r="AM240" s="2">
        <v>0</v>
      </c>
      <c r="AN240" s="2">
        <v>0</v>
      </c>
      <c r="AO240" s="2">
        <v>0</v>
      </c>
      <c r="AP240" s="2">
        <v>0</v>
      </c>
      <c r="AQ240" s="2">
        <v>0</v>
      </c>
      <c r="AR240" s="2">
        <v>0</v>
      </c>
    </row>
    <row r="241" spans="1:44" x14ac:dyDescent="0.25">
      <c r="A241" t="s">
        <v>250</v>
      </c>
      <c r="B241" t="s">
        <v>347</v>
      </c>
      <c r="C241" t="s">
        <v>45</v>
      </c>
      <c r="D241" t="s">
        <v>345</v>
      </c>
      <c r="E241" t="s">
        <v>148</v>
      </c>
      <c r="F241" t="s">
        <v>345</v>
      </c>
      <c r="G241" t="s">
        <v>31</v>
      </c>
      <c r="H241" t="s">
        <v>272</v>
      </c>
      <c r="I241" t="s">
        <v>135</v>
      </c>
      <c r="J241" t="s">
        <v>40</v>
      </c>
      <c r="K241" t="s">
        <v>31</v>
      </c>
      <c r="L241">
        <v>0.63428571428571534</v>
      </c>
      <c r="M241">
        <v>1</v>
      </c>
      <c r="N241">
        <v>2.0798461922427691</v>
      </c>
      <c r="O241">
        <v>1.9798085216903567</v>
      </c>
      <c r="P241">
        <v>-0.39270346508962162</v>
      </c>
      <c r="Q241">
        <v>0.4672931329656026</v>
      </c>
      <c r="R241">
        <v>-0.53071772101320513</v>
      </c>
      <c r="S241" s="2">
        <v>0</v>
      </c>
      <c r="T241" s="2">
        <v>0</v>
      </c>
      <c r="U241" s="2">
        <v>0</v>
      </c>
      <c r="V241" s="2">
        <v>0</v>
      </c>
      <c r="W241" s="2">
        <v>0</v>
      </c>
      <c r="X241" s="2">
        <v>0</v>
      </c>
      <c r="Y241" s="2">
        <v>0</v>
      </c>
      <c r="Z241" s="2">
        <v>0</v>
      </c>
      <c r="AA241" s="2">
        <v>0</v>
      </c>
      <c r="AB241" s="2">
        <v>0</v>
      </c>
      <c r="AC241" s="2">
        <v>0</v>
      </c>
      <c r="AD241" s="2">
        <v>0</v>
      </c>
      <c r="AE241" s="2">
        <v>0</v>
      </c>
      <c r="AF241" s="2">
        <v>0</v>
      </c>
      <c r="AG241" s="2">
        <v>0</v>
      </c>
      <c r="AH241" s="2">
        <v>0</v>
      </c>
      <c r="AI241" s="2">
        <v>0</v>
      </c>
      <c r="AJ241" s="2">
        <v>0</v>
      </c>
      <c r="AK241" s="2">
        <v>0</v>
      </c>
      <c r="AL241" s="2">
        <v>0</v>
      </c>
      <c r="AM241" s="2">
        <v>0</v>
      </c>
      <c r="AN241" s="2">
        <v>0</v>
      </c>
      <c r="AO241" s="2">
        <v>0</v>
      </c>
      <c r="AP241" s="2">
        <v>0</v>
      </c>
      <c r="AQ241" s="2">
        <v>0</v>
      </c>
      <c r="AR241" s="2">
        <v>0</v>
      </c>
    </row>
    <row r="242" spans="1:44" x14ac:dyDescent="0.25">
      <c r="A242" t="s">
        <v>250</v>
      </c>
      <c r="B242" t="s">
        <v>347</v>
      </c>
      <c r="C242" t="s">
        <v>45</v>
      </c>
      <c r="D242" t="s">
        <v>345</v>
      </c>
      <c r="E242" t="s">
        <v>148</v>
      </c>
      <c r="F242" t="s">
        <v>345</v>
      </c>
      <c r="G242" t="s">
        <v>31</v>
      </c>
      <c r="H242" t="s">
        <v>273</v>
      </c>
      <c r="I242" t="s">
        <v>135</v>
      </c>
      <c r="J242" t="s">
        <v>39</v>
      </c>
      <c r="K242" t="s">
        <v>31</v>
      </c>
      <c r="L242">
        <v>0.63428571428571534</v>
      </c>
      <c r="M242">
        <v>1</v>
      </c>
      <c r="N242">
        <v>2.0798461922427691</v>
      </c>
      <c r="O242">
        <v>3.1588853240212438</v>
      </c>
      <c r="P242">
        <v>-0.39270346508962162</v>
      </c>
      <c r="Q242">
        <v>0.82266878256274323</v>
      </c>
      <c r="R242">
        <v>-0.67371772101320504</v>
      </c>
      <c r="S242" s="2">
        <v>0</v>
      </c>
      <c r="T242" s="2">
        <v>0</v>
      </c>
      <c r="U242" s="2">
        <v>0</v>
      </c>
      <c r="V242" s="2">
        <v>0</v>
      </c>
      <c r="W242" s="2">
        <v>0</v>
      </c>
      <c r="X242" s="2">
        <v>0</v>
      </c>
      <c r="Y242" s="2">
        <v>0</v>
      </c>
      <c r="Z242" s="2">
        <v>0</v>
      </c>
      <c r="AA242" s="2">
        <v>0</v>
      </c>
      <c r="AB242" s="2">
        <v>0</v>
      </c>
      <c r="AC242" s="2">
        <v>0</v>
      </c>
      <c r="AD242" s="2">
        <v>0</v>
      </c>
      <c r="AE242" s="2">
        <v>0</v>
      </c>
      <c r="AF242" s="2">
        <v>0</v>
      </c>
      <c r="AG242" s="2">
        <v>0</v>
      </c>
      <c r="AH242" s="2">
        <v>0</v>
      </c>
      <c r="AI242" s="2">
        <v>0</v>
      </c>
      <c r="AJ242" s="2">
        <v>0</v>
      </c>
      <c r="AK242" s="2">
        <v>0</v>
      </c>
      <c r="AL242" s="2">
        <v>0</v>
      </c>
      <c r="AM242" s="2">
        <v>0</v>
      </c>
      <c r="AN242" s="2">
        <v>0</v>
      </c>
      <c r="AO242" s="2">
        <v>0</v>
      </c>
      <c r="AP242" s="2">
        <v>0</v>
      </c>
      <c r="AQ242" s="2">
        <v>0</v>
      </c>
      <c r="AR242" s="2">
        <v>0</v>
      </c>
    </row>
    <row r="243" spans="1:44" x14ac:dyDescent="0.25">
      <c r="A243" t="s">
        <v>250</v>
      </c>
      <c r="B243" t="s">
        <v>347</v>
      </c>
      <c r="C243" t="s">
        <v>45</v>
      </c>
      <c r="D243" t="s">
        <v>345</v>
      </c>
      <c r="E243" t="s">
        <v>148</v>
      </c>
      <c r="F243" t="s">
        <v>345</v>
      </c>
      <c r="G243" t="s">
        <v>31</v>
      </c>
      <c r="H243" t="s">
        <v>274</v>
      </c>
      <c r="I243" t="s">
        <v>135</v>
      </c>
      <c r="J243" t="s">
        <v>39</v>
      </c>
      <c r="K243" t="s">
        <v>31</v>
      </c>
      <c r="L243">
        <v>0.63428571428571534</v>
      </c>
      <c r="M243">
        <v>1</v>
      </c>
      <c r="N243">
        <v>2.0798461922427691</v>
      </c>
      <c r="O243">
        <v>3.1588853240212438</v>
      </c>
      <c r="P243">
        <v>-0.39270346508962162</v>
      </c>
      <c r="Q243">
        <v>0.82266878256274323</v>
      </c>
      <c r="R243">
        <v>-0.67371772101320504</v>
      </c>
      <c r="S243" s="2">
        <v>0</v>
      </c>
      <c r="T243" s="2">
        <v>0</v>
      </c>
      <c r="U243" s="2">
        <v>0</v>
      </c>
      <c r="V243" s="2">
        <v>0</v>
      </c>
      <c r="W243" s="2">
        <v>0</v>
      </c>
      <c r="X243" s="2">
        <v>0</v>
      </c>
      <c r="Y243" s="2">
        <v>0</v>
      </c>
      <c r="Z243" s="2">
        <v>0</v>
      </c>
      <c r="AA243" s="2">
        <v>0</v>
      </c>
      <c r="AB243" s="2">
        <v>0</v>
      </c>
      <c r="AC243" s="2">
        <v>0</v>
      </c>
      <c r="AD243" s="2">
        <v>0</v>
      </c>
      <c r="AE243" s="2">
        <v>0</v>
      </c>
      <c r="AF243" s="2">
        <v>0</v>
      </c>
      <c r="AG243" s="2">
        <v>0</v>
      </c>
      <c r="AH243" s="2">
        <v>0</v>
      </c>
      <c r="AI243" s="2">
        <v>0</v>
      </c>
      <c r="AJ243" s="2">
        <v>0</v>
      </c>
      <c r="AK243" s="2">
        <v>0</v>
      </c>
      <c r="AL243" s="2">
        <v>0</v>
      </c>
      <c r="AM243" s="2">
        <v>0</v>
      </c>
      <c r="AN243" s="2">
        <v>0</v>
      </c>
      <c r="AO243" s="2">
        <v>0</v>
      </c>
      <c r="AP243" s="2">
        <v>0</v>
      </c>
      <c r="AQ243" s="2">
        <v>0</v>
      </c>
      <c r="AR243" s="2">
        <v>0</v>
      </c>
    </row>
    <row r="244" spans="1:44" x14ac:dyDescent="0.25">
      <c r="A244" t="s">
        <v>250</v>
      </c>
      <c r="B244" t="s">
        <v>347</v>
      </c>
      <c r="C244" t="s">
        <v>45</v>
      </c>
      <c r="D244" t="s">
        <v>345</v>
      </c>
      <c r="E244" t="s">
        <v>148</v>
      </c>
      <c r="F244" t="s">
        <v>345</v>
      </c>
      <c r="G244" t="s">
        <v>31</v>
      </c>
      <c r="H244" t="s">
        <v>274</v>
      </c>
      <c r="I244" t="s">
        <v>135</v>
      </c>
      <c r="J244" t="s">
        <v>39</v>
      </c>
      <c r="K244" t="s">
        <v>33</v>
      </c>
      <c r="L244">
        <v>0.63428571428571534</v>
      </c>
      <c r="M244">
        <v>1</v>
      </c>
      <c r="N244">
        <v>2.0798461922427691</v>
      </c>
      <c r="O244">
        <v>3.1588853240212438</v>
      </c>
      <c r="P244">
        <v>-0.39270346508962162</v>
      </c>
      <c r="Q244">
        <v>0.82266878256274323</v>
      </c>
      <c r="R244">
        <v>-0.67371772101320504</v>
      </c>
      <c r="S244" s="2">
        <v>0</v>
      </c>
      <c r="T244" s="2">
        <v>0</v>
      </c>
      <c r="U244" s="2">
        <v>0</v>
      </c>
      <c r="V244" s="2">
        <v>0</v>
      </c>
      <c r="W244" s="2">
        <v>0</v>
      </c>
      <c r="X244" s="2">
        <v>0</v>
      </c>
      <c r="Y244" s="2">
        <v>0</v>
      </c>
      <c r="Z244" s="2">
        <v>0</v>
      </c>
      <c r="AA244" s="2">
        <v>0</v>
      </c>
      <c r="AB244" s="2">
        <v>0</v>
      </c>
      <c r="AC244" s="2">
        <v>0</v>
      </c>
      <c r="AD244" s="2">
        <v>0</v>
      </c>
      <c r="AE244" s="2">
        <v>0</v>
      </c>
      <c r="AF244" s="2">
        <v>0</v>
      </c>
      <c r="AG244" s="2">
        <v>0</v>
      </c>
      <c r="AH244" s="2">
        <v>0</v>
      </c>
      <c r="AI244" s="2">
        <v>0</v>
      </c>
      <c r="AJ244" s="2">
        <v>0</v>
      </c>
      <c r="AK244" s="2">
        <v>0</v>
      </c>
      <c r="AL244" s="2">
        <v>0</v>
      </c>
      <c r="AM244" s="2">
        <v>0</v>
      </c>
      <c r="AN244" s="2">
        <v>0</v>
      </c>
      <c r="AO244" s="2">
        <v>0</v>
      </c>
      <c r="AP244" s="2">
        <v>0</v>
      </c>
      <c r="AQ244" s="2">
        <v>0</v>
      </c>
      <c r="AR244" s="2">
        <v>0</v>
      </c>
    </row>
    <row r="245" spans="1:44" x14ac:dyDescent="0.25">
      <c r="A245" t="s">
        <v>250</v>
      </c>
      <c r="B245" t="s">
        <v>347</v>
      </c>
      <c r="C245" t="s">
        <v>45</v>
      </c>
      <c r="D245" t="s">
        <v>345</v>
      </c>
      <c r="E245" t="s">
        <v>148</v>
      </c>
      <c r="F245" t="s">
        <v>345</v>
      </c>
      <c r="G245" t="s">
        <v>31</v>
      </c>
      <c r="H245" t="s">
        <v>275</v>
      </c>
      <c r="I245" t="s">
        <v>135</v>
      </c>
      <c r="J245" t="s">
        <v>39</v>
      </c>
      <c r="K245" t="s">
        <v>31</v>
      </c>
      <c r="L245">
        <v>0.63428571428571534</v>
      </c>
      <c r="M245">
        <v>1</v>
      </c>
      <c r="N245">
        <v>2.0798461922427691</v>
      </c>
      <c r="O245">
        <v>3.1588853240212438</v>
      </c>
      <c r="P245">
        <v>-0.39270346508962162</v>
      </c>
      <c r="Q245">
        <v>0.82266878256274323</v>
      </c>
      <c r="R245">
        <v>-0.67371772101320504</v>
      </c>
      <c r="S245" s="2">
        <v>0</v>
      </c>
      <c r="T245" s="2">
        <v>0</v>
      </c>
      <c r="U245" s="2">
        <v>0</v>
      </c>
      <c r="V245" s="2">
        <v>0</v>
      </c>
      <c r="W245" s="2">
        <v>0</v>
      </c>
      <c r="X245" s="2">
        <v>0</v>
      </c>
      <c r="Y245" s="2">
        <v>0</v>
      </c>
      <c r="Z245" s="2">
        <v>0</v>
      </c>
      <c r="AA245" s="2">
        <v>0</v>
      </c>
      <c r="AB245" s="2">
        <v>0</v>
      </c>
      <c r="AC245" s="2">
        <v>0</v>
      </c>
      <c r="AD245" s="2">
        <v>0</v>
      </c>
      <c r="AE245" s="2">
        <v>0</v>
      </c>
      <c r="AF245" s="2">
        <v>0</v>
      </c>
      <c r="AG245" s="2">
        <v>0</v>
      </c>
      <c r="AH245" s="2">
        <v>0</v>
      </c>
      <c r="AI245" s="2">
        <v>0</v>
      </c>
      <c r="AJ245" s="2">
        <v>0</v>
      </c>
      <c r="AK245" s="2">
        <v>0</v>
      </c>
      <c r="AL245" s="2">
        <v>0</v>
      </c>
      <c r="AM245" s="2">
        <v>0</v>
      </c>
      <c r="AN245" s="2">
        <v>0</v>
      </c>
      <c r="AO245" s="2">
        <v>0</v>
      </c>
      <c r="AP245" s="2">
        <v>0</v>
      </c>
      <c r="AQ245" s="2">
        <v>0</v>
      </c>
      <c r="AR245" s="2">
        <v>0</v>
      </c>
    </row>
    <row r="246" spans="1:44" x14ac:dyDescent="0.25">
      <c r="A246" t="s">
        <v>250</v>
      </c>
      <c r="B246" t="s">
        <v>349</v>
      </c>
      <c r="C246" t="s">
        <v>45</v>
      </c>
      <c r="D246" t="s">
        <v>345</v>
      </c>
      <c r="E246" t="s">
        <v>145</v>
      </c>
      <c r="F246" t="s">
        <v>345</v>
      </c>
      <c r="G246" t="s">
        <v>31</v>
      </c>
      <c r="H246" t="s">
        <v>276</v>
      </c>
      <c r="I246" t="s">
        <v>135</v>
      </c>
      <c r="J246" t="s">
        <v>39</v>
      </c>
      <c r="K246" t="s">
        <v>31</v>
      </c>
      <c r="L246">
        <v>0.53142857142857225</v>
      </c>
      <c r="M246">
        <v>1</v>
      </c>
      <c r="N246">
        <v>1.8489663471049216</v>
      </c>
      <c r="O246">
        <v>3.1597702595673303</v>
      </c>
      <c r="P246">
        <v>-0.28971783165162007</v>
      </c>
      <c r="Q246">
        <v>0.92565441600074494</v>
      </c>
      <c r="R246">
        <v>-0.67371772101320537</v>
      </c>
      <c r="S246" s="2">
        <v>1.3187751340224492E-4</v>
      </c>
      <c r="T246" s="2">
        <v>2.0241374880792374E-4</v>
      </c>
      <c r="U246" s="2">
        <v>4.41039567623991E-4</v>
      </c>
      <c r="V246" s="2">
        <v>8.2814583498295167E-4</v>
      </c>
      <c r="W246" s="2">
        <v>1.4141489351061683E-3</v>
      </c>
      <c r="X246" s="2">
        <v>2.2511839271591146E-3</v>
      </c>
      <c r="Y246" s="2">
        <v>3.3866939851487626E-3</v>
      </c>
      <c r="Z246" s="2">
        <v>4.8546374745143837E-3</v>
      </c>
      <c r="AA246" s="2">
        <v>6.6650010062883468E-3</v>
      </c>
      <c r="AB246" s="2">
        <v>8.7933667528928613E-3</v>
      </c>
      <c r="AC246" s="2">
        <v>1.1173444356967458E-2</v>
      </c>
      <c r="AD246" s="2">
        <v>1.3696220642313049E-2</v>
      </c>
      <c r="AE246" s="2">
        <v>1.6218959886642435E-2</v>
      </c>
      <c r="AF246" s="2">
        <v>1.8585069392692881E-2</v>
      </c>
      <c r="AG246" s="2">
        <v>2.0651894794432014E-2</v>
      </c>
      <c r="AH246" s="2">
        <v>2.231913204146661E-2</v>
      </c>
      <c r="AI246" s="2">
        <v>2.3548171259607214E-2</v>
      </c>
      <c r="AJ246" s="2">
        <v>2.4431569268385855E-2</v>
      </c>
      <c r="AK246" s="2">
        <v>2.4888185118191457E-2</v>
      </c>
      <c r="AL246" s="2">
        <v>2.5241404336454571E-2</v>
      </c>
      <c r="AM246" s="2">
        <v>3.1242397191006768E-2</v>
      </c>
      <c r="AN246" s="2">
        <v>3.2272444613109741E-2</v>
      </c>
      <c r="AO246" s="2">
        <v>3.2218591878361028E-2</v>
      </c>
      <c r="AP246" s="2">
        <v>3.2123226168044888E-2</v>
      </c>
      <c r="AQ246" s="2">
        <v>3.1970892167067708E-2</v>
      </c>
      <c r="AR246" s="2">
        <v>0.3895501118606704</v>
      </c>
    </row>
    <row r="247" spans="1:44" x14ac:dyDescent="0.25">
      <c r="A247" t="s">
        <v>250</v>
      </c>
      <c r="B247" t="s">
        <v>349</v>
      </c>
      <c r="C247" t="s">
        <v>45</v>
      </c>
      <c r="D247" t="s">
        <v>345</v>
      </c>
      <c r="E247" t="s">
        <v>148</v>
      </c>
      <c r="F247" t="s">
        <v>345</v>
      </c>
      <c r="G247" t="s">
        <v>31</v>
      </c>
      <c r="H247" t="s">
        <v>276</v>
      </c>
      <c r="I247" t="s">
        <v>135</v>
      </c>
      <c r="J247" t="s">
        <v>39</v>
      </c>
      <c r="K247" t="s">
        <v>31</v>
      </c>
      <c r="L247">
        <v>0.53142857142857225</v>
      </c>
      <c r="M247">
        <v>1</v>
      </c>
      <c r="N247">
        <v>1.8489663471049216</v>
      </c>
      <c r="O247">
        <v>3.1597702595673303</v>
      </c>
      <c r="P247">
        <v>-0.28971783165162007</v>
      </c>
      <c r="Q247">
        <v>0.92565441600074494</v>
      </c>
      <c r="R247">
        <v>-0.67371772101320537</v>
      </c>
      <c r="S247" s="2">
        <v>2.9913776790048232E-5</v>
      </c>
      <c r="T247" s="2">
        <v>5.4529400485395883E-5</v>
      </c>
      <c r="U247" s="2">
        <v>1.2015176741277235E-4</v>
      </c>
      <c r="V247" s="2">
        <v>2.2815568411171263E-4</v>
      </c>
      <c r="W247" s="2">
        <v>3.9400465930863811E-4</v>
      </c>
      <c r="X247" s="2">
        <v>6.3432043989117629E-4</v>
      </c>
      <c r="Y247" s="2">
        <v>9.6510573581804946E-4</v>
      </c>
      <c r="Z247" s="2">
        <v>1.3991573614737941E-3</v>
      </c>
      <c r="AA247" s="2">
        <v>1.9428099048872801E-3</v>
      </c>
      <c r="AB247" s="2">
        <v>2.5924777267039988E-3</v>
      </c>
      <c r="AC247" s="2">
        <v>3.3318543728392555E-3</v>
      </c>
      <c r="AD247" s="2">
        <v>4.1309318161654503E-3</v>
      </c>
      <c r="AE247" s="2">
        <v>4.9479782931700252E-3</v>
      </c>
      <c r="AF247" s="2">
        <v>5.7350280912233098E-3</v>
      </c>
      <c r="AG247" s="2">
        <v>6.4462453263639946E-3</v>
      </c>
      <c r="AH247" s="2">
        <v>7.0470717017509588E-3</v>
      </c>
      <c r="AI247" s="2">
        <v>7.5211084675604507E-3</v>
      </c>
      <c r="AJ247" s="2">
        <v>7.893653084844042E-3</v>
      </c>
      <c r="AK247" s="2">
        <v>8.134494153764868E-3</v>
      </c>
      <c r="AL247" s="2">
        <v>8.3458398439716971E-3</v>
      </c>
      <c r="AM247" s="2">
        <v>8.4591244761828051E-3</v>
      </c>
      <c r="AN247" s="2">
        <v>8.5398160369048806E-3</v>
      </c>
      <c r="AO247" s="2">
        <v>8.6214422586366572E-3</v>
      </c>
      <c r="AP247" s="2">
        <v>8.7040135604619703E-3</v>
      </c>
      <c r="AQ247" s="2">
        <v>8.7875404784392343E-3</v>
      </c>
      <c r="AR247" s="2">
        <v>0.11500676841916246</v>
      </c>
    </row>
    <row r="248" spans="1:44" x14ac:dyDescent="0.25">
      <c r="A248" t="s">
        <v>250</v>
      </c>
      <c r="B248" t="s">
        <v>348</v>
      </c>
      <c r="C248" t="s">
        <v>45</v>
      </c>
      <c r="D248" t="s">
        <v>345</v>
      </c>
      <c r="E248" t="s">
        <v>145</v>
      </c>
      <c r="F248" t="s">
        <v>345</v>
      </c>
      <c r="G248" t="s">
        <v>31</v>
      </c>
      <c r="H248" t="s">
        <v>277</v>
      </c>
      <c r="I248" t="s">
        <v>135</v>
      </c>
      <c r="J248" t="s">
        <v>39</v>
      </c>
      <c r="K248" t="s">
        <v>31</v>
      </c>
      <c r="L248">
        <v>0.63428571428571534</v>
      </c>
      <c r="M248">
        <v>1</v>
      </c>
      <c r="N248">
        <v>2.0798461922427691</v>
      </c>
      <c r="O248">
        <v>3.1588853240212438</v>
      </c>
      <c r="P248">
        <v>-0.39270346508962162</v>
      </c>
      <c r="Q248">
        <v>0.82266878256274323</v>
      </c>
      <c r="R248">
        <v>-0.67371772101320504</v>
      </c>
      <c r="S248" s="2">
        <v>1.039720205501235E-3</v>
      </c>
      <c r="T248" s="2">
        <v>1.5916368919757452E-3</v>
      </c>
      <c r="U248" s="2">
        <v>3.4589142599403761E-3</v>
      </c>
      <c r="V248" s="2">
        <v>6.4777967834299174E-3</v>
      </c>
      <c r="W248" s="2">
        <v>1.103249915385052E-2</v>
      </c>
      <c r="X248" s="2">
        <v>1.7516526312222502E-2</v>
      </c>
      <c r="Y248" s="2">
        <v>2.6282775008459599E-2</v>
      </c>
      <c r="Z248" s="2">
        <v>3.7575980289291114E-2</v>
      </c>
      <c r="AA248" s="2">
        <v>5.1453152530889383E-2</v>
      </c>
      <c r="AB248" s="2">
        <v>6.770569668287052E-2</v>
      </c>
      <c r="AC248" s="2">
        <v>8.5805544042246079E-2</v>
      </c>
      <c r="AD248" s="2">
        <v>0.10490284749350025</v>
      </c>
      <c r="AE248" s="2">
        <v>0.12389899603878404</v>
      </c>
      <c r="AF248" s="2">
        <v>0.14160129625988563</v>
      </c>
      <c r="AG248" s="2">
        <v>0.15693550182914645</v>
      </c>
      <c r="AH248" s="2">
        <v>0.16915967903708481</v>
      </c>
      <c r="AI248" s="2">
        <v>0.17800614339069934</v>
      </c>
      <c r="AJ248" s="2">
        <v>0.18419906566660768</v>
      </c>
      <c r="AK248" s="2">
        <v>0.18714901370325837</v>
      </c>
      <c r="AL248" s="2">
        <v>0.18930674252769869</v>
      </c>
      <c r="AM248" s="2">
        <v>0.23610200205545812</v>
      </c>
      <c r="AN248" s="2">
        <v>0.25456117115459953</v>
      </c>
      <c r="AO248" s="2">
        <v>0.25349351576646595</v>
      </c>
      <c r="AP248" s="2">
        <v>0.25204233095285428</v>
      </c>
      <c r="AQ248" s="2">
        <v>0.25006603481986484</v>
      </c>
      <c r="AR248" s="2">
        <v>2.9913645828565851</v>
      </c>
    </row>
    <row r="249" spans="1:44" x14ac:dyDescent="0.25">
      <c r="A249" t="s">
        <v>250</v>
      </c>
      <c r="B249" t="s">
        <v>348</v>
      </c>
      <c r="C249" t="s">
        <v>45</v>
      </c>
      <c r="D249" t="s">
        <v>345</v>
      </c>
      <c r="E249" t="s">
        <v>145</v>
      </c>
      <c r="F249" t="s">
        <v>345</v>
      </c>
      <c r="G249" t="s">
        <v>31</v>
      </c>
      <c r="H249" t="s">
        <v>277</v>
      </c>
      <c r="I249" t="s">
        <v>135</v>
      </c>
      <c r="J249" t="s">
        <v>40</v>
      </c>
      <c r="K249" t="s">
        <v>31</v>
      </c>
      <c r="L249">
        <v>0.63428571428571534</v>
      </c>
      <c r="M249">
        <v>1</v>
      </c>
      <c r="N249">
        <v>2.0798461922427691</v>
      </c>
      <c r="O249">
        <v>1.9798085216903567</v>
      </c>
      <c r="P249">
        <v>-0.39270346508962162</v>
      </c>
      <c r="Q249">
        <v>0.4672931329656026</v>
      </c>
      <c r="R249">
        <v>-0.53071772101320513</v>
      </c>
      <c r="S249" s="2">
        <v>1.6401106932971033E-4</v>
      </c>
      <c r="T249" s="2">
        <v>2.5107338229683811E-4</v>
      </c>
      <c r="U249" s="2">
        <v>5.4562777898417114E-4</v>
      </c>
      <c r="V249" s="2">
        <v>1.0218425800802009E-3</v>
      </c>
      <c r="W249" s="2">
        <v>1.7403258819326647E-3</v>
      </c>
      <c r="X249" s="2">
        <v>2.7631512749380807E-3</v>
      </c>
      <c r="Y249" s="2">
        <v>4.1459865945488016E-3</v>
      </c>
      <c r="Z249" s="2">
        <v>5.9274376661629996E-3</v>
      </c>
      <c r="AA249" s="2">
        <v>8.1164976138052344E-3</v>
      </c>
      <c r="AB249" s="2">
        <v>1.0680261529896205E-2</v>
      </c>
      <c r="AC249" s="2">
        <v>1.3535429010925016E-2</v>
      </c>
      <c r="AD249" s="2">
        <v>1.6547940592196237E-2</v>
      </c>
      <c r="AE249" s="2">
        <v>1.9544495453372598E-2</v>
      </c>
      <c r="AF249" s="2">
        <v>2.2336951706022578E-2</v>
      </c>
      <c r="AG249" s="2">
        <v>2.4755851944210819E-2</v>
      </c>
      <c r="AH249" s="2">
        <v>2.6684159545565276E-2</v>
      </c>
      <c r="AI249" s="2">
        <v>2.8079648515334808E-2</v>
      </c>
      <c r="AJ249" s="2">
        <v>2.9056553455118921E-2</v>
      </c>
      <c r="AK249" s="2">
        <v>2.9521894158702648E-2</v>
      </c>
      <c r="AL249" s="2">
        <v>2.9862265933673963E-2</v>
      </c>
      <c r="AM249" s="2">
        <v>3.7244002399023465E-2</v>
      </c>
      <c r="AN249" s="2">
        <v>4.0155851228034799E-2</v>
      </c>
      <c r="AO249" s="2">
        <v>3.998743351242532E-2</v>
      </c>
      <c r="AP249" s="2">
        <v>3.9758515798009396E-2</v>
      </c>
      <c r="AQ249" s="2">
        <v>3.9446764193713589E-2</v>
      </c>
      <c r="AR249" s="2">
        <v>0.47187397281830445</v>
      </c>
    </row>
    <row r="250" spans="1:44" x14ac:dyDescent="0.25">
      <c r="A250" t="s">
        <v>250</v>
      </c>
      <c r="B250" t="s">
        <v>348</v>
      </c>
      <c r="C250" t="s">
        <v>45</v>
      </c>
      <c r="D250" t="s">
        <v>345</v>
      </c>
      <c r="E250" t="s">
        <v>148</v>
      </c>
      <c r="F250" t="s">
        <v>345</v>
      </c>
      <c r="G250" t="s">
        <v>31</v>
      </c>
      <c r="H250" t="s">
        <v>277</v>
      </c>
      <c r="I250" t="s">
        <v>135</v>
      </c>
      <c r="J250" t="s">
        <v>39</v>
      </c>
      <c r="K250" t="s">
        <v>31</v>
      </c>
      <c r="L250">
        <v>0.63428571428571534</v>
      </c>
      <c r="M250">
        <v>1</v>
      </c>
      <c r="N250">
        <v>2.0798461922427691</v>
      </c>
      <c r="O250">
        <v>3.1588853240212438</v>
      </c>
      <c r="P250">
        <v>-0.39270346508962162</v>
      </c>
      <c r="Q250">
        <v>0.82266878256274323</v>
      </c>
      <c r="R250">
        <v>-0.67371772101320504</v>
      </c>
      <c r="S250" s="2">
        <v>2.3583973756467245E-4</v>
      </c>
      <c r="T250" s="2">
        <v>5.1370621728450468E-4</v>
      </c>
      <c r="U250" s="2">
        <v>1.1289970247871455E-3</v>
      </c>
      <c r="V250" s="2">
        <v>2.1383809711165891E-3</v>
      </c>
      <c r="W250" s="2">
        <v>3.6834846098697618E-3</v>
      </c>
      <c r="X250" s="2">
        <v>5.9153768865386194E-3</v>
      </c>
      <c r="Y250" s="2">
        <v>8.9779515574600691E-3</v>
      </c>
      <c r="Z250" s="2">
        <v>1.2984042848093246E-2</v>
      </c>
      <c r="AA250" s="2">
        <v>1.798568605227063E-2</v>
      </c>
      <c r="AB250" s="2">
        <v>2.3942929714979834E-2</v>
      </c>
      <c r="AC250" s="2">
        <v>3.0699124663279363E-2</v>
      </c>
      <c r="AD250" s="2">
        <v>3.7973255268773799E-2</v>
      </c>
      <c r="AE250" s="2">
        <v>4.5379471431112886E-2</v>
      </c>
      <c r="AF250" s="2">
        <v>5.2478449274519848E-2</v>
      </c>
      <c r="AG250" s="2">
        <v>5.8854265815195476E-2</v>
      </c>
      <c r="AH250" s="2">
        <v>6.4197376609100035E-2</v>
      </c>
      <c r="AI250" s="2">
        <v>6.8365916610625924E-2</v>
      </c>
      <c r="AJ250" s="2">
        <v>7.1597303927997513E-2</v>
      </c>
      <c r="AK250" s="2">
        <v>7.3624370621990176E-2</v>
      </c>
      <c r="AL250" s="2">
        <v>7.5378065567261121E-2</v>
      </c>
      <c r="AM250" s="2">
        <v>7.624224230025059E-2</v>
      </c>
      <c r="AN250" s="2">
        <v>7.6811348035656257E-2</v>
      </c>
      <c r="AO250" s="2">
        <v>7.7388185342485871E-2</v>
      </c>
      <c r="AP250" s="2">
        <v>7.7972834555637235E-2</v>
      </c>
      <c r="AQ250" s="2">
        <v>7.8565376940972445E-2</v>
      </c>
      <c r="AR250" s="2">
        <v>1.0430339825848238</v>
      </c>
    </row>
    <row r="251" spans="1:44" x14ac:dyDescent="0.25">
      <c r="A251" t="s">
        <v>250</v>
      </c>
      <c r="B251" t="s">
        <v>348</v>
      </c>
      <c r="C251" t="s">
        <v>45</v>
      </c>
      <c r="D251" t="s">
        <v>345</v>
      </c>
      <c r="E251" t="s">
        <v>148</v>
      </c>
      <c r="F251" t="s">
        <v>345</v>
      </c>
      <c r="G251" t="s">
        <v>31</v>
      </c>
      <c r="H251" t="s">
        <v>277</v>
      </c>
      <c r="I251" t="s">
        <v>135</v>
      </c>
      <c r="J251" t="s">
        <v>40</v>
      </c>
      <c r="K251" t="s">
        <v>31</v>
      </c>
      <c r="L251">
        <v>0.63428571428571534</v>
      </c>
      <c r="M251">
        <v>1</v>
      </c>
      <c r="N251">
        <v>2.0798461922427691</v>
      </c>
      <c r="O251">
        <v>1.9798085216903567</v>
      </c>
      <c r="P251">
        <v>-0.39270346508962162</v>
      </c>
      <c r="Q251">
        <v>0.4672931329656026</v>
      </c>
      <c r="R251">
        <v>-0.53071772101320513</v>
      </c>
      <c r="S251" s="2">
        <v>3.7202631384635764E-5</v>
      </c>
      <c r="T251" s="2">
        <v>8.1034787601857956E-5</v>
      </c>
      <c r="U251" s="2">
        <v>1.7809407600781737E-4</v>
      </c>
      <c r="V251" s="2">
        <v>3.3731974030269126E-4</v>
      </c>
      <c r="W251" s="2">
        <v>5.8105271642098024E-4</v>
      </c>
      <c r="X251" s="2">
        <v>9.3312343408940082E-4</v>
      </c>
      <c r="Y251" s="2">
        <v>1.4162304700229417E-3</v>
      </c>
      <c r="Z251" s="2">
        <v>2.0481729031243787E-3</v>
      </c>
      <c r="AA251" s="2">
        <v>2.8371590611142444E-3</v>
      </c>
      <c r="AB251" s="2">
        <v>3.7768867861395529E-3</v>
      </c>
      <c r="AC251" s="2">
        <v>4.842645393318361E-3</v>
      </c>
      <c r="AD251" s="2">
        <v>5.9901059627471718E-3</v>
      </c>
      <c r="AE251" s="2">
        <v>7.1584024198565951E-3</v>
      </c>
      <c r="AF251" s="2">
        <v>8.2782334485167666E-3</v>
      </c>
      <c r="AG251" s="2">
        <v>9.2839891154289957E-3</v>
      </c>
      <c r="AH251" s="2">
        <v>1.0126840211540134E-2</v>
      </c>
      <c r="AI251" s="2">
        <v>1.0784408179899702E-2</v>
      </c>
      <c r="AJ251" s="2">
        <v>1.1294144632588154E-2</v>
      </c>
      <c r="AK251" s="2">
        <v>1.1613905058830786E-2</v>
      </c>
      <c r="AL251" s="2">
        <v>1.1890542351950922E-2</v>
      </c>
      <c r="AM251" s="2">
        <v>1.2026862247743459E-2</v>
      </c>
      <c r="AN251" s="2">
        <v>1.2116636053938363E-2</v>
      </c>
      <c r="AO251" s="2">
        <v>1.2207629479883143E-2</v>
      </c>
      <c r="AP251" s="2">
        <v>1.2299855198037111E-2</v>
      </c>
      <c r="AQ251" s="2">
        <v>1.239332602771614E-2</v>
      </c>
      <c r="AR251" s="2">
        <v>0.16453380238820428</v>
      </c>
    </row>
    <row r="252" spans="1:44" x14ac:dyDescent="0.25">
      <c r="A252" t="s">
        <v>250</v>
      </c>
      <c r="B252" t="s">
        <v>298</v>
      </c>
      <c r="C252" t="s">
        <v>44</v>
      </c>
      <c r="D252" t="s">
        <v>152</v>
      </c>
      <c r="E252" t="s">
        <v>145</v>
      </c>
      <c r="F252" t="s">
        <v>299</v>
      </c>
      <c r="G252" t="s">
        <v>31</v>
      </c>
      <c r="H252" t="s">
        <v>254</v>
      </c>
      <c r="I252" t="s">
        <v>135</v>
      </c>
      <c r="J252" t="s">
        <v>39</v>
      </c>
      <c r="K252" t="s">
        <v>31</v>
      </c>
      <c r="L252">
        <v>0.82</v>
      </c>
      <c r="M252">
        <v>1</v>
      </c>
      <c r="N252">
        <v>2.8160822667537615</v>
      </c>
      <c r="O252">
        <v>5.411417628870181</v>
      </c>
      <c r="P252">
        <v>-1.3633570527640948</v>
      </c>
      <c r="Q252">
        <v>1.0408498674974225</v>
      </c>
      <c r="R252">
        <v>-1.8625523936223551</v>
      </c>
      <c r="S252" s="2">
        <v>1.3854415285012397E-2</v>
      </c>
      <c r="T252" s="2">
        <v>2.5952400113490627E-2</v>
      </c>
      <c r="U252" s="2">
        <v>4.4210549768236712E-2</v>
      </c>
      <c r="V252" s="2">
        <v>7.0210457423915781E-2</v>
      </c>
      <c r="W252" s="2">
        <v>0.10537239180629786</v>
      </c>
      <c r="X252" s="2">
        <v>0.15068420949458394</v>
      </c>
      <c r="Y252" s="2">
        <v>0.20638171538097358</v>
      </c>
      <c r="Z252" s="2">
        <v>0.27163532290325432</v>
      </c>
      <c r="AA252" s="2">
        <v>0.3443326350213704</v>
      </c>
      <c r="AB252" s="2">
        <v>0.42106768992976584</v>
      </c>
      <c r="AC252" s="2">
        <v>0.49743258634680398</v>
      </c>
      <c r="AD252" s="2">
        <v>0.5686374752567146</v>
      </c>
      <c r="AE252" s="2">
        <v>0.63036378319094777</v>
      </c>
      <c r="AF252" s="2">
        <v>0.67962400364523279</v>
      </c>
      <c r="AG252" s="2">
        <v>0.71533364467271632</v>
      </c>
      <c r="AH252" s="2">
        <v>0.74039399520879134</v>
      </c>
      <c r="AI252" s="2">
        <v>0.75242776277841894</v>
      </c>
      <c r="AJ252" s="2">
        <v>0.76128128850532861</v>
      </c>
      <c r="AK252" s="2">
        <v>0.76090931036569764</v>
      </c>
      <c r="AL252" s="2">
        <v>0.7574953639265235</v>
      </c>
      <c r="AM252" s="2">
        <v>0.93810245959914484</v>
      </c>
      <c r="AN252" s="2">
        <v>1.0036444388893</v>
      </c>
      <c r="AO252" s="2">
        <v>0.99607801993934819</v>
      </c>
      <c r="AP252" s="2">
        <v>0.98589908987320451</v>
      </c>
      <c r="AQ252" s="2">
        <v>0.97255135918120683</v>
      </c>
      <c r="AR252" s="2">
        <v>13.413876368506282</v>
      </c>
    </row>
    <row r="253" spans="1:44" x14ac:dyDescent="0.25">
      <c r="A253" t="s">
        <v>250</v>
      </c>
      <c r="B253" t="s">
        <v>298</v>
      </c>
      <c r="C253" t="s">
        <v>44</v>
      </c>
      <c r="D253" t="s">
        <v>152</v>
      </c>
      <c r="E253" t="s">
        <v>145</v>
      </c>
      <c r="F253" t="s">
        <v>299</v>
      </c>
      <c r="G253" t="s">
        <v>31</v>
      </c>
      <c r="H253" t="s">
        <v>272</v>
      </c>
      <c r="I253" t="s">
        <v>135</v>
      </c>
      <c r="J253" t="s">
        <v>39</v>
      </c>
      <c r="K253" t="s">
        <v>31</v>
      </c>
      <c r="L253">
        <v>0.82</v>
      </c>
      <c r="M253">
        <v>1</v>
      </c>
      <c r="N253">
        <v>2.8160822667537615</v>
      </c>
      <c r="O253">
        <v>5.411417628870181</v>
      </c>
      <c r="P253">
        <v>-1.3633570527640948</v>
      </c>
      <c r="Q253">
        <v>1.0408498674974225</v>
      </c>
      <c r="R253">
        <v>-1.8625523936223551</v>
      </c>
      <c r="S253" s="2">
        <v>8.035747235399052E-3</v>
      </c>
      <c r="T253" s="2">
        <v>1.5051027512461138E-2</v>
      </c>
      <c r="U253" s="2">
        <v>2.5636875375808141E-2</v>
      </c>
      <c r="V253" s="2">
        <v>4.0709103137880766E-2</v>
      </c>
      <c r="W253" s="2">
        <v>6.1089578046013067E-2</v>
      </c>
      <c r="X253" s="2">
        <v>8.734913060855938E-2</v>
      </c>
      <c r="Y253" s="2">
        <v>0.1196224287512318</v>
      </c>
      <c r="Z253" s="2">
        <v>0.15742662951736755</v>
      </c>
      <c r="AA253" s="2">
        <v>0.19953573939758132</v>
      </c>
      <c r="AB253" s="2">
        <v>0.24397480616547873</v>
      </c>
      <c r="AC253" s="2">
        <v>0.28818929948517508</v>
      </c>
      <c r="AD253" s="2">
        <v>0.32940459455548204</v>
      </c>
      <c r="AE253" s="2">
        <v>0.36512030305574078</v>
      </c>
      <c r="AF253" s="2">
        <v>0.39360807044730345</v>
      </c>
      <c r="AG253" s="2">
        <v>0.41424234580033992</v>
      </c>
      <c r="AH253" s="2">
        <v>0.4287057254975965</v>
      </c>
      <c r="AI253" s="2">
        <v>0.43562396414281396</v>
      </c>
      <c r="AJ253" s="2">
        <v>0.44069960564502658</v>
      </c>
      <c r="AK253" s="2">
        <v>0.44043412395487891</v>
      </c>
      <c r="AL253" s="2">
        <v>0.4384081269846864</v>
      </c>
      <c r="AM253" s="2">
        <v>0.54311724527799554</v>
      </c>
      <c r="AN253" s="2">
        <v>0.58213791106339574</v>
      </c>
      <c r="AO253" s="2">
        <v>0.57767102263126635</v>
      </c>
      <c r="AP253" s="2">
        <v>0.57167942951769668</v>
      </c>
      <c r="AQ253" s="2">
        <v>0.5638387649768456</v>
      </c>
      <c r="AR253" s="2">
        <v>7.771311598784024</v>
      </c>
    </row>
    <row r="254" spans="1:44" x14ac:dyDescent="0.25">
      <c r="A254" t="s">
        <v>250</v>
      </c>
      <c r="B254" t="s">
        <v>298</v>
      </c>
      <c r="C254" t="s">
        <v>44</v>
      </c>
      <c r="D254" t="s">
        <v>152</v>
      </c>
      <c r="E254" t="s">
        <v>145</v>
      </c>
      <c r="F254" t="s">
        <v>299</v>
      </c>
      <c r="G254" t="s">
        <v>31</v>
      </c>
      <c r="H254" t="s">
        <v>272</v>
      </c>
      <c r="I254" t="s">
        <v>135</v>
      </c>
      <c r="J254" t="s">
        <v>40</v>
      </c>
      <c r="K254" t="s">
        <v>31</v>
      </c>
      <c r="L254">
        <v>0.82</v>
      </c>
      <c r="M254">
        <v>1</v>
      </c>
      <c r="N254">
        <v>2.8160822667537615</v>
      </c>
      <c r="O254">
        <v>4.1746294160814488</v>
      </c>
      <c r="P254">
        <v>-1.3633570527640948</v>
      </c>
      <c r="Q254">
        <v>0.4672931329656026</v>
      </c>
      <c r="R254">
        <v>-1.7195523936223556</v>
      </c>
      <c r="S254" s="2">
        <v>7.9486270181967325E-4</v>
      </c>
      <c r="T254" s="2">
        <v>1.4887850554850092E-3</v>
      </c>
      <c r="U254" s="2">
        <v>2.535893107446298E-3</v>
      </c>
      <c r="V254" s="2">
        <v>4.0267752034667805E-3</v>
      </c>
      <c r="W254" s="2">
        <v>6.0427270341171157E-3</v>
      </c>
      <c r="X254" s="2">
        <v>8.6402127796234868E-3</v>
      </c>
      <c r="Y254" s="2">
        <v>1.1832553231213431E-2</v>
      </c>
      <c r="Z254" s="2">
        <v>1.5571987571399189E-2</v>
      </c>
      <c r="AA254" s="2">
        <v>1.9737245620229056E-2</v>
      </c>
      <c r="AB254" s="2">
        <v>2.4132973315827935E-2</v>
      </c>
      <c r="AC254" s="2">
        <v>2.8506487139764988E-2</v>
      </c>
      <c r="AD254" s="2">
        <v>3.258333274431098E-2</v>
      </c>
      <c r="AE254" s="2">
        <v>3.6116182114044763E-2</v>
      </c>
      <c r="AF254" s="2">
        <v>3.8934073604946454E-2</v>
      </c>
      <c r="AG254" s="2">
        <v>4.0975130320239112E-2</v>
      </c>
      <c r="AH254" s="2">
        <v>4.2405787697435013E-2</v>
      </c>
      <c r="AI254" s="2">
        <v>4.309011109640238E-2</v>
      </c>
      <c r="AJ254" s="2">
        <v>4.3592172447977022E-2</v>
      </c>
      <c r="AK254" s="2">
        <v>4.3565912103128837E-2</v>
      </c>
      <c r="AL254" s="2">
        <v>4.3365508907454442E-2</v>
      </c>
      <c r="AM254" s="2">
        <v>5.3722899481554835E-2</v>
      </c>
      <c r="AN254" s="2">
        <v>5.7582661483071479E-2</v>
      </c>
      <c r="AO254" s="2">
        <v>5.7140815453837285E-2</v>
      </c>
      <c r="AP254" s="2">
        <v>5.6548151977630225E-2</v>
      </c>
      <c r="AQ254" s="2">
        <v>5.5772586044750883E-2</v>
      </c>
      <c r="AR254" s="2">
        <v>0.7687058282371767</v>
      </c>
    </row>
    <row r="255" spans="1:44" x14ac:dyDescent="0.25">
      <c r="A255" t="s">
        <v>250</v>
      </c>
      <c r="B255" t="s">
        <v>298</v>
      </c>
      <c r="C255" t="s">
        <v>44</v>
      </c>
      <c r="D255" t="s">
        <v>152</v>
      </c>
      <c r="E255" t="s">
        <v>145</v>
      </c>
      <c r="F255" t="s">
        <v>299</v>
      </c>
      <c r="G255" t="s">
        <v>31</v>
      </c>
      <c r="H255" t="s">
        <v>253</v>
      </c>
      <c r="I255" t="s">
        <v>135</v>
      </c>
      <c r="J255" t="s">
        <v>39</v>
      </c>
      <c r="K255" t="s">
        <v>31</v>
      </c>
      <c r="L255">
        <v>0.82</v>
      </c>
      <c r="M255">
        <v>1</v>
      </c>
      <c r="N255">
        <v>2.8160822667537615</v>
      </c>
      <c r="O255">
        <v>5.411417628870181</v>
      </c>
      <c r="P255">
        <v>-1.3633570527640948</v>
      </c>
      <c r="Q255">
        <v>1.0408498674974225</v>
      </c>
      <c r="R255">
        <v>-1.8625523936223551</v>
      </c>
      <c r="S255" s="2">
        <v>1.0261688392220382E-5</v>
      </c>
      <c r="T255" s="2">
        <v>1.9229890032661336E-5</v>
      </c>
      <c r="U255" s="2">
        <v>3.2771312797312705E-5</v>
      </c>
      <c r="V255" s="2">
        <v>5.2064101456530705E-5</v>
      </c>
      <c r="W255" s="2">
        <v>7.8168551507193688E-5</v>
      </c>
      <c r="X255" s="2">
        <v>1.1182569904666878E-4</v>
      </c>
      <c r="Y255" s="2">
        <v>1.5321939627040699E-4</v>
      </c>
      <c r="Z255" s="2">
        <v>2.0174251203791151E-4</v>
      </c>
      <c r="AA255" s="2">
        <v>2.5583385647991673E-4</v>
      </c>
      <c r="AB255" s="2">
        <v>3.1296833571832673E-4</v>
      </c>
      <c r="AC255" s="2">
        <v>3.698719237361244E-4</v>
      </c>
      <c r="AD255" s="2">
        <v>4.2298139302995212E-4</v>
      </c>
      <c r="AE255" s="2">
        <v>4.6907867516902203E-4</v>
      </c>
      <c r="AF255" s="2">
        <v>5.0593158986248377E-4</v>
      </c>
      <c r="AG255" s="2">
        <v>5.3272170401077166E-4</v>
      </c>
      <c r="AH255" s="2">
        <v>5.5159875625575771E-4</v>
      </c>
      <c r="AI255" s="2">
        <v>5.6078172638334041E-4</v>
      </c>
      <c r="AJ255" s="2">
        <v>5.6760060328566147E-4</v>
      </c>
      <c r="AK255" s="2">
        <v>5.6754361527328327E-4</v>
      </c>
      <c r="AL255" s="2">
        <v>5.6521668645066292E-4</v>
      </c>
      <c r="AM255" s="2">
        <v>6.9918865938261763E-4</v>
      </c>
      <c r="AN255" s="2">
        <v>7.4335585056515554E-4</v>
      </c>
      <c r="AO255" s="2">
        <v>7.3809247395404689E-4</v>
      </c>
      <c r="AP255" s="2">
        <v>7.3093534267441168E-4</v>
      </c>
      <c r="AQ255" s="2">
        <v>7.2147995684975592E-4</v>
      </c>
      <c r="AR255" s="2">
        <v>9.9744643006221961E-3</v>
      </c>
    </row>
    <row r="256" spans="1:44" x14ac:dyDescent="0.25">
      <c r="A256" t="s">
        <v>250</v>
      </c>
      <c r="B256" t="s">
        <v>298</v>
      </c>
      <c r="C256" t="s">
        <v>44</v>
      </c>
      <c r="D256" t="s">
        <v>152</v>
      </c>
      <c r="E256" t="s">
        <v>145</v>
      </c>
      <c r="F256" t="s">
        <v>299</v>
      </c>
      <c r="G256" t="s">
        <v>31</v>
      </c>
      <c r="H256" t="s">
        <v>253</v>
      </c>
      <c r="I256" t="s">
        <v>135</v>
      </c>
      <c r="J256" t="s">
        <v>40</v>
      </c>
      <c r="K256" t="s">
        <v>31</v>
      </c>
      <c r="L256">
        <v>0.82</v>
      </c>
      <c r="M256">
        <v>1</v>
      </c>
      <c r="N256">
        <v>2.8160822667537615</v>
      </c>
      <c r="O256">
        <v>4.1746294160814488</v>
      </c>
      <c r="P256">
        <v>-1.3633570527640948</v>
      </c>
      <c r="Q256">
        <v>0.4672931329656026</v>
      </c>
      <c r="R256">
        <v>-1.7195523936223556</v>
      </c>
      <c r="S256" s="2">
        <v>5.3978613726572041E-6</v>
      </c>
      <c r="T256" s="2">
        <v>1.0115321830123168E-5</v>
      </c>
      <c r="U256" s="2">
        <v>1.7238391648492168E-5</v>
      </c>
      <c r="V256" s="2">
        <v>2.7386799463465625E-5</v>
      </c>
      <c r="W256" s="2">
        <v>4.1118282743523E-5</v>
      </c>
      <c r="X256" s="2">
        <v>5.8822641877531582E-5</v>
      </c>
      <c r="Y256" s="2">
        <v>8.0596586941472244E-5</v>
      </c>
      <c r="Z256" s="2">
        <v>1.0612075433686444E-4</v>
      </c>
      <c r="AA256" s="2">
        <v>1.3457392574479286E-4</v>
      </c>
      <c r="AB256" s="2">
        <v>1.6462784930397102E-4</v>
      </c>
      <c r="AC256" s="2">
        <v>1.9456031928227725E-4</v>
      </c>
      <c r="AD256" s="2">
        <v>2.2249700395502695E-4</v>
      </c>
      <c r="AE256" s="2">
        <v>2.4674513244347403E-4</v>
      </c>
      <c r="AF256" s="2">
        <v>2.6613053152112285E-4</v>
      </c>
      <c r="AG256" s="2">
        <v>2.8022268836733465E-4</v>
      </c>
      <c r="AH256" s="2">
        <v>2.9015241018778007E-4</v>
      </c>
      <c r="AI256" s="2">
        <v>2.9498284333321864E-4</v>
      </c>
      <c r="AJ256" s="2">
        <v>2.9856971430699018E-4</v>
      </c>
      <c r="AK256" s="2">
        <v>2.9853973742804361E-4</v>
      </c>
      <c r="AL256" s="2">
        <v>2.9731572450458863E-4</v>
      </c>
      <c r="AM256" s="2">
        <v>3.677877667326805E-4</v>
      </c>
      <c r="AN256" s="2">
        <v>3.9102062726309098E-4</v>
      </c>
      <c r="AO256" s="2">
        <v>3.8825198177192569E-4</v>
      </c>
      <c r="AP256" s="2">
        <v>3.8448718196542914E-4</v>
      </c>
      <c r="AQ256" s="2">
        <v>3.795134525014578E-4</v>
      </c>
      <c r="AR256" s="2">
        <v>5.2467755308273356E-3</v>
      </c>
    </row>
    <row r="257" spans="1:44" x14ac:dyDescent="0.25">
      <c r="A257" t="s">
        <v>250</v>
      </c>
      <c r="B257" t="s">
        <v>298</v>
      </c>
      <c r="C257" t="s">
        <v>44</v>
      </c>
      <c r="D257" t="s">
        <v>152</v>
      </c>
      <c r="E257" t="s">
        <v>145</v>
      </c>
      <c r="F257" t="s">
        <v>299</v>
      </c>
      <c r="G257" t="s">
        <v>31</v>
      </c>
      <c r="H257" t="s">
        <v>253</v>
      </c>
      <c r="I257" t="s">
        <v>256</v>
      </c>
      <c r="J257" t="s">
        <v>39</v>
      </c>
      <c r="K257" t="s">
        <v>31</v>
      </c>
      <c r="L257">
        <v>0.82</v>
      </c>
      <c r="M257">
        <v>1</v>
      </c>
      <c r="N257">
        <v>1.4105606857535178</v>
      </c>
      <c r="O257">
        <v>2.7105504166527385</v>
      </c>
      <c r="P257">
        <v>9.9579898584776755E-2</v>
      </c>
      <c r="Q257">
        <v>0.4672931329656026</v>
      </c>
      <c r="R257">
        <v>-0.39961544227348367</v>
      </c>
      <c r="S257" s="2">
        <v>5.3828806226898329E-6</v>
      </c>
      <c r="T257" s="2">
        <v>1.008724865507941E-5</v>
      </c>
      <c r="U257" s="2">
        <v>1.7190549731611198E-5</v>
      </c>
      <c r="V257" s="2">
        <v>2.7310792547606896E-5</v>
      </c>
      <c r="W257" s="2">
        <v>4.1004166676002524E-5</v>
      </c>
      <c r="X257" s="2">
        <v>5.8659390687930624E-5</v>
      </c>
      <c r="Y257" s="2">
        <v>8.0372906258728213E-5</v>
      </c>
      <c r="Z257" s="2">
        <v>1.0582623612357313E-4</v>
      </c>
      <c r="AA257" s="2">
        <v>1.3420044110068507E-4</v>
      </c>
      <c r="AB257" s="2">
        <v>1.6417095564223651E-4</v>
      </c>
      <c r="AC257" s="2">
        <v>1.9402035367450823E-4</v>
      </c>
      <c r="AD257" s="2">
        <v>2.2187950532832567E-4</v>
      </c>
      <c r="AE257" s="2">
        <v>2.4606033769244062E-4</v>
      </c>
      <c r="AF257" s="2">
        <v>2.6539193623751722E-4</v>
      </c>
      <c r="AG257" s="2">
        <v>2.7944498295035577E-4</v>
      </c>
      <c r="AH257" s="2">
        <v>2.8934714669370961E-4</v>
      </c>
      <c r="AI257" s="2">
        <v>2.9416417387960426E-4</v>
      </c>
      <c r="AJ257" s="2">
        <v>2.9774109016697059E-4</v>
      </c>
      <c r="AK257" s="2">
        <v>2.9771119648321884E-4</v>
      </c>
      <c r="AL257" s="2">
        <v>2.9649058057763762E-4</v>
      </c>
      <c r="AM257" s="2">
        <v>3.6676704089440878E-4</v>
      </c>
      <c r="AN257" s="2">
        <v>3.8993542298593328E-4</v>
      </c>
      <c r="AO257" s="2">
        <v>3.8717446135009311E-4</v>
      </c>
      <c r="AP257" s="2">
        <v>3.8342011003804192E-4</v>
      </c>
      <c r="AQ257" s="2">
        <v>3.7846018422562196E-4</v>
      </c>
      <c r="AR257" s="2">
        <v>5.2322140912245303E-3</v>
      </c>
    </row>
    <row r="258" spans="1:44" x14ac:dyDescent="0.25">
      <c r="A258" t="s">
        <v>250</v>
      </c>
      <c r="B258" t="s">
        <v>298</v>
      </c>
      <c r="C258" t="s">
        <v>44</v>
      </c>
      <c r="D258" t="s">
        <v>152</v>
      </c>
      <c r="E258" t="s">
        <v>145</v>
      </c>
      <c r="F258" t="s">
        <v>299</v>
      </c>
      <c r="G258" t="s">
        <v>31</v>
      </c>
      <c r="H258" t="s">
        <v>288</v>
      </c>
      <c r="I258" t="s">
        <v>135</v>
      </c>
      <c r="J258" t="s">
        <v>39</v>
      </c>
      <c r="K258" t="s">
        <v>31</v>
      </c>
      <c r="L258">
        <v>0.82</v>
      </c>
      <c r="M258">
        <v>1</v>
      </c>
      <c r="N258">
        <v>2.8160822667537615</v>
      </c>
      <c r="O258">
        <v>5.411417628870181</v>
      </c>
      <c r="P258">
        <v>-1.3633570527640948</v>
      </c>
      <c r="Q258">
        <v>1.0408498674974225</v>
      </c>
      <c r="R258">
        <v>-1.8625523936223551</v>
      </c>
      <c r="S258" s="2">
        <v>8.8379162251992077E-2</v>
      </c>
      <c r="T258" s="2">
        <v>0.1658010530411681</v>
      </c>
      <c r="U258" s="2">
        <v>0.2828679539059944</v>
      </c>
      <c r="V258" s="2">
        <v>0.44989142265975895</v>
      </c>
      <c r="W258" s="2">
        <v>0.67620881211023764</v>
      </c>
      <c r="X258" s="2">
        <v>0.96843351156679447</v>
      </c>
      <c r="Y258" s="2">
        <v>1.3283770392307486</v>
      </c>
      <c r="Z258" s="2">
        <v>1.7509932169330271</v>
      </c>
      <c r="AA258" s="2">
        <v>2.2229233250950085</v>
      </c>
      <c r="AB258" s="2">
        <v>2.7223646185350829</v>
      </c>
      <c r="AC258" s="2">
        <v>3.2208958617189296</v>
      </c>
      <c r="AD258" s="2">
        <v>3.6874488638190801</v>
      </c>
      <c r="AE258" s="2">
        <v>4.0938305168915763</v>
      </c>
      <c r="AF258" s="2">
        <v>4.4203371190378968</v>
      </c>
      <c r="AG258" s="2">
        <v>4.6595439462166741</v>
      </c>
      <c r="AH258" s="2">
        <v>4.8299843687750794</v>
      </c>
      <c r="AI258" s="2">
        <v>4.9158172159951867</v>
      </c>
      <c r="AJ258" s="2">
        <v>4.9810872298875646</v>
      </c>
      <c r="AK258" s="2">
        <v>4.9860883214838365</v>
      </c>
      <c r="AL258" s="2">
        <v>4.9711300565193852</v>
      </c>
      <c r="AM258" s="2">
        <v>6.1300137179915213</v>
      </c>
      <c r="AN258" s="2">
        <v>6.4032822937463649</v>
      </c>
      <c r="AO258" s="2">
        <v>6.3663021545431855</v>
      </c>
      <c r="AP258" s="2">
        <v>6.3140429675445429</v>
      </c>
      <c r="AQ258" s="2">
        <v>6.243211149644238</v>
      </c>
      <c r="AR258" s="2">
        <v>86.879255899144894</v>
      </c>
    </row>
    <row r="259" spans="1:44" x14ac:dyDescent="0.25">
      <c r="A259" t="s">
        <v>250</v>
      </c>
      <c r="B259" t="s">
        <v>298</v>
      </c>
      <c r="C259" t="s">
        <v>44</v>
      </c>
      <c r="D259" t="s">
        <v>152</v>
      </c>
      <c r="E259" t="s">
        <v>145</v>
      </c>
      <c r="F259" t="s">
        <v>299</v>
      </c>
      <c r="G259" t="s">
        <v>31</v>
      </c>
      <c r="H259" t="s">
        <v>288</v>
      </c>
      <c r="I259" t="s">
        <v>135</v>
      </c>
      <c r="J259" t="s">
        <v>39</v>
      </c>
      <c r="K259" t="s">
        <v>33</v>
      </c>
      <c r="L259">
        <v>0.82</v>
      </c>
      <c r="M259">
        <v>1</v>
      </c>
      <c r="N259">
        <v>2.8160822667537615</v>
      </c>
      <c r="O259">
        <v>5.411417628870181</v>
      </c>
      <c r="P259">
        <v>-1.3633570527640948</v>
      </c>
      <c r="Q259">
        <v>1.0408498674974225</v>
      </c>
      <c r="R259">
        <v>-1.8625523936223551</v>
      </c>
      <c r="S259" s="2">
        <v>8.3139279932567393E-4</v>
      </c>
      <c r="T259" s="2">
        <v>1.559709303715811E-3</v>
      </c>
      <c r="U259" s="2">
        <v>2.6609709126557092E-3</v>
      </c>
      <c r="V259" s="2">
        <v>4.2321796195717637E-3</v>
      </c>
      <c r="W259" s="2">
        <v>6.3611729609526508E-3</v>
      </c>
      <c r="X259" s="2">
        <v>9.1101638398270908E-3</v>
      </c>
      <c r="Y259" s="2">
        <v>1.2496193413296462E-2</v>
      </c>
      <c r="Z259" s="2">
        <v>1.6471791711211922E-2</v>
      </c>
      <c r="AA259" s="2">
        <v>2.0911291743947458E-2</v>
      </c>
      <c r="AB259" s="2">
        <v>2.5609592615685121E-2</v>
      </c>
      <c r="AC259" s="2">
        <v>3.0299332541485157E-2</v>
      </c>
      <c r="AD259" s="2">
        <v>3.4688249527865603E-2</v>
      </c>
      <c r="AE259" s="2">
        <v>3.8511127811993284E-2</v>
      </c>
      <c r="AF259" s="2">
        <v>4.1582612436194107E-2</v>
      </c>
      <c r="AG259" s="2">
        <v>4.3832858179630022E-2</v>
      </c>
      <c r="AH259" s="2">
        <v>4.5436210558384767E-2</v>
      </c>
      <c r="AI259" s="2">
        <v>4.624364988351605E-2</v>
      </c>
      <c r="AJ259" s="2">
        <v>4.6857652304214327E-2</v>
      </c>
      <c r="AK259" s="2">
        <v>4.6904698139861138E-2</v>
      </c>
      <c r="AL259" s="2">
        <v>4.6763984045441548E-2</v>
      </c>
      <c r="AM259" s="2">
        <v>5.7665734037786485E-2</v>
      </c>
      <c r="AN259" s="2">
        <v>6.0236402511841002E-2</v>
      </c>
      <c r="AO259" s="2">
        <v>5.9888526149719581E-2</v>
      </c>
      <c r="AP259" s="2">
        <v>5.939691805271792E-2</v>
      </c>
      <c r="AQ259" s="2">
        <v>5.8730595111145624E-2</v>
      </c>
      <c r="AR259" s="2">
        <v>0.81728301021198635</v>
      </c>
    </row>
    <row r="260" spans="1:44" x14ac:dyDescent="0.25">
      <c r="A260" t="s">
        <v>250</v>
      </c>
      <c r="B260" t="s">
        <v>298</v>
      </c>
      <c r="C260" t="s">
        <v>44</v>
      </c>
      <c r="D260" t="s">
        <v>152</v>
      </c>
      <c r="E260" t="s">
        <v>145</v>
      </c>
      <c r="F260" t="s">
        <v>299</v>
      </c>
      <c r="G260" t="s">
        <v>31</v>
      </c>
      <c r="H260" t="s">
        <v>273</v>
      </c>
      <c r="I260" t="s">
        <v>135</v>
      </c>
      <c r="J260" t="s">
        <v>39</v>
      </c>
      <c r="K260" t="s">
        <v>31</v>
      </c>
      <c r="L260">
        <v>0.82</v>
      </c>
      <c r="M260">
        <v>1</v>
      </c>
      <c r="N260">
        <v>2.8160822667537615</v>
      </c>
      <c r="O260">
        <v>5.411417628870181</v>
      </c>
      <c r="P260">
        <v>-1.3633570527640948</v>
      </c>
      <c r="Q260">
        <v>1.0408498674974225</v>
      </c>
      <c r="R260">
        <v>-1.8625523936223551</v>
      </c>
      <c r="S260" s="2">
        <v>2.4168035949293245E-3</v>
      </c>
      <c r="T260" s="2">
        <v>4.5266950706532305E-3</v>
      </c>
      <c r="U260" s="2">
        <v>7.7104581261671894E-3</v>
      </c>
      <c r="V260" s="2">
        <v>1.2243529310699261E-2</v>
      </c>
      <c r="W260" s="2">
        <v>1.8373090580043366E-2</v>
      </c>
      <c r="X260" s="2">
        <v>2.6270822947087619E-2</v>
      </c>
      <c r="Y260" s="2">
        <v>3.5977228672225296E-2</v>
      </c>
      <c r="Z260" s="2">
        <v>4.7347089574836104E-2</v>
      </c>
      <c r="AA260" s="2">
        <v>6.0011680079806229E-2</v>
      </c>
      <c r="AB260" s="2">
        <v>7.3377020374090038E-2</v>
      </c>
      <c r="AC260" s="2">
        <v>8.6674818733437506E-2</v>
      </c>
      <c r="AD260" s="2">
        <v>9.9070588582094776E-2</v>
      </c>
      <c r="AE260" s="2">
        <v>0.10981232176138471</v>
      </c>
      <c r="AF260" s="2">
        <v>0.11838020432744448</v>
      </c>
      <c r="AG260" s="2">
        <v>0.1245860977423465</v>
      </c>
      <c r="AH260" s="2">
        <v>0.12893605388496546</v>
      </c>
      <c r="AI260" s="2">
        <v>0.13101675945453414</v>
      </c>
      <c r="AJ260" s="2">
        <v>0.13254329186897865</v>
      </c>
      <c r="AK260" s="2">
        <v>0.13246344651243108</v>
      </c>
      <c r="AL260" s="2">
        <v>0.13185411465847388</v>
      </c>
      <c r="AM260" s="2">
        <v>0.16334606756589778</v>
      </c>
      <c r="AN260" s="2">
        <v>0.1750817882878313</v>
      </c>
      <c r="AO260" s="2">
        <v>0.17373834234501143</v>
      </c>
      <c r="AP260" s="2">
        <v>0.1719363314862786</v>
      </c>
      <c r="AQ260" s="2">
        <v>0.1695782002890337</v>
      </c>
      <c r="AR260" s="2">
        <v>2.337272845830682</v>
      </c>
    </row>
    <row r="261" spans="1:44" x14ac:dyDescent="0.25">
      <c r="A261" t="s">
        <v>250</v>
      </c>
      <c r="B261" t="s">
        <v>298</v>
      </c>
      <c r="C261" t="s">
        <v>44</v>
      </c>
      <c r="D261" t="s">
        <v>152</v>
      </c>
      <c r="E261" t="s">
        <v>145</v>
      </c>
      <c r="F261" t="s">
        <v>299</v>
      </c>
      <c r="G261" t="s">
        <v>31</v>
      </c>
      <c r="H261" t="s">
        <v>252</v>
      </c>
      <c r="I261" t="s">
        <v>135</v>
      </c>
      <c r="J261" t="s">
        <v>39</v>
      </c>
      <c r="K261" t="s">
        <v>31</v>
      </c>
      <c r="L261">
        <v>0.82</v>
      </c>
      <c r="M261">
        <v>1</v>
      </c>
      <c r="N261">
        <v>2.8160822667537615</v>
      </c>
      <c r="O261">
        <v>5.411417628870181</v>
      </c>
      <c r="P261">
        <v>-1.3633570527640948</v>
      </c>
      <c r="Q261">
        <v>1.0408498674974225</v>
      </c>
      <c r="R261">
        <v>-1.8625523936223551</v>
      </c>
      <c r="S261" s="2">
        <v>8.1994607149232252E-3</v>
      </c>
      <c r="T261" s="2">
        <v>1.5371550118103214E-2</v>
      </c>
      <c r="U261" s="2">
        <v>2.6206504776636802E-2</v>
      </c>
      <c r="V261" s="2">
        <v>4.165124986177083E-2</v>
      </c>
      <c r="W261" s="2">
        <v>6.2559911104004717E-2</v>
      </c>
      <c r="X261" s="2">
        <v>8.9532369466130787E-2</v>
      </c>
      <c r="Y261" s="2">
        <v>0.12272318028674016</v>
      </c>
      <c r="Z261" s="2">
        <v>0.16165333791525838</v>
      </c>
      <c r="AA261" s="2">
        <v>0.20507828070661491</v>
      </c>
      <c r="AB261" s="2">
        <v>0.25097845916466538</v>
      </c>
      <c r="AC261" s="2">
        <v>0.29673024306560292</v>
      </c>
      <c r="AD261" s="2">
        <v>0.33947367924652871</v>
      </c>
      <c r="AE261" s="2">
        <v>0.37662134674192216</v>
      </c>
      <c r="AF261" s="2">
        <v>0.40637355407171039</v>
      </c>
      <c r="AG261" s="2">
        <v>0.42806372764576295</v>
      </c>
      <c r="AH261" s="2">
        <v>0.44341023575189031</v>
      </c>
      <c r="AI261" s="2">
        <v>0.4509731515854335</v>
      </c>
      <c r="AJ261" s="2">
        <v>0.45664013542945819</v>
      </c>
      <c r="AK261" s="2">
        <v>0.4567776776389248</v>
      </c>
      <c r="AL261" s="2">
        <v>0.45508760023166078</v>
      </c>
      <c r="AM261" s="2">
        <v>0.56230391237580712</v>
      </c>
      <c r="AN261" s="2">
        <v>0.59397865619501788</v>
      </c>
      <c r="AO261" s="2">
        <v>0.59005477061683109</v>
      </c>
      <c r="AP261" s="2">
        <v>0.58465217755935794</v>
      </c>
      <c r="AQ261" s="2">
        <v>0.57745399345340609</v>
      </c>
      <c r="AR261" s="2">
        <v>8.0025491657241634</v>
      </c>
    </row>
    <row r="262" spans="1:44" x14ac:dyDescent="0.25">
      <c r="A262" t="s">
        <v>250</v>
      </c>
      <c r="B262" t="s">
        <v>298</v>
      </c>
      <c r="C262" t="s">
        <v>44</v>
      </c>
      <c r="D262" t="s">
        <v>152</v>
      </c>
      <c r="E262" t="s">
        <v>145</v>
      </c>
      <c r="F262" t="s">
        <v>299</v>
      </c>
      <c r="G262" t="s">
        <v>31</v>
      </c>
      <c r="H262" t="s">
        <v>289</v>
      </c>
      <c r="I262" t="s">
        <v>135</v>
      </c>
      <c r="J262" t="s">
        <v>39</v>
      </c>
      <c r="K262" t="s">
        <v>31</v>
      </c>
      <c r="L262">
        <v>0.82</v>
      </c>
      <c r="M262">
        <v>1</v>
      </c>
      <c r="N262">
        <v>2.8160822667537615</v>
      </c>
      <c r="O262">
        <v>5.411417628870181</v>
      </c>
      <c r="P262">
        <v>-1.3633570527640948</v>
      </c>
      <c r="Q262">
        <v>1.0408498674974225</v>
      </c>
      <c r="R262">
        <v>-1.8625523936223551</v>
      </c>
      <c r="S262" s="2">
        <v>8.400056264412159E-2</v>
      </c>
      <c r="T262" s="2">
        <v>0.15758671374068201</v>
      </c>
      <c r="U262" s="2">
        <v>0.26885372837486249</v>
      </c>
      <c r="V262" s="2">
        <v>0.42760229526086346</v>
      </c>
      <c r="W262" s="2">
        <v>0.64270716348516577</v>
      </c>
      <c r="X262" s="2">
        <v>0.92045407290788805</v>
      </c>
      <c r="Y262" s="2">
        <v>1.2625647930533548</v>
      </c>
      <c r="Z262" s="2">
        <v>1.6642431503145354</v>
      </c>
      <c r="AA262" s="2">
        <v>2.1127922608082144</v>
      </c>
      <c r="AB262" s="2">
        <v>2.5874895603487356</v>
      </c>
      <c r="AC262" s="2">
        <v>3.0613218965697375</v>
      </c>
      <c r="AD262" s="2">
        <v>3.5047603008394428</v>
      </c>
      <c r="AE262" s="2">
        <v>3.8910084461772136</v>
      </c>
      <c r="AF262" s="2">
        <v>4.2013388180482494</v>
      </c>
      <c r="AG262" s="2">
        <v>4.4286945380995517</v>
      </c>
      <c r="AH262" s="2">
        <v>4.5906907714581129</v>
      </c>
      <c r="AI262" s="2">
        <v>4.6722711720425663</v>
      </c>
      <c r="AJ262" s="2">
        <v>4.7343074909105445</v>
      </c>
      <c r="AK262" s="2">
        <v>4.7390608116845501</v>
      </c>
      <c r="AL262" s="2">
        <v>4.7248436292494969</v>
      </c>
      <c r="AM262" s="2">
        <v>5.8263123139738191</v>
      </c>
      <c r="AN262" s="2">
        <v>6.0860422495316309</v>
      </c>
      <c r="AO262" s="2">
        <v>6.050894230241008</v>
      </c>
      <c r="AP262" s="2">
        <v>6.0012241383397535</v>
      </c>
      <c r="AQ262" s="2">
        <v>5.9339015658563534</v>
      </c>
      <c r="AR262" s="2">
        <v>82.574966673960461</v>
      </c>
    </row>
    <row r="263" spans="1:44" x14ac:dyDescent="0.25">
      <c r="A263" t="s">
        <v>250</v>
      </c>
      <c r="B263" t="s">
        <v>298</v>
      </c>
      <c r="C263" t="s">
        <v>44</v>
      </c>
      <c r="D263" t="s">
        <v>152</v>
      </c>
      <c r="E263" t="s">
        <v>145</v>
      </c>
      <c r="F263" t="s">
        <v>299</v>
      </c>
      <c r="G263" t="s">
        <v>31</v>
      </c>
      <c r="H263" t="s">
        <v>274</v>
      </c>
      <c r="I263" t="s">
        <v>135</v>
      </c>
      <c r="J263" t="s">
        <v>39</v>
      </c>
      <c r="K263" t="s">
        <v>31</v>
      </c>
      <c r="L263">
        <v>0.82</v>
      </c>
      <c r="M263">
        <v>1</v>
      </c>
      <c r="N263">
        <v>2.8160822667537615</v>
      </c>
      <c r="O263">
        <v>5.411417628870181</v>
      </c>
      <c r="P263">
        <v>-1.3633570527640948</v>
      </c>
      <c r="Q263">
        <v>1.0408498674974225</v>
      </c>
      <c r="R263">
        <v>-1.8625523936223551</v>
      </c>
      <c r="S263" s="2">
        <v>3.8044816364814459E-3</v>
      </c>
      <c r="T263" s="2">
        <v>7.1258286384479333E-3</v>
      </c>
      <c r="U263" s="2">
        <v>1.2137641805651174E-2</v>
      </c>
      <c r="V263" s="2">
        <v>1.9273507589117871E-2</v>
      </c>
      <c r="W263" s="2">
        <v>2.8922534650247137E-2</v>
      </c>
      <c r="X263" s="2">
        <v>4.1354979646317937E-2</v>
      </c>
      <c r="Y263" s="2">
        <v>5.663460038794655E-2</v>
      </c>
      <c r="Z263" s="2">
        <v>7.4532797454554336E-2</v>
      </c>
      <c r="AA263" s="2">
        <v>9.4469130763064305E-2</v>
      </c>
      <c r="AB263" s="2">
        <v>0.11550856972352122</v>
      </c>
      <c r="AC263" s="2">
        <v>0.13644168558362488</v>
      </c>
      <c r="AD263" s="2">
        <v>0.1559548470412675</v>
      </c>
      <c r="AE263" s="2">
        <v>0.17286425859226576</v>
      </c>
      <c r="AF263" s="2">
        <v>0.18635164000567231</v>
      </c>
      <c r="AG263" s="2">
        <v>0.19612082753273999</v>
      </c>
      <c r="AH263" s="2">
        <v>0.20296843744974591</v>
      </c>
      <c r="AI263" s="2">
        <v>0.20624384060909118</v>
      </c>
      <c r="AJ263" s="2">
        <v>0.2086468759862451</v>
      </c>
      <c r="AK263" s="2">
        <v>0.20852118509709675</v>
      </c>
      <c r="AL263" s="2">
        <v>0.20756198764565004</v>
      </c>
      <c r="AM263" s="2">
        <v>0.25713596079953255</v>
      </c>
      <c r="AN263" s="2">
        <v>0.27561008673643034</v>
      </c>
      <c r="AO263" s="2">
        <v>0.27349526225098653</v>
      </c>
      <c r="AP263" s="2">
        <v>0.27065857447247854</v>
      </c>
      <c r="AQ263" s="2">
        <v>0.26694645369644499</v>
      </c>
      <c r="AR263" s="2">
        <v>3.6792859957946225</v>
      </c>
    </row>
    <row r="264" spans="1:44" x14ac:dyDescent="0.25">
      <c r="A264" t="s">
        <v>250</v>
      </c>
      <c r="B264" t="s">
        <v>298</v>
      </c>
      <c r="C264" t="s">
        <v>44</v>
      </c>
      <c r="D264" t="s">
        <v>152</v>
      </c>
      <c r="E264" t="s">
        <v>145</v>
      </c>
      <c r="F264" t="s">
        <v>299</v>
      </c>
      <c r="G264" t="s">
        <v>31</v>
      </c>
      <c r="H264" t="s">
        <v>274</v>
      </c>
      <c r="I264" t="s">
        <v>135</v>
      </c>
      <c r="J264" t="s">
        <v>39</v>
      </c>
      <c r="K264" t="s">
        <v>33</v>
      </c>
      <c r="L264">
        <v>0.82</v>
      </c>
      <c r="M264">
        <v>1</v>
      </c>
      <c r="N264">
        <v>2.8160822667537615</v>
      </c>
      <c r="O264">
        <v>5.411417628870181</v>
      </c>
      <c r="P264">
        <v>-1.3633570527640948</v>
      </c>
      <c r="Q264">
        <v>1.0408498674974225</v>
      </c>
      <c r="R264">
        <v>-1.8625523936223551</v>
      </c>
      <c r="S264" s="2">
        <v>1.2240853557466052E-5</v>
      </c>
      <c r="T264" s="2">
        <v>2.2927229823485112E-5</v>
      </c>
      <c r="U264" s="2">
        <v>3.9052651602062331E-5</v>
      </c>
      <c r="V264" s="2">
        <v>6.2012175765236596E-5</v>
      </c>
      <c r="W264" s="2">
        <v>9.3057752669780668E-5</v>
      </c>
      <c r="X264" s="2">
        <v>1.3305892841442181E-4</v>
      </c>
      <c r="Y264" s="2">
        <v>1.822208426469414E-4</v>
      </c>
      <c r="Z264" s="2">
        <v>2.3980798070384566E-4</v>
      </c>
      <c r="AA264" s="2">
        <v>3.0395278670375061E-4</v>
      </c>
      <c r="AB264" s="2">
        <v>3.7164681597087149E-4</v>
      </c>
      <c r="AC264" s="2">
        <v>4.3899875251011061E-4</v>
      </c>
      <c r="AD264" s="2">
        <v>5.0178201043302184E-4</v>
      </c>
      <c r="AE264" s="2">
        <v>5.5618774827491185E-4</v>
      </c>
      <c r="AF264" s="2">
        <v>5.9958316361141174E-4</v>
      </c>
      <c r="AG264" s="2">
        <v>6.3101535472716535E-4</v>
      </c>
      <c r="AH264" s="2">
        <v>6.5304742064883003E-4</v>
      </c>
      <c r="AI264" s="2">
        <v>6.6358597339955037E-4</v>
      </c>
      <c r="AJ264" s="2">
        <v>6.7131769796961727E-4</v>
      </c>
      <c r="AK264" s="2">
        <v>6.7091328971782827E-4</v>
      </c>
      <c r="AL264" s="2">
        <v>6.6782708858512628E-4</v>
      </c>
      <c r="AM264" s="2">
        <v>8.273304857942266E-4</v>
      </c>
      <c r="AN264" s="2">
        <v>8.8677066498375973E-4</v>
      </c>
      <c r="AO264" s="2">
        <v>8.7996625394972663E-4</v>
      </c>
      <c r="AP264" s="2">
        <v>8.7083926031358784E-4</v>
      </c>
      <c r="AQ264" s="2">
        <v>8.5889557621971792E-4</v>
      </c>
      <c r="AR264" s="2">
        <v>1.1838038758996453E-2</v>
      </c>
    </row>
    <row r="265" spans="1:44" x14ac:dyDescent="0.25">
      <c r="A265" t="s">
        <v>250</v>
      </c>
      <c r="B265" t="s">
        <v>298</v>
      </c>
      <c r="C265" t="s">
        <v>44</v>
      </c>
      <c r="D265" t="s">
        <v>152</v>
      </c>
      <c r="E265" t="s">
        <v>145</v>
      </c>
      <c r="F265" t="s">
        <v>299</v>
      </c>
      <c r="G265" t="s">
        <v>31</v>
      </c>
      <c r="H265" t="s">
        <v>255</v>
      </c>
      <c r="I265" t="s">
        <v>135</v>
      </c>
      <c r="J265" t="s">
        <v>39</v>
      </c>
      <c r="K265" t="s">
        <v>31</v>
      </c>
      <c r="L265">
        <v>0.82</v>
      </c>
      <c r="M265">
        <v>1</v>
      </c>
      <c r="N265">
        <v>2.8160822667537615</v>
      </c>
      <c r="O265">
        <v>5.411417628870181</v>
      </c>
      <c r="P265">
        <v>-1.3633570527640948</v>
      </c>
      <c r="Q265">
        <v>1.0408498674974225</v>
      </c>
      <c r="R265">
        <v>-1.8625523936223551</v>
      </c>
      <c r="S265" s="2">
        <v>2.9044220025543181E-3</v>
      </c>
      <c r="T265" s="2">
        <v>5.4159621210405663E-3</v>
      </c>
      <c r="U265" s="2">
        <v>9.1843955386463876E-3</v>
      </c>
      <c r="V265" s="2">
        <v>1.4519546079133682E-2</v>
      </c>
      <c r="W265" s="2">
        <v>2.1692252363080606E-2</v>
      </c>
      <c r="X265" s="2">
        <v>3.0879632826635663E-2</v>
      </c>
      <c r="Y265" s="2">
        <v>4.2101946484074997E-2</v>
      </c>
      <c r="Z265" s="2">
        <v>5.5162478916804536E-2</v>
      </c>
      <c r="AA265" s="2">
        <v>6.9608502347358645E-2</v>
      </c>
      <c r="AB265" s="2">
        <v>8.4734953388088438E-2</v>
      </c>
      <c r="AC265" s="2">
        <v>9.9648664515005911E-2</v>
      </c>
      <c r="AD265" s="2">
        <v>0.11339640904539788</v>
      </c>
      <c r="AE265" s="2">
        <v>0.12513582197668094</v>
      </c>
      <c r="AF265" s="2">
        <v>0.13430298955916953</v>
      </c>
      <c r="AG265" s="2">
        <v>0.14071882369827143</v>
      </c>
      <c r="AH265" s="2">
        <v>0.14498831591081629</v>
      </c>
      <c r="AI265" s="2">
        <v>0.14667682567319437</v>
      </c>
      <c r="AJ265" s="2">
        <v>0.14772990541343575</v>
      </c>
      <c r="AK265" s="2">
        <v>0.14698828942240441</v>
      </c>
      <c r="AL265" s="2">
        <v>0.14566539481760282</v>
      </c>
      <c r="AM265" s="2">
        <v>0.18292913243783038</v>
      </c>
      <c r="AN265" s="2">
        <v>0.21119897498794452</v>
      </c>
      <c r="AO265" s="2">
        <v>0.20848133683515002</v>
      </c>
      <c r="AP265" s="2">
        <v>0.20508836483570964</v>
      </c>
      <c r="AQ265" s="2">
        <v>0.20088097201563596</v>
      </c>
      <c r="AR265" s="2">
        <v>2.6900343132116675</v>
      </c>
    </row>
    <row r="266" spans="1:44" x14ac:dyDescent="0.25">
      <c r="A266" t="s">
        <v>250</v>
      </c>
      <c r="B266" t="s">
        <v>298</v>
      </c>
      <c r="C266" t="s">
        <v>44</v>
      </c>
      <c r="D266" t="s">
        <v>152</v>
      </c>
      <c r="E266" t="s">
        <v>145</v>
      </c>
      <c r="F266" t="s">
        <v>299</v>
      </c>
      <c r="G266" t="s">
        <v>31</v>
      </c>
      <c r="H266" t="s">
        <v>278</v>
      </c>
      <c r="I266" t="s">
        <v>135</v>
      </c>
      <c r="J266" t="s">
        <v>39</v>
      </c>
      <c r="K266" t="s">
        <v>31</v>
      </c>
      <c r="L266">
        <v>0.82</v>
      </c>
      <c r="M266">
        <v>1</v>
      </c>
      <c r="N266">
        <v>2.8160822667537615</v>
      </c>
      <c r="O266">
        <v>5.411417628870181</v>
      </c>
      <c r="P266">
        <v>-1.3633570527640948</v>
      </c>
      <c r="Q266">
        <v>1.0408498674974225</v>
      </c>
      <c r="R266">
        <v>-1.8625523936223551</v>
      </c>
      <c r="S266" s="2">
        <v>2.5642147285406321E-2</v>
      </c>
      <c r="T266" s="2">
        <v>4.781567495280209E-2</v>
      </c>
      <c r="U266" s="2">
        <v>8.1085883154128485E-2</v>
      </c>
      <c r="V266" s="2">
        <v>0.12818810033492253</v>
      </c>
      <c r="W266" s="2">
        <v>0.19151346793170193</v>
      </c>
      <c r="X266" s="2">
        <v>0.2726257039657069</v>
      </c>
      <c r="Y266" s="2">
        <v>0.37170366833659024</v>
      </c>
      <c r="Z266" s="2">
        <v>0.4870106368044459</v>
      </c>
      <c r="AA266" s="2">
        <v>0.61454963085177239</v>
      </c>
      <c r="AB266" s="2">
        <v>0.74809588726725251</v>
      </c>
      <c r="AC266" s="2">
        <v>0.87976393583323165</v>
      </c>
      <c r="AD266" s="2">
        <v>1.0011380645860166</v>
      </c>
      <c r="AE266" s="2">
        <v>1.1047813213728841</v>
      </c>
      <c r="AF266" s="2">
        <v>1.1857151048015464</v>
      </c>
      <c r="AG266" s="2">
        <v>1.2423583074108455</v>
      </c>
      <c r="AH266" s="2">
        <v>1.2800521921327241</v>
      </c>
      <c r="AI266" s="2">
        <v>1.2949594666202697</v>
      </c>
      <c r="AJ266" s="2">
        <v>1.3042567470357189</v>
      </c>
      <c r="AK266" s="2">
        <v>1.2977092734060214</v>
      </c>
      <c r="AL266" s="2">
        <v>1.2860298899453675</v>
      </c>
      <c r="AM266" s="2">
        <v>1.6150186689940975</v>
      </c>
      <c r="AN266" s="2">
        <v>1.864603428291391</v>
      </c>
      <c r="AO266" s="2">
        <v>1.8406103316542224</v>
      </c>
      <c r="AP266" s="2">
        <v>1.8106549437428245</v>
      </c>
      <c r="AQ266" s="2">
        <v>1.7735093132920827</v>
      </c>
      <c r="AR266" s="2">
        <v>23.749391790003969</v>
      </c>
    </row>
    <row r="267" spans="1:44" x14ac:dyDescent="0.25">
      <c r="A267" t="s">
        <v>250</v>
      </c>
      <c r="B267" t="s">
        <v>298</v>
      </c>
      <c r="C267" t="s">
        <v>44</v>
      </c>
      <c r="D267" t="s">
        <v>152</v>
      </c>
      <c r="E267" t="s">
        <v>145</v>
      </c>
      <c r="F267" t="s">
        <v>299</v>
      </c>
      <c r="G267" t="s">
        <v>31</v>
      </c>
      <c r="H267" t="s">
        <v>276</v>
      </c>
      <c r="I267" t="s">
        <v>135</v>
      </c>
      <c r="J267" t="s">
        <v>39</v>
      </c>
      <c r="K267" t="s">
        <v>31</v>
      </c>
      <c r="L267">
        <v>0.82</v>
      </c>
      <c r="M267">
        <v>1</v>
      </c>
      <c r="N267">
        <v>2.8160822667537615</v>
      </c>
      <c r="O267">
        <v>5.411417628870181</v>
      </c>
      <c r="P267">
        <v>-1.3633570527640948</v>
      </c>
      <c r="Q267">
        <v>1.0408498674974225</v>
      </c>
      <c r="R267">
        <v>-1.8625523936223551</v>
      </c>
      <c r="S267" s="2">
        <v>0.35988175980815068</v>
      </c>
      <c r="T267" s="2">
        <v>0.67575474481134268</v>
      </c>
      <c r="U267" s="2">
        <v>1.153924601682714</v>
      </c>
      <c r="V267" s="2">
        <v>1.8369327671039013</v>
      </c>
      <c r="W267" s="2">
        <v>2.7634921689069714</v>
      </c>
      <c r="X267" s="2">
        <v>3.9613123307075297</v>
      </c>
      <c r="Y267" s="2">
        <v>5.4385421793064301</v>
      </c>
      <c r="Z267" s="2">
        <v>7.1752571287833478</v>
      </c>
      <c r="AA267" s="2">
        <v>9.1173652286275413</v>
      </c>
      <c r="AB267" s="2">
        <v>11.175913340452444</v>
      </c>
      <c r="AC267" s="2">
        <v>13.234431227356339</v>
      </c>
      <c r="AD267" s="2">
        <v>15.165141565940278</v>
      </c>
      <c r="AE267" s="2">
        <v>16.85164050480239</v>
      </c>
      <c r="AF267" s="2">
        <v>18.212081423318903</v>
      </c>
      <c r="AG267" s="2">
        <v>19.214959235576252</v>
      </c>
      <c r="AH267" s="2">
        <v>19.935798936474271</v>
      </c>
      <c r="AI267" s="2">
        <v>20.308390712014091</v>
      </c>
      <c r="AJ267" s="2">
        <v>20.596612366482436</v>
      </c>
      <c r="AK267" s="2">
        <v>20.635903092884359</v>
      </c>
      <c r="AL267" s="2">
        <v>20.592567696389303</v>
      </c>
      <c r="AM267" s="2">
        <v>25.329048952654951</v>
      </c>
      <c r="AN267" s="2">
        <v>26.085614243685708</v>
      </c>
      <c r="AO267" s="2">
        <v>25.962861241678684</v>
      </c>
      <c r="AP267" s="2">
        <v>25.781414244072629</v>
      </c>
      <c r="AQ267" s="2">
        <v>25.528520906133597</v>
      </c>
      <c r="AR267" s="2">
        <v>357.09336259965465</v>
      </c>
    </row>
    <row r="268" spans="1:44" x14ac:dyDescent="0.25">
      <c r="A268" t="s">
        <v>250</v>
      </c>
      <c r="B268" t="s">
        <v>298</v>
      </c>
      <c r="C268" t="s">
        <v>44</v>
      </c>
      <c r="D268" t="s">
        <v>152</v>
      </c>
      <c r="E268" t="s">
        <v>145</v>
      </c>
      <c r="F268" t="s">
        <v>299</v>
      </c>
      <c r="G268" t="s">
        <v>31</v>
      </c>
      <c r="H268" t="s">
        <v>290</v>
      </c>
      <c r="I268" t="s">
        <v>135</v>
      </c>
      <c r="J268" t="s">
        <v>39</v>
      </c>
      <c r="K268" t="s">
        <v>31</v>
      </c>
      <c r="L268">
        <v>0.82</v>
      </c>
      <c r="M268">
        <v>1</v>
      </c>
      <c r="N268">
        <v>2.8160822667537615</v>
      </c>
      <c r="O268">
        <v>5.411417628870181</v>
      </c>
      <c r="P268">
        <v>-1.3633570527640948</v>
      </c>
      <c r="Q268">
        <v>1.0408498674974225</v>
      </c>
      <c r="R268">
        <v>-1.8625523936223551</v>
      </c>
      <c r="S268" s="2">
        <v>0.12163853596130546</v>
      </c>
      <c r="T268" s="2">
        <v>0.2281962946793587</v>
      </c>
      <c r="U268" s="2">
        <v>0.38931851023197095</v>
      </c>
      <c r="V268" s="2">
        <v>0.61919724739921345</v>
      </c>
      <c r="W268" s="2">
        <v>0.93068374731475545</v>
      </c>
      <c r="X268" s="2">
        <v>1.3328801894158671</v>
      </c>
      <c r="Y268" s="2">
        <v>1.8282798132429663</v>
      </c>
      <c r="Z268" s="2">
        <v>2.4099374327471539</v>
      </c>
      <c r="AA268" s="2">
        <v>3.0594670952846603</v>
      </c>
      <c r="AB268" s="2">
        <v>3.7468611165071484</v>
      </c>
      <c r="AC268" s="2">
        <v>4.4330026119305872</v>
      </c>
      <c r="AD268" s="2">
        <v>5.07513162376714</v>
      </c>
      <c r="AE268" s="2">
        <v>5.6344452454592195</v>
      </c>
      <c r="AF268" s="2">
        <v>6.0838247604351459</v>
      </c>
      <c r="AG268" s="2">
        <v>6.4130513281979509</v>
      </c>
      <c r="AH268" s="2">
        <v>6.6476329076150309</v>
      </c>
      <c r="AI268" s="2">
        <v>6.7657668840774399</v>
      </c>
      <c r="AJ268" s="2">
        <v>6.8555996990729664</v>
      </c>
      <c r="AK268" s="2">
        <v>6.8624828313009507</v>
      </c>
      <c r="AL268" s="2">
        <v>6.8418953828070492</v>
      </c>
      <c r="AM268" s="2">
        <v>8.436897058982936</v>
      </c>
      <c r="AN268" s="2">
        <v>8.8130036957970894</v>
      </c>
      <c r="AO268" s="2">
        <v>8.7621069699433924</v>
      </c>
      <c r="AP268" s="2">
        <v>8.6901812938556446</v>
      </c>
      <c r="AQ268" s="2">
        <v>8.5926936235798816</v>
      </c>
      <c r="AR268" s="2">
        <v>119.57417589960683</v>
      </c>
    </row>
    <row r="269" spans="1:44" x14ac:dyDescent="0.25">
      <c r="A269" t="s">
        <v>250</v>
      </c>
      <c r="B269" t="s">
        <v>298</v>
      </c>
      <c r="C269" t="s">
        <v>44</v>
      </c>
      <c r="D269" t="s">
        <v>152</v>
      </c>
      <c r="E269" t="s">
        <v>145</v>
      </c>
      <c r="F269" t="s">
        <v>299</v>
      </c>
      <c r="G269" t="s">
        <v>31</v>
      </c>
      <c r="H269" t="s">
        <v>275</v>
      </c>
      <c r="I269" t="s">
        <v>135</v>
      </c>
      <c r="J269" t="s">
        <v>39</v>
      </c>
      <c r="K269" t="s">
        <v>31</v>
      </c>
      <c r="L269">
        <v>0.82</v>
      </c>
      <c r="M269">
        <v>1</v>
      </c>
      <c r="N269">
        <v>2.8160822667537615</v>
      </c>
      <c r="O269">
        <v>5.411417628870181</v>
      </c>
      <c r="P269">
        <v>-1.3633570527640948</v>
      </c>
      <c r="Q269">
        <v>1.0408498674974225</v>
      </c>
      <c r="R269">
        <v>-1.8625523936223551</v>
      </c>
      <c r="S269" s="2">
        <v>5.8120586557003874E-3</v>
      </c>
      <c r="T269" s="2">
        <v>1.0886038618241865E-2</v>
      </c>
      <c r="U269" s="2">
        <v>1.8542522439816182E-2</v>
      </c>
      <c r="V269" s="2">
        <v>2.9443894678024937E-2</v>
      </c>
      <c r="W269" s="2">
        <v>4.4184591731721207E-2</v>
      </c>
      <c r="X269" s="2">
        <v>6.3177481290720303E-2</v>
      </c>
      <c r="Y269" s="2">
        <v>8.6519965358887202E-2</v>
      </c>
      <c r="Z269" s="2">
        <v>0.11386281548199005</v>
      </c>
      <c r="AA269" s="2">
        <v>0.14431930065924958</v>
      </c>
      <c r="AB269" s="2">
        <v>0.17646098644073113</v>
      </c>
      <c r="AC269" s="2">
        <v>0.20844024376158268</v>
      </c>
      <c r="AD269" s="2">
        <v>0.23825025463466948</v>
      </c>
      <c r="AE269" s="2">
        <v>0.26408254958528249</v>
      </c>
      <c r="AF269" s="2">
        <v>0.28468705221576968</v>
      </c>
      <c r="AG269" s="2">
        <v>0.29961131689913562</v>
      </c>
      <c r="AH269" s="2">
        <v>0.31007232428247034</v>
      </c>
      <c r="AI269" s="2">
        <v>0.3150761164155787</v>
      </c>
      <c r="AJ269" s="2">
        <v>0.318747203280558</v>
      </c>
      <c r="AK269" s="2">
        <v>0.31855518689303952</v>
      </c>
      <c r="AL269" s="2">
        <v>0.31708983303333149</v>
      </c>
      <c r="AM269" s="2">
        <v>0.39282336713784988</v>
      </c>
      <c r="AN269" s="2">
        <v>0.42104605653880178</v>
      </c>
      <c r="AO269" s="2">
        <v>0.4178152658213381</v>
      </c>
      <c r="AP269" s="2">
        <v>0.4134816936472735</v>
      </c>
      <c r="AQ269" s="2">
        <v>0.40781073351423697</v>
      </c>
      <c r="AR269" s="2">
        <v>5.6207988530160007</v>
      </c>
    </row>
    <row r="270" spans="1:44" x14ac:dyDescent="0.25">
      <c r="A270" t="s">
        <v>250</v>
      </c>
      <c r="B270" t="s">
        <v>298</v>
      </c>
      <c r="C270" t="s">
        <v>44</v>
      </c>
      <c r="D270" t="s">
        <v>152</v>
      </c>
      <c r="E270" t="s">
        <v>145</v>
      </c>
      <c r="F270" t="s">
        <v>299</v>
      </c>
      <c r="G270" t="s">
        <v>31</v>
      </c>
      <c r="H270" t="s">
        <v>277</v>
      </c>
      <c r="I270" t="s">
        <v>135</v>
      </c>
      <c r="J270" t="s">
        <v>39</v>
      </c>
      <c r="K270" t="s">
        <v>31</v>
      </c>
      <c r="L270">
        <v>0.82</v>
      </c>
      <c r="M270">
        <v>1</v>
      </c>
      <c r="N270">
        <v>2.8160822667537615</v>
      </c>
      <c r="O270">
        <v>5.411417628870181</v>
      </c>
      <c r="P270">
        <v>-1.3633570527640948</v>
      </c>
      <c r="Q270">
        <v>1.0408498674974225</v>
      </c>
      <c r="R270">
        <v>-1.8625523936223551</v>
      </c>
      <c r="S270" s="2">
        <v>0</v>
      </c>
      <c r="T270" s="2">
        <v>0</v>
      </c>
      <c r="U270" s="2">
        <v>0</v>
      </c>
      <c r="V270" s="2">
        <v>0</v>
      </c>
      <c r="W270" s="2">
        <v>0</v>
      </c>
      <c r="X270" s="2">
        <v>0</v>
      </c>
      <c r="Y270" s="2">
        <v>0</v>
      </c>
      <c r="Z270" s="2">
        <v>0</v>
      </c>
      <c r="AA270" s="2">
        <v>0</v>
      </c>
      <c r="AB270" s="2">
        <v>0</v>
      </c>
      <c r="AC270" s="2">
        <v>0</v>
      </c>
      <c r="AD270" s="2">
        <v>0</v>
      </c>
      <c r="AE270" s="2">
        <v>0</v>
      </c>
      <c r="AF270" s="2">
        <v>0</v>
      </c>
      <c r="AG270" s="2">
        <v>0</v>
      </c>
      <c r="AH270" s="2">
        <v>0</v>
      </c>
      <c r="AI270" s="2">
        <v>0</v>
      </c>
      <c r="AJ270" s="2">
        <v>0</v>
      </c>
      <c r="AK270" s="2">
        <v>0</v>
      </c>
      <c r="AL270" s="2">
        <v>0</v>
      </c>
      <c r="AM270" s="2">
        <v>0</v>
      </c>
      <c r="AN270" s="2">
        <v>0</v>
      </c>
      <c r="AO270" s="2">
        <v>0</v>
      </c>
      <c r="AP270" s="2">
        <v>0</v>
      </c>
      <c r="AQ270" s="2">
        <v>0</v>
      </c>
      <c r="AR270" s="2">
        <v>0</v>
      </c>
    </row>
    <row r="271" spans="1:44" x14ac:dyDescent="0.25">
      <c r="A271" t="s">
        <v>250</v>
      </c>
      <c r="B271" t="s">
        <v>298</v>
      </c>
      <c r="C271" t="s">
        <v>44</v>
      </c>
      <c r="D271" t="s">
        <v>152</v>
      </c>
      <c r="E271" t="s">
        <v>145</v>
      </c>
      <c r="F271" t="s">
        <v>299</v>
      </c>
      <c r="G271" t="s">
        <v>31</v>
      </c>
      <c r="H271" t="s">
        <v>277</v>
      </c>
      <c r="I271" t="s">
        <v>135</v>
      </c>
      <c r="J271" t="s">
        <v>40</v>
      </c>
      <c r="K271" t="s">
        <v>31</v>
      </c>
      <c r="L271">
        <v>0.82</v>
      </c>
      <c r="M271">
        <v>1</v>
      </c>
      <c r="N271">
        <v>2.8160822667537615</v>
      </c>
      <c r="O271">
        <v>4.1746294160814488</v>
      </c>
      <c r="P271">
        <v>-1.3633570527640948</v>
      </c>
      <c r="Q271">
        <v>0.4672931329656026</v>
      </c>
      <c r="R271">
        <v>-1.7195523936223556</v>
      </c>
      <c r="S271" s="2">
        <v>0</v>
      </c>
      <c r="T271" s="2">
        <v>0</v>
      </c>
      <c r="U271" s="2">
        <v>0</v>
      </c>
      <c r="V271" s="2">
        <v>0</v>
      </c>
      <c r="W271" s="2">
        <v>0</v>
      </c>
      <c r="X271" s="2">
        <v>0</v>
      </c>
      <c r="Y271" s="2">
        <v>0</v>
      </c>
      <c r="Z271" s="2">
        <v>0</v>
      </c>
      <c r="AA271" s="2">
        <v>0</v>
      </c>
      <c r="AB271" s="2">
        <v>0</v>
      </c>
      <c r="AC271" s="2">
        <v>0</v>
      </c>
      <c r="AD271" s="2">
        <v>0</v>
      </c>
      <c r="AE271" s="2">
        <v>0</v>
      </c>
      <c r="AF271" s="2">
        <v>0</v>
      </c>
      <c r="AG271" s="2">
        <v>0</v>
      </c>
      <c r="AH271" s="2">
        <v>0</v>
      </c>
      <c r="AI271" s="2">
        <v>0</v>
      </c>
      <c r="AJ271" s="2">
        <v>0</v>
      </c>
      <c r="AK271" s="2">
        <v>0</v>
      </c>
      <c r="AL271" s="2">
        <v>0</v>
      </c>
      <c r="AM271" s="2">
        <v>0</v>
      </c>
      <c r="AN271" s="2">
        <v>0</v>
      </c>
      <c r="AO271" s="2">
        <v>0</v>
      </c>
      <c r="AP271" s="2">
        <v>0</v>
      </c>
      <c r="AQ271" s="2">
        <v>0</v>
      </c>
      <c r="AR271" s="2">
        <v>0</v>
      </c>
    </row>
    <row r="272" spans="1:44" x14ac:dyDescent="0.25">
      <c r="A272" t="s">
        <v>250</v>
      </c>
      <c r="B272" t="s">
        <v>298</v>
      </c>
      <c r="C272" t="s">
        <v>44</v>
      </c>
      <c r="D272" t="s">
        <v>152</v>
      </c>
      <c r="E272" t="s">
        <v>148</v>
      </c>
      <c r="F272" t="s">
        <v>299</v>
      </c>
      <c r="G272" t="s">
        <v>31</v>
      </c>
      <c r="H272" t="s">
        <v>254</v>
      </c>
      <c r="I272" t="s">
        <v>135</v>
      </c>
      <c r="J272" t="s">
        <v>39</v>
      </c>
      <c r="K272" t="s">
        <v>31</v>
      </c>
      <c r="L272">
        <v>0.82</v>
      </c>
      <c r="M272">
        <v>1</v>
      </c>
      <c r="N272">
        <v>2.8160822667537615</v>
      </c>
      <c r="O272">
        <v>5.411417628870181</v>
      </c>
      <c r="P272">
        <v>-1.3633570527640948</v>
      </c>
      <c r="Q272">
        <v>1.0408498674974225</v>
      </c>
      <c r="R272">
        <v>-1.8625523936223551</v>
      </c>
      <c r="S272" s="2">
        <v>3.1425970637495998E-3</v>
      </c>
      <c r="T272" s="2">
        <v>8.2526050596009141E-3</v>
      </c>
      <c r="U272" s="2">
        <v>1.4217391274993111E-2</v>
      </c>
      <c r="V272" s="2">
        <v>2.2834826870789183E-2</v>
      </c>
      <c r="W272" s="2">
        <v>3.4661390806724986E-2</v>
      </c>
      <c r="X272" s="2">
        <v>5.013387501608306E-2</v>
      </c>
      <c r="Y272" s="2">
        <v>6.9454459702068858E-2</v>
      </c>
      <c r="Z272" s="2">
        <v>9.2470117257678661E-2</v>
      </c>
      <c r="AA272" s="2">
        <v>0.11857695639030945</v>
      </c>
      <c r="AB272" s="2">
        <v>0.14669034483964027</v>
      </c>
      <c r="AC272" s="2">
        <v>0.17532011226168256</v>
      </c>
      <c r="AD272" s="2">
        <v>0.20276879704592909</v>
      </c>
      <c r="AE272" s="2">
        <v>0.22742862542796424</v>
      </c>
      <c r="AF272" s="2">
        <v>0.24810227164827295</v>
      </c>
      <c r="AG272" s="2">
        <v>0.26424003430504217</v>
      </c>
      <c r="AH272" s="2">
        <v>0.27675814133525106</v>
      </c>
      <c r="AI272" s="2">
        <v>0.28462257438719718</v>
      </c>
      <c r="AJ272" s="2">
        <v>0.29143117213970154</v>
      </c>
      <c r="AK272" s="2">
        <v>0.29480117311471044</v>
      </c>
      <c r="AL272" s="2">
        <v>0.29703028808554666</v>
      </c>
      <c r="AM272" s="2">
        <v>0.29928923264055651</v>
      </c>
      <c r="AN272" s="2">
        <v>0.30157831962031056</v>
      </c>
      <c r="AO272" s="2">
        <v>0.30389786547091802</v>
      </c>
      <c r="AP272" s="2">
        <v>0.30624819028402478</v>
      </c>
      <c r="AQ272" s="2">
        <v>0.30862961783729764</v>
      </c>
      <c r="AR272" s="2">
        <v>4.642580979886044</v>
      </c>
    </row>
    <row r="273" spans="1:44" x14ac:dyDescent="0.25">
      <c r="A273" t="s">
        <v>250</v>
      </c>
      <c r="B273" t="s">
        <v>298</v>
      </c>
      <c r="C273" t="s">
        <v>44</v>
      </c>
      <c r="D273" t="s">
        <v>152</v>
      </c>
      <c r="E273" t="s">
        <v>148</v>
      </c>
      <c r="F273" t="s">
        <v>299</v>
      </c>
      <c r="G273" t="s">
        <v>31</v>
      </c>
      <c r="H273" t="s">
        <v>272</v>
      </c>
      <c r="I273" t="s">
        <v>135</v>
      </c>
      <c r="J273" t="s">
        <v>39</v>
      </c>
      <c r="K273" t="s">
        <v>31</v>
      </c>
      <c r="L273">
        <v>0.82</v>
      </c>
      <c r="M273">
        <v>1</v>
      </c>
      <c r="N273">
        <v>2.8160822667537615</v>
      </c>
      <c r="O273">
        <v>5.411417628870181</v>
      </c>
      <c r="P273">
        <v>-1.3633570527640948</v>
      </c>
      <c r="Q273">
        <v>1.0408498674974225</v>
      </c>
      <c r="R273">
        <v>-1.8625523936223551</v>
      </c>
      <c r="S273" s="2">
        <v>1.8227485713033056E-3</v>
      </c>
      <c r="T273" s="2">
        <v>4.8208952685399641E-3</v>
      </c>
      <c r="U273" s="2">
        <v>8.3043938490407355E-3</v>
      </c>
      <c r="V273" s="2">
        <v>1.3336371425698842E-2</v>
      </c>
      <c r="W273" s="2">
        <v>2.0241301266132418E-2</v>
      </c>
      <c r="X273" s="2">
        <v>2.9273641429170855E-2</v>
      </c>
      <c r="Y273" s="2">
        <v>4.0550777715297352E-2</v>
      </c>
      <c r="Z273" s="2">
        <v>5.3982696923394469E-2</v>
      </c>
      <c r="AA273" s="2">
        <v>6.9216259797668406E-2</v>
      </c>
      <c r="AB273" s="2">
        <v>8.5617897227712111E-2</v>
      </c>
      <c r="AC273" s="2">
        <v>0.10231763746854373</v>
      </c>
      <c r="AD273" s="2">
        <v>0.11832490343775344</v>
      </c>
      <c r="AE273" s="2">
        <v>0.13270184575163141</v>
      </c>
      <c r="AF273" s="2">
        <v>0.14475044607701965</v>
      </c>
      <c r="AG273" s="2">
        <v>0.15415075200512782</v>
      </c>
      <c r="AH273" s="2">
        <v>0.16143801969607879</v>
      </c>
      <c r="AI273" s="2">
        <v>0.1660097772369169</v>
      </c>
      <c r="AJ273" s="2">
        <v>0.16996510034139634</v>
      </c>
      <c r="AK273" s="2">
        <v>0.17191465648313958</v>
      </c>
      <c r="AL273" s="2">
        <v>0.17319880497054391</v>
      </c>
      <c r="AM273" s="2">
        <v>0.17450031557996942</v>
      </c>
      <c r="AN273" s="2">
        <v>0.17581936939380005</v>
      </c>
      <c r="AO273" s="2">
        <v>0.17715614958780732</v>
      </c>
      <c r="AP273" s="2">
        <v>0.17851084145431129</v>
      </c>
      <c r="AQ273" s="2">
        <v>0.17988363242565483</v>
      </c>
      <c r="AR273" s="2">
        <v>2.7078092353836531</v>
      </c>
    </row>
    <row r="274" spans="1:44" x14ac:dyDescent="0.25">
      <c r="A274" t="s">
        <v>250</v>
      </c>
      <c r="B274" t="s">
        <v>298</v>
      </c>
      <c r="C274" t="s">
        <v>44</v>
      </c>
      <c r="D274" t="s">
        <v>152</v>
      </c>
      <c r="E274" t="s">
        <v>148</v>
      </c>
      <c r="F274" t="s">
        <v>299</v>
      </c>
      <c r="G274" t="s">
        <v>31</v>
      </c>
      <c r="H274" t="s">
        <v>272</v>
      </c>
      <c r="I274" t="s">
        <v>135</v>
      </c>
      <c r="J274" t="s">
        <v>40</v>
      </c>
      <c r="K274" t="s">
        <v>31</v>
      </c>
      <c r="L274">
        <v>0.82</v>
      </c>
      <c r="M274">
        <v>1</v>
      </c>
      <c r="N274">
        <v>2.8160822667537615</v>
      </c>
      <c r="O274">
        <v>4.1746294160814488</v>
      </c>
      <c r="P274">
        <v>-1.3633570527640948</v>
      </c>
      <c r="Q274">
        <v>0.4672931329656026</v>
      </c>
      <c r="R274">
        <v>-1.7195523936223556</v>
      </c>
      <c r="S274" s="2">
        <v>1.8029870921545304E-4</v>
      </c>
      <c r="T274" s="2">
        <v>4.7686291344019099E-4</v>
      </c>
      <c r="U274" s="2">
        <v>8.2143610773931035E-4</v>
      </c>
      <c r="V274" s="2">
        <v>1.3191784053639924E-3</v>
      </c>
      <c r="W274" s="2">
        <v>2.0021853527035353E-3</v>
      </c>
      <c r="X274" s="2">
        <v>2.8956268828353284E-3</v>
      </c>
      <c r="Y274" s="2">
        <v>4.0111143110226717E-3</v>
      </c>
      <c r="Z274" s="2">
        <v>5.3397439057091597E-3</v>
      </c>
      <c r="AA274" s="2">
        <v>6.8465846001558549E-3</v>
      </c>
      <c r="AB274" s="2">
        <v>8.4689663725041695E-3</v>
      </c>
      <c r="AC274" s="2">
        <v>1.0120835235307546E-2</v>
      </c>
      <c r="AD274" s="2">
        <v>1.1704207422648633E-2</v>
      </c>
      <c r="AE274" s="2">
        <v>1.3126314773309436E-2</v>
      </c>
      <c r="AF274" s="2">
        <v>1.4318112216314462E-2</v>
      </c>
      <c r="AG274" s="2">
        <v>1.5247951389830528E-2</v>
      </c>
      <c r="AH274" s="2">
        <v>1.5968777607484289E-2</v>
      </c>
      <c r="AI274" s="2">
        <v>1.6420996852878861E-2</v>
      </c>
      <c r="AJ274" s="2">
        <v>1.6812240967122076E-2</v>
      </c>
      <c r="AK274" s="2">
        <v>1.7005082953906916E-2</v>
      </c>
      <c r="AL274" s="2">
        <v>1.7132105582460977E-2</v>
      </c>
      <c r="AM274" s="2">
        <v>1.7260845599929065E-2</v>
      </c>
      <c r="AN274" s="2">
        <v>1.7391320918227812E-2</v>
      </c>
      <c r="AO274" s="2">
        <v>1.7523549656342854E-2</v>
      </c>
      <c r="AP274" s="2">
        <v>1.7657550142619813E-2</v>
      </c>
      <c r="AQ274" s="2">
        <v>1.7793340917086682E-2</v>
      </c>
      <c r="AR274" s="2">
        <v>0.2678452297961596</v>
      </c>
    </row>
    <row r="275" spans="1:44" x14ac:dyDescent="0.25">
      <c r="A275" t="s">
        <v>250</v>
      </c>
      <c r="B275" t="s">
        <v>298</v>
      </c>
      <c r="C275" t="s">
        <v>44</v>
      </c>
      <c r="D275" t="s">
        <v>152</v>
      </c>
      <c r="E275" t="s">
        <v>148</v>
      </c>
      <c r="F275" t="s">
        <v>299</v>
      </c>
      <c r="G275" t="s">
        <v>31</v>
      </c>
      <c r="H275" t="s">
        <v>253</v>
      </c>
      <c r="I275" t="s">
        <v>135</v>
      </c>
      <c r="J275" t="s">
        <v>39</v>
      </c>
      <c r="K275" t="s">
        <v>31</v>
      </c>
      <c r="L275">
        <v>0.82</v>
      </c>
      <c r="M275">
        <v>1</v>
      </c>
      <c r="N275">
        <v>2.8160822667537615</v>
      </c>
      <c r="O275">
        <v>5.411417628870181</v>
      </c>
      <c r="P275">
        <v>-1.3633570527640948</v>
      </c>
      <c r="Q275">
        <v>1.0408498674974225</v>
      </c>
      <c r="R275">
        <v>-1.8625523936223551</v>
      </c>
      <c r="S275" s="2">
        <v>2.3276588110788879E-6</v>
      </c>
      <c r="T275" s="2">
        <v>5.963216187128413E-6</v>
      </c>
      <c r="U275" s="2">
        <v>1.0277209062270759E-5</v>
      </c>
      <c r="V275" s="2">
        <v>1.6512655097004299E-5</v>
      </c>
      <c r="W275" s="2">
        <v>2.5074207572145674E-5</v>
      </c>
      <c r="X275" s="2">
        <v>3.6280452165105574E-5</v>
      </c>
      <c r="Y275" s="2">
        <v>5.0280534559248008E-5</v>
      </c>
      <c r="Z275" s="2">
        <v>6.6966506433036778E-5</v>
      </c>
      <c r="AA275" s="2">
        <v>8.5903563428143016E-5</v>
      </c>
      <c r="AB275" s="2">
        <v>1.0630782299837256E-4</v>
      </c>
      <c r="AC275" s="2">
        <v>1.2710025610032942E-4</v>
      </c>
      <c r="AD275" s="2">
        <v>1.4704998510694524E-4</v>
      </c>
      <c r="AE275" s="2">
        <v>1.6498951807182886E-4</v>
      </c>
      <c r="AF275" s="2">
        <v>1.8004768299667267E-4</v>
      </c>
      <c r="AG275" s="2">
        <v>1.9182234342538426E-4</v>
      </c>
      <c r="AH275" s="2">
        <v>2.0097543593667667E-4</v>
      </c>
      <c r="AI275" s="2">
        <v>2.0675315463503666E-4</v>
      </c>
      <c r="AJ275" s="2">
        <v>2.1176650673130192E-4</v>
      </c>
      <c r="AK275" s="2">
        <v>2.1428274127957003E-4</v>
      </c>
      <c r="AL275" s="2">
        <v>2.1597013456327278E-4</v>
      </c>
      <c r="AM275" s="2">
        <v>2.1767938492931591E-4</v>
      </c>
      <c r="AN275" s="2">
        <v>2.1941072545994999E-4</v>
      </c>
      <c r="AO275" s="2">
        <v>2.2116439190060687E-4</v>
      </c>
      <c r="AP275" s="2">
        <v>2.2294062268954576E-4</v>
      </c>
      <c r="AQ275" s="2">
        <v>2.2473965898789399E-4</v>
      </c>
      <c r="AR275" s="2">
        <v>3.3725863691278645E-3</v>
      </c>
    </row>
    <row r="276" spans="1:44" x14ac:dyDescent="0.25">
      <c r="A276" t="s">
        <v>250</v>
      </c>
      <c r="B276" t="s">
        <v>298</v>
      </c>
      <c r="C276" t="s">
        <v>44</v>
      </c>
      <c r="D276" t="s">
        <v>152</v>
      </c>
      <c r="E276" t="s">
        <v>148</v>
      </c>
      <c r="F276" t="s">
        <v>299</v>
      </c>
      <c r="G276" t="s">
        <v>31</v>
      </c>
      <c r="H276" t="s">
        <v>253</v>
      </c>
      <c r="I276" t="s">
        <v>135</v>
      </c>
      <c r="J276" t="s">
        <v>40</v>
      </c>
      <c r="K276" t="s">
        <v>31</v>
      </c>
      <c r="L276">
        <v>0.82</v>
      </c>
      <c r="M276">
        <v>1</v>
      </c>
      <c r="N276">
        <v>2.8160822667537615</v>
      </c>
      <c r="O276">
        <v>4.1746294160814488</v>
      </c>
      <c r="P276">
        <v>-1.3633570527640948</v>
      </c>
      <c r="Q276">
        <v>0.4672931329656026</v>
      </c>
      <c r="R276">
        <v>-1.7195523936223556</v>
      </c>
      <c r="S276" s="2">
        <v>1.2243969125561492E-6</v>
      </c>
      <c r="T276" s="2">
        <v>3.1367756535764198E-6</v>
      </c>
      <c r="U276" s="2">
        <v>5.4060255676843549E-6</v>
      </c>
      <c r="V276" s="2">
        <v>8.6859997791109152E-6</v>
      </c>
      <c r="W276" s="2">
        <v>1.3189554323856169E-5</v>
      </c>
      <c r="X276" s="2">
        <v>1.908427188970475E-5</v>
      </c>
      <c r="Y276" s="2">
        <v>2.6448606205941881E-5</v>
      </c>
      <c r="Z276" s="2">
        <v>3.5225774211846829E-5</v>
      </c>
      <c r="AA276" s="2">
        <v>4.5187059777991123E-5</v>
      </c>
      <c r="AB276" s="2">
        <v>5.5920124392905949E-5</v>
      </c>
      <c r="AC276" s="2">
        <v>6.6857376353283594E-5</v>
      </c>
      <c r="AD276" s="2">
        <v>7.7351348444799407E-5</v>
      </c>
      <c r="AE276" s="2">
        <v>8.6787915638563242E-5</v>
      </c>
      <c r="AF276" s="2">
        <v>9.4708823357077506E-5</v>
      </c>
      <c r="AG276" s="2">
        <v>1.0090253946645286E-4</v>
      </c>
      <c r="AH276" s="2">
        <v>1.0571725636474923E-4</v>
      </c>
      <c r="AI276" s="2">
        <v>1.08756456483864E-4</v>
      </c>
      <c r="AJ276" s="2">
        <v>1.1139358388372352E-4</v>
      </c>
      <c r="AK276" s="2">
        <v>1.1271717555339028E-4</v>
      </c>
      <c r="AL276" s="2">
        <v>1.1360477949130332E-4</v>
      </c>
      <c r="AM276" s="2">
        <v>1.1450388070880494E-4</v>
      </c>
      <c r="AN276" s="2">
        <v>1.1541460181200145E-4</v>
      </c>
      <c r="AO276" s="2">
        <v>1.1633706680789095E-4</v>
      </c>
      <c r="AP276" s="2">
        <v>1.1727140111995323E-4</v>
      </c>
      <c r="AQ276" s="2">
        <v>1.1821773160395244E-4</v>
      </c>
      <c r="AR276" s="2">
        <v>1.7740505258049845E-3</v>
      </c>
    </row>
    <row r="277" spans="1:44" x14ac:dyDescent="0.25">
      <c r="A277" t="s">
        <v>250</v>
      </c>
      <c r="B277" t="s">
        <v>298</v>
      </c>
      <c r="C277" t="s">
        <v>44</v>
      </c>
      <c r="D277" t="s">
        <v>152</v>
      </c>
      <c r="E277" t="s">
        <v>148</v>
      </c>
      <c r="F277" t="s">
        <v>299</v>
      </c>
      <c r="G277" t="s">
        <v>31</v>
      </c>
      <c r="H277" t="s">
        <v>253</v>
      </c>
      <c r="I277" t="s">
        <v>256</v>
      </c>
      <c r="J277" t="s">
        <v>39</v>
      </c>
      <c r="K277" t="s">
        <v>31</v>
      </c>
      <c r="L277">
        <v>0.82</v>
      </c>
      <c r="M277">
        <v>1</v>
      </c>
      <c r="N277">
        <v>1.4105606857535178</v>
      </c>
      <c r="O277">
        <v>2.7105504166527385</v>
      </c>
      <c r="P277">
        <v>9.9579898584776755E-2</v>
      </c>
      <c r="Q277">
        <v>0.4672931329656026</v>
      </c>
      <c r="R277">
        <v>-0.39961544227348367</v>
      </c>
      <c r="S277" s="2">
        <v>1.2209988289927707E-6</v>
      </c>
      <c r="T277" s="2">
        <v>3.1280701221583744E-6</v>
      </c>
      <c r="U277" s="2">
        <v>5.3910221595277915E-6</v>
      </c>
      <c r="V277" s="2">
        <v>8.661893418846222E-6</v>
      </c>
      <c r="W277" s="2">
        <v>1.3152949194182442E-5</v>
      </c>
      <c r="X277" s="2">
        <v>1.903130707906024E-5</v>
      </c>
      <c r="Y277" s="2">
        <v>2.6375203069180389E-5</v>
      </c>
      <c r="Z277" s="2">
        <v>3.5128011694538058E-5</v>
      </c>
      <c r="AA277" s="2">
        <v>4.5061651584345969E-5</v>
      </c>
      <c r="AB277" s="2">
        <v>5.57649285951923E-5</v>
      </c>
      <c r="AC277" s="2">
        <v>6.6671826267893826E-5</v>
      </c>
      <c r="AD277" s="2">
        <v>7.7136674311713686E-5</v>
      </c>
      <c r="AE277" s="2">
        <v>8.6547052086388666E-5</v>
      </c>
      <c r="AF277" s="2">
        <v>9.4445976813888302E-5</v>
      </c>
      <c r="AG277" s="2">
        <v>1.0062250342801854E-4</v>
      </c>
      <c r="AH277" s="2">
        <v>1.054238579842617E-4</v>
      </c>
      <c r="AI277" s="2">
        <v>1.0845462337451828E-4</v>
      </c>
      <c r="AJ277" s="2">
        <v>1.1108443192280379E-4</v>
      </c>
      <c r="AK277" s="2">
        <v>1.1240435021249757E-4</v>
      </c>
      <c r="AL277" s="2">
        <v>1.132894907724645E-4</v>
      </c>
      <c r="AM277" s="2">
        <v>1.1418609670347985E-4</v>
      </c>
      <c r="AN277" s="2">
        <v>1.1509429027138242E-4</v>
      </c>
      <c r="AO277" s="2">
        <v>1.1601419513900702E-4</v>
      </c>
      <c r="AP277" s="2">
        <v>1.1694593638175214E-4</v>
      </c>
      <c r="AQ277" s="2">
        <v>1.1788964050331121E-4</v>
      </c>
      <c r="AR277" s="2">
        <v>1.769126981919406E-3</v>
      </c>
    </row>
    <row r="278" spans="1:44" x14ac:dyDescent="0.25">
      <c r="A278" t="s">
        <v>250</v>
      </c>
      <c r="B278" t="s">
        <v>298</v>
      </c>
      <c r="C278" t="s">
        <v>44</v>
      </c>
      <c r="D278" t="s">
        <v>152</v>
      </c>
      <c r="E278" t="s">
        <v>148</v>
      </c>
      <c r="F278" t="s">
        <v>299</v>
      </c>
      <c r="G278" t="s">
        <v>31</v>
      </c>
      <c r="H278" t="s">
        <v>288</v>
      </c>
      <c r="I278" t="s">
        <v>135</v>
      </c>
      <c r="J278" t="s">
        <v>39</v>
      </c>
      <c r="K278" t="s">
        <v>31</v>
      </c>
      <c r="L278">
        <v>0.82</v>
      </c>
      <c r="M278">
        <v>1</v>
      </c>
      <c r="N278">
        <v>2.8160822667537615</v>
      </c>
      <c r="O278">
        <v>5.411417628870181</v>
      </c>
      <c r="P278">
        <v>-1.3633570527640948</v>
      </c>
      <c r="Q278">
        <v>1.0408498674974225</v>
      </c>
      <c r="R278">
        <v>-1.8625523936223551</v>
      </c>
      <c r="S278" s="2">
        <v>2.0047045658449177E-2</v>
      </c>
      <c r="T278" s="2">
        <v>4.7699816026223592E-2</v>
      </c>
      <c r="U278" s="2">
        <v>8.2296682605861246E-2</v>
      </c>
      <c r="V278" s="2">
        <v>0.13237005003180158</v>
      </c>
      <c r="W278" s="2">
        <v>0.20121504317104222</v>
      </c>
      <c r="X278" s="2">
        <v>0.29144799509433117</v>
      </c>
      <c r="Y278" s="2">
        <v>0.40433207043421965</v>
      </c>
      <c r="Z278" s="2">
        <v>0.53906441682971151</v>
      </c>
      <c r="AA278" s="2">
        <v>0.69220342607937213</v>
      </c>
      <c r="AB278" s="2">
        <v>0.85747641390857476</v>
      </c>
      <c r="AC278" s="2">
        <v>1.0262015261380735</v>
      </c>
      <c r="AD278" s="2">
        <v>1.1884348949863734</v>
      </c>
      <c r="AE278" s="2">
        <v>1.3347068236596826</v>
      </c>
      <c r="AF278" s="2">
        <v>1.4579114504835056</v>
      </c>
      <c r="AG278" s="2">
        <v>1.5547189166772308</v>
      </c>
      <c r="AH278" s="2">
        <v>1.6304210674066508</v>
      </c>
      <c r="AI278" s="2">
        <v>1.6788353764286927</v>
      </c>
      <c r="AJ278" s="2">
        <v>1.7211055302515885</v>
      </c>
      <c r="AK278" s="2">
        <v>1.7431180718829333</v>
      </c>
      <c r="AL278" s="2">
        <v>1.7584007187001367</v>
      </c>
      <c r="AM278" s="2">
        <v>1.7738675455772894</v>
      </c>
      <c r="AN278" s="2">
        <v>1.7895205795801936</v>
      </c>
      <c r="AO278" s="2">
        <v>1.8053618706220347</v>
      </c>
      <c r="AP278" s="2">
        <v>1.8213934917191086</v>
      </c>
      <c r="AQ278" s="2">
        <v>1.8376175392496881</v>
      </c>
      <c r="AR278" s="2">
        <v>27.389768363202769</v>
      </c>
    </row>
    <row r="279" spans="1:44" x14ac:dyDescent="0.25">
      <c r="A279" t="s">
        <v>250</v>
      </c>
      <c r="B279" t="s">
        <v>298</v>
      </c>
      <c r="C279" t="s">
        <v>44</v>
      </c>
      <c r="D279" t="s">
        <v>152</v>
      </c>
      <c r="E279" t="s">
        <v>148</v>
      </c>
      <c r="F279" t="s">
        <v>299</v>
      </c>
      <c r="G279" t="s">
        <v>31</v>
      </c>
      <c r="H279" t="s">
        <v>288</v>
      </c>
      <c r="I279" t="s">
        <v>135</v>
      </c>
      <c r="J279" t="s">
        <v>39</v>
      </c>
      <c r="K279" t="s">
        <v>33</v>
      </c>
      <c r="L279">
        <v>0.82</v>
      </c>
      <c r="M279">
        <v>1</v>
      </c>
      <c r="N279">
        <v>2.8160822667537615</v>
      </c>
      <c r="O279">
        <v>5.411417628870181</v>
      </c>
      <c r="P279">
        <v>-1.3633570527640948</v>
      </c>
      <c r="Q279">
        <v>1.0408498674974225</v>
      </c>
      <c r="R279">
        <v>-1.8625523936223551</v>
      </c>
      <c r="S279" s="2">
        <v>1.8858483135046893E-4</v>
      </c>
      <c r="T279" s="2">
        <v>4.4871757734349084E-4</v>
      </c>
      <c r="U279" s="2">
        <v>7.7417422369107942E-4</v>
      </c>
      <c r="V279" s="2">
        <v>1.2452200681539924E-3</v>
      </c>
      <c r="W279" s="2">
        <v>1.892852723942172E-3</v>
      </c>
      <c r="X279" s="2">
        <v>2.741684332879859E-3</v>
      </c>
      <c r="Y279" s="2">
        <v>3.8035976278771367E-3</v>
      </c>
      <c r="Z279" s="2">
        <v>5.0710400857506928E-3</v>
      </c>
      <c r="AA279" s="2">
        <v>6.5116361079557662E-3</v>
      </c>
      <c r="AB279" s="2">
        <v>8.0663778423531018E-3</v>
      </c>
      <c r="AC279" s="2">
        <v>9.6535941023696871E-3</v>
      </c>
      <c r="AD279" s="2">
        <v>1.1179741796395597E-2</v>
      </c>
      <c r="AE279" s="2">
        <v>1.2555738413061242E-2</v>
      </c>
      <c r="AF279" s="2">
        <v>1.3714738305964307E-2</v>
      </c>
      <c r="AG279" s="2">
        <v>1.4625417116032045E-2</v>
      </c>
      <c r="AH279" s="2">
        <v>1.5337555830703994E-2</v>
      </c>
      <c r="AI279" s="2">
        <v>1.5792994724664774E-2</v>
      </c>
      <c r="AJ279" s="2">
        <v>1.619063485407201E-2</v>
      </c>
      <c r="AK279" s="2">
        <v>1.6397709328877949E-2</v>
      </c>
      <c r="AL279" s="2">
        <v>1.6541474920163654E-2</v>
      </c>
      <c r="AM279" s="2">
        <v>1.6686973114154093E-2</v>
      </c>
      <c r="AN279" s="2">
        <v>1.6834222979688208E-2</v>
      </c>
      <c r="AO279" s="2">
        <v>1.6983243800531324E-2</v>
      </c>
      <c r="AP279" s="2">
        <v>1.7134055077782654E-2</v>
      </c>
      <c r="AQ279" s="2">
        <v>1.7286676532310214E-2</v>
      </c>
      <c r="AR279" s="2">
        <v>0.25765865631806956</v>
      </c>
    </row>
    <row r="280" spans="1:44" x14ac:dyDescent="0.25">
      <c r="A280" t="s">
        <v>250</v>
      </c>
      <c r="B280" t="s">
        <v>298</v>
      </c>
      <c r="C280" t="s">
        <v>44</v>
      </c>
      <c r="D280" t="s">
        <v>152</v>
      </c>
      <c r="E280" t="s">
        <v>148</v>
      </c>
      <c r="F280" t="s">
        <v>299</v>
      </c>
      <c r="G280" t="s">
        <v>31</v>
      </c>
      <c r="H280" t="s">
        <v>273</v>
      </c>
      <c r="I280" t="s">
        <v>135</v>
      </c>
      <c r="J280" t="s">
        <v>39</v>
      </c>
      <c r="K280" t="s">
        <v>31</v>
      </c>
      <c r="L280">
        <v>0.82</v>
      </c>
      <c r="M280">
        <v>1</v>
      </c>
      <c r="N280">
        <v>2.8160822667537615</v>
      </c>
      <c r="O280">
        <v>5.411417628870181</v>
      </c>
      <c r="P280">
        <v>-1.3633570527640948</v>
      </c>
      <c r="Q280">
        <v>1.0408498674974225</v>
      </c>
      <c r="R280">
        <v>-1.8625523936223551</v>
      </c>
      <c r="S280" s="2">
        <v>5.4820356722673274E-4</v>
      </c>
      <c r="T280" s="2">
        <v>1.4499158167220025E-3</v>
      </c>
      <c r="U280" s="2">
        <v>2.4976008229399905E-3</v>
      </c>
      <c r="V280" s="2">
        <v>4.0110010258854901E-3</v>
      </c>
      <c r="W280" s="2">
        <v>6.087703885276183E-3</v>
      </c>
      <c r="X280" s="2">
        <v>8.8042393283639751E-3</v>
      </c>
      <c r="Y280" s="2">
        <v>1.2195911903225016E-2</v>
      </c>
      <c r="Z280" s="2">
        <v>1.6235649550263496E-2</v>
      </c>
      <c r="AA280" s="2">
        <v>2.0817243326128727E-2</v>
      </c>
      <c r="AB280" s="2">
        <v>2.5750143172584186E-2</v>
      </c>
      <c r="AC280" s="2">
        <v>3.077269939120638E-2</v>
      </c>
      <c r="AD280" s="2">
        <v>3.5586989438677705E-2</v>
      </c>
      <c r="AE280" s="2">
        <v>3.991094897229789E-2</v>
      </c>
      <c r="AF280" s="2">
        <v>4.3534644408112326E-2</v>
      </c>
      <c r="AG280" s="2">
        <v>4.636184796429188E-2</v>
      </c>
      <c r="AH280" s="2">
        <v>4.8553541435575075E-2</v>
      </c>
      <c r="AI280" s="2">
        <v>4.9928527449466839E-2</v>
      </c>
      <c r="AJ280" s="2">
        <v>5.1118116770532344E-2</v>
      </c>
      <c r="AK280" s="2">
        <v>5.1704458544837982E-2</v>
      </c>
      <c r="AL280" s="2">
        <v>5.2090674610360529E-2</v>
      </c>
      <c r="AM280" s="2">
        <v>5.2482112447757516E-2</v>
      </c>
      <c r="AN280" s="2">
        <v>5.2878826518744308E-2</v>
      </c>
      <c r="AO280" s="2">
        <v>5.3280871914631156E-2</v>
      </c>
      <c r="AP280" s="2">
        <v>5.3688304363298342E-2</v>
      </c>
      <c r="AQ280" s="2">
        <v>5.4101180236249227E-2</v>
      </c>
      <c r="AR280" s="2">
        <v>0.81439135686465558</v>
      </c>
    </row>
    <row r="281" spans="1:44" x14ac:dyDescent="0.25">
      <c r="A281" t="s">
        <v>250</v>
      </c>
      <c r="B281" t="s">
        <v>298</v>
      </c>
      <c r="C281" t="s">
        <v>44</v>
      </c>
      <c r="D281" t="s">
        <v>152</v>
      </c>
      <c r="E281" t="s">
        <v>148</v>
      </c>
      <c r="F281" t="s">
        <v>299</v>
      </c>
      <c r="G281" t="s">
        <v>31</v>
      </c>
      <c r="H281" t="s">
        <v>252</v>
      </c>
      <c r="I281" t="s">
        <v>135</v>
      </c>
      <c r="J281" t="s">
        <v>39</v>
      </c>
      <c r="K281" t="s">
        <v>31</v>
      </c>
      <c r="L281">
        <v>0.82</v>
      </c>
      <c r="M281">
        <v>1</v>
      </c>
      <c r="N281">
        <v>2.8160822667537615</v>
      </c>
      <c r="O281">
        <v>5.411417628870181</v>
      </c>
      <c r="P281">
        <v>-1.3633570527640948</v>
      </c>
      <c r="Q281">
        <v>1.0408498674974225</v>
      </c>
      <c r="R281">
        <v>-1.8625523936223551</v>
      </c>
      <c r="S281" s="2">
        <v>1.8598837003913919E-3</v>
      </c>
      <c r="T281" s="2">
        <v>4.6413966391335134E-3</v>
      </c>
      <c r="U281" s="2">
        <v>8.0022976305963167E-3</v>
      </c>
      <c r="V281" s="2">
        <v>1.2862514175768778E-2</v>
      </c>
      <c r="W281" s="2">
        <v>1.9539061339460002E-2</v>
      </c>
      <c r="X281" s="2">
        <v>2.8282303373568744E-2</v>
      </c>
      <c r="Y281" s="2">
        <v>3.9210796883934258E-2</v>
      </c>
      <c r="Z281" s="2">
        <v>5.2242652784730705E-2</v>
      </c>
      <c r="AA281" s="2">
        <v>6.7040718849496042E-2</v>
      </c>
      <c r="AB281" s="2">
        <v>8.2994770586081346E-2</v>
      </c>
      <c r="AC281" s="2">
        <v>9.9263155553846849E-2</v>
      </c>
      <c r="AD281" s="2">
        <v>0.1148843627223799</v>
      </c>
      <c r="AE281" s="2">
        <v>0.12894506253391327</v>
      </c>
      <c r="AF281" s="2">
        <v>0.14076234198273194</v>
      </c>
      <c r="AG281" s="2">
        <v>0.1500192151396792</v>
      </c>
      <c r="AH281" s="2">
        <v>0.15723079196105488</v>
      </c>
      <c r="AI281" s="2">
        <v>0.16180497852107398</v>
      </c>
      <c r="AJ281" s="2">
        <v>0.16578312385524066</v>
      </c>
      <c r="AK281" s="2">
        <v>0.16780765160439243</v>
      </c>
      <c r="AL281" s="2">
        <v>0.169183500071582</v>
      </c>
      <c r="AM281" s="2">
        <v>0.17057664993070223</v>
      </c>
      <c r="AN281" s="2">
        <v>0.17198728827786094</v>
      </c>
      <c r="AO281" s="2">
        <v>0.17341560433293141</v>
      </c>
      <c r="AP281" s="2">
        <v>0.17486178946331166</v>
      </c>
      <c r="AQ281" s="2">
        <v>0.17632603720787668</v>
      </c>
      <c r="AR281" s="2">
        <v>2.6395279491217392</v>
      </c>
    </row>
    <row r="282" spans="1:44" x14ac:dyDescent="0.25">
      <c r="A282" t="s">
        <v>250</v>
      </c>
      <c r="B282" t="s">
        <v>298</v>
      </c>
      <c r="C282" t="s">
        <v>44</v>
      </c>
      <c r="D282" t="s">
        <v>152</v>
      </c>
      <c r="E282" t="s">
        <v>148</v>
      </c>
      <c r="F282" t="s">
        <v>299</v>
      </c>
      <c r="G282" t="s">
        <v>31</v>
      </c>
      <c r="H282" t="s">
        <v>289</v>
      </c>
      <c r="I282" t="s">
        <v>135</v>
      </c>
      <c r="J282" t="s">
        <v>39</v>
      </c>
      <c r="K282" t="s">
        <v>31</v>
      </c>
      <c r="L282">
        <v>0.82</v>
      </c>
      <c r="M282">
        <v>1</v>
      </c>
      <c r="N282">
        <v>2.8160822667537615</v>
      </c>
      <c r="O282">
        <v>5.411417628870181</v>
      </c>
      <c r="P282">
        <v>-1.3633570527640948</v>
      </c>
      <c r="Q282">
        <v>1.0408498674974225</v>
      </c>
      <c r="R282">
        <v>-1.8625523936223551</v>
      </c>
      <c r="S282" s="2">
        <v>1.9053847895284495E-2</v>
      </c>
      <c r="T282" s="2">
        <v>4.5336607432409907E-2</v>
      </c>
      <c r="U282" s="2">
        <v>7.821942940493648E-2</v>
      </c>
      <c r="V282" s="2">
        <v>0.12581199455362785</v>
      </c>
      <c r="W282" s="2">
        <v>0.19124617622688181</v>
      </c>
      <c r="X282" s="2">
        <v>0.27700868559515518</v>
      </c>
      <c r="Y282" s="2">
        <v>0.38430010588577695</v>
      </c>
      <c r="Z282" s="2">
        <v>0.51235736073183424</v>
      </c>
      <c r="AA282" s="2">
        <v>0.65790935072532142</v>
      </c>
      <c r="AB282" s="2">
        <v>0.81499416137269998</v>
      </c>
      <c r="AC282" s="2">
        <v>0.97536006661922947</v>
      </c>
      <c r="AD282" s="2">
        <v>1.129555851187227</v>
      </c>
      <c r="AE282" s="2">
        <v>1.2685809787683857</v>
      </c>
      <c r="AF282" s="2">
        <v>1.3856816358672932</v>
      </c>
      <c r="AG282" s="2">
        <v>1.4776929360563447</v>
      </c>
      <c r="AH282" s="2">
        <v>1.5496445487737331</v>
      </c>
      <c r="AI282" s="2">
        <v>1.595660250826648</v>
      </c>
      <c r="AJ282" s="2">
        <v>1.6358361997008719</v>
      </c>
      <c r="AK282" s="2">
        <v>1.6567581663176805</v>
      </c>
      <c r="AL282" s="2">
        <v>1.6712836596423992</v>
      </c>
      <c r="AM282" s="2">
        <v>1.6859842081302479</v>
      </c>
      <c r="AN282" s="2">
        <v>1.7008617384193525</v>
      </c>
      <c r="AO282" s="2">
        <v>1.715918198863408</v>
      </c>
      <c r="AP282" s="2">
        <v>1.7311555597744737</v>
      </c>
      <c r="AQ282" s="2">
        <v>1.7465758136692395</v>
      </c>
      <c r="AR282" s="2">
        <v>26.032787532440459</v>
      </c>
    </row>
    <row r="283" spans="1:44" x14ac:dyDescent="0.25">
      <c r="A283" t="s">
        <v>250</v>
      </c>
      <c r="B283" t="s">
        <v>298</v>
      </c>
      <c r="C283" t="s">
        <v>44</v>
      </c>
      <c r="D283" t="s">
        <v>152</v>
      </c>
      <c r="E283" t="s">
        <v>148</v>
      </c>
      <c r="F283" t="s">
        <v>299</v>
      </c>
      <c r="G283" t="s">
        <v>31</v>
      </c>
      <c r="H283" t="s">
        <v>274</v>
      </c>
      <c r="I283" t="s">
        <v>135</v>
      </c>
      <c r="J283" t="s">
        <v>39</v>
      </c>
      <c r="K283" t="s">
        <v>31</v>
      </c>
      <c r="L283">
        <v>0.82</v>
      </c>
      <c r="M283">
        <v>1</v>
      </c>
      <c r="N283">
        <v>2.8160822667537615</v>
      </c>
      <c r="O283">
        <v>5.411417628870181</v>
      </c>
      <c r="P283">
        <v>-1.3633570527640948</v>
      </c>
      <c r="Q283">
        <v>1.0408498674974225</v>
      </c>
      <c r="R283">
        <v>-1.8625523936223551</v>
      </c>
      <c r="S283" s="2">
        <v>8.6297058186423227E-4</v>
      </c>
      <c r="T283" s="2">
        <v>2.2824271325714426E-3</v>
      </c>
      <c r="U283" s="2">
        <v>3.9316709417647174E-3</v>
      </c>
      <c r="V283" s="2">
        <v>6.3140338664283103E-3</v>
      </c>
      <c r="W283" s="2">
        <v>9.5831360431866026E-3</v>
      </c>
      <c r="X283" s="2">
        <v>1.3859449281780687E-2</v>
      </c>
      <c r="Y283" s="2">
        <v>1.9198549262883405E-2</v>
      </c>
      <c r="Z283" s="2">
        <v>2.5557819716886306E-2</v>
      </c>
      <c r="AA283" s="2">
        <v>3.2770068748072249E-2</v>
      </c>
      <c r="AB283" s="2">
        <v>4.0535336442897793E-2</v>
      </c>
      <c r="AC283" s="2">
        <v>4.8441739322318267E-2</v>
      </c>
      <c r="AD283" s="2">
        <v>5.6020293954034364E-2</v>
      </c>
      <c r="AE283" s="2">
        <v>6.2826980553252934E-2</v>
      </c>
      <c r="AF283" s="2">
        <v>6.8531326065928905E-2</v>
      </c>
      <c r="AG283" s="2">
        <v>7.2981850731918471E-2</v>
      </c>
      <c r="AH283" s="2">
        <v>7.6431968723212132E-2</v>
      </c>
      <c r="AI283" s="2">
        <v>7.8596442928417942E-2</v>
      </c>
      <c r="AJ283" s="2">
        <v>8.0469069540046775E-2</v>
      </c>
      <c r="AK283" s="2">
        <v>8.1392076489279874E-2</v>
      </c>
      <c r="AL283" s="2">
        <v>8.2000049736288952E-2</v>
      </c>
      <c r="AM283" s="2">
        <v>8.2616242987294503E-2</v>
      </c>
      <c r="AN283" s="2">
        <v>8.3240741974787411E-2</v>
      </c>
      <c r="AO283" s="2">
        <v>8.3873633422356E-2</v>
      </c>
      <c r="AP283" s="2">
        <v>8.4515005055662909E-2</v>
      </c>
      <c r="AQ283" s="2">
        <v>8.5164945613547857E-2</v>
      </c>
      <c r="AR283" s="2">
        <v>1.2819978291166831</v>
      </c>
    </row>
    <row r="284" spans="1:44" x14ac:dyDescent="0.25">
      <c r="A284" t="s">
        <v>250</v>
      </c>
      <c r="B284" t="s">
        <v>298</v>
      </c>
      <c r="C284" t="s">
        <v>44</v>
      </c>
      <c r="D284" t="s">
        <v>152</v>
      </c>
      <c r="E284" t="s">
        <v>148</v>
      </c>
      <c r="F284" t="s">
        <v>299</v>
      </c>
      <c r="G284" t="s">
        <v>31</v>
      </c>
      <c r="H284" t="s">
        <v>274</v>
      </c>
      <c r="I284" t="s">
        <v>135</v>
      </c>
      <c r="J284" t="s">
        <v>39</v>
      </c>
      <c r="K284" t="s">
        <v>33</v>
      </c>
      <c r="L284">
        <v>0.82</v>
      </c>
      <c r="M284">
        <v>1</v>
      </c>
      <c r="N284">
        <v>2.8160822667537615</v>
      </c>
      <c r="O284">
        <v>5.411417628870181</v>
      </c>
      <c r="P284">
        <v>-1.3633570527640948</v>
      </c>
      <c r="Q284">
        <v>1.0408498674974225</v>
      </c>
      <c r="R284">
        <v>-1.8625523936223551</v>
      </c>
      <c r="S284" s="2">
        <v>2.7765928518900485E-6</v>
      </c>
      <c r="T284" s="2">
        <v>7.3436696388507411E-6</v>
      </c>
      <c r="U284" s="2">
        <v>1.2650082937132203E-5</v>
      </c>
      <c r="V284" s="2">
        <v>2.031529425052257E-5</v>
      </c>
      <c r="W284" s="2">
        <v>3.0833573699257013E-5</v>
      </c>
      <c r="X284" s="2">
        <v>4.4592537237821635E-5</v>
      </c>
      <c r="Y284" s="2">
        <v>6.1770998653077523E-5</v>
      </c>
      <c r="Z284" s="2">
        <v>8.2231840838075754E-5</v>
      </c>
      <c r="AA284" s="2">
        <v>1.0543712677352619E-4</v>
      </c>
      <c r="AB284" s="2">
        <v>1.3042174064980438E-4</v>
      </c>
      <c r="AC284" s="2">
        <v>1.5586045453010733E-4</v>
      </c>
      <c r="AD284" s="2">
        <v>1.8024432237021814E-4</v>
      </c>
      <c r="AE284" s="2">
        <v>2.0214471822799883E-4</v>
      </c>
      <c r="AF284" s="2">
        <v>2.2049835079446722E-4</v>
      </c>
      <c r="AG284" s="2">
        <v>2.348178365735191E-4</v>
      </c>
      <c r="AH284" s="2">
        <v>2.4591853126013151E-4</v>
      </c>
      <c r="AI284" s="2">
        <v>2.5288268940477335E-4</v>
      </c>
      <c r="AJ284" s="2">
        <v>2.5890783298831863E-4</v>
      </c>
      <c r="AK284" s="2">
        <v>2.6187759180900695E-4</v>
      </c>
      <c r="AL284" s="2">
        <v>2.6383373516691594E-4</v>
      </c>
      <c r="AM284" s="2">
        <v>2.6581632624485214E-4</v>
      </c>
      <c r="AN284" s="2">
        <v>2.6782564088561478E-4</v>
      </c>
      <c r="AO284" s="2">
        <v>2.698619581208371E-4</v>
      </c>
      <c r="AP284" s="2">
        <v>2.7192556020631695E-4</v>
      </c>
      <c r="AQ284" s="2">
        <v>2.7401673265773686E-4</v>
      </c>
      <c r="AR284" s="2">
        <v>4.1248057387707725E-3</v>
      </c>
    </row>
    <row r="285" spans="1:44" x14ac:dyDescent="0.25">
      <c r="A285" t="s">
        <v>250</v>
      </c>
      <c r="B285" t="s">
        <v>298</v>
      </c>
      <c r="C285" t="s">
        <v>44</v>
      </c>
      <c r="D285" t="s">
        <v>152</v>
      </c>
      <c r="E285" t="s">
        <v>148</v>
      </c>
      <c r="F285" t="s">
        <v>299</v>
      </c>
      <c r="G285" t="s">
        <v>31</v>
      </c>
      <c r="H285" t="s">
        <v>255</v>
      </c>
      <c r="I285" t="s">
        <v>135</v>
      </c>
      <c r="J285" t="s">
        <v>39</v>
      </c>
      <c r="K285" t="s">
        <v>31</v>
      </c>
      <c r="L285">
        <v>0.82</v>
      </c>
      <c r="M285">
        <v>1</v>
      </c>
      <c r="N285">
        <v>2.8160822667537615</v>
      </c>
      <c r="O285">
        <v>5.411417628870181</v>
      </c>
      <c r="P285">
        <v>-1.3633570527640948</v>
      </c>
      <c r="Q285">
        <v>1.0408498674974225</v>
      </c>
      <c r="R285">
        <v>-1.8625523936223551</v>
      </c>
      <c r="S285" s="2">
        <v>6.5881005219981502E-4</v>
      </c>
      <c r="T285" s="2">
        <v>2.22338636443752E-3</v>
      </c>
      <c r="U285" s="2">
        <v>3.8133022475288093E-3</v>
      </c>
      <c r="V285" s="2">
        <v>6.0975953136589173E-3</v>
      </c>
      <c r="W285" s="2">
        <v>9.2152808850478087E-3</v>
      </c>
      <c r="X285" s="2">
        <v>1.3271431426278815E-2</v>
      </c>
      <c r="Y285" s="2">
        <v>1.8307655623307193E-2</v>
      </c>
      <c r="Z285" s="2">
        <v>2.4271818965645998E-2</v>
      </c>
      <c r="AA285" s="2">
        <v>3.0995007993469759E-2</v>
      </c>
      <c r="AB285" s="2">
        <v>3.8186138085941831E-2</v>
      </c>
      <c r="AC285" s="2">
        <v>4.54538749059758E-2</v>
      </c>
      <c r="AD285" s="2">
        <v>5.2359736434200679E-2</v>
      </c>
      <c r="AE285" s="2">
        <v>5.8495273632553267E-2</v>
      </c>
      <c r="AF285" s="2">
        <v>6.3563507348715506E-2</v>
      </c>
      <c r="AG285" s="2">
        <v>6.7437163219396384E-2</v>
      </c>
      <c r="AH285" s="2">
        <v>7.0363381753805271E-2</v>
      </c>
      <c r="AI285" s="2">
        <v>7.2091369036010752E-2</v>
      </c>
      <c r="AJ285" s="2">
        <v>7.3542691205475158E-2</v>
      </c>
      <c r="AK285" s="2">
        <v>7.4121499751373041E-2</v>
      </c>
      <c r="AL285" s="2">
        <v>7.4413036171283059E-2</v>
      </c>
      <c r="AM285" s="2">
        <v>7.4712699139388036E-2</v>
      </c>
      <c r="AN285" s="2">
        <v>7.5020536074835498E-2</v>
      </c>
      <c r="AO285" s="2">
        <v>7.5336595321977493E-2</v>
      </c>
      <c r="AP285" s="2">
        <v>7.5660926157203601E-2</v>
      </c>
      <c r="AQ285" s="2">
        <v>7.5993578795886807E-2</v>
      </c>
      <c r="AR285" s="2">
        <v>1.1756062959055968</v>
      </c>
    </row>
    <row r="286" spans="1:44" x14ac:dyDescent="0.25">
      <c r="A286" t="s">
        <v>250</v>
      </c>
      <c r="B286" t="s">
        <v>298</v>
      </c>
      <c r="C286" t="s">
        <v>44</v>
      </c>
      <c r="D286" t="s">
        <v>152</v>
      </c>
      <c r="E286" t="s">
        <v>148</v>
      </c>
      <c r="F286" t="s">
        <v>299</v>
      </c>
      <c r="G286" t="s">
        <v>31</v>
      </c>
      <c r="H286" t="s">
        <v>278</v>
      </c>
      <c r="I286" t="s">
        <v>135</v>
      </c>
      <c r="J286" t="s">
        <v>39</v>
      </c>
      <c r="K286" t="s">
        <v>31</v>
      </c>
      <c r="L286">
        <v>0.82</v>
      </c>
      <c r="M286">
        <v>1</v>
      </c>
      <c r="N286">
        <v>2.8160822667537615</v>
      </c>
      <c r="O286">
        <v>5.411417628870181</v>
      </c>
      <c r="P286">
        <v>-1.3633570527640948</v>
      </c>
      <c r="Q286">
        <v>1.0408498674974225</v>
      </c>
      <c r="R286">
        <v>-1.8625523936223551</v>
      </c>
      <c r="S286" s="2">
        <v>5.8164083513886494E-3</v>
      </c>
      <c r="T286" s="2">
        <v>1.9629516846770671E-2</v>
      </c>
      <c r="U286" s="2">
        <v>3.3666339736068078E-2</v>
      </c>
      <c r="V286" s="2">
        <v>5.3833580995508605E-2</v>
      </c>
      <c r="W286" s="2">
        <v>8.1358559301289629E-2</v>
      </c>
      <c r="X286" s="2">
        <v>0.11716892346274869</v>
      </c>
      <c r="Y286" s="2">
        <v>0.1616320223199243</v>
      </c>
      <c r="Z286" s="2">
        <v>0.2142875781323976</v>
      </c>
      <c r="AA286" s="2">
        <v>0.27364431180521237</v>
      </c>
      <c r="AB286" s="2">
        <v>0.33713233689850813</v>
      </c>
      <c r="AC286" s="2">
        <v>0.40129669655664268</v>
      </c>
      <c r="AD286" s="2">
        <v>0.46226618318207641</v>
      </c>
      <c r="AE286" s="2">
        <v>0.5164347400849234</v>
      </c>
      <c r="AF286" s="2">
        <v>0.56118044002536183</v>
      </c>
      <c r="AG286" s="2">
        <v>0.5953796212330551</v>
      </c>
      <c r="AH286" s="2">
        <v>0.62121420263431681</v>
      </c>
      <c r="AI286" s="2">
        <v>0.63647001062594055</v>
      </c>
      <c r="AJ286" s="2">
        <v>0.64928323707694202</v>
      </c>
      <c r="AK286" s="2">
        <v>0.65439333952448886</v>
      </c>
      <c r="AL286" s="2">
        <v>0.65696721474365916</v>
      </c>
      <c r="AM286" s="2">
        <v>0.65961283647402624</v>
      </c>
      <c r="AN286" s="2">
        <v>0.6623306233630134</v>
      </c>
      <c r="AO286" s="2">
        <v>0.66512100222635606</v>
      </c>
      <c r="AP286" s="2">
        <v>0.66798440810840432</v>
      </c>
      <c r="AQ286" s="2">
        <v>0.67092128434350284</v>
      </c>
      <c r="AR286" s="2">
        <v>10.379025418052528</v>
      </c>
    </row>
    <row r="287" spans="1:44" x14ac:dyDescent="0.25">
      <c r="A287" t="s">
        <v>250</v>
      </c>
      <c r="B287" t="s">
        <v>298</v>
      </c>
      <c r="C287" t="s">
        <v>44</v>
      </c>
      <c r="D287" t="s">
        <v>152</v>
      </c>
      <c r="E287" t="s">
        <v>148</v>
      </c>
      <c r="F287" t="s">
        <v>299</v>
      </c>
      <c r="G287" t="s">
        <v>31</v>
      </c>
      <c r="H287" t="s">
        <v>276</v>
      </c>
      <c r="I287" t="s">
        <v>135</v>
      </c>
      <c r="J287" t="s">
        <v>39</v>
      </c>
      <c r="K287" t="s">
        <v>31</v>
      </c>
      <c r="L287">
        <v>0.82</v>
      </c>
      <c r="M287">
        <v>1</v>
      </c>
      <c r="N287">
        <v>2.8160822667537615</v>
      </c>
      <c r="O287">
        <v>5.411417628870181</v>
      </c>
      <c r="P287">
        <v>-1.3633570527640948</v>
      </c>
      <c r="Q287">
        <v>1.0408498674974225</v>
      </c>
      <c r="R287">
        <v>-1.8625523936223551</v>
      </c>
      <c r="S287" s="2">
        <v>8.1631980737115667E-2</v>
      </c>
      <c r="T287" s="2">
        <v>0.18204544566135586</v>
      </c>
      <c r="U287" s="2">
        <v>0.31436199953710348</v>
      </c>
      <c r="V287" s="2">
        <v>0.50607831910962853</v>
      </c>
      <c r="W287" s="2">
        <v>0.76995340694474734</v>
      </c>
      <c r="X287" s="2">
        <v>1.1161866206692843</v>
      </c>
      <c r="Y287" s="2">
        <v>1.5498206435992694</v>
      </c>
      <c r="Z287" s="2">
        <v>2.0679842490625497</v>
      </c>
      <c r="AA287" s="2">
        <v>2.6576601347757003</v>
      </c>
      <c r="AB287" s="2">
        <v>3.2949048100564382</v>
      </c>
      <c r="AC287" s="2">
        <v>3.9464283481584661</v>
      </c>
      <c r="AD287" s="2">
        <v>4.5739746334004749</v>
      </c>
      <c r="AE287" s="2">
        <v>5.1409925176976436</v>
      </c>
      <c r="AF287" s="2">
        <v>5.6199305127935428</v>
      </c>
      <c r="AG287" s="2">
        <v>5.9977228434266134</v>
      </c>
      <c r="AH287" s="2">
        <v>6.2945550156704515</v>
      </c>
      <c r="AI287" s="2">
        <v>6.4863469720324636</v>
      </c>
      <c r="AJ287" s="2">
        <v>6.6546078542077396</v>
      </c>
      <c r="AK287" s="2">
        <v>6.744671508571785</v>
      </c>
      <c r="AL287" s="2">
        <v>6.8087444612580619</v>
      </c>
      <c r="AM287" s="2">
        <v>6.8735602322923635</v>
      </c>
      <c r="AN287" s="2">
        <v>6.9391271008758073</v>
      </c>
      <c r="AO287" s="2">
        <v>7.0054534391614647</v>
      </c>
      <c r="AP287" s="2">
        <v>7.0725477132974115</v>
      </c>
      <c r="AQ287" s="2">
        <v>7.1404184844807608</v>
      </c>
      <c r="AR287" s="2">
        <v>105.83970924747824</v>
      </c>
    </row>
    <row r="288" spans="1:44" x14ac:dyDescent="0.25">
      <c r="A288" t="s">
        <v>250</v>
      </c>
      <c r="B288" t="s">
        <v>298</v>
      </c>
      <c r="C288" t="s">
        <v>44</v>
      </c>
      <c r="D288" t="s">
        <v>152</v>
      </c>
      <c r="E288" t="s">
        <v>148</v>
      </c>
      <c r="F288" t="s">
        <v>299</v>
      </c>
      <c r="G288" t="s">
        <v>31</v>
      </c>
      <c r="H288" t="s">
        <v>290</v>
      </c>
      <c r="I288" t="s">
        <v>135</v>
      </c>
      <c r="J288" t="s">
        <v>39</v>
      </c>
      <c r="K288" t="s">
        <v>31</v>
      </c>
      <c r="L288">
        <v>0.82</v>
      </c>
      <c r="M288">
        <v>1</v>
      </c>
      <c r="N288">
        <v>2.8160822667537615</v>
      </c>
      <c r="O288">
        <v>5.411417628870181</v>
      </c>
      <c r="P288">
        <v>-1.3633570527640948</v>
      </c>
      <c r="Q288">
        <v>1.0408498674974225</v>
      </c>
      <c r="R288">
        <v>-1.8625523936223551</v>
      </c>
      <c r="S288" s="2">
        <v>2.7591269504121586E-2</v>
      </c>
      <c r="T288" s="2">
        <v>6.5650495424589186E-2</v>
      </c>
      <c r="U288" s="2">
        <v>0.11326706127974823</v>
      </c>
      <c r="V288" s="2">
        <v>0.1821843371301041</v>
      </c>
      <c r="W288" s="2">
        <v>0.27693748889506864</v>
      </c>
      <c r="X288" s="2">
        <v>0.40112744371859788</v>
      </c>
      <c r="Y288" s="2">
        <v>0.55649272788521409</v>
      </c>
      <c r="Z288" s="2">
        <v>0.74192835484275466</v>
      </c>
      <c r="AA288" s="2">
        <v>0.95269754985481425</v>
      </c>
      <c r="AB288" s="2">
        <v>1.180167054670614</v>
      </c>
      <c r="AC288" s="2">
        <v>1.4123878079403251</v>
      </c>
      <c r="AD288" s="2">
        <v>1.6356738062224823</v>
      </c>
      <c r="AE288" s="2">
        <v>1.8369916599189002</v>
      </c>
      <c r="AF288" s="2">
        <v>2.006561387088055</v>
      </c>
      <c r="AG288" s="2">
        <v>2.1398000166232691</v>
      </c>
      <c r="AH288" s="2">
        <v>2.2439908524403855</v>
      </c>
      <c r="AI288" s="2">
        <v>2.3106247231284356</v>
      </c>
      <c r="AJ288" s="2">
        <v>2.3688022334698284</v>
      </c>
      <c r="AK288" s="2">
        <v>2.39909866611973</v>
      </c>
      <c r="AL288" s="2">
        <v>2.4201325697808449</v>
      </c>
      <c r="AM288" s="2">
        <v>2.4414199652410891</v>
      </c>
      <c r="AN288" s="2">
        <v>2.462963642403774</v>
      </c>
      <c r="AO288" s="2">
        <v>2.4847664226176742</v>
      </c>
      <c r="AP288" s="2">
        <v>2.5068311590288941</v>
      </c>
      <c r="AQ288" s="2">
        <v>2.5291607369373055</v>
      </c>
      <c r="AR288" s="2">
        <v>37.697249432166622</v>
      </c>
    </row>
    <row r="289" spans="1:44" x14ac:dyDescent="0.25">
      <c r="A289" t="s">
        <v>250</v>
      </c>
      <c r="B289" t="s">
        <v>298</v>
      </c>
      <c r="C289" t="s">
        <v>44</v>
      </c>
      <c r="D289" t="s">
        <v>152</v>
      </c>
      <c r="E289" t="s">
        <v>148</v>
      </c>
      <c r="F289" t="s">
        <v>299</v>
      </c>
      <c r="G289" t="s">
        <v>31</v>
      </c>
      <c r="H289" t="s">
        <v>275</v>
      </c>
      <c r="I289" t="s">
        <v>135</v>
      </c>
      <c r="J289" t="s">
        <v>39</v>
      </c>
      <c r="K289" t="s">
        <v>31</v>
      </c>
      <c r="L289">
        <v>0.82</v>
      </c>
      <c r="M289">
        <v>1</v>
      </c>
      <c r="N289">
        <v>2.8160822667537615</v>
      </c>
      <c r="O289">
        <v>5.411417628870181</v>
      </c>
      <c r="P289">
        <v>-1.3633570527640948</v>
      </c>
      <c r="Q289">
        <v>1.0408498674974225</v>
      </c>
      <c r="R289">
        <v>-1.8625523936223551</v>
      </c>
      <c r="S289" s="2">
        <v>1.318349283603717E-3</v>
      </c>
      <c r="T289" s="2">
        <v>3.4868351695175295E-3</v>
      </c>
      <c r="U289" s="2">
        <v>6.006364154666567E-3</v>
      </c>
      <c r="V289" s="2">
        <v>9.6458699744703651E-3</v>
      </c>
      <c r="W289" s="2">
        <v>1.4640036175879237E-2</v>
      </c>
      <c r="X289" s="2">
        <v>2.1172906024567575E-2</v>
      </c>
      <c r="Y289" s="2">
        <v>2.9329381787588146E-2</v>
      </c>
      <c r="Z289" s="2">
        <v>3.904435912686878E-2</v>
      </c>
      <c r="AA289" s="2">
        <v>5.0062421090111463E-2</v>
      </c>
      <c r="AB289" s="2">
        <v>6.1925322697195882E-2</v>
      </c>
      <c r="AC289" s="2">
        <v>7.4003834747339639E-2</v>
      </c>
      <c r="AD289" s="2">
        <v>8.5581497160688413E-2</v>
      </c>
      <c r="AE289" s="2">
        <v>9.5979986507114229E-2</v>
      </c>
      <c r="AF289" s="2">
        <v>0.10469444326625274</v>
      </c>
      <c r="AG289" s="2">
        <v>0.11149345371733024</v>
      </c>
      <c r="AH289" s="2">
        <v>0.11676415549762152</v>
      </c>
      <c r="AI289" s="2">
        <v>0.12007079546633011</v>
      </c>
      <c r="AJ289" s="2">
        <v>0.12293158354391021</v>
      </c>
      <c r="AK289" s="2">
        <v>0.12434164962942185</v>
      </c>
      <c r="AL289" s="2">
        <v>0.12527044269779347</v>
      </c>
      <c r="AM289" s="2">
        <v>0.12621179336269267</v>
      </c>
      <c r="AN289" s="2">
        <v>0.12716583259655795</v>
      </c>
      <c r="AO289" s="2">
        <v>0.12813269288593351</v>
      </c>
      <c r="AP289" s="2">
        <v>0.12911250824819609</v>
      </c>
      <c r="AQ289" s="2">
        <v>0.130105414248566</v>
      </c>
      <c r="AR289" s="2">
        <v>1.9584919290602174</v>
      </c>
    </row>
    <row r="290" spans="1:44" x14ac:dyDescent="0.25">
      <c r="A290" t="s">
        <v>250</v>
      </c>
      <c r="B290" t="s">
        <v>298</v>
      </c>
      <c r="C290" t="s">
        <v>44</v>
      </c>
      <c r="D290" t="s">
        <v>152</v>
      </c>
      <c r="E290" t="s">
        <v>148</v>
      </c>
      <c r="F290" t="s">
        <v>299</v>
      </c>
      <c r="G290" t="s">
        <v>31</v>
      </c>
      <c r="H290" t="s">
        <v>277</v>
      </c>
      <c r="I290" t="s">
        <v>135</v>
      </c>
      <c r="J290" t="s">
        <v>39</v>
      </c>
      <c r="K290" t="s">
        <v>31</v>
      </c>
      <c r="L290">
        <v>0.82</v>
      </c>
      <c r="M290">
        <v>1</v>
      </c>
      <c r="N290">
        <v>2.8160822667537615</v>
      </c>
      <c r="O290">
        <v>5.411417628870181</v>
      </c>
      <c r="P290">
        <v>-1.3633570527640948</v>
      </c>
      <c r="Q290">
        <v>1.0408498674974225</v>
      </c>
      <c r="R290">
        <v>-1.8625523936223551</v>
      </c>
      <c r="S290" s="2">
        <v>0</v>
      </c>
      <c r="T290" s="2">
        <v>0</v>
      </c>
      <c r="U290" s="2">
        <v>0</v>
      </c>
      <c r="V290" s="2">
        <v>0</v>
      </c>
      <c r="W290" s="2">
        <v>0</v>
      </c>
      <c r="X290" s="2">
        <v>0</v>
      </c>
      <c r="Y290" s="2">
        <v>0</v>
      </c>
      <c r="Z290" s="2">
        <v>0</v>
      </c>
      <c r="AA290" s="2">
        <v>0</v>
      </c>
      <c r="AB290" s="2">
        <v>0</v>
      </c>
      <c r="AC290" s="2">
        <v>0</v>
      </c>
      <c r="AD290" s="2">
        <v>0</v>
      </c>
      <c r="AE290" s="2">
        <v>0</v>
      </c>
      <c r="AF290" s="2">
        <v>0</v>
      </c>
      <c r="AG290" s="2">
        <v>0</v>
      </c>
      <c r="AH290" s="2">
        <v>0</v>
      </c>
      <c r="AI290" s="2">
        <v>0</v>
      </c>
      <c r="AJ290" s="2">
        <v>0</v>
      </c>
      <c r="AK290" s="2">
        <v>0</v>
      </c>
      <c r="AL290" s="2">
        <v>0</v>
      </c>
      <c r="AM290" s="2">
        <v>0</v>
      </c>
      <c r="AN290" s="2">
        <v>0</v>
      </c>
      <c r="AO290" s="2">
        <v>0</v>
      </c>
      <c r="AP290" s="2">
        <v>0</v>
      </c>
      <c r="AQ290" s="2">
        <v>0</v>
      </c>
      <c r="AR290" s="2">
        <v>0</v>
      </c>
    </row>
    <row r="291" spans="1:44" x14ac:dyDescent="0.25">
      <c r="A291" t="s">
        <v>250</v>
      </c>
      <c r="B291" t="s">
        <v>298</v>
      </c>
      <c r="C291" t="s">
        <v>44</v>
      </c>
      <c r="D291" t="s">
        <v>152</v>
      </c>
      <c r="E291" t="s">
        <v>148</v>
      </c>
      <c r="F291" t="s">
        <v>299</v>
      </c>
      <c r="G291" t="s">
        <v>31</v>
      </c>
      <c r="H291" t="s">
        <v>277</v>
      </c>
      <c r="I291" t="s">
        <v>135</v>
      </c>
      <c r="J291" t="s">
        <v>40</v>
      </c>
      <c r="K291" t="s">
        <v>31</v>
      </c>
      <c r="L291">
        <v>0.82</v>
      </c>
      <c r="M291">
        <v>1</v>
      </c>
      <c r="N291">
        <v>2.8160822667537615</v>
      </c>
      <c r="O291">
        <v>4.1746294160814488</v>
      </c>
      <c r="P291">
        <v>-1.3633570527640948</v>
      </c>
      <c r="Q291">
        <v>0.4672931329656026</v>
      </c>
      <c r="R291">
        <v>-1.7195523936223556</v>
      </c>
      <c r="S291" s="2">
        <v>0</v>
      </c>
      <c r="T291" s="2">
        <v>0</v>
      </c>
      <c r="U291" s="2">
        <v>0</v>
      </c>
      <c r="V291" s="2">
        <v>0</v>
      </c>
      <c r="W291" s="2">
        <v>0</v>
      </c>
      <c r="X291" s="2">
        <v>0</v>
      </c>
      <c r="Y291" s="2">
        <v>0</v>
      </c>
      <c r="Z291" s="2">
        <v>0</v>
      </c>
      <c r="AA291" s="2">
        <v>0</v>
      </c>
      <c r="AB291" s="2">
        <v>0</v>
      </c>
      <c r="AC291" s="2">
        <v>0</v>
      </c>
      <c r="AD291" s="2">
        <v>0</v>
      </c>
      <c r="AE291" s="2">
        <v>0</v>
      </c>
      <c r="AF291" s="2">
        <v>0</v>
      </c>
      <c r="AG291" s="2">
        <v>0</v>
      </c>
      <c r="AH291" s="2">
        <v>0</v>
      </c>
      <c r="AI291" s="2">
        <v>0</v>
      </c>
      <c r="AJ291" s="2">
        <v>0</v>
      </c>
      <c r="AK291" s="2">
        <v>0</v>
      </c>
      <c r="AL291" s="2">
        <v>0</v>
      </c>
      <c r="AM291" s="2">
        <v>0</v>
      </c>
      <c r="AN291" s="2">
        <v>0</v>
      </c>
      <c r="AO291" s="2">
        <v>0</v>
      </c>
      <c r="AP291" s="2">
        <v>0</v>
      </c>
      <c r="AQ291" s="2">
        <v>0</v>
      </c>
      <c r="AR291" s="2">
        <v>0</v>
      </c>
    </row>
    <row r="292" spans="1:44" x14ac:dyDescent="0.25">
      <c r="A292" t="s">
        <v>250</v>
      </c>
      <c r="B292" t="s">
        <v>300</v>
      </c>
      <c r="C292" t="s">
        <v>44</v>
      </c>
      <c r="D292" t="s">
        <v>152</v>
      </c>
      <c r="E292" t="s">
        <v>145</v>
      </c>
      <c r="F292" t="s">
        <v>301</v>
      </c>
      <c r="G292" t="s">
        <v>31</v>
      </c>
      <c r="H292" t="s">
        <v>254</v>
      </c>
      <c r="I292" t="s">
        <v>135</v>
      </c>
      <c r="J292" t="s">
        <v>39</v>
      </c>
      <c r="K292" t="s">
        <v>31</v>
      </c>
      <c r="L292">
        <v>2.46</v>
      </c>
      <c r="M292">
        <v>1</v>
      </c>
      <c r="N292">
        <v>1.9257476908385505</v>
      </c>
      <c r="O292">
        <v>5.411417628870181</v>
      </c>
      <c r="P292">
        <v>-0.88213896288743165</v>
      </c>
      <c r="Q292">
        <v>1.5220679573740847</v>
      </c>
      <c r="R292">
        <v>-1.8625523936223547</v>
      </c>
      <c r="S292" s="2">
        <v>0</v>
      </c>
      <c r="T292" s="2">
        <v>0</v>
      </c>
      <c r="U292" s="2">
        <v>1.6476448668437105E-2</v>
      </c>
      <c r="V292" s="2">
        <v>3.0864051603480356E-2</v>
      </c>
      <c r="W292" s="2">
        <v>5.2577668481451491E-2</v>
      </c>
      <c r="X292" s="2">
        <v>8.3498218721946044E-2</v>
      </c>
      <c r="Y292" s="2">
        <v>0.12531476565056318</v>
      </c>
      <c r="Z292" s="2">
        <v>0.17920212378557365</v>
      </c>
      <c r="AA292" s="2">
        <v>0.24544072554669094</v>
      </c>
      <c r="AB292" s="2">
        <v>0.32304398000769208</v>
      </c>
      <c r="AC292" s="2">
        <v>0.40949970598432367</v>
      </c>
      <c r="AD292" s="2">
        <v>0.50075734243150127</v>
      </c>
      <c r="AE292" s="2">
        <v>0.59157476561405764</v>
      </c>
      <c r="AF292" s="2">
        <v>0.67625561810265511</v>
      </c>
      <c r="AG292" s="2">
        <v>0.74966400981376169</v>
      </c>
      <c r="AH292" s="2">
        <v>0.80824703024544653</v>
      </c>
      <c r="AI292" s="2">
        <v>0.85071494067354958</v>
      </c>
      <c r="AJ292" s="2">
        <v>0.88051811682544057</v>
      </c>
      <c r="AK292" s="2">
        <v>0.89482934899006084</v>
      </c>
      <c r="AL292" s="2">
        <v>0.90535845896498135</v>
      </c>
      <c r="AM292" s="2">
        <v>0.90491608167244841</v>
      </c>
      <c r="AN292" s="2">
        <v>0.90085602485267802</v>
      </c>
      <c r="AO292" s="2">
        <v>1.2070559364664124</v>
      </c>
      <c r="AP292" s="2">
        <v>1.2004426615903332</v>
      </c>
      <c r="AQ292" s="2">
        <v>0.30257547922338457</v>
      </c>
      <c r="AR292" s="2">
        <v>12.839683503916868</v>
      </c>
    </row>
    <row r="293" spans="1:44" x14ac:dyDescent="0.25">
      <c r="A293" t="s">
        <v>250</v>
      </c>
      <c r="B293" t="s">
        <v>300</v>
      </c>
      <c r="C293" t="s">
        <v>44</v>
      </c>
      <c r="D293" t="s">
        <v>152</v>
      </c>
      <c r="E293" t="s">
        <v>145</v>
      </c>
      <c r="F293" t="s">
        <v>301</v>
      </c>
      <c r="G293" t="s">
        <v>31</v>
      </c>
      <c r="H293" t="s">
        <v>272</v>
      </c>
      <c r="I293" t="s">
        <v>135</v>
      </c>
      <c r="J293" t="s">
        <v>39</v>
      </c>
      <c r="K293" t="s">
        <v>31</v>
      </c>
      <c r="L293">
        <v>2.46</v>
      </c>
      <c r="M293">
        <v>1</v>
      </c>
      <c r="N293">
        <v>1.9257476908385505</v>
      </c>
      <c r="O293">
        <v>5.411417628870181</v>
      </c>
      <c r="P293">
        <v>-0.88213896288743165</v>
      </c>
      <c r="Q293">
        <v>1.5220679573740847</v>
      </c>
      <c r="R293">
        <v>-1.8625523936223547</v>
      </c>
      <c r="S293" s="2">
        <v>0</v>
      </c>
      <c r="T293" s="2">
        <v>0</v>
      </c>
      <c r="U293" s="2">
        <v>9.5543860766938646E-3</v>
      </c>
      <c r="V293" s="2">
        <v>1.7895451846906388E-2</v>
      </c>
      <c r="W293" s="2">
        <v>3.0481870318360388E-2</v>
      </c>
      <c r="X293" s="2">
        <v>4.8402528952361613E-2</v>
      </c>
      <c r="Y293" s="2">
        <v>7.2634615900153437E-2</v>
      </c>
      <c r="Z293" s="2">
        <v>0.10385684029747719</v>
      </c>
      <c r="AA293" s="2">
        <v>0.14222932034077548</v>
      </c>
      <c r="AB293" s="2">
        <v>0.18717796280794605</v>
      </c>
      <c r="AC293" s="2">
        <v>0.23724507932564315</v>
      </c>
      <c r="AD293" s="2">
        <v>0.29008248054678587</v>
      </c>
      <c r="AE293" s="2">
        <v>0.34265286721858634</v>
      </c>
      <c r="AF293" s="2">
        <v>0.39165725098415094</v>
      </c>
      <c r="AG293" s="2">
        <v>0.43412270665588909</v>
      </c>
      <c r="AH293" s="2">
        <v>0.46799424593515077</v>
      </c>
      <c r="AI293" s="2">
        <v>0.49252809790441676</v>
      </c>
      <c r="AJ293" s="2">
        <v>0.50972484508340432</v>
      </c>
      <c r="AK293" s="2">
        <v>0.51795052977093781</v>
      </c>
      <c r="AL293" s="2">
        <v>0.52398539337209737</v>
      </c>
      <c r="AM293" s="2">
        <v>0.52366973952066842</v>
      </c>
      <c r="AN293" s="2">
        <v>0.52126085871887329</v>
      </c>
      <c r="AO293" s="2">
        <v>0.70007560682223235</v>
      </c>
      <c r="AP293" s="2">
        <v>0.69615638067058172</v>
      </c>
      <c r="AQ293" s="2">
        <v>0.17669577844858553</v>
      </c>
      <c r="AR293" s="2">
        <v>7.4380348375186776</v>
      </c>
    </row>
    <row r="294" spans="1:44" x14ac:dyDescent="0.25">
      <c r="A294" t="s">
        <v>250</v>
      </c>
      <c r="B294" t="s">
        <v>300</v>
      </c>
      <c r="C294" t="s">
        <v>44</v>
      </c>
      <c r="D294" t="s">
        <v>152</v>
      </c>
      <c r="E294" t="s">
        <v>145</v>
      </c>
      <c r="F294" t="s">
        <v>301</v>
      </c>
      <c r="G294" t="s">
        <v>31</v>
      </c>
      <c r="H294" t="s">
        <v>272</v>
      </c>
      <c r="I294" t="s">
        <v>135</v>
      </c>
      <c r="J294" t="s">
        <v>40</v>
      </c>
      <c r="K294" t="s">
        <v>31</v>
      </c>
      <c r="L294">
        <v>2.46</v>
      </c>
      <c r="M294">
        <v>1</v>
      </c>
      <c r="N294">
        <v>1.9257476908385505</v>
      </c>
      <c r="O294">
        <v>4.174629416081447</v>
      </c>
      <c r="P294">
        <v>-0.88213896288743165</v>
      </c>
      <c r="Q294">
        <v>0.4672931329656026</v>
      </c>
      <c r="R294">
        <v>-1.7195523936223542</v>
      </c>
      <c r="S294" s="2">
        <v>0</v>
      </c>
      <c r="T294" s="2">
        <v>0</v>
      </c>
      <c r="U294" s="2">
        <v>9.4508014110924348E-4</v>
      </c>
      <c r="V294" s="2">
        <v>1.7701436827995852E-3</v>
      </c>
      <c r="W294" s="2">
        <v>3.0151398604271349E-3</v>
      </c>
      <c r="X294" s="2">
        <v>4.7877768937898309E-3</v>
      </c>
      <c r="Y294" s="2">
        <v>7.1847141714087371E-3</v>
      </c>
      <c r="Z294" s="2">
        <v>1.027308677874404E-2</v>
      </c>
      <c r="AA294" s="2">
        <v>1.4068732941975172E-2</v>
      </c>
      <c r="AB294" s="2">
        <v>1.8514865746799197E-2</v>
      </c>
      <c r="AC294" s="2">
        <v>2.3467296720768336E-2</v>
      </c>
      <c r="AD294" s="2">
        <v>2.8693752738045229E-2</v>
      </c>
      <c r="AE294" s="2">
        <v>3.389379678641645E-2</v>
      </c>
      <c r="AF294" s="2">
        <v>3.874110665566103E-2</v>
      </c>
      <c r="AG294" s="2">
        <v>4.2941612948410923E-2</v>
      </c>
      <c r="AH294" s="2">
        <v>4.6292044767334124E-2</v>
      </c>
      <c r="AI294" s="2">
        <v>4.8718831386060604E-2</v>
      </c>
      <c r="AJ294" s="2">
        <v>5.0419862108503563E-2</v>
      </c>
      <c r="AK294" s="2">
        <v>5.1233512633279535E-2</v>
      </c>
      <c r="AL294" s="2">
        <v>5.1830456246189573E-2</v>
      </c>
      <c r="AM294" s="2">
        <v>5.1799233079776207E-2</v>
      </c>
      <c r="AN294" s="2">
        <v>5.1560956607609232E-2</v>
      </c>
      <c r="AO294" s="2">
        <v>6.9248567932230554E-2</v>
      </c>
      <c r="AP294" s="2">
        <v>6.8860894378461171E-2</v>
      </c>
      <c r="AQ294" s="2">
        <v>1.7478011657592635E-2</v>
      </c>
      <c r="AR294" s="2">
        <v>0.73573947686339203</v>
      </c>
    </row>
    <row r="295" spans="1:44" x14ac:dyDescent="0.25">
      <c r="A295" t="s">
        <v>250</v>
      </c>
      <c r="B295" t="s">
        <v>300</v>
      </c>
      <c r="C295" t="s">
        <v>44</v>
      </c>
      <c r="D295" t="s">
        <v>152</v>
      </c>
      <c r="E295" t="s">
        <v>145</v>
      </c>
      <c r="F295" t="s">
        <v>301</v>
      </c>
      <c r="G295" t="s">
        <v>31</v>
      </c>
      <c r="H295" t="s">
        <v>253</v>
      </c>
      <c r="I295" t="s">
        <v>135</v>
      </c>
      <c r="J295" t="s">
        <v>39</v>
      </c>
      <c r="K295" t="s">
        <v>31</v>
      </c>
      <c r="L295">
        <v>2.46</v>
      </c>
      <c r="M295">
        <v>1</v>
      </c>
      <c r="N295">
        <v>1.9257476908385505</v>
      </c>
      <c r="O295">
        <v>5.411417628870181</v>
      </c>
      <c r="P295">
        <v>-0.88213896288743165</v>
      </c>
      <c r="Q295">
        <v>1.5220679573740847</v>
      </c>
      <c r="R295">
        <v>-1.8625523936223547</v>
      </c>
      <c r="S295" s="2">
        <v>0</v>
      </c>
      <c r="T295" s="2">
        <v>0</v>
      </c>
      <c r="U295" s="2">
        <v>1.2213258055663267E-5</v>
      </c>
      <c r="V295" s="2">
        <v>2.2887033826613961E-5</v>
      </c>
      <c r="W295" s="2">
        <v>3.900376670177146E-5</v>
      </c>
      <c r="X295" s="2">
        <v>6.1965661226559191E-5</v>
      </c>
      <c r="Y295" s="2">
        <v>9.3034660077822673E-5</v>
      </c>
      <c r="Z295" s="2">
        <v>1.3309272972538455E-4</v>
      </c>
      <c r="AA295" s="2">
        <v>1.8235868740684925E-4</v>
      </c>
      <c r="AB295" s="2">
        <v>2.4010993767699363E-4</v>
      </c>
      <c r="AC295" s="2">
        <v>3.0448838330869078E-4</v>
      </c>
      <c r="AD295" s="2">
        <v>3.7248870763579184E-4</v>
      </c>
      <c r="AE295" s="2">
        <v>4.4021422981023163E-4</v>
      </c>
      <c r="AF295" s="2">
        <v>5.0342406710918825E-4</v>
      </c>
      <c r="AG295" s="2">
        <v>5.58288138294199E-4</v>
      </c>
      <c r="AH295" s="2">
        <v>6.0214974664276472E-4</v>
      </c>
      <c r="AI295" s="2">
        <v>6.3403480930767351E-4</v>
      </c>
      <c r="AJ295" s="2">
        <v>6.5650190259546385E-4</v>
      </c>
      <c r="AK295" s="2">
        <v>6.6743129156138139E-4</v>
      </c>
      <c r="AL295" s="2">
        <v>6.755469836458325E-4</v>
      </c>
      <c r="AM295" s="2">
        <v>6.7547915764345828E-4</v>
      </c>
      <c r="AN295" s="2">
        <v>6.7270969309712013E-4</v>
      </c>
      <c r="AO295" s="2">
        <v>8.9421349517062123E-4</v>
      </c>
      <c r="AP295" s="2">
        <v>8.8967874362037098E-4</v>
      </c>
      <c r="AQ295" s="2">
        <v>2.188844762344794E-4</v>
      </c>
      <c r="AR295" s="2">
        <v>9.5501995603749258E-3</v>
      </c>
    </row>
    <row r="296" spans="1:44" x14ac:dyDescent="0.25">
      <c r="A296" t="s">
        <v>250</v>
      </c>
      <c r="B296" t="s">
        <v>300</v>
      </c>
      <c r="C296" t="s">
        <v>44</v>
      </c>
      <c r="D296" t="s">
        <v>152</v>
      </c>
      <c r="E296" t="s">
        <v>145</v>
      </c>
      <c r="F296" t="s">
        <v>301</v>
      </c>
      <c r="G296" t="s">
        <v>31</v>
      </c>
      <c r="H296" t="s">
        <v>253</v>
      </c>
      <c r="I296" t="s">
        <v>135</v>
      </c>
      <c r="J296" t="s">
        <v>40</v>
      </c>
      <c r="K296" t="s">
        <v>31</v>
      </c>
      <c r="L296">
        <v>2.46</v>
      </c>
      <c r="M296">
        <v>1</v>
      </c>
      <c r="N296">
        <v>1.9257476908385505</v>
      </c>
      <c r="O296">
        <v>4.174629416081447</v>
      </c>
      <c r="P296">
        <v>-0.88213896288743165</v>
      </c>
      <c r="Q296">
        <v>0.4672931329656026</v>
      </c>
      <c r="R296">
        <v>-1.7195523936223542</v>
      </c>
      <c r="S296" s="2">
        <v>0</v>
      </c>
      <c r="T296" s="2">
        <v>0</v>
      </c>
      <c r="U296" s="2">
        <v>6.4244275769413068E-6</v>
      </c>
      <c r="V296" s="2">
        <v>1.2039055475611353E-5</v>
      </c>
      <c r="W296" s="2">
        <v>2.051679193720578E-5</v>
      </c>
      <c r="X296" s="2">
        <v>3.2595225695957029E-5</v>
      </c>
      <c r="Y296" s="2">
        <v>4.8938164828030847E-5</v>
      </c>
      <c r="Z296" s="2">
        <v>7.0009542027294996E-5</v>
      </c>
      <c r="AA296" s="2">
        <v>9.5924459708614435E-5</v>
      </c>
      <c r="AB296" s="2">
        <v>1.263028176494191E-4</v>
      </c>
      <c r="AC296" s="2">
        <v>1.6016721808965288E-4</v>
      </c>
      <c r="AD296" s="2">
        <v>1.9593680200059044E-4</v>
      </c>
      <c r="AE296" s="2">
        <v>2.3156183426775576E-4</v>
      </c>
      <c r="AF296" s="2">
        <v>2.6481152243667877E-4</v>
      </c>
      <c r="AG296" s="2">
        <v>2.9367116417173682E-4</v>
      </c>
      <c r="AH296" s="2">
        <v>3.1674328178026159E-4</v>
      </c>
      <c r="AI296" s="2">
        <v>3.3351548743933683E-4</v>
      </c>
      <c r="AJ296" s="2">
        <v>3.4533364546350672E-4</v>
      </c>
      <c r="AK296" s="2">
        <v>3.5108273121537933E-4</v>
      </c>
      <c r="AL296" s="2">
        <v>3.5535175392788448E-4</v>
      </c>
      <c r="AM296" s="2">
        <v>3.5531607604094399E-4</v>
      </c>
      <c r="AN296" s="2">
        <v>3.5385928012917608E-4</v>
      </c>
      <c r="AO296" s="2">
        <v>4.7037488374228998E-4</v>
      </c>
      <c r="AP296" s="2">
        <v>4.6798951017684183E-4</v>
      </c>
      <c r="AQ296" s="2">
        <v>1.1513778378187131E-4</v>
      </c>
      <c r="AR296" s="2">
        <v>5.0236034595629812E-3</v>
      </c>
    </row>
    <row r="297" spans="1:44" x14ac:dyDescent="0.25">
      <c r="A297" t="s">
        <v>250</v>
      </c>
      <c r="B297" t="s">
        <v>300</v>
      </c>
      <c r="C297" t="s">
        <v>44</v>
      </c>
      <c r="D297" t="s">
        <v>152</v>
      </c>
      <c r="E297" t="s">
        <v>145</v>
      </c>
      <c r="F297" t="s">
        <v>301</v>
      </c>
      <c r="G297" t="s">
        <v>31</v>
      </c>
      <c r="H297" t="s">
        <v>253</v>
      </c>
      <c r="I297" t="s">
        <v>256</v>
      </c>
      <c r="J297" t="s">
        <v>39</v>
      </c>
      <c r="K297" t="s">
        <v>31</v>
      </c>
      <c r="L297">
        <v>2.46</v>
      </c>
      <c r="M297">
        <v>0</v>
      </c>
      <c r="N297">
        <v>0.96459681432133348</v>
      </c>
      <c r="O297">
        <v>2.7105504166527381</v>
      </c>
      <c r="P297">
        <v>0.5807979884614396</v>
      </c>
      <c r="Q297">
        <v>0.4672931329656026</v>
      </c>
      <c r="R297">
        <v>-0.39961544227348333</v>
      </c>
      <c r="S297" s="2">
        <v>0</v>
      </c>
      <c r="T297" s="2">
        <v>0</v>
      </c>
      <c r="U297" s="2">
        <v>6.4065977853684548E-6</v>
      </c>
      <c r="V297" s="2">
        <v>1.2005643339309186E-5</v>
      </c>
      <c r="W297" s="2">
        <v>2.0459851436343581E-5</v>
      </c>
      <c r="X297" s="2">
        <v>3.2504763771767097E-5</v>
      </c>
      <c r="Y297" s="2">
        <v>4.8802346147161347E-5</v>
      </c>
      <c r="Z297" s="2">
        <v>6.9815243698376496E-5</v>
      </c>
      <c r="AA297" s="2">
        <v>9.5658239395153086E-5</v>
      </c>
      <c r="AB297" s="2">
        <v>1.259522879116669E-4</v>
      </c>
      <c r="AC297" s="2">
        <v>1.5972270407168927E-4</v>
      </c>
      <c r="AD297" s="2">
        <v>1.953930162236815E-4</v>
      </c>
      <c r="AE297" s="2">
        <v>2.3091917790782723E-4</v>
      </c>
      <c r="AF297" s="2">
        <v>2.6407658781494166E-4</v>
      </c>
      <c r="AG297" s="2">
        <v>2.9285613503716719E-4</v>
      </c>
      <c r="AH297" s="2">
        <v>3.1586422031858137E-4</v>
      </c>
      <c r="AI297" s="2">
        <v>3.3258987787239164E-4</v>
      </c>
      <c r="AJ297" s="2">
        <v>3.443752368196288E-4</v>
      </c>
      <c r="AK297" s="2">
        <v>3.5010836706426539E-4</v>
      </c>
      <c r="AL297" s="2">
        <v>3.5436554190639268E-4</v>
      </c>
      <c r="AM297" s="2">
        <v>3.543299630367233E-4</v>
      </c>
      <c r="AN297" s="2">
        <v>3.5287721018827274E-4</v>
      </c>
      <c r="AO297" s="2">
        <v>4.6906944663714948E-4</v>
      </c>
      <c r="AP297" s="2">
        <v>4.6669069322781187E-4</v>
      </c>
      <c r="AQ297" s="2">
        <v>1.148182404976788E-4</v>
      </c>
      <c r="AR297" s="2">
        <v>5.0096613921093497E-3</v>
      </c>
    </row>
    <row r="298" spans="1:44" x14ac:dyDescent="0.25">
      <c r="A298" t="s">
        <v>250</v>
      </c>
      <c r="B298" t="s">
        <v>300</v>
      </c>
      <c r="C298" t="s">
        <v>44</v>
      </c>
      <c r="D298" t="s">
        <v>152</v>
      </c>
      <c r="E298" t="s">
        <v>145</v>
      </c>
      <c r="F298" t="s">
        <v>301</v>
      </c>
      <c r="G298" t="s">
        <v>31</v>
      </c>
      <c r="H298" t="s">
        <v>288</v>
      </c>
      <c r="I298" t="s">
        <v>135</v>
      </c>
      <c r="J298" t="s">
        <v>39</v>
      </c>
      <c r="K298" t="s">
        <v>31</v>
      </c>
      <c r="L298">
        <v>2.46</v>
      </c>
      <c r="M298">
        <v>1</v>
      </c>
      <c r="N298">
        <v>1.9257476908385505</v>
      </c>
      <c r="O298">
        <v>5.411417628870181</v>
      </c>
      <c r="P298">
        <v>-0.88213896288743165</v>
      </c>
      <c r="Q298">
        <v>1.5220679573740847</v>
      </c>
      <c r="R298">
        <v>-1.8625523936223547</v>
      </c>
      <c r="S298" s="2">
        <v>0</v>
      </c>
      <c r="T298" s="2">
        <v>0</v>
      </c>
      <c r="U298" s="2">
        <v>0.1054196192291285</v>
      </c>
      <c r="V298" s="2">
        <v>0.19776928671887817</v>
      </c>
      <c r="W298" s="2">
        <v>0.33740795039297233</v>
      </c>
      <c r="X298" s="2">
        <v>0.53663534777592548</v>
      </c>
      <c r="Y298" s="2">
        <v>0.80658917414026254</v>
      </c>
      <c r="Z298" s="2">
        <v>1.1551579516787975</v>
      </c>
      <c r="AA298" s="2">
        <v>1.584502478866461</v>
      </c>
      <c r="AB298" s="2">
        <v>2.0886036198844589</v>
      </c>
      <c r="AC298" s="2">
        <v>2.6515269497452385</v>
      </c>
      <c r="AD298" s="2">
        <v>3.2472659185265282</v>
      </c>
      <c r="AE298" s="2">
        <v>3.8419193695336475</v>
      </c>
      <c r="AF298" s="2">
        <v>4.3984288292111309</v>
      </c>
      <c r="AG298" s="2">
        <v>4.8831652539178565</v>
      </c>
      <c r="AH298" s="2">
        <v>5.2726258552292915</v>
      </c>
      <c r="AI298" s="2">
        <v>5.5579543421218718</v>
      </c>
      <c r="AJ298" s="2">
        <v>5.7612575189060982</v>
      </c>
      <c r="AK298" s="2">
        <v>5.8636398660649931</v>
      </c>
      <c r="AL298" s="2">
        <v>5.9414946435519722</v>
      </c>
      <c r="AM298" s="2">
        <v>5.9474599996197952</v>
      </c>
      <c r="AN298" s="2">
        <v>5.9296176196209354</v>
      </c>
      <c r="AO298" s="2">
        <v>7.7076481633912604</v>
      </c>
      <c r="AP298" s="2">
        <v>7.6775066246822963</v>
      </c>
      <c r="AQ298" s="2">
        <v>1.7565001489386192</v>
      </c>
      <c r="AR298" s="2">
        <v>83.250096531748412</v>
      </c>
    </row>
    <row r="299" spans="1:44" x14ac:dyDescent="0.25">
      <c r="A299" t="s">
        <v>250</v>
      </c>
      <c r="B299" t="s">
        <v>300</v>
      </c>
      <c r="C299" t="s">
        <v>44</v>
      </c>
      <c r="D299" t="s">
        <v>152</v>
      </c>
      <c r="E299" t="s">
        <v>145</v>
      </c>
      <c r="F299" t="s">
        <v>301</v>
      </c>
      <c r="G299" t="s">
        <v>31</v>
      </c>
      <c r="H299" t="s">
        <v>288</v>
      </c>
      <c r="I299" t="s">
        <v>135</v>
      </c>
      <c r="J299" t="s">
        <v>39</v>
      </c>
      <c r="K299" t="s">
        <v>33</v>
      </c>
      <c r="L299">
        <v>2.46</v>
      </c>
      <c r="M299">
        <v>1</v>
      </c>
      <c r="N299">
        <v>1.9257476908385505</v>
      </c>
      <c r="O299">
        <v>5.411417628870181</v>
      </c>
      <c r="P299">
        <v>-0.88213896288743165</v>
      </c>
      <c r="Q299">
        <v>1.5220679573740847</v>
      </c>
      <c r="R299">
        <v>-1.8625523936223547</v>
      </c>
      <c r="S299" s="2">
        <v>0</v>
      </c>
      <c r="T299" s="2">
        <v>0</v>
      </c>
      <c r="U299" s="2">
        <v>9.9169431007789695E-4</v>
      </c>
      <c r="V299" s="2">
        <v>1.8604381023327008E-3</v>
      </c>
      <c r="W299" s="2">
        <v>3.1740348431015877E-3</v>
      </c>
      <c r="X299" s="2">
        <v>5.0481895577650917E-3</v>
      </c>
      <c r="Y299" s="2">
        <v>7.5876758084923029E-3</v>
      </c>
      <c r="Z299" s="2">
        <v>1.086670181791523E-2</v>
      </c>
      <c r="AA299" s="2">
        <v>1.4905594462268888E-2</v>
      </c>
      <c r="AB299" s="2">
        <v>1.9647731048484073E-2</v>
      </c>
      <c r="AC299" s="2">
        <v>2.4943214634131374E-2</v>
      </c>
      <c r="AD299" s="2">
        <v>3.0547398655589475E-2</v>
      </c>
      <c r="AE299" s="2">
        <v>3.6141371088274955E-2</v>
      </c>
      <c r="AF299" s="2">
        <v>4.1376518669933013E-2</v>
      </c>
      <c r="AG299" s="2">
        <v>4.5936489174325967E-2</v>
      </c>
      <c r="AH299" s="2">
        <v>4.9600189206106662E-2</v>
      </c>
      <c r="AI299" s="2">
        <v>5.2284306631531052E-2</v>
      </c>
      <c r="AJ299" s="2">
        <v>5.4196802665115389E-2</v>
      </c>
      <c r="AK299" s="2">
        <v>5.5159925012476713E-2</v>
      </c>
      <c r="AL299" s="2">
        <v>5.5892313731111767E-2</v>
      </c>
      <c r="AM299" s="2">
        <v>5.5948430511966296E-2</v>
      </c>
      <c r="AN299" s="2">
        <v>5.5780585220430404E-2</v>
      </c>
      <c r="AO299" s="2">
        <v>7.2506720130568122E-2</v>
      </c>
      <c r="AP299" s="2">
        <v>7.2223175258624234E-2</v>
      </c>
      <c r="AQ299" s="2">
        <v>1.6523596044939162E-2</v>
      </c>
      <c r="AR299" s="2">
        <v>0.78314309658556236</v>
      </c>
    </row>
    <row r="300" spans="1:44" x14ac:dyDescent="0.25">
      <c r="A300" t="s">
        <v>250</v>
      </c>
      <c r="B300" t="s">
        <v>300</v>
      </c>
      <c r="C300" t="s">
        <v>44</v>
      </c>
      <c r="D300" t="s">
        <v>152</v>
      </c>
      <c r="E300" t="s">
        <v>145</v>
      </c>
      <c r="F300" t="s">
        <v>301</v>
      </c>
      <c r="G300" t="s">
        <v>31</v>
      </c>
      <c r="H300" t="s">
        <v>273</v>
      </c>
      <c r="I300" t="s">
        <v>135</v>
      </c>
      <c r="J300" t="s">
        <v>39</v>
      </c>
      <c r="K300" t="s">
        <v>31</v>
      </c>
      <c r="L300">
        <v>2.46</v>
      </c>
      <c r="M300">
        <v>1</v>
      </c>
      <c r="N300">
        <v>1.9257476908385505</v>
      </c>
      <c r="O300">
        <v>5.411417628870181</v>
      </c>
      <c r="P300">
        <v>-0.88213896288743165</v>
      </c>
      <c r="Q300">
        <v>1.5220679573740847</v>
      </c>
      <c r="R300">
        <v>-1.8625523936223547</v>
      </c>
      <c r="S300" s="2">
        <v>0</v>
      </c>
      <c r="T300" s="2">
        <v>0</v>
      </c>
      <c r="U300" s="2">
        <v>2.8735441697040525E-3</v>
      </c>
      <c r="V300" s="2">
        <v>5.3821743130451002E-3</v>
      </c>
      <c r="W300" s="2">
        <v>9.1676220776404846E-3</v>
      </c>
      <c r="X300" s="2">
        <v>1.4557377496945256E-2</v>
      </c>
      <c r="Y300" s="2">
        <v>2.1845336305564372E-2</v>
      </c>
      <c r="Z300" s="2">
        <v>3.1235624719905569E-2</v>
      </c>
      <c r="AA300" s="2">
        <v>4.2776399335919459E-2</v>
      </c>
      <c r="AB300" s="2">
        <v>5.6294997858195639E-2</v>
      </c>
      <c r="AC300" s="2">
        <v>7.1353010964267008E-2</v>
      </c>
      <c r="AD300" s="2">
        <v>8.7244205333279437E-2</v>
      </c>
      <c r="AE300" s="2">
        <v>0.10305509332830522</v>
      </c>
      <c r="AF300" s="2">
        <v>0.11779348260095272</v>
      </c>
      <c r="AG300" s="2">
        <v>0.13056524643589015</v>
      </c>
      <c r="AH300" s="2">
        <v>0.14075233364730669</v>
      </c>
      <c r="AI300" s="2">
        <v>0.14813105026193421</v>
      </c>
      <c r="AJ300" s="2">
        <v>0.15330308457134884</v>
      </c>
      <c r="AK300" s="2">
        <v>0.15577701309861897</v>
      </c>
      <c r="AL300" s="2">
        <v>0.15759203783980807</v>
      </c>
      <c r="AM300" s="2">
        <v>0.15749710287725394</v>
      </c>
      <c r="AN300" s="2">
        <v>0.1567726162040185</v>
      </c>
      <c r="AO300" s="2">
        <v>0.21055232248183989</v>
      </c>
      <c r="AP300" s="2">
        <v>0.20937358955568275</v>
      </c>
      <c r="AQ300" s="2">
        <v>5.3142412280240039E-2</v>
      </c>
      <c r="AR300" s="2">
        <v>2.2370376777576659</v>
      </c>
    </row>
    <row r="301" spans="1:44" x14ac:dyDescent="0.25">
      <c r="A301" t="s">
        <v>250</v>
      </c>
      <c r="B301" t="s">
        <v>300</v>
      </c>
      <c r="C301" t="s">
        <v>44</v>
      </c>
      <c r="D301" t="s">
        <v>152</v>
      </c>
      <c r="E301" t="s">
        <v>145</v>
      </c>
      <c r="F301" t="s">
        <v>301</v>
      </c>
      <c r="G301" t="s">
        <v>31</v>
      </c>
      <c r="H301" t="s">
        <v>252</v>
      </c>
      <c r="I301" t="s">
        <v>135</v>
      </c>
      <c r="J301" t="s">
        <v>39</v>
      </c>
      <c r="K301" t="s">
        <v>31</v>
      </c>
      <c r="L301">
        <v>2.46</v>
      </c>
      <c r="M301">
        <v>1</v>
      </c>
      <c r="N301">
        <v>1.9257476908385505</v>
      </c>
      <c r="O301">
        <v>5.411417628870181</v>
      </c>
      <c r="P301">
        <v>-0.88213896288743165</v>
      </c>
      <c r="Q301">
        <v>1.5220679573740847</v>
      </c>
      <c r="R301">
        <v>-1.8625523936223547</v>
      </c>
      <c r="S301" s="2">
        <v>0</v>
      </c>
      <c r="T301" s="2">
        <v>0</v>
      </c>
      <c r="U301" s="2">
        <v>9.7666763474999752E-3</v>
      </c>
      <c r="V301" s="2">
        <v>1.8309613300500446E-2</v>
      </c>
      <c r="W301" s="2">
        <v>3.1215522490008099E-2</v>
      </c>
      <c r="X301" s="2">
        <v>4.9612320982085206E-2</v>
      </c>
      <c r="Y301" s="2">
        <v>7.4517389048421756E-2</v>
      </c>
      <c r="Z301" s="2">
        <v>0.10664526675626335</v>
      </c>
      <c r="AA301" s="2">
        <v>0.14618005059954767</v>
      </c>
      <c r="AB301" s="2">
        <v>0.1925511794986578</v>
      </c>
      <c r="AC301" s="2">
        <v>0.24427621074125863</v>
      </c>
      <c r="AD301" s="2">
        <v>0.29894958535434352</v>
      </c>
      <c r="AE301" s="2">
        <v>0.35344620180473407</v>
      </c>
      <c r="AF301" s="2">
        <v>0.40435946569772807</v>
      </c>
      <c r="AG301" s="2">
        <v>0.4486074056667228</v>
      </c>
      <c r="AH301" s="2">
        <v>0.48404634363064214</v>
      </c>
      <c r="AI301" s="2">
        <v>0.50988229950433928</v>
      </c>
      <c r="AJ301" s="2">
        <v>0.52816208435214462</v>
      </c>
      <c r="AK301" s="2">
        <v>0.53717054890337579</v>
      </c>
      <c r="AL301" s="2">
        <v>0.54392069979688129</v>
      </c>
      <c r="AM301" s="2">
        <v>0.54408453133296475</v>
      </c>
      <c r="AN301" s="2">
        <v>0.54207141856703267</v>
      </c>
      <c r="AO301" s="2">
        <v>0.71468617457815642</v>
      </c>
      <c r="AP301" s="2">
        <v>0.71136335412615781</v>
      </c>
      <c r="AQ301" s="2">
        <v>0.17056559793945619</v>
      </c>
      <c r="AR301" s="2">
        <v>7.6643899410189231</v>
      </c>
    </row>
    <row r="302" spans="1:44" x14ac:dyDescent="0.25">
      <c r="A302" t="s">
        <v>250</v>
      </c>
      <c r="B302" t="s">
        <v>300</v>
      </c>
      <c r="C302" t="s">
        <v>44</v>
      </c>
      <c r="D302" t="s">
        <v>152</v>
      </c>
      <c r="E302" t="s">
        <v>145</v>
      </c>
      <c r="F302" t="s">
        <v>301</v>
      </c>
      <c r="G302" t="s">
        <v>31</v>
      </c>
      <c r="H302" t="s">
        <v>289</v>
      </c>
      <c r="I302" t="s">
        <v>135</v>
      </c>
      <c r="J302" t="s">
        <v>39</v>
      </c>
      <c r="K302" t="s">
        <v>31</v>
      </c>
      <c r="L302">
        <v>2.46</v>
      </c>
      <c r="M302">
        <v>1</v>
      </c>
      <c r="N302">
        <v>1.9257476908385505</v>
      </c>
      <c r="O302">
        <v>5.411417628870181</v>
      </c>
      <c r="P302">
        <v>-0.88213896288743165</v>
      </c>
      <c r="Q302">
        <v>1.5220679573740847</v>
      </c>
      <c r="R302">
        <v>-1.8625523936223547</v>
      </c>
      <c r="S302" s="2">
        <v>0</v>
      </c>
      <c r="T302" s="2">
        <v>0</v>
      </c>
      <c r="U302" s="2">
        <v>0.10019677832798483</v>
      </c>
      <c r="V302" s="2">
        <v>0.18797113408639401</v>
      </c>
      <c r="W302" s="2">
        <v>0.32069163082580254</v>
      </c>
      <c r="X302" s="2">
        <v>0.51004863589194693</v>
      </c>
      <c r="Y302" s="2">
        <v>0.76662804584247191</v>
      </c>
      <c r="Z302" s="2">
        <v>1.0979275590685169</v>
      </c>
      <c r="AA302" s="2">
        <v>1.5060009208538072</v>
      </c>
      <c r="AB302" s="2">
        <v>1.9851272035212024</v>
      </c>
      <c r="AC302" s="2">
        <v>2.520161426848456</v>
      </c>
      <c r="AD302" s="2">
        <v>3.0863854924712242</v>
      </c>
      <c r="AE302" s="2">
        <v>3.651577820504869</v>
      </c>
      <c r="AF302" s="2">
        <v>4.1805159382525376</v>
      </c>
      <c r="AG302" s="2">
        <v>4.6412368974914013</v>
      </c>
      <c r="AH302" s="2">
        <v>5.0114023166271897</v>
      </c>
      <c r="AI302" s="2">
        <v>5.282594674946159</v>
      </c>
      <c r="AJ302" s="2">
        <v>5.4758255316555715</v>
      </c>
      <c r="AK302" s="2">
        <v>5.5731355145410326</v>
      </c>
      <c r="AL302" s="2">
        <v>5.647133105679</v>
      </c>
      <c r="AM302" s="2">
        <v>5.6528029180340997</v>
      </c>
      <c r="AN302" s="2">
        <v>5.6358445092799974</v>
      </c>
      <c r="AO302" s="2">
        <v>7.325785466734323</v>
      </c>
      <c r="AP302" s="2">
        <v>7.2971372407724635</v>
      </c>
      <c r="AQ302" s="2">
        <v>1.6694772504703252</v>
      </c>
      <c r="AR302" s="2">
        <v>79.125608012726772</v>
      </c>
    </row>
    <row r="303" spans="1:44" x14ac:dyDescent="0.25">
      <c r="A303" t="s">
        <v>250</v>
      </c>
      <c r="B303" t="s">
        <v>300</v>
      </c>
      <c r="C303" t="s">
        <v>44</v>
      </c>
      <c r="D303" t="s">
        <v>152</v>
      </c>
      <c r="E303" t="s">
        <v>145</v>
      </c>
      <c r="F303" t="s">
        <v>301</v>
      </c>
      <c r="G303" t="s">
        <v>31</v>
      </c>
      <c r="H303" t="s">
        <v>274</v>
      </c>
      <c r="I303" t="s">
        <v>135</v>
      </c>
      <c r="J303" t="s">
        <v>39</v>
      </c>
      <c r="K303" t="s">
        <v>31</v>
      </c>
      <c r="L303">
        <v>2.46</v>
      </c>
      <c r="M303">
        <v>1</v>
      </c>
      <c r="N303">
        <v>1.9257476908385505</v>
      </c>
      <c r="O303">
        <v>5.411417628870181</v>
      </c>
      <c r="P303">
        <v>-0.88213896288743165</v>
      </c>
      <c r="Q303">
        <v>1.5220679573740847</v>
      </c>
      <c r="R303">
        <v>-1.8625523936223547</v>
      </c>
      <c r="S303" s="2">
        <v>0</v>
      </c>
      <c r="T303" s="2">
        <v>0</v>
      </c>
      <c r="U303" s="2">
        <v>4.5234730899086943E-3</v>
      </c>
      <c r="V303" s="2">
        <v>8.4725061570098455E-3</v>
      </c>
      <c r="W303" s="2">
        <v>1.4431478800247755E-2</v>
      </c>
      <c r="X303" s="2">
        <v>2.2915918976062287E-2</v>
      </c>
      <c r="Y303" s="2">
        <v>3.4388471198757681E-2</v>
      </c>
      <c r="Z303" s="2">
        <v>4.9170466685929365E-2</v>
      </c>
      <c r="AA303" s="2">
        <v>6.7337712543025993E-2</v>
      </c>
      <c r="AB303" s="2">
        <v>8.8618407398359925E-2</v>
      </c>
      <c r="AC303" s="2">
        <v>0.11232241647222131</v>
      </c>
      <c r="AD303" s="2">
        <v>0.13733800205208022</v>
      </c>
      <c r="AE303" s="2">
        <v>0.162227171018787</v>
      </c>
      <c r="AF303" s="2">
        <v>0.18542803494366156</v>
      </c>
      <c r="AG303" s="2">
        <v>0.20553307826511449</v>
      </c>
      <c r="AH303" s="2">
        <v>0.22156937774198726</v>
      </c>
      <c r="AI303" s="2">
        <v>0.23318479900337932</v>
      </c>
      <c r="AJ303" s="2">
        <v>0.24132650716481374</v>
      </c>
      <c r="AK303" s="2">
        <v>0.24522091367418578</v>
      </c>
      <c r="AL303" s="2">
        <v>0.2480780876340811</v>
      </c>
      <c r="AM303" s="2">
        <v>0.24792864300297618</v>
      </c>
      <c r="AN303" s="2">
        <v>0.24678817124516245</v>
      </c>
      <c r="AO303" s="2">
        <v>0.3314470592816644</v>
      </c>
      <c r="AP303" s="2">
        <v>0.32959152257967861</v>
      </c>
      <c r="AQ303" s="2">
        <v>8.3655673163798502E-2</v>
      </c>
      <c r="AR303" s="2">
        <v>3.5214978920928934</v>
      </c>
    </row>
    <row r="304" spans="1:44" x14ac:dyDescent="0.25">
      <c r="A304" t="s">
        <v>250</v>
      </c>
      <c r="B304" t="s">
        <v>300</v>
      </c>
      <c r="C304" t="s">
        <v>44</v>
      </c>
      <c r="D304" t="s">
        <v>152</v>
      </c>
      <c r="E304" t="s">
        <v>145</v>
      </c>
      <c r="F304" t="s">
        <v>301</v>
      </c>
      <c r="G304" t="s">
        <v>31</v>
      </c>
      <c r="H304" t="s">
        <v>274</v>
      </c>
      <c r="I304" t="s">
        <v>135</v>
      </c>
      <c r="J304" t="s">
        <v>39</v>
      </c>
      <c r="K304" t="s">
        <v>33</v>
      </c>
      <c r="L304">
        <v>2.46</v>
      </c>
      <c r="M304">
        <v>1</v>
      </c>
      <c r="N304">
        <v>1.9257476908385505</v>
      </c>
      <c r="O304">
        <v>5.411417628870181</v>
      </c>
      <c r="P304">
        <v>-0.88213896288743165</v>
      </c>
      <c r="Q304">
        <v>1.5220679573740847</v>
      </c>
      <c r="R304">
        <v>-1.8625523936223547</v>
      </c>
      <c r="S304" s="2">
        <v>0</v>
      </c>
      <c r="T304" s="2">
        <v>0</v>
      </c>
      <c r="U304" s="2">
        <v>1.455419606543837E-5</v>
      </c>
      <c r="V304" s="2">
        <v>2.7260141339150541E-5</v>
      </c>
      <c r="W304" s="2">
        <v>4.6433032273717526E-5</v>
      </c>
      <c r="X304" s="2">
        <v>7.3731571111002758E-5</v>
      </c>
      <c r="Y304" s="2">
        <v>1.1064430853671822E-4</v>
      </c>
      <c r="Z304" s="2">
        <v>1.5820512215992125E-4</v>
      </c>
      <c r="AA304" s="2">
        <v>2.1665792002514394E-4</v>
      </c>
      <c r="AB304" s="2">
        <v>2.8512818594189057E-4</v>
      </c>
      <c r="AC304" s="2">
        <v>3.613954232484514E-4</v>
      </c>
      <c r="AD304" s="2">
        <v>4.4188263517267861E-4</v>
      </c>
      <c r="AE304" s="2">
        <v>5.2196310384074499E-4</v>
      </c>
      <c r="AF304" s="2">
        <v>5.9661148037325467E-4</v>
      </c>
      <c r="AG304" s="2">
        <v>6.6129910790824393E-4</v>
      </c>
      <c r="AH304" s="2">
        <v>7.1289562282311487E-4</v>
      </c>
      <c r="AI304" s="2">
        <v>7.50268038898298E-4</v>
      </c>
      <c r="AJ304" s="2">
        <v>7.7646384343473831E-4</v>
      </c>
      <c r="AK304" s="2">
        <v>7.8899402870816627E-4</v>
      </c>
      <c r="AL304" s="2">
        <v>7.9818693627694301E-4</v>
      </c>
      <c r="AM304" s="2">
        <v>7.9770610077316165E-4</v>
      </c>
      <c r="AN304" s="2">
        <v>7.9403665270960514E-4</v>
      </c>
      <c r="AO304" s="2">
        <v>1.0664251539066179E-3</v>
      </c>
      <c r="AP304" s="2">
        <v>1.0604549968103885E-3</v>
      </c>
      <c r="AQ304" s="2">
        <v>2.6916067477627409E-4</v>
      </c>
      <c r="AR304" s="2">
        <v>1.1330358277113668E-2</v>
      </c>
    </row>
    <row r="305" spans="1:44" x14ac:dyDescent="0.25">
      <c r="A305" t="s">
        <v>250</v>
      </c>
      <c r="B305" t="s">
        <v>300</v>
      </c>
      <c r="C305" t="s">
        <v>44</v>
      </c>
      <c r="D305" t="s">
        <v>152</v>
      </c>
      <c r="E305" t="s">
        <v>145</v>
      </c>
      <c r="F305" t="s">
        <v>301</v>
      </c>
      <c r="G305" t="s">
        <v>31</v>
      </c>
      <c r="H305" t="s">
        <v>255</v>
      </c>
      <c r="I305" t="s">
        <v>135</v>
      </c>
      <c r="J305" t="s">
        <v>39</v>
      </c>
      <c r="K305" t="s">
        <v>31</v>
      </c>
      <c r="L305">
        <v>2.46</v>
      </c>
      <c r="M305">
        <v>1</v>
      </c>
      <c r="N305">
        <v>1.9257476908385505</v>
      </c>
      <c r="O305">
        <v>5.411417628870181</v>
      </c>
      <c r="P305">
        <v>-0.88213896288743165</v>
      </c>
      <c r="Q305">
        <v>1.5220679573740847</v>
      </c>
      <c r="R305">
        <v>-1.8625523936223547</v>
      </c>
      <c r="S305" s="2">
        <v>0</v>
      </c>
      <c r="T305" s="2">
        <v>0</v>
      </c>
      <c r="U305" s="2">
        <v>3.4228531976286578E-3</v>
      </c>
      <c r="V305" s="2">
        <v>6.3826961949523722E-3</v>
      </c>
      <c r="W305" s="2">
        <v>1.0823784425987262E-2</v>
      </c>
      <c r="X305" s="2">
        <v>1.7111244399530032E-2</v>
      </c>
      <c r="Y305" s="2">
        <v>2.5564258671583889E-2</v>
      </c>
      <c r="Z305" s="2">
        <v>3.6391560823218219E-2</v>
      </c>
      <c r="AA305" s="2">
        <v>4.9617026046032249E-2</v>
      </c>
      <c r="AB305" s="2">
        <v>6.5008826948513204E-2</v>
      </c>
      <c r="AC305" s="2">
        <v>8.2033425112555639E-2</v>
      </c>
      <c r="AD305" s="2">
        <v>9.9859905309992794E-2</v>
      </c>
      <c r="AE305" s="2">
        <v>0.11743567211467382</v>
      </c>
      <c r="AF305" s="2">
        <v>0.1336373505500561</v>
      </c>
      <c r="AG305" s="2">
        <v>0.14747221581921705</v>
      </c>
      <c r="AH305" s="2">
        <v>0.15827569714711054</v>
      </c>
      <c r="AI305" s="2">
        <v>0.16583673971570659</v>
      </c>
      <c r="AJ305" s="2">
        <v>0.17086832433361254</v>
      </c>
      <c r="AK305" s="2">
        <v>0.17285822836074771</v>
      </c>
      <c r="AL305" s="2">
        <v>0.17409927988599899</v>
      </c>
      <c r="AM305" s="2">
        <v>0.17322528751709329</v>
      </c>
      <c r="AN305" s="2">
        <v>0.17166625992943949</v>
      </c>
      <c r="AO305" s="2">
        <v>0.25333242015781443</v>
      </c>
      <c r="AP305" s="2">
        <v>0.25074268970508956</v>
      </c>
      <c r="AQ305" s="2">
        <v>8.0444493572671305E-2</v>
      </c>
      <c r="AR305" s="2">
        <v>2.5661102399392255</v>
      </c>
    </row>
    <row r="306" spans="1:44" x14ac:dyDescent="0.25">
      <c r="A306" t="s">
        <v>250</v>
      </c>
      <c r="B306" t="s">
        <v>300</v>
      </c>
      <c r="C306" t="s">
        <v>44</v>
      </c>
      <c r="D306" t="s">
        <v>152</v>
      </c>
      <c r="E306" t="s">
        <v>145</v>
      </c>
      <c r="F306" t="s">
        <v>301</v>
      </c>
      <c r="G306" t="s">
        <v>31</v>
      </c>
      <c r="H306" t="s">
        <v>278</v>
      </c>
      <c r="I306" t="s">
        <v>135</v>
      </c>
      <c r="J306" t="s">
        <v>39</v>
      </c>
      <c r="K306" t="s">
        <v>31</v>
      </c>
      <c r="L306">
        <v>2.46</v>
      </c>
      <c r="M306">
        <v>1</v>
      </c>
      <c r="N306">
        <v>1.9257476908385505</v>
      </c>
      <c r="O306">
        <v>5.411417628870181</v>
      </c>
      <c r="P306">
        <v>-0.88213896288743165</v>
      </c>
      <c r="Q306">
        <v>1.5220679573740847</v>
      </c>
      <c r="R306">
        <v>-1.8625523936223547</v>
      </c>
      <c r="S306" s="2">
        <v>0</v>
      </c>
      <c r="T306" s="2">
        <v>0</v>
      </c>
      <c r="U306" s="2">
        <v>3.0219198777838959E-2</v>
      </c>
      <c r="V306" s="2">
        <v>5.6350639047987407E-2</v>
      </c>
      <c r="W306" s="2">
        <v>9.5559486256667617E-2</v>
      </c>
      <c r="X306" s="2">
        <v>0.15106931731802536</v>
      </c>
      <c r="Y306" s="2">
        <v>0.22569808571980057</v>
      </c>
      <c r="Z306" s="2">
        <v>0.32128862877161463</v>
      </c>
      <c r="AA306" s="2">
        <v>0.43805173236440043</v>
      </c>
      <c r="AB306" s="2">
        <v>0.57394067184425646</v>
      </c>
      <c r="AC306" s="2">
        <v>0.72424501921984763</v>
      </c>
      <c r="AD306" s="2">
        <v>0.88162890847597308</v>
      </c>
      <c r="AE306" s="2">
        <v>1.0367993350404434</v>
      </c>
      <c r="AF306" s="2">
        <v>1.1798384059280402</v>
      </c>
      <c r="AG306" s="2">
        <v>1.3019816938502444</v>
      </c>
      <c r="AH306" s="2">
        <v>1.3973619310063292</v>
      </c>
      <c r="AI306" s="2">
        <v>1.4641157866804213</v>
      </c>
      <c r="AJ306" s="2">
        <v>1.5085379242822776</v>
      </c>
      <c r="AK306" s="2">
        <v>1.5261061055254814</v>
      </c>
      <c r="AL306" s="2">
        <v>1.5370629244627034</v>
      </c>
      <c r="AM306" s="2">
        <v>1.5293467451230311</v>
      </c>
      <c r="AN306" s="2">
        <v>1.5155826244169239</v>
      </c>
      <c r="AO306" s="2">
        <v>2.236585187738616</v>
      </c>
      <c r="AP306" s="2">
        <v>2.2137213443853168</v>
      </c>
      <c r="AQ306" s="2">
        <v>0.71021688675965255</v>
      </c>
      <c r="AR306" s="2">
        <v>22.655308582995893</v>
      </c>
    </row>
    <row r="307" spans="1:44" x14ac:dyDescent="0.25">
      <c r="A307" t="s">
        <v>250</v>
      </c>
      <c r="B307" t="s">
        <v>300</v>
      </c>
      <c r="C307" t="s">
        <v>44</v>
      </c>
      <c r="D307" t="s">
        <v>152</v>
      </c>
      <c r="E307" t="s">
        <v>145</v>
      </c>
      <c r="F307" t="s">
        <v>301</v>
      </c>
      <c r="G307" t="s">
        <v>31</v>
      </c>
      <c r="H307" t="s">
        <v>276</v>
      </c>
      <c r="I307" t="s">
        <v>135</v>
      </c>
      <c r="J307" t="s">
        <v>39</v>
      </c>
      <c r="K307" t="s">
        <v>31</v>
      </c>
      <c r="L307">
        <v>2.46</v>
      </c>
      <c r="M307">
        <v>1</v>
      </c>
      <c r="N307">
        <v>1.9257476908385505</v>
      </c>
      <c r="O307">
        <v>5.411417628870181</v>
      </c>
      <c r="P307">
        <v>-0.88213896288743165</v>
      </c>
      <c r="Q307">
        <v>1.5220679573740847</v>
      </c>
      <c r="R307">
        <v>-1.8625523936223547</v>
      </c>
      <c r="S307" s="2">
        <v>0</v>
      </c>
      <c r="T307" s="2">
        <v>0</v>
      </c>
      <c r="U307" s="2">
        <v>0.4300462121946208</v>
      </c>
      <c r="V307" s="2">
        <v>0.8075034659538719</v>
      </c>
      <c r="W307" s="2">
        <v>1.3788998485957682</v>
      </c>
      <c r="X307" s="2">
        <v>2.195070900426682</v>
      </c>
      <c r="Y307" s="2">
        <v>3.3022772265576337</v>
      </c>
      <c r="Z307" s="2">
        <v>4.7336307459671252</v>
      </c>
      <c r="AA307" s="2">
        <v>6.4988691433492258</v>
      </c>
      <c r="AB307" s="2">
        <v>8.5741832300716769</v>
      </c>
      <c r="AC307" s="2">
        <v>10.894935002697562</v>
      </c>
      <c r="AD307" s="2">
        <v>13.354828548240455</v>
      </c>
      <c r="AE307" s="2">
        <v>15.814685976051791</v>
      </c>
      <c r="AF307" s="2">
        <v>18.12181781956517</v>
      </c>
      <c r="AG307" s="2">
        <v>20.137125516500227</v>
      </c>
      <c r="AH307" s="2">
        <v>21.762805195944054</v>
      </c>
      <c r="AI307" s="2">
        <v>22.961209373708478</v>
      </c>
      <c r="AJ307" s="2">
        <v>23.822587797377281</v>
      </c>
      <c r="AK307" s="2">
        <v>24.267822037232015</v>
      </c>
      <c r="AL307" s="2">
        <v>24.612236910724498</v>
      </c>
      <c r="AM307" s="2">
        <v>24.659187965072267</v>
      </c>
      <c r="AN307" s="2">
        <v>24.607403670345622</v>
      </c>
      <c r="AO307" s="2">
        <v>31.415511025863445</v>
      </c>
      <c r="AP307" s="2">
        <v>31.32252240192739</v>
      </c>
      <c r="AQ307" s="2">
        <v>6.7212831240685249</v>
      </c>
      <c r="AR307" s="2">
        <v>342.39644313843542</v>
      </c>
    </row>
    <row r="308" spans="1:44" x14ac:dyDescent="0.25">
      <c r="A308" t="s">
        <v>250</v>
      </c>
      <c r="B308" t="s">
        <v>300</v>
      </c>
      <c r="C308" t="s">
        <v>44</v>
      </c>
      <c r="D308" t="s">
        <v>152</v>
      </c>
      <c r="E308" t="s">
        <v>145</v>
      </c>
      <c r="F308" t="s">
        <v>301</v>
      </c>
      <c r="G308" t="s">
        <v>31</v>
      </c>
      <c r="H308" t="s">
        <v>290</v>
      </c>
      <c r="I308" t="s">
        <v>135</v>
      </c>
      <c r="J308" t="s">
        <v>39</v>
      </c>
      <c r="K308" t="s">
        <v>31</v>
      </c>
      <c r="L308">
        <v>2.46</v>
      </c>
      <c r="M308">
        <v>1</v>
      </c>
      <c r="N308">
        <v>1.9257476908385505</v>
      </c>
      <c r="O308">
        <v>5.411417628870181</v>
      </c>
      <c r="P308">
        <v>-0.88213896288743165</v>
      </c>
      <c r="Q308">
        <v>1.5220679573740847</v>
      </c>
      <c r="R308">
        <v>-1.8625523936223547</v>
      </c>
      <c r="S308" s="2">
        <v>0</v>
      </c>
      <c r="T308" s="2">
        <v>0</v>
      </c>
      <c r="U308" s="2">
        <v>0.1450917593908336</v>
      </c>
      <c r="V308" s="2">
        <v>0.2721950048135216</v>
      </c>
      <c r="W308" s="2">
        <v>0.46438332364460555</v>
      </c>
      <c r="X308" s="2">
        <v>0.73858516402805419</v>
      </c>
      <c r="Y308" s="2">
        <v>1.1101296251815123</v>
      </c>
      <c r="Z308" s="2">
        <v>1.5898738850412926</v>
      </c>
      <c r="AA308" s="2">
        <v>2.1807919066581936</v>
      </c>
      <c r="AB308" s="2">
        <v>2.8745993971050794</v>
      </c>
      <c r="AC308" s="2">
        <v>3.6493653935001737</v>
      </c>
      <c r="AD308" s="2">
        <v>4.4692964058697839</v>
      </c>
      <c r="AE308" s="2">
        <v>5.287733391939013</v>
      </c>
      <c r="AF308" s="2">
        <v>6.0536718122509861</v>
      </c>
      <c r="AG308" s="2">
        <v>6.7208271407924096</v>
      </c>
      <c r="AH308" s="2">
        <v>7.2568518795544561</v>
      </c>
      <c r="AI308" s="2">
        <v>7.649556885228864</v>
      </c>
      <c r="AJ308" s="2">
        <v>7.9293683266386132</v>
      </c>
      <c r="AK308" s="2">
        <v>8.0702798096099215</v>
      </c>
      <c r="AL308" s="2">
        <v>8.1774333615309889</v>
      </c>
      <c r="AM308" s="2">
        <v>8.1856436359903579</v>
      </c>
      <c r="AN308" s="2">
        <v>8.1610867050823845</v>
      </c>
      <c r="AO308" s="2">
        <v>10.608236312837706</v>
      </c>
      <c r="AP308" s="2">
        <v>10.566751730423068</v>
      </c>
      <c r="AQ308" s="2">
        <v>2.4175167662657202</v>
      </c>
      <c r="AR308" s="2">
        <v>114.57926962337753</v>
      </c>
    </row>
    <row r="309" spans="1:44" x14ac:dyDescent="0.25">
      <c r="A309" t="s">
        <v>250</v>
      </c>
      <c r="B309" t="s">
        <v>300</v>
      </c>
      <c r="C309" t="s">
        <v>44</v>
      </c>
      <c r="D309" t="s">
        <v>152</v>
      </c>
      <c r="E309" t="s">
        <v>145</v>
      </c>
      <c r="F309" t="s">
        <v>301</v>
      </c>
      <c r="G309" t="s">
        <v>31</v>
      </c>
      <c r="H309" t="s">
        <v>275</v>
      </c>
      <c r="I309" t="s">
        <v>135</v>
      </c>
      <c r="J309" t="s">
        <v>39</v>
      </c>
      <c r="K309" t="s">
        <v>31</v>
      </c>
      <c r="L309">
        <v>2.46</v>
      </c>
      <c r="M309">
        <v>1</v>
      </c>
      <c r="N309">
        <v>1.9257476908385505</v>
      </c>
      <c r="O309">
        <v>5.411417628870181</v>
      </c>
      <c r="P309">
        <v>-0.88213896288743165</v>
      </c>
      <c r="Q309">
        <v>1.5220679573740847</v>
      </c>
      <c r="R309">
        <v>-1.8625523936223547</v>
      </c>
      <c r="S309" s="2">
        <v>0</v>
      </c>
      <c r="T309" s="2">
        <v>0</v>
      </c>
      <c r="U309" s="2">
        <v>6.9104528390749207E-3</v>
      </c>
      <c r="V309" s="2">
        <v>1.2943340893837444E-2</v>
      </c>
      <c r="W309" s="2">
        <v>2.2046788311773646E-2</v>
      </c>
      <c r="X309" s="2">
        <v>3.5008360655758193E-2</v>
      </c>
      <c r="Y309" s="2">
        <v>5.2534834120500515E-2</v>
      </c>
      <c r="Z309" s="2">
        <v>7.5117102358019786E-2</v>
      </c>
      <c r="AA309" s="2">
        <v>0.10287097492806295</v>
      </c>
      <c r="AB309" s="2">
        <v>0.13538122430007762</v>
      </c>
      <c r="AC309" s="2">
        <v>0.17159354026750376</v>
      </c>
      <c r="AD309" s="2">
        <v>0.2098095351359395</v>
      </c>
      <c r="AE309" s="2">
        <v>0.24783240493744108</v>
      </c>
      <c r="AF309" s="2">
        <v>0.28327607240090241</v>
      </c>
      <c r="AG309" s="2">
        <v>0.31399029373901666</v>
      </c>
      <c r="AH309" s="2">
        <v>0.33848874637609155</v>
      </c>
      <c r="AI309" s="2">
        <v>0.35623347907095504</v>
      </c>
      <c r="AJ309" s="2">
        <v>0.36867146403534423</v>
      </c>
      <c r="AK309" s="2">
        <v>0.37462089978621455</v>
      </c>
      <c r="AL309" s="2">
        <v>0.378985768441438</v>
      </c>
      <c r="AM309" s="2">
        <v>0.37875746376165403</v>
      </c>
      <c r="AN309" s="2">
        <v>0.37701517942835033</v>
      </c>
      <c r="AO309" s="2">
        <v>0.50634749589330375</v>
      </c>
      <c r="AP309" s="2">
        <v>0.50351281585533714</v>
      </c>
      <c r="AQ309" s="2">
        <v>0.12779971774545457</v>
      </c>
      <c r="AR309" s="2">
        <v>5.3797479552820509</v>
      </c>
    </row>
    <row r="310" spans="1:44" x14ac:dyDescent="0.25">
      <c r="A310" t="s">
        <v>250</v>
      </c>
      <c r="B310" t="s">
        <v>300</v>
      </c>
      <c r="C310" t="s">
        <v>44</v>
      </c>
      <c r="D310" t="s">
        <v>152</v>
      </c>
      <c r="E310" t="s">
        <v>145</v>
      </c>
      <c r="F310" t="s">
        <v>301</v>
      </c>
      <c r="G310" t="s">
        <v>31</v>
      </c>
      <c r="H310" t="s">
        <v>277</v>
      </c>
      <c r="I310" t="s">
        <v>135</v>
      </c>
      <c r="J310" t="s">
        <v>39</v>
      </c>
      <c r="K310" t="s">
        <v>31</v>
      </c>
      <c r="L310">
        <v>2.46</v>
      </c>
      <c r="M310">
        <v>1</v>
      </c>
      <c r="N310">
        <v>1.9257476908385505</v>
      </c>
      <c r="O310">
        <v>5.411417628870181</v>
      </c>
      <c r="P310">
        <v>-0.88213896288743165</v>
      </c>
      <c r="Q310">
        <v>1.5220679573740847</v>
      </c>
      <c r="R310">
        <v>-1.8625523936223547</v>
      </c>
      <c r="S310" s="2">
        <v>0</v>
      </c>
      <c r="T310" s="2">
        <v>0</v>
      </c>
      <c r="U310" s="2">
        <v>0</v>
      </c>
      <c r="V310" s="2">
        <v>0</v>
      </c>
      <c r="W310" s="2">
        <v>0</v>
      </c>
      <c r="X310" s="2">
        <v>0</v>
      </c>
      <c r="Y310" s="2">
        <v>0</v>
      </c>
      <c r="Z310" s="2">
        <v>0</v>
      </c>
      <c r="AA310" s="2">
        <v>0</v>
      </c>
      <c r="AB310" s="2">
        <v>0</v>
      </c>
      <c r="AC310" s="2">
        <v>0</v>
      </c>
      <c r="AD310" s="2">
        <v>0</v>
      </c>
      <c r="AE310" s="2">
        <v>0</v>
      </c>
      <c r="AF310" s="2">
        <v>0</v>
      </c>
      <c r="AG310" s="2">
        <v>0</v>
      </c>
      <c r="AH310" s="2">
        <v>0</v>
      </c>
      <c r="AI310" s="2">
        <v>0</v>
      </c>
      <c r="AJ310" s="2">
        <v>0</v>
      </c>
      <c r="AK310" s="2">
        <v>0</v>
      </c>
      <c r="AL310" s="2">
        <v>0</v>
      </c>
      <c r="AM310" s="2">
        <v>0</v>
      </c>
      <c r="AN310" s="2">
        <v>0</v>
      </c>
      <c r="AO310" s="2">
        <v>0</v>
      </c>
      <c r="AP310" s="2">
        <v>0</v>
      </c>
      <c r="AQ310" s="2">
        <v>0</v>
      </c>
      <c r="AR310" s="2">
        <v>0</v>
      </c>
    </row>
    <row r="311" spans="1:44" x14ac:dyDescent="0.25">
      <c r="A311" t="s">
        <v>250</v>
      </c>
      <c r="B311" t="s">
        <v>300</v>
      </c>
      <c r="C311" t="s">
        <v>44</v>
      </c>
      <c r="D311" t="s">
        <v>152</v>
      </c>
      <c r="E311" t="s">
        <v>145</v>
      </c>
      <c r="F311" t="s">
        <v>301</v>
      </c>
      <c r="G311" t="s">
        <v>31</v>
      </c>
      <c r="H311" t="s">
        <v>277</v>
      </c>
      <c r="I311" t="s">
        <v>135</v>
      </c>
      <c r="J311" t="s">
        <v>40</v>
      </c>
      <c r="K311" t="s">
        <v>31</v>
      </c>
      <c r="L311">
        <v>2.46</v>
      </c>
      <c r="M311">
        <v>1</v>
      </c>
      <c r="N311">
        <v>1.9257476908385505</v>
      </c>
      <c r="O311">
        <v>4.174629416081447</v>
      </c>
      <c r="P311">
        <v>-0.88213896288743165</v>
      </c>
      <c r="Q311">
        <v>0.4672931329656026</v>
      </c>
      <c r="R311">
        <v>-1.7195523936223542</v>
      </c>
      <c r="S311" s="2">
        <v>0</v>
      </c>
      <c r="T311" s="2">
        <v>0</v>
      </c>
      <c r="U311" s="2">
        <v>0</v>
      </c>
      <c r="V311" s="2">
        <v>0</v>
      </c>
      <c r="W311" s="2">
        <v>0</v>
      </c>
      <c r="X311" s="2">
        <v>0</v>
      </c>
      <c r="Y311" s="2">
        <v>0</v>
      </c>
      <c r="Z311" s="2">
        <v>0</v>
      </c>
      <c r="AA311" s="2">
        <v>0</v>
      </c>
      <c r="AB311" s="2">
        <v>0</v>
      </c>
      <c r="AC311" s="2">
        <v>0</v>
      </c>
      <c r="AD311" s="2">
        <v>0</v>
      </c>
      <c r="AE311" s="2">
        <v>0</v>
      </c>
      <c r="AF311" s="2">
        <v>0</v>
      </c>
      <c r="AG311" s="2">
        <v>0</v>
      </c>
      <c r="AH311" s="2">
        <v>0</v>
      </c>
      <c r="AI311" s="2">
        <v>0</v>
      </c>
      <c r="AJ311" s="2">
        <v>0</v>
      </c>
      <c r="AK311" s="2">
        <v>0</v>
      </c>
      <c r="AL311" s="2">
        <v>0</v>
      </c>
      <c r="AM311" s="2">
        <v>0</v>
      </c>
      <c r="AN311" s="2">
        <v>0</v>
      </c>
      <c r="AO311" s="2">
        <v>0</v>
      </c>
      <c r="AP311" s="2">
        <v>0</v>
      </c>
      <c r="AQ311" s="2">
        <v>0</v>
      </c>
      <c r="AR311" s="2">
        <v>0</v>
      </c>
    </row>
    <row r="312" spans="1:44" x14ac:dyDescent="0.25">
      <c r="A312" t="s">
        <v>250</v>
      </c>
      <c r="B312" t="s">
        <v>300</v>
      </c>
      <c r="C312" t="s">
        <v>44</v>
      </c>
      <c r="D312" t="s">
        <v>152</v>
      </c>
      <c r="E312" t="s">
        <v>148</v>
      </c>
      <c r="F312" t="s">
        <v>301</v>
      </c>
      <c r="G312" t="s">
        <v>31</v>
      </c>
      <c r="H312" t="s">
        <v>254</v>
      </c>
      <c r="I312" t="s">
        <v>135</v>
      </c>
      <c r="J312" t="s">
        <v>39</v>
      </c>
      <c r="K312" t="s">
        <v>31</v>
      </c>
      <c r="L312">
        <v>2.46</v>
      </c>
      <c r="M312">
        <v>1</v>
      </c>
      <c r="N312">
        <v>1.9257476908385505</v>
      </c>
      <c r="O312">
        <v>5.411417628870181</v>
      </c>
      <c r="P312">
        <v>-0.88213896288743165</v>
      </c>
      <c r="Q312">
        <v>1.5220679573740847</v>
      </c>
      <c r="R312">
        <v>-1.8625523936223547</v>
      </c>
      <c r="S312" s="2">
        <v>0</v>
      </c>
      <c r="T312" s="2">
        <v>0</v>
      </c>
      <c r="U312" s="2">
        <v>5.298556990797911E-3</v>
      </c>
      <c r="V312" s="2">
        <v>1.0038038502459741E-2</v>
      </c>
      <c r="W312" s="2">
        <v>1.7294996191147435E-2</v>
      </c>
      <c r="X312" s="2">
        <v>2.7780543664875975E-2</v>
      </c>
      <c r="Y312" s="2">
        <v>4.2172676609866178E-2</v>
      </c>
      <c r="Z312" s="2">
        <v>6.1004000592290088E-2</v>
      </c>
      <c r="AA312" s="2">
        <v>8.4521800286951068E-2</v>
      </c>
      <c r="AB312" s="2">
        <v>0.1125411280870362</v>
      </c>
      <c r="AC312" s="2">
        <v>0.14432816907222887</v>
      </c>
      <c r="AD312" s="2">
        <v>0.17856361628454409</v>
      </c>
      <c r="AE312" s="2">
        <v>0.21343395570795434</v>
      </c>
      <c r="AF312" s="2">
        <v>0.24687261510227346</v>
      </c>
      <c r="AG312" s="2">
        <v>0.27692146894764846</v>
      </c>
      <c r="AH312" s="2">
        <v>0.30212150190033055</v>
      </c>
      <c r="AI312" s="2">
        <v>0.32180189044335222</v>
      </c>
      <c r="AJ312" s="2">
        <v>0.33707701837845</v>
      </c>
      <c r="AK312" s="2">
        <v>0.34668617958289971</v>
      </c>
      <c r="AL312" s="2">
        <v>0.35501060031984566</v>
      </c>
      <c r="AM312" s="2">
        <v>0.359147079168668</v>
      </c>
      <c r="AN312" s="2">
        <v>0.36189398354437274</v>
      </c>
      <c r="AO312" s="2">
        <v>0.36467743856510171</v>
      </c>
      <c r="AP312" s="2">
        <v>0.36749782834082984</v>
      </c>
      <c r="AQ312" s="2">
        <v>0</v>
      </c>
      <c r="AR312" s="2">
        <v>4.5366850862839243</v>
      </c>
    </row>
    <row r="313" spans="1:44" x14ac:dyDescent="0.25">
      <c r="A313" t="s">
        <v>250</v>
      </c>
      <c r="B313" t="s">
        <v>300</v>
      </c>
      <c r="C313" t="s">
        <v>44</v>
      </c>
      <c r="D313" t="s">
        <v>152</v>
      </c>
      <c r="E313" t="s">
        <v>148</v>
      </c>
      <c r="F313" t="s">
        <v>301</v>
      </c>
      <c r="G313" t="s">
        <v>31</v>
      </c>
      <c r="H313" t="s">
        <v>272</v>
      </c>
      <c r="I313" t="s">
        <v>135</v>
      </c>
      <c r="J313" t="s">
        <v>39</v>
      </c>
      <c r="K313" t="s">
        <v>31</v>
      </c>
      <c r="L313">
        <v>2.46</v>
      </c>
      <c r="M313">
        <v>1</v>
      </c>
      <c r="N313">
        <v>1.9257476908385505</v>
      </c>
      <c r="O313">
        <v>5.411417628870181</v>
      </c>
      <c r="P313">
        <v>-0.88213896288743165</v>
      </c>
      <c r="Q313">
        <v>1.5220679573740847</v>
      </c>
      <c r="R313">
        <v>-1.8625523936223547</v>
      </c>
      <c r="S313" s="2">
        <v>0</v>
      </c>
      <c r="T313" s="2">
        <v>0</v>
      </c>
      <c r="U313" s="2">
        <v>3.0948929541362202E-3</v>
      </c>
      <c r="V313" s="2">
        <v>5.8625804614932152E-3</v>
      </c>
      <c r="W313" s="2">
        <v>1.009980327257113E-2</v>
      </c>
      <c r="X313" s="2">
        <v>1.6221320887166914E-2</v>
      </c>
      <c r="Y313" s="2">
        <v>2.4622390588042584E-2</v>
      </c>
      <c r="Z313" s="2">
        <v>3.5613239960661035E-2</v>
      </c>
      <c r="AA313" s="2">
        <v>4.9337435074411788E-2</v>
      </c>
      <c r="AB313" s="2">
        <v>6.5686223241073385E-2</v>
      </c>
      <c r="AC313" s="2">
        <v>8.4230594477314277E-2</v>
      </c>
      <c r="AD313" s="2">
        <v>0.10420006905489963</v>
      </c>
      <c r="AE313" s="2">
        <v>0.12453612563159308</v>
      </c>
      <c r="AF313" s="2">
        <v>0.14403302687576666</v>
      </c>
      <c r="AG313" s="2">
        <v>0.16154877059759035</v>
      </c>
      <c r="AH313" s="2">
        <v>0.17623292575632746</v>
      </c>
      <c r="AI313" s="2">
        <v>0.1876950915152803</v>
      </c>
      <c r="AJ313" s="2">
        <v>0.1965861401539043</v>
      </c>
      <c r="AK313" s="2">
        <v>0.20217163602417221</v>
      </c>
      <c r="AL313" s="2">
        <v>0.20700721170079411</v>
      </c>
      <c r="AM313" s="2">
        <v>0.2094003786959634</v>
      </c>
      <c r="AN313" s="2">
        <v>0.21098324327256018</v>
      </c>
      <c r="AO313" s="2">
        <v>0.21258737950536885</v>
      </c>
      <c r="AP313" s="2">
        <v>0.21421300974517363</v>
      </c>
      <c r="AQ313" s="2">
        <v>0</v>
      </c>
      <c r="AR313" s="2">
        <v>2.6459634894462649</v>
      </c>
    </row>
    <row r="314" spans="1:44" x14ac:dyDescent="0.25">
      <c r="A314" t="s">
        <v>250</v>
      </c>
      <c r="B314" t="s">
        <v>300</v>
      </c>
      <c r="C314" t="s">
        <v>44</v>
      </c>
      <c r="D314" t="s">
        <v>152</v>
      </c>
      <c r="E314" t="s">
        <v>148</v>
      </c>
      <c r="F314" t="s">
        <v>301</v>
      </c>
      <c r="G314" t="s">
        <v>31</v>
      </c>
      <c r="H314" t="s">
        <v>272</v>
      </c>
      <c r="I314" t="s">
        <v>135</v>
      </c>
      <c r="J314" t="s">
        <v>40</v>
      </c>
      <c r="K314" t="s">
        <v>31</v>
      </c>
      <c r="L314">
        <v>2.46</v>
      </c>
      <c r="M314">
        <v>1</v>
      </c>
      <c r="N314">
        <v>1.9257476908385505</v>
      </c>
      <c r="O314">
        <v>4.174629416081447</v>
      </c>
      <c r="P314">
        <v>-0.88213896288743165</v>
      </c>
      <c r="Q314">
        <v>0.4672931329656026</v>
      </c>
      <c r="R314">
        <v>-1.7195523936223542</v>
      </c>
      <c r="S314" s="2">
        <v>0</v>
      </c>
      <c r="T314" s="2">
        <v>0</v>
      </c>
      <c r="U314" s="2">
        <v>3.061339416613936E-4</v>
      </c>
      <c r="V314" s="2">
        <v>5.7990208113189664E-4</v>
      </c>
      <c r="W314" s="2">
        <v>9.9903054214028723E-4</v>
      </c>
      <c r="X314" s="2">
        <v>1.6045456097297398E-3</v>
      </c>
      <c r="Y314" s="2">
        <v>2.4355444907294631E-3</v>
      </c>
      <c r="Z314" s="2">
        <v>3.5227136078873011E-3</v>
      </c>
      <c r="AA314" s="2">
        <v>4.880253919802755E-3</v>
      </c>
      <c r="AB314" s="2">
        <v>6.4974080627782042E-3</v>
      </c>
      <c r="AC314" s="2">
        <v>8.3317401531968413E-3</v>
      </c>
      <c r="AD314" s="2">
        <v>1.0307037540194856E-2</v>
      </c>
      <c r="AE314" s="2">
        <v>1.231859569420197E-2</v>
      </c>
      <c r="AF314" s="2">
        <v>1.4247148092140272E-2</v>
      </c>
      <c r="AG314" s="2">
        <v>1.5979732626130817E-2</v>
      </c>
      <c r="AH314" s="2">
        <v>1.7432228193935397E-2</v>
      </c>
      <c r="AI314" s="2">
        <v>1.8566017968174389E-2</v>
      </c>
      <c r="AJ314" s="2">
        <v>1.9445483528237589E-2</v>
      </c>
      <c r="AK314" s="2">
        <v>1.9997977553794545E-2</v>
      </c>
      <c r="AL314" s="2">
        <v>2.0476292592157368E-2</v>
      </c>
      <c r="AM314" s="2">
        <v>2.0713014719914893E-2</v>
      </c>
      <c r="AN314" s="2">
        <v>2.0869585101873377E-2</v>
      </c>
      <c r="AO314" s="2">
        <v>2.1028259587611439E-2</v>
      </c>
      <c r="AP314" s="2">
        <v>2.1189060171143786E-2</v>
      </c>
      <c r="AQ314" s="2">
        <v>0</v>
      </c>
      <c r="AR314" s="2">
        <v>0.26172770577856858</v>
      </c>
    </row>
    <row r="315" spans="1:44" x14ac:dyDescent="0.25">
      <c r="A315" t="s">
        <v>250</v>
      </c>
      <c r="B315" t="s">
        <v>300</v>
      </c>
      <c r="C315" t="s">
        <v>44</v>
      </c>
      <c r="D315" t="s">
        <v>152</v>
      </c>
      <c r="E315" t="s">
        <v>148</v>
      </c>
      <c r="F315" t="s">
        <v>301</v>
      </c>
      <c r="G315" t="s">
        <v>31</v>
      </c>
      <c r="H315" t="s">
        <v>253</v>
      </c>
      <c r="I315" t="s">
        <v>135</v>
      </c>
      <c r="J315" t="s">
        <v>39</v>
      </c>
      <c r="K315" t="s">
        <v>31</v>
      </c>
      <c r="L315">
        <v>2.46</v>
      </c>
      <c r="M315">
        <v>1</v>
      </c>
      <c r="N315">
        <v>1.9257476908385505</v>
      </c>
      <c r="O315">
        <v>5.411417628870181</v>
      </c>
      <c r="P315">
        <v>-0.88213896288743165</v>
      </c>
      <c r="Q315">
        <v>1.5220679573740847</v>
      </c>
      <c r="R315">
        <v>-1.8625523936223547</v>
      </c>
      <c r="S315" s="2">
        <v>0</v>
      </c>
      <c r="T315" s="2">
        <v>0</v>
      </c>
      <c r="U315" s="2">
        <v>3.8301244489603276E-6</v>
      </c>
      <c r="V315" s="2">
        <v>7.2588537053286922E-6</v>
      </c>
      <c r="W315" s="2">
        <v>1.2511278813779209E-5</v>
      </c>
      <c r="X315" s="2">
        <v>2.0103985284018565E-5</v>
      </c>
      <c r="Y315" s="2">
        <v>3.0530288952419901E-5</v>
      </c>
      <c r="Z315" s="2">
        <v>4.4178864689017561E-5</v>
      </c>
      <c r="AA315" s="2">
        <v>6.1232165616660345E-5</v>
      </c>
      <c r="AB315" s="2">
        <v>8.155957597476976E-5</v>
      </c>
      <c r="AC315" s="2">
        <v>1.0463230381800965E-4</v>
      </c>
      <c r="AD315" s="2">
        <v>1.2949614288699875E-4</v>
      </c>
      <c r="AE315" s="2">
        <v>1.548369974366892E-4</v>
      </c>
      <c r="AF315" s="2">
        <v>1.7915532191300316E-4</v>
      </c>
      <c r="AG315" s="2">
        <v>2.0102830087062275E-4</v>
      </c>
      <c r="AH315" s="2">
        <v>2.1939372860836807E-4</v>
      </c>
      <c r="AI315" s="2">
        <v>2.3376064305486203E-4</v>
      </c>
      <c r="AJ315" s="2">
        <v>2.4493475477355408E-4</v>
      </c>
      <c r="AK315" s="2">
        <v>2.5199650374477451E-4</v>
      </c>
      <c r="AL315" s="2">
        <v>2.5812750483002368E-4</v>
      </c>
      <c r="AM315" s="2">
        <v>2.6121526191517919E-4</v>
      </c>
      <c r="AN315" s="2">
        <v>2.6329287055194009E-4</v>
      </c>
      <c r="AO315" s="2">
        <v>2.6539727028072836E-4</v>
      </c>
      <c r="AP315" s="2">
        <v>2.675287472274551E-4</v>
      </c>
      <c r="AQ315" s="2">
        <v>0</v>
      </c>
      <c r="AR315" s="2">
        <v>3.2960014893971632E-3</v>
      </c>
    </row>
    <row r="316" spans="1:44" x14ac:dyDescent="0.25">
      <c r="A316" t="s">
        <v>250</v>
      </c>
      <c r="B316" t="s">
        <v>300</v>
      </c>
      <c r="C316" t="s">
        <v>44</v>
      </c>
      <c r="D316" t="s">
        <v>152</v>
      </c>
      <c r="E316" t="s">
        <v>148</v>
      </c>
      <c r="F316" t="s">
        <v>301</v>
      </c>
      <c r="G316" t="s">
        <v>31</v>
      </c>
      <c r="H316" t="s">
        <v>253</v>
      </c>
      <c r="I316" t="s">
        <v>135</v>
      </c>
      <c r="J316" t="s">
        <v>40</v>
      </c>
      <c r="K316" t="s">
        <v>31</v>
      </c>
      <c r="L316">
        <v>2.46</v>
      </c>
      <c r="M316">
        <v>1</v>
      </c>
      <c r="N316">
        <v>1.9257476908385505</v>
      </c>
      <c r="O316">
        <v>4.174629416081447</v>
      </c>
      <c r="P316">
        <v>-0.88213896288743165</v>
      </c>
      <c r="Q316">
        <v>0.4672931329656026</v>
      </c>
      <c r="R316">
        <v>-1.7195523936223542</v>
      </c>
      <c r="S316" s="2">
        <v>0</v>
      </c>
      <c r="T316" s="2">
        <v>0</v>
      </c>
      <c r="U316" s="2">
        <v>2.0147250652423265E-6</v>
      </c>
      <c r="V316" s="2">
        <v>3.818307916606456E-6</v>
      </c>
      <c r="W316" s="2">
        <v>6.5811926897568746E-6</v>
      </c>
      <c r="X316" s="2">
        <v>1.0575114099483188E-5</v>
      </c>
      <c r="Y316" s="2">
        <v>1.6059566528766207E-5</v>
      </c>
      <c r="Z316" s="2">
        <v>2.3239001037439878E-5</v>
      </c>
      <c r="AA316" s="2">
        <v>3.2209391760219042E-5</v>
      </c>
      <c r="AB316" s="2">
        <v>4.2902032092328791E-5</v>
      </c>
      <c r="AC316" s="2">
        <v>5.5038766480138145E-5</v>
      </c>
      <c r="AD316" s="2">
        <v>6.8117662599046958E-5</v>
      </c>
      <c r="AE316" s="2">
        <v>8.1447478775067004E-5</v>
      </c>
      <c r="AF316" s="2">
        <v>9.423942288028525E-5</v>
      </c>
      <c r="AG316" s="2">
        <v>1.0574506441874547E-4</v>
      </c>
      <c r="AH316" s="2">
        <v>1.1540566111480873E-4</v>
      </c>
      <c r="AI316" s="2">
        <v>1.2296295671479905E-4</v>
      </c>
      <c r="AJ316" s="2">
        <v>1.288407717209333E-4</v>
      </c>
      <c r="AK316" s="2">
        <v>1.3255539845078698E-4</v>
      </c>
      <c r="AL316" s="2">
        <v>1.3578043244800577E-4</v>
      </c>
      <c r="AM316" s="2">
        <v>1.3740465685056598E-4</v>
      </c>
      <c r="AN316" s="2">
        <v>1.3849752217440182E-4</v>
      </c>
      <c r="AO316" s="2">
        <v>1.396044801694692E-4</v>
      </c>
      <c r="AP316" s="2">
        <v>1.4072568134394393E-4</v>
      </c>
      <c r="AQ316" s="2">
        <v>0</v>
      </c>
      <c r="AR316" s="2">
        <v>1.7337652873308401E-3</v>
      </c>
    </row>
    <row r="317" spans="1:44" x14ac:dyDescent="0.25">
      <c r="A317" t="s">
        <v>250</v>
      </c>
      <c r="B317" t="s">
        <v>300</v>
      </c>
      <c r="C317" t="s">
        <v>44</v>
      </c>
      <c r="D317" t="s">
        <v>152</v>
      </c>
      <c r="E317" t="s">
        <v>148</v>
      </c>
      <c r="F317" t="s">
        <v>301</v>
      </c>
      <c r="G317" t="s">
        <v>31</v>
      </c>
      <c r="H317" t="s">
        <v>253</v>
      </c>
      <c r="I317" t="s">
        <v>256</v>
      </c>
      <c r="J317" t="s">
        <v>39</v>
      </c>
      <c r="K317" t="s">
        <v>31</v>
      </c>
      <c r="L317">
        <v>2.46</v>
      </c>
      <c r="M317">
        <v>0</v>
      </c>
      <c r="N317">
        <v>0.96459681432133348</v>
      </c>
      <c r="O317">
        <v>2.7105504166527381</v>
      </c>
      <c r="P317">
        <v>0.5807979884614396</v>
      </c>
      <c r="Q317">
        <v>0.4672931329656026</v>
      </c>
      <c r="R317">
        <v>-0.39961544227348333</v>
      </c>
      <c r="S317" s="2">
        <v>0</v>
      </c>
      <c r="T317" s="2">
        <v>0</v>
      </c>
      <c r="U317" s="2">
        <v>2.0091335743959311E-6</v>
      </c>
      <c r="V317" s="2">
        <v>3.8077109204540277E-6</v>
      </c>
      <c r="W317" s="2">
        <v>6.5629278260699652E-6</v>
      </c>
      <c r="X317" s="2">
        <v>1.0545764857392099E-5</v>
      </c>
      <c r="Y317" s="2">
        <v>1.6014996219500671E-5</v>
      </c>
      <c r="Z317" s="2">
        <v>2.3174505556730257E-5</v>
      </c>
      <c r="AA317" s="2">
        <v>3.2120000645618891E-5</v>
      </c>
      <c r="AB317" s="2">
        <v>4.2782965563661522E-5</v>
      </c>
      <c r="AC317" s="2">
        <v>5.488601672570306E-5</v>
      </c>
      <c r="AD317" s="2">
        <v>6.7928614825992138E-5</v>
      </c>
      <c r="AE317" s="2">
        <v>8.1221436601924794E-5</v>
      </c>
      <c r="AF317" s="2">
        <v>9.3977879069917795E-5</v>
      </c>
      <c r="AG317" s="2">
        <v>1.0545158886222934E-4</v>
      </c>
      <c r="AH317" s="2">
        <v>1.1508537438741434E-4</v>
      </c>
      <c r="AI317" s="2">
        <v>1.226216961335013E-4</v>
      </c>
      <c r="AJ317" s="2">
        <v>1.284831983685442E-4</v>
      </c>
      <c r="AK317" s="2">
        <v>1.3218751584989719E-4</v>
      </c>
      <c r="AL317" s="2">
        <v>1.3540359937124963E-4</v>
      </c>
      <c r="AM317" s="2">
        <v>1.3702331604417589E-4</v>
      </c>
      <c r="AN317" s="2">
        <v>1.3811314832565895E-4</v>
      </c>
      <c r="AO317" s="2">
        <v>1.3921703416680845E-4</v>
      </c>
      <c r="AP317" s="2">
        <v>1.4033512365810261E-4</v>
      </c>
      <c r="AQ317" s="2">
        <v>0</v>
      </c>
      <c r="AR317" s="2">
        <v>1.7289535475549429E-3</v>
      </c>
    </row>
    <row r="318" spans="1:44" x14ac:dyDescent="0.25">
      <c r="A318" t="s">
        <v>250</v>
      </c>
      <c r="B318" t="s">
        <v>300</v>
      </c>
      <c r="C318" t="s">
        <v>44</v>
      </c>
      <c r="D318" t="s">
        <v>152</v>
      </c>
      <c r="E318" t="s">
        <v>148</v>
      </c>
      <c r="F318" t="s">
        <v>301</v>
      </c>
      <c r="G318" t="s">
        <v>31</v>
      </c>
      <c r="H318" t="s">
        <v>288</v>
      </c>
      <c r="I318" t="s">
        <v>135</v>
      </c>
      <c r="J318" t="s">
        <v>39</v>
      </c>
      <c r="K318" t="s">
        <v>31</v>
      </c>
      <c r="L318">
        <v>2.46</v>
      </c>
      <c r="M318">
        <v>1</v>
      </c>
      <c r="N318">
        <v>1.9257476908385505</v>
      </c>
      <c r="O318">
        <v>5.411417628870181</v>
      </c>
      <c r="P318">
        <v>-0.88213896288743165</v>
      </c>
      <c r="Q318">
        <v>1.5220679573740847</v>
      </c>
      <c r="R318">
        <v>-1.8625523936223547</v>
      </c>
      <c r="S318" s="2">
        <v>0</v>
      </c>
      <c r="T318" s="2">
        <v>0</v>
      </c>
      <c r="U318" s="2">
        <v>3.0670441187599245E-2</v>
      </c>
      <c r="V318" s="2">
        <v>5.818899640931785E-2</v>
      </c>
      <c r="W318" s="2">
        <v>0.10040028181931904</v>
      </c>
      <c r="X318" s="2">
        <v>0.16149926075255952</v>
      </c>
      <c r="Y318" s="2">
        <v>0.24551001796810534</v>
      </c>
      <c r="Z318" s="2">
        <v>0.35562933171074224</v>
      </c>
      <c r="AA318" s="2">
        <v>0.49340345306590577</v>
      </c>
      <c r="AB318" s="2">
        <v>0.65785763224424365</v>
      </c>
      <c r="AC318" s="2">
        <v>0.84479632973065133</v>
      </c>
      <c r="AD318" s="2">
        <v>1.0465674978554087</v>
      </c>
      <c r="AE318" s="2">
        <v>1.2525765239447193</v>
      </c>
      <c r="AF318" s="2">
        <v>1.4506856788423805</v>
      </c>
      <c r="AG318" s="2">
        <v>1.6293331452944788</v>
      </c>
      <c r="AH318" s="2">
        <v>1.7798401855074761</v>
      </c>
      <c r="AI318" s="2">
        <v>1.8981361511507413</v>
      </c>
      <c r="AJ318" s="2">
        <v>1.9906762759536452</v>
      </c>
      <c r="AK318" s="2">
        <v>2.0499068525343307</v>
      </c>
      <c r="AL318" s="2">
        <v>2.1016405389904049</v>
      </c>
      <c r="AM318" s="2">
        <v>2.1286410546927477</v>
      </c>
      <c r="AN318" s="2">
        <v>2.147424695496233</v>
      </c>
      <c r="AO318" s="2">
        <v>2.1664342447464433</v>
      </c>
      <c r="AP318" s="2">
        <v>2.1856721900629315</v>
      </c>
      <c r="AQ318" s="2">
        <v>0</v>
      </c>
      <c r="AR318" s="2">
        <v>26.775490779960379</v>
      </c>
    </row>
    <row r="319" spans="1:44" x14ac:dyDescent="0.25">
      <c r="A319" t="s">
        <v>250</v>
      </c>
      <c r="B319" t="s">
        <v>300</v>
      </c>
      <c r="C319" t="s">
        <v>44</v>
      </c>
      <c r="D319" t="s">
        <v>152</v>
      </c>
      <c r="E319" t="s">
        <v>148</v>
      </c>
      <c r="F319" t="s">
        <v>301</v>
      </c>
      <c r="G319" t="s">
        <v>31</v>
      </c>
      <c r="H319" t="s">
        <v>288</v>
      </c>
      <c r="I319" t="s">
        <v>135</v>
      </c>
      <c r="J319" t="s">
        <v>39</v>
      </c>
      <c r="K319" t="s">
        <v>33</v>
      </c>
      <c r="L319">
        <v>2.46</v>
      </c>
      <c r="M319">
        <v>1</v>
      </c>
      <c r="N319">
        <v>1.9257476908385505</v>
      </c>
      <c r="O319">
        <v>5.411417628870181</v>
      </c>
      <c r="P319">
        <v>-0.88213896288743165</v>
      </c>
      <c r="Q319">
        <v>1.5220679573740847</v>
      </c>
      <c r="R319">
        <v>-1.8625523936223547</v>
      </c>
      <c r="S319" s="2">
        <v>0</v>
      </c>
      <c r="T319" s="2">
        <v>0</v>
      </c>
      <c r="U319" s="2">
        <v>2.8852031752470023E-4</v>
      </c>
      <c r="V319" s="2">
        <v>5.473904864220819E-4</v>
      </c>
      <c r="W319" s="2">
        <v>9.4447683399453552E-4</v>
      </c>
      <c r="X319" s="2">
        <v>1.5192418559395468E-3</v>
      </c>
      <c r="Y319" s="2">
        <v>2.3095405738177313E-3</v>
      </c>
      <c r="Z319" s="2">
        <v>3.3454454430138997E-3</v>
      </c>
      <c r="AA319" s="2">
        <v>4.6415022227954189E-3</v>
      </c>
      <c r="AB319" s="2">
        <v>6.1885413313813101E-3</v>
      </c>
      <c r="AC319" s="2">
        <v>7.9470948528818381E-3</v>
      </c>
      <c r="AD319" s="2">
        <v>9.8451791073144411E-3</v>
      </c>
      <c r="AE319" s="2">
        <v>1.1783129372088566E-2</v>
      </c>
      <c r="AF319" s="2">
        <v>1.3646764652911633E-2</v>
      </c>
      <c r="AG319" s="2">
        <v>1.532732162405109E-2</v>
      </c>
      <c r="AH319" s="2">
        <v>1.6743158415127891E-2</v>
      </c>
      <c r="AI319" s="2">
        <v>1.7855981975783929E-2</v>
      </c>
      <c r="AJ319" s="2">
        <v>1.8726517421577275E-2</v>
      </c>
      <c r="AK319" s="2">
        <v>1.9283706170760476E-2</v>
      </c>
      <c r="AL319" s="2">
        <v>1.9770370824579605E-2</v>
      </c>
      <c r="AM319" s="2">
        <v>2.0024367736984922E-2</v>
      </c>
      <c r="AN319" s="2">
        <v>2.0201067575625859E-2</v>
      </c>
      <c r="AO319" s="2">
        <v>2.0379892560637599E-2</v>
      </c>
      <c r="AP319" s="2">
        <v>2.0560866093339188E-2</v>
      </c>
      <c r="AQ319" s="2">
        <v>0</v>
      </c>
      <c r="AR319" s="2">
        <v>0.25188007744855356</v>
      </c>
    </row>
    <row r="320" spans="1:44" x14ac:dyDescent="0.25">
      <c r="A320" t="s">
        <v>250</v>
      </c>
      <c r="B320" t="s">
        <v>300</v>
      </c>
      <c r="C320" t="s">
        <v>44</v>
      </c>
      <c r="D320" t="s">
        <v>152</v>
      </c>
      <c r="E320" t="s">
        <v>148</v>
      </c>
      <c r="F320" t="s">
        <v>301</v>
      </c>
      <c r="G320" t="s">
        <v>31</v>
      </c>
      <c r="H320" t="s">
        <v>273</v>
      </c>
      <c r="I320" t="s">
        <v>135</v>
      </c>
      <c r="J320" t="s">
        <v>39</v>
      </c>
      <c r="K320" t="s">
        <v>31</v>
      </c>
      <c r="L320">
        <v>2.46</v>
      </c>
      <c r="M320">
        <v>1</v>
      </c>
      <c r="N320">
        <v>1.9257476908385505</v>
      </c>
      <c r="O320">
        <v>5.411417628870181</v>
      </c>
      <c r="P320">
        <v>-0.88213896288743165</v>
      </c>
      <c r="Q320">
        <v>1.5220679573740847</v>
      </c>
      <c r="R320">
        <v>-1.8625523936223547</v>
      </c>
      <c r="S320" s="2">
        <v>0</v>
      </c>
      <c r="T320" s="2">
        <v>0</v>
      </c>
      <c r="U320" s="2">
        <v>9.3080931970184605E-4</v>
      </c>
      <c r="V320" s="2">
        <v>1.7632094589142191E-3</v>
      </c>
      <c r="W320" s="2">
        <v>3.0375819624715496E-3</v>
      </c>
      <c r="X320" s="2">
        <v>4.878668465566843E-3</v>
      </c>
      <c r="Y320" s="2">
        <v>7.4053451839292831E-3</v>
      </c>
      <c r="Z320" s="2">
        <v>1.0710915095095147E-2</v>
      </c>
      <c r="AA320" s="2">
        <v>1.4838556634429782E-2</v>
      </c>
      <c r="AB320" s="2">
        <v>1.9755561718893724E-2</v>
      </c>
      <c r="AC320" s="2">
        <v>2.5332902787067176E-2</v>
      </c>
      <c r="AD320" s="2">
        <v>3.1338853015983534E-2</v>
      </c>
      <c r="AE320" s="2">
        <v>3.7455055181318662E-2</v>
      </c>
      <c r="AF320" s="2">
        <v>4.3318875886048616E-2</v>
      </c>
      <c r="AG320" s="2">
        <v>4.85868504943434E-2</v>
      </c>
      <c r="AH320" s="2">
        <v>5.3003206302525696E-2</v>
      </c>
      <c r="AI320" s="2">
        <v>5.645052770281582E-2</v>
      </c>
      <c r="AJ320" s="2">
        <v>5.9124568794832619E-2</v>
      </c>
      <c r="AK320" s="2">
        <v>6.0804443248729488E-2</v>
      </c>
      <c r="AL320" s="2">
        <v>6.2258774294302932E-2</v>
      </c>
      <c r="AM320" s="2">
        <v>6.2978534937309052E-2</v>
      </c>
      <c r="AN320" s="2">
        <v>6.3454591822493203E-2</v>
      </c>
      <c r="AO320" s="2">
        <v>6.3937046297557421E-2</v>
      </c>
      <c r="AP320" s="2">
        <v>6.4425965235958046E-2</v>
      </c>
      <c r="AQ320" s="2">
        <v>0</v>
      </c>
      <c r="AR320" s="2">
        <v>0.7957908438402882</v>
      </c>
    </row>
    <row r="321" spans="1:44" x14ac:dyDescent="0.25">
      <c r="A321" t="s">
        <v>250</v>
      </c>
      <c r="B321" t="s">
        <v>300</v>
      </c>
      <c r="C321" t="s">
        <v>44</v>
      </c>
      <c r="D321" t="s">
        <v>152</v>
      </c>
      <c r="E321" t="s">
        <v>148</v>
      </c>
      <c r="F321" t="s">
        <v>301</v>
      </c>
      <c r="G321" t="s">
        <v>31</v>
      </c>
      <c r="H321" t="s">
        <v>252</v>
      </c>
      <c r="I321" t="s">
        <v>135</v>
      </c>
      <c r="J321" t="s">
        <v>39</v>
      </c>
      <c r="K321" t="s">
        <v>31</v>
      </c>
      <c r="L321">
        <v>2.46</v>
      </c>
      <c r="M321">
        <v>1</v>
      </c>
      <c r="N321">
        <v>1.9257476908385505</v>
      </c>
      <c r="O321">
        <v>5.411417628870181</v>
      </c>
      <c r="P321">
        <v>-0.88213896288743165</v>
      </c>
      <c r="Q321">
        <v>1.5220679573740847</v>
      </c>
      <c r="R321">
        <v>-1.8625523936223547</v>
      </c>
      <c r="S321" s="2">
        <v>0</v>
      </c>
      <c r="T321" s="2">
        <v>0</v>
      </c>
      <c r="U321" s="2">
        <v>2.9823073187568452E-3</v>
      </c>
      <c r="V321" s="2">
        <v>5.6542759559945373E-3</v>
      </c>
      <c r="W321" s="2">
        <v>9.7494065754277874E-3</v>
      </c>
      <c r="X321" s="2">
        <v>1.5671993508593583E-2</v>
      </c>
      <c r="Y321" s="2">
        <v>2.3808755603235237E-2</v>
      </c>
      <c r="Z321" s="2">
        <v>3.4465305289291918E-2</v>
      </c>
      <c r="AA321" s="2">
        <v>4.7786706812065052E-2</v>
      </c>
      <c r="AB321" s="2">
        <v>6.3673755196997237E-2</v>
      </c>
      <c r="AC321" s="2">
        <v>8.1716063905063488E-2</v>
      </c>
      <c r="AD321" s="2">
        <v>0.10117023704395095</v>
      </c>
      <c r="AE321" s="2">
        <v>0.12101051357908212</v>
      </c>
      <c r="AF321" s="2">
        <v>0.14006468881696535</v>
      </c>
      <c r="AG321" s="2">
        <v>0.15721895259404503</v>
      </c>
      <c r="AH321" s="2">
        <v>0.1716401287531043</v>
      </c>
      <c r="AI321" s="2">
        <v>0.18294103369465475</v>
      </c>
      <c r="AJ321" s="2">
        <v>0.19174915530244713</v>
      </c>
      <c r="AK321" s="2">
        <v>0.19734179828676557</v>
      </c>
      <c r="AL321" s="2">
        <v>0.20220811928555485</v>
      </c>
      <c r="AM321" s="2">
        <v>0.20469197991684276</v>
      </c>
      <c r="AN321" s="2">
        <v>0.2063847459334332</v>
      </c>
      <c r="AO321" s="2">
        <v>0.20809872519951775</v>
      </c>
      <c r="AP321" s="2">
        <v>0.20983414735597403</v>
      </c>
      <c r="AQ321" s="2">
        <v>0</v>
      </c>
      <c r="AR321" s="2">
        <v>2.5798627959277636</v>
      </c>
    </row>
    <row r="322" spans="1:44" x14ac:dyDescent="0.25">
      <c r="A322" t="s">
        <v>250</v>
      </c>
      <c r="B322" t="s">
        <v>300</v>
      </c>
      <c r="C322" t="s">
        <v>44</v>
      </c>
      <c r="D322" t="s">
        <v>152</v>
      </c>
      <c r="E322" t="s">
        <v>148</v>
      </c>
      <c r="F322" t="s">
        <v>301</v>
      </c>
      <c r="G322" t="s">
        <v>31</v>
      </c>
      <c r="H322" t="s">
        <v>289</v>
      </c>
      <c r="I322" t="s">
        <v>135</v>
      </c>
      <c r="J322" t="s">
        <v>39</v>
      </c>
      <c r="K322" t="s">
        <v>31</v>
      </c>
      <c r="L322">
        <v>2.46</v>
      </c>
      <c r="M322">
        <v>1</v>
      </c>
      <c r="N322">
        <v>1.9257476908385505</v>
      </c>
      <c r="O322">
        <v>5.411417628870181</v>
      </c>
      <c r="P322">
        <v>-0.88213896288743165</v>
      </c>
      <c r="Q322">
        <v>1.5220679573740847</v>
      </c>
      <c r="R322">
        <v>-1.8625523936223547</v>
      </c>
      <c r="S322" s="2">
        <v>0</v>
      </c>
      <c r="T322" s="2">
        <v>0</v>
      </c>
      <c r="U322" s="2">
        <v>2.9150924840812657E-2</v>
      </c>
      <c r="V322" s="2">
        <v>5.5306118699595161E-2</v>
      </c>
      <c r="W322" s="2">
        <v>9.5426115699133854E-2</v>
      </c>
      <c r="X322" s="2">
        <v>0.15349804664525518</v>
      </c>
      <c r="Y322" s="2">
        <v>0.23334662966466696</v>
      </c>
      <c r="Z322" s="2">
        <v>0.33801026390451056</v>
      </c>
      <c r="AA322" s="2">
        <v>0.46895859399430273</v>
      </c>
      <c r="AB322" s="2">
        <v>0.6252651625129042</v>
      </c>
      <c r="AC322" s="2">
        <v>0.80294229102023695</v>
      </c>
      <c r="AD322" s="2">
        <v>0.99471703990861615</v>
      </c>
      <c r="AE322" s="2">
        <v>1.1905196890888523</v>
      </c>
      <c r="AF322" s="2">
        <v>1.3788138531465</v>
      </c>
      <c r="AG322" s="2">
        <v>1.5486105259655507</v>
      </c>
      <c r="AH322" s="2">
        <v>1.691660943480789</v>
      </c>
      <c r="AI322" s="2">
        <v>1.8040961309090966</v>
      </c>
      <c r="AJ322" s="2">
        <v>1.8920515080877558</v>
      </c>
      <c r="AK322" s="2">
        <v>1.9483476035895926</v>
      </c>
      <c r="AL322" s="2">
        <v>1.9975182300045964</v>
      </c>
      <c r="AM322" s="2">
        <v>2.0231810497562983</v>
      </c>
      <c r="AN322" s="2">
        <v>2.0410340861032239</v>
      </c>
      <c r="AO322" s="2">
        <v>2.0591018386360904</v>
      </c>
      <c r="AP322" s="2">
        <v>2.0773866717293692</v>
      </c>
      <c r="AQ322" s="2">
        <v>0</v>
      </c>
      <c r="AR322" s="2">
        <v>25.448943317387748</v>
      </c>
    </row>
    <row r="323" spans="1:44" x14ac:dyDescent="0.25">
      <c r="A323" t="s">
        <v>250</v>
      </c>
      <c r="B323" t="s">
        <v>300</v>
      </c>
      <c r="C323" t="s">
        <v>44</v>
      </c>
      <c r="D323" t="s">
        <v>152</v>
      </c>
      <c r="E323" t="s">
        <v>148</v>
      </c>
      <c r="F323" t="s">
        <v>301</v>
      </c>
      <c r="G323" t="s">
        <v>31</v>
      </c>
      <c r="H323" t="s">
        <v>274</v>
      </c>
      <c r="I323" t="s">
        <v>135</v>
      </c>
      <c r="J323" t="s">
        <v>39</v>
      </c>
      <c r="K323" t="s">
        <v>31</v>
      </c>
      <c r="L323">
        <v>2.46</v>
      </c>
      <c r="M323">
        <v>1</v>
      </c>
      <c r="N323">
        <v>1.9257476908385505</v>
      </c>
      <c r="O323">
        <v>5.411417628870181</v>
      </c>
      <c r="P323">
        <v>-0.88213896288743165</v>
      </c>
      <c r="Q323">
        <v>1.5220679573740847</v>
      </c>
      <c r="R323">
        <v>-1.8625523936223547</v>
      </c>
      <c r="S323" s="2">
        <v>0</v>
      </c>
      <c r="T323" s="2">
        <v>0</v>
      </c>
      <c r="U323" s="2">
        <v>1.4652605496372644E-3</v>
      </c>
      <c r="V323" s="2">
        <v>2.7756074270096557E-3</v>
      </c>
      <c r="W323" s="2">
        <v>4.7816979500431107E-3</v>
      </c>
      <c r="X323" s="2">
        <v>7.6798977900696102E-3</v>
      </c>
      <c r="Y323" s="2">
        <v>1.1657339397862293E-2</v>
      </c>
      <c r="Z323" s="2">
        <v>1.6860898367868204E-2</v>
      </c>
      <c r="AA323" s="2">
        <v>2.3358545289332271E-2</v>
      </c>
      <c r="AB323" s="2">
        <v>3.1098791782501155E-2</v>
      </c>
      <c r="AC323" s="2">
        <v>3.9878525360677812E-2</v>
      </c>
      <c r="AD323" s="2">
        <v>4.9332966509091331E-2</v>
      </c>
      <c r="AE323" s="2">
        <v>5.8960963948290653E-2</v>
      </c>
      <c r="AF323" s="2">
        <v>6.8191667774438261E-2</v>
      </c>
      <c r="AG323" s="2">
        <v>7.6484403146382857E-2</v>
      </c>
      <c r="AH323" s="2">
        <v>8.3436538027200274E-2</v>
      </c>
      <c r="AI323" s="2">
        <v>8.8863239224589191E-2</v>
      </c>
      <c r="AJ323" s="2">
        <v>9.3072658745114362E-2</v>
      </c>
      <c r="AK323" s="2">
        <v>9.5717081951393154E-2</v>
      </c>
      <c r="AL323" s="2">
        <v>9.800645944481258E-2</v>
      </c>
      <c r="AM323" s="2">
        <v>9.9139491584753478E-2</v>
      </c>
      <c r="AN323" s="2">
        <v>9.9888890369744951E-2</v>
      </c>
      <c r="AO323" s="2">
        <v>0.10064836010682722</v>
      </c>
      <c r="AP323" s="2">
        <v>0.10141800606679555</v>
      </c>
      <c r="AQ323" s="2">
        <v>0</v>
      </c>
      <c r="AR323" s="2">
        <v>1.2527172908144353</v>
      </c>
    </row>
    <row r="324" spans="1:44" x14ac:dyDescent="0.25">
      <c r="A324" t="s">
        <v>250</v>
      </c>
      <c r="B324" t="s">
        <v>300</v>
      </c>
      <c r="C324" t="s">
        <v>44</v>
      </c>
      <c r="D324" t="s">
        <v>152</v>
      </c>
      <c r="E324" t="s">
        <v>148</v>
      </c>
      <c r="F324" t="s">
        <v>301</v>
      </c>
      <c r="G324" t="s">
        <v>31</v>
      </c>
      <c r="H324" t="s">
        <v>274</v>
      </c>
      <c r="I324" t="s">
        <v>135</v>
      </c>
      <c r="J324" t="s">
        <v>39</v>
      </c>
      <c r="K324" t="s">
        <v>33</v>
      </c>
      <c r="L324">
        <v>2.46</v>
      </c>
      <c r="M324">
        <v>1</v>
      </c>
      <c r="N324">
        <v>1.9257476908385505</v>
      </c>
      <c r="O324">
        <v>5.411417628870181</v>
      </c>
      <c r="P324">
        <v>-0.88213896288743165</v>
      </c>
      <c r="Q324">
        <v>1.5220679573740847</v>
      </c>
      <c r="R324">
        <v>-1.8625523936223547</v>
      </c>
      <c r="S324" s="2">
        <v>0</v>
      </c>
      <c r="T324" s="2">
        <v>0</v>
      </c>
      <c r="U324" s="2">
        <v>4.7144503576129975E-6</v>
      </c>
      <c r="V324" s="2">
        <v>8.9304686665442118E-6</v>
      </c>
      <c r="W324" s="2">
        <v>1.5385030065921354E-5</v>
      </c>
      <c r="X324" s="2">
        <v>2.4709937691141981E-5</v>
      </c>
      <c r="Y324" s="2">
        <v>3.7507286950892801E-5</v>
      </c>
      <c r="Z324" s="2">
        <v>5.4249647518150117E-5</v>
      </c>
      <c r="AA324" s="2">
        <v>7.5155713582729643E-5</v>
      </c>
      <c r="AB324" s="2">
        <v>1.0005982217745425E-4</v>
      </c>
      <c r="AC324" s="2">
        <v>1.2830846240572606E-4</v>
      </c>
      <c r="AD324" s="2">
        <v>1.587279625172953E-4</v>
      </c>
      <c r="AE324" s="2">
        <v>1.8970587697869729E-4</v>
      </c>
      <c r="AF324" s="2">
        <v>2.194055061436093E-4</v>
      </c>
      <c r="AG324" s="2">
        <v>2.4608723810556568E-4</v>
      </c>
      <c r="AH324" s="2">
        <v>2.684556112820338E-4</v>
      </c>
      <c r="AI324" s="2">
        <v>2.8591592808850538E-4</v>
      </c>
      <c r="AJ324" s="2">
        <v>2.9945966225154936E-4</v>
      </c>
      <c r="AK324" s="2">
        <v>3.0796804796739231E-4</v>
      </c>
      <c r="AL324" s="2">
        <v>3.1533408027149796E-4</v>
      </c>
      <c r="AM324" s="2">
        <v>3.1897959149382261E-4</v>
      </c>
      <c r="AN324" s="2">
        <v>3.2139076906273782E-4</v>
      </c>
      <c r="AO324" s="2">
        <v>3.2383434974500472E-4</v>
      </c>
      <c r="AP324" s="2">
        <v>3.2631067224758053E-4</v>
      </c>
      <c r="AQ324" s="2">
        <v>0</v>
      </c>
      <c r="AR324" s="2">
        <v>4.0305961155714656E-3</v>
      </c>
    </row>
    <row r="325" spans="1:44" x14ac:dyDescent="0.25">
      <c r="A325" t="s">
        <v>250</v>
      </c>
      <c r="B325" t="s">
        <v>300</v>
      </c>
      <c r="C325" t="s">
        <v>44</v>
      </c>
      <c r="D325" t="s">
        <v>152</v>
      </c>
      <c r="E325" t="s">
        <v>148</v>
      </c>
      <c r="F325" t="s">
        <v>301</v>
      </c>
      <c r="G325" t="s">
        <v>31</v>
      </c>
      <c r="H325" t="s">
        <v>255</v>
      </c>
      <c r="I325" t="s">
        <v>135</v>
      </c>
      <c r="J325" t="s">
        <v>39</v>
      </c>
      <c r="K325" t="s">
        <v>31</v>
      </c>
      <c r="L325">
        <v>2.46</v>
      </c>
      <c r="M325">
        <v>1</v>
      </c>
      <c r="N325">
        <v>1.9257476908385505</v>
      </c>
      <c r="O325">
        <v>5.411417628870181</v>
      </c>
      <c r="P325">
        <v>-0.88213896288743165</v>
      </c>
      <c r="Q325">
        <v>1.5220679573740847</v>
      </c>
      <c r="R325">
        <v>-1.8625523936223547</v>
      </c>
      <c r="S325" s="2">
        <v>0</v>
      </c>
      <c r="T325" s="2">
        <v>0</v>
      </c>
      <c r="U325" s="2">
        <v>1.4211467414002748E-3</v>
      </c>
      <c r="V325" s="2">
        <v>2.6804624741527949E-3</v>
      </c>
      <c r="W325" s="2">
        <v>4.5981492403453453E-3</v>
      </c>
      <c r="X325" s="2">
        <v>7.3540611036922669E-3</v>
      </c>
      <c r="Y325" s="2">
        <v>1.1116389694750357E-2</v>
      </c>
      <c r="Z325" s="2">
        <v>1.6012503308827284E-2</v>
      </c>
      <c r="AA325" s="2">
        <v>2.2093279801290288E-2</v>
      </c>
      <c r="AB325" s="2">
        <v>2.9296482070290352E-2</v>
      </c>
      <c r="AC325" s="2">
        <v>3.7418836080972594E-2</v>
      </c>
      <c r="AD325" s="2">
        <v>4.6109381826034662E-2</v>
      </c>
      <c r="AE325" s="2">
        <v>5.4895805741786471E-2</v>
      </c>
      <c r="AF325" s="2">
        <v>6.3248470801977055E-2</v>
      </c>
      <c r="AG325" s="2">
        <v>7.0673614425962206E-2</v>
      </c>
      <c r="AH325" s="2">
        <v>7.6811798459416325E-2</v>
      </c>
      <c r="AI325" s="2">
        <v>8.150842880395627E-2</v>
      </c>
      <c r="AJ325" s="2">
        <v>8.5061425972597776E-2</v>
      </c>
      <c r="AK325" s="2">
        <v>8.7166883707614731E-2</v>
      </c>
      <c r="AL325" s="2">
        <v>8.8938460831917546E-2</v>
      </c>
      <c r="AM325" s="2">
        <v>8.9655238967265655E-2</v>
      </c>
      <c r="AN325" s="2">
        <v>9.0024643289802614E-2</v>
      </c>
      <c r="AO325" s="2">
        <v>9.0403914386373033E-2</v>
      </c>
      <c r="AP325" s="2">
        <v>9.0793111388644335E-2</v>
      </c>
      <c r="AQ325" s="2">
        <v>0</v>
      </c>
      <c r="AR325" s="2">
        <v>1.1472824891190705</v>
      </c>
    </row>
    <row r="326" spans="1:44" x14ac:dyDescent="0.25">
      <c r="A326" t="s">
        <v>250</v>
      </c>
      <c r="B326" t="s">
        <v>300</v>
      </c>
      <c r="C326" t="s">
        <v>44</v>
      </c>
      <c r="D326" t="s">
        <v>152</v>
      </c>
      <c r="E326" t="s">
        <v>148</v>
      </c>
      <c r="F326" t="s">
        <v>301</v>
      </c>
      <c r="G326" t="s">
        <v>31</v>
      </c>
      <c r="H326" t="s">
        <v>278</v>
      </c>
      <c r="I326" t="s">
        <v>135</v>
      </c>
      <c r="J326" t="s">
        <v>39</v>
      </c>
      <c r="K326" t="s">
        <v>31</v>
      </c>
      <c r="L326">
        <v>2.46</v>
      </c>
      <c r="M326">
        <v>1</v>
      </c>
      <c r="N326">
        <v>1.9257476908385505</v>
      </c>
      <c r="O326">
        <v>5.411417628870181</v>
      </c>
      <c r="P326">
        <v>-0.88213896288743165</v>
      </c>
      <c r="Q326">
        <v>1.5220679573740847</v>
      </c>
      <c r="R326">
        <v>-1.8625523936223547</v>
      </c>
      <c r="S326" s="2">
        <v>0</v>
      </c>
      <c r="T326" s="2">
        <v>0</v>
      </c>
      <c r="U326" s="2">
        <v>1.2546817929733559E-2</v>
      </c>
      <c r="V326" s="2">
        <v>2.3664885300683888E-2</v>
      </c>
      <c r="W326" s="2">
        <v>4.0595485076728166E-2</v>
      </c>
      <c r="X326" s="2">
        <v>6.4926487198110797E-2</v>
      </c>
      <c r="Y326" s="2">
        <v>9.8142797976352211E-2</v>
      </c>
      <c r="Z326" s="2">
        <v>0.14136890847538824</v>
      </c>
      <c r="AA326" s="2">
        <v>0.19505400185790658</v>
      </c>
      <c r="AB326" s="2">
        <v>0.2586486080638345</v>
      </c>
      <c r="AC326" s="2">
        <v>0.33035809024754154</v>
      </c>
      <c r="AD326" s="2">
        <v>0.40708394268546177</v>
      </c>
      <c r="AE326" s="2">
        <v>0.48465627066038353</v>
      </c>
      <c r="AF326" s="2">
        <v>0.55839909023368239</v>
      </c>
      <c r="AG326" s="2">
        <v>0.62395314066232732</v>
      </c>
      <c r="AH326" s="2">
        <v>0.67814506556592047</v>
      </c>
      <c r="AI326" s="2">
        <v>0.71961000658822383</v>
      </c>
      <c r="AJ326" s="2">
        <v>0.75097820192031883</v>
      </c>
      <c r="AK326" s="2">
        <v>0.76956656728079909</v>
      </c>
      <c r="AL326" s="2">
        <v>0.7852072150616215</v>
      </c>
      <c r="AM326" s="2">
        <v>0.79153540376883191</v>
      </c>
      <c r="AN326" s="2">
        <v>0.7947967480356164</v>
      </c>
      <c r="AO326" s="2">
        <v>0.79814520267162758</v>
      </c>
      <c r="AP326" s="2">
        <v>0.80158128973008536</v>
      </c>
      <c r="AQ326" s="2">
        <v>0</v>
      </c>
      <c r="AR326" s="2">
        <v>10.128964226991179</v>
      </c>
    </row>
    <row r="327" spans="1:44" x14ac:dyDescent="0.25">
      <c r="A327" t="s">
        <v>250</v>
      </c>
      <c r="B327" t="s">
        <v>300</v>
      </c>
      <c r="C327" t="s">
        <v>44</v>
      </c>
      <c r="D327" t="s">
        <v>152</v>
      </c>
      <c r="E327" t="s">
        <v>148</v>
      </c>
      <c r="F327" t="s">
        <v>301</v>
      </c>
      <c r="G327" t="s">
        <v>31</v>
      </c>
      <c r="H327" t="s">
        <v>276</v>
      </c>
      <c r="I327" t="s">
        <v>135</v>
      </c>
      <c r="J327" t="s">
        <v>39</v>
      </c>
      <c r="K327" t="s">
        <v>31</v>
      </c>
      <c r="L327">
        <v>2.46</v>
      </c>
      <c r="M327">
        <v>1</v>
      </c>
      <c r="N327">
        <v>1.9257476908385505</v>
      </c>
      <c r="O327">
        <v>5.411417628870181</v>
      </c>
      <c r="P327">
        <v>-0.88213896288743165</v>
      </c>
      <c r="Q327">
        <v>1.5220679573740847</v>
      </c>
      <c r="R327">
        <v>-1.8625523936223547</v>
      </c>
      <c r="S327" s="2">
        <v>0</v>
      </c>
      <c r="T327" s="2">
        <v>0</v>
      </c>
      <c r="U327" s="2">
        <v>0.11715686359552176</v>
      </c>
      <c r="V327" s="2">
        <v>0.22246867389132916</v>
      </c>
      <c r="W327" s="2">
        <v>0.38418369634165889</v>
      </c>
      <c r="X327" s="2">
        <v>0.61850936405186907</v>
      </c>
      <c r="Y327" s="2">
        <v>0.94104950331734794</v>
      </c>
      <c r="Z327" s="2">
        <v>1.3642819550353982</v>
      </c>
      <c r="AA327" s="2">
        <v>1.8943834112481985</v>
      </c>
      <c r="AB327" s="2">
        <v>2.5278576082735347</v>
      </c>
      <c r="AC327" s="2">
        <v>3.2488045468183167</v>
      </c>
      <c r="AD327" s="2">
        <v>4.0279641800545862</v>
      </c>
      <c r="AE327" s="2">
        <v>4.8246449507067473</v>
      </c>
      <c r="AF327" s="2">
        <v>5.5920767398425379</v>
      </c>
      <c r="AG327" s="2">
        <v>6.2855661690733884</v>
      </c>
      <c r="AH327" s="2">
        <v>6.8714163419133758</v>
      </c>
      <c r="AI327" s="2">
        <v>7.3336372638945937</v>
      </c>
      <c r="AJ327" s="2">
        <v>7.6968958313728129</v>
      </c>
      <c r="AK327" s="2">
        <v>7.9317336940804211</v>
      </c>
      <c r="AL327" s="2">
        <v>8.1378113800956378</v>
      </c>
      <c r="AM327" s="2">
        <v>8.2482722787508393</v>
      </c>
      <c r="AN327" s="2">
        <v>8.3269525210509716</v>
      </c>
      <c r="AO327" s="2">
        <v>8.4065441269937633</v>
      </c>
      <c r="AP327" s="2">
        <v>8.4870572559568966</v>
      </c>
      <c r="AQ327" s="2">
        <v>0</v>
      </c>
      <c r="AR327" s="2">
        <v>103.48926835635972</v>
      </c>
    </row>
    <row r="328" spans="1:44" x14ac:dyDescent="0.25">
      <c r="A328" t="s">
        <v>250</v>
      </c>
      <c r="B328" t="s">
        <v>300</v>
      </c>
      <c r="C328" t="s">
        <v>44</v>
      </c>
      <c r="D328" t="s">
        <v>152</v>
      </c>
      <c r="E328" t="s">
        <v>148</v>
      </c>
      <c r="F328" t="s">
        <v>301</v>
      </c>
      <c r="G328" t="s">
        <v>31</v>
      </c>
      <c r="H328" t="s">
        <v>290</v>
      </c>
      <c r="I328" t="s">
        <v>135</v>
      </c>
      <c r="J328" t="s">
        <v>39</v>
      </c>
      <c r="K328" t="s">
        <v>31</v>
      </c>
      <c r="L328">
        <v>2.46</v>
      </c>
      <c r="M328">
        <v>1</v>
      </c>
      <c r="N328">
        <v>1.9257476908385505</v>
      </c>
      <c r="O328">
        <v>5.411417628870181</v>
      </c>
      <c r="P328">
        <v>-0.88213896288743165</v>
      </c>
      <c r="Q328">
        <v>1.5220679573740847</v>
      </c>
      <c r="R328">
        <v>-1.8625523936223547</v>
      </c>
      <c r="S328" s="2">
        <v>0</v>
      </c>
      <c r="T328" s="2">
        <v>0</v>
      </c>
      <c r="U328" s="2">
        <v>4.2212524630066924E-2</v>
      </c>
      <c r="V328" s="2">
        <v>8.0087026759834951E-2</v>
      </c>
      <c r="W328" s="2">
        <v>0.13818351497588682</v>
      </c>
      <c r="X328" s="2">
        <v>0.22227562624731723</v>
      </c>
      <c r="Y328" s="2">
        <v>0.33790181292197596</v>
      </c>
      <c r="Z328" s="2">
        <v>0.48946188390937512</v>
      </c>
      <c r="AA328" s="2">
        <v>0.6790839847300798</v>
      </c>
      <c r="AB328" s="2">
        <v>0.90542654193757444</v>
      </c>
      <c r="AC328" s="2">
        <v>1.1627151255510473</v>
      </c>
      <c r="AD328" s="2">
        <v>1.4404180236608788</v>
      </c>
      <c r="AE328" s="2">
        <v>1.7239535957323824</v>
      </c>
      <c r="AF328" s="2">
        <v>1.9966163699457669</v>
      </c>
      <c r="AG328" s="2">
        <v>2.2424935169871461</v>
      </c>
      <c r="AH328" s="2">
        <v>2.4496402646693887</v>
      </c>
      <c r="AI328" s="2">
        <v>2.6124540739918367</v>
      </c>
      <c r="AJ328" s="2">
        <v>2.739819450760284</v>
      </c>
      <c r="AK328" s="2">
        <v>2.821340031356804</v>
      </c>
      <c r="AL328" s="2">
        <v>2.8925424474020667</v>
      </c>
      <c r="AM328" s="2">
        <v>2.9297039582893083</v>
      </c>
      <c r="AN328" s="2">
        <v>2.9555563708845303</v>
      </c>
      <c r="AO328" s="2">
        <v>2.9817197071412109</v>
      </c>
      <c r="AP328" s="2">
        <v>3.008197390834674</v>
      </c>
      <c r="AQ328" s="2">
        <v>0</v>
      </c>
      <c r="AR328" s="2">
        <v>36.851803243319431</v>
      </c>
    </row>
    <row r="329" spans="1:44" x14ac:dyDescent="0.25">
      <c r="A329" t="s">
        <v>250</v>
      </c>
      <c r="B329" t="s">
        <v>300</v>
      </c>
      <c r="C329" t="s">
        <v>44</v>
      </c>
      <c r="D329" t="s">
        <v>152</v>
      </c>
      <c r="E329" t="s">
        <v>148</v>
      </c>
      <c r="F329" t="s">
        <v>301</v>
      </c>
      <c r="G329" t="s">
        <v>31</v>
      </c>
      <c r="H329" t="s">
        <v>275</v>
      </c>
      <c r="I329" t="s">
        <v>135</v>
      </c>
      <c r="J329" t="s">
        <v>39</v>
      </c>
      <c r="K329" t="s">
        <v>31</v>
      </c>
      <c r="L329">
        <v>2.46</v>
      </c>
      <c r="M329">
        <v>1</v>
      </c>
      <c r="N329">
        <v>1.9257476908385505</v>
      </c>
      <c r="O329">
        <v>5.411417628870181</v>
      </c>
      <c r="P329">
        <v>-0.88213896288743165</v>
      </c>
      <c r="Q329">
        <v>1.5220679573740847</v>
      </c>
      <c r="R329">
        <v>-1.8625523936223547</v>
      </c>
      <c r="S329" s="2">
        <v>0</v>
      </c>
      <c r="T329" s="2">
        <v>0</v>
      </c>
      <c r="U329" s="2">
        <v>2.2384600779021564E-3</v>
      </c>
      <c r="V329" s="2">
        <v>4.2402604907556948E-3</v>
      </c>
      <c r="W329" s="2">
        <v>7.3049397040053721E-3</v>
      </c>
      <c r="X329" s="2">
        <v>1.1732483079337497E-2</v>
      </c>
      <c r="Y329" s="2">
        <v>1.7808770503737862E-2</v>
      </c>
      <c r="Z329" s="2">
        <v>2.5758181972060833E-2</v>
      </c>
      <c r="AA329" s="2">
        <v>3.5684555296997413E-2</v>
      </c>
      <c r="AB329" s="2">
        <v>4.7509232329603822E-2</v>
      </c>
      <c r="AC329" s="2">
        <v>6.0921920683378955E-2</v>
      </c>
      <c r="AD329" s="2">
        <v>7.5365351290201249E-2</v>
      </c>
      <c r="AE329" s="2">
        <v>9.0073921655469055E-2</v>
      </c>
      <c r="AF329" s="2">
        <v>0.1041755515743837</v>
      </c>
      <c r="AG329" s="2">
        <v>0.11684425890517149</v>
      </c>
      <c r="AH329" s="2">
        <v>0.12746494775860054</v>
      </c>
      <c r="AI329" s="2">
        <v>0.13575525079587697</v>
      </c>
      <c r="AJ329" s="2">
        <v>0.14218592795440221</v>
      </c>
      <c r="AK329" s="2">
        <v>0.14622577996420016</v>
      </c>
      <c r="AL329" s="2">
        <v>0.14972323311240279</v>
      </c>
      <c r="AM329" s="2">
        <v>0.15145415203523127</v>
      </c>
      <c r="AN329" s="2">
        <v>0.15259899911586963</v>
      </c>
      <c r="AO329" s="2">
        <v>0.15375923146312026</v>
      </c>
      <c r="AP329" s="2">
        <v>0.15493500989783535</v>
      </c>
      <c r="AQ329" s="2">
        <v>0</v>
      </c>
      <c r="AR329" s="2">
        <v>1.9137604196605444</v>
      </c>
    </row>
    <row r="330" spans="1:44" x14ac:dyDescent="0.25">
      <c r="A330" t="s">
        <v>250</v>
      </c>
      <c r="B330" t="s">
        <v>300</v>
      </c>
      <c r="C330" t="s">
        <v>44</v>
      </c>
      <c r="D330" t="s">
        <v>152</v>
      </c>
      <c r="E330" t="s">
        <v>148</v>
      </c>
      <c r="F330" t="s">
        <v>301</v>
      </c>
      <c r="G330" t="s">
        <v>31</v>
      </c>
      <c r="H330" t="s">
        <v>277</v>
      </c>
      <c r="I330" t="s">
        <v>135</v>
      </c>
      <c r="J330" t="s">
        <v>39</v>
      </c>
      <c r="K330" t="s">
        <v>31</v>
      </c>
      <c r="L330">
        <v>2.46</v>
      </c>
      <c r="M330">
        <v>1</v>
      </c>
      <c r="N330">
        <v>1.9257476908385505</v>
      </c>
      <c r="O330">
        <v>5.411417628870181</v>
      </c>
      <c r="P330">
        <v>-0.88213896288743165</v>
      </c>
      <c r="Q330">
        <v>1.5220679573740847</v>
      </c>
      <c r="R330">
        <v>-1.8625523936223547</v>
      </c>
      <c r="S330" s="2">
        <v>0</v>
      </c>
      <c r="T330" s="2">
        <v>0</v>
      </c>
      <c r="U330" s="2">
        <v>0</v>
      </c>
      <c r="V330" s="2">
        <v>0</v>
      </c>
      <c r="W330" s="2">
        <v>0</v>
      </c>
      <c r="X330" s="2">
        <v>0</v>
      </c>
      <c r="Y330" s="2">
        <v>0</v>
      </c>
      <c r="Z330" s="2">
        <v>0</v>
      </c>
      <c r="AA330" s="2">
        <v>0</v>
      </c>
      <c r="AB330" s="2">
        <v>0</v>
      </c>
      <c r="AC330" s="2">
        <v>0</v>
      </c>
      <c r="AD330" s="2">
        <v>0</v>
      </c>
      <c r="AE330" s="2">
        <v>0</v>
      </c>
      <c r="AF330" s="2">
        <v>0</v>
      </c>
      <c r="AG330" s="2">
        <v>0</v>
      </c>
      <c r="AH330" s="2">
        <v>0</v>
      </c>
      <c r="AI330" s="2">
        <v>0</v>
      </c>
      <c r="AJ330" s="2">
        <v>0</v>
      </c>
      <c r="AK330" s="2">
        <v>0</v>
      </c>
      <c r="AL330" s="2">
        <v>0</v>
      </c>
      <c r="AM330" s="2">
        <v>0</v>
      </c>
      <c r="AN330" s="2">
        <v>0</v>
      </c>
      <c r="AO330" s="2">
        <v>0</v>
      </c>
      <c r="AP330" s="2">
        <v>0</v>
      </c>
      <c r="AQ330" s="2">
        <v>0</v>
      </c>
      <c r="AR330" s="2">
        <v>0</v>
      </c>
    </row>
    <row r="331" spans="1:44" x14ac:dyDescent="0.25">
      <c r="A331" t="s">
        <v>250</v>
      </c>
      <c r="B331" t="s">
        <v>300</v>
      </c>
      <c r="C331" t="s">
        <v>44</v>
      </c>
      <c r="D331" t="s">
        <v>152</v>
      </c>
      <c r="E331" t="s">
        <v>148</v>
      </c>
      <c r="F331" t="s">
        <v>301</v>
      </c>
      <c r="G331" t="s">
        <v>31</v>
      </c>
      <c r="H331" t="s">
        <v>277</v>
      </c>
      <c r="I331" t="s">
        <v>135</v>
      </c>
      <c r="J331" t="s">
        <v>40</v>
      </c>
      <c r="K331" t="s">
        <v>31</v>
      </c>
      <c r="L331">
        <v>2.46</v>
      </c>
      <c r="M331">
        <v>1</v>
      </c>
      <c r="N331">
        <v>1.9257476908385505</v>
      </c>
      <c r="O331">
        <v>4.174629416081447</v>
      </c>
      <c r="P331">
        <v>-0.88213896288743165</v>
      </c>
      <c r="Q331">
        <v>0.4672931329656026</v>
      </c>
      <c r="R331">
        <v>-1.7195523936223542</v>
      </c>
      <c r="S331" s="2">
        <v>0</v>
      </c>
      <c r="T331" s="2">
        <v>0</v>
      </c>
      <c r="U331" s="2">
        <v>0</v>
      </c>
      <c r="V331" s="2">
        <v>0</v>
      </c>
      <c r="W331" s="2">
        <v>0</v>
      </c>
      <c r="X331" s="2">
        <v>0</v>
      </c>
      <c r="Y331" s="2">
        <v>0</v>
      </c>
      <c r="Z331" s="2">
        <v>0</v>
      </c>
      <c r="AA331" s="2">
        <v>0</v>
      </c>
      <c r="AB331" s="2">
        <v>0</v>
      </c>
      <c r="AC331" s="2">
        <v>0</v>
      </c>
      <c r="AD331" s="2">
        <v>0</v>
      </c>
      <c r="AE331" s="2">
        <v>0</v>
      </c>
      <c r="AF331" s="2">
        <v>0</v>
      </c>
      <c r="AG331" s="2">
        <v>0</v>
      </c>
      <c r="AH331" s="2">
        <v>0</v>
      </c>
      <c r="AI331" s="2">
        <v>0</v>
      </c>
      <c r="AJ331" s="2">
        <v>0</v>
      </c>
      <c r="AK331" s="2">
        <v>0</v>
      </c>
      <c r="AL331" s="2">
        <v>0</v>
      </c>
      <c r="AM331" s="2">
        <v>0</v>
      </c>
      <c r="AN331" s="2">
        <v>0</v>
      </c>
      <c r="AO331" s="2">
        <v>0</v>
      </c>
      <c r="AP331" s="2">
        <v>0</v>
      </c>
      <c r="AQ331" s="2">
        <v>0</v>
      </c>
      <c r="AR331" s="2">
        <v>0</v>
      </c>
    </row>
    <row r="332" spans="1:44" x14ac:dyDescent="0.25">
      <c r="A332" t="s">
        <v>250</v>
      </c>
      <c r="B332" t="s">
        <v>270</v>
      </c>
      <c r="C332" t="s">
        <v>43</v>
      </c>
      <c r="D332" t="s">
        <v>271</v>
      </c>
      <c r="E332" t="s">
        <v>145</v>
      </c>
      <c r="F332" t="s">
        <v>271</v>
      </c>
      <c r="G332" t="s">
        <v>31</v>
      </c>
      <c r="H332" t="s">
        <v>272</v>
      </c>
      <c r="I332" t="s">
        <v>135</v>
      </c>
      <c r="J332" t="s">
        <v>39</v>
      </c>
      <c r="K332" t="s">
        <v>31</v>
      </c>
      <c r="L332">
        <v>30.12</v>
      </c>
      <c r="M332">
        <v>0</v>
      </c>
      <c r="N332">
        <v>0.47836719693862995</v>
      </c>
      <c r="O332">
        <v>3.9948356401026599</v>
      </c>
      <c r="P332">
        <v>2.851747483966371</v>
      </c>
      <c r="Q332">
        <v>4.5233469633551158</v>
      </c>
      <c r="R332">
        <v>-1.1299449527495848</v>
      </c>
      <c r="S332" s="2">
        <v>1.7983252066003191E-2</v>
      </c>
      <c r="T332" s="2">
        <v>2.3867372141999434E-2</v>
      </c>
      <c r="U332" s="2">
        <v>2.969697778768279E-2</v>
      </c>
      <c r="V332" s="2">
        <v>3.5472446027831332E-2</v>
      </c>
      <c r="W332" s="2">
        <v>4.1194151572120537E-2</v>
      </c>
      <c r="X332" s="2">
        <v>4.6862466828444291E-2</v>
      </c>
      <c r="Y332" s="2">
        <v>5.2477761916162637E-2</v>
      </c>
      <c r="Z332" s="2">
        <v>5.8040404679275875E-2</v>
      </c>
      <c r="AA332" s="2">
        <v>6.355076069952631E-2</v>
      </c>
      <c r="AB332" s="2">
        <v>6.9009193309427452E-2</v>
      </c>
      <c r="AC332" s="2">
        <v>7.4416063605221086E-2</v>
      </c>
      <c r="AD332" s="2">
        <v>7.9771730459763018E-2</v>
      </c>
      <c r="AE332" s="2">
        <v>9.5478360401762205E-2</v>
      </c>
      <c r="AF332" s="2">
        <v>0.10500889510065062</v>
      </c>
      <c r="AG332" s="2">
        <v>0.11025298916896205</v>
      </c>
      <c r="AH332" s="2">
        <v>0.11533171421861528</v>
      </c>
      <c r="AI332" s="2">
        <v>0.12024306175237445</v>
      </c>
      <c r="AJ332" s="2">
        <v>0.12498495395580264</v>
      </c>
      <c r="AK332" s="2">
        <v>0.12038372022140444</v>
      </c>
      <c r="AL332" s="2">
        <v>1.1941477441464982E-2</v>
      </c>
      <c r="AM332" s="2">
        <v>1.0822043150342117E-2</v>
      </c>
      <c r="AN332" s="2">
        <v>9.6869379480542302E-3</v>
      </c>
      <c r="AO332" s="2">
        <v>8.5358206973059104E-3</v>
      </c>
      <c r="AP332" s="2">
        <v>7.3683455489539718E-3</v>
      </c>
      <c r="AQ332" s="2">
        <v>6.1841618730786568E-3</v>
      </c>
      <c r="AR332" s="2">
        <v>1.4385650625722295</v>
      </c>
    </row>
    <row r="333" spans="1:44" x14ac:dyDescent="0.25">
      <c r="A333" t="s">
        <v>250</v>
      </c>
      <c r="B333" t="s">
        <v>270</v>
      </c>
      <c r="C333" t="s">
        <v>43</v>
      </c>
      <c r="D333" t="s">
        <v>271</v>
      </c>
      <c r="E333" t="s">
        <v>145</v>
      </c>
      <c r="F333" t="s">
        <v>271</v>
      </c>
      <c r="G333" t="s">
        <v>31</v>
      </c>
      <c r="H333" t="s">
        <v>272</v>
      </c>
      <c r="I333" t="s">
        <v>135</v>
      </c>
      <c r="J333" t="s">
        <v>40</v>
      </c>
      <c r="K333" t="s">
        <v>31</v>
      </c>
      <c r="L333">
        <v>30.12</v>
      </c>
      <c r="M333">
        <v>0</v>
      </c>
      <c r="N333">
        <v>0.47836719693862995</v>
      </c>
      <c r="O333">
        <v>2.8220930578635595</v>
      </c>
      <c r="P333">
        <v>2.851747483966371</v>
      </c>
      <c r="Q333">
        <v>0.4672931329656026</v>
      </c>
      <c r="R333">
        <v>-0.98694495274958494</v>
      </c>
      <c r="S333" s="2">
        <v>1.7788285153767236E-3</v>
      </c>
      <c r="T333" s="2">
        <v>2.3608612056079878E-3</v>
      </c>
      <c r="U333" s="2">
        <v>2.9375015550777389E-3</v>
      </c>
      <c r="V333" s="2">
        <v>3.508786857509257E-3</v>
      </c>
      <c r="W333" s="2">
        <v>4.0747541776254993E-3</v>
      </c>
      <c r="X333" s="2">
        <v>4.6354403524667687E-3</v>
      </c>
      <c r="Y333" s="2">
        <v>5.1908819927010972E-3</v>
      </c>
      <c r="Z333" s="2">
        <v>5.7411154839274127E-3</v>
      </c>
      <c r="AA333" s="2">
        <v>6.2861769879714825E-3</v>
      </c>
      <c r="AB333" s="2">
        <v>6.8261024441747054E-3</v>
      </c>
      <c r="AC333" s="2">
        <v>7.3609275706757946E-3</v>
      </c>
      <c r="AD333" s="2">
        <v>7.8906878656853537E-3</v>
      </c>
      <c r="AE333" s="2">
        <v>9.4443223873365671E-3</v>
      </c>
      <c r="AF333" s="2">
        <v>1.038704324933346E-2</v>
      </c>
      <c r="AG333" s="2">
        <v>1.090576722827746E-2</v>
      </c>
      <c r="AH333" s="2">
        <v>1.1408133591542798E-2</v>
      </c>
      <c r="AI333" s="2">
        <v>1.1893943666934638E-2</v>
      </c>
      <c r="AJ333" s="2">
        <v>1.2362991925689071E-2</v>
      </c>
      <c r="AK333" s="2">
        <v>1.1907857017796893E-2</v>
      </c>
      <c r="AL333" s="2">
        <v>1.1812012927718784E-3</v>
      </c>
      <c r="AM333" s="2">
        <v>1.0704715075900476E-3</v>
      </c>
      <c r="AN333" s="2">
        <v>9.5819162103939564E-4</v>
      </c>
      <c r="AO333" s="2">
        <v>8.4432788923728295E-4</v>
      </c>
      <c r="AP333" s="2">
        <v>7.2884610222458579E-4</v>
      </c>
      <c r="AQ333" s="2">
        <v>6.1171157714761011E-4</v>
      </c>
      <c r="AR333" s="2">
        <v>0.1422968740657215</v>
      </c>
    </row>
    <row r="334" spans="1:44" x14ac:dyDescent="0.25">
      <c r="A334" t="s">
        <v>250</v>
      </c>
      <c r="B334" t="s">
        <v>270</v>
      </c>
      <c r="C334" t="s">
        <v>43</v>
      </c>
      <c r="D334" t="s">
        <v>271</v>
      </c>
      <c r="E334" t="s">
        <v>145</v>
      </c>
      <c r="F334" t="s">
        <v>271</v>
      </c>
      <c r="G334" t="s">
        <v>31</v>
      </c>
      <c r="H334" t="s">
        <v>253</v>
      </c>
      <c r="I334" t="s">
        <v>135</v>
      </c>
      <c r="J334" t="s">
        <v>39</v>
      </c>
      <c r="K334" t="s">
        <v>31</v>
      </c>
      <c r="L334">
        <v>30.12</v>
      </c>
      <c r="M334">
        <v>0</v>
      </c>
      <c r="N334">
        <v>0.47836719693862995</v>
      </c>
      <c r="O334">
        <v>3.9948356401026599</v>
      </c>
      <c r="P334">
        <v>2.851747483966371</v>
      </c>
      <c r="Q334">
        <v>4.5233469633551158</v>
      </c>
      <c r="R334">
        <v>-1.1299449527495848</v>
      </c>
      <c r="S334" s="2">
        <v>6.1878391426987405E-3</v>
      </c>
      <c r="T334" s="2">
        <v>8.2166253362848992E-3</v>
      </c>
      <c r="U334" s="2">
        <v>1.0228671465507664E-2</v>
      </c>
      <c r="V334" s="2">
        <v>1.2224080694998897E-2</v>
      </c>
      <c r="W334" s="2">
        <v>1.420295562484097E-2</v>
      </c>
      <c r="X334" s="2">
        <v>1.6165398293461853E-2</v>
      </c>
      <c r="Y334" s="2">
        <v>1.8111510180515992E-2</v>
      </c>
      <c r="Z334" s="2">
        <v>2.0041392209750972E-2</v>
      </c>
      <c r="AA334" s="2">
        <v>2.1955144751860098E-2</v>
      </c>
      <c r="AB334" s="2">
        <v>2.3852867627320883E-2</v>
      </c>
      <c r="AC334" s="2">
        <v>2.5734660109219598E-2</v>
      </c>
      <c r="AD334" s="2">
        <v>2.7600620926061945E-2</v>
      </c>
      <c r="AE334" s="2">
        <v>3.3029996574905331E-2</v>
      </c>
      <c r="AF334" s="2">
        <v>3.6177575151361711E-2</v>
      </c>
      <c r="AG334" s="2">
        <v>3.8012350829458877E-2</v>
      </c>
      <c r="AH334" s="2">
        <v>3.9793111278981802E-2</v>
      </c>
      <c r="AI334" s="2">
        <v>4.1519109998223426E-2</v>
      </c>
      <c r="AJ334" s="2">
        <v>4.3189577261130624E-2</v>
      </c>
      <c r="AK334" s="2">
        <v>4.2670209258696329E-2</v>
      </c>
      <c r="AL334" s="2">
        <v>5.7890504052383095E-3</v>
      </c>
      <c r="AM334" s="2">
        <v>3.6190163188737877E-3</v>
      </c>
      <c r="AN334" s="2">
        <v>3.2408983789478638E-3</v>
      </c>
      <c r="AO334" s="2">
        <v>2.8570604826349253E-3</v>
      </c>
      <c r="AP334" s="2">
        <v>2.4673856761281083E-3</v>
      </c>
      <c r="AQ334" s="2">
        <v>2.0717553447626045E-3</v>
      </c>
      <c r="AR334" s="2">
        <v>0.49895886332186606</v>
      </c>
    </row>
    <row r="335" spans="1:44" x14ac:dyDescent="0.25">
      <c r="A335" t="s">
        <v>250</v>
      </c>
      <c r="B335" t="s">
        <v>270</v>
      </c>
      <c r="C335" t="s">
        <v>43</v>
      </c>
      <c r="D335" t="s">
        <v>271</v>
      </c>
      <c r="E335" t="s">
        <v>145</v>
      </c>
      <c r="F335" t="s">
        <v>271</v>
      </c>
      <c r="G335" t="s">
        <v>31</v>
      </c>
      <c r="H335" t="s">
        <v>253</v>
      </c>
      <c r="I335" t="s">
        <v>135</v>
      </c>
      <c r="J335" t="s">
        <v>40</v>
      </c>
      <c r="K335" t="s">
        <v>31</v>
      </c>
      <c r="L335">
        <v>30.12</v>
      </c>
      <c r="M335">
        <v>0</v>
      </c>
      <c r="N335">
        <v>0.47836719693862995</v>
      </c>
      <c r="O335">
        <v>2.8220930578635595</v>
      </c>
      <c r="P335">
        <v>2.851747483966371</v>
      </c>
      <c r="Q335">
        <v>0.4672931329656026</v>
      </c>
      <c r="R335">
        <v>-0.98694495274958494</v>
      </c>
      <c r="S335" s="2">
        <v>3.2549319967571716E-3</v>
      </c>
      <c r="T335" s="2">
        <v>4.3221157007606219E-3</v>
      </c>
      <c r="U335" s="2">
        <v>5.3804937829843797E-3</v>
      </c>
      <c r="V335" s="2">
        <v>6.4301205101689723E-3</v>
      </c>
      <c r="W335" s="2">
        <v>7.4710498520901584E-3</v>
      </c>
      <c r="X335" s="2">
        <v>8.5033354830818166E-3</v>
      </c>
      <c r="Y335" s="2">
        <v>9.5270307835513268E-3</v>
      </c>
      <c r="Z335" s="2">
        <v>1.054218884148752E-2</v>
      </c>
      <c r="AA335" s="2">
        <v>1.1548862453961164E-2</v>
      </c>
      <c r="AB335" s="2">
        <v>1.2547104128618097E-2</v>
      </c>
      <c r="AC335" s="2">
        <v>1.3536966085164994E-2</v>
      </c>
      <c r="AD335" s="2">
        <v>1.4518500256847802E-2</v>
      </c>
      <c r="AE335" s="2">
        <v>1.7374464691974845E-2</v>
      </c>
      <c r="AF335" s="2">
        <v>1.9030156442285437E-2</v>
      </c>
      <c r="AG335" s="2">
        <v>1.9995286582838095E-2</v>
      </c>
      <c r="AH335" s="2">
        <v>2.0932003590511349E-2</v>
      </c>
      <c r="AI335" s="2">
        <v>2.1839914789891886E-2</v>
      </c>
      <c r="AJ335" s="2">
        <v>2.271861528907786E-2</v>
      </c>
      <c r="AK335" s="2">
        <v>2.2445416925282347E-2</v>
      </c>
      <c r="AL335" s="2">
        <v>3.0451608324505758E-3</v>
      </c>
      <c r="AM335" s="2">
        <v>1.9036778011574315E-3</v>
      </c>
      <c r="AN335" s="2">
        <v>1.7047799059746174E-3</v>
      </c>
      <c r="AO335" s="2">
        <v>1.5028731948489144E-3</v>
      </c>
      <c r="AP335" s="2">
        <v>1.2978961476472683E-3</v>
      </c>
      <c r="AQ335" s="2">
        <v>1.0897863705906531E-3</v>
      </c>
      <c r="AR335" s="2">
        <v>0.26246273244000529</v>
      </c>
    </row>
    <row r="336" spans="1:44" x14ac:dyDescent="0.25">
      <c r="A336" t="s">
        <v>250</v>
      </c>
      <c r="B336" t="s">
        <v>270</v>
      </c>
      <c r="C336" t="s">
        <v>43</v>
      </c>
      <c r="D336" t="s">
        <v>271</v>
      </c>
      <c r="E336" t="s">
        <v>145</v>
      </c>
      <c r="F336" t="s">
        <v>271</v>
      </c>
      <c r="G336" t="s">
        <v>31</v>
      </c>
      <c r="H336" t="s">
        <v>253</v>
      </c>
      <c r="I336" t="s">
        <v>256</v>
      </c>
      <c r="J336" t="s">
        <v>39</v>
      </c>
      <c r="K336" t="s">
        <v>31</v>
      </c>
      <c r="L336">
        <v>30.12</v>
      </c>
      <c r="M336">
        <v>0</v>
      </c>
      <c r="N336">
        <v>0.31690942763799917</v>
      </c>
      <c r="O336">
        <v>2.6465047861031121</v>
      </c>
      <c r="P336">
        <v>3.58207699444247</v>
      </c>
      <c r="Q336">
        <v>0.4672931329656026</v>
      </c>
      <c r="R336">
        <v>-0.39961544227348605</v>
      </c>
      <c r="S336" s="2">
        <v>3.2458985446105087E-3</v>
      </c>
      <c r="T336" s="2">
        <v>4.3101204807701413E-3</v>
      </c>
      <c r="U336" s="2">
        <v>5.3655612334987312E-3</v>
      </c>
      <c r="V336" s="2">
        <v>6.4122749189296623E-3</v>
      </c>
      <c r="W336" s="2">
        <v>7.450315357055726E-3</v>
      </c>
      <c r="X336" s="2">
        <v>8.4797360732477688E-3</v>
      </c>
      <c r="Y336" s="2">
        <v>9.5005902997658837E-3</v>
      </c>
      <c r="Z336" s="2">
        <v>1.0512930977263158E-2</v>
      </c>
      <c r="AA336" s="2">
        <v>1.1516810756282017E-2</v>
      </c>
      <c r="AB336" s="2">
        <v>1.2512281998743196E-2</v>
      </c>
      <c r="AC336" s="2">
        <v>1.3499396779427377E-2</v>
      </c>
      <c r="AD336" s="2">
        <v>1.4478206887449552E-2</v>
      </c>
      <c r="AE336" s="2">
        <v>1.7326245129930168E-2</v>
      </c>
      <c r="AF336" s="2">
        <v>1.897734181889664E-2</v>
      </c>
      <c r="AG336" s="2">
        <v>1.9939793422094711E-2</v>
      </c>
      <c r="AH336" s="2">
        <v>2.0873910747724728E-2</v>
      </c>
      <c r="AI336" s="2">
        <v>2.1779302210170329E-2</v>
      </c>
      <c r="AJ336" s="2">
        <v>2.265556404123099E-2</v>
      </c>
      <c r="AK336" s="2">
        <v>2.2383123888159471E-2</v>
      </c>
      <c r="AL336" s="2">
        <v>3.0367095607537506E-3</v>
      </c>
      <c r="AM336" s="2">
        <v>1.898394501126438E-3</v>
      </c>
      <c r="AN336" s="2">
        <v>1.7000486096782252E-3</v>
      </c>
      <c r="AO336" s="2">
        <v>1.4987022526904801E-3</v>
      </c>
      <c r="AP336" s="2">
        <v>1.2942940807675898E-3</v>
      </c>
      <c r="AQ336" s="2">
        <v>1.0867618732928379E-3</v>
      </c>
      <c r="AR336" s="2">
        <v>0.26173431644356004</v>
      </c>
    </row>
    <row r="337" spans="1:44" x14ac:dyDescent="0.25">
      <c r="A337" t="s">
        <v>250</v>
      </c>
      <c r="B337" t="s">
        <v>270</v>
      </c>
      <c r="C337" t="s">
        <v>43</v>
      </c>
      <c r="D337" t="s">
        <v>271</v>
      </c>
      <c r="E337" t="s">
        <v>145</v>
      </c>
      <c r="F337" t="s">
        <v>271</v>
      </c>
      <c r="G337" t="s">
        <v>31</v>
      </c>
      <c r="H337" t="s">
        <v>273</v>
      </c>
      <c r="I337" t="s">
        <v>135</v>
      </c>
      <c r="J337" t="s">
        <v>39</v>
      </c>
      <c r="K337" t="s">
        <v>31</v>
      </c>
      <c r="L337">
        <v>30.12</v>
      </c>
      <c r="M337">
        <v>0</v>
      </c>
      <c r="N337">
        <v>0.47836719693862995</v>
      </c>
      <c r="O337">
        <v>3.9948356401026599</v>
      </c>
      <c r="P337">
        <v>2.851747483966371</v>
      </c>
      <c r="Q337">
        <v>4.5233469633551158</v>
      </c>
      <c r="R337">
        <v>-1.1299449527495848</v>
      </c>
      <c r="S337" s="2">
        <v>5.4085808038085203E-3</v>
      </c>
      <c r="T337" s="2">
        <v>7.1782684428146675E-3</v>
      </c>
      <c r="U337" s="2">
        <v>8.9315605099721477E-3</v>
      </c>
      <c r="V337" s="2">
        <v>1.066857039795153E-2</v>
      </c>
      <c r="W337" s="2">
        <v>1.2389410803141111E-2</v>
      </c>
      <c r="X337" s="2">
        <v>1.4094193729653325E-2</v>
      </c>
      <c r="Y337" s="2">
        <v>1.5783030493309032E-2</v>
      </c>
      <c r="Z337" s="2">
        <v>1.7456031725599789E-2</v>
      </c>
      <c r="AA337" s="2">
        <v>1.9113307377628234E-2</v>
      </c>
      <c r="AB337" s="2">
        <v>2.0754966724026703E-2</v>
      </c>
      <c r="AC337" s="2">
        <v>2.2381118366854191E-2</v>
      </c>
      <c r="AD337" s="2">
        <v>2.3991870239471788E-2</v>
      </c>
      <c r="AE337" s="2">
        <v>2.871574203335148E-2</v>
      </c>
      <c r="AF337" s="2">
        <v>3.1582112745014157E-2</v>
      </c>
      <c r="AG337" s="2">
        <v>3.3159308371652457E-2</v>
      </c>
      <c r="AH337" s="2">
        <v>3.468676818317934E-2</v>
      </c>
      <c r="AI337" s="2">
        <v>3.6163888110900211E-2</v>
      </c>
      <c r="AJ337" s="2">
        <v>3.7590043238518993E-2</v>
      </c>
      <c r="AK337" s="2">
        <v>3.6206192066419063E-2</v>
      </c>
      <c r="AL337" s="2">
        <v>3.5914775270885343E-3</v>
      </c>
      <c r="AM337" s="2">
        <v>3.2548003345613512E-3</v>
      </c>
      <c r="AN337" s="2">
        <v>2.9134100128962127E-3</v>
      </c>
      <c r="AO337" s="2">
        <v>2.5672039628181118E-3</v>
      </c>
      <c r="AP337" s="2">
        <v>2.2160781679327218E-3</v>
      </c>
      <c r="AQ337" s="2">
        <v>1.8599271739959059E-3</v>
      </c>
      <c r="AR337" s="2">
        <v>0.43265786154255964</v>
      </c>
    </row>
    <row r="338" spans="1:44" x14ac:dyDescent="0.25">
      <c r="A338" t="s">
        <v>250</v>
      </c>
      <c r="B338" t="s">
        <v>270</v>
      </c>
      <c r="C338" t="s">
        <v>43</v>
      </c>
      <c r="D338" t="s">
        <v>271</v>
      </c>
      <c r="E338" t="s">
        <v>145</v>
      </c>
      <c r="F338" t="s">
        <v>271</v>
      </c>
      <c r="G338" t="s">
        <v>31</v>
      </c>
      <c r="H338" t="s">
        <v>274</v>
      </c>
      <c r="I338" t="s">
        <v>135</v>
      </c>
      <c r="J338" t="s">
        <v>39</v>
      </c>
      <c r="K338" t="s">
        <v>31</v>
      </c>
      <c r="L338">
        <v>30.12</v>
      </c>
      <c r="M338">
        <v>0</v>
      </c>
      <c r="N338">
        <v>0.47836719693862995</v>
      </c>
      <c r="O338">
        <v>3.9948356401026599</v>
      </c>
      <c r="P338">
        <v>2.851747483966371</v>
      </c>
      <c r="Q338">
        <v>4.5233469633551158</v>
      </c>
      <c r="R338">
        <v>-1.1299449527495848</v>
      </c>
      <c r="S338" s="2">
        <v>8.5140747020931631E-3</v>
      </c>
      <c r="T338" s="2">
        <v>1.1299879944618046E-2</v>
      </c>
      <c r="U338" s="2">
        <v>1.4059875621090999E-2</v>
      </c>
      <c r="V338" s="2">
        <v>1.6794240231880777E-2</v>
      </c>
      <c r="W338" s="2">
        <v>1.9503151181283145E-2</v>
      </c>
      <c r="X338" s="2">
        <v>2.2186784783827705E-2</v>
      </c>
      <c r="Y338" s="2">
        <v>2.4845316270549856E-2</v>
      </c>
      <c r="Z338" s="2">
        <v>2.7478919795228138E-2</v>
      </c>
      <c r="AA338" s="2">
        <v>3.0087768440587102E-2</v>
      </c>
      <c r="AB338" s="2">
        <v>3.2672034224465893E-2</v>
      </c>
      <c r="AC338" s="2">
        <v>3.5231888105952791E-2</v>
      </c>
      <c r="AD338" s="2">
        <v>3.7767499991485834E-2</v>
      </c>
      <c r="AE338" s="2">
        <v>4.5203720100813118E-2</v>
      </c>
      <c r="AF338" s="2">
        <v>4.9715900883210512E-2</v>
      </c>
      <c r="AG338" s="2">
        <v>5.2198689228640634E-2</v>
      </c>
      <c r="AH338" s="2">
        <v>5.4603184494871497E-2</v>
      </c>
      <c r="AI338" s="2">
        <v>5.6928435769607162E-2</v>
      </c>
      <c r="AJ338" s="2">
        <v>5.9173459322693155E-2</v>
      </c>
      <c r="AK338" s="2">
        <v>5.699502977098133E-2</v>
      </c>
      <c r="AL338" s="2">
        <v>5.6536287550680549E-3</v>
      </c>
      <c r="AM338" s="2">
        <v>5.1236385651000169E-3</v>
      </c>
      <c r="AN338" s="2">
        <v>4.5862290658869173E-3</v>
      </c>
      <c r="AO338" s="2">
        <v>4.0412387477971644E-3</v>
      </c>
      <c r="AP338" s="2">
        <v>3.4885038703999409E-3</v>
      </c>
      <c r="AQ338" s="2">
        <v>2.9278584298312567E-3</v>
      </c>
      <c r="AR338" s="2">
        <v>0.68108095029796434</v>
      </c>
    </row>
    <row r="339" spans="1:44" x14ac:dyDescent="0.25">
      <c r="A339" t="s">
        <v>250</v>
      </c>
      <c r="B339" t="s">
        <v>270</v>
      </c>
      <c r="C339" t="s">
        <v>43</v>
      </c>
      <c r="D339" t="s">
        <v>271</v>
      </c>
      <c r="E339" t="s">
        <v>145</v>
      </c>
      <c r="F339" t="s">
        <v>271</v>
      </c>
      <c r="G339" t="s">
        <v>31</v>
      </c>
      <c r="H339" t="s">
        <v>274</v>
      </c>
      <c r="I339" t="s">
        <v>135</v>
      </c>
      <c r="J339" t="s">
        <v>39</v>
      </c>
      <c r="K339" t="s">
        <v>33</v>
      </c>
      <c r="L339">
        <v>30.12</v>
      </c>
      <c r="M339">
        <v>0</v>
      </c>
      <c r="N339">
        <v>0.47836719693862995</v>
      </c>
      <c r="O339">
        <v>3.9948356401026599</v>
      </c>
      <c r="P339">
        <v>2.851747483966371</v>
      </c>
      <c r="Q339">
        <v>4.5233469633551158</v>
      </c>
      <c r="R339">
        <v>-1.1299449527495848</v>
      </c>
      <c r="S339" s="2">
        <v>2.7393887410647532E-5</v>
      </c>
      <c r="T339" s="2">
        <v>3.6357167371411406E-5</v>
      </c>
      <c r="U339" s="2">
        <v>4.5237405501878631E-5</v>
      </c>
      <c r="V339" s="2">
        <v>5.4035176123883978E-5</v>
      </c>
      <c r="W339" s="2">
        <v>6.2751050032666469E-5</v>
      </c>
      <c r="X339" s="2">
        <v>7.1385594517161367E-5</v>
      </c>
      <c r="Y339" s="2">
        <v>7.9939373380180203E-5</v>
      </c>
      <c r="Z339" s="2">
        <v>8.8412946958479303E-5</v>
      </c>
      <c r="AA339" s="2">
        <v>9.6806872142717306E-5</v>
      </c>
      <c r="AB339" s="2">
        <v>1.0512170239730273E-4</v>
      </c>
      <c r="AC339" s="2">
        <v>1.1335798778013139E-4</v>
      </c>
      <c r="AD339" s="2">
        <v>1.2151627496221533E-4</v>
      </c>
      <c r="AE339" s="2">
        <v>1.4544218394979143E-4</v>
      </c>
      <c r="AF339" s="2">
        <v>1.5996004721203079E-4</v>
      </c>
      <c r="AG339" s="2">
        <v>1.679483755717129E-4</v>
      </c>
      <c r="AH339" s="2">
        <v>1.7568479730951716E-4</v>
      </c>
      <c r="AI339" s="2">
        <v>1.8316625288165481E-4</v>
      </c>
      <c r="AJ339" s="2">
        <v>1.9038957715344847E-4</v>
      </c>
      <c r="AK339" s="2">
        <v>1.8338051792391762E-4</v>
      </c>
      <c r="AL339" s="2">
        <v>1.8190452280135426E-5</v>
      </c>
      <c r="AM339" s="2">
        <v>1.648521805319549E-5</v>
      </c>
      <c r="AN339" s="2">
        <v>1.4756112327679946E-5</v>
      </c>
      <c r="AO339" s="2">
        <v>1.3002615449155682E-5</v>
      </c>
      <c r="AP339" s="2">
        <v>1.1224200585631485E-5</v>
      </c>
      <c r="AQ339" s="2">
        <v>9.4203336225596588E-6</v>
      </c>
      <c r="AR339" s="2">
        <v>2.1913661228991064E-3</v>
      </c>
    </row>
    <row r="340" spans="1:44" x14ac:dyDescent="0.25">
      <c r="A340" t="s">
        <v>250</v>
      </c>
      <c r="B340" t="s">
        <v>270</v>
      </c>
      <c r="C340" t="s">
        <v>43</v>
      </c>
      <c r="D340" t="s">
        <v>271</v>
      </c>
      <c r="E340" t="s">
        <v>145</v>
      </c>
      <c r="F340" t="s">
        <v>271</v>
      </c>
      <c r="G340" t="s">
        <v>31</v>
      </c>
      <c r="H340" t="s">
        <v>278</v>
      </c>
      <c r="I340" t="s">
        <v>135</v>
      </c>
      <c r="J340" t="s">
        <v>39</v>
      </c>
      <c r="K340" t="s">
        <v>31</v>
      </c>
      <c r="L340">
        <v>30.12</v>
      </c>
      <c r="M340">
        <v>0</v>
      </c>
      <c r="N340">
        <v>0.47836719693862995</v>
      </c>
      <c r="O340">
        <v>3.9948356401026599</v>
      </c>
      <c r="P340">
        <v>2.851747483966371</v>
      </c>
      <c r="Q340">
        <v>4.5233469633551158</v>
      </c>
      <c r="R340">
        <v>-1.1299449527495848</v>
      </c>
      <c r="S340" s="2">
        <v>0.47480077404760546</v>
      </c>
      <c r="T340" s="2">
        <v>0.62737008944156902</v>
      </c>
      <c r="U340" s="2">
        <v>0.7771546982957438</v>
      </c>
      <c r="V340" s="2">
        <v>0.92419236721329823</v>
      </c>
      <c r="W340" s="2">
        <v>1.0685204085597753</v>
      </c>
      <c r="X340" s="2">
        <v>1.210175685580271</v>
      </c>
      <c r="Y340" s="2">
        <v>1.3491946174613048</v>
      </c>
      <c r="Z340" s="2">
        <v>1.4856131843379472</v>
      </c>
      <c r="AA340" s="2">
        <v>1.6194669322467965</v>
      </c>
      <c r="AB340" s="2">
        <v>1.7507909780253552</v>
      </c>
      <c r="AC340" s="2">
        <v>1.8796200141583881</v>
      </c>
      <c r="AD340" s="2">
        <v>2.0059883135718053</v>
      </c>
      <c r="AE340" s="2">
        <v>2.4045623401985412</v>
      </c>
      <c r="AF340" s="2">
        <v>2.7459755176657339</v>
      </c>
      <c r="AG340" s="2">
        <v>2.8643499017165643</v>
      </c>
      <c r="AH340" s="2">
        <v>2.9765585362336635</v>
      </c>
      <c r="AI340" s="2">
        <v>3.082604502077126</v>
      </c>
      <c r="AJ340" s="2">
        <v>3.182488012559554</v>
      </c>
      <c r="AK340" s="2">
        <v>1.276456399804238</v>
      </c>
      <c r="AL340" s="2">
        <v>0.39220718471637911</v>
      </c>
      <c r="AM340" s="2">
        <v>0.35399947839991353</v>
      </c>
      <c r="AN340" s="2">
        <v>0.31560032016679185</v>
      </c>
      <c r="AO340" s="2">
        <v>0.27699723154854555</v>
      </c>
      <c r="AP340" s="2">
        <v>0.23817765418956335</v>
      </c>
      <c r="AQ340" s="2">
        <v>0.19912894751044644</v>
      </c>
      <c r="AR340" s="2">
        <v>35.481994089726925</v>
      </c>
    </row>
    <row r="341" spans="1:44" x14ac:dyDescent="0.25">
      <c r="A341" t="s">
        <v>250</v>
      </c>
      <c r="B341" t="s">
        <v>270</v>
      </c>
      <c r="C341" t="s">
        <v>43</v>
      </c>
      <c r="D341" t="s">
        <v>271</v>
      </c>
      <c r="E341" t="s">
        <v>145</v>
      </c>
      <c r="F341" t="s">
        <v>271</v>
      </c>
      <c r="G341" t="s">
        <v>31</v>
      </c>
      <c r="H341" t="s">
        <v>276</v>
      </c>
      <c r="I341" t="s">
        <v>135</v>
      </c>
      <c r="J341" t="s">
        <v>39</v>
      </c>
      <c r="K341" t="s">
        <v>31</v>
      </c>
      <c r="L341">
        <v>30.12</v>
      </c>
      <c r="M341">
        <v>0</v>
      </c>
      <c r="N341">
        <v>0.47836719693862995</v>
      </c>
      <c r="O341">
        <v>3.9948356401026599</v>
      </c>
      <c r="P341">
        <v>2.851747483966371</v>
      </c>
      <c r="Q341">
        <v>4.5233469633551158</v>
      </c>
      <c r="R341">
        <v>-1.1299449527495848</v>
      </c>
      <c r="S341" s="2">
        <v>3.0340627430878155E-2</v>
      </c>
      <c r="T341" s="2">
        <v>4.0369216151031083E-2</v>
      </c>
      <c r="U341" s="2">
        <v>5.0355550996392391E-2</v>
      </c>
      <c r="V341" s="2">
        <v>6.0299765207159961E-2</v>
      </c>
      <c r="W341" s="2">
        <v>7.0201991650262419E-2</v>
      </c>
      <c r="X341" s="2">
        <v>8.0062362820339281E-2</v>
      </c>
      <c r="Y341" s="2">
        <v>8.9881010840718631E-2</v>
      </c>
      <c r="Z341" s="2">
        <v>9.9658067464392375E-2</v>
      </c>
      <c r="AA341" s="2">
        <v>0.10939366407498885</v>
      </c>
      <c r="AB341" s="2">
        <v>0.11908793168774331</v>
      </c>
      <c r="AC341" s="2">
        <v>0.12874100095046567</v>
      </c>
      <c r="AD341" s="2">
        <v>0.13835300214450583</v>
      </c>
      <c r="AE341" s="2">
        <v>0.16547358496143419</v>
      </c>
      <c r="AF341" s="2">
        <v>0.17833488530867997</v>
      </c>
      <c r="AG341" s="2">
        <v>0.18793287752264659</v>
      </c>
      <c r="AH341" s="2">
        <v>0.197324914804616</v>
      </c>
      <c r="AI341" s="2">
        <v>0.20650654873160995</v>
      </c>
      <c r="AJ341" s="2">
        <v>0.21547322353166978</v>
      </c>
      <c r="AK341" s="2">
        <v>0.21354311819026778</v>
      </c>
      <c r="AL341" s="2">
        <v>8.3868922048809719E-2</v>
      </c>
      <c r="AM341" s="2">
        <v>1.5653928048103418E-2</v>
      </c>
      <c r="AN341" s="2">
        <v>1.4043895545157576E-2</v>
      </c>
      <c r="AO341" s="2">
        <v>1.2402857675214511E-2</v>
      </c>
      <c r="AP341" s="2">
        <v>1.0730262227847542E-2</v>
      </c>
      <c r="AQ341" s="2">
        <v>9.0255487243567443E-3</v>
      </c>
      <c r="AR341" s="2">
        <v>2.5270587587392925</v>
      </c>
    </row>
    <row r="342" spans="1:44" x14ac:dyDescent="0.25">
      <c r="A342" t="s">
        <v>250</v>
      </c>
      <c r="B342" t="s">
        <v>270</v>
      </c>
      <c r="C342" t="s">
        <v>43</v>
      </c>
      <c r="D342" t="s">
        <v>271</v>
      </c>
      <c r="E342" t="s">
        <v>145</v>
      </c>
      <c r="F342" t="s">
        <v>271</v>
      </c>
      <c r="G342" t="s">
        <v>31</v>
      </c>
      <c r="H342" t="s">
        <v>275</v>
      </c>
      <c r="I342" t="s">
        <v>135</v>
      </c>
      <c r="J342" t="s">
        <v>39</v>
      </c>
      <c r="K342" t="s">
        <v>31</v>
      </c>
      <c r="L342">
        <v>30.12</v>
      </c>
      <c r="M342">
        <v>0</v>
      </c>
      <c r="N342">
        <v>0.47836719693862995</v>
      </c>
      <c r="O342">
        <v>3.9948356401026599</v>
      </c>
      <c r="P342">
        <v>2.851747483966371</v>
      </c>
      <c r="Q342">
        <v>4.5233469633551158</v>
      </c>
      <c r="R342">
        <v>-1.1299449527495848</v>
      </c>
      <c r="S342" s="2">
        <v>1.3006844636355127E-2</v>
      </c>
      <c r="T342" s="2">
        <v>1.7262684201370521E-2</v>
      </c>
      <c r="U342" s="2">
        <v>2.1479094817555274E-2</v>
      </c>
      <c r="V342" s="2">
        <v>2.5656349177673413E-2</v>
      </c>
      <c r="W342" s="2">
        <v>2.9794718300032143E-2</v>
      </c>
      <c r="X342" s="2">
        <v>3.3894471538116554E-2</v>
      </c>
      <c r="Y342" s="2">
        <v>3.7955876590171363E-2</v>
      </c>
      <c r="Z342" s="2">
        <v>4.1979199508729532E-2</v>
      </c>
      <c r="AA342" s="2">
        <v>4.5964704710088303E-2</v>
      </c>
      <c r="AB342" s="2">
        <v>4.9912654983732978E-2</v>
      </c>
      <c r="AC342" s="2">
        <v>5.3823311501708458E-2</v>
      </c>
      <c r="AD342" s="2">
        <v>5.7696933827939119E-2</v>
      </c>
      <c r="AE342" s="2">
        <v>6.905715358499398E-2</v>
      </c>
      <c r="AF342" s="2">
        <v>7.5950355308178369E-2</v>
      </c>
      <c r="AG342" s="2">
        <v>7.9743279777824458E-2</v>
      </c>
      <c r="AH342" s="2">
        <v>8.3416596896950482E-2</v>
      </c>
      <c r="AI342" s="2">
        <v>8.6968853968824297E-2</v>
      </c>
      <c r="AJ342" s="2">
        <v>9.0398548161285425E-2</v>
      </c>
      <c r="AK342" s="2">
        <v>8.7070588785571654E-2</v>
      </c>
      <c r="AL342" s="2">
        <v>8.6369774076237998E-3</v>
      </c>
      <c r="AM342" s="2">
        <v>7.8273180728270688E-3</v>
      </c>
      <c r="AN342" s="2">
        <v>7.0063243527874316E-3</v>
      </c>
      <c r="AO342" s="2">
        <v>6.1737495112761066E-3</v>
      </c>
      <c r="AP342" s="2">
        <v>5.3293434041001243E-3</v>
      </c>
      <c r="AQ342" s="2">
        <v>4.472852429248165E-3</v>
      </c>
      <c r="AR342" s="2">
        <v>1.040478785454964</v>
      </c>
    </row>
    <row r="343" spans="1:44" x14ac:dyDescent="0.25">
      <c r="A343" t="s">
        <v>250</v>
      </c>
      <c r="B343" t="s">
        <v>270</v>
      </c>
      <c r="C343" t="s">
        <v>43</v>
      </c>
      <c r="D343" t="s">
        <v>271</v>
      </c>
      <c r="E343" t="s">
        <v>145</v>
      </c>
      <c r="F343" t="s">
        <v>271</v>
      </c>
      <c r="G343" t="s">
        <v>31</v>
      </c>
      <c r="H343" t="s">
        <v>277</v>
      </c>
      <c r="I343" t="s">
        <v>135</v>
      </c>
      <c r="J343" t="s">
        <v>39</v>
      </c>
      <c r="K343" t="s">
        <v>31</v>
      </c>
      <c r="L343">
        <v>30.12</v>
      </c>
      <c r="M343">
        <v>0</v>
      </c>
      <c r="N343">
        <v>0.47836719693862995</v>
      </c>
      <c r="O343">
        <v>3.9948356401026599</v>
      </c>
      <c r="P343">
        <v>2.851747483966371</v>
      </c>
      <c r="Q343">
        <v>4.5233469633551158</v>
      </c>
      <c r="R343">
        <v>-1.1299449527495848</v>
      </c>
      <c r="S343" s="2">
        <v>0.17945920586096192</v>
      </c>
      <c r="T343" s="2">
        <v>0.23814954454573084</v>
      </c>
      <c r="U343" s="2">
        <v>0.29628184836934379</v>
      </c>
      <c r="V343" s="2">
        <v>0.35386007765404864</v>
      </c>
      <c r="W343" s="2">
        <v>0.41088816776877513</v>
      </c>
      <c r="X343" s="2">
        <v>0.46737002927646454</v>
      </c>
      <c r="Y343" s="2">
        <v>0.52330954808056473</v>
      </c>
      <c r="Z343" s="2">
        <v>0.57871058557069377</v>
      </c>
      <c r="AA343" s="2">
        <v>0.63357697876748009</v>
      </c>
      <c r="AB343" s="2">
        <v>0.68791254046657946</v>
      </c>
      <c r="AC343" s="2">
        <v>0.74172105938187538</v>
      </c>
      <c r="AD343" s="2">
        <v>0.79500630028786934</v>
      </c>
      <c r="AE343" s="2">
        <v>0.95157417138296718</v>
      </c>
      <c r="AF343" s="2">
        <v>1.0475999523910555</v>
      </c>
      <c r="AG343" s="2">
        <v>1.0997214025621145</v>
      </c>
      <c r="AH343" s="2">
        <v>1.1501727031740294</v>
      </c>
      <c r="AI343" s="2">
        <v>1.1989342220987835</v>
      </c>
      <c r="AJ343" s="2">
        <v>1.2459856304884551</v>
      </c>
      <c r="AK343" s="2">
        <v>1.1803517427408472</v>
      </c>
      <c r="AL343" s="2">
        <v>0.11998095030675425</v>
      </c>
      <c r="AM343" s="2">
        <v>0.10872151175041601</v>
      </c>
      <c r="AN343" s="2">
        <v>9.7307271992736727E-2</v>
      </c>
      <c r="AO343" s="2">
        <v>8.5734810289144189E-2</v>
      </c>
      <c r="AP343" s="2">
        <v>7.4000659010265021E-2</v>
      </c>
      <c r="AQ343" s="2">
        <v>6.2101302953077302E-2</v>
      </c>
      <c r="AR343" s="2">
        <v>14.328432217171033</v>
      </c>
    </row>
    <row r="344" spans="1:44" x14ac:dyDescent="0.25">
      <c r="A344" t="s">
        <v>250</v>
      </c>
      <c r="B344" t="s">
        <v>270</v>
      </c>
      <c r="C344" t="s">
        <v>43</v>
      </c>
      <c r="D344" t="s">
        <v>271</v>
      </c>
      <c r="E344" t="s">
        <v>145</v>
      </c>
      <c r="F344" t="s">
        <v>271</v>
      </c>
      <c r="G344" t="s">
        <v>31</v>
      </c>
      <c r="H344" t="s">
        <v>277</v>
      </c>
      <c r="I344" t="s">
        <v>135</v>
      </c>
      <c r="J344" t="s">
        <v>40</v>
      </c>
      <c r="K344" t="s">
        <v>31</v>
      </c>
      <c r="L344">
        <v>30.12</v>
      </c>
      <c r="M344">
        <v>0</v>
      </c>
      <c r="N344">
        <v>0.47836719693862995</v>
      </c>
      <c r="O344">
        <v>2.8220930578635595</v>
      </c>
      <c r="P344">
        <v>2.851747483966371</v>
      </c>
      <c r="Q344">
        <v>0.4672931329656026</v>
      </c>
      <c r="R344">
        <v>-0.98694495274958494</v>
      </c>
      <c r="S344" s="2">
        <v>2.830886242143154E-2</v>
      </c>
      <c r="T344" s="2">
        <v>3.7566992787736508E-2</v>
      </c>
      <c r="U344" s="2">
        <v>4.6737095727222989E-2</v>
      </c>
      <c r="V344" s="2">
        <v>5.5819795962468589E-2</v>
      </c>
      <c r="W344" s="2">
        <v>6.4815714279780029E-2</v>
      </c>
      <c r="X344" s="2">
        <v>7.3725467552433699E-2</v>
      </c>
      <c r="Y344" s="2">
        <v>8.2549668763784487E-2</v>
      </c>
      <c r="Z344" s="2">
        <v>9.1288927030243786E-2</v>
      </c>
      <c r="AA344" s="2">
        <v>9.9943847624127155E-2</v>
      </c>
      <c r="AB344" s="2">
        <v>0.10851503199637236</v>
      </c>
      <c r="AC344" s="2">
        <v>0.11700307779912858</v>
      </c>
      <c r="AD344" s="2">
        <v>0.12540857890821799</v>
      </c>
      <c r="AE344" s="2">
        <v>0.15010643879890251</v>
      </c>
      <c r="AF344" s="2">
        <v>0.16525406307611351</v>
      </c>
      <c r="AG344" s="2">
        <v>0.17347598156181734</v>
      </c>
      <c r="AH344" s="2">
        <v>0.18143444165392059</v>
      </c>
      <c r="AI344" s="2">
        <v>0.18912634647473189</v>
      </c>
      <c r="AJ344" s="2">
        <v>0.19654848924220705</v>
      </c>
      <c r="AK344" s="2">
        <v>0.18619504602085402</v>
      </c>
      <c r="AL344" s="2">
        <v>1.8926441801252577E-2</v>
      </c>
      <c r="AM344" s="2">
        <v>1.7150317274763585E-2</v>
      </c>
      <c r="AN344" s="2">
        <v>1.5349773572392757E-2</v>
      </c>
      <c r="AO344" s="2">
        <v>1.3524271087454414E-2</v>
      </c>
      <c r="AP344" s="2">
        <v>1.1673262817399816E-2</v>
      </c>
      <c r="AQ344" s="2">
        <v>9.7961942551575872E-3</v>
      </c>
      <c r="AR344" s="2">
        <v>2.2602441284899153</v>
      </c>
    </row>
    <row r="345" spans="1:44" x14ac:dyDescent="0.25">
      <c r="A345" t="s">
        <v>250</v>
      </c>
      <c r="B345" t="s">
        <v>270</v>
      </c>
      <c r="C345" t="s">
        <v>43</v>
      </c>
      <c r="D345" t="s">
        <v>271</v>
      </c>
      <c r="E345" t="s">
        <v>148</v>
      </c>
      <c r="F345" t="s">
        <v>271</v>
      </c>
      <c r="G345" t="s">
        <v>31</v>
      </c>
      <c r="H345" t="s">
        <v>272</v>
      </c>
      <c r="I345" t="s">
        <v>135</v>
      </c>
      <c r="J345" t="s">
        <v>39</v>
      </c>
      <c r="K345" t="s">
        <v>31</v>
      </c>
      <c r="L345">
        <v>30.12</v>
      </c>
      <c r="M345">
        <v>0</v>
      </c>
      <c r="N345">
        <v>0.47836719693862995</v>
      </c>
      <c r="O345">
        <v>3.9948356401026599</v>
      </c>
      <c r="P345">
        <v>2.851747483966371</v>
      </c>
      <c r="Q345">
        <v>4.5233469633551158</v>
      </c>
      <c r="R345">
        <v>-1.1299449527495848</v>
      </c>
      <c r="S345" s="2">
        <v>2.4474846744529347E-3</v>
      </c>
      <c r="T345" s="2">
        <v>4.5868802513284145E-3</v>
      </c>
      <c r="U345" s="2">
        <v>5.7717345673376575E-3</v>
      </c>
      <c r="V345" s="2">
        <v>6.972500189988338E-3</v>
      </c>
      <c r="W345" s="2">
        <v>8.1895137505710678E-3</v>
      </c>
      <c r="X345" s="2">
        <v>9.4231164582732497E-3</v>
      </c>
      <c r="Y345" s="2">
        <v>1.0673654166731812E-2</v>
      </c>
      <c r="Z345" s="2">
        <v>1.1941477441464982E-2</v>
      </c>
      <c r="AA345" s="2">
        <v>1.3226941628195918E-2</v>
      </c>
      <c r="AB345" s="2">
        <v>1.4530406922081344E-2</v>
      </c>
      <c r="AC345" s="2">
        <v>1.5852238437853838E-2</v>
      </c>
      <c r="AD345" s="2">
        <v>1.7192806280892606E-2</v>
      </c>
      <c r="AE345" s="2">
        <v>1.8552485619235986E-2</v>
      </c>
      <c r="AF345" s="2">
        <v>1.9931656756540087E-2</v>
      </c>
      <c r="AG345" s="2">
        <v>2.1330705206011477E-2</v>
      </c>
      <c r="AH345" s="2">
        <v>2.2750021765305894E-2</v>
      </c>
      <c r="AI345" s="2">
        <v>2.4190002592428358E-2</v>
      </c>
      <c r="AJ345" s="2">
        <v>2.5651049282626206E-2</v>
      </c>
      <c r="AK345" s="2">
        <v>2.5841494234576139E-2</v>
      </c>
      <c r="AL345" s="2">
        <v>2.6034522079976006E-2</v>
      </c>
      <c r="AM345" s="2">
        <v>2.6230159727153625E-2</v>
      </c>
      <c r="AN345" s="2">
        <v>2.6428434395657778E-2</v>
      </c>
      <c r="AO345" s="2">
        <v>2.6629373619706558E-2</v>
      </c>
      <c r="AP345" s="2">
        <v>2.683300525166879E-2</v>
      </c>
      <c r="AQ345" s="2">
        <v>2.703935746559263E-2</v>
      </c>
      <c r="AR345" s="2">
        <v>0.43825102276565175</v>
      </c>
    </row>
    <row r="346" spans="1:44" x14ac:dyDescent="0.25">
      <c r="A346" t="s">
        <v>250</v>
      </c>
      <c r="B346" t="s">
        <v>270</v>
      </c>
      <c r="C346" t="s">
        <v>43</v>
      </c>
      <c r="D346" t="s">
        <v>271</v>
      </c>
      <c r="E346" t="s">
        <v>148</v>
      </c>
      <c r="F346" t="s">
        <v>271</v>
      </c>
      <c r="G346" t="s">
        <v>31</v>
      </c>
      <c r="H346" t="s">
        <v>272</v>
      </c>
      <c r="I346" t="s">
        <v>135</v>
      </c>
      <c r="J346" t="s">
        <v>40</v>
      </c>
      <c r="K346" t="s">
        <v>31</v>
      </c>
      <c r="L346">
        <v>30.12</v>
      </c>
      <c r="M346">
        <v>0</v>
      </c>
      <c r="N346">
        <v>0.47836719693862995</v>
      </c>
      <c r="O346">
        <v>2.8220930578635595</v>
      </c>
      <c r="P346">
        <v>2.851747483966371</v>
      </c>
      <c r="Q346">
        <v>0.4672931329656026</v>
      </c>
      <c r="R346">
        <v>-0.98694495274958494</v>
      </c>
      <c r="S346" s="2">
        <v>2.4209500672544407E-4</v>
      </c>
      <c r="T346" s="2">
        <v>4.5371512103231865E-4</v>
      </c>
      <c r="U346" s="2">
        <v>5.7091598304263185E-4</v>
      </c>
      <c r="V346" s="2">
        <v>6.8969072534262946E-4</v>
      </c>
      <c r="W346" s="2">
        <v>8.1007264609972407E-4</v>
      </c>
      <c r="X346" s="2">
        <v>9.320954963079525E-4</v>
      </c>
      <c r="Y346" s="2">
        <v>1.0557934863708886E-3</v>
      </c>
      <c r="Z346" s="2">
        <v>1.1812012927718784E-3</v>
      </c>
      <c r="AA346" s="2">
        <v>1.3083540648322802E-3</v>
      </c>
      <c r="AB346" s="2">
        <v>1.4372874315590931E-3</v>
      </c>
      <c r="AC346" s="2">
        <v>1.5680375085835258E-3</v>
      </c>
      <c r="AD346" s="2">
        <v>1.700640905190701E-3</v>
      </c>
      <c r="AE346" s="2">
        <v>1.8351347314428316E-3</v>
      </c>
      <c r="AF346" s="2">
        <v>1.9715566053962598E-3</v>
      </c>
      <c r="AG346" s="2">
        <v>2.1099446604142987E-3</v>
      </c>
      <c r="AH346" s="2">
        <v>2.250337552576042E-3</v>
      </c>
      <c r="AI346" s="2">
        <v>2.3927744681839368E-3</v>
      </c>
      <c r="AJ346" s="2">
        <v>2.5372951313699841E-3</v>
      </c>
      <c r="AK346" s="2">
        <v>2.5561331540977263E-3</v>
      </c>
      <c r="AL346" s="2">
        <v>2.5752266659052102E-3</v>
      </c>
      <c r="AM346" s="2">
        <v>2.5945783284523015E-3</v>
      </c>
      <c r="AN346" s="2">
        <v>2.61419083418361E-3</v>
      </c>
      <c r="AO346" s="2">
        <v>2.6340669066694969E-3</v>
      </c>
      <c r="AP346" s="2">
        <v>2.654209300950441E-3</v>
      </c>
      <c r="AQ346" s="2">
        <v>2.674620803886133E-3</v>
      </c>
      <c r="AR346" s="2">
        <v>4.3349968811387335E-2</v>
      </c>
    </row>
    <row r="347" spans="1:44" x14ac:dyDescent="0.25">
      <c r="A347" t="s">
        <v>250</v>
      </c>
      <c r="B347" t="s">
        <v>270</v>
      </c>
      <c r="C347" t="s">
        <v>43</v>
      </c>
      <c r="D347" t="s">
        <v>271</v>
      </c>
      <c r="E347" t="s">
        <v>148</v>
      </c>
      <c r="F347" t="s">
        <v>271</v>
      </c>
      <c r="G347" t="s">
        <v>31</v>
      </c>
      <c r="H347" t="s">
        <v>253</v>
      </c>
      <c r="I347" t="s">
        <v>135</v>
      </c>
      <c r="J347" t="s">
        <v>39</v>
      </c>
      <c r="K347" t="s">
        <v>31</v>
      </c>
      <c r="L347">
        <v>30.12</v>
      </c>
      <c r="M347">
        <v>0</v>
      </c>
      <c r="N347">
        <v>0.47836719693862995</v>
      </c>
      <c r="O347">
        <v>3.9948356401026599</v>
      </c>
      <c r="P347">
        <v>2.851747483966371</v>
      </c>
      <c r="Q347">
        <v>4.5233469633551158</v>
      </c>
      <c r="R347">
        <v>-1.1299449527495848</v>
      </c>
      <c r="S347" s="2">
        <v>8.4215254360837499E-4</v>
      </c>
      <c r="T347" s="2">
        <v>1.528792305905532E-3</v>
      </c>
      <c r="U347" s="2">
        <v>1.9246503012645716E-3</v>
      </c>
      <c r="V347" s="2">
        <v>2.3261943190894647E-3</v>
      </c>
      <c r="W347" s="2">
        <v>2.7335381091905956E-3</v>
      </c>
      <c r="X347" s="2">
        <v>3.1467970127567546E-3</v>
      </c>
      <c r="Y347" s="2">
        <v>3.5660879851443128E-3</v>
      </c>
      <c r="Z347" s="2">
        <v>3.9915296189702255E-3</v>
      </c>
      <c r="AA347" s="2">
        <v>4.4232421675124067E-3</v>
      </c>
      <c r="AB347" s="2">
        <v>4.8613475684217951E-3</v>
      </c>
      <c r="AC347" s="2">
        <v>5.3059694677505768E-3</v>
      </c>
      <c r="AD347" s="2">
        <v>5.7572332442989236E-3</v>
      </c>
      <c r="AE347" s="2">
        <v>6.2152660342878197E-3</v>
      </c>
      <c r="AF347" s="2">
        <v>6.6801967563580892E-3</v>
      </c>
      <c r="AG347" s="2">
        <v>7.1521561369037963E-3</v>
      </c>
      <c r="AH347" s="2">
        <v>7.6312767357405321E-3</v>
      </c>
      <c r="AI347" s="2">
        <v>8.1176929721180138E-3</v>
      </c>
      <c r="AJ347" s="2">
        <v>8.6115411510745022E-3</v>
      </c>
      <c r="AK347" s="2">
        <v>8.6790090382334352E-3</v>
      </c>
      <c r="AL347" s="2">
        <v>8.7473528603857001E-3</v>
      </c>
      <c r="AM347" s="2">
        <v>8.816581951291055E-3</v>
      </c>
      <c r="AN347" s="2">
        <v>8.8867057513876239E-3</v>
      </c>
      <c r="AO347" s="2">
        <v>8.9577338089793009E-3</v>
      </c>
      <c r="AP347" s="2">
        <v>9.0296757814365084E-3</v>
      </c>
      <c r="AQ347" s="2">
        <v>9.1025414364129045E-3</v>
      </c>
      <c r="AR347" s="2">
        <v>0.1470352650585228</v>
      </c>
    </row>
    <row r="348" spans="1:44" x14ac:dyDescent="0.25">
      <c r="A348" t="s">
        <v>250</v>
      </c>
      <c r="B348" t="s">
        <v>270</v>
      </c>
      <c r="C348" t="s">
        <v>43</v>
      </c>
      <c r="D348" t="s">
        <v>271</v>
      </c>
      <c r="E348" t="s">
        <v>148</v>
      </c>
      <c r="F348" t="s">
        <v>271</v>
      </c>
      <c r="G348" t="s">
        <v>31</v>
      </c>
      <c r="H348" t="s">
        <v>253</v>
      </c>
      <c r="I348" t="s">
        <v>135</v>
      </c>
      <c r="J348" t="s">
        <v>40</v>
      </c>
      <c r="K348" t="s">
        <v>31</v>
      </c>
      <c r="L348">
        <v>30.12</v>
      </c>
      <c r="M348">
        <v>0</v>
      </c>
      <c r="N348">
        <v>0.47836719693862995</v>
      </c>
      <c r="O348">
        <v>2.8220930578635595</v>
      </c>
      <c r="P348">
        <v>2.851747483966371</v>
      </c>
      <c r="Q348">
        <v>0.4672931329656026</v>
      </c>
      <c r="R348">
        <v>-0.98694495274958494</v>
      </c>
      <c r="S348" s="2">
        <v>4.429897411886864E-4</v>
      </c>
      <c r="T348" s="2">
        <v>8.0417652723885065E-4</v>
      </c>
      <c r="U348" s="2">
        <v>1.0124060602878053E-3</v>
      </c>
      <c r="V348" s="2">
        <v>1.2236265593318044E-3</v>
      </c>
      <c r="W348" s="2">
        <v>1.4378978591352218E-3</v>
      </c>
      <c r="X348" s="2">
        <v>1.6552806315606142E-3</v>
      </c>
      <c r="Y348" s="2">
        <v>1.8758363975562575E-3</v>
      </c>
      <c r="Z348" s="2">
        <v>2.099627539303428E-3</v>
      </c>
      <c r="AA348" s="2">
        <v>2.3267173125257491E-3</v>
      </c>
      <c r="AB348" s="2">
        <v>2.5571698589619257E-3</v>
      </c>
      <c r="AC348" s="2">
        <v>2.7910502190051272E-3</v>
      </c>
      <c r="AD348" s="2">
        <v>3.028424344510294E-3</v>
      </c>
      <c r="AE348" s="2">
        <v>3.2693591117719627E-3</v>
      </c>
      <c r="AF348" s="2">
        <v>3.5139223346747133E-3</v>
      </c>
      <c r="AG348" s="2">
        <v>3.7621827780186957E-3</v>
      </c>
      <c r="AH348" s="2">
        <v>4.0142101710222014E-3</v>
      </c>
      <c r="AI348" s="2">
        <v>4.270075221004207E-3</v>
      </c>
      <c r="AJ348" s="2">
        <v>4.5298496272477909E-3</v>
      </c>
      <c r="AK348" s="2">
        <v>4.5653391381421955E-3</v>
      </c>
      <c r="AL348" s="2">
        <v>4.6012894090483722E-3</v>
      </c>
      <c r="AM348" s="2">
        <v>4.6377053497180989E-3</v>
      </c>
      <c r="AN348" s="2">
        <v>4.6745919260179625E-3</v>
      </c>
      <c r="AO348" s="2">
        <v>4.7119541605543094E-3</v>
      </c>
      <c r="AP348" s="2">
        <v>4.749797133304692E-3</v>
      </c>
      <c r="AQ348" s="2">
        <v>4.7881259822579051E-3</v>
      </c>
      <c r="AR348" s="2">
        <v>7.7343605393388873E-2</v>
      </c>
    </row>
    <row r="349" spans="1:44" x14ac:dyDescent="0.25">
      <c r="A349" t="s">
        <v>250</v>
      </c>
      <c r="B349" t="s">
        <v>270</v>
      </c>
      <c r="C349" t="s">
        <v>43</v>
      </c>
      <c r="D349" t="s">
        <v>271</v>
      </c>
      <c r="E349" t="s">
        <v>148</v>
      </c>
      <c r="F349" t="s">
        <v>271</v>
      </c>
      <c r="G349" t="s">
        <v>31</v>
      </c>
      <c r="H349" t="s">
        <v>253</v>
      </c>
      <c r="I349" t="s">
        <v>256</v>
      </c>
      <c r="J349" t="s">
        <v>39</v>
      </c>
      <c r="K349" t="s">
        <v>31</v>
      </c>
      <c r="L349">
        <v>30.12</v>
      </c>
      <c r="M349">
        <v>0</v>
      </c>
      <c r="N349">
        <v>0.31690942763799917</v>
      </c>
      <c r="O349">
        <v>2.6465047861031121</v>
      </c>
      <c r="P349">
        <v>3.58207699444247</v>
      </c>
      <c r="Q349">
        <v>0.4672931329656026</v>
      </c>
      <c r="R349">
        <v>-0.39961544227348605</v>
      </c>
      <c r="S349" s="2">
        <v>4.417603064009623E-4</v>
      </c>
      <c r="T349" s="2">
        <v>8.0194468639439907E-4</v>
      </c>
      <c r="U349" s="2">
        <v>1.0095963175012614E-3</v>
      </c>
      <c r="V349" s="2">
        <v>1.2202306137390313E-3</v>
      </c>
      <c r="W349" s="2">
        <v>1.4339072438120022E-3</v>
      </c>
      <c r="X349" s="2">
        <v>1.6506867111993448E-3</v>
      </c>
      <c r="Y349" s="2">
        <v>1.8706303661094636E-3</v>
      </c>
      <c r="Z349" s="2">
        <v>2.0938004175936626E-3</v>
      </c>
      <c r="AA349" s="2">
        <v>2.3202599458212016E-3</v>
      </c>
      <c r="AB349" s="2">
        <v>2.5500729145173377E-3</v>
      </c>
      <c r="AC349" s="2">
        <v>2.7833041835680348E-3</v>
      </c>
      <c r="AD349" s="2">
        <v>3.0200195217910445E-3</v>
      </c>
      <c r="AE349" s="2">
        <v>3.2602856198785169E-3</v>
      </c>
      <c r="AF349" s="2">
        <v>3.5041701035101232E-3</v>
      </c>
      <c r="AG349" s="2">
        <v>3.7517415466424278E-3</v>
      </c>
      <c r="AH349" s="2">
        <v>4.0030694849732661E-3</v>
      </c>
      <c r="AI349" s="2">
        <v>4.2582244295867166E-3</v>
      </c>
      <c r="AJ349" s="2">
        <v>4.5172778807781111E-3</v>
      </c>
      <c r="AK349" s="2">
        <v>4.5526688972035928E-3</v>
      </c>
      <c r="AL349" s="2">
        <v>4.5885193948880399E-3</v>
      </c>
      <c r="AM349" s="2">
        <v>4.6248342699570667E-3</v>
      </c>
      <c r="AN349" s="2">
        <v>4.6616184744955359E-3</v>
      </c>
      <c r="AO349" s="2">
        <v>4.6988770171702936E-3</v>
      </c>
      <c r="AP349" s="2">
        <v>4.7366149638606858E-3</v>
      </c>
      <c r="AQ349" s="2">
        <v>4.774837438295731E-3</v>
      </c>
      <c r="AR349" s="2">
        <v>7.7128952749687854E-2</v>
      </c>
    </row>
    <row r="350" spans="1:44" x14ac:dyDescent="0.25">
      <c r="A350" t="s">
        <v>250</v>
      </c>
      <c r="B350" t="s">
        <v>270</v>
      </c>
      <c r="C350" t="s">
        <v>43</v>
      </c>
      <c r="D350" t="s">
        <v>271</v>
      </c>
      <c r="E350" t="s">
        <v>148</v>
      </c>
      <c r="F350" t="s">
        <v>271</v>
      </c>
      <c r="G350" t="s">
        <v>31</v>
      </c>
      <c r="H350" t="s">
        <v>273</v>
      </c>
      <c r="I350" t="s">
        <v>135</v>
      </c>
      <c r="J350" t="s">
        <v>39</v>
      </c>
      <c r="K350" t="s">
        <v>31</v>
      </c>
      <c r="L350">
        <v>30.12</v>
      </c>
      <c r="M350">
        <v>0</v>
      </c>
      <c r="N350">
        <v>0.47836719693862995</v>
      </c>
      <c r="O350">
        <v>3.9948356401026599</v>
      </c>
      <c r="P350">
        <v>2.851747483966371</v>
      </c>
      <c r="Q350">
        <v>4.5233469633551158</v>
      </c>
      <c r="R350">
        <v>-1.1299449527495848</v>
      </c>
      <c r="S350" s="2">
        <v>7.360970406952497E-4</v>
      </c>
      <c r="T350" s="2">
        <v>1.3795342680873112E-3</v>
      </c>
      <c r="U350" s="2">
        <v>1.7358869614353487E-3</v>
      </c>
      <c r="V350" s="2">
        <v>2.0970250844348027E-3</v>
      </c>
      <c r="W350" s="2">
        <v>2.4630498811502675E-3</v>
      </c>
      <c r="X350" s="2">
        <v>2.8340639724790482E-3</v>
      </c>
      <c r="Y350" s="2">
        <v>3.2101713761668424E-3</v>
      </c>
      <c r="Z350" s="2">
        <v>3.5914775270885343E-3</v>
      </c>
      <c r="AA350" s="2">
        <v>3.9780892977972068E-3</v>
      </c>
      <c r="AB350" s="2">
        <v>4.3701150193443178E-3</v>
      </c>
      <c r="AC350" s="2">
        <v>4.7676645023764942E-3</v>
      </c>
      <c r="AD350" s="2">
        <v>5.1708490585096857E-3</v>
      </c>
      <c r="AE350" s="2">
        <v>5.5797815219877228E-3</v>
      </c>
      <c r="AF350" s="2">
        <v>5.9945762716255924E-3</v>
      </c>
      <c r="AG350" s="2">
        <v>6.4153492530437794E-3</v>
      </c>
      <c r="AH350" s="2">
        <v>6.8422180011964324E-3</v>
      </c>
      <c r="AI350" s="2">
        <v>7.2753016631971696E-3</v>
      </c>
      <c r="AJ350" s="2">
        <v>7.7147210214461026E-3</v>
      </c>
      <c r="AK350" s="2">
        <v>7.7719985876791775E-3</v>
      </c>
      <c r="AL350" s="2">
        <v>7.8300529760290186E-3</v>
      </c>
      <c r="AM350" s="2">
        <v>7.8888922793509033E-3</v>
      </c>
      <c r="AN350" s="2">
        <v>7.9485246841027712E-3</v>
      </c>
      <c r="AO350" s="2">
        <v>8.0089584713806256E-3</v>
      </c>
      <c r="AP350" s="2">
        <v>8.0702020179670396E-3</v>
      </c>
      <c r="AQ350" s="2">
        <v>8.1322637973913099E-3</v>
      </c>
      <c r="AR350" s="2">
        <v>0.13180686453596277</v>
      </c>
    </row>
    <row r="351" spans="1:44" x14ac:dyDescent="0.25">
      <c r="A351" t="s">
        <v>250</v>
      </c>
      <c r="B351" t="s">
        <v>270</v>
      </c>
      <c r="C351" t="s">
        <v>43</v>
      </c>
      <c r="D351" t="s">
        <v>271</v>
      </c>
      <c r="E351" t="s">
        <v>148</v>
      </c>
      <c r="F351" t="s">
        <v>271</v>
      </c>
      <c r="G351" t="s">
        <v>31</v>
      </c>
      <c r="H351" t="s">
        <v>274</v>
      </c>
      <c r="I351" t="s">
        <v>135</v>
      </c>
      <c r="J351" t="s">
        <v>39</v>
      </c>
      <c r="K351" t="s">
        <v>31</v>
      </c>
      <c r="L351">
        <v>30.12</v>
      </c>
      <c r="M351">
        <v>0</v>
      </c>
      <c r="N351">
        <v>0.47836719693862995</v>
      </c>
      <c r="O351">
        <v>3.9948356401026599</v>
      </c>
      <c r="P351">
        <v>2.851747483966371</v>
      </c>
      <c r="Q351">
        <v>4.5233469633551158</v>
      </c>
      <c r="R351">
        <v>-1.1299449527495848</v>
      </c>
      <c r="S351" s="2">
        <v>1.1587485552690552E-3</v>
      </c>
      <c r="T351" s="2">
        <v>2.1716339717661511E-3</v>
      </c>
      <c r="U351" s="2">
        <v>2.7325969233265241E-3</v>
      </c>
      <c r="V351" s="2">
        <v>3.3010929980871653E-3</v>
      </c>
      <c r="W351" s="2">
        <v>3.8772815723356695E-3</v>
      </c>
      <c r="X351" s="2">
        <v>4.4613241897405445E-3</v>
      </c>
      <c r="Y351" s="2">
        <v>5.0533845928601752E-3</v>
      </c>
      <c r="Z351" s="2">
        <v>5.6536287550680549E-3</v>
      </c>
      <c r="AA351" s="2">
        <v>6.2622249129000189E-3</v>
      </c>
      <c r="AB351" s="2">
        <v>6.8793435988303755E-3</v>
      </c>
      <c r="AC351" s="2">
        <v>7.5051576744804499E-3</v>
      </c>
      <c r="AD351" s="2">
        <v>8.1398423642665332E-3</v>
      </c>
      <c r="AE351" s="2">
        <v>8.783575289493778E-3</v>
      </c>
      <c r="AF351" s="2">
        <v>9.4365365028984023E-3</v>
      </c>
      <c r="AG351" s="2">
        <v>1.0098908523650285E-2</v>
      </c>
      <c r="AH351" s="2">
        <v>1.0770876372813248E-2</v>
      </c>
      <c r="AI351" s="2">
        <v>1.145262760928085E-2</v>
      </c>
      <c r="AJ351" s="2">
        <v>1.2144352366178574E-2</v>
      </c>
      <c r="AK351" s="2">
        <v>1.2234517512148156E-2</v>
      </c>
      <c r="AL351" s="2">
        <v>1.2325905515235044E-2</v>
      </c>
      <c r="AM351" s="2">
        <v>1.2418529115043162E-2</v>
      </c>
      <c r="AN351" s="2">
        <v>1.251240119852302E-2</v>
      </c>
      <c r="AO351" s="2">
        <v>1.2607534801602756E-2</v>
      </c>
      <c r="AP351" s="2">
        <v>1.2703943110838138E-2</v>
      </c>
      <c r="AQ351" s="2">
        <v>1.2801639465081494E-2</v>
      </c>
      <c r="AR351" s="2">
        <v>0.2074876074917176</v>
      </c>
    </row>
    <row r="352" spans="1:44" x14ac:dyDescent="0.25">
      <c r="A352" t="s">
        <v>250</v>
      </c>
      <c r="B352" t="s">
        <v>270</v>
      </c>
      <c r="C352" t="s">
        <v>43</v>
      </c>
      <c r="D352" t="s">
        <v>271</v>
      </c>
      <c r="E352" t="s">
        <v>148</v>
      </c>
      <c r="F352" t="s">
        <v>271</v>
      </c>
      <c r="G352" t="s">
        <v>31</v>
      </c>
      <c r="H352" t="s">
        <v>274</v>
      </c>
      <c r="I352" t="s">
        <v>135</v>
      </c>
      <c r="J352" t="s">
        <v>39</v>
      </c>
      <c r="K352" t="s">
        <v>33</v>
      </c>
      <c r="L352">
        <v>30.12</v>
      </c>
      <c r="M352">
        <v>0</v>
      </c>
      <c r="N352">
        <v>0.47836719693862995</v>
      </c>
      <c r="O352">
        <v>3.9948356401026599</v>
      </c>
      <c r="P352">
        <v>2.851747483966371</v>
      </c>
      <c r="Q352">
        <v>4.5233469633551158</v>
      </c>
      <c r="R352">
        <v>-1.1299449527495848</v>
      </c>
      <c r="S352" s="2">
        <v>3.7282533417855904E-6</v>
      </c>
      <c r="T352" s="2">
        <v>6.9871945691377935E-6</v>
      </c>
      <c r="U352" s="2">
        <v>8.7920831183082836E-6</v>
      </c>
      <c r="V352" s="2">
        <v>1.0621209360477531E-5</v>
      </c>
      <c r="W352" s="2">
        <v>1.2475086086081468E-5</v>
      </c>
      <c r="X352" s="2">
        <v>1.4354233059067071E-5</v>
      </c>
      <c r="Y352" s="2">
        <v>1.6259177118269759E-5</v>
      </c>
      <c r="Z352" s="2">
        <v>1.8190452280135426E-5</v>
      </c>
      <c r="AA352" s="2">
        <v>2.0148599842794489E-5</v>
      </c>
      <c r="AB352" s="2">
        <v>2.2134168491519916E-5</v>
      </c>
      <c r="AC352" s="2">
        <v>2.4147714405574846E-5</v>
      </c>
      <c r="AD352" s="2">
        <v>2.6189801366473474E-5</v>
      </c>
      <c r="AE352" s="2">
        <v>2.8261000867678999E-5</v>
      </c>
      <c r="AF352" s="2">
        <v>3.0361892225741575E-5</v>
      </c>
      <c r="AG352" s="2">
        <v>3.2493062692918289E-5</v>
      </c>
      <c r="AH352" s="2">
        <v>3.4655107571267723E-5</v>
      </c>
      <c r="AI352" s="2">
        <v>3.6848630328270729E-5</v>
      </c>
      <c r="AJ352" s="2">
        <v>3.9074242713954294E-5</v>
      </c>
      <c r="AK352" s="2">
        <v>3.9364347504372538E-5</v>
      </c>
      <c r="AL352" s="2">
        <v>3.9658386816316634E-5</v>
      </c>
      <c r="AM352" s="2">
        <v>3.9956401639241486E-5</v>
      </c>
      <c r="AN352" s="2">
        <v>4.025843343668635E-5</v>
      </c>
      <c r="AO352" s="2">
        <v>4.0564524151522675E-5</v>
      </c>
      <c r="AP352" s="2">
        <v>4.0874716211264939E-5</v>
      </c>
      <c r="AQ352" s="2">
        <v>4.1189052533439833E-5</v>
      </c>
      <c r="AR352" s="2">
        <v>6.6758777173230163E-4</v>
      </c>
    </row>
    <row r="353" spans="1:44" x14ac:dyDescent="0.25">
      <c r="A353" t="s">
        <v>250</v>
      </c>
      <c r="B353" t="s">
        <v>270</v>
      </c>
      <c r="C353" t="s">
        <v>43</v>
      </c>
      <c r="D353" t="s">
        <v>271</v>
      </c>
      <c r="E353" t="s">
        <v>148</v>
      </c>
      <c r="F353" t="s">
        <v>271</v>
      </c>
      <c r="G353" t="s">
        <v>31</v>
      </c>
      <c r="H353" t="s">
        <v>278</v>
      </c>
      <c r="I353" t="s">
        <v>135</v>
      </c>
      <c r="J353" t="s">
        <v>39</v>
      </c>
      <c r="K353" t="s">
        <v>31</v>
      </c>
      <c r="L353">
        <v>30.12</v>
      </c>
      <c r="M353">
        <v>0</v>
      </c>
      <c r="N353">
        <v>0.47836719693862995</v>
      </c>
      <c r="O353">
        <v>3.9948356401026599</v>
      </c>
      <c r="P353">
        <v>2.851747483966371</v>
      </c>
      <c r="Q353">
        <v>4.5233469633551158</v>
      </c>
      <c r="R353">
        <v>-1.1299449527495848</v>
      </c>
      <c r="S353" s="2">
        <v>6.4619436664448443E-2</v>
      </c>
      <c r="T353" s="2">
        <v>0.15453056034878737</v>
      </c>
      <c r="U353" s="2">
        <v>0.1936017941661195</v>
      </c>
      <c r="V353" s="2">
        <v>0.23287302577610811</v>
      </c>
      <c r="W353" s="2">
        <v>0.27235666075072401</v>
      </c>
      <c r="X353" s="2">
        <v>0.31206517995398636</v>
      </c>
      <c r="Y353" s="2">
        <v>0.35201114183132809</v>
      </c>
      <c r="Z353" s="2">
        <v>0.39220718471637911</v>
      </c>
      <c r="AA353" s="2">
        <v>0.43266602915544983</v>
      </c>
      <c r="AB353" s="2">
        <v>0.47340048025018777</v>
      </c>
      <c r="AC353" s="2">
        <v>0.51442343001872759</v>
      </c>
      <c r="AD353" s="2">
        <v>0.55574785977564811</v>
      </c>
      <c r="AE353" s="2">
        <v>0.59738684253133989</v>
      </c>
      <c r="AF353" s="2">
        <v>0.63935354541082079</v>
      </c>
      <c r="AG353" s="2">
        <v>0.68166123209275942</v>
      </c>
      <c r="AH353" s="2">
        <v>0.72432326526879298</v>
      </c>
      <c r="AI353" s="2">
        <v>0.76735310912374854</v>
      </c>
      <c r="AJ353" s="2">
        <v>0.81076433183704189</v>
      </c>
      <c r="AK353" s="2">
        <v>0.81387676962442279</v>
      </c>
      <c r="AL353" s="2">
        <v>0.81707792880846453</v>
      </c>
      <c r="AM353" s="2">
        <v>0.82036831998072812</v>
      </c>
      <c r="AN353" s="2">
        <v>0.82374846381798617</v>
      </c>
      <c r="AO353" s="2">
        <v>0.8272188911560393</v>
      </c>
      <c r="AP353" s="2">
        <v>0.83078014306471293</v>
      </c>
      <c r="AQ353" s="2">
        <v>0.83443277092419832</v>
      </c>
      <c r="AR353" s="2">
        <v>13.938848397048949</v>
      </c>
    </row>
    <row r="354" spans="1:44" x14ac:dyDescent="0.25">
      <c r="A354" t="s">
        <v>250</v>
      </c>
      <c r="B354" t="s">
        <v>270</v>
      </c>
      <c r="C354" t="s">
        <v>43</v>
      </c>
      <c r="D354" t="s">
        <v>271</v>
      </c>
      <c r="E354" t="s">
        <v>148</v>
      </c>
      <c r="F354" t="s">
        <v>271</v>
      </c>
      <c r="G354" t="s">
        <v>31</v>
      </c>
      <c r="H354" t="s">
        <v>276</v>
      </c>
      <c r="I354" t="s">
        <v>135</v>
      </c>
      <c r="J354" t="s">
        <v>39</v>
      </c>
      <c r="K354" t="s">
        <v>31</v>
      </c>
      <c r="L354">
        <v>30.12</v>
      </c>
      <c r="M354">
        <v>0</v>
      </c>
      <c r="N354">
        <v>0.47836719693862995</v>
      </c>
      <c r="O354">
        <v>3.9948356401026599</v>
      </c>
      <c r="P354">
        <v>2.851747483966371</v>
      </c>
      <c r="Q354">
        <v>4.5233469633551158</v>
      </c>
      <c r="R354">
        <v>-1.1299449527495848</v>
      </c>
      <c r="S354" s="2">
        <v>4.1292987707570198E-3</v>
      </c>
      <c r="T354" s="2">
        <v>6.5251767760202096E-3</v>
      </c>
      <c r="U354" s="2">
        <v>8.2309736750223773E-3</v>
      </c>
      <c r="V354" s="2">
        <v>9.9676170076241129E-3</v>
      </c>
      <c r="W354" s="2">
        <v>1.1735643021591465E-2</v>
      </c>
      <c r="X354" s="2">
        <v>1.3535595894293642E-2</v>
      </c>
      <c r="Y354" s="2">
        <v>1.5368027843771935E-2</v>
      </c>
      <c r="Z354" s="2">
        <v>1.7233499241300777E-2</v>
      </c>
      <c r="AA354" s="2">
        <v>1.9132578725459728E-2</v>
      </c>
      <c r="AB354" s="2">
        <v>2.1065843317736359E-2</v>
      </c>
      <c r="AC354" s="2">
        <v>2.30338785396841E-2</v>
      </c>
      <c r="AD354" s="2">
        <v>2.5037278531644273E-2</v>
      </c>
      <c r="AE354" s="2">
        <v>2.7076646173070259E-2</v>
      </c>
      <c r="AF354" s="2">
        <v>2.915259320445409E-2</v>
      </c>
      <c r="AG354" s="2">
        <v>3.1265740350895438E-2</v>
      </c>
      <c r="AH354" s="2">
        <v>3.3416717447320832E-2</v>
      </c>
      <c r="AI354" s="2">
        <v>3.5606163565384777E-2</v>
      </c>
      <c r="AJ354" s="2">
        <v>3.7834727142057621E-2</v>
      </c>
      <c r="AK354" s="2">
        <v>3.8193396295193728E-2</v>
      </c>
      <c r="AL354" s="2">
        <v>3.8556225481261586E-2</v>
      </c>
      <c r="AM354" s="2">
        <v>3.8923261062778866E-2</v>
      </c>
      <c r="AN354" s="2">
        <v>3.9294549922801146E-2</v>
      </c>
      <c r="AO354" s="2">
        <v>3.9670139470747809E-2</v>
      </c>
      <c r="AP354" s="2">
        <v>4.0050077648308535E-2</v>
      </c>
      <c r="AQ354" s="2">
        <v>4.0434412935412077E-2</v>
      </c>
      <c r="AR354" s="2">
        <v>0.64447006204459267</v>
      </c>
    </row>
    <row r="355" spans="1:44" x14ac:dyDescent="0.25">
      <c r="A355" t="s">
        <v>250</v>
      </c>
      <c r="B355" t="s">
        <v>270</v>
      </c>
      <c r="C355" t="s">
        <v>43</v>
      </c>
      <c r="D355" t="s">
        <v>271</v>
      </c>
      <c r="E355" t="s">
        <v>148</v>
      </c>
      <c r="F355" t="s">
        <v>271</v>
      </c>
      <c r="G355" t="s">
        <v>31</v>
      </c>
      <c r="H355" t="s">
        <v>275</v>
      </c>
      <c r="I355" t="s">
        <v>135</v>
      </c>
      <c r="J355" t="s">
        <v>39</v>
      </c>
      <c r="K355" t="s">
        <v>31</v>
      </c>
      <c r="L355">
        <v>30.12</v>
      </c>
      <c r="M355">
        <v>0</v>
      </c>
      <c r="N355">
        <v>0.47836719693862995</v>
      </c>
      <c r="O355">
        <v>3.9948356401026599</v>
      </c>
      <c r="P355">
        <v>2.851747483966371</v>
      </c>
      <c r="Q355">
        <v>4.5233469633551158</v>
      </c>
      <c r="R355">
        <v>-1.1299449527495848</v>
      </c>
      <c r="S355" s="2">
        <v>1.7702055664698638E-3</v>
      </c>
      <c r="T355" s="2">
        <v>3.3175778538622131E-3</v>
      </c>
      <c r="U355" s="2">
        <v>4.1745538862552082E-3</v>
      </c>
      <c r="V355" s="2">
        <v>5.0430381760361879E-3</v>
      </c>
      <c r="W355" s="2">
        <v>5.923274200351332E-3</v>
      </c>
      <c r="X355" s="2">
        <v>6.8155087474276897E-3</v>
      </c>
      <c r="Y355" s="2">
        <v>7.7199919647080641E-3</v>
      </c>
      <c r="Z355" s="2">
        <v>8.6369774076237998E-3</v>
      </c>
      <c r="AA355" s="2">
        <v>9.5667220890108592E-3</v>
      </c>
      <c r="AB355" s="2">
        <v>1.0509486529181145E-2</v>
      </c>
      <c r="AC355" s="2">
        <v>1.1465534806655631E-2</v>
      </c>
      <c r="AD355" s="2">
        <v>1.243513460956696E-2</v>
      </c>
      <c r="AE355" s="2">
        <v>1.3418557287744506E-2</v>
      </c>
      <c r="AF355" s="2">
        <v>1.4416077905484914E-2</v>
      </c>
      <c r="AG355" s="2">
        <v>1.5427975295023823E-2</v>
      </c>
      <c r="AH355" s="2">
        <v>1.6454532110709311E-2</v>
      </c>
      <c r="AI355" s="2">
        <v>1.7496034883899364E-2</v>
      </c>
      <c r="AJ355" s="2">
        <v>1.8552774078574207E-2</v>
      </c>
      <c r="AK355" s="2">
        <v>1.8690518235898762E-2</v>
      </c>
      <c r="AL355" s="2">
        <v>1.8830130536632367E-2</v>
      </c>
      <c r="AM355" s="2">
        <v>1.8971630442907627E-2</v>
      </c>
      <c r="AN355" s="2">
        <v>1.9115037641955299E-2</v>
      </c>
      <c r="AO355" s="2">
        <v>1.9260372048600195E-2</v>
      </c>
      <c r="AP355" s="2">
        <v>1.9407653807775514E-2</v>
      </c>
      <c r="AQ355" s="2">
        <v>1.9556903297079833E-2</v>
      </c>
      <c r="AR355" s="2">
        <v>0.31697620340943466</v>
      </c>
    </row>
    <row r="356" spans="1:44" x14ac:dyDescent="0.25">
      <c r="A356" t="s">
        <v>250</v>
      </c>
      <c r="B356" t="s">
        <v>270</v>
      </c>
      <c r="C356" t="s">
        <v>43</v>
      </c>
      <c r="D356" t="s">
        <v>271</v>
      </c>
      <c r="E356" t="s">
        <v>148</v>
      </c>
      <c r="F356" t="s">
        <v>271</v>
      </c>
      <c r="G356" t="s">
        <v>31</v>
      </c>
      <c r="H356" t="s">
        <v>277</v>
      </c>
      <c r="I356" t="s">
        <v>135</v>
      </c>
      <c r="J356" t="s">
        <v>39</v>
      </c>
      <c r="K356" t="s">
        <v>31</v>
      </c>
      <c r="L356">
        <v>30.12</v>
      </c>
      <c r="M356">
        <v>0</v>
      </c>
      <c r="N356">
        <v>0.47836719693862995</v>
      </c>
      <c r="O356">
        <v>3.9948356401026599</v>
      </c>
      <c r="P356">
        <v>2.851747483966371</v>
      </c>
      <c r="Q356">
        <v>4.5233469633551158</v>
      </c>
      <c r="R356">
        <v>-1.1299449527495848</v>
      </c>
      <c r="S356" s="2">
        <v>2.4424039346283646E-2</v>
      </c>
      <c r="T356" s="2">
        <v>4.6118145021664669E-2</v>
      </c>
      <c r="U356" s="2">
        <v>5.8024218035377058E-2</v>
      </c>
      <c r="V356" s="2">
        <v>7.0087501827366588E-2</v>
      </c>
      <c r="W356" s="2">
        <v>8.2311372314529382E-2</v>
      </c>
      <c r="X356" s="2">
        <v>9.4699250959835793E-2</v>
      </c>
      <c r="Y356" s="2">
        <v>0.1072546054374718</v>
      </c>
      <c r="Z356" s="2">
        <v>0.11998095030675425</v>
      </c>
      <c r="AA356" s="2">
        <v>0.13288184769495284</v>
      </c>
      <c r="AB356" s="2">
        <v>0.14596090798910508</v>
      </c>
      <c r="AC356" s="2">
        <v>0.15922179053698213</v>
      </c>
      <c r="AD356" s="2">
        <v>0.17266820435728511</v>
      </c>
      <c r="AE356" s="2">
        <v>0.18630390885923206</v>
      </c>
      <c r="AF356" s="2">
        <v>0.20013271457160969</v>
      </c>
      <c r="AG356" s="2">
        <v>0.21415848388149486</v>
      </c>
      <c r="AH356" s="2">
        <v>0.22838513178264644</v>
      </c>
      <c r="AI356" s="2">
        <v>0.24281662663388406</v>
      </c>
      <c r="AJ356" s="2">
        <v>0.25745699092731189</v>
      </c>
      <c r="AK356" s="2">
        <v>0.25934314482556919</v>
      </c>
      <c r="AL356" s="2">
        <v>0.26125517559718331</v>
      </c>
      <c r="AM356" s="2">
        <v>0.2631933511317292</v>
      </c>
      <c r="AN356" s="2">
        <v>0.2651579424282422</v>
      </c>
      <c r="AO356" s="2">
        <v>0.26714922362960569</v>
      </c>
      <c r="AP356" s="2">
        <v>0.26916747205729302</v>
      </c>
      <c r="AQ356" s="2">
        <v>0.27121296824652891</v>
      </c>
      <c r="AR356" s="2">
        <v>4.3993659683999402</v>
      </c>
    </row>
    <row r="357" spans="1:44" x14ac:dyDescent="0.25">
      <c r="A357" t="s">
        <v>250</v>
      </c>
      <c r="B357" t="s">
        <v>270</v>
      </c>
      <c r="C357" t="s">
        <v>43</v>
      </c>
      <c r="D357" t="s">
        <v>271</v>
      </c>
      <c r="E357" t="s">
        <v>148</v>
      </c>
      <c r="F357" t="s">
        <v>271</v>
      </c>
      <c r="G357" t="s">
        <v>31</v>
      </c>
      <c r="H357" t="s">
        <v>277</v>
      </c>
      <c r="I357" t="s">
        <v>135</v>
      </c>
      <c r="J357" t="s">
        <v>40</v>
      </c>
      <c r="K357" t="s">
        <v>31</v>
      </c>
      <c r="L357">
        <v>30.12</v>
      </c>
      <c r="M357">
        <v>0</v>
      </c>
      <c r="N357">
        <v>0.47836719693862995</v>
      </c>
      <c r="O357">
        <v>2.8220930578635595</v>
      </c>
      <c r="P357">
        <v>2.851747483966371</v>
      </c>
      <c r="Q357">
        <v>0.4672931329656026</v>
      </c>
      <c r="R357">
        <v>-0.98694495274958494</v>
      </c>
      <c r="S357" s="2">
        <v>3.8527796125725506E-3</v>
      </c>
      <c r="T357" s="2">
        <v>7.2749247734966186E-3</v>
      </c>
      <c r="U357" s="2">
        <v>9.1530529046654277E-3</v>
      </c>
      <c r="V357" s="2">
        <v>1.1055980311369265E-2</v>
      </c>
      <c r="W357" s="2">
        <v>1.2984239528935354E-2</v>
      </c>
      <c r="X357" s="2">
        <v>1.4938370277374394E-2</v>
      </c>
      <c r="Y357" s="2">
        <v>1.691891956630347E-2</v>
      </c>
      <c r="Z357" s="2">
        <v>1.8926441801252577E-2</v>
      </c>
      <c r="AA357" s="2">
        <v>2.096149889137771E-2</v>
      </c>
      <c r="AB357" s="2">
        <v>2.3024660358589133E-2</v>
      </c>
      <c r="AC357" s="2">
        <v>2.5116503448129632E-2</v>
      </c>
      <c r="AD357" s="2">
        <v>2.7237613240599579E-2</v>
      </c>
      <c r="AE357" s="2">
        <v>2.9388582765472789E-2</v>
      </c>
      <c r="AF357" s="2">
        <v>3.1570013116099589E-2</v>
      </c>
      <c r="AG357" s="2">
        <v>3.3782513566233852E-2</v>
      </c>
      <c r="AH357" s="2">
        <v>3.6026701688095963E-2</v>
      </c>
      <c r="AI357" s="2">
        <v>3.8303203471993001E-2</v>
      </c>
      <c r="AJ357" s="2">
        <v>4.0612653447512623E-2</v>
      </c>
      <c r="AK357" s="2">
        <v>4.0910185529832457E-2</v>
      </c>
      <c r="AL357" s="2">
        <v>4.1211799569633847E-2</v>
      </c>
      <c r="AM357" s="2">
        <v>4.1517537825259881E-2</v>
      </c>
      <c r="AN357" s="2">
        <v>4.1827443045560693E-2</v>
      </c>
      <c r="AO357" s="2">
        <v>4.2141558475312216E-2</v>
      </c>
      <c r="AP357" s="2">
        <v>4.2459927860696807E-2</v>
      </c>
      <c r="AQ357" s="2">
        <v>4.2782595454855521E-2</v>
      </c>
      <c r="AR357" s="2">
        <v>0.69397970053122504</v>
      </c>
    </row>
    <row r="358" spans="1:44" x14ac:dyDescent="0.25">
      <c r="A358" t="s">
        <v>250</v>
      </c>
      <c r="B358" t="s">
        <v>308</v>
      </c>
      <c r="C358" t="s">
        <v>44</v>
      </c>
      <c r="D358" t="s">
        <v>303</v>
      </c>
      <c r="E358" t="s">
        <v>145</v>
      </c>
      <c r="F358" t="s">
        <v>303</v>
      </c>
      <c r="G358" t="s">
        <v>31</v>
      </c>
      <c r="H358" t="s">
        <v>253</v>
      </c>
      <c r="I358" t="s">
        <v>135</v>
      </c>
      <c r="J358" t="s">
        <v>39</v>
      </c>
      <c r="K358" t="s">
        <v>31</v>
      </c>
      <c r="L358">
        <v>0.101725</v>
      </c>
      <c r="M358">
        <v>0</v>
      </c>
      <c r="N358">
        <v>6.5847159258737936E-2</v>
      </c>
      <c r="O358">
        <v>5.3756602043030259</v>
      </c>
      <c r="P358">
        <v>41.815630596090237</v>
      </c>
      <c r="Q358">
        <v>44.21983751635176</v>
      </c>
      <c r="R358">
        <v>-1.8625523936223536</v>
      </c>
      <c r="S358" s="2">
        <v>1.6213904476606247E-5</v>
      </c>
      <c r="T358" s="2">
        <v>2.3697404634377545E-5</v>
      </c>
      <c r="U358" s="2">
        <v>3.2176642318492927E-5</v>
      </c>
      <c r="V358" s="2">
        <v>4.203044709589703E-5</v>
      </c>
      <c r="W358" s="2">
        <v>5.2767708612056719E-5</v>
      </c>
      <c r="X358" s="2">
        <v>6.3650579938782627E-5</v>
      </c>
      <c r="Y358" s="2">
        <v>7.3806409681761651E-5</v>
      </c>
      <c r="Z358" s="2">
        <v>8.2421210970855561E-5</v>
      </c>
      <c r="AA358" s="2">
        <v>8.8955657745354281E-5</v>
      </c>
      <c r="AB358" s="2">
        <v>9.3287962393703904E-5</v>
      </c>
      <c r="AC358" s="2">
        <v>9.5704692030713703E-5</v>
      </c>
      <c r="AD358" s="2">
        <v>9.6614363815075973E-5</v>
      </c>
      <c r="AE358" s="2">
        <v>9.6218244923434133E-5</v>
      </c>
      <c r="AF358" s="2">
        <v>9.5823750119248069E-5</v>
      </c>
      <c r="AG358" s="2">
        <v>9.5430872743759178E-5</v>
      </c>
      <c r="AH358" s="2">
        <v>1.0947737369311918E-4</v>
      </c>
      <c r="AI358" s="2">
        <v>1.1255108100611876E-4</v>
      </c>
      <c r="AJ358" s="2">
        <v>1.1027378186907075E-4</v>
      </c>
      <c r="AK358" s="2">
        <v>5.4844678189418407E-5</v>
      </c>
      <c r="AL358" s="2">
        <v>1.1226712228827558E-5</v>
      </c>
      <c r="AM358" s="2">
        <v>8.6077278726117747E-6</v>
      </c>
      <c r="AN358" s="2">
        <v>6.1070182004931605E-6</v>
      </c>
      <c r="AO358" s="2">
        <v>3.932001816706093E-6</v>
      </c>
      <c r="AP358" s="2">
        <v>2.2304623916786624E-6</v>
      </c>
      <c r="AQ358" s="2">
        <v>1.0505001382751102E-6</v>
      </c>
      <c r="AR358" s="2">
        <v>1.4691011889064387E-3</v>
      </c>
    </row>
    <row r="359" spans="1:44" x14ac:dyDescent="0.25">
      <c r="A359" t="s">
        <v>250</v>
      </c>
      <c r="B359" t="s">
        <v>308</v>
      </c>
      <c r="C359" t="s">
        <v>44</v>
      </c>
      <c r="D359" t="s">
        <v>303</v>
      </c>
      <c r="E359" t="s">
        <v>145</v>
      </c>
      <c r="F359" t="s">
        <v>303</v>
      </c>
      <c r="G359" t="s">
        <v>31</v>
      </c>
      <c r="H359" t="s">
        <v>253</v>
      </c>
      <c r="I359" t="s">
        <v>135</v>
      </c>
      <c r="J359" t="s">
        <v>40</v>
      </c>
      <c r="K359" t="s">
        <v>31</v>
      </c>
      <c r="L359">
        <v>0.101725</v>
      </c>
      <c r="M359">
        <v>0</v>
      </c>
      <c r="N359">
        <v>6.5847159258737936E-2</v>
      </c>
      <c r="O359">
        <v>4.1746294160814506</v>
      </c>
      <c r="P359">
        <v>41.815630596090237</v>
      </c>
      <c r="Q359">
        <v>0.4672931329656026</v>
      </c>
      <c r="R359">
        <v>-1.7195523936223531</v>
      </c>
      <c r="S359" s="2">
        <v>8.5288507435655287E-6</v>
      </c>
      <c r="T359" s="2">
        <v>1.2465327363195886E-5</v>
      </c>
      <c r="U359" s="2">
        <v>1.6925582617035476E-5</v>
      </c>
      <c r="V359" s="2">
        <v>2.21088887308694E-5</v>
      </c>
      <c r="W359" s="2">
        <v>2.7756911451003504E-5</v>
      </c>
      <c r="X359" s="2">
        <v>3.3481527957841474E-5</v>
      </c>
      <c r="Y359" s="2">
        <v>3.8823705480837551E-5</v>
      </c>
      <c r="Z359" s="2">
        <v>4.3355270008442133E-5</v>
      </c>
      <c r="AA359" s="2">
        <v>4.6792524823399436E-5</v>
      </c>
      <c r="AB359" s="2">
        <v>4.9071407110805325E-5</v>
      </c>
      <c r="AC359" s="2">
        <v>5.0342657129044139E-5</v>
      </c>
      <c r="AD359" s="2">
        <v>5.0821163394185443E-5</v>
      </c>
      <c r="AE359" s="2">
        <v>5.0612796624269279E-5</v>
      </c>
      <c r="AF359" s="2">
        <v>5.0405284158109772E-5</v>
      </c>
      <c r="AG359" s="2">
        <v>5.0198622493061522E-5</v>
      </c>
      <c r="AH359" s="2">
        <v>5.7587373934103621E-5</v>
      </c>
      <c r="AI359" s="2">
        <v>5.9204207864499787E-5</v>
      </c>
      <c r="AJ359" s="2">
        <v>5.8006301187156378E-5</v>
      </c>
      <c r="AK359" s="2">
        <v>2.8849440616313883E-5</v>
      </c>
      <c r="AL359" s="2">
        <v>5.9054839677132894E-6</v>
      </c>
      <c r="AM359" s="2">
        <v>4.5278437635214874E-6</v>
      </c>
      <c r="AN359" s="2">
        <v>3.2124185013791781E-6</v>
      </c>
      <c r="AO359" s="2">
        <v>2.0683146780900293E-6</v>
      </c>
      <c r="AP359" s="2">
        <v>1.1732695758267625E-6</v>
      </c>
      <c r="AQ359" s="2">
        <v>5.5258490626798312E-7</v>
      </c>
      <c r="AR359" s="2">
        <v>7.7277775908053811E-4</v>
      </c>
    </row>
    <row r="360" spans="1:44" x14ac:dyDescent="0.25">
      <c r="A360" t="s">
        <v>250</v>
      </c>
      <c r="B360" t="s">
        <v>308</v>
      </c>
      <c r="C360" t="s">
        <v>44</v>
      </c>
      <c r="D360" t="s">
        <v>303</v>
      </c>
      <c r="E360" t="s">
        <v>145</v>
      </c>
      <c r="F360" t="s">
        <v>303</v>
      </c>
      <c r="G360" t="s">
        <v>31</v>
      </c>
      <c r="H360" t="s">
        <v>253</v>
      </c>
      <c r="I360" t="s">
        <v>256</v>
      </c>
      <c r="J360" t="s">
        <v>39</v>
      </c>
      <c r="K360" t="s">
        <v>31</v>
      </c>
      <c r="L360">
        <v>0.101725</v>
      </c>
      <c r="M360">
        <v>0</v>
      </c>
      <c r="N360">
        <v>3.2763886376789897E-2</v>
      </c>
      <c r="O360">
        <v>2.6747929920855822</v>
      </c>
      <c r="P360">
        <v>43.27856754743911</v>
      </c>
      <c r="Q360">
        <v>0.4672931329656026</v>
      </c>
      <c r="R360">
        <v>-0.3996154422734845</v>
      </c>
      <c r="S360" s="2">
        <v>8.5051805209203936E-6</v>
      </c>
      <c r="T360" s="2">
        <v>1.2430732189367341E-5</v>
      </c>
      <c r="U360" s="2">
        <v>1.6878608842843671E-5</v>
      </c>
      <c r="V360" s="2">
        <v>2.204752966451559E-5</v>
      </c>
      <c r="W360" s="2">
        <v>2.7679877358868374E-5</v>
      </c>
      <c r="X360" s="2">
        <v>3.3388606268262223E-5</v>
      </c>
      <c r="Y360" s="2">
        <v>3.8715957581352521E-5</v>
      </c>
      <c r="Z360" s="2">
        <v>4.3234945603103692E-5</v>
      </c>
      <c r="AA360" s="2">
        <v>4.6662660963191366E-5</v>
      </c>
      <c r="AB360" s="2">
        <v>4.8935218641016579E-5</v>
      </c>
      <c r="AC360" s="2">
        <v>5.0202940543700999E-5</v>
      </c>
      <c r="AD360" s="2">
        <v>5.0680118804615989E-5</v>
      </c>
      <c r="AE360" s="2">
        <v>5.0472330317517073E-5</v>
      </c>
      <c r="AF360" s="2">
        <v>5.0265393763215231E-5</v>
      </c>
      <c r="AG360" s="2">
        <v>5.0059305648786055E-5</v>
      </c>
      <c r="AH360" s="2">
        <v>5.7427550998569495E-5</v>
      </c>
      <c r="AI360" s="2">
        <v>5.9039897710199236E-5</v>
      </c>
      <c r="AJ360" s="2">
        <v>5.7845315597748983E-5</v>
      </c>
      <c r="AK360" s="2">
        <v>2.8769374414769027E-5</v>
      </c>
      <c r="AL360" s="2">
        <v>5.8890944066169554E-6</v>
      </c>
      <c r="AM360" s="2">
        <v>4.5152775839497013E-6</v>
      </c>
      <c r="AN360" s="2">
        <v>3.2035030374505379E-6</v>
      </c>
      <c r="AO360" s="2">
        <v>2.0625744593427927E-6</v>
      </c>
      <c r="AP360" s="2">
        <v>1.1700133865795277E-6</v>
      </c>
      <c r="AQ360" s="2">
        <v>5.5105131069279777E-7</v>
      </c>
      <c r="AR360" s="2">
        <v>7.7063305961719622E-4</v>
      </c>
    </row>
    <row r="361" spans="1:44" x14ac:dyDescent="0.25">
      <c r="A361" t="s">
        <v>250</v>
      </c>
      <c r="B361" t="s">
        <v>308</v>
      </c>
      <c r="C361" t="s">
        <v>44</v>
      </c>
      <c r="D361" t="s">
        <v>303</v>
      </c>
      <c r="E361" t="s">
        <v>148</v>
      </c>
      <c r="F361" t="s">
        <v>303</v>
      </c>
      <c r="G361" t="s">
        <v>31</v>
      </c>
      <c r="H361" t="s">
        <v>253</v>
      </c>
      <c r="I361" t="s">
        <v>135</v>
      </c>
      <c r="J361" t="s">
        <v>39</v>
      </c>
      <c r="K361" t="s">
        <v>31</v>
      </c>
      <c r="L361">
        <v>0.101725</v>
      </c>
      <c r="M361">
        <v>0</v>
      </c>
      <c r="N361">
        <v>6.5847159258737936E-2</v>
      </c>
      <c r="O361">
        <v>5.3756602043030259</v>
      </c>
      <c r="P361">
        <v>41.815630596090237</v>
      </c>
      <c r="Q361">
        <v>44.21983751635176</v>
      </c>
      <c r="R361">
        <v>-1.8625523936223536</v>
      </c>
      <c r="S361" s="2">
        <v>2.7583500035122751E-6</v>
      </c>
      <c r="T361" s="2">
        <v>5.5114491035298566E-6</v>
      </c>
      <c r="U361" s="2">
        <v>7.5680385938683781E-6</v>
      </c>
      <c r="V361" s="2">
        <v>9.997785283688644E-6</v>
      </c>
      <c r="W361" s="2">
        <v>1.269476458243677E-5</v>
      </c>
      <c r="X361" s="2">
        <v>1.5487977095854048E-5</v>
      </c>
      <c r="Y361" s="2">
        <v>1.8165254316831811E-5</v>
      </c>
      <c r="Z361" s="2">
        <v>2.0519202295081698E-5</v>
      </c>
      <c r="AA361" s="2">
        <v>2.2402062297079401E-5</v>
      </c>
      <c r="AB361" s="2">
        <v>2.3765759332968804E-5</v>
      </c>
      <c r="AC361" s="2">
        <v>2.4665478953300518E-5</v>
      </c>
      <c r="AD361" s="2">
        <v>2.519107399444969E-5</v>
      </c>
      <c r="AE361" s="2">
        <v>2.538220564052671E-5</v>
      </c>
      <c r="AF361" s="2">
        <v>2.5575855309379191E-5</v>
      </c>
      <c r="AG361" s="2">
        <v>2.5772049702991878E-5</v>
      </c>
      <c r="AH361" s="2">
        <v>2.5970815829088466E-5</v>
      </c>
      <c r="AI361" s="2">
        <v>2.6172181004540945E-5</v>
      </c>
      <c r="AJ361" s="2">
        <v>2.6376172858803121E-5</v>
      </c>
      <c r="AK361" s="2">
        <v>2.6582819337395443E-5</v>
      </c>
      <c r="AL361" s="2">
        <v>2.6792148705425517E-5</v>
      </c>
      <c r="AM361" s="2">
        <v>2.700418955113983E-5</v>
      </c>
      <c r="AN361" s="2">
        <v>2.7218970789528557E-5</v>
      </c>
      <c r="AO361" s="2">
        <v>2.7436521665962478E-5</v>
      </c>
      <c r="AP361" s="2">
        <v>2.7656871759870784E-5</v>
      </c>
      <c r="AQ361" s="2">
        <v>2.7880050988467704E-5</v>
      </c>
      <c r="AR361" s="2">
        <v>5.3454804899572244E-4</v>
      </c>
    </row>
    <row r="362" spans="1:44" x14ac:dyDescent="0.25">
      <c r="A362" t="s">
        <v>250</v>
      </c>
      <c r="B362" t="s">
        <v>308</v>
      </c>
      <c r="C362" t="s">
        <v>44</v>
      </c>
      <c r="D362" t="s">
        <v>303</v>
      </c>
      <c r="E362" t="s">
        <v>148</v>
      </c>
      <c r="F362" t="s">
        <v>303</v>
      </c>
      <c r="G362" t="s">
        <v>31</v>
      </c>
      <c r="H362" t="s">
        <v>253</v>
      </c>
      <c r="I362" t="s">
        <v>135</v>
      </c>
      <c r="J362" t="s">
        <v>40</v>
      </c>
      <c r="K362" t="s">
        <v>31</v>
      </c>
      <c r="L362">
        <v>0.101725</v>
      </c>
      <c r="M362">
        <v>0</v>
      </c>
      <c r="N362">
        <v>6.5847159258737936E-2</v>
      </c>
      <c r="O362">
        <v>4.1746294160814506</v>
      </c>
      <c r="P362">
        <v>41.815630596090237</v>
      </c>
      <c r="Q362">
        <v>0.4672931329656026</v>
      </c>
      <c r="R362">
        <v>-1.7195523936223531</v>
      </c>
      <c r="S362" s="2">
        <v>1.4509494312374164E-6</v>
      </c>
      <c r="T362" s="2">
        <v>2.8991367781021468E-6</v>
      </c>
      <c r="U362" s="2">
        <v>3.9809455940594281E-6</v>
      </c>
      <c r="V362" s="2">
        <v>5.2590428526223168E-6</v>
      </c>
      <c r="W362" s="2">
        <v>6.6777100176285601E-6</v>
      </c>
      <c r="X362" s="2">
        <v>8.1469978536563877E-6</v>
      </c>
      <c r="Y362" s="2">
        <v>9.5553013162685831E-6</v>
      </c>
      <c r="Z362" s="2">
        <v>1.0793526877149047E-5</v>
      </c>
      <c r="AA362" s="2">
        <v>1.1783950371455397E-5</v>
      </c>
      <c r="AB362" s="2">
        <v>1.2501283355335251E-5</v>
      </c>
      <c r="AC362" s="2">
        <v>1.2974554575350965E-5</v>
      </c>
      <c r="AD362" s="2">
        <v>1.3251028490932992E-5</v>
      </c>
      <c r="AE362" s="2">
        <v>1.3351567709238768E-5</v>
      </c>
      <c r="AF362" s="2">
        <v>1.345343145985906E-5</v>
      </c>
      <c r="AG362" s="2">
        <v>1.3556633788592314E-5</v>
      </c>
      <c r="AH362" s="2">
        <v>1.3661188902063154E-5</v>
      </c>
      <c r="AI362" s="2">
        <v>1.376711116951352E-5</v>
      </c>
      <c r="AJ362" s="2">
        <v>1.3874415124610364E-5</v>
      </c>
      <c r="AK362" s="2">
        <v>1.3983115467278813E-5</v>
      </c>
      <c r="AL362" s="2">
        <v>1.4093227065552232E-5</v>
      </c>
      <c r="AM362" s="2">
        <v>1.4204764957442906E-5</v>
      </c>
      <c r="AN362" s="2">
        <v>1.4317744352836403E-5</v>
      </c>
      <c r="AO362" s="2">
        <v>1.443218063540574E-5</v>
      </c>
      <c r="AP362" s="2">
        <v>1.4548089364545417E-5</v>
      </c>
      <c r="AQ362" s="2">
        <v>1.4665486277331784E-5</v>
      </c>
      <c r="AR362" s="2">
        <v>2.8118338378806899E-4</v>
      </c>
    </row>
    <row r="363" spans="1:44" x14ac:dyDescent="0.25">
      <c r="A363" t="s">
        <v>250</v>
      </c>
      <c r="B363" t="s">
        <v>308</v>
      </c>
      <c r="C363" t="s">
        <v>44</v>
      </c>
      <c r="D363" t="s">
        <v>303</v>
      </c>
      <c r="E363" t="s">
        <v>148</v>
      </c>
      <c r="F363" t="s">
        <v>303</v>
      </c>
      <c r="G363" t="s">
        <v>31</v>
      </c>
      <c r="H363" t="s">
        <v>253</v>
      </c>
      <c r="I363" t="s">
        <v>256</v>
      </c>
      <c r="J363" t="s">
        <v>39</v>
      </c>
      <c r="K363" t="s">
        <v>31</v>
      </c>
      <c r="L363">
        <v>0.101725</v>
      </c>
      <c r="M363">
        <v>0</v>
      </c>
      <c r="N363">
        <v>3.2763886376789897E-2</v>
      </c>
      <c r="O363">
        <v>2.6747929920855822</v>
      </c>
      <c r="P363">
        <v>43.27856754743911</v>
      </c>
      <c r="Q363">
        <v>0.4672931329656026</v>
      </c>
      <c r="R363">
        <v>-0.3996154422734845</v>
      </c>
      <c r="S363" s="2">
        <v>1.446922593728256E-6</v>
      </c>
      <c r="T363" s="2">
        <v>2.8910907687300066E-6</v>
      </c>
      <c r="U363" s="2">
        <v>3.9698972275933543E-6</v>
      </c>
      <c r="V363" s="2">
        <v>5.2444473673728636E-6</v>
      </c>
      <c r="W363" s="2">
        <v>6.6591772882340025E-6</v>
      </c>
      <c r="X363" s="2">
        <v>8.124387391956098E-6</v>
      </c>
      <c r="Y363" s="2">
        <v>9.5287823729316847E-6</v>
      </c>
      <c r="Z363" s="2">
        <v>1.076357147143379E-5</v>
      </c>
      <c r="AA363" s="2">
        <v>1.1751246231435022E-5</v>
      </c>
      <c r="AB363" s="2">
        <v>1.2466588392406631E-5</v>
      </c>
      <c r="AC363" s="2">
        <v>1.2938546137080379E-5</v>
      </c>
      <c r="AD363" s="2">
        <v>1.3214252751259683E-5</v>
      </c>
      <c r="AE363" s="2">
        <v>1.3314512941856872E-5</v>
      </c>
      <c r="AF363" s="2">
        <v>1.3416093988777571E-5</v>
      </c>
      <c r="AG363" s="2">
        <v>1.3519009898839525E-5</v>
      </c>
      <c r="AH363" s="2">
        <v>1.3623274839239102E-5</v>
      </c>
      <c r="AI363" s="2">
        <v>1.3728903139339063E-5</v>
      </c>
      <c r="AJ363" s="2">
        <v>1.383590929247137E-5</v>
      </c>
      <c r="AK363" s="2">
        <v>1.3944307957763801E-5</v>
      </c>
      <c r="AL363" s="2">
        <v>1.4054113961986527E-5</v>
      </c>
      <c r="AM363" s="2">
        <v>1.4165342301416449E-5</v>
      </c>
      <c r="AN363" s="2">
        <v>1.4278008143727288E-5</v>
      </c>
      <c r="AO363" s="2">
        <v>1.4392126829896937E-5</v>
      </c>
      <c r="AP363" s="2">
        <v>1.4507713876138704E-5</v>
      </c>
      <c r="AQ363" s="2">
        <v>1.4624784975852844E-5</v>
      </c>
      <c r="AR363" s="2">
        <v>2.8040301214146782E-4</v>
      </c>
    </row>
    <row r="364" spans="1:44" x14ac:dyDescent="0.25">
      <c r="A364" t="s">
        <v>250</v>
      </c>
      <c r="B364" t="s">
        <v>309</v>
      </c>
      <c r="C364" t="s">
        <v>44</v>
      </c>
      <c r="D364" t="s">
        <v>303</v>
      </c>
      <c r="E364" t="s">
        <v>145</v>
      </c>
      <c r="F364" t="s">
        <v>303</v>
      </c>
      <c r="G364" t="s">
        <v>31</v>
      </c>
      <c r="H364" t="s">
        <v>252</v>
      </c>
      <c r="I364" t="s">
        <v>135</v>
      </c>
      <c r="J364" t="s">
        <v>39</v>
      </c>
      <c r="K364" t="s">
        <v>31</v>
      </c>
      <c r="L364">
        <v>0.11927500000000001</v>
      </c>
      <c r="M364">
        <v>0</v>
      </c>
      <c r="N364">
        <v>7.8073386904782285E-2</v>
      </c>
      <c r="O364">
        <v>5.4421202420407457</v>
      </c>
      <c r="P364">
        <v>35.351924592401389</v>
      </c>
      <c r="Q364">
        <v>37.756131512662904</v>
      </c>
      <c r="R364">
        <v>-1.8625523936223527</v>
      </c>
      <c r="S364" s="2">
        <v>1.5190630623295566E-2</v>
      </c>
      <c r="T364" s="2">
        <v>2.221075776378487E-2</v>
      </c>
      <c r="U364" s="2">
        <v>3.0170166866044908E-2</v>
      </c>
      <c r="V364" s="2">
        <v>3.9425335440879561E-2</v>
      </c>
      <c r="W364" s="2">
        <v>4.9516965343010644E-2</v>
      </c>
      <c r="X364" s="2">
        <v>5.9753389856311394E-2</v>
      </c>
      <c r="Y364" s="2">
        <v>6.9315228731575335E-2</v>
      </c>
      <c r="Z364" s="2">
        <v>7.7436902044478159E-2</v>
      </c>
      <c r="AA364" s="2">
        <v>8.3609755277139403E-2</v>
      </c>
      <c r="AB364" s="2">
        <v>8.7716921684359433E-2</v>
      </c>
      <c r="AC364" s="2">
        <v>9.0025471164017726E-2</v>
      </c>
      <c r="AD364" s="2">
        <v>9.091766415549922E-2</v>
      </c>
      <c r="AE364" s="2">
        <v>9.0581268798123865E-2</v>
      </c>
      <c r="AF364" s="2">
        <v>9.0246118103570819E-2</v>
      </c>
      <c r="AG364" s="2">
        <v>8.991220746658761E-2</v>
      </c>
      <c r="AH364" s="2">
        <v>0.10310611954716933</v>
      </c>
      <c r="AI364" s="2">
        <v>0.10558501913628125</v>
      </c>
      <c r="AJ364" s="2">
        <v>0.10353641622582516</v>
      </c>
      <c r="AK364" s="2">
        <v>5.8390271765292878E-2</v>
      </c>
      <c r="AL364" s="2">
        <v>1.0257718977251947E-2</v>
      </c>
      <c r="AM364" s="2">
        <v>7.8677824117790729E-3</v>
      </c>
      <c r="AN364" s="2">
        <v>5.584145469729589E-3</v>
      </c>
      <c r="AO364" s="2">
        <v>3.596690063825056E-3</v>
      </c>
      <c r="AP364" s="2">
        <v>2.04100521563418E-3</v>
      </c>
      <c r="AQ364" s="2">
        <v>9.6161968438754656E-4</v>
      </c>
      <c r="AR364" s="2">
        <v>1.3869555718158546</v>
      </c>
    </row>
    <row r="365" spans="1:44" x14ac:dyDescent="0.25">
      <c r="A365" t="s">
        <v>250</v>
      </c>
      <c r="B365" t="s">
        <v>309</v>
      </c>
      <c r="C365" t="s">
        <v>44</v>
      </c>
      <c r="D365" t="s">
        <v>303</v>
      </c>
      <c r="E365" t="s">
        <v>148</v>
      </c>
      <c r="F365" t="s">
        <v>303</v>
      </c>
      <c r="G365" t="s">
        <v>31</v>
      </c>
      <c r="H365" t="s">
        <v>252</v>
      </c>
      <c r="I365" t="s">
        <v>135</v>
      </c>
      <c r="J365" t="s">
        <v>39</v>
      </c>
      <c r="K365" t="s">
        <v>31</v>
      </c>
      <c r="L365">
        <v>0.11927500000000001</v>
      </c>
      <c r="M365">
        <v>0</v>
      </c>
      <c r="N365">
        <v>7.8073386904782285E-2</v>
      </c>
      <c r="O365">
        <v>5.4421202420407457</v>
      </c>
      <c r="P365">
        <v>35.351924592401389</v>
      </c>
      <c r="Q365">
        <v>37.756131512662904</v>
      </c>
      <c r="R365">
        <v>-1.8625523936223527</v>
      </c>
      <c r="S365" s="2">
        <v>2.5842680949290614E-3</v>
      </c>
      <c r="T365" s="2">
        <v>5.0298572189556336E-3</v>
      </c>
      <c r="U365" s="2">
        <v>6.909467426635325E-3</v>
      </c>
      <c r="V365" s="2">
        <v>9.13133947376806E-3</v>
      </c>
      <c r="W365" s="2">
        <v>1.1599061676724459E-2</v>
      </c>
      <c r="X365" s="2">
        <v>1.4156585290820046E-2</v>
      </c>
      <c r="Y365" s="2">
        <v>1.6609975485521043E-2</v>
      </c>
      <c r="Z365" s="2">
        <v>1.8769373579323831E-2</v>
      </c>
      <c r="AA365" s="2">
        <v>2.0499214046325889E-2</v>
      </c>
      <c r="AB365" s="2">
        <v>2.1754991890362636E-2</v>
      </c>
      <c r="AC365" s="2">
        <v>2.2586707683483181E-2</v>
      </c>
      <c r="AD365" s="2">
        <v>2.307620268947265E-2</v>
      </c>
      <c r="AE365" s="2">
        <v>2.3259450381563782E-2</v>
      </c>
      <c r="AF365" s="2">
        <v>2.3445032554087877E-2</v>
      </c>
      <c r="AG365" s="2">
        <v>2.3632974352551964E-2</v>
      </c>
      <c r="AH365" s="2">
        <v>2.3823301208275947E-2</v>
      </c>
      <c r="AI365" s="2">
        <v>2.4016038841589225E-2</v>
      </c>
      <c r="AJ365" s="2">
        <v>2.421121326505269E-2</v>
      </c>
      <c r="AK365" s="2">
        <v>2.4408850786724282E-2</v>
      </c>
      <c r="AL365" s="2">
        <v>2.460897801346091E-2</v>
      </c>
      <c r="AM365" s="2">
        <v>2.4811621854249403E-2</v>
      </c>
      <c r="AN365" s="2">
        <v>2.5016809523587646E-2</v>
      </c>
      <c r="AO365" s="2">
        <v>2.5224568544890729E-2</v>
      </c>
      <c r="AP365" s="2">
        <v>2.543492675394695E-2</v>
      </c>
      <c r="AQ365" s="2">
        <v>2.5647912302401821E-2</v>
      </c>
      <c r="AR365" s="2">
        <v>0.49024872293870497</v>
      </c>
    </row>
    <row r="366" spans="1:44" x14ac:dyDescent="0.25">
      <c r="A366" t="s">
        <v>250</v>
      </c>
      <c r="B366" t="s">
        <v>302</v>
      </c>
      <c r="C366" t="s">
        <v>44</v>
      </c>
      <c r="D366" t="s">
        <v>303</v>
      </c>
      <c r="E366" t="s">
        <v>145</v>
      </c>
      <c r="F366" t="s">
        <v>303</v>
      </c>
      <c r="G366" t="s">
        <v>31</v>
      </c>
      <c r="H366" t="s">
        <v>288</v>
      </c>
      <c r="I366" t="s">
        <v>135</v>
      </c>
      <c r="J366" t="s">
        <v>39</v>
      </c>
      <c r="K366" t="s">
        <v>31</v>
      </c>
      <c r="L366">
        <v>3.1011093749999996E-2</v>
      </c>
      <c r="M366">
        <v>0</v>
      </c>
      <c r="N366">
        <v>2.0541092474113277E-2</v>
      </c>
      <c r="O366">
        <v>5.4757113018011117</v>
      </c>
      <c r="P366">
        <v>141.98654624574391</v>
      </c>
      <c r="Q366">
        <v>144.39075316600542</v>
      </c>
      <c r="R366">
        <v>-1.8625523936223527</v>
      </c>
      <c r="S366" s="2">
        <v>4.2570431604648171E-2</v>
      </c>
      <c r="T366" s="2">
        <v>6.2287464609662911E-2</v>
      </c>
      <c r="U366" s="2">
        <v>8.4668139756442079E-2</v>
      </c>
      <c r="V366" s="2">
        <v>0.11071914691292432</v>
      </c>
      <c r="W366" s="2">
        <v>0.1391574246560644</v>
      </c>
      <c r="X366" s="2">
        <v>0.16804281108277441</v>
      </c>
      <c r="Y366" s="2">
        <v>0.19507026702943997</v>
      </c>
      <c r="Z366" s="2">
        <v>0.21807978782258541</v>
      </c>
      <c r="AA366" s="2">
        <v>0.23562937214403937</v>
      </c>
      <c r="AB366" s="2">
        <v>0.2473778917694037</v>
      </c>
      <c r="AC366" s="2">
        <v>0.25406680884783378</v>
      </c>
      <c r="AD366" s="2">
        <v>0.25676500175534189</v>
      </c>
      <c r="AE366" s="2">
        <v>0.25599470675007591</v>
      </c>
      <c r="AF366" s="2">
        <v>0.25522672262982576</v>
      </c>
      <c r="AG366" s="2">
        <v>0.25446104246193618</v>
      </c>
      <c r="AH366" s="2">
        <v>0.29160475296179461</v>
      </c>
      <c r="AI366" s="2">
        <v>0.29658876842145193</v>
      </c>
      <c r="AJ366" s="2">
        <v>0.29126539847315142</v>
      </c>
      <c r="AK366" s="2">
        <v>0.19861904327103411</v>
      </c>
      <c r="AL366" s="2">
        <v>2.7464721874734203E-2</v>
      </c>
      <c r="AM366" s="2">
        <v>2.1079790728033468E-2</v>
      </c>
      <c r="AN366" s="2">
        <v>1.4971210030623475E-2</v>
      </c>
      <c r="AO366" s="2">
        <v>9.6490846786376362E-3</v>
      </c>
      <c r="AP366" s="2">
        <v>5.4790700801237869E-3</v>
      </c>
      <c r="AQ366" s="2">
        <v>2.5831073648540492E-3</v>
      </c>
      <c r="AR366" s="2">
        <v>3.9394219677174376</v>
      </c>
    </row>
    <row r="367" spans="1:44" x14ac:dyDescent="0.25">
      <c r="A367" t="s">
        <v>250</v>
      </c>
      <c r="B367" t="s">
        <v>302</v>
      </c>
      <c r="C367" t="s">
        <v>44</v>
      </c>
      <c r="D367" t="s">
        <v>303</v>
      </c>
      <c r="E367" t="s">
        <v>145</v>
      </c>
      <c r="F367" t="s">
        <v>303</v>
      </c>
      <c r="G367" t="s">
        <v>31</v>
      </c>
      <c r="H367" t="s">
        <v>288</v>
      </c>
      <c r="I367" t="s">
        <v>135</v>
      </c>
      <c r="J367" t="s">
        <v>39</v>
      </c>
      <c r="K367" t="s">
        <v>33</v>
      </c>
      <c r="L367">
        <v>3.1011093749999996E-2</v>
      </c>
      <c r="M367">
        <v>0</v>
      </c>
      <c r="N367">
        <v>2.0541092474113277E-2</v>
      </c>
      <c r="O367">
        <v>5.4757113018011117</v>
      </c>
      <c r="P367">
        <v>141.98654624574391</v>
      </c>
      <c r="Q367">
        <v>144.39075316600542</v>
      </c>
      <c r="R367">
        <v>-1.8625523936223527</v>
      </c>
      <c r="S367" s="2">
        <v>4.0046487654382381E-4</v>
      </c>
      <c r="T367" s="2">
        <v>5.8594524144812477E-4</v>
      </c>
      <c r="U367" s="2">
        <v>7.9648278997144605E-4</v>
      </c>
      <c r="V367" s="2">
        <v>1.041547567835334E-3</v>
      </c>
      <c r="W367" s="2">
        <v>1.3090696707656242E-3</v>
      </c>
      <c r="X367" s="2">
        <v>1.580797775773374E-3</v>
      </c>
      <c r="Y367" s="2">
        <v>1.8350481181117707E-3</v>
      </c>
      <c r="Z367" s="2">
        <v>2.0515012889260734E-3</v>
      </c>
      <c r="AA367" s="2">
        <v>2.2165922183287981E-3</v>
      </c>
      <c r="AB367" s="2">
        <v>2.327111874437487E-3</v>
      </c>
      <c r="AC367" s="2">
        <v>2.3900352757528012E-3</v>
      </c>
      <c r="AD367" s="2">
        <v>2.4154174823423796E-3</v>
      </c>
      <c r="AE367" s="2">
        <v>2.4081712298953521E-3</v>
      </c>
      <c r="AF367" s="2">
        <v>2.4009467162056657E-3</v>
      </c>
      <c r="AG367" s="2">
        <v>2.3937438760570492E-3</v>
      </c>
      <c r="AH367" s="2">
        <v>2.7431589719115433E-3</v>
      </c>
      <c r="AI367" s="2">
        <v>2.7900441704051871E-3</v>
      </c>
      <c r="AJ367" s="2">
        <v>2.7399666257624349E-3</v>
      </c>
      <c r="AK367" s="2">
        <v>1.868431858560288E-3</v>
      </c>
      <c r="AL367" s="2">
        <v>2.5836375249893069E-4</v>
      </c>
      <c r="AM367" s="2">
        <v>1.9829998130791606E-4</v>
      </c>
      <c r="AN367" s="2">
        <v>1.4083587012471248E-4</v>
      </c>
      <c r="AO367" s="2">
        <v>9.0770033540595147E-5</v>
      </c>
      <c r="AP367" s="2">
        <v>5.1542233435381948E-5</v>
      </c>
      <c r="AQ367" s="2">
        <v>2.4299583841963737E-5</v>
      </c>
      <c r="AR367" s="2">
        <v>3.7058589083784059E-2</v>
      </c>
    </row>
    <row r="368" spans="1:44" x14ac:dyDescent="0.25">
      <c r="A368" t="s">
        <v>250</v>
      </c>
      <c r="B368" t="s">
        <v>302</v>
      </c>
      <c r="C368" t="s">
        <v>44</v>
      </c>
      <c r="D368" t="s">
        <v>303</v>
      </c>
      <c r="E368" t="s">
        <v>145</v>
      </c>
      <c r="F368" t="s">
        <v>303</v>
      </c>
      <c r="G368" t="s">
        <v>31</v>
      </c>
      <c r="H368" t="s">
        <v>289</v>
      </c>
      <c r="I368" t="s">
        <v>135</v>
      </c>
      <c r="J368" t="s">
        <v>39</v>
      </c>
      <c r="K368" t="s">
        <v>31</v>
      </c>
      <c r="L368">
        <v>3.1011093749999996E-2</v>
      </c>
      <c r="M368">
        <v>0</v>
      </c>
      <c r="N368">
        <v>2.0541092474113277E-2</v>
      </c>
      <c r="O368">
        <v>5.4757113018011117</v>
      </c>
      <c r="P368">
        <v>141.98654624574391</v>
      </c>
      <c r="Q368">
        <v>144.39075316600542</v>
      </c>
      <c r="R368">
        <v>-1.8625523936223527</v>
      </c>
      <c r="S368" s="2">
        <v>4.0461349889214869E-2</v>
      </c>
      <c r="T368" s="2">
        <v>5.9201535062859939E-2</v>
      </c>
      <c r="U368" s="2">
        <v>8.0473396628196081E-2</v>
      </c>
      <c r="V368" s="2">
        <v>0.10523374966651902</v>
      </c>
      <c r="W368" s="2">
        <v>0.13226309991360993</v>
      </c>
      <c r="X368" s="2">
        <v>0.15971740758308348</v>
      </c>
      <c r="Y368" s="2">
        <v>0.18540583286919154</v>
      </c>
      <c r="Z368" s="2">
        <v>0.20727538496208051</v>
      </c>
      <c r="AA368" s="2">
        <v>0.2239555041169706</v>
      </c>
      <c r="AB368" s="2">
        <v>0.23512196274386102</v>
      </c>
      <c r="AC368" s="2">
        <v>0.24147948847448467</v>
      </c>
      <c r="AD368" s="2">
        <v>0.24404400387130215</v>
      </c>
      <c r="AE368" s="2">
        <v>0.24331187185968822</v>
      </c>
      <c r="AF368" s="2">
        <v>0.24258193624410915</v>
      </c>
      <c r="AG368" s="2">
        <v>0.24185419043537681</v>
      </c>
      <c r="AH368" s="2">
        <v>0.27715767715300688</v>
      </c>
      <c r="AI368" s="2">
        <v>0.28189476779937978</v>
      </c>
      <c r="AJ368" s="2">
        <v>0.27683513542195354</v>
      </c>
      <c r="AK368" s="2">
        <v>0.18877879085381147</v>
      </c>
      <c r="AL368" s="2">
        <v>2.6104027596052164E-2</v>
      </c>
      <c r="AM368" s="2">
        <v>2.0035427316298832E-2</v>
      </c>
      <c r="AN368" s="2">
        <v>1.4229486159304864E-2</v>
      </c>
      <c r="AO368" s="2">
        <v>9.1710367167241128E-3</v>
      </c>
      <c r="AP368" s="2">
        <v>5.2076186034066742E-3</v>
      </c>
      <c r="AQ368" s="2">
        <v>2.455131577274301E-3</v>
      </c>
      <c r="AR368" s="2">
        <v>3.7442498135177598</v>
      </c>
    </row>
    <row r="369" spans="1:44" x14ac:dyDescent="0.25">
      <c r="A369" t="s">
        <v>250</v>
      </c>
      <c r="B369" t="s">
        <v>302</v>
      </c>
      <c r="C369" t="s">
        <v>44</v>
      </c>
      <c r="D369" t="s">
        <v>303</v>
      </c>
      <c r="E369" t="s">
        <v>145</v>
      </c>
      <c r="F369" t="s">
        <v>303</v>
      </c>
      <c r="G369" t="s">
        <v>31</v>
      </c>
      <c r="H369" t="s">
        <v>290</v>
      </c>
      <c r="I369" t="s">
        <v>135</v>
      </c>
      <c r="J369" t="s">
        <v>39</v>
      </c>
      <c r="K369" t="s">
        <v>31</v>
      </c>
      <c r="L369">
        <v>3.1011093749999996E-2</v>
      </c>
      <c r="M369">
        <v>0</v>
      </c>
      <c r="N369">
        <v>2.0541092474113277E-2</v>
      </c>
      <c r="O369">
        <v>5.4757113018011117</v>
      </c>
      <c r="P369">
        <v>141.98654624574391</v>
      </c>
      <c r="Q369">
        <v>144.39075316600542</v>
      </c>
      <c r="R369">
        <v>-1.8625523936223527</v>
      </c>
      <c r="S369" s="2">
        <v>5.8590790449742837E-2</v>
      </c>
      <c r="T369" s="2">
        <v>8.5727854969458575E-2</v>
      </c>
      <c r="U369" s="2">
        <v>0.1165309593360473</v>
      </c>
      <c r="V369" s="2">
        <v>0.15238563695560761</v>
      </c>
      <c r="W369" s="2">
        <v>0.19152597707416957</v>
      </c>
      <c r="X369" s="2">
        <v>0.23128168448406158</v>
      </c>
      <c r="Y369" s="2">
        <v>0.2684802739291316</v>
      </c>
      <c r="Z369" s="2">
        <v>0.30014887488813585</v>
      </c>
      <c r="AA369" s="2">
        <v>0.32430282350222805</v>
      </c>
      <c r="AB369" s="2">
        <v>0.34047261613804564</v>
      </c>
      <c r="AC369" s="2">
        <v>0.34967874640512076</v>
      </c>
      <c r="AD369" s="2">
        <v>0.3533923393680713</v>
      </c>
      <c r="AE369" s="2">
        <v>0.35233216234996695</v>
      </c>
      <c r="AF369" s="2">
        <v>0.35127516586291713</v>
      </c>
      <c r="AG369" s="2">
        <v>0.35022134036532843</v>
      </c>
      <c r="AH369" s="2">
        <v>0.401343193642134</v>
      </c>
      <c r="AI369" s="2">
        <v>0.40820282353987691</v>
      </c>
      <c r="AJ369" s="2">
        <v>0.40087613124734972</v>
      </c>
      <c r="AK369" s="2">
        <v>0.27336454682199535</v>
      </c>
      <c r="AL369" s="2">
        <v>3.7800409896415581E-2</v>
      </c>
      <c r="AM369" s="2">
        <v>2.9012663360824528E-2</v>
      </c>
      <c r="AN369" s="2">
        <v>2.0605265124621269E-2</v>
      </c>
      <c r="AO369" s="2">
        <v>1.3280285802320968E-2</v>
      </c>
      <c r="AP369" s="2">
        <v>7.5409864270423429E-3</v>
      </c>
      <c r="AQ369" s="2">
        <v>3.5551977421536506E-3</v>
      </c>
      <c r="AR369" s="2">
        <v>5.4219287496827668</v>
      </c>
    </row>
    <row r="370" spans="1:44" x14ac:dyDescent="0.25">
      <c r="A370" t="s">
        <v>250</v>
      </c>
      <c r="B370" t="s">
        <v>302</v>
      </c>
      <c r="C370" t="s">
        <v>44</v>
      </c>
      <c r="D370" t="s">
        <v>303</v>
      </c>
      <c r="E370" t="s">
        <v>148</v>
      </c>
      <c r="F370" t="s">
        <v>303</v>
      </c>
      <c r="G370" t="s">
        <v>31</v>
      </c>
      <c r="H370" t="s">
        <v>288</v>
      </c>
      <c r="I370" t="s">
        <v>135</v>
      </c>
      <c r="J370" t="s">
        <v>39</v>
      </c>
      <c r="K370" t="s">
        <v>31</v>
      </c>
      <c r="L370">
        <v>3.1011093749999996E-2</v>
      </c>
      <c r="M370">
        <v>0</v>
      </c>
      <c r="N370">
        <v>2.0541092474113277E-2</v>
      </c>
      <c r="O370">
        <v>5.4757113018011117</v>
      </c>
      <c r="P370">
        <v>141.98654624574391</v>
      </c>
      <c r="Q370">
        <v>144.39075316600542</v>
      </c>
      <c r="R370">
        <v>-1.8625523936223527</v>
      </c>
      <c r="S370" s="2">
        <v>7.2421883535592731E-3</v>
      </c>
      <c r="T370" s="2">
        <v>1.343975451960692E-2</v>
      </c>
      <c r="U370" s="2">
        <v>1.847480492615362E-2</v>
      </c>
      <c r="V370" s="2">
        <v>2.4432393481236783E-2</v>
      </c>
      <c r="W370" s="2">
        <v>3.1056125018202565E-2</v>
      </c>
      <c r="X370" s="2">
        <v>3.7929093578804848E-2</v>
      </c>
      <c r="Y370" s="2">
        <v>4.4531689395492145E-2</v>
      </c>
      <c r="Z370" s="2">
        <v>5.0353873093883776E-2</v>
      </c>
      <c r="AA370" s="2">
        <v>5.5030055527015648E-2</v>
      </c>
      <c r="AB370" s="2">
        <v>5.8438362573792993E-2</v>
      </c>
      <c r="AC370" s="2">
        <v>6.0710690016270968E-2</v>
      </c>
      <c r="AD370" s="2">
        <v>6.2064959915385312E-2</v>
      </c>
      <c r="AE370" s="2">
        <v>6.2596243391785544E-2</v>
      </c>
      <c r="AF370" s="2">
        <v>6.3133979044632638E-2</v>
      </c>
      <c r="AG370" s="2">
        <v>6.3678237748063457E-2</v>
      </c>
      <c r="AH370" s="2">
        <v>6.4229091175460759E-2</v>
      </c>
      <c r="AI370" s="2">
        <v>6.4786611808420505E-2</v>
      </c>
      <c r="AJ370" s="2">
        <v>6.5350872945777586E-2</v>
      </c>
      <c r="AK370" s="2">
        <v>6.5921948712781564E-2</v>
      </c>
      <c r="AL370" s="2">
        <v>6.6499914070338201E-2</v>
      </c>
      <c r="AM370" s="2">
        <v>6.7084844824365511E-2</v>
      </c>
      <c r="AN370" s="2">
        <v>6.7676817635263065E-2</v>
      </c>
      <c r="AO370" s="2">
        <v>6.8275910027482054E-2</v>
      </c>
      <c r="AP370" s="2">
        <v>6.8882200399196486E-2</v>
      </c>
      <c r="AQ370" s="2">
        <v>6.9495768032093147E-2</v>
      </c>
      <c r="AR370" s="2">
        <v>1.3213164302150653</v>
      </c>
    </row>
    <row r="371" spans="1:44" x14ac:dyDescent="0.25">
      <c r="A371" t="s">
        <v>250</v>
      </c>
      <c r="B371" t="s">
        <v>302</v>
      </c>
      <c r="C371" t="s">
        <v>44</v>
      </c>
      <c r="D371" t="s">
        <v>303</v>
      </c>
      <c r="E371" t="s">
        <v>148</v>
      </c>
      <c r="F371" t="s">
        <v>303</v>
      </c>
      <c r="G371" t="s">
        <v>31</v>
      </c>
      <c r="H371" t="s">
        <v>288</v>
      </c>
      <c r="I371" t="s">
        <v>135</v>
      </c>
      <c r="J371" t="s">
        <v>39</v>
      </c>
      <c r="K371" t="s">
        <v>33</v>
      </c>
      <c r="L371">
        <v>3.1011093749999996E-2</v>
      </c>
      <c r="M371">
        <v>0</v>
      </c>
      <c r="N371">
        <v>2.0541092474113277E-2</v>
      </c>
      <c r="O371">
        <v>5.4757113018011117</v>
      </c>
      <c r="P371">
        <v>141.98654624574391</v>
      </c>
      <c r="Q371">
        <v>144.39075316600542</v>
      </c>
      <c r="R371">
        <v>-1.8625523936223527</v>
      </c>
      <c r="S371" s="2">
        <v>6.8128086927795239E-5</v>
      </c>
      <c r="T371" s="2">
        <v>1.2642929450322869E-4</v>
      </c>
      <c r="U371" s="2">
        <v>1.7379458452837393E-4</v>
      </c>
      <c r="V371" s="2">
        <v>2.2983829550991025E-4</v>
      </c>
      <c r="W371" s="2">
        <v>2.921484890462372E-4</v>
      </c>
      <c r="X371" s="2">
        <v>3.568032835212528E-4</v>
      </c>
      <c r="Y371" s="2">
        <v>4.189146509406351E-4</v>
      </c>
      <c r="Z371" s="2">
        <v>4.7368459308370719E-4</v>
      </c>
      <c r="AA371" s="2">
        <v>5.1767397139614426E-4</v>
      </c>
      <c r="AB371" s="2">
        <v>5.4973630220329353E-4</v>
      </c>
      <c r="AC371" s="2">
        <v>5.7111234408066189E-4</v>
      </c>
      <c r="AD371" s="2">
        <v>5.8385211456249485E-4</v>
      </c>
      <c r="AE371" s="2">
        <v>5.8884995845946806E-4</v>
      </c>
      <c r="AF371" s="2">
        <v>5.939084987117791E-4</v>
      </c>
      <c r="AG371" s="2">
        <v>5.9902840204049122E-4</v>
      </c>
      <c r="AH371" s="2">
        <v>6.0421034268523966E-4</v>
      </c>
      <c r="AI371" s="2">
        <v>6.094550024885949E-4</v>
      </c>
      <c r="AJ371" s="2">
        <v>6.1476307098105182E-4</v>
      </c>
      <c r="AK371" s="2">
        <v>6.2013524546717508E-4</v>
      </c>
      <c r="AL371" s="2">
        <v>6.2557223111276686E-4</v>
      </c>
      <c r="AM371" s="2">
        <v>6.3107474103263653E-4</v>
      </c>
      <c r="AN371" s="2">
        <v>6.3664349637989682E-4</v>
      </c>
      <c r="AO371" s="2">
        <v>6.4227922643583313E-4</v>
      </c>
      <c r="AP371" s="2">
        <v>6.4798266870095286E-4</v>
      </c>
      <c r="AQ371" s="2">
        <v>6.5375456898706947E-4</v>
      </c>
      <c r="AR371" s="2">
        <v>1.2429773463786691E-2</v>
      </c>
    </row>
    <row r="372" spans="1:44" x14ac:dyDescent="0.25">
      <c r="A372" t="s">
        <v>250</v>
      </c>
      <c r="B372" t="s">
        <v>302</v>
      </c>
      <c r="C372" t="s">
        <v>44</v>
      </c>
      <c r="D372" t="s">
        <v>303</v>
      </c>
      <c r="E372" t="s">
        <v>148</v>
      </c>
      <c r="F372" t="s">
        <v>303</v>
      </c>
      <c r="G372" t="s">
        <v>31</v>
      </c>
      <c r="H372" t="s">
        <v>289</v>
      </c>
      <c r="I372" t="s">
        <v>135</v>
      </c>
      <c r="J372" t="s">
        <v>39</v>
      </c>
      <c r="K372" t="s">
        <v>31</v>
      </c>
      <c r="L372">
        <v>3.1011093749999996E-2</v>
      </c>
      <c r="M372">
        <v>0</v>
      </c>
      <c r="N372">
        <v>2.0541092474113277E-2</v>
      </c>
      <c r="O372">
        <v>5.4757113018011117</v>
      </c>
      <c r="P372">
        <v>141.98654624574391</v>
      </c>
      <c r="Q372">
        <v>144.39075316600542</v>
      </c>
      <c r="R372">
        <v>-1.8625523936223527</v>
      </c>
      <c r="S372" s="2">
        <v>6.883386094327584E-3</v>
      </c>
      <c r="T372" s="2">
        <v>1.27739040819025E-2</v>
      </c>
      <c r="U372" s="2">
        <v>1.7559501233022062E-2</v>
      </c>
      <c r="V372" s="2">
        <v>2.3221930903969294E-2</v>
      </c>
      <c r="W372" s="2">
        <v>2.9517500603106015E-2</v>
      </c>
      <c r="X372" s="2">
        <v>3.6049959289236967E-2</v>
      </c>
      <c r="Y372" s="2">
        <v>4.2325440402443529E-2</v>
      </c>
      <c r="Z372" s="2">
        <v>4.7859173626661151E-2</v>
      </c>
      <c r="AA372" s="2">
        <v>5.2303682325325264E-2</v>
      </c>
      <c r="AB372" s="2">
        <v>5.5543130429358066E-2</v>
      </c>
      <c r="AC372" s="2">
        <v>5.770287916216002E-2</v>
      </c>
      <c r="AD372" s="2">
        <v>5.8990053996124045E-2</v>
      </c>
      <c r="AE372" s="2">
        <v>5.9495015910267492E-2</v>
      </c>
      <c r="AF372" s="2">
        <v>6.0006110338432873E-2</v>
      </c>
      <c r="AG372" s="2">
        <v>6.0523404643416281E-2</v>
      </c>
      <c r="AH372" s="2">
        <v>6.1046966947660944E-2</v>
      </c>
      <c r="AI372" s="2">
        <v>6.1576866141779103E-2</v>
      </c>
      <c r="AJ372" s="2">
        <v>6.2113171893142631E-2</v>
      </c>
      <c r="AK372" s="2">
        <v>6.2655954654580098E-2</v>
      </c>
      <c r="AL372" s="2">
        <v>6.3205285673187242E-2</v>
      </c>
      <c r="AM372" s="2">
        <v>6.3761236999203205E-2</v>
      </c>
      <c r="AN372" s="2">
        <v>6.4323881495012808E-2</v>
      </c>
      <c r="AO372" s="2">
        <v>6.489329284424912E-2</v>
      </c>
      <c r="AP372" s="2">
        <v>6.546954556097552E-2</v>
      </c>
      <c r="AQ372" s="2">
        <v>6.605271499899916E-2</v>
      </c>
      <c r="AR372" s="2">
        <v>1.2558539902485428</v>
      </c>
    </row>
    <row r="373" spans="1:44" x14ac:dyDescent="0.25">
      <c r="A373" t="s">
        <v>250</v>
      </c>
      <c r="B373" t="s">
        <v>302</v>
      </c>
      <c r="C373" t="s">
        <v>44</v>
      </c>
      <c r="D373" t="s">
        <v>303</v>
      </c>
      <c r="E373" t="s">
        <v>148</v>
      </c>
      <c r="F373" t="s">
        <v>303</v>
      </c>
      <c r="G373" t="s">
        <v>31</v>
      </c>
      <c r="H373" t="s">
        <v>290</v>
      </c>
      <c r="I373" t="s">
        <v>135</v>
      </c>
      <c r="J373" t="s">
        <v>39</v>
      </c>
      <c r="K373" t="s">
        <v>31</v>
      </c>
      <c r="L373">
        <v>3.1011093749999996E-2</v>
      </c>
      <c r="M373">
        <v>0</v>
      </c>
      <c r="N373">
        <v>2.0541092474113277E-2</v>
      </c>
      <c r="O373">
        <v>5.4757113018011117</v>
      </c>
      <c r="P373">
        <v>141.98654624574391</v>
      </c>
      <c r="Q373">
        <v>144.39075316600542</v>
      </c>
      <c r="R373">
        <v>-1.8625523936223527</v>
      </c>
      <c r="S373" s="2">
        <v>9.9676118899068977E-3</v>
      </c>
      <c r="T373" s="2">
        <v>1.8497483137293141E-2</v>
      </c>
      <c r="U373" s="2">
        <v>2.5427353757671411E-2</v>
      </c>
      <c r="V373" s="2">
        <v>3.3626937587555569E-2</v>
      </c>
      <c r="W373" s="2">
        <v>4.2743351301231587E-2</v>
      </c>
      <c r="X373" s="2">
        <v>5.2202796402511291E-2</v>
      </c>
      <c r="Y373" s="2">
        <v>6.1290120475531694E-2</v>
      </c>
      <c r="Z373" s="2">
        <v>6.9303343085076227E-2</v>
      </c>
      <c r="AA373" s="2">
        <v>7.5739294394868539E-2</v>
      </c>
      <c r="AB373" s="2">
        <v>8.0430235887327936E-2</v>
      </c>
      <c r="AC373" s="2">
        <v>8.3557699152250586E-2</v>
      </c>
      <c r="AD373" s="2">
        <v>8.5421615980914203E-2</v>
      </c>
      <c r="AE373" s="2">
        <v>8.6152835225395463E-2</v>
      </c>
      <c r="AF373" s="2">
        <v>8.6892934767864707E-2</v>
      </c>
      <c r="AG373" s="2">
        <v>8.7642012154236101E-2</v>
      </c>
      <c r="AH373" s="2">
        <v>8.8400166030451241E-2</v>
      </c>
      <c r="AI373" s="2">
        <v>8.9167496154807985E-2</v>
      </c>
      <c r="AJ373" s="2">
        <v>8.9944103410400447E-2</v>
      </c>
      <c r="AK373" s="2">
        <v>9.0730089817730342E-2</v>
      </c>
      <c r="AL373" s="2">
        <v>9.1525558547441696E-2</v>
      </c>
      <c r="AM373" s="2">
        <v>9.2330613933186784E-2</v>
      </c>
      <c r="AN373" s="2">
        <v>9.3145361484664527E-2</v>
      </c>
      <c r="AO373" s="2">
        <v>9.3969907900791225E-2</v>
      </c>
      <c r="AP373" s="2">
        <v>9.4804361083007549E-2</v>
      </c>
      <c r="AQ373" s="2">
        <v>9.5648830148758371E-2</v>
      </c>
      <c r="AR373" s="2">
        <v>1.8185621137108758</v>
      </c>
    </row>
    <row r="374" spans="1:44" x14ac:dyDescent="0.25">
      <c r="A374" t="s">
        <v>250</v>
      </c>
      <c r="B374" t="s">
        <v>310</v>
      </c>
      <c r="C374" t="s">
        <v>44</v>
      </c>
      <c r="D374" t="s">
        <v>303</v>
      </c>
      <c r="E374" t="s">
        <v>145</v>
      </c>
      <c r="F374" t="s">
        <v>303</v>
      </c>
      <c r="G374" t="s">
        <v>31</v>
      </c>
      <c r="H374" t="s">
        <v>254</v>
      </c>
      <c r="I374" t="s">
        <v>135</v>
      </c>
      <c r="J374" t="s">
        <v>39</v>
      </c>
      <c r="K374" t="s">
        <v>31</v>
      </c>
      <c r="L374">
        <v>4.0841666666666672E-2</v>
      </c>
      <c r="M374">
        <v>0</v>
      </c>
      <c r="N374">
        <v>2.6717969674169617E-2</v>
      </c>
      <c r="O374">
        <v>5.4114176288701836</v>
      </c>
      <c r="P374">
        <v>107.30169101876636</v>
      </c>
      <c r="Q374">
        <v>109.70589793902788</v>
      </c>
      <c r="R374">
        <v>-1.8625523936223551</v>
      </c>
      <c r="S374" s="2">
        <v>8.7888640520347224E-3</v>
      </c>
      <c r="T374" s="2">
        <v>1.2840362057512206E-2</v>
      </c>
      <c r="U374" s="2">
        <v>1.7428040359093688E-2</v>
      </c>
      <c r="V374" s="2">
        <v>2.2756380807108855E-2</v>
      </c>
      <c r="W374" s="2">
        <v>2.8558721897789387E-2</v>
      </c>
      <c r="X374" s="2">
        <v>3.4435329685915034E-2</v>
      </c>
      <c r="Y374" s="2">
        <v>3.9914188921251738E-2</v>
      </c>
      <c r="Z374" s="2">
        <v>4.4555730545475514E-2</v>
      </c>
      <c r="AA374" s="2">
        <v>4.8069488590956062E-2</v>
      </c>
      <c r="AB374" s="2">
        <v>5.0390989039455311E-2</v>
      </c>
      <c r="AC374" s="2">
        <v>5.1676352734864726E-2</v>
      </c>
      <c r="AD374" s="2">
        <v>5.2147281267865289E-2</v>
      </c>
      <c r="AE374" s="2">
        <v>5.191331379924348E-2</v>
      </c>
      <c r="AF374" s="2">
        <v>5.1680396064664201E-2</v>
      </c>
      <c r="AG374" s="2">
        <v>5.1448523354320756E-2</v>
      </c>
      <c r="AH374" s="2">
        <v>5.9043787167419058E-2</v>
      </c>
      <c r="AI374" s="2">
        <v>6.0934316409855242E-2</v>
      </c>
      <c r="AJ374" s="2">
        <v>5.9652438547857567E-2</v>
      </c>
      <c r="AK374" s="2">
        <v>2.586020661897134E-2</v>
      </c>
      <c r="AL374" s="2">
        <v>6.2308474255220745E-3</v>
      </c>
      <c r="AM374" s="2">
        <v>4.7755442051517338E-3</v>
      </c>
      <c r="AN374" s="2">
        <v>3.3869222194750086E-3</v>
      </c>
      <c r="AO374" s="2">
        <v>2.1798832444901496E-3</v>
      </c>
      <c r="AP374" s="2">
        <v>1.2361175775474301E-3</v>
      </c>
      <c r="AQ374" s="2">
        <v>5.8198015617286734E-4</v>
      </c>
      <c r="AR374" s="2">
        <v>0.79048600675001346</v>
      </c>
    </row>
    <row r="375" spans="1:44" x14ac:dyDescent="0.25">
      <c r="A375" t="s">
        <v>250</v>
      </c>
      <c r="B375" t="s">
        <v>310</v>
      </c>
      <c r="C375" t="s">
        <v>44</v>
      </c>
      <c r="D375" t="s">
        <v>303</v>
      </c>
      <c r="E375" t="s">
        <v>145</v>
      </c>
      <c r="F375" t="s">
        <v>303</v>
      </c>
      <c r="G375" t="s">
        <v>31</v>
      </c>
      <c r="H375" t="s">
        <v>255</v>
      </c>
      <c r="I375" t="s">
        <v>135</v>
      </c>
      <c r="J375" t="s">
        <v>39</v>
      </c>
      <c r="K375" t="s">
        <v>31</v>
      </c>
      <c r="L375">
        <v>4.0841666666666672E-2</v>
      </c>
      <c r="M375">
        <v>0</v>
      </c>
      <c r="N375">
        <v>2.6717969674169617E-2</v>
      </c>
      <c r="O375">
        <v>5.4114176288701836</v>
      </c>
      <c r="P375">
        <v>107.30169101876636</v>
      </c>
      <c r="Q375">
        <v>109.70589793902788</v>
      </c>
      <c r="R375">
        <v>-1.8625523936223551</v>
      </c>
      <c r="S375" s="2">
        <v>1.842486283618393E-3</v>
      </c>
      <c r="T375" s="2">
        <v>2.6796332601154186E-3</v>
      </c>
      <c r="U375" s="2">
        <v>3.6205389202468019E-3</v>
      </c>
      <c r="V375" s="2">
        <v>4.7060271624235579E-3</v>
      </c>
      <c r="W375" s="2">
        <v>5.8791775716042676E-3</v>
      </c>
      <c r="X375" s="2">
        <v>7.056813321925569E-3</v>
      </c>
      <c r="Y375" s="2">
        <v>8.1425093439877593E-3</v>
      </c>
      <c r="Z375" s="2">
        <v>9.0481772420775656E-3</v>
      </c>
      <c r="AA375" s="2">
        <v>9.7174788826282169E-3</v>
      </c>
      <c r="AB375" s="2">
        <v>1.0140597841050541E-2</v>
      </c>
      <c r="AC375" s="2">
        <v>1.0352115398900477E-2</v>
      </c>
      <c r="AD375" s="2">
        <v>1.0399093789213719E-2</v>
      </c>
      <c r="AE375" s="2">
        <v>1.0305501945110793E-2</v>
      </c>
      <c r="AF375" s="2">
        <v>1.0212752427604796E-2</v>
      </c>
      <c r="AG375" s="2">
        <v>1.0120837655756353E-2</v>
      </c>
      <c r="AH375" s="2">
        <v>1.1670402969723664E-2</v>
      </c>
      <c r="AI375" s="2">
        <v>1.2619210669172416E-2</v>
      </c>
      <c r="AJ375" s="2">
        <v>6.8820531618086845E-3</v>
      </c>
      <c r="AK375" s="2">
        <v>2.0388079144014522E-3</v>
      </c>
      <c r="AL375" s="2">
        <v>1.6565696829142389E-3</v>
      </c>
      <c r="AM375" s="2">
        <v>1.2641813029912908E-3</v>
      </c>
      <c r="AN375" s="2">
        <v>8.9276636637961959E-4</v>
      </c>
      <c r="AO375" s="2">
        <v>5.7218194423903327E-4</v>
      </c>
      <c r="AP375" s="2">
        <v>3.231106225297093E-4</v>
      </c>
      <c r="AQ375" s="2">
        <v>1.5149991385724528E-4</v>
      </c>
      <c r="AR375" s="2">
        <v>0.15229452559428158</v>
      </c>
    </row>
    <row r="376" spans="1:44" x14ac:dyDescent="0.25">
      <c r="A376" t="s">
        <v>250</v>
      </c>
      <c r="B376" t="s">
        <v>310</v>
      </c>
      <c r="C376" t="s">
        <v>44</v>
      </c>
      <c r="D376" t="s">
        <v>303</v>
      </c>
      <c r="E376" t="s">
        <v>148</v>
      </c>
      <c r="F376" t="s">
        <v>303</v>
      </c>
      <c r="G376" t="s">
        <v>31</v>
      </c>
      <c r="H376" t="s">
        <v>254</v>
      </c>
      <c r="I376" t="s">
        <v>135</v>
      </c>
      <c r="J376" t="s">
        <v>39</v>
      </c>
      <c r="K376" t="s">
        <v>31</v>
      </c>
      <c r="L376">
        <v>4.0841666666666672E-2</v>
      </c>
      <c r="M376">
        <v>0</v>
      </c>
      <c r="N376">
        <v>2.6717969674169617E-2</v>
      </c>
      <c r="O376">
        <v>5.4114176288701836</v>
      </c>
      <c r="P376">
        <v>107.30169101876636</v>
      </c>
      <c r="Q376">
        <v>109.70589793902788</v>
      </c>
      <c r="R376">
        <v>-1.8625523936223551</v>
      </c>
      <c r="S376" s="2">
        <v>1.4951835459359488E-3</v>
      </c>
      <c r="T376" s="2">
        <v>3.0623305480284605E-3</v>
      </c>
      <c r="U376" s="2">
        <v>4.2034300111716671E-3</v>
      </c>
      <c r="V376" s="2">
        <v>5.5508613139914863E-3</v>
      </c>
      <c r="W376" s="2">
        <v>7.0456193767020206E-3</v>
      </c>
      <c r="X376" s="2">
        <v>8.5926879153518602E-3</v>
      </c>
      <c r="Y376" s="2">
        <v>1.0074360587810872E-2</v>
      </c>
      <c r="Z376" s="2">
        <v>1.1375748882746724E-2</v>
      </c>
      <c r="AA376" s="2">
        <v>1.2415175921388893E-2</v>
      </c>
      <c r="AB376" s="2">
        <v>1.3166300340405838E-2</v>
      </c>
      <c r="AC376" s="2">
        <v>1.3659997673183703E-2</v>
      </c>
      <c r="AD376" s="2">
        <v>1.3946286454907596E-2</v>
      </c>
      <c r="AE376" s="2">
        <v>1.4047333357660683E-2</v>
      </c>
      <c r="AF376" s="2">
        <v>1.41497617740325E-2</v>
      </c>
      <c r="AG376" s="2">
        <v>1.4253586082522477E-2</v>
      </c>
      <c r="AH376" s="2">
        <v>1.4358820827871632E-2</v>
      </c>
      <c r="AI376" s="2">
        <v>1.4465480722909962E-2</v>
      </c>
      <c r="AJ376" s="2">
        <v>1.4573580650413415E-2</v>
      </c>
      <c r="AK376" s="2">
        <v>1.4683135664991831E-2</v>
      </c>
      <c r="AL376" s="2">
        <v>1.4794160994992527E-2</v>
      </c>
      <c r="AM376" s="2">
        <v>1.4906672044424467E-2</v>
      </c>
      <c r="AN376" s="2">
        <v>1.5020684394909984E-2</v>
      </c>
      <c r="AO376" s="2">
        <v>1.513621380765213E-2</v>
      </c>
      <c r="AP376" s="2">
        <v>1.5253276225426887E-2</v>
      </c>
      <c r="AQ376" s="2">
        <v>1.5371887774599552E-2</v>
      </c>
      <c r="AR376" s="2">
        <v>0.29560257689403313</v>
      </c>
    </row>
    <row r="377" spans="1:44" x14ac:dyDescent="0.25">
      <c r="A377" t="s">
        <v>250</v>
      </c>
      <c r="B377" t="s">
        <v>310</v>
      </c>
      <c r="C377" t="s">
        <v>44</v>
      </c>
      <c r="D377" t="s">
        <v>303</v>
      </c>
      <c r="E377" t="s">
        <v>148</v>
      </c>
      <c r="F377" t="s">
        <v>303</v>
      </c>
      <c r="G377" t="s">
        <v>31</v>
      </c>
      <c r="H377" t="s">
        <v>255</v>
      </c>
      <c r="I377" t="s">
        <v>135</v>
      </c>
      <c r="J377" t="s">
        <v>39</v>
      </c>
      <c r="K377" t="s">
        <v>31</v>
      </c>
      <c r="L377">
        <v>4.0841666666666672E-2</v>
      </c>
      <c r="M377">
        <v>0</v>
      </c>
      <c r="N377">
        <v>2.6717969674169617E-2</v>
      </c>
      <c r="O377">
        <v>5.4114176288701836</v>
      </c>
      <c r="P377">
        <v>107.30169101876636</v>
      </c>
      <c r="Q377">
        <v>109.70589793902788</v>
      </c>
      <c r="R377">
        <v>-1.8625523936223551</v>
      </c>
      <c r="S377" s="2">
        <v>3.1344837723836633E-4</v>
      </c>
      <c r="T377" s="2">
        <v>8.2504178192385476E-4</v>
      </c>
      <c r="U377" s="2">
        <v>1.1274184411822579E-3</v>
      </c>
      <c r="V377" s="2">
        <v>1.4822492908086275E-3</v>
      </c>
      <c r="W377" s="2">
        <v>1.8731897380426931E-3</v>
      </c>
      <c r="X377" s="2">
        <v>2.2746549792814429E-3</v>
      </c>
      <c r="Y377" s="2">
        <v>2.6555231306646565E-3</v>
      </c>
      <c r="Z377" s="2">
        <v>2.9859388705138715E-3</v>
      </c>
      <c r="AA377" s="2">
        <v>3.245221404208938E-3</v>
      </c>
      <c r="AB377" s="2">
        <v>3.4274250526122986E-3</v>
      </c>
      <c r="AC377" s="2">
        <v>3.5415208069571511E-3</v>
      </c>
      <c r="AD377" s="2">
        <v>3.6012635753292061E-3</v>
      </c>
      <c r="AE377" s="2">
        <v>3.6130131245256159E-3</v>
      </c>
      <c r="AF377" s="2">
        <v>3.6251521621750923E-3</v>
      </c>
      <c r="AG377" s="2">
        <v>3.6376827365952363E-3</v>
      </c>
      <c r="AH377" s="2">
        <v>3.6506069399496071E-3</v>
      </c>
      <c r="AI377" s="2">
        <v>3.6639269085520249E-3</v>
      </c>
      <c r="AJ377" s="2">
        <v>3.6776448231751573E-3</v>
      </c>
      <c r="AK377" s="2">
        <v>3.6917629093646278E-3</v>
      </c>
      <c r="AL377" s="2">
        <v>3.7062834377587233E-3</v>
      </c>
      <c r="AM377" s="2">
        <v>3.7212087244120002E-3</v>
      </c>
      <c r="AN377" s="2">
        <v>3.7365411311257E-3</v>
      </c>
      <c r="AO377" s="2">
        <v>3.7522830657826397E-3</v>
      </c>
      <c r="AP377" s="2">
        <v>3.7684369826875494E-3</v>
      </c>
      <c r="AQ377" s="2">
        <v>3.7850053829130217E-3</v>
      </c>
      <c r="AR377" s="2">
        <v>7.5382443777780347E-2</v>
      </c>
    </row>
    <row r="378" spans="1:44" x14ac:dyDescent="0.25">
      <c r="A378" t="s">
        <v>250</v>
      </c>
      <c r="B378" t="s">
        <v>304</v>
      </c>
      <c r="C378" t="s">
        <v>44</v>
      </c>
      <c r="D378" t="s">
        <v>303</v>
      </c>
      <c r="E378" t="s">
        <v>145</v>
      </c>
      <c r="F378" t="s">
        <v>303</v>
      </c>
      <c r="G378" t="s">
        <v>31</v>
      </c>
      <c r="H378" t="s">
        <v>278</v>
      </c>
      <c r="I378" t="s">
        <v>135</v>
      </c>
      <c r="J378" t="s">
        <v>39</v>
      </c>
      <c r="K378" t="s">
        <v>31</v>
      </c>
      <c r="L378">
        <v>5.0291718749999999E-2</v>
      </c>
      <c r="M378">
        <v>0</v>
      </c>
      <c r="N378">
        <v>3.3209192641195158E-2</v>
      </c>
      <c r="O378">
        <v>5.4656142296399581</v>
      </c>
      <c r="P378">
        <v>86.742034011699559</v>
      </c>
      <c r="Q378">
        <v>89.14624093196106</v>
      </c>
      <c r="R378">
        <v>-1.8625523936223536</v>
      </c>
      <c r="S378" s="2">
        <v>2.0030507709250658E-2</v>
      </c>
      <c r="T378" s="2">
        <v>2.9131513841881691E-2</v>
      </c>
      <c r="U378" s="2">
        <v>3.9360527890185314E-2</v>
      </c>
      <c r="V378" s="2">
        <v>5.1161365050569681E-2</v>
      </c>
      <c r="W378" s="2">
        <v>6.3915217561784213E-2</v>
      </c>
      <c r="X378" s="2">
        <v>7.6717832259775395E-2</v>
      </c>
      <c r="Y378" s="2">
        <v>8.8520928289945719E-2</v>
      </c>
      <c r="Z378" s="2">
        <v>9.8366856575003145E-2</v>
      </c>
      <c r="AA378" s="2">
        <v>0.1056431396008586</v>
      </c>
      <c r="AB378" s="2">
        <v>0.11024305854406186</v>
      </c>
      <c r="AC378" s="2">
        <v>0.11254256226944895</v>
      </c>
      <c r="AD378" s="2">
        <v>0.11305328575092281</v>
      </c>
      <c r="AE378" s="2">
        <v>0.11203580617916453</v>
      </c>
      <c r="AF378" s="2">
        <v>0.11102748392355204</v>
      </c>
      <c r="AG378" s="2">
        <v>0.11002823656824008</v>
      </c>
      <c r="AH378" s="2">
        <v>0.12687426698017565</v>
      </c>
      <c r="AI378" s="2">
        <v>0.13718918769756719</v>
      </c>
      <c r="AJ378" s="2">
        <v>7.4817934949485979E-2</v>
      </c>
      <c r="AK378" s="2">
        <v>2.2164809589191911E-2</v>
      </c>
      <c r="AL378" s="2">
        <v>1.8009323651169789E-2</v>
      </c>
      <c r="AM378" s="2">
        <v>1.3743490825738012E-2</v>
      </c>
      <c r="AN378" s="2">
        <v>9.7056698567153914E-3</v>
      </c>
      <c r="AO378" s="2">
        <v>6.2204505656703992E-3</v>
      </c>
      <c r="AP378" s="2">
        <v>3.5126827662520332E-3</v>
      </c>
      <c r="AQ378" s="2">
        <v>1.6470245773058201E-3</v>
      </c>
      <c r="AR378" s="2">
        <v>1.6556631634739167</v>
      </c>
    </row>
    <row r="379" spans="1:44" x14ac:dyDescent="0.25">
      <c r="A379" t="s">
        <v>250</v>
      </c>
      <c r="B379" t="s">
        <v>304</v>
      </c>
      <c r="C379" t="s">
        <v>44</v>
      </c>
      <c r="D379" t="s">
        <v>303</v>
      </c>
      <c r="E379" t="s">
        <v>148</v>
      </c>
      <c r="F379" t="s">
        <v>303</v>
      </c>
      <c r="G379" t="s">
        <v>31</v>
      </c>
      <c r="H379" t="s">
        <v>278</v>
      </c>
      <c r="I379" t="s">
        <v>135</v>
      </c>
      <c r="J379" t="s">
        <v>39</v>
      </c>
      <c r="K379" t="s">
        <v>31</v>
      </c>
      <c r="L379">
        <v>5.0291718749999999E-2</v>
      </c>
      <c r="M379">
        <v>0</v>
      </c>
      <c r="N379">
        <v>3.3209192641195158E-2</v>
      </c>
      <c r="O379">
        <v>5.4656142296399581</v>
      </c>
      <c r="P379">
        <v>86.742034011699559</v>
      </c>
      <c r="Q379">
        <v>89.14624093196106</v>
      </c>
      <c r="R379">
        <v>-1.8625523936223536</v>
      </c>
      <c r="S379" s="2">
        <v>3.4076400961829826E-3</v>
      </c>
      <c r="T379" s="2">
        <v>8.9694050480663354E-3</v>
      </c>
      <c r="U379" s="2">
        <v>1.2256679454515744E-2</v>
      </c>
      <c r="V379" s="2">
        <v>1.6114207259261645E-2</v>
      </c>
      <c r="W379" s="2">
        <v>2.036429894884614E-2</v>
      </c>
      <c r="X379" s="2">
        <v>2.472881046848481E-2</v>
      </c>
      <c r="Y379" s="2">
        <v>2.8869401641574678E-2</v>
      </c>
      <c r="Z379" s="2">
        <v>3.2461501665955871E-2</v>
      </c>
      <c r="AA379" s="2">
        <v>3.5280280202452358E-2</v>
      </c>
      <c r="AB379" s="2">
        <v>3.7261099064685596E-2</v>
      </c>
      <c r="AC379" s="2">
        <v>3.8501485984967013E-2</v>
      </c>
      <c r="AD379" s="2">
        <v>3.9150976834959959E-2</v>
      </c>
      <c r="AE379" s="2">
        <v>3.9278711536624399E-2</v>
      </c>
      <c r="AF379" s="2">
        <v>3.9410680544688652E-2</v>
      </c>
      <c r="AG379" s="2">
        <v>3.9546906127345717E-2</v>
      </c>
      <c r="AH379" s="2">
        <v>3.9687411029459566E-2</v>
      </c>
      <c r="AI379" s="2">
        <v>3.9832218475870228E-2</v>
      </c>
      <c r="AJ379" s="2">
        <v>3.9981352174751621E-2</v>
      </c>
      <c r="AK379" s="2">
        <v>4.0134836321022993E-2</v>
      </c>
      <c r="AL379" s="2">
        <v>4.0292695599827996E-2</v>
      </c>
      <c r="AM379" s="2">
        <v>4.0454955190050573E-2</v>
      </c>
      <c r="AN379" s="2">
        <v>4.0621640767908355E-2</v>
      </c>
      <c r="AO379" s="2">
        <v>4.0792778510592709E-2</v>
      </c>
      <c r="AP379" s="2">
        <v>4.0968395099967178E-2</v>
      </c>
      <c r="AQ379" s="2">
        <v>4.1148517726331983E-2</v>
      </c>
      <c r="AR379" s="2">
        <v>0.81951688577439508</v>
      </c>
    </row>
    <row r="380" spans="1:44" x14ac:dyDescent="0.25">
      <c r="A380" t="s">
        <v>250</v>
      </c>
      <c r="B380" t="s">
        <v>305</v>
      </c>
      <c r="C380" t="s">
        <v>44</v>
      </c>
      <c r="D380" t="s">
        <v>303</v>
      </c>
      <c r="E380" t="s">
        <v>145</v>
      </c>
      <c r="F380" t="s">
        <v>303</v>
      </c>
      <c r="G380" t="s">
        <v>31</v>
      </c>
      <c r="H380" t="s">
        <v>272</v>
      </c>
      <c r="I380" t="s">
        <v>135</v>
      </c>
      <c r="J380" t="s">
        <v>39</v>
      </c>
      <c r="K380" t="s">
        <v>31</v>
      </c>
      <c r="L380">
        <v>4.4454921874999997E-2</v>
      </c>
      <c r="M380">
        <v>0</v>
      </c>
      <c r="N380">
        <v>2.9375680356684666E-2</v>
      </c>
      <c r="O380">
        <v>5.4674005771508316</v>
      </c>
      <c r="P380">
        <v>98.408514201596844</v>
      </c>
      <c r="Q380">
        <v>100.81272112185832</v>
      </c>
      <c r="R380">
        <v>-1.8625523936223527</v>
      </c>
      <c r="S380" s="2">
        <v>5.5486484245858966E-3</v>
      </c>
      <c r="T380" s="2">
        <v>8.1055462079608048E-3</v>
      </c>
      <c r="U380" s="2">
        <v>1.1000289848650004E-2</v>
      </c>
      <c r="V380" s="2">
        <v>1.4361814719051085E-2</v>
      </c>
      <c r="W380" s="2">
        <v>1.8021687290451869E-2</v>
      </c>
      <c r="X380" s="2">
        <v>2.1727586264939733E-2</v>
      </c>
      <c r="Y380" s="2">
        <v>2.5181703234358862E-2</v>
      </c>
      <c r="Z380" s="2">
        <v>2.8106833245067395E-2</v>
      </c>
      <c r="AA380" s="2">
        <v>3.0319944726126452E-2</v>
      </c>
      <c r="AB380" s="2">
        <v>3.1780618229858455E-2</v>
      </c>
      <c r="AC380" s="2">
        <v>3.2587561827200566E-2</v>
      </c>
      <c r="AD380" s="2">
        <v>3.2880789784961985E-2</v>
      </c>
      <c r="AE380" s="2">
        <v>3.2729538151951162E-2</v>
      </c>
      <c r="AF380" s="2">
        <v>3.2578982276452187E-2</v>
      </c>
      <c r="AG380" s="2">
        <v>3.2429118957980507E-2</v>
      </c>
      <c r="AH380" s="2">
        <v>3.7220771951144128E-2</v>
      </c>
      <c r="AI380" s="2">
        <v>3.8455865812857738E-2</v>
      </c>
      <c r="AJ380" s="2">
        <v>3.7637809338232339E-2</v>
      </c>
      <c r="AK380" s="2">
        <v>1.5616210386151826E-2</v>
      </c>
      <c r="AL380" s="2">
        <v>3.9605541505746984E-3</v>
      </c>
      <c r="AM380" s="2">
        <v>3.0351820089908189E-3</v>
      </c>
      <c r="AN380" s="2">
        <v>2.1523885285836901E-3</v>
      </c>
      <c r="AO380" s="2">
        <v>1.3851691083309793E-3</v>
      </c>
      <c r="AP380" s="2">
        <v>7.853875383560336E-4</v>
      </c>
      <c r="AQ380" s="2">
        <v>3.6973247627654425E-4</v>
      </c>
      <c r="AR380" s="2">
        <v>0.49797973448909583</v>
      </c>
    </row>
    <row r="381" spans="1:44" x14ac:dyDescent="0.25">
      <c r="A381" t="s">
        <v>250</v>
      </c>
      <c r="B381" t="s">
        <v>305</v>
      </c>
      <c r="C381" t="s">
        <v>44</v>
      </c>
      <c r="D381" t="s">
        <v>303</v>
      </c>
      <c r="E381" t="s">
        <v>145</v>
      </c>
      <c r="F381" t="s">
        <v>303</v>
      </c>
      <c r="G381" t="s">
        <v>31</v>
      </c>
      <c r="H381" t="s">
        <v>272</v>
      </c>
      <c r="I381" t="s">
        <v>135</v>
      </c>
      <c r="J381" t="s">
        <v>40</v>
      </c>
      <c r="K381" t="s">
        <v>31</v>
      </c>
      <c r="L381">
        <v>4.4454921874999997E-2</v>
      </c>
      <c r="M381">
        <v>0</v>
      </c>
      <c r="N381">
        <v>2.9375680356684666E-2</v>
      </c>
      <c r="O381">
        <v>4.1746294160814541</v>
      </c>
      <c r="P381">
        <v>98.408514201596844</v>
      </c>
      <c r="Q381">
        <v>0.4672931329656026</v>
      </c>
      <c r="R381">
        <v>-1.7195523936223525</v>
      </c>
      <c r="S381" s="2">
        <v>5.4884922945125445E-4</v>
      </c>
      <c r="T381" s="2">
        <v>8.0176692594338195E-4</v>
      </c>
      <c r="U381" s="2">
        <v>1.0881029297909787E-3</v>
      </c>
      <c r="V381" s="2">
        <v>1.4206109918851368E-3</v>
      </c>
      <c r="W381" s="2">
        <v>1.7826303679556279E-3</v>
      </c>
      <c r="X381" s="2">
        <v>2.1492024844298584E-3</v>
      </c>
      <c r="Y381" s="2">
        <v>2.4908693719370946E-3</v>
      </c>
      <c r="Z381" s="2">
        <v>2.7802110691526531E-3</v>
      </c>
      <c r="AA381" s="2">
        <v>2.9991228541716582E-3</v>
      </c>
      <c r="AB381" s="2">
        <v>3.1436066033043134E-3</v>
      </c>
      <c r="AC381" s="2">
        <v>3.2234261084741517E-3</v>
      </c>
      <c r="AD381" s="2">
        <v>3.2524309987385621E-3</v>
      </c>
      <c r="AE381" s="2">
        <v>3.237469816144365E-3</v>
      </c>
      <c r="AF381" s="2">
        <v>3.2225774549901002E-3</v>
      </c>
      <c r="AG381" s="2">
        <v>3.2077535986971459E-3</v>
      </c>
      <c r="AH381" s="2">
        <v>3.6817239878540213E-3</v>
      </c>
      <c r="AI381" s="2">
        <v>3.8038943368164484E-3</v>
      </c>
      <c r="AJ381" s="2">
        <v>3.7229755920359488E-3</v>
      </c>
      <c r="AK381" s="2">
        <v>1.5446905951745672E-3</v>
      </c>
      <c r="AL381" s="2">
        <v>3.9176154757094943E-4</v>
      </c>
      <c r="AM381" s="2">
        <v>3.0022758326109916E-4</v>
      </c>
      <c r="AN381" s="2">
        <v>2.1290532306181105E-4</v>
      </c>
      <c r="AO381" s="2">
        <v>1.3701516830630112E-4</v>
      </c>
      <c r="AP381" s="2">
        <v>7.7687269450578877E-5</v>
      </c>
      <c r="AQ381" s="2">
        <v>3.6572399110442654E-5</v>
      </c>
      <c r="AR381" s="2">
        <v>4.9258084607708454E-2</v>
      </c>
    </row>
    <row r="382" spans="1:44" x14ac:dyDescent="0.25">
      <c r="A382" t="s">
        <v>250</v>
      </c>
      <c r="B382" t="s">
        <v>305</v>
      </c>
      <c r="C382" t="s">
        <v>44</v>
      </c>
      <c r="D382" t="s">
        <v>303</v>
      </c>
      <c r="E382" t="s">
        <v>145</v>
      </c>
      <c r="F382" t="s">
        <v>303</v>
      </c>
      <c r="G382" t="s">
        <v>31</v>
      </c>
      <c r="H382" t="s">
        <v>273</v>
      </c>
      <c r="I382" t="s">
        <v>135</v>
      </c>
      <c r="J382" t="s">
        <v>39</v>
      </c>
      <c r="K382" t="s">
        <v>31</v>
      </c>
      <c r="L382">
        <v>4.4454921874999997E-2</v>
      </c>
      <c r="M382">
        <v>0</v>
      </c>
      <c r="N382">
        <v>2.9375680356684666E-2</v>
      </c>
      <c r="O382">
        <v>5.4674005771508316</v>
      </c>
      <c r="P382">
        <v>98.408514201596844</v>
      </c>
      <c r="Q382">
        <v>100.81272112185832</v>
      </c>
      <c r="R382">
        <v>-1.8625523936223527</v>
      </c>
      <c r="S382" s="2">
        <v>1.6687923433510274E-3</v>
      </c>
      <c r="T382" s="2">
        <v>2.4377960929345497E-3</v>
      </c>
      <c r="U382" s="2">
        <v>3.3084091961438659E-3</v>
      </c>
      <c r="V382" s="2">
        <v>4.3194098104291437E-3</v>
      </c>
      <c r="W382" s="2">
        <v>5.4201404492152687E-3</v>
      </c>
      <c r="X382" s="2">
        <v>6.5347138300867226E-3</v>
      </c>
      <c r="Y382" s="2">
        <v>7.5735621243964652E-3</v>
      </c>
      <c r="Z382" s="2">
        <v>8.4533141273432019E-3</v>
      </c>
      <c r="AA382" s="2">
        <v>9.1189218955717785E-3</v>
      </c>
      <c r="AB382" s="2">
        <v>9.5582290155476826E-3</v>
      </c>
      <c r="AC382" s="2">
        <v>9.8009225858942586E-3</v>
      </c>
      <c r="AD382" s="2">
        <v>9.8891128140947814E-3</v>
      </c>
      <c r="AE382" s="2">
        <v>9.843622895149947E-3</v>
      </c>
      <c r="AF382" s="2">
        <v>9.7983422298322572E-3</v>
      </c>
      <c r="AG382" s="2">
        <v>9.7532698555750259E-3</v>
      </c>
      <c r="AH382" s="2">
        <v>1.1194390866514421E-2</v>
      </c>
      <c r="AI382" s="2">
        <v>1.1565853432175421E-2</v>
      </c>
      <c r="AJ382" s="2">
        <v>1.131981759122455E-2</v>
      </c>
      <c r="AK382" s="2">
        <v>4.6966775204384291E-3</v>
      </c>
      <c r="AL382" s="2">
        <v>1.1911625924288826E-3</v>
      </c>
      <c r="AM382" s="2">
        <v>9.1285086199324392E-4</v>
      </c>
      <c r="AN382" s="2">
        <v>6.4734494268937643E-4</v>
      </c>
      <c r="AO382" s="2">
        <v>4.1659867869562928E-4</v>
      </c>
      <c r="AP382" s="2">
        <v>2.3621044446867897E-4</v>
      </c>
      <c r="AQ382" s="2">
        <v>1.1119946305564638E-4</v>
      </c>
      <c r="AR382" s="2">
        <v>0.14977066565925024</v>
      </c>
    </row>
    <row r="383" spans="1:44" x14ac:dyDescent="0.25">
      <c r="A383" t="s">
        <v>250</v>
      </c>
      <c r="B383" t="s">
        <v>305</v>
      </c>
      <c r="C383" t="s">
        <v>44</v>
      </c>
      <c r="D383" t="s">
        <v>303</v>
      </c>
      <c r="E383" t="s">
        <v>145</v>
      </c>
      <c r="F383" t="s">
        <v>303</v>
      </c>
      <c r="G383" t="s">
        <v>31</v>
      </c>
      <c r="H383" t="s">
        <v>274</v>
      </c>
      <c r="I383" t="s">
        <v>135</v>
      </c>
      <c r="J383" t="s">
        <v>39</v>
      </c>
      <c r="K383" t="s">
        <v>31</v>
      </c>
      <c r="L383">
        <v>4.4454921874999997E-2</v>
      </c>
      <c r="M383">
        <v>0</v>
      </c>
      <c r="N383">
        <v>2.9375680356684666E-2</v>
      </c>
      <c r="O383">
        <v>5.4674005771508316</v>
      </c>
      <c r="P383">
        <v>98.408514201596844</v>
      </c>
      <c r="Q383">
        <v>100.81272112185832</v>
      </c>
      <c r="R383">
        <v>-1.8625523936223527</v>
      </c>
      <c r="S383" s="2">
        <v>2.6269779797995908E-3</v>
      </c>
      <c r="T383" s="2">
        <v>3.8375275874773475E-3</v>
      </c>
      <c r="U383" s="2">
        <v>5.2080285129929085E-3</v>
      </c>
      <c r="V383" s="2">
        <v>6.7995245201942205E-3</v>
      </c>
      <c r="W383" s="2">
        <v>8.5322716539540776E-3</v>
      </c>
      <c r="X383" s="2">
        <v>1.0286809742582042E-2</v>
      </c>
      <c r="Y383" s="2">
        <v>1.1922142984837942E-2</v>
      </c>
      <c r="Z383" s="2">
        <v>1.3307030175046922E-2</v>
      </c>
      <c r="AA383" s="2">
        <v>1.4354815992908998E-2</v>
      </c>
      <c r="AB383" s="2">
        <v>1.5046364066666623E-2</v>
      </c>
      <c r="AC383" s="2">
        <v>1.5428407205634509E-2</v>
      </c>
      <c r="AD383" s="2">
        <v>1.5567234417084359E-2</v>
      </c>
      <c r="AE383" s="2">
        <v>1.5495625138765767E-2</v>
      </c>
      <c r="AF383" s="2">
        <v>1.5424345263127446E-2</v>
      </c>
      <c r="AG383" s="2">
        <v>1.5353393274917053E-2</v>
      </c>
      <c r="AH383" s="2">
        <v>1.762197580829699E-2</v>
      </c>
      <c r="AI383" s="2">
        <v>1.820672440460936E-2</v>
      </c>
      <c r="AJ383" s="2">
        <v>1.7819419933208454E-2</v>
      </c>
      <c r="AK383" s="2">
        <v>7.3934114532404676E-3</v>
      </c>
      <c r="AL383" s="2">
        <v>1.8751032224825338E-3</v>
      </c>
      <c r="AM383" s="2">
        <v>1.4369907213751417E-3</v>
      </c>
      <c r="AN383" s="2">
        <v>1.0190368601313046E-3</v>
      </c>
      <c r="AO383" s="2">
        <v>6.5580092077210039E-4</v>
      </c>
      <c r="AP383" s="2">
        <v>3.7183753789992325E-4</v>
      </c>
      <c r="AQ383" s="2">
        <v>1.750478673854244E-4</v>
      </c>
      <c r="AR383" s="2">
        <v>0.23576584724539151</v>
      </c>
    </row>
    <row r="384" spans="1:44" x14ac:dyDescent="0.25">
      <c r="A384" t="s">
        <v>250</v>
      </c>
      <c r="B384" t="s">
        <v>305</v>
      </c>
      <c r="C384" t="s">
        <v>44</v>
      </c>
      <c r="D384" t="s">
        <v>303</v>
      </c>
      <c r="E384" t="s">
        <v>145</v>
      </c>
      <c r="F384" t="s">
        <v>303</v>
      </c>
      <c r="G384" t="s">
        <v>31</v>
      </c>
      <c r="H384" t="s">
        <v>274</v>
      </c>
      <c r="I384" t="s">
        <v>135</v>
      </c>
      <c r="J384" t="s">
        <v>39</v>
      </c>
      <c r="K384" t="s">
        <v>33</v>
      </c>
      <c r="L384">
        <v>4.4454921874999997E-2</v>
      </c>
      <c r="M384">
        <v>0</v>
      </c>
      <c r="N384">
        <v>2.9375680356684666E-2</v>
      </c>
      <c r="O384">
        <v>5.4674005771508316</v>
      </c>
      <c r="P384">
        <v>98.408514201596844</v>
      </c>
      <c r="Q384">
        <v>100.81272112185832</v>
      </c>
      <c r="R384">
        <v>-1.8625523936223527</v>
      </c>
      <c r="S384" s="2">
        <v>8.4522560027795302E-6</v>
      </c>
      <c r="T384" s="2">
        <v>1.2347178330578148E-5</v>
      </c>
      <c r="U384" s="2">
        <v>1.6756741244153663E-5</v>
      </c>
      <c r="V384" s="2">
        <v>2.1877351992970508E-5</v>
      </c>
      <c r="W384" s="2">
        <v>2.7452435787063866E-5</v>
      </c>
      <c r="X384" s="2">
        <v>3.3097631599798603E-5</v>
      </c>
      <c r="Y384" s="2">
        <v>3.8359287890673509E-5</v>
      </c>
      <c r="Z384" s="2">
        <v>4.2815138360919668E-5</v>
      </c>
      <c r="AA384" s="2">
        <v>4.6186371023222983E-5</v>
      </c>
      <c r="AB384" s="2">
        <v>4.8411414933973412E-5</v>
      </c>
      <c r="AC384" s="2">
        <v>4.9640632095096492E-5</v>
      </c>
      <c r="AD384" s="2">
        <v>5.0087306235629476E-5</v>
      </c>
      <c r="AE384" s="2">
        <v>4.9856904626945562E-5</v>
      </c>
      <c r="AF384" s="2">
        <v>4.9627562865661623E-5</v>
      </c>
      <c r="AG384" s="2">
        <v>4.9399276076479581E-5</v>
      </c>
      <c r="AH384" s="2">
        <v>5.6698400957999968E-5</v>
      </c>
      <c r="AI384" s="2">
        <v>5.857981940585273E-5</v>
      </c>
      <c r="AJ384" s="2">
        <v>5.733367399904916E-5</v>
      </c>
      <c r="AK384" s="2">
        <v>2.3788172880473758E-5</v>
      </c>
      <c r="AL384" s="2">
        <v>6.0331120359326998E-6</v>
      </c>
      <c r="AM384" s="2">
        <v>4.6234926764054069E-6</v>
      </c>
      <c r="AN384" s="2">
        <v>3.278733390355832E-6</v>
      </c>
      <c r="AO384" s="2">
        <v>2.1100280671736765E-6</v>
      </c>
      <c r="AP384" s="2">
        <v>1.1963808170227406E-6</v>
      </c>
      <c r="AQ384" s="2">
        <v>5.6321347162379934E-7</v>
      </c>
      <c r="AR384" s="2">
        <v>7.5857251676783664E-4</v>
      </c>
    </row>
    <row r="385" spans="1:44" x14ac:dyDescent="0.25">
      <c r="A385" t="s">
        <v>250</v>
      </c>
      <c r="B385" t="s">
        <v>305</v>
      </c>
      <c r="C385" t="s">
        <v>44</v>
      </c>
      <c r="D385" t="s">
        <v>303</v>
      </c>
      <c r="E385" t="s">
        <v>145</v>
      </c>
      <c r="F385" t="s">
        <v>303</v>
      </c>
      <c r="G385" t="s">
        <v>31</v>
      </c>
      <c r="H385" t="s">
        <v>275</v>
      </c>
      <c r="I385" t="s">
        <v>135</v>
      </c>
      <c r="J385" t="s">
        <v>39</v>
      </c>
      <c r="K385" t="s">
        <v>31</v>
      </c>
      <c r="L385">
        <v>4.4454921874999997E-2</v>
      </c>
      <c r="M385">
        <v>0</v>
      </c>
      <c r="N385">
        <v>2.9375680356684666E-2</v>
      </c>
      <c r="O385">
        <v>5.4674005771508316</v>
      </c>
      <c r="P385">
        <v>98.408514201596844</v>
      </c>
      <c r="Q385">
        <v>100.81272112185832</v>
      </c>
      <c r="R385">
        <v>-1.8625523936223527</v>
      </c>
      <c r="S385" s="2">
        <v>4.0132011571356128E-3</v>
      </c>
      <c r="T385" s="2">
        <v>5.8625425386241116E-3</v>
      </c>
      <c r="U385" s="2">
        <v>7.9562395328235339E-3</v>
      </c>
      <c r="V385" s="2">
        <v>1.0387547928550652E-2</v>
      </c>
      <c r="W385" s="2">
        <v>1.3034643890412879E-2</v>
      </c>
      <c r="X385" s="2">
        <v>1.5715029619438829E-2</v>
      </c>
      <c r="Y385" s="2">
        <v>1.8213307606764928E-2</v>
      </c>
      <c r="Z385" s="2">
        <v>2.0328982316254868E-2</v>
      </c>
      <c r="AA385" s="2">
        <v>2.1929671507031852E-2</v>
      </c>
      <c r="AB385" s="2">
        <v>2.2986140785099703E-2</v>
      </c>
      <c r="AC385" s="2">
        <v>2.3569783274367394E-2</v>
      </c>
      <c r="AD385" s="2">
        <v>2.3781867855934741E-2</v>
      </c>
      <c r="AE385" s="2">
        <v>2.3672471263797446E-2</v>
      </c>
      <c r="AF385" s="2">
        <v>2.3563577895983973E-2</v>
      </c>
      <c r="AG385" s="2">
        <v>2.3455185437662441E-2</v>
      </c>
      <c r="AH385" s="2">
        <v>2.6920870387451234E-2</v>
      </c>
      <c r="AI385" s="2">
        <v>2.7814183449608346E-2</v>
      </c>
      <c r="AJ385" s="2">
        <v>2.7222503289080945E-2</v>
      </c>
      <c r="AK385" s="2">
        <v>1.1294821512583838E-2</v>
      </c>
      <c r="AL385" s="2">
        <v>2.8645715647717955E-3</v>
      </c>
      <c r="AM385" s="2">
        <v>2.1952726174948242E-3</v>
      </c>
      <c r="AN385" s="2">
        <v>1.5567697703179114E-3</v>
      </c>
      <c r="AO385" s="2">
        <v>1.0018588029024795E-3</v>
      </c>
      <c r="AP385" s="2">
        <v>5.6805152111715645E-4</v>
      </c>
      <c r="AQ385" s="2">
        <v>2.6741842122288882E-4</v>
      </c>
      <c r="AR385" s="2">
        <v>0.36017651394643441</v>
      </c>
    </row>
    <row r="386" spans="1:44" x14ac:dyDescent="0.25">
      <c r="A386" t="s">
        <v>250</v>
      </c>
      <c r="B386" t="s">
        <v>305</v>
      </c>
      <c r="C386" t="s">
        <v>44</v>
      </c>
      <c r="D386" t="s">
        <v>303</v>
      </c>
      <c r="E386" t="s">
        <v>148</v>
      </c>
      <c r="F386" t="s">
        <v>303</v>
      </c>
      <c r="G386" t="s">
        <v>31</v>
      </c>
      <c r="H386" t="s">
        <v>272</v>
      </c>
      <c r="I386" t="s">
        <v>135</v>
      </c>
      <c r="J386" t="s">
        <v>39</v>
      </c>
      <c r="K386" t="s">
        <v>31</v>
      </c>
      <c r="L386">
        <v>4.4454921874999997E-2</v>
      </c>
      <c r="M386">
        <v>0</v>
      </c>
      <c r="N386">
        <v>2.9375680356684666E-2</v>
      </c>
      <c r="O386">
        <v>5.4674005771508316</v>
      </c>
      <c r="P386">
        <v>98.408514201596844</v>
      </c>
      <c r="Q386">
        <v>100.81272112185832</v>
      </c>
      <c r="R386">
        <v>-1.8625523936223527</v>
      </c>
      <c r="S386" s="2">
        <v>9.4394995502332076E-4</v>
      </c>
      <c r="T386" s="2">
        <v>1.9471755000051469E-3</v>
      </c>
      <c r="U386" s="2">
        <v>2.6724416885158752E-3</v>
      </c>
      <c r="V386" s="2">
        <v>3.5287161963187528E-3</v>
      </c>
      <c r="W386" s="2">
        <v>4.4784529551257024E-3</v>
      </c>
      <c r="X386" s="2">
        <v>5.4612355470218367E-3</v>
      </c>
      <c r="Y386" s="2">
        <v>6.402254541700369E-3</v>
      </c>
      <c r="Z386" s="2">
        <v>7.2285228928381795E-3</v>
      </c>
      <c r="AA386" s="2">
        <v>7.8881852602590199E-3</v>
      </c>
      <c r="AB386" s="2">
        <v>8.364561534659953E-3</v>
      </c>
      <c r="AC386" s="2">
        <v>8.6773234024710502E-3</v>
      </c>
      <c r="AD386" s="2">
        <v>8.8582923718313455E-3</v>
      </c>
      <c r="AE386" s="2">
        <v>8.921587118710491E-3</v>
      </c>
      <c r="AF386" s="2">
        <v>8.9857574793104963E-3</v>
      </c>
      <c r="AG386" s="2">
        <v>9.0508125103279952E-3</v>
      </c>
      <c r="AH386" s="2">
        <v>9.1167613735313718E-3</v>
      </c>
      <c r="AI386" s="2">
        <v>9.1836133369254547E-3</v>
      </c>
      <c r="AJ386" s="2">
        <v>9.2513777759248086E-3</v>
      </c>
      <c r="AK386" s="2">
        <v>9.3200641745432109E-3</v>
      </c>
      <c r="AL386" s="2">
        <v>9.3896821265962091E-3</v>
      </c>
      <c r="AM386" s="2">
        <v>9.4602413369151064E-3</v>
      </c>
      <c r="AN386" s="2">
        <v>9.5317516225770105E-3</v>
      </c>
      <c r="AO386" s="2">
        <v>9.6042229141485233E-3</v>
      </c>
      <c r="AP386" s="2">
        <v>9.677665256941366E-3</v>
      </c>
      <c r="AQ386" s="2">
        <v>9.7520888122850039E-3</v>
      </c>
      <c r="AR386" s="2">
        <v>0.18769673768450756</v>
      </c>
    </row>
    <row r="387" spans="1:44" x14ac:dyDescent="0.25">
      <c r="A387" t="s">
        <v>250</v>
      </c>
      <c r="B387" t="s">
        <v>305</v>
      </c>
      <c r="C387" t="s">
        <v>44</v>
      </c>
      <c r="D387" t="s">
        <v>303</v>
      </c>
      <c r="E387" t="s">
        <v>148</v>
      </c>
      <c r="F387" t="s">
        <v>303</v>
      </c>
      <c r="G387" t="s">
        <v>31</v>
      </c>
      <c r="H387" t="s">
        <v>272</v>
      </c>
      <c r="I387" t="s">
        <v>135</v>
      </c>
      <c r="J387" t="s">
        <v>40</v>
      </c>
      <c r="K387" t="s">
        <v>31</v>
      </c>
      <c r="L387">
        <v>4.4454921874999997E-2</v>
      </c>
      <c r="M387">
        <v>0</v>
      </c>
      <c r="N387">
        <v>2.9375680356684666E-2</v>
      </c>
      <c r="O387">
        <v>4.1746294160814541</v>
      </c>
      <c r="P387">
        <v>98.408514201596844</v>
      </c>
      <c r="Q387">
        <v>0.4672931329656026</v>
      </c>
      <c r="R387">
        <v>-1.7195523936223525</v>
      </c>
      <c r="S387" s="2">
        <v>9.3371604363951284E-5</v>
      </c>
      <c r="T387" s="2">
        <v>1.9260650360343283E-4</v>
      </c>
      <c r="U387" s="2">
        <v>2.6434681912736229E-4</v>
      </c>
      <c r="V387" s="2">
        <v>3.4904593282935941E-4</v>
      </c>
      <c r="W387" s="2">
        <v>4.4298994376055969E-4</v>
      </c>
      <c r="X387" s="2">
        <v>5.4020271108787146E-4</v>
      </c>
      <c r="Y387" s="2">
        <v>6.3328439704219721E-4</v>
      </c>
      <c r="Z387" s="2">
        <v>7.1501542650019773E-4</v>
      </c>
      <c r="AA387" s="2">
        <v>7.8026648483952145E-4</v>
      </c>
      <c r="AB387" s="2">
        <v>8.273876450080388E-4</v>
      </c>
      <c r="AC387" s="2">
        <v>8.58324748427537E-4</v>
      </c>
      <c r="AD387" s="2">
        <v>8.7622544636110509E-4</v>
      </c>
      <c r="AE387" s="2">
        <v>8.8248629952652319E-4</v>
      </c>
      <c r="AF387" s="2">
        <v>8.8883376476019268E-4</v>
      </c>
      <c r="AG387" s="2">
        <v>8.9526873791287464E-4</v>
      </c>
      <c r="AH387" s="2">
        <v>9.0179212522861199E-4</v>
      </c>
      <c r="AI387" s="2">
        <v>9.0840484345986892E-4</v>
      </c>
      <c r="AJ387" s="2">
        <v>9.1510781998369864E-4</v>
      </c>
      <c r="AK387" s="2">
        <v>9.2190199291930042E-4</v>
      </c>
      <c r="AL387" s="2">
        <v>9.2878831124701736E-4</v>
      </c>
      <c r="AM387" s="2">
        <v>9.3576773492839538E-4</v>
      </c>
      <c r="AN387" s="2">
        <v>9.4284123502789106E-4</v>
      </c>
      <c r="AO387" s="2">
        <v>9.5000979383585949E-4</v>
      </c>
      <c r="AP387" s="2">
        <v>9.5727440499275476E-4</v>
      </c>
      <c r="AQ387" s="2">
        <v>9.6463607361503578E-4</v>
      </c>
      <c r="AR387" s="2">
        <v>1.8566180800389159E-2</v>
      </c>
    </row>
    <row r="388" spans="1:44" x14ac:dyDescent="0.25">
      <c r="A388" t="s">
        <v>250</v>
      </c>
      <c r="B388" t="s">
        <v>305</v>
      </c>
      <c r="C388" t="s">
        <v>44</v>
      </c>
      <c r="D388" t="s">
        <v>303</v>
      </c>
      <c r="E388" t="s">
        <v>148</v>
      </c>
      <c r="F388" t="s">
        <v>303</v>
      </c>
      <c r="G388" t="s">
        <v>31</v>
      </c>
      <c r="H388" t="s">
        <v>273</v>
      </c>
      <c r="I388" t="s">
        <v>135</v>
      </c>
      <c r="J388" t="s">
        <v>39</v>
      </c>
      <c r="K388" t="s">
        <v>31</v>
      </c>
      <c r="L388">
        <v>4.4454921874999997E-2</v>
      </c>
      <c r="M388">
        <v>0</v>
      </c>
      <c r="N388">
        <v>2.9375680356684666E-2</v>
      </c>
      <c r="O388">
        <v>5.4674005771508316</v>
      </c>
      <c r="P388">
        <v>98.408514201596844</v>
      </c>
      <c r="Q388">
        <v>100.81272112185832</v>
      </c>
      <c r="R388">
        <v>-1.8625523936223527</v>
      </c>
      <c r="S388" s="2">
        <v>2.8389912946539365E-4</v>
      </c>
      <c r="T388" s="2">
        <v>5.8562578071646651E-4</v>
      </c>
      <c r="U388" s="2">
        <v>8.037543355759074E-4</v>
      </c>
      <c r="V388" s="2">
        <v>1.0612845002366594E-3</v>
      </c>
      <c r="W388" s="2">
        <v>1.3469240488289359E-3</v>
      </c>
      <c r="X388" s="2">
        <v>1.6425023480896982E-3</v>
      </c>
      <c r="Y388" s="2">
        <v>1.9255199720409947E-3</v>
      </c>
      <c r="Z388" s="2">
        <v>2.1740255886199965E-3</v>
      </c>
      <c r="AA388" s="2">
        <v>2.3724233647471021E-3</v>
      </c>
      <c r="AB388" s="2">
        <v>2.5156966483366166E-3</v>
      </c>
      <c r="AC388" s="2">
        <v>2.6097618278824613E-3</v>
      </c>
      <c r="AD388" s="2">
        <v>2.6641894303080331E-3</v>
      </c>
      <c r="AE388" s="2">
        <v>2.6832257398528843E-3</v>
      </c>
      <c r="AF388" s="2">
        <v>2.7025253959574711E-3</v>
      </c>
      <c r="AG388" s="2">
        <v>2.7220911224823544E-3</v>
      </c>
      <c r="AH388" s="2">
        <v>2.7419256748895649E-3</v>
      </c>
      <c r="AI388" s="2">
        <v>2.7620318405921366E-3</v>
      </c>
      <c r="AJ388" s="2">
        <v>2.7824124393074036E-3</v>
      </c>
      <c r="AK388" s="2">
        <v>2.8030703234145716E-3</v>
      </c>
      <c r="AL388" s="2">
        <v>2.824008378316614E-3</v>
      </c>
      <c r="AM388" s="2">
        <v>2.8452295228049091E-3</v>
      </c>
      <c r="AN388" s="2">
        <v>2.8667367094298256E-3</v>
      </c>
      <c r="AO388" s="2">
        <v>2.8885329248741587E-3</v>
      </c>
      <c r="AP388" s="2">
        <v>2.9106211903312798E-3</v>
      </c>
      <c r="AQ388" s="2">
        <v>2.9330045618875043E-3</v>
      </c>
      <c r="AR388" s="2">
        <v>5.6451022798988948E-2</v>
      </c>
    </row>
    <row r="389" spans="1:44" x14ac:dyDescent="0.25">
      <c r="A389" t="s">
        <v>250</v>
      </c>
      <c r="B389" t="s">
        <v>305</v>
      </c>
      <c r="C389" t="s">
        <v>44</v>
      </c>
      <c r="D389" t="s">
        <v>303</v>
      </c>
      <c r="E389" t="s">
        <v>148</v>
      </c>
      <c r="F389" t="s">
        <v>303</v>
      </c>
      <c r="G389" t="s">
        <v>31</v>
      </c>
      <c r="H389" t="s">
        <v>274</v>
      </c>
      <c r="I389" t="s">
        <v>135</v>
      </c>
      <c r="J389" t="s">
        <v>39</v>
      </c>
      <c r="K389" t="s">
        <v>31</v>
      </c>
      <c r="L389">
        <v>4.4454921874999997E-2</v>
      </c>
      <c r="M389">
        <v>0</v>
      </c>
      <c r="N389">
        <v>2.9375680356684666E-2</v>
      </c>
      <c r="O389">
        <v>5.4674005771508316</v>
      </c>
      <c r="P389">
        <v>98.408514201596844</v>
      </c>
      <c r="Q389">
        <v>100.81272112185832</v>
      </c>
      <c r="R389">
        <v>-1.8625523936223527</v>
      </c>
      <c r="S389" s="2">
        <v>4.469080677181567E-4</v>
      </c>
      <c r="T389" s="2">
        <v>9.2187984710899755E-4</v>
      </c>
      <c r="U389" s="2">
        <v>1.2652532528322003E-3</v>
      </c>
      <c r="V389" s="2">
        <v>1.6706518480459295E-3</v>
      </c>
      <c r="W389" s="2">
        <v>2.1202996471274349E-3</v>
      </c>
      <c r="X389" s="2">
        <v>2.5855928194974398E-3</v>
      </c>
      <c r="Y389" s="2">
        <v>3.0311132396848095E-3</v>
      </c>
      <c r="Z389" s="2">
        <v>3.4223055801882443E-3</v>
      </c>
      <c r="AA389" s="2">
        <v>3.7346192069876325E-3</v>
      </c>
      <c r="AB389" s="2">
        <v>3.9601570113662905E-3</v>
      </c>
      <c r="AC389" s="2">
        <v>4.1082324482637125E-3</v>
      </c>
      <c r="AD389" s="2">
        <v>4.1939112408558082E-3</v>
      </c>
      <c r="AE389" s="2">
        <v>4.2238778009196232E-3</v>
      </c>
      <c r="AF389" s="2">
        <v>4.2542589156258992E-3</v>
      </c>
      <c r="AG389" s="2">
        <v>4.2850588728192843E-3</v>
      </c>
      <c r="AH389" s="2">
        <v>4.316282010089989E-3</v>
      </c>
      <c r="AI389" s="2">
        <v>4.3479327153256786E-3</v>
      </c>
      <c r="AJ389" s="2">
        <v>4.3800154272660412E-3</v>
      </c>
      <c r="AK389" s="2">
        <v>4.4125346360670255E-3</v>
      </c>
      <c r="AL389" s="2">
        <v>4.4454948838693158E-3</v>
      </c>
      <c r="AM389" s="2">
        <v>4.4789007653734071E-3</v>
      </c>
      <c r="AN389" s="2">
        <v>4.5127569284222043E-3</v>
      </c>
      <c r="AO389" s="2">
        <v>4.5470680745892987E-3</v>
      </c>
      <c r="AP389" s="2">
        <v>4.5818389597740549E-3</v>
      </c>
      <c r="AQ389" s="2">
        <v>4.6170743948035298E-3</v>
      </c>
      <c r="AR389" s="2">
        <v>8.8864018594622021E-2</v>
      </c>
    </row>
    <row r="390" spans="1:44" x14ac:dyDescent="0.25">
      <c r="A390" t="s">
        <v>250</v>
      </c>
      <c r="B390" t="s">
        <v>305</v>
      </c>
      <c r="C390" t="s">
        <v>44</v>
      </c>
      <c r="D390" t="s">
        <v>303</v>
      </c>
      <c r="E390" t="s">
        <v>148</v>
      </c>
      <c r="F390" t="s">
        <v>303</v>
      </c>
      <c r="G390" t="s">
        <v>31</v>
      </c>
      <c r="H390" t="s">
        <v>274</v>
      </c>
      <c r="I390" t="s">
        <v>135</v>
      </c>
      <c r="J390" t="s">
        <v>39</v>
      </c>
      <c r="K390" t="s">
        <v>33</v>
      </c>
      <c r="L390">
        <v>4.4454921874999997E-2</v>
      </c>
      <c r="M390">
        <v>0</v>
      </c>
      <c r="N390">
        <v>2.9375680356684666E-2</v>
      </c>
      <c r="O390">
        <v>5.4674005771508316</v>
      </c>
      <c r="P390">
        <v>98.408514201596844</v>
      </c>
      <c r="Q390">
        <v>100.81272112185832</v>
      </c>
      <c r="R390">
        <v>-1.8625523936223527</v>
      </c>
      <c r="S390" s="2">
        <v>1.437918942262913E-6</v>
      </c>
      <c r="T390" s="2">
        <v>2.9661323891884643E-6</v>
      </c>
      <c r="U390" s="2">
        <v>4.0709303555346848E-6</v>
      </c>
      <c r="V390" s="2">
        <v>5.3752932912967185E-6</v>
      </c>
      <c r="W390" s="2">
        <v>6.8220272716146626E-6</v>
      </c>
      <c r="X390" s="2">
        <v>8.3190999686294975E-6</v>
      </c>
      <c r="Y390" s="2">
        <v>9.7525541790742199E-6</v>
      </c>
      <c r="Z390" s="2">
        <v>1.1011208737158419E-5</v>
      </c>
      <c r="AA390" s="2">
        <v>1.2016072404522031E-5</v>
      </c>
      <c r="AB390" s="2">
        <v>1.2741736371091926E-5</v>
      </c>
      <c r="AC390" s="2">
        <v>1.3218166516302425E-5</v>
      </c>
      <c r="AD390" s="2">
        <v>1.3493836542684844E-5</v>
      </c>
      <c r="AE390" s="2">
        <v>1.3590253428981451E-5</v>
      </c>
      <c r="AF390" s="2">
        <v>1.3688004137636766E-5</v>
      </c>
      <c r="AG390" s="2">
        <v>1.378710246471625E-5</v>
      </c>
      <c r="AH390" s="2">
        <v>1.3887562366341326E-5</v>
      </c>
      <c r="AI390" s="2">
        <v>1.3989397960464274E-5</v>
      </c>
      <c r="AJ390" s="2">
        <v>1.409262352865272E-5</v>
      </c>
      <c r="AK390" s="2">
        <v>1.4197253517905541E-5</v>
      </c>
      <c r="AL390" s="2">
        <v>1.4303302542481327E-5</v>
      </c>
      <c r="AM390" s="2">
        <v>1.4410785385749285E-5</v>
      </c>
      <c r="AN390" s="2">
        <v>1.4519717002063185E-5</v>
      </c>
      <c r="AO390" s="2">
        <v>1.4630112518654068E-5</v>
      </c>
      <c r="AP390" s="2">
        <v>1.4741987237545647E-5</v>
      </c>
      <c r="AQ390" s="2">
        <v>1.4855356637490799E-5</v>
      </c>
      <c r="AR390" s="2">
        <v>2.8591843569804342E-4</v>
      </c>
    </row>
    <row r="391" spans="1:44" x14ac:dyDescent="0.25">
      <c r="A391" t="s">
        <v>250</v>
      </c>
      <c r="B391" t="s">
        <v>305</v>
      </c>
      <c r="C391" t="s">
        <v>44</v>
      </c>
      <c r="D391" t="s">
        <v>303</v>
      </c>
      <c r="E391" t="s">
        <v>148</v>
      </c>
      <c r="F391" t="s">
        <v>303</v>
      </c>
      <c r="G391" t="s">
        <v>31</v>
      </c>
      <c r="H391" t="s">
        <v>275</v>
      </c>
      <c r="I391" t="s">
        <v>135</v>
      </c>
      <c r="J391" t="s">
        <v>39</v>
      </c>
      <c r="K391" t="s">
        <v>31</v>
      </c>
      <c r="L391">
        <v>4.4454921874999997E-2</v>
      </c>
      <c r="M391">
        <v>0</v>
      </c>
      <c r="N391">
        <v>2.9375680356684666E-2</v>
      </c>
      <c r="O391">
        <v>5.4674005771508316</v>
      </c>
      <c r="P391">
        <v>98.408514201596844</v>
      </c>
      <c r="Q391">
        <v>100.81272112185832</v>
      </c>
      <c r="R391">
        <v>-1.8625523936223527</v>
      </c>
      <c r="S391" s="2">
        <v>6.827358235551612E-4</v>
      </c>
      <c r="T391" s="2">
        <v>1.4083442258012501E-3</v>
      </c>
      <c r="U391" s="2">
        <v>1.9329114508691717E-3</v>
      </c>
      <c r="V391" s="2">
        <v>2.552233776341058E-3</v>
      </c>
      <c r="W391" s="2">
        <v>3.2391550529765555E-3</v>
      </c>
      <c r="X391" s="2">
        <v>3.9499775692373217E-3</v>
      </c>
      <c r="Y391" s="2">
        <v>4.6305935011454668E-3</v>
      </c>
      <c r="Z391" s="2">
        <v>5.228213110309703E-3</v>
      </c>
      <c r="AA391" s="2">
        <v>5.7053307025006295E-3</v>
      </c>
      <c r="AB391" s="2">
        <v>6.049881964243272E-3</v>
      </c>
      <c r="AC391" s="2">
        <v>6.2760949432898389E-3</v>
      </c>
      <c r="AD391" s="2">
        <v>6.4069853550925973E-3</v>
      </c>
      <c r="AE391" s="2">
        <v>6.4527648912927798E-3</v>
      </c>
      <c r="AF391" s="2">
        <v>6.4991777373965007E-3</v>
      </c>
      <c r="AG391" s="2">
        <v>6.5462304438898868E-3</v>
      </c>
      <c r="AH391" s="2">
        <v>6.5939296372549755E-3</v>
      </c>
      <c r="AI391" s="2">
        <v>6.6422820208123547E-3</v>
      </c>
      <c r="AJ391" s="2">
        <v>6.691294375568816E-3</v>
      </c>
      <c r="AK391" s="2">
        <v>6.740973561078745E-3</v>
      </c>
      <c r="AL391" s="2">
        <v>6.7913265163135044E-3</v>
      </c>
      <c r="AM391" s="2">
        <v>6.8423602605392018E-3</v>
      </c>
      <c r="AN391" s="2">
        <v>6.8940818942064795E-3</v>
      </c>
      <c r="AO391" s="2">
        <v>6.9464985998506619E-3</v>
      </c>
      <c r="AP391" s="2">
        <v>6.9996176429985976E-3</v>
      </c>
      <c r="AQ391" s="2">
        <v>7.0534463730908704E-3</v>
      </c>
      <c r="AR391" s="2">
        <v>0.1357564414296554</v>
      </c>
    </row>
    <row r="392" spans="1:44" x14ac:dyDescent="0.25">
      <c r="A392" t="s">
        <v>250</v>
      </c>
      <c r="B392" t="s">
        <v>307</v>
      </c>
      <c r="C392" t="s">
        <v>44</v>
      </c>
      <c r="D392" t="s">
        <v>303</v>
      </c>
      <c r="E392" t="s">
        <v>145</v>
      </c>
      <c r="F392" t="s">
        <v>303</v>
      </c>
      <c r="G392" t="s">
        <v>31</v>
      </c>
      <c r="H392" t="s">
        <v>276</v>
      </c>
      <c r="I392" t="s">
        <v>135</v>
      </c>
      <c r="J392" t="s">
        <v>39</v>
      </c>
      <c r="K392" t="s">
        <v>31</v>
      </c>
      <c r="L392">
        <v>2.4563229166666669E-2</v>
      </c>
      <c r="M392">
        <v>0</v>
      </c>
      <c r="N392">
        <v>1.6242061884047983E-2</v>
      </c>
      <c r="O392">
        <v>5.4639665376457422</v>
      </c>
      <c r="P392">
        <v>179.81294196447735</v>
      </c>
      <c r="Q392">
        <v>182.21714888473889</v>
      </c>
      <c r="R392">
        <v>-1.8625523936223511</v>
      </c>
      <c r="S392" s="2">
        <v>0.1373050101010321</v>
      </c>
      <c r="T392" s="2">
        <v>0.20108091317156784</v>
      </c>
      <c r="U392" s="2">
        <v>0.2735785716105032</v>
      </c>
      <c r="V392" s="2">
        <v>0.3580771885052953</v>
      </c>
      <c r="W392" s="2">
        <v>0.45045578749397053</v>
      </c>
      <c r="X392" s="2">
        <v>0.54444948410881477</v>
      </c>
      <c r="Y392" s="2">
        <v>0.6325874846928905</v>
      </c>
      <c r="Z392" s="2">
        <v>0.70784276472165175</v>
      </c>
      <c r="AA392" s="2">
        <v>0.76549555220406906</v>
      </c>
      <c r="AB392" s="2">
        <v>0.80438876093945366</v>
      </c>
      <c r="AC392" s="2">
        <v>0.82688460635727268</v>
      </c>
      <c r="AD392" s="2">
        <v>0.83642049454097833</v>
      </c>
      <c r="AE392" s="2">
        <v>0.83466401150244218</v>
      </c>
      <c r="AF392" s="2">
        <v>0.83291121707828719</v>
      </c>
      <c r="AG392" s="2">
        <v>0.83116210352242292</v>
      </c>
      <c r="AH392" s="2">
        <v>0.951680724736509</v>
      </c>
      <c r="AI392" s="2">
        <v>0.9596334723498029</v>
      </c>
      <c r="AJ392" s="2">
        <v>0.94420158659439513</v>
      </c>
      <c r="AK392" s="2">
        <v>0.78951302990774064</v>
      </c>
      <c r="AL392" s="2">
        <v>8.3242972599222573E-2</v>
      </c>
      <c r="AM392" s="2">
        <v>6.3945562437524778E-2</v>
      </c>
      <c r="AN392" s="2">
        <v>4.5453625666294038E-2</v>
      </c>
      <c r="AO392" s="2">
        <v>2.9319803481959915E-2</v>
      </c>
      <c r="AP392" s="2">
        <v>1.6662529408962373E-2</v>
      </c>
      <c r="AQ392" s="2">
        <v>7.8619725497929525E-3</v>
      </c>
      <c r="AR392" s="2">
        <v>12.928819230282857</v>
      </c>
    </row>
    <row r="393" spans="1:44" x14ac:dyDescent="0.25">
      <c r="A393" t="s">
        <v>250</v>
      </c>
      <c r="B393" t="s">
        <v>307</v>
      </c>
      <c r="C393" t="s">
        <v>44</v>
      </c>
      <c r="D393" t="s">
        <v>303</v>
      </c>
      <c r="E393" t="s">
        <v>148</v>
      </c>
      <c r="F393" t="s">
        <v>303</v>
      </c>
      <c r="G393" t="s">
        <v>31</v>
      </c>
      <c r="H393" t="s">
        <v>276</v>
      </c>
      <c r="I393" t="s">
        <v>135</v>
      </c>
      <c r="J393" t="s">
        <v>39</v>
      </c>
      <c r="K393" t="s">
        <v>31</v>
      </c>
      <c r="L393">
        <v>2.4563229166666669E-2</v>
      </c>
      <c r="M393">
        <v>0</v>
      </c>
      <c r="N393">
        <v>1.6242061884047983E-2</v>
      </c>
      <c r="O393">
        <v>5.4639665376457422</v>
      </c>
      <c r="P393">
        <v>179.81294196447735</v>
      </c>
      <c r="Q393">
        <v>182.21714888473889</v>
      </c>
      <c r="R393">
        <v>-1.8625523936223511</v>
      </c>
      <c r="S393" s="2">
        <v>2.3358671912794476E-2</v>
      </c>
      <c r="T393" s="2">
        <v>4.062775518786417E-2</v>
      </c>
      <c r="U393" s="2">
        <v>5.5897959023862173E-2</v>
      </c>
      <c r="V393" s="2">
        <v>7.3988187638991926E-2</v>
      </c>
      <c r="W393" s="2">
        <v>9.412817561813687E-2</v>
      </c>
      <c r="X393" s="2">
        <v>0.11505793643466837</v>
      </c>
      <c r="Y393" s="2">
        <v>0.13520127871628565</v>
      </c>
      <c r="Z393" s="2">
        <v>0.15300577338043125</v>
      </c>
      <c r="AA393" s="2">
        <v>0.16735320139855092</v>
      </c>
      <c r="AB393" s="2">
        <v>0.1778636105727521</v>
      </c>
      <c r="AC393" s="2">
        <v>0.18492903822940016</v>
      </c>
      <c r="AD393" s="2">
        <v>0.18920526268672072</v>
      </c>
      <c r="AE393" s="2">
        <v>0.19097553603324433</v>
      </c>
      <c r="AF393" s="2">
        <v>0.19276639999998049</v>
      </c>
      <c r="AG393" s="2">
        <v>0.19457808394632745</v>
      </c>
      <c r="AH393" s="2">
        <v>0.19641081980704322</v>
      </c>
      <c r="AI393" s="2">
        <v>0.19826484212113971</v>
      </c>
      <c r="AJ393" s="2">
        <v>0.20014038806103032</v>
      </c>
      <c r="AK393" s="2">
        <v>0.20203769746211725</v>
      </c>
      <c r="AL393" s="2">
        <v>0.20395701285262702</v>
      </c>
      <c r="AM393" s="2">
        <v>0.20589857948376089</v>
      </c>
      <c r="AN393" s="2">
        <v>0.20786264536029239</v>
      </c>
      <c r="AO393" s="2">
        <v>0.20984946127138565</v>
      </c>
      <c r="AP393" s="2">
        <v>0.2118592808218398</v>
      </c>
      <c r="AQ393" s="2">
        <v>0.213892360463663</v>
      </c>
      <c r="AR393" s="2">
        <v>4.0391099584849108</v>
      </c>
    </row>
    <row r="394" spans="1:44" x14ac:dyDescent="0.25">
      <c r="A394" t="s">
        <v>250</v>
      </c>
      <c r="B394" t="s">
        <v>306</v>
      </c>
      <c r="C394" t="s">
        <v>44</v>
      </c>
      <c r="D394" t="s">
        <v>303</v>
      </c>
      <c r="E394" t="s">
        <v>145</v>
      </c>
      <c r="F394" t="s">
        <v>303</v>
      </c>
      <c r="G394" t="s">
        <v>31</v>
      </c>
      <c r="H394" t="s">
        <v>277</v>
      </c>
      <c r="I394" t="s">
        <v>135</v>
      </c>
      <c r="J394" t="s">
        <v>39</v>
      </c>
      <c r="K394" t="s">
        <v>31</v>
      </c>
      <c r="L394">
        <v>6.0953750000000001E-2</v>
      </c>
      <c r="M394">
        <v>0</v>
      </c>
      <c r="N394">
        <v>4.0238957028394744E-2</v>
      </c>
      <c r="O394">
        <v>5.4679361121017198</v>
      </c>
      <c r="P394">
        <v>71.19939926673959</v>
      </c>
      <c r="Q394">
        <v>73.603606187001091</v>
      </c>
      <c r="R394">
        <v>-1.8625523936223525</v>
      </c>
      <c r="S394" s="2">
        <v>0</v>
      </c>
      <c r="T394" s="2">
        <v>0</v>
      </c>
      <c r="U394" s="2">
        <v>0</v>
      </c>
      <c r="V394" s="2">
        <v>0</v>
      </c>
      <c r="W394" s="2">
        <v>0</v>
      </c>
      <c r="X394" s="2">
        <v>0</v>
      </c>
      <c r="Y394" s="2">
        <v>0</v>
      </c>
      <c r="Z394" s="2">
        <v>0</v>
      </c>
      <c r="AA394" s="2">
        <v>0</v>
      </c>
      <c r="AB394" s="2">
        <v>0</v>
      </c>
      <c r="AC394" s="2">
        <v>0</v>
      </c>
      <c r="AD394" s="2">
        <v>0</v>
      </c>
      <c r="AE394" s="2">
        <v>0</v>
      </c>
      <c r="AF394" s="2">
        <v>0</v>
      </c>
      <c r="AG394" s="2">
        <v>0</v>
      </c>
      <c r="AH394" s="2">
        <v>0</v>
      </c>
      <c r="AI394" s="2">
        <v>0</v>
      </c>
      <c r="AJ394" s="2">
        <v>0</v>
      </c>
      <c r="AK394" s="2">
        <v>0</v>
      </c>
      <c r="AL394" s="2">
        <v>0</v>
      </c>
      <c r="AM394" s="2">
        <v>0</v>
      </c>
      <c r="AN394" s="2">
        <v>0</v>
      </c>
      <c r="AO394" s="2">
        <v>0</v>
      </c>
      <c r="AP394" s="2">
        <v>0</v>
      </c>
      <c r="AQ394" s="2">
        <v>0</v>
      </c>
      <c r="AR394" s="2">
        <v>0</v>
      </c>
    </row>
    <row r="395" spans="1:44" x14ac:dyDescent="0.25">
      <c r="A395" t="s">
        <v>250</v>
      </c>
      <c r="B395" t="s">
        <v>306</v>
      </c>
      <c r="C395" t="s">
        <v>44</v>
      </c>
      <c r="D395" t="s">
        <v>303</v>
      </c>
      <c r="E395" t="s">
        <v>145</v>
      </c>
      <c r="F395" t="s">
        <v>303</v>
      </c>
      <c r="G395" t="s">
        <v>31</v>
      </c>
      <c r="H395" t="s">
        <v>277</v>
      </c>
      <c r="I395" t="s">
        <v>135</v>
      </c>
      <c r="J395" t="s">
        <v>40</v>
      </c>
      <c r="K395" t="s">
        <v>31</v>
      </c>
      <c r="L395">
        <v>6.0953750000000001E-2</v>
      </c>
      <c r="M395">
        <v>0</v>
      </c>
      <c r="N395">
        <v>4.0238957028394744E-2</v>
      </c>
      <c r="O395">
        <v>4.1746294160814523</v>
      </c>
      <c r="P395">
        <v>71.19939926673959</v>
      </c>
      <c r="Q395">
        <v>0.4672931329656026</v>
      </c>
      <c r="R395">
        <v>-1.7195523936223529</v>
      </c>
      <c r="S395" s="2">
        <v>0</v>
      </c>
      <c r="T395" s="2">
        <v>0</v>
      </c>
      <c r="U395" s="2">
        <v>0</v>
      </c>
      <c r="V395" s="2">
        <v>0</v>
      </c>
      <c r="W395" s="2">
        <v>0</v>
      </c>
      <c r="X395" s="2">
        <v>0</v>
      </c>
      <c r="Y395" s="2">
        <v>0</v>
      </c>
      <c r="Z395" s="2">
        <v>0</v>
      </c>
      <c r="AA395" s="2">
        <v>0</v>
      </c>
      <c r="AB395" s="2">
        <v>0</v>
      </c>
      <c r="AC395" s="2">
        <v>0</v>
      </c>
      <c r="AD395" s="2">
        <v>0</v>
      </c>
      <c r="AE395" s="2">
        <v>0</v>
      </c>
      <c r="AF395" s="2">
        <v>0</v>
      </c>
      <c r="AG395" s="2">
        <v>0</v>
      </c>
      <c r="AH395" s="2">
        <v>0</v>
      </c>
      <c r="AI395" s="2">
        <v>0</v>
      </c>
      <c r="AJ395" s="2">
        <v>0</v>
      </c>
      <c r="AK395" s="2">
        <v>0</v>
      </c>
      <c r="AL395" s="2">
        <v>0</v>
      </c>
      <c r="AM395" s="2">
        <v>0</v>
      </c>
      <c r="AN395" s="2">
        <v>0</v>
      </c>
      <c r="AO395" s="2">
        <v>0</v>
      </c>
      <c r="AP395" s="2">
        <v>0</v>
      </c>
      <c r="AQ395" s="2">
        <v>0</v>
      </c>
      <c r="AR395" s="2">
        <v>0</v>
      </c>
    </row>
    <row r="396" spans="1:44" x14ac:dyDescent="0.25">
      <c r="A396" t="s">
        <v>250</v>
      </c>
      <c r="B396" t="s">
        <v>306</v>
      </c>
      <c r="C396" t="s">
        <v>44</v>
      </c>
      <c r="D396" t="s">
        <v>303</v>
      </c>
      <c r="E396" t="s">
        <v>148</v>
      </c>
      <c r="F396" t="s">
        <v>303</v>
      </c>
      <c r="G396" t="s">
        <v>31</v>
      </c>
      <c r="H396" t="s">
        <v>277</v>
      </c>
      <c r="I396" t="s">
        <v>135</v>
      </c>
      <c r="J396" t="s">
        <v>39</v>
      </c>
      <c r="K396" t="s">
        <v>31</v>
      </c>
      <c r="L396">
        <v>6.0953750000000001E-2</v>
      </c>
      <c r="M396">
        <v>0</v>
      </c>
      <c r="N396">
        <v>4.0238957028394744E-2</v>
      </c>
      <c r="O396">
        <v>5.4679361121017198</v>
      </c>
      <c r="P396">
        <v>71.19939926673959</v>
      </c>
      <c r="Q396">
        <v>73.603606187001091</v>
      </c>
      <c r="R396">
        <v>-1.8625523936223525</v>
      </c>
      <c r="S396" s="2">
        <v>0</v>
      </c>
      <c r="T396" s="2">
        <v>0</v>
      </c>
      <c r="U396" s="2">
        <v>0</v>
      </c>
      <c r="V396" s="2">
        <v>0</v>
      </c>
      <c r="W396" s="2">
        <v>0</v>
      </c>
      <c r="X396" s="2">
        <v>0</v>
      </c>
      <c r="Y396" s="2">
        <v>0</v>
      </c>
      <c r="Z396" s="2">
        <v>0</v>
      </c>
      <c r="AA396" s="2">
        <v>0</v>
      </c>
      <c r="AB396" s="2">
        <v>0</v>
      </c>
      <c r="AC396" s="2">
        <v>0</v>
      </c>
      <c r="AD396" s="2">
        <v>0</v>
      </c>
      <c r="AE396" s="2">
        <v>0</v>
      </c>
      <c r="AF396" s="2">
        <v>0</v>
      </c>
      <c r="AG396" s="2">
        <v>0</v>
      </c>
      <c r="AH396" s="2">
        <v>0</v>
      </c>
      <c r="AI396" s="2">
        <v>0</v>
      </c>
      <c r="AJ396" s="2">
        <v>0</v>
      </c>
      <c r="AK396" s="2">
        <v>0</v>
      </c>
      <c r="AL396" s="2">
        <v>0</v>
      </c>
      <c r="AM396" s="2">
        <v>0</v>
      </c>
      <c r="AN396" s="2">
        <v>0</v>
      </c>
      <c r="AO396" s="2">
        <v>0</v>
      </c>
      <c r="AP396" s="2">
        <v>0</v>
      </c>
      <c r="AQ396" s="2">
        <v>0</v>
      </c>
      <c r="AR396" s="2">
        <v>0</v>
      </c>
    </row>
    <row r="397" spans="1:44" x14ac:dyDescent="0.25">
      <c r="A397" t="s">
        <v>250</v>
      </c>
      <c r="B397" t="s">
        <v>306</v>
      </c>
      <c r="C397" t="s">
        <v>44</v>
      </c>
      <c r="D397" t="s">
        <v>303</v>
      </c>
      <c r="E397" t="s">
        <v>148</v>
      </c>
      <c r="F397" t="s">
        <v>303</v>
      </c>
      <c r="G397" t="s">
        <v>31</v>
      </c>
      <c r="H397" t="s">
        <v>277</v>
      </c>
      <c r="I397" t="s">
        <v>135</v>
      </c>
      <c r="J397" t="s">
        <v>40</v>
      </c>
      <c r="K397" t="s">
        <v>31</v>
      </c>
      <c r="L397">
        <v>6.0953750000000001E-2</v>
      </c>
      <c r="M397">
        <v>0</v>
      </c>
      <c r="N397">
        <v>4.0238957028394744E-2</v>
      </c>
      <c r="O397">
        <v>4.1746294160814523</v>
      </c>
      <c r="P397">
        <v>71.19939926673959</v>
      </c>
      <c r="Q397">
        <v>0.4672931329656026</v>
      </c>
      <c r="R397">
        <v>-1.7195523936223529</v>
      </c>
      <c r="S397" s="2">
        <v>0</v>
      </c>
      <c r="T397" s="2">
        <v>0</v>
      </c>
      <c r="U397" s="2">
        <v>0</v>
      </c>
      <c r="V397" s="2">
        <v>0</v>
      </c>
      <c r="W397" s="2">
        <v>0</v>
      </c>
      <c r="X397" s="2">
        <v>0</v>
      </c>
      <c r="Y397" s="2">
        <v>0</v>
      </c>
      <c r="Z397" s="2">
        <v>0</v>
      </c>
      <c r="AA397" s="2">
        <v>0</v>
      </c>
      <c r="AB397" s="2">
        <v>0</v>
      </c>
      <c r="AC397" s="2">
        <v>0</v>
      </c>
      <c r="AD397" s="2">
        <v>0</v>
      </c>
      <c r="AE397" s="2">
        <v>0</v>
      </c>
      <c r="AF397" s="2">
        <v>0</v>
      </c>
      <c r="AG397" s="2">
        <v>0</v>
      </c>
      <c r="AH397" s="2">
        <v>0</v>
      </c>
      <c r="AI397" s="2">
        <v>0</v>
      </c>
      <c r="AJ397" s="2">
        <v>0</v>
      </c>
      <c r="AK397" s="2">
        <v>0</v>
      </c>
      <c r="AL397" s="2">
        <v>0</v>
      </c>
      <c r="AM397" s="2">
        <v>0</v>
      </c>
      <c r="AN397" s="2">
        <v>0</v>
      </c>
      <c r="AO397" s="2">
        <v>0</v>
      </c>
      <c r="AP397" s="2">
        <v>0</v>
      </c>
      <c r="AQ397" s="2">
        <v>0</v>
      </c>
      <c r="AR397" s="2">
        <v>0</v>
      </c>
    </row>
    <row r="398" spans="1:44" x14ac:dyDescent="0.25">
      <c r="A398" t="s">
        <v>250</v>
      </c>
      <c r="B398" t="s">
        <v>311</v>
      </c>
      <c r="C398" t="s">
        <v>44</v>
      </c>
      <c r="D398" t="s">
        <v>312</v>
      </c>
      <c r="E398" t="s">
        <v>134</v>
      </c>
      <c r="F398" t="s">
        <v>312</v>
      </c>
      <c r="G398" t="s">
        <v>31</v>
      </c>
      <c r="H398" t="s">
        <v>272</v>
      </c>
      <c r="I398" t="s">
        <v>135</v>
      </c>
      <c r="J398" t="s">
        <v>39</v>
      </c>
      <c r="K398" t="s">
        <v>31</v>
      </c>
      <c r="L398">
        <v>142</v>
      </c>
      <c r="M398">
        <v>1</v>
      </c>
      <c r="N398">
        <v>2.0197569684597156</v>
      </c>
      <c r="O398">
        <v>6.2295157602477964</v>
      </c>
      <c r="P398">
        <v>-1.1767139597520102</v>
      </c>
      <c r="Q398">
        <v>1.6706195166052316</v>
      </c>
      <c r="R398">
        <v>-2.3056789497180801</v>
      </c>
      <c r="S398" s="2">
        <v>0.16589626572393484</v>
      </c>
      <c r="T398" s="2">
        <v>0.33009032126476345</v>
      </c>
      <c r="U398" s="2">
        <v>0.58339429789217356</v>
      </c>
      <c r="V398" s="2">
        <v>0.94460552061329772</v>
      </c>
      <c r="W398" s="2">
        <v>1.4271838605573954</v>
      </c>
      <c r="X398" s="2">
        <v>2.0346296973019169</v>
      </c>
      <c r="Y398" s="2">
        <v>2.7549239282372588</v>
      </c>
      <c r="Z398" s="2">
        <v>3.5549480877659008</v>
      </c>
      <c r="AA398" s="2">
        <v>4.3766325490315925</v>
      </c>
      <c r="AB398" s="2">
        <v>5.1373484392385445</v>
      </c>
      <c r="AC398" s="2">
        <v>5.7372577372416265</v>
      </c>
      <c r="AD398" s="2">
        <v>6.0752865670251905</v>
      </c>
      <c r="AE398" s="2">
        <v>6.0725870953185659</v>
      </c>
      <c r="AF398" s="2">
        <v>5.6981050459644225</v>
      </c>
      <c r="AG398" s="2">
        <v>4.9868631733202875</v>
      </c>
      <c r="AH398" s="2">
        <v>4.1051099721216735</v>
      </c>
      <c r="AI398" s="2">
        <v>3.1247614153675807</v>
      </c>
      <c r="AJ398" s="2">
        <v>0.80584946838317528</v>
      </c>
      <c r="AK398" s="2">
        <v>0</v>
      </c>
      <c r="AL398" s="2">
        <v>0</v>
      </c>
      <c r="AM398" s="2">
        <v>0</v>
      </c>
      <c r="AN398" s="2">
        <v>0</v>
      </c>
      <c r="AO398" s="2">
        <v>0</v>
      </c>
      <c r="AP398" s="2">
        <v>0</v>
      </c>
      <c r="AQ398" s="2">
        <v>0</v>
      </c>
      <c r="AR398" s="2">
        <v>57.915473442369297</v>
      </c>
    </row>
    <row r="399" spans="1:44" x14ac:dyDescent="0.25">
      <c r="A399" t="s">
        <v>250</v>
      </c>
      <c r="B399" t="s">
        <v>311</v>
      </c>
      <c r="C399" t="s">
        <v>44</v>
      </c>
      <c r="D399" t="s">
        <v>312</v>
      </c>
      <c r="E399" t="s">
        <v>134</v>
      </c>
      <c r="F399" t="s">
        <v>312</v>
      </c>
      <c r="G399" t="s">
        <v>31</v>
      </c>
      <c r="H399" t="s">
        <v>272</v>
      </c>
      <c r="I399" t="s">
        <v>135</v>
      </c>
      <c r="J399" t="s">
        <v>40</v>
      </c>
      <c r="K399" t="s">
        <v>31</v>
      </c>
      <c r="L399">
        <v>142</v>
      </c>
      <c r="M399">
        <v>1</v>
      </c>
      <c r="N399">
        <v>2.0197569684597156</v>
      </c>
      <c r="O399">
        <v>4.9927275474590633</v>
      </c>
      <c r="P399">
        <v>-1.1767139597520102</v>
      </c>
      <c r="Q399">
        <v>0.4672931329656026</v>
      </c>
      <c r="R399">
        <v>-2.1626789497180798</v>
      </c>
      <c r="S399" s="2">
        <v>1.6409768766024763E-2</v>
      </c>
      <c r="T399" s="2">
        <v>3.2651161978964886E-2</v>
      </c>
      <c r="U399" s="2">
        <v>5.7706938043794266E-2</v>
      </c>
      <c r="V399" s="2">
        <v>9.343645018610125E-2</v>
      </c>
      <c r="W399" s="2">
        <v>0.1411710928883825</v>
      </c>
      <c r="X399" s="2">
        <v>0.20125710914295986</v>
      </c>
      <c r="Y399" s="2">
        <v>0.2725056192982146</v>
      </c>
      <c r="Z399" s="2">
        <v>0.35164068245234698</v>
      </c>
      <c r="AA399" s="2">
        <v>0.43291829258519693</v>
      </c>
      <c r="AB399" s="2">
        <v>0.50816514519193245</v>
      </c>
      <c r="AC399" s="2">
        <v>0.56750567837307531</v>
      </c>
      <c r="AD399" s="2">
        <v>0.60094208460435738</v>
      </c>
      <c r="AE399" s="2">
        <v>0.60067506408823645</v>
      </c>
      <c r="AF399" s="2">
        <v>0.56363285695890508</v>
      </c>
      <c r="AG399" s="2">
        <v>0.49327976844378013</v>
      </c>
      <c r="AH399" s="2">
        <v>0.40606040833805251</v>
      </c>
      <c r="AI399" s="2">
        <v>0.30908840564565088</v>
      </c>
      <c r="AJ399" s="2">
        <v>7.9711278482888101E-2</v>
      </c>
      <c r="AK399" s="2">
        <v>0</v>
      </c>
      <c r="AL399" s="2">
        <v>0</v>
      </c>
      <c r="AM399" s="2">
        <v>0</v>
      </c>
      <c r="AN399" s="2">
        <v>0</v>
      </c>
      <c r="AO399" s="2">
        <v>0</v>
      </c>
      <c r="AP399" s="2">
        <v>0</v>
      </c>
      <c r="AQ399" s="2">
        <v>0</v>
      </c>
      <c r="AR399" s="2">
        <v>5.7287578054688648</v>
      </c>
    </row>
    <row r="400" spans="1:44" x14ac:dyDescent="0.25">
      <c r="A400" t="s">
        <v>250</v>
      </c>
      <c r="B400" t="s">
        <v>311</v>
      </c>
      <c r="C400" t="s">
        <v>44</v>
      </c>
      <c r="D400" t="s">
        <v>312</v>
      </c>
      <c r="E400" t="s">
        <v>134</v>
      </c>
      <c r="F400" t="s">
        <v>312</v>
      </c>
      <c r="G400" t="s">
        <v>31</v>
      </c>
      <c r="H400" t="s">
        <v>253</v>
      </c>
      <c r="I400" t="s">
        <v>135</v>
      </c>
      <c r="J400" t="s">
        <v>39</v>
      </c>
      <c r="K400" t="s">
        <v>31</v>
      </c>
      <c r="L400">
        <v>142</v>
      </c>
      <c r="M400">
        <v>1</v>
      </c>
      <c r="N400">
        <v>2.0197569684597156</v>
      </c>
      <c r="O400">
        <v>6.2295157602477964</v>
      </c>
      <c r="P400">
        <v>-1.1767139597520102</v>
      </c>
      <c r="Q400">
        <v>1.6706195166052316</v>
      </c>
      <c r="R400">
        <v>-2.3056789497180801</v>
      </c>
      <c r="S400" s="2">
        <v>0.13924607226588775</v>
      </c>
      <c r="T400" s="2">
        <v>0.27720255560926055</v>
      </c>
      <c r="U400" s="2">
        <v>0.49016772909296907</v>
      </c>
      <c r="V400" s="2">
        <v>0.79405596185815497</v>
      </c>
      <c r="W400" s="2">
        <v>1.200324451720286</v>
      </c>
      <c r="X400" s="2">
        <v>1.7120727008892189</v>
      </c>
      <c r="Y400" s="2">
        <v>2.3193406005162656</v>
      </c>
      <c r="Z400" s="2">
        <v>2.9943756222430147</v>
      </c>
      <c r="AA400" s="2">
        <v>3.6883421110446104</v>
      </c>
      <c r="AB400" s="2">
        <v>4.3315988507025898</v>
      </c>
      <c r="AC400" s="2">
        <v>4.8398473428459496</v>
      </c>
      <c r="AD400" s="2">
        <v>5.1275767214958217</v>
      </c>
      <c r="AE400" s="2">
        <v>5.1278728437247372</v>
      </c>
      <c r="AF400" s="2">
        <v>4.8140660250262233</v>
      </c>
      <c r="AG400" s="2">
        <v>4.2152869061103626</v>
      </c>
      <c r="AH400" s="2">
        <v>3.4717031134984033</v>
      </c>
      <c r="AI400" s="2">
        <v>2.6439469823252799</v>
      </c>
      <c r="AJ400" s="2">
        <v>1.0141238298633259</v>
      </c>
      <c r="AK400" s="2">
        <v>0</v>
      </c>
      <c r="AL400" s="2">
        <v>0</v>
      </c>
      <c r="AM400" s="2">
        <v>0</v>
      </c>
      <c r="AN400" s="2">
        <v>0</v>
      </c>
      <c r="AO400" s="2">
        <v>0</v>
      </c>
      <c r="AP400" s="2">
        <v>0</v>
      </c>
      <c r="AQ400" s="2">
        <v>0</v>
      </c>
      <c r="AR400" s="2">
        <v>49.201150420832356</v>
      </c>
    </row>
    <row r="401" spans="1:44" x14ac:dyDescent="0.25">
      <c r="A401" t="s">
        <v>250</v>
      </c>
      <c r="B401" t="s">
        <v>311</v>
      </c>
      <c r="C401" t="s">
        <v>44</v>
      </c>
      <c r="D401" t="s">
        <v>312</v>
      </c>
      <c r="E401" t="s">
        <v>134</v>
      </c>
      <c r="F401" t="s">
        <v>312</v>
      </c>
      <c r="G401" t="s">
        <v>31</v>
      </c>
      <c r="H401" t="s">
        <v>253</v>
      </c>
      <c r="I401" t="s">
        <v>135</v>
      </c>
      <c r="J401" t="s">
        <v>40</v>
      </c>
      <c r="K401" t="s">
        <v>31</v>
      </c>
      <c r="L401">
        <v>142</v>
      </c>
      <c r="M401">
        <v>1</v>
      </c>
      <c r="N401">
        <v>2.0197569684597156</v>
      </c>
      <c r="O401">
        <v>4.9927275474590633</v>
      </c>
      <c r="P401">
        <v>-1.1767139597520102</v>
      </c>
      <c r="Q401">
        <v>0.4672931329656026</v>
      </c>
      <c r="R401">
        <v>-2.1626789497180798</v>
      </c>
      <c r="S401" s="2">
        <v>7.3246328094321925E-2</v>
      </c>
      <c r="T401" s="2">
        <v>0.14581430561265793</v>
      </c>
      <c r="U401" s="2">
        <v>0.25783841312117034</v>
      </c>
      <c r="V401" s="2">
        <v>0.41768993955144484</v>
      </c>
      <c r="W401" s="2">
        <v>0.63139560908016668</v>
      </c>
      <c r="X401" s="2">
        <v>0.90058582428959888</v>
      </c>
      <c r="Y401" s="2">
        <v>1.2200213609149937</v>
      </c>
      <c r="Z401" s="2">
        <v>1.5751038122328527</v>
      </c>
      <c r="AA401" s="2">
        <v>1.9401446087026182</v>
      </c>
      <c r="AB401" s="2">
        <v>2.2785110231742931</v>
      </c>
      <c r="AC401" s="2">
        <v>2.5458602934495218</v>
      </c>
      <c r="AD401" s="2">
        <v>2.6972119267704349</v>
      </c>
      <c r="AE401" s="2">
        <v>2.6973676932174326</v>
      </c>
      <c r="AF401" s="2">
        <v>2.5322987844389</v>
      </c>
      <c r="AG401" s="2">
        <v>2.2173285228979256</v>
      </c>
      <c r="AH401" s="2">
        <v>1.8261879933806811</v>
      </c>
      <c r="AI401" s="2">
        <v>1.3907710643471567</v>
      </c>
      <c r="AJ401" s="2">
        <v>0.5334502120002641</v>
      </c>
      <c r="AK401" s="2">
        <v>0</v>
      </c>
      <c r="AL401" s="2">
        <v>0</v>
      </c>
      <c r="AM401" s="2">
        <v>0</v>
      </c>
      <c r="AN401" s="2">
        <v>0</v>
      </c>
      <c r="AO401" s="2">
        <v>0</v>
      </c>
      <c r="AP401" s="2">
        <v>0</v>
      </c>
      <c r="AQ401" s="2">
        <v>0</v>
      </c>
      <c r="AR401" s="2">
        <v>25.880827715276432</v>
      </c>
    </row>
    <row r="402" spans="1:44" x14ac:dyDescent="0.25">
      <c r="A402" t="s">
        <v>250</v>
      </c>
      <c r="B402" t="s">
        <v>311</v>
      </c>
      <c r="C402" t="s">
        <v>44</v>
      </c>
      <c r="D402" t="s">
        <v>312</v>
      </c>
      <c r="E402" t="s">
        <v>134</v>
      </c>
      <c r="F402" t="s">
        <v>312</v>
      </c>
      <c r="G402" t="s">
        <v>31</v>
      </c>
      <c r="H402" t="s">
        <v>253</v>
      </c>
      <c r="I402" t="s">
        <v>256</v>
      </c>
      <c r="J402" t="s">
        <v>39</v>
      </c>
      <c r="K402" t="s">
        <v>31</v>
      </c>
      <c r="L402">
        <v>142</v>
      </c>
      <c r="M402">
        <v>1</v>
      </c>
      <c r="N402">
        <v>1.1440716691992232</v>
      </c>
      <c r="O402">
        <v>3.5286485480303535</v>
      </c>
      <c r="P402">
        <v>0.2862229915968616</v>
      </c>
      <c r="Q402">
        <v>0.4672931329656026</v>
      </c>
      <c r="R402">
        <v>-0.84274199836920816</v>
      </c>
      <c r="S402" s="2">
        <v>7.3043046673875053E-2</v>
      </c>
      <c r="T402" s="2">
        <v>0.14540962540632402</v>
      </c>
      <c r="U402" s="2">
        <v>0.25712283105407285</v>
      </c>
      <c r="V402" s="2">
        <v>0.41653071960926508</v>
      </c>
      <c r="W402" s="2">
        <v>0.629643289208071</v>
      </c>
      <c r="X402" s="2">
        <v>0.89808641755674334</v>
      </c>
      <c r="Y402" s="2">
        <v>1.2166354208730172</v>
      </c>
      <c r="Z402" s="2">
        <v>1.5707324075681763</v>
      </c>
      <c r="AA402" s="2">
        <v>1.9347601018994713</v>
      </c>
      <c r="AB402" s="2">
        <v>2.2721874439677259</v>
      </c>
      <c r="AC402" s="2">
        <v>2.5387947365789407</v>
      </c>
      <c r="AD402" s="2">
        <v>2.6897263218809444</v>
      </c>
      <c r="AE402" s="2">
        <v>2.6898816560274361</v>
      </c>
      <c r="AF402" s="2">
        <v>2.5252708649883338</v>
      </c>
      <c r="AG402" s="2">
        <v>2.2111747442245204</v>
      </c>
      <c r="AH402" s="2">
        <v>1.8211197517506101</v>
      </c>
      <c r="AI402" s="2">
        <v>1.3869112405876249</v>
      </c>
      <c r="AJ402" s="2">
        <v>0.53196972117354013</v>
      </c>
      <c r="AK402" s="2">
        <v>0</v>
      </c>
      <c r="AL402" s="2">
        <v>0</v>
      </c>
      <c r="AM402" s="2">
        <v>0</v>
      </c>
      <c r="AN402" s="2">
        <v>0</v>
      </c>
      <c r="AO402" s="2">
        <v>0</v>
      </c>
      <c r="AP402" s="2">
        <v>0</v>
      </c>
      <c r="AQ402" s="2">
        <v>0</v>
      </c>
      <c r="AR402" s="2">
        <v>25.809000341028696</v>
      </c>
    </row>
    <row r="403" spans="1:44" x14ac:dyDescent="0.25">
      <c r="A403" t="s">
        <v>250</v>
      </c>
      <c r="B403" t="s">
        <v>311</v>
      </c>
      <c r="C403" t="s">
        <v>44</v>
      </c>
      <c r="D403" t="s">
        <v>312</v>
      </c>
      <c r="E403" t="s">
        <v>134</v>
      </c>
      <c r="F403" t="s">
        <v>312</v>
      </c>
      <c r="G403" t="s">
        <v>31</v>
      </c>
      <c r="H403" t="s">
        <v>273</v>
      </c>
      <c r="I403" t="s">
        <v>135</v>
      </c>
      <c r="J403" t="s">
        <v>39</v>
      </c>
      <c r="K403" t="s">
        <v>31</v>
      </c>
      <c r="L403">
        <v>142</v>
      </c>
      <c r="M403">
        <v>1</v>
      </c>
      <c r="N403">
        <v>2.0197569684597156</v>
      </c>
      <c r="O403">
        <v>6.2295157602477964</v>
      </c>
      <c r="P403">
        <v>-1.1767139597520102</v>
      </c>
      <c r="Q403">
        <v>1.6706195166052316</v>
      </c>
      <c r="R403">
        <v>-2.3056789497180801</v>
      </c>
      <c r="S403" s="2">
        <v>4.9894388118723036E-2</v>
      </c>
      <c r="T403" s="2">
        <v>9.9276825379692138E-2</v>
      </c>
      <c r="U403" s="2">
        <v>0.17545965485275195</v>
      </c>
      <c r="V403" s="2">
        <v>0.28409629510888085</v>
      </c>
      <c r="W403" s="2">
        <v>0.42923489051842184</v>
      </c>
      <c r="X403" s="2">
        <v>0.61192820315795327</v>
      </c>
      <c r="Y403" s="2">
        <v>0.82856140922282007</v>
      </c>
      <c r="Z403" s="2">
        <v>1.0691739133421232</v>
      </c>
      <c r="AA403" s="2">
        <v>1.3163008950292061</v>
      </c>
      <c r="AB403" s="2">
        <v>1.5450911797799587</v>
      </c>
      <c r="AC403" s="2">
        <v>1.7255178290476765</v>
      </c>
      <c r="AD403" s="2">
        <v>1.8271822128416124</v>
      </c>
      <c r="AE403" s="2">
        <v>1.8263703290511117</v>
      </c>
      <c r="AF403" s="2">
        <v>1.7137424007946478</v>
      </c>
      <c r="AG403" s="2">
        <v>1.499831750755984</v>
      </c>
      <c r="AH403" s="2">
        <v>1.2346387022352858</v>
      </c>
      <c r="AI403" s="2">
        <v>0.93979245498029684</v>
      </c>
      <c r="AJ403" s="2">
        <v>0.24236450389838202</v>
      </c>
      <c r="AK403" s="2">
        <v>0</v>
      </c>
      <c r="AL403" s="2">
        <v>0</v>
      </c>
      <c r="AM403" s="2">
        <v>0</v>
      </c>
      <c r="AN403" s="2">
        <v>0</v>
      </c>
      <c r="AO403" s="2">
        <v>0</v>
      </c>
      <c r="AP403" s="2">
        <v>0</v>
      </c>
      <c r="AQ403" s="2">
        <v>0</v>
      </c>
      <c r="AR403" s="2">
        <v>17.418457838115526</v>
      </c>
    </row>
    <row r="404" spans="1:44" x14ac:dyDescent="0.25">
      <c r="A404" t="s">
        <v>250</v>
      </c>
      <c r="B404" t="s">
        <v>311</v>
      </c>
      <c r="C404" t="s">
        <v>44</v>
      </c>
      <c r="D404" t="s">
        <v>312</v>
      </c>
      <c r="E404" t="s">
        <v>134</v>
      </c>
      <c r="F404" t="s">
        <v>312</v>
      </c>
      <c r="G404" t="s">
        <v>31</v>
      </c>
      <c r="H404" t="s">
        <v>274</v>
      </c>
      <c r="I404" t="s">
        <v>135</v>
      </c>
      <c r="J404" t="s">
        <v>39</v>
      </c>
      <c r="K404" t="s">
        <v>31</v>
      </c>
      <c r="L404">
        <v>142</v>
      </c>
      <c r="M404">
        <v>1</v>
      </c>
      <c r="N404">
        <v>2.0197569684597156</v>
      </c>
      <c r="O404">
        <v>6.2295157602477964</v>
      </c>
      <c r="P404">
        <v>-1.1767139597520102</v>
      </c>
      <c r="Q404">
        <v>1.6706195166052316</v>
      </c>
      <c r="R404">
        <v>-2.3056789497180801</v>
      </c>
      <c r="S404" s="2">
        <v>7.8542701508481874E-2</v>
      </c>
      <c r="T404" s="2">
        <v>0.15627950069159804</v>
      </c>
      <c r="U404" s="2">
        <v>0.27620491637434386</v>
      </c>
      <c r="V404" s="2">
        <v>0.44721844174754244</v>
      </c>
      <c r="W404" s="2">
        <v>0.67569258095307283</v>
      </c>
      <c r="X404" s="2">
        <v>0.96328457001802914</v>
      </c>
      <c r="Y404" s="2">
        <v>1.3043040289658254</v>
      </c>
      <c r="Z404" s="2">
        <v>1.6830711970345551</v>
      </c>
      <c r="AA404" s="2">
        <v>2.0720933193452793</v>
      </c>
      <c r="AB404" s="2">
        <v>2.4322501971179866</v>
      </c>
      <c r="AC404" s="2">
        <v>2.7162740521433202</v>
      </c>
      <c r="AD404" s="2">
        <v>2.8763119973200539</v>
      </c>
      <c r="AE404" s="2">
        <v>2.8750339468494244</v>
      </c>
      <c r="AF404" s="2">
        <v>2.6977374194420349</v>
      </c>
      <c r="AG404" s="2">
        <v>2.3610037512087638</v>
      </c>
      <c r="AH404" s="2">
        <v>1.9435424046035454</v>
      </c>
      <c r="AI404" s="2">
        <v>1.4794016131794583</v>
      </c>
      <c r="AJ404" s="2">
        <v>0.38152512945235911</v>
      </c>
      <c r="AK404" s="2">
        <v>0</v>
      </c>
      <c r="AL404" s="2">
        <v>0</v>
      </c>
      <c r="AM404" s="2">
        <v>0</v>
      </c>
      <c r="AN404" s="2">
        <v>0</v>
      </c>
      <c r="AO404" s="2">
        <v>0</v>
      </c>
      <c r="AP404" s="2">
        <v>0</v>
      </c>
      <c r="AQ404" s="2">
        <v>0</v>
      </c>
      <c r="AR404" s="2">
        <v>27.419771767955677</v>
      </c>
    </row>
    <row r="405" spans="1:44" x14ac:dyDescent="0.25">
      <c r="A405" t="s">
        <v>250</v>
      </c>
      <c r="B405" t="s">
        <v>311</v>
      </c>
      <c r="C405" t="s">
        <v>44</v>
      </c>
      <c r="D405" t="s">
        <v>312</v>
      </c>
      <c r="E405" t="s">
        <v>134</v>
      </c>
      <c r="F405" t="s">
        <v>312</v>
      </c>
      <c r="G405" t="s">
        <v>31</v>
      </c>
      <c r="H405" t="s">
        <v>274</v>
      </c>
      <c r="I405" t="s">
        <v>135</v>
      </c>
      <c r="J405" t="s">
        <v>39</v>
      </c>
      <c r="K405" t="s">
        <v>33</v>
      </c>
      <c r="L405">
        <v>142</v>
      </c>
      <c r="M405">
        <v>1</v>
      </c>
      <c r="N405">
        <v>2.0197569684597156</v>
      </c>
      <c r="O405">
        <v>6.2295157602477964</v>
      </c>
      <c r="P405">
        <v>-1.1767139597520102</v>
      </c>
      <c r="Q405">
        <v>1.6706195166052316</v>
      </c>
      <c r="R405">
        <v>-2.3056789497180801</v>
      </c>
      <c r="S405" s="2">
        <v>2.5270977731995769E-4</v>
      </c>
      <c r="T405" s="2">
        <v>5.0282657791167278E-4</v>
      </c>
      <c r="U405" s="2">
        <v>8.8868451900779425E-4</v>
      </c>
      <c r="V405" s="2">
        <v>1.4389175653093007E-3</v>
      </c>
      <c r="W405" s="2">
        <v>2.1740291381619811E-3</v>
      </c>
      <c r="X405" s="2">
        <v>3.0993513656863334E-3</v>
      </c>
      <c r="Y405" s="2">
        <v>4.1965755491855938E-3</v>
      </c>
      <c r="Z405" s="2">
        <v>5.4152523308649576E-3</v>
      </c>
      <c r="AA405" s="2">
        <v>6.6669242496245106E-3</v>
      </c>
      <c r="AB405" s="2">
        <v>7.825722745654894E-3</v>
      </c>
      <c r="AC405" s="2">
        <v>8.7395645639078198E-3</v>
      </c>
      <c r="AD405" s="2">
        <v>9.254483871642457E-3</v>
      </c>
      <c r="AE405" s="2">
        <v>9.2503717664610303E-3</v>
      </c>
      <c r="AF405" s="2">
        <v>8.6799232702900082E-3</v>
      </c>
      <c r="AG405" s="2">
        <v>7.5964885439434391E-3</v>
      </c>
      <c r="AH405" s="2">
        <v>6.2533139151855792E-3</v>
      </c>
      <c r="AI405" s="2">
        <v>4.7599489838402601E-3</v>
      </c>
      <c r="AJ405" s="2">
        <v>1.2275504745079566E-3</v>
      </c>
      <c r="AK405" s="2">
        <v>0</v>
      </c>
      <c r="AL405" s="2">
        <v>0</v>
      </c>
      <c r="AM405" s="2">
        <v>0</v>
      </c>
      <c r="AN405" s="2">
        <v>0</v>
      </c>
      <c r="AO405" s="2">
        <v>0</v>
      </c>
      <c r="AP405" s="2">
        <v>0</v>
      </c>
      <c r="AQ405" s="2">
        <v>0</v>
      </c>
      <c r="AR405" s="2">
        <v>8.8222639208505552E-2</v>
      </c>
    </row>
    <row r="406" spans="1:44" x14ac:dyDescent="0.25">
      <c r="A406" t="s">
        <v>250</v>
      </c>
      <c r="B406" t="s">
        <v>311</v>
      </c>
      <c r="C406" t="s">
        <v>44</v>
      </c>
      <c r="D406" t="s">
        <v>312</v>
      </c>
      <c r="E406" t="s">
        <v>134</v>
      </c>
      <c r="F406" t="s">
        <v>312</v>
      </c>
      <c r="G406" t="s">
        <v>31</v>
      </c>
      <c r="H406" t="s">
        <v>278</v>
      </c>
      <c r="I406" t="s">
        <v>135</v>
      </c>
      <c r="J406" t="s">
        <v>39</v>
      </c>
      <c r="K406" t="s">
        <v>31</v>
      </c>
      <c r="L406">
        <v>142</v>
      </c>
      <c r="M406">
        <v>1</v>
      </c>
      <c r="N406">
        <v>2.0197569684597156</v>
      </c>
      <c r="O406">
        <v>6.2295157602477964</v>
      </c>
      <c r="P406">
        <v>-1.1767139597520102</v>
      </c>
      <c r="Q406">
        <v>1.6706195166052316</v>
      </c>
      <c r="R406">
        <v>-2.3056789497180801</v>
      </c>
      <c r="S406" s="2">
        <v>2.5641534678169111</v>
      </c>
      <c r="T406" s="2">
        <v>5.0794444231341283</v>
      </c>
      <c r="U406" s="2">
        <v>8.9376145403149572</v>
      </c>
      <c r="V406" s="2">
        <v>14.407410754330646</v>
      </c>
      <c r="W406" s="2">
        <v>21.671621274291017</v>
      </c>
      <c r="X406" s="2">
        <v>30.759046874541138</v>
      </c>
      <c r="Y406" s="2">
        <v>41.464184094852286</v>
      </c>
      <c r="Z406" s="2">
        <v>53.26878536775142</v>
      </c>
      <c r="AA406" s="2">
        <v>65.29134796923725</v>
      </c>
      <c r="AB406" s="2">
        <v>76.301063226254712</v>
      </c>
      <c r="AC406" s="2">
        <v>84.834390798445568</v>
      </c>
      <c r="AD406" s="2">
        <v>89.43558897651468</v>
      </c>
      <c r="AE406" s="2">
        <v>89.000690006646892</v>
      </c>
      <c r="AF406" s="2">
        <v>83.143076551705562</v>
      </c>
      <c r="AG406" s="2">
        <v>72.443447539762076</v>
      </c>
      <c r="AH406" s="2">
        <v>59.370741297970447</v>
      </c>
      <c r="AI406" s="2">
        <v>6.8987068013972284</v>
      </c>
      <c r="AJ406" s="2">
        <v>0</v>
      </c>
      <c r="AK406" s="2">
        <v>0</v>
      </c>
      <c r="AL406" s="2">
        <v>0</v>
      </c>
      <c r="AM406" s="2">
        <v>0</v>
      </c>
      <c r="AN406" s="2">
        <v>0</v>
      </c>
      <c r="AO406" s="2">
        <v>0</v>
      </c>
      <c r="AP406" s="2">
        <v>0</v>
      </c>
      <c r="AQ406" s="2">
        <v>0</v>
      </c>
      <c r="AR406" s="2">
        <v>804.87131396496704</v>
      </c>
    </row>
    <row r="407" spans="1:44" x14ac:dyDescent="0.25">
      <c r="A407" t="s">
        <v>250</v>
      </c>
      <c r="B407" t="s">
        <v>311</v>
      </c>
      <c r="C407" t="s">
        <v>44</v>
      </c>
      <c r="D407" t="s">
        <v>312</v>
      </c>
      <c r="E407" t="s">
        <v>134</v>
      </c>
      <c r="F407" t="s">
        <v>312</v>
      </c>
      <c r="G407" t="s">
        <v>31</v>
      </c>
      <c r="H407" t="s">
        <v>276</v>
      </c>
      <c r="I407" t="s">
        <v>135</v>
      </c>
      <c r="J407" t="s">
        <v>39</v>
      </c>
      <c r="K407" t="s">
        <v>31</v>
      </c>
      <c r="L407">
        <v>142</v>
      </c>
      <c r="M407">
        <v>1</v>
      </c>
      <c r="N407">
        <v>2.0197569684597156</v>
      </c>
      <c r="O407">
        <v>6.2295157602477964</v>
      </c>
      <c r="P407">
        <v>-1.1767139597520102</v>
      </c>
      <c r="Q407">
        <v>1.6706195166052316</v>
      </c>
      <c r="R407">
        <v>-2.3056789497180801</v>
      </c>
      <c r="S407" s="2">
        <v>0.56647021135232511</v>
      </c>
      <c r="T407" s="2">
        <v>1.1299588893665067</v>
      </c>
      <c r="U407" s="2">
        <v>2.002079961859053</v>
      </c>
      <c r="V407" s="2">
        <v>3.2498184847197291</v>
      </c>
      <c r="W407" s="2">
        <v>4.9224117320936189</v>
      </c>
      <c r="X407" s="2">
        <v>7.0351405244383729</v>
      </c>
      <c r="Y407" s="2">
        <v>9.5496266972651238</v>
      </c>
      <c r="Z407" s="2">
        <v>12.353767774305314</v>
      </c>
      <c r="AA407" s="2">
        <v>15.247394677965964</v>
      </c>
      <c r="AB407" s="2">
        <v>17.942541735251787</v>
      </c>
      <c r="AC407" s="2">
        <v>20.088092013810996</v>
      </c>
      <c r="AD407" s="2">
        <v>21.325070864385513</v>
      </c>
      <c r="AE407" s="2">
        <v>21.369130607098604</v>
      </c>
      <c r="AF407" s="2">
        <v>20.101707007797568</v>
      </c>
      <c r="AG407" s="2">
        <v>17.636781154813153</v>
      </c>
      <c r="AH407" s="2">
        <v>14.554793754301381</v>
      </c>
      <c r="AI407" s="2">
        <v>11.106763113907384</v>
      </c>
      <c r="AJ407" s="2">
        <v>7.673150015562582</v>
      </c>
      <c r="AK407" s="2">
        <v>2.174824080724064</v>
      </c>
      <c r="AL407" s="2">
        <v>0</v>
      </c>
      <c r="AM407" s="2">
        <v>0</v>
      </c>
      <c r="AN407" s="2">
        <v>0</v>
      </c>
      <c r="AO407" s="2">
        <v>0</v>
      </c>
      <c r="AP407" s="2">
        <v>0</v>
      </c>
      <c r="AQ407" s="2">
        <v>0</v>
      </c>
      <c r="AR407" s="2">
        <v>210.02952330101903</v>
      </c>
    </row>
    <row r="408" spans="1:44" x14ac:dyDescent="0.25">
      <c r="A408" t="s">
        <v>250</v>
      </c>
      <c r="B408" t="s">
        <v>311</v>
      </c>
      <c r="C408" t="s">
        <v>44</v>
      </c>
      <c r="D408" t="s">
        <v>312</v>
      </c>
      <c r="E408" t="s">
        <v>134</v>
      </c>
      <c r="F408" t="s">
        <v>312</v>
      </c>
      <c r="G408" t="s">
        <v>31</v>
      </c>
      <c r="H408" t="s">
        <v>275</v>
      </c>
      <c r="I408" t="s">
        <v>135</v>
      </c>
      <c r="J408" t="s">
        <v>39</v>
      </c>
      <c r="K408" t="s">
        <v>31</v>
      </c>
      <c r="L408">
        <v>142</v>
      </c>
      <c r="M408">
        <v>1</v>
      </c>
      <c r="N408">
        <v>2.0197569684597156</v>
      </c>
      <c r="O408">
        <v>6.2295157602477964</v>
      </c>
      <c r="P408">
        <v>-1.1767139597520102</v>
      </c>
      <c r="Q408">
        <v>1.6706195166052316</v>
      </c>
      <c r="R408">
        <v>-2.3056789497180801</v>
      </c>
      <c r="S408" s="2">
        <v>0.11998869537629063</v>
      </c>
      <c r="T408" s="2">
        <v>0.23874622392531208</v>
      </c>
      <c r="U408" s="2">
        <v>0.42195477028118289</v>
      </c>
      <c r="V408" s="2">
        <v>0.68320997804882433</v>
      </c>
      <c r="W408" s="2">
        <v>1.0322470415057279</v>
      </c>
      <c r="X408" s="2">
        <v>1.4715976992476192</v>
      </c>
      <c r="Y408" s="2">
        <v>1.9925688294888646</v>
      </c>
      <c r="Z408" s="2">
        <v>2.5712066592944915</v>
      </c>
      <c r="AA408" s="2">
        <v>3.1655108534727208</v>
      </c>
      <c r="AB408" s="2">
        <v>3.7157179773017699</v>
      </c>
      <c r="AC408" s="2">
        <v>4.1496176416334611</v>
      </c>
      <c r="AD408" s="2">
        <v>4.3941055938384768</v>
      </c>
      <c r="AE408" s="2">
        <v>4.3921531322392378</v>
      </c>
      <c r="AF408" s="2">
        <v>4.1212994614362017</v>
      </c>
      <c r="AG408" s="2">
        <v>3.6068756796641992</v>
      </c>
      <c r="AH408" s="2">
        <v>2.9691252408945279</v>
      </c>
      <c r="AI408" s="2">
        <v>2.2600632024837268</v>
      </c>
      <c r="AJ408" s="2">
        <v>0.58285113265828026</v>
      </c>
      <c r="AK408" s="2">
        <v>0</v>
      </c>
      <c r="AL408" s="2">
        <v>0</v>
      </c>
      <c r="AM408" s="2">
        <v>0</v>
      </c>
      <c r="AN408" s="2">
        <v>0</v>
      </c>
      <c r="AO408" s="2">
        <v>0</v>
      </c>
      <c r="AP408" s="2">
        <v>0</v>
      </c>
      <c r="AQ408" s="2">
        <v>0</v>
      </c>
      <c r="AR408" s="2">
        <v>41.888839812790913</v>
      </c>
    </row>
    <row r="409" spans="1:44" x14ac:dyDescent="0.25">
      <c r="A409" t="s">
        <v>250</v>
      </c>
      <c r="B409" t="s">
        <v>311</v>
      </c>
      <c r="C409" t="s">
        <v>44</v>
      </c>
      <c r="D409" t="s">
        <v>312</v>
      </c>
      <c r="E409" t="s">
        <v>134</v>
      </c>
      <c r="F409" t="s">
        <v>312</v>
      </c>
      <c r="G409" t="s">
        <v>31</v>
      </c>
      <c r="H409" t="s">
        <v>277</v>
      </c>
      <c r="I409" t="s">
        <v>135</v>
      </c>
      <c r="J409" t="s">
        <v>39</v>
      </c>
      <c r="K409" t="s">
        <v>31</v>
      </c>
      <c r="L409">
        <v>142</v>
      </c>
      <c r="M409">
        <v>1</v>
      </c>
      <c r="N409">
        <v>2.0197569684597156</v>
      </c>
      <c r="O409">
        <v>6.2295157602477964</v>
      </c>
      <c r="P409">
        <v>-1.1767139597520102</v>
      </c>
      <c r="Q409">
        <v>1.6706195166052316</v>
      </c>
      <c r="R409">
        <v>-2.3056789497180801</v>
      </c>
      <c r="S409" s="2">
        <v>1.4977402606276211</v>
      </c>
      <c r="T409" s="2">
        <v>2.9797534063394626</v>
      </c>
      <c r="U409" s="2">
        <v>5.2657150660171741</v>
      </c>
      <c r="V409" s="2">
        <v>8.5249785576130286</v>
      </c>
      <c r="W409" s="2">
        <v>12.878651237022464</v>
      </c>
      <c r="X409" s="2">
        <v>18.357920143798644</v>
      </c>
      <c r="Y409" s="2">
        <v>24.853945922851739</v>
      </c>
      <c r="Z409" s="2">
        <v>32.067613588458819</v>
      </c>
      <c r="AA409" s="2">
        <v>39.474906054010873</v>
      </c>
      <c r="AB409" s="2">
        <v>46.33057418265178</v>
      </c>
      <c r="AC409" s="2">
        <v>51.734548217797148</v>
      </c>
      <c r="AD409" s="2">
        <v>54.776049755873494</v>
      </c>
      <c r="AE409" s="2">
        <v>54.745110188503368</v>
      </c>
      <c r="AF409" s="2">
        <v>51.362916252335189</v>
      </c>
      <c r="AG409" s="2">
        <v>44.946338237769027</v>
      </c>
      <c r="AH409" s="2">
        <v>36.994682111565552</v>
      </c>
      <c r="AI409" s="2">
        <v>28.156521985646265</v>
      </c>
      <c r="AJ409" s="2">
        <v>6.4122423318652206</v>
      </c>
      <c r="AK409" s="2">
        <v>0</v>
      </c>
      <c r="AL409" s="2">
        <v>0</v>
      </c>
      <c r="AM409" s="2">
        <v>0</v>
      </c>
      <c r="AN409" s="2">
        <v>0</v>
      </c>
      <c r="AO409" s="2">
        <v>0</v>
      </c>
      <c r="AP409" s="2">
        <v>0</v>
      </c>
      <c r="AQ409" s="2">
        <v>0</v>
      </c>
      <c r="AR409" s="2">
        <v>521.36020750074692</v>
      </c>
    </row>
    <row r="410" spans="1:44" x14ac:dyDescent="0.25">
      <c r="A410" t="s">
        <v>250</v>
      </c>
      <c r="B410" t="s">
        <v>311</v>
      </c>
      <c r="C410" t="s">
        <v>44</v>
      </c>
      <c r="D410" t="s">
        <v>312</v>
      </c>
      <c r="E410" t="s">
        <v>134</v>
      </c>
      <c r="F410" t="s">
        <v>312</v>
      </c>
      <c r="G410" t="s">
        <v>31</v>
      </c>
      <c r="H410" t="s">
        <v>277</v>
      </c>
      <c r="I410" t="s">
        <v>135</v>
      </c>
      <c r="J410" t="s">
        <v>40</v>
      </c>
      <c r="K410" t="s">
        <v>31</v>
      </c>
      <c r="L410">
        <v>142</v>
      </c>
      <c r="M410">
        <v>1</v>
      </c>
      <c r="N410">
        <v>2.0197569684597156</v>
      </c>
      <c r="O410">
        <v>4.9927275474590633</v>
      </c>
      <c r="P410">
        <v>-1.1767139597520102</v>
      </c>
      <c r="Q410">
        <v>0.4672931329656026</v>
      </c>
      <c r="R410">
        <v>-2.1626789497180798</v>
      </c>
      <c r="S410" s="2">
        <v>0.23626162156315178</v>
      </c>
      <c r="T410" s="2">
        <v>0.47004236325000587</v>
      </c>
      <c r="U410" s="2">
        <v>0.83064227682936675</v>
      </c>
      <c r="V410" s="2">
        <v>1.3447760674929998</v>
      </c>
      <c r="W410" s="2">
        <v>2.0315478623310663</v>
      </c>
      <c r="X410" s="2">
        <v>2.8958772730614881</v>
      </c>
      <c r="Y410" s="2">
        <v>3.9205953931659607</v>
      </c>
      <c r="Z410" s="2">
        <v>5.0585182125604407</v>
      </c>
      <c r="AA410" s="2">
        <v>6.2269844515400132</v>
      </c>
      <c r="AB410" s="2">
        <v>7.3084344943483588</v>
      </c>
      <c r="AC410" s="2">
        <v>8.1608864861867811</v>
      </c>
      <c r="AD410" s="2">
        <v>8.6406693325606962</v>
      </c>
      <c r="AE410" s="2">
        <v>8.6357887584388138</v>
      </c>
      <c r="AF410" s="2">
        <v>8.1022632568506392</v>
      </c>
      <c r="AG410" s="2">
        <v>7.0900776553414682</v>
      </c>
      <c r="AH410" s="2">
        <v>5.8357405583990714</v>
      </c>
      <c r="AI410" s="2">
        <v>4.4415615422661494</v>
      </c>
      <c r="AJ410" s="2">
        <v>1.011501667550508</v>
      </c>
      <c r="AK410" s="2">
        <v>0</v>
      </c>
      <c r="AL410" s="2">
        <v>0</v>
      </c>
      <c r="AM410" s="2">
        <v>0</v>
      </c>
      <c r="AN410" s="2">
        <v>0</v>
      </c>
      <c r="AO410" s="2">
        <v>0</v>
      </c>
      <c r="AP410" s="2">
        <v>0</v>
      </c>
      <c r="AQ410" s="2">
        <v>0</v>
      </c>
      <c r="AR410" s="2">
        <v>82.242169273736977</v>
      </c>
    </row>
    <row r="411" spans="1:44" x14ac:dyDescent="0.25">
      <c r="A411" t="s">
        <v>250</v>
      </c>
      <c r="B411" t="s">
        <v>313</v>
      </c>
      <c r="C411" t="s">
        <v>44</v>
      </c>
      <c r="D411" t="s">
        <v>314</v>
      </c>
      <c r="E411" t="s">
        <v>134</v>
      </c>
      <c r="F411" t="s">
        <v>314</v>
      </c>
      <c r="G411" t="s">
        <v>31</v>
      </c>
      <c r="H411" t="s">
        <v>254</v>
      </c>
      <c r="I411" t="s">
        <v>135</v>
      </c>
      <c r="J411" t="s">
        <v>39</v>
      </c>
      <c r="K411" t="s">
        <v>31</v>
      </c>
      <c r="L411">
        <v>0.87</v>
      </c>
      <c r="M411">
        <v>1</v>
      </c>
      <c r="N411">
        <v>2.120451684454824</v>
      </c>
      <c r="O411">
        <v>5.4114176288701819</v>
      </c>
      <c r="P411">
        <v>-1.0218982000484012</v>
      </c>
      <c r="Q411">
        <v>1.3823087202131159</v>
      </c>
      <c r="R411">
        <v>-1.8625523936223551</v>
      </c>
      <c r="S411" s="2">
        <v>0.38980248302634651</v>
      </c>
      <c r="T411" s="2">
        <v>0.77569363170068162</v>
      </c>
      <c r="U411" s="2">
        <v>1.3710997773296716</v>
      </c>
      <c r="V411" s="2">
        <v>2.2202751817579363</v>
      </c>
      <c r="W411" s="2">
        <v>3.3549472449803188</v>
      </c>
      <c r="X411" s="2">
        <v>4.7834428927924302</v>
      </c>
      <c r="Y411" s="2">
        <v>6.4776021470426892</v>
      </c>
      <c r="Z411" s="2">
        <v>8.3596359878330819</v>
      </c>
      <c r="AA411" s="2">
        <v>10.293039378950533</v>
      </c>
      <c r="AB411" s="2">
        <v>12.083479669888128</v>
      </c>
      <c r="AC411" s="2">
        <v>13.496053715022228</v>
      </c>
      <c r="AD411" s="2">
        <v>14.292843900779232</v>
      </c>
      <c r="AE411" s="2">
        <v>14.288119686548519</v>
      </c>
      <c r="AF411" s="2">
        <v>13.408531701986615</v>
      </c>
      <c r="AG411" s="2">
        <v>11.736204516962401</v>
      </c>
      <c r="AH411" s="2">
        <v>9.6621651679018044</v>
      </c>
      <c r="AI411" s="2">
        <v>7.3555638409233515</v>
      </c>
      <c r="AJ411" s="2">
        <v>2.1064426872855804</v>
      </c>
      <c r="AK411" s="2">
        <v>0</v>
      </c>
      <c r="AL411" s="2">
        <v>0</v>
      </c>
      <c r="AM411" s="2">
        <v>0</v>
      </c>
      <c r="AN411" s="2">
        <v>0</v>
      </c>
      <c r="AO411" s="2">
        <v>0</v>
      </c>
      <c r="AP411" s="2">
        <v>0</v>
      </c>
      <c r="AQ411" s="2">
        <v>0</v>
      </c>
      <c r="AR411" s="2">
        <v>136.45494361271153</v>
      </c>
    </row>
    <row r="412" spans="1:44" x14ac:dyDescent="0.25">
      <c r="A412" t="s">
        <v>250</v>
      </c>
      <c r="B412" t="s">
        <v>313</v>
      </c>
      <c r="C412" t="s">
        <v>44</v>
      </c>
      <c r="D412" t="s">
        <v>314</v>
      </c>
      <c r="E412" t="s">
        <v>134</v>
      </c>
      <c r="F412" t="s">
        <v>314</v>
      </c>
      <c r="G412" t="s">
        <v>31</v>
      </c>
      <c r="H412" t="s">
        <v>272</v>
      </c>
      <c r="I412" t="s">
        <v>135</v>
      </c>
      <c r="J412" t="s">
        <v>39</v>
      </c>
      <c r="K412" t="s">
        <v>31</v>
      </c>
      <c r="L412">
        <v>0.87</v>
      </c>
      <c r="M412">
        <v>1</v>
      </c>
      <c r="N412">
        <v>2.120451684454824</v>
      </c>
      <c r="O412">
        <v>5.4114176288701819</v>
      </c>
      <c r="P412">
        <v>-1.0218982000484012</v>
      </c>
      <c r="Q412">
        <v>1.3823087202131159</v>
      </c>
      <c r="R412">
        <v>-1.8625523936223551</v>
      </c>
      <c r="S412" s="2">
        <v>0</v>
      </c>
      <c r="T412" s="2">
        <v>0</v>
      </c>
      <c r="U412" s="2">
        <v>0</v>
      </c>
      <c r="V412" s="2">
        <v>0</v>
      </c>
      <c r="W412" s="2">
        <v>0</v>
      </c>
      <c r="X412" s="2">
        <v>0</v>
      </c>
      <c r="Y412" s="2">
        <v>0</v>
      </c>
      <c r="Z412" s="2">
        <v>0</v>
      </c>
      <c r="AA412" s="2">
        <v>0</v>
      </c>
      <c r="AB412" s="2">
        <v>0</v>
      </c>
      <c r="AC412" s="2">
        <v>0</v>
      </c>
      <c r="AD412" s="2">
        <v>0</v>
      </c>
      <c r="AE412" s="2">
        <v>0</v>
      </c>
      <c r="AF412" s="2">
        <v>0</v>
      </c>
      <c r="AG412" s="2">
        <v>0</v>
      </c>
      <c r="AH412" s="2">
        <v>0</v>
      </c>
      <c r="AI412" s="2">
        <v>0</v>
      </c>
      <c r="AJ412" s="2">
        <v>0</v>
      </c>
      <c r="AK412" s="2">
        <v>0</v>
      </c>
      <c r="AL412" s="2">
        <v>0</v>
      </c>
      <c r="AM412" s="2">
        <v>0</v>
      </c>
      <c r="AN412" s="2">
        <v>0</v>
      </c>
      <c r="AO412" s="2">
        <v>0</v>
      </c>
      <c r="AP412" s="2">
        <v>0</v>
      </c>
      <c r="AQ412" s="2">
        <v>0</v>
      </c>
      <c r="AR412" s="2">
        <v>0</v>
      </c>
    </row>
    <row r="413" spans="1:44" x14ac:dyDescent="0.25">
      <c r="A413" t="s">
        <v>250</v>
      </c>
      <c r="B413" t="s">
        <v>313</v>
      </c>
      <c r="C413" t="s">
        <v>44</v>
      </c>
      <c r="D413" t="s">
        <v>314</v>
      </c>
      <c r="E413" t="s">
        <v>134</v>
      </c>
      <c r="F413" t="s">
        <v>314</v>
      </c>
      <c r="G413" t="s">
        <v>31</v>
      </c>
      <c r="H413" t="s">
        <v>272</v>
      </c>
      <c r="I413" t="s">
        <v>135</v>
      </c>
      <c r="J413" t="s">
        <v>40</v>
      </c>
      <c r="K413" t="s">
        <v>31</v>
      </c>
      <c r="L413">
        <v>0.87</v>
      </c>
      <c r="M413">
        <v>1</v>
      </c>
      <c r="N413">
        <v>2.120451684454824</v>
      </c>
      <c r="O413">
        <v>4.1746294160814479</v>
      </c>
      <c r="P413">
        <v>-1.0218982000484012</v>
      </c>
      <c r="Q413">
        <v>0.4672931329656026</v>
      </c>
      <c r="R413">
        <v>-1.7195523936223551</v>
      </c>
      <c r="S413" s="2">
        <v>0</v>
      </c>
      <c r="T413" s="2">
        <v>0</v>
      </c>
      <c r="U413" s="2">
        <v>0</v>
      </c>
      <c r="V413" s="2">
        <v>0</v>
      </c>
      <c r="W413" s="2">
        <v>0</v>
      </c>
      <c r="X413" s="2">
        <v>0</v>
      </c>
      <c r="Y413" s="2">
        <v>0</v>
      </c>
      <c r="Z413" s="2">
        <v>0</v>
      </c>
      <c r="AA413" s="2">
        <v>0</v>
      </c>
      <c r="AB413" s="2">
        <v>0</v>
      </c>
      <c r="AC413" s="2">
        <v>0</v>
      </c>
      <c r="AD413" s="2">
        <v>0</v>
      </c>
      <c r="AE413" s="2">
        <v>0</v>
      </c>
      <c r="AF413" s="2">
        <v>0</v>
      </c>
      <c r="AG413" s="2">
        <v>0</v>
      </c>
      <c r="AH413" s="2">
        <v>0</v>
      </c>
      <c r="AI413" s="2">
        <v>0</v>
      </c>
      <c r="AJ413" s="2">
        <v>0</v>
      </c>
      <c r="AK413" s="2">
        <v>0</v>
      </c>
      <c r="AL413" s="2">
        <v>0</v>
      </c>
      <c r="AM413" s="2">
        <v>0</v>
      </c>
      <c r="AN413" s="2">
        <v>0</v>
      </c>
      <c r="AO413" s="2">
        <v>0</v>
      </c>
      <c r="AP413" s="2">
        <v>0</v>
      </c>
      <c r="AQ413" s="2">
        <v>0</v>
      </c>
      <c r="AR413" s="2">
        <v>0</v>
      </c>
    </row>
    <row r="414" spans="1:44" x14ac:dyDescent="0.25">
      <c r="A414" t="s">
        <v>250</v>
      </c>
      <c r="B414" t="s">
        <v>313</v>
      </c>
      <c r="C414" t="s">
        <v>44</v>
      </c>
      <c r="D414" t="s">
        <v>314</v>
      </c>
      <c r="E414" t="s">
        <v>134</v>
      </c>
      <c r="F414" t="s">
        <v>314</v>
      </c>
      <c r="G414" t="s">
        <v>31</v>
      </c>
      <c r="H414" t="s">
        <v>253</v>
      </c>
      <c r="I414" t="s">
        <v>135</v>
      </c>
      <c r="J414" t="s">
        <v>39</v>
      </c>
      <c r="K414" t="s">
        <v>31</v>
      </c>
      <c r="L414">
        <v>0.87</v>
      </c>
      <c r="M414">
        <v>1</v>
      </c>
      <c r="N414">
        <v>2.120451684454824</v>
      </c>
      <c r="O414">
        <v>5.4114176288701819</v>
      </c>
      <c r="P414">
        <v>-1.0218982000484012</v>
      </c>
      <c r="Q414">
        <v>1.3823087202131159</v>
      </c>
      <c r="R414">
        <v>-1.8625523936223551</v>
      </c>
      <c r="S414" s="2">
        <v>0.50018296732232437</v>
      </c>
      <c r="T414" s="2">
        <v>0.995733628660047</v>
      </c>
      <c r="U414" s="2">
        <v>1.7607214712326829</v>
      </c>
      <c r="V414" s="2">
        <v>2.8523121748367837</v>
      </c>
      <c r="W414" s="2">
        <v>4.311660905340128</v>
      </c>
      <c r="X414" s="2">
        <v>6.149901321217393</v>
      </c>
      <c r="Y414" s="2">
        <v>8.3312559192491111</v>
      </c>
      <c r="Z414" s="2">
        <v>10.756035410113716</v>
      </c>
      <c r="AA414" s="2">
        <v>13.248818236535104</v>
      </c>
      <c r="AB414" s="2">
        <v>15.559447610538877</v>
      </c>
      <c r="AC414" s="2">
        <v>17.385116620806823</v>
      </c>
      <c r="AD414" s="2">
        <v>18.418663435140619</v>
      </c>
      <c r="AE414" s="2">
        <v>18.419727129740672</v>
      </c>
      <c r="AF414" s="2">
        <v>17.29250807653186</v>
      </c>
      <c r="AG414" s="2">
        <v>15.141645854019083</v>
      </c>
      <c r="AH414" s="2">
        <v>12.470633725711087</v>
      </c>
      <c r="AI414" s="2">
        <v>9.4972678621566899</v>
      </c>
      <c r="AJ414" s="2">
        <v>3.6428134610844745</v>
      </c>
      <c r="AK414" s="2">
        <v>0</v>
      </c>
      <c r="AL414" s="2">
        <v>0</v>
      </c>
      <c r="AM414" s="2">
        <v>0</v>
      </c>
      <c r="AN414" s="2">
        <v>0</v>
      </c>
      <c r="AO414" s="2">
        <v>0</v>
      </c>
      <c r="AP414" s="2">
        <v>0</v>
      </c>
      <c r="AQ414" s="2">
        <v>0</v>
      </c>
      <c r="AR414" s="2">
        <v>176.73444581023747</v>
      </c>
    </row>
    <row r="415" spans="1:44" x14ac:dyDescent="0.25">
      <c r="A415" t="s">
        <v>250</v>
      </c>
      <c r="B415" t="s">
        <v>313</v>
      </c>
      <c r="C415" t="s">
        <v>44</v>
      </c>
      <c r="D415" t="s">
        <v>314</v>
      </c>
      <c r="E415" t="s">
        <v>134</v>
      </c>
      <c r="F415" t="s">
        <v>314</v>
      </c>
      <c r="G415" t="s">
        <v>31</v>
      </c>
      <c r="H415" t="s">
        <v>253</v>
      </c>
      <c r="I415" t="s">
        <v>135</v>
      </c>
      <c r="J415" t="s">
        <v>40</v>
      </c>
      <c r="K415" t="s">
        <v>31</v>
      </c>
      <c r="L415">
        <v>0.87</v>
      </c>
      <c r="M415">
        <v>1</v>
      </c>
      <c r="N415">
        <v>2.120451684454824</v>
      </c>
      <c r="O415">
        <v>4.1746294160814479</v>
      </c>
      <c r="P415">
        <v>-1.0218982000484012</v>
      </c>
      <c r="Q415">
        <v>0.4672931329656026</v>
      </c>
      <c r="R415">
        <v>-1.7195523936223551</v>
      </c>
      <c r="S415" s="2">
        <v>0.26310663658595429</v>
      </c>
      <c r="T415" s="2">
        <v>0.52377658394642324</v>
      </c>
      <c r="U415" s="2">
        <v>0.92617608860354339</v>
      </c>
      <c r="V415" s="2">
        <v>1.5003754862585454</v>
      </c>
      <c r="W415" s="2">
        <v>2.2680232495245138</v>
      </c>
      <c r="X415" s="2">
        <v>3.2349759141604539</v>
      </c>
      <c r="Y415" s="2">
        <v>4.3824137698753303</v>
      </c>
      <c r="Z415" s="2">
        <v>5.6578981785494635</v>
      </c>
      <c r="AA415" s="2">
        <v>6.9691537551039335</v>
      </c>
      <c r="AB415" s="2">
        <v>8.1845928298197173</v>
      </c>
      <c r="AC415" s="2">
        <v>9.1449326738217778</v>
      </c>
      <c r="AD415" s="2">
        <v>9.6885997793396985</v>
      </c>
      <c r="AE415" s="2">
        <v>9.6891593048070987</v>
      </c>
      <c r="AF415" s="2">
        <v>9.0962186547624171</v>
      </c>
      <c r="AG415" s="2">
        <v>7.9648204223223065</v>
      </c>
      <c r="AH415" s="2">
        <v>6.5598125286677833</v>
      </c>
      <c r="AI415" s="2">
        <v>4.9957602861707748</v>
      </c>
      <c r="AJ415" s="2">
        <v>1.9161955925587821</v>
      </c>
      <c r="AK415" s="2">
        <v>0</v>
      </c>
      <c r="AL415" s="2">
        <v>0</v>
      </c>
      <c r="AM415" s="2">
        <v>0</v>
      </c>
      <c r="AN415" s="2">
        <v>0</v>
      </c>
      <c r="AO415" s="2">
        <v>0</v>
      </c>
      <c r="AP415" s="2">
        <v>0</v>
      </c>
      <c r="AQ415" s="2">
        <v>0</v>
      </c>
      <c r="AR415" s="2">
        <v>92.9659917348785</v>
      </c>
    </row>
    <row r="416" spans="1:44" x14ac:dyDescent="0.25">
      <c r="A416" t="s">
        <v>250</v>
      </c>
      <c r="B416" t="s">
        <v>313</v>
      </c>
      <c r="C416" t="s">
        <v>44</v>
      </c>
      <c r="D416" t="s">
        <v>314</v>
      </c>
      <c r="E416" t="s">
        <v>134</v>
      </c>
      <c r="F416" t="s">
        <v>314</v>
      </c>
      <c r="G416" t="s">
        <v>31</v>
      </c>
      <c r="H416" t="s">
        <v>253</v>
      </c>
      <c r="I416" t="s">
        <v>256</v>
      </c>
      <c r="J416" t="s">
        <v>39</v>
      </c>
      <c r="K416" t="s">
        <v>31</v>
      </c>
      <c r="L416">
        <v>0.87</v>
      </c>
      <c r="M416">
        <v>1</v>
      </c>
      <c r="N416">
        <v>1.0621230130395669</v>
      </c>
      <c r="O416">
        <v>2.710550416652739</v>
      </c>
      <c r="P416">
        <v>0.44103875130047027</v>
      </c>
      <c r="Q416">
        <v>0.4672931329656026</v>
      </c>
      <c r="R416">
        <v>-0.39961544227348395</v>
      </c>
      <c r="S416" s="2">
        <v>0.26237643355454338</v>
      </c>
      <c r="T416" s="2">
        <v>0.5223229404566867</v>
      </c>
      <c r="U416" s="2">
        <v>0.92360566090056295</v>
      </c>
      <c r="V416" s="2">
        <v>1.4962114760209604</v>
      </c>
      <c r="W416" s="2">
        <v>2.261728777163031</v>
      </c>
      <c r="X416" s="2">
        <v>3.2259978463712393</v>
      </c>
      <c r="Y416" s="2">
        <v>4.3702512039241883</v>
      </c>
      <c r="Z416" s="2">
        <v>5.6421957452889444</v>
      </c>
      <c r="AA416" s="2">
        <v>6.9498121783790809</v>
      </c>
      <c r="AB416" s="2">
        <v>8.1618780303272107</v>
      </c>
      <c r="AC416" s="2">
        <v>9.1195526315426374</v>
      </c>
      <c r="AD416" s="2">
        <v>9.6617108911656846</v>
      </c>
      <c r="AE416" s="2">
        <v>9.6622688637752852</v>
      </c>
      <c r="AF416" s="2">
        <v>9.0709738090896828</v>
      </c>
      <c r="AG416" s="2">
        <v>7.9427155598509867</v>
      </c>
      <c r="AH416" s="2">
        <v>6.5416070016006023</v>
      </c>
      <c r="AI416" s="2">
        <v>4.9818954922130878</v>
      </c>
      <c r="AJ416" s="2">
        <v>1.9108775517498124</v>
      </c>
      <c r="AK416" s="2">
        <v>0</v>
      </c>
      <c r="AL416" s="2">
        <v>0</v>
      </c>
      <c r="AM416" s="2">
        <v>0</v>
      </c>
      <c r="AN416" s="2">
        <v>0</v>
      </c>
      <c r="AO416" s="2">
        <v>0</v>
      </c>
      <c r="AP416" s="2">
        <v>0</v>
      </c>
      <c r="AQ416" s="2">
        <v>0</v>
      </c>
      <c r="AR416" s="2">
        <v>92.707982093374241</v>
      </c>
    </row>
    <row r="417" spans="1:44" x14ac:dyDescent="0.25">
      <c r="A417" t="s">
        <v>250</v>
      </c>
      <c r="B417" t="s">
        <v>313</v>
      </c>
      <c r="C417" t="s">
        <v>44</v>
      </c>
      <c r="D417" t="s">
        <v>314</v>
      </c>
      <c r="E417" t="s">
        <v>134</v>
      </c>
      <c r="F417" t="s">
        <v>314</v>
      </c>
      <c r="G417" t="s">
        <v>31</v>
      </c>
      <c r="H417" t="s">
        <v>288</v>
      </c>
      <c r="I417" t="s">
        <v>135</v>
      </c>
      <c r="J417" t="s">
        <v>39</v>
      </c>
      <c r="K417" t="s">
        <v>31</v>
      </c>
      <c r="L417">
        <v>0.87</v>
      </c>
      <c r="M417">
        <v>1</v>
      </c>
      <c r="N417">
        <v>2.120451684454824</v>
      </c>
      <c r="O417">
        <v>5.4114176288701819</v>
      </c>
      <c r="P417">
        <v>-1.0218982000484012</v>
      </c>
      <c r="Q417">
        <v>1.3823087202131159</v>
      </c>
      <c r="R417">
        <v>-1.8625523936223551</v>
      </c>
      <c r="S417" s="2">
        <v>1.117812494379238</v>
      </c>
      <c r="T417" s="2">
        <v>2.2277305552553872</v>
      </c>
      <c r="U417" s="2">
        <v>3.9435701727548951</v>
      </c>
      <c r="V417" s="2">
        <v>6.3955131241609147</v>
      </c>
      <c r="W417" s="2">
        <v>9.6783731596405254</v>
      </c>
      <c r="X417" s="2">
        <v>13.819913921524407</v>
      </c>
      <c r="Y417" s="2">
        <v>18.742481547613409</v>
      </c>
      <c r="Z417" s="2">
        <v>24.224134316114483</v>
      </c>
      <c r="AA417" s="2">
        <v>29.871195929756578</v>
      </c>
      <c r="AB417" s="2">
        <v>35.119560239217002</v>
      </c>
      <c r="AC417" s="2">
        <v>39.283658655273179</v>
      </c>
      <c r="AD417" s="2">
        <v>41.665045306484458</v>
      </c>
      <c r="AE417" s="2">
        <v>41.713474391326187</v>
      </c>
      <c r="AF417" s="2">
        <v>39.204018494517285</v>
      </c>
      <c r="AG417" s="2">
        <v>34.365693188448937</v>
      </c>
      <c r="AH417" s="2">
        <v>28.334788408145382</v>
      </c>
      <c r="AI417" s="2">
        <v>21.60277603282189</v>
      </c>
      <c r="AJ417" s="2">
        <v>14.261813262398393</v>
      </c>
      <c r="AK417" s="2">
        <v>0</v>
      </c>
      <c r="AL417" s="2">
        <v>0</v>
      </c>
      <c r="AM417" s="2">
        <v>0</v>
      </c>
      <c r="AN417" s="2">
        <v>0</v>
      </c>
      <c r="AO417" s="2">
        <v>0</v>
      </c>
      <c r="AP417" s="2">
        <v>0</v>
      </c>
      <c r="AQ417" s="2">
        <v>0</v>
      </c>
      <c r="AR417" s="2">
        <v>405.57155319983258</v>
      </c>
    </row>
    <row r="418" spans="1:44" x14ac:dyDescent="0.25">
      <c r="A418" t="s">
        <v>250</v>
      </c>
      <c r="B418" t="s">
        <v>313</v>
      </c>
      <c r="C418" t="s">
        <v>44</v>
      </c>
      <c r="D418" t="s">
        <v>314</v>
      </c>
      <c r="E418" t="s">
        <v>134</v>
      </c>
      <c r="F418" t="s">
        <v>314</v>
      </c>
      <c r="G418" t="s">
        <v>31</v>
      </c>
      <c r="H418" t="s">
        <v>288</v>
      </c>
      <c r="I418" t="s">
        <v>135</v>
      </c>
      <c r="J418" t="s">
        <v>39</v>
      </c>
      <c r="K418" t="s">
        <v>33</v>
      </c>
      <c r="L418">
        <v>0.87</v>
      </c>
      <c r="M418">
        <v>1</v>
      </c>
      <c r="N418">
        <v>2.120451684454824</v>
      </c>
      <c r="O418">
        <v>5.4114176288701819</v>
      </c>
      <c r="P418">
        <v>-1.0218982000484012</v>
      </c>
      <c r="Q418">
        <v>1.3823087202131159</v>
      </c>
      <c r="R418">
        <v>-1.8625523936223551</v>
      </c>
      <c r="S418" s="2">
        <v>1.0515388867042822E-2</v>
      </c>
      <c r="T418" s="2">
        <v>2.0956513903087687E-2</v>
      </c>
      <c r="U418" s="2">
        <v>3.7097611718875767E-2</v>
      </c>
      <c r="V418" s="2">
        <v>6.0163317052718254E-2</v>
      </c>
      <c r="W418" s="2">
        <v>9.1045553601981966E-2</v>
      </c>
      <c r="X418" s="2">
        <v>0.13000549709778506</v>
      </c>
      <c r="Y418" s="2">
        <v>0.17631264885438391</v>
      </c>
      <c r="Z418" s="2">
        <v>0.22787917793214418</v>
      </c>
      <c r="AA418" s="2">
        <v>0.2810017267694368</v>
      </c>
      <c r="AB418" s="2">
        <v>0.33037368486383373</v>
      </c>
      <c r="AC418" s="2">
        <v>0.36954583076991826</v>
      </c>
      <c r="AD418" s="2">
        <v>0.39194780498848153</v>
      </c>
      <c r="AE418" s="2">
        <v>0.3924033828802535</v>
      </c>
      <c r="AF418" s="2">
        <v>0.36879664674845414</v>
      </c>
      <c r="AG418" s="2">
        <v>0.32328197204729447</v>
      </c>
      <c r="AH418" s="2">
        <v>0.26654856702285229</v>
      </c>
      <c r="AI418" s="2">
        <v>0.20321976336371692</v>
      </c>
      <c r="AJ418" s="2">
        <v>0.13416249429789137</v>
      </c>
      <c r="AK418" s="2">
        <v>0</v>
      </c>
      <c r="AL418" s="2">
        <v>0</v>
      </c>
      <c r="AM418" s="2">
        <v>0</v>
      </c>
      <c r="AN418" s="2">
        <v>0</v>
      </c>
      <c r="AO418" s="2">
        <v>0</v>
      </c>
      <c r="AP418" s="2">
        <v>0</v>
      </c>
      <c r="AQ418" s="2">
        <v>0</v>
      </c>
      <c r="AR418" s="2">
        <v>3.815257582780152</v>
      </c>
    </row>
    <row r="419" spans="1:44" x14ac:dyDescent="0.25">
      <c r="A419" t="s">
        <v>250</v>
      </c>
      <c r="B419" t="s">
        <v>313</v>
      </c>
      <c r="C419" t="s">
        <v>44</v>
      </c>
      <c r="D419" t="s">
        <v>314</v>
      </c>
      <c r="E419" t="s">
        <v>134</v>
      </c>
      <c r="F419" t="s">
        <v>314</v>
      </c>
      <c r="G419" t="s">
        <v>31</v>
      </c>
      <c r="H419" t="s">
        <v>273</v>
      </c>
      <c r="I419" t="s">
        <v>135</v>
      </c>
      <c r="J419" t="s">
        <v>39</v>
      </c>
      <c r="K419" t="s">
        <v>31</v>
      </c>
      <c r="L419">
        <v>0.87</v>
      </c>
      <c r="M419">
        <v>1</v>
      </c>
      <c r="N419">
        <v>2.120451684454824</v>
      </c>
      <c r="O419">
        <v>5.4114176288701819</v>
      </c>
      <c r="P419">
        <v>-1.0218982000484012</v>
      </c>
      <c r="Q419">
        <v>1.3823087202131159</v>
      </c>
      <c r="R419">
        <v>-1.8625523936223551</v>
      </c>
      <c r="S419" s="2">
        <v>0</v>
      </c>
      <c r="T419" s="2">
        <v>0</v>
      </c>
      <c r="U419" s="2">
        <v>0</v>
      </c>
      <c r="V419" s="2">
        <v>0</v>
      </c>
      <c r="W419" s="2">
        <v>0</v>
      </c>
      <c r="X419" s="2">
        <v>0</v>
      </c>
      <c r="Y419" s="2">
        <v>0</v>
      </c>
      <c r="Z419" s="2">
        <v>0</v>
      </c>
      <c r="AA419" s="2">
        <v>0</v>
      </c>
      <c r="AB419" s="2">
        <v>0</v>
      </c>
      <c r="AC419" s="2">
        <v>0</v>
      </c>
      <c r="AD419" s="2">
        <v>0</v>
      </c>
      <c r="AE419" s="2">
        <v>0</v>
      </c>
      <c r="AF419" s="2">
        <v>0</v>
      </c>
      <c r="AG419" s="2">
        <v>0</v>
      </c>
      <c r="AH419" s="2">
        <v>0</v>
      </c>
      <c r="AI419" s="2">
        <v>0</v>
      </c>
      <c r="AJ419" s="2">
        <v>0</v>
      </c>
      <c r="AK419" s="2">
        <v>0</v>
      </c>
      <c r="AL419" s="2">
        <v>0</v>
      </c>
      <c r="AM419" s="2">
        <v>0</v>
      </c>
      <c r="AN419" s="2">
        <v>0</v>
      </c>
      <c r="AO419" s="2">
        <v>0</v>
      </c>
      <c r="AP419" s="2">
        <v>0</v>
      </c>
      <c r="AQ419" s="2">
        <v>0</v>
      </c>
      <c r="AR419" s="2">
        <v>0</v>
      </c>
    </row>
    <row r="420" spans="1:44" x14ac:dyDescent="0.25">
      <c r="A420" t="s">
        <v>250</v>
      </c>
      <c r="B420" t="s">
        <v>313</v>
      </c>
      <c r="C420" t="s">
        <v>44</v>
      </c>
      <c r="D420" t="s">
        <v>314</v>
      </c>
      <c r="E420" t="s">
        <v>134</v>
      </c>
      <c r="F420" t="s">
        <v>314</v>
      </c>
      <c r="G420" t="s">
        <v>31</v>
      </c>
      <c r="H420" t="s">
        <v>252</v>
      </c>
      <c r="I420" t="s">
        <v>135</v>
      </c>
      <c r="J420" t="s">
        <v>39</v>
      </c>
      <c r="K420" t="s">
        <v>31</v>
      </c>
      <c r="L420">
        <v>0.87</v>
      </c>
      <c r="M420">
        <v>1</v>
      </c>
      <c r="N420">
        <v>2.120451684454824</v>
      </c>
      <c r="O420">
        <v>5.4114176288701819</v>
      </c>
      <c r="P420">
        <v>-1.0218982000484012</v>
      </c>
      <c r="Q420">
        <v>1.3823087202131159</v>
      </c>
      <c r="R420">
        <v>-1.8625523936223551</v>
      </c>
      <c r="S420" s="2">
        <v>5.7545952305978448E-2</v>
      </c>
      <c r="T420" s="2">
        <v>0.11460497095045512</v>
      </c>
      <c r="U420" s="2">
        <v>0.20273341636672176</v>
      </c>
      <c r="V420" s="2">
        <v>0.32855352595303994</v>
      </c>
      <c r="W420" s="2">
        <v>0.4968531786353047</v>
      </c>
      <c r="X420" s="2">
        <v>0.7089669985349315</v>
      </c>
      <c r="Y420" s="2">
        <v>0.96082157344397479</v>
      </c>
      <c r="Z420" s="2">
        <v>1.2409631678453901</v>
      </c>
      <c r="AA420" s="2">
        <v>1.5291785880942004</v>
      </c>
      <c r="AB420" s="2">
        <v>1.796592734140753</v>
      </c>
      <c r="AC420" s="2">
        <v>2.0082023481507014</v>
      </c>
      <c r="AD420" s="2">
        <v>2.1284447058548857</v>
      </c>
      <c r="AE420" s="2">
        <v>2.1294225577490105</v>
      </c>
      <c r="AF420" s="2">
        <v>1.9999127229136364</v>
      </c>
      <c r="AG420" s="2">
        <v>1.7518646057699023</v>
      </c>
      <c r="AH420" s="2">
        <v>1.4434122134010432</v>
      </c>
      <c r="AI420" s="2">
        <v>1.0997018027499394</v>
      </c>
      <c r="AJ420" s="2">
        <v>0.53239920808493923</v>
      </c>
      <c r="AK420" s="2">
        <v>0</v>
      </c>
      <c r="AL420" s="2">
        <v>0</v>
      </c>
      <c r="AM420" s="2">
        <v>0</v>
      </c>
      <c r="AN420" s="2">
        <v>0</v>
      </c>
      <c r="AO420" s="2">
        <v>0</v>
      </c>
      <c r="AP420" s="2">
        <v>0</v>
      </c>
      <c r="AQ420" s="2">
        <v>0</v>
      </c>
      <c r="AR420" s="2">
        <v>20.530174270944809</v>
      </c>
    </row>
    <row r="421" spans="1:44" x14ac:dyDescent="0.25">
      <c r="A421" t="s">
        <v>250</v>
      </c>
      <c r="B421" t="s">
        <v>313</v>
      </c>
      <c r="C421" t="s">
        <v>44</v>
      </c>
      <c r="D421" t="s">
        <v>314</v>
      </c>
      <c r="E421" t="s">
        <v>134</v>
      </c>
      <c r="F421" t="s">
        <v>314</v>
      </c>
      <c r="G421" t="s">
        <v>31</v>
      </c>
      <c r="H421" t="s">
        <v>289</v>
      </c>
      <c r="I421" t="s">
        <v>135</v>
      </c>
      <c r="J421" t="s">
        <v>39</v>
      </c>
      <c r="K421" t="s">
        <v>31</v>
      </c>
      <c r="L421">
        <v>0.87</v>
      </c>
      <c r="M421">
        <v>1</v>
      </c>
      <c r="N421">
        <v>2.120451684454824</v>
      </c>
      <c r="O421">
        <v>5.4114176288701819</v>
      </c>
      <c r="P421">
        <v>-1.0218982000484012</v>
      </c>
      <c r="Q421">
        <v>1.3823087202131159</v>
      </c>
      <c r="R421">
        <v>-1.8625523936223551</v>
      </c>
      <c r="S421" s="2">
        <v>1.0624323207631283</v>
      </c>
      <c r="T421" s="2">
        <v>2.117361324690946</v>
      </c>
      <c r="U421" s="2">
        <v>3.7481925025887008</v>
      </c>
      <c r="V421" s="2">
        <v>6.0786579906200862</v>
      </c>
      <c r="W421" s="2">
        <v>9.1988741483148022</v>
      </c>
      <c r="X421" s="2">
        <v>13.135229114204611</v>
      </c>
      <c r="Y421" s="2">
        <v>17.813916258423308</v>
      </c>
      <c r="Z421" s="2">
        <v>23.023989595177731</v>
      </c>
      <c r="AA421" s="2">
        <v>28.391276869065248</v>
      </c>
      <c r="AB421" s="2">
        <v>33.379619638133136</v>
      </c>
      <c r="AC421" s="2">
        <v>37.337414676480314</v>
      </c>
      <c r="AD421" s="2">
        <v>39.600819459664258</v>
      </c>
      <c r="AE421" s="2">
        <v>39.646849205493332</v>
      </c>
      <c r="AF421" s="2">
        <v>37.261720155938377</v>
      </c>
      <c r="AG421" s="2">
        <v>32.66310168514751</v>
      </c>
      <c r="AH421" s="2">
        <v>26.930988120253399</v>
      </c>
      <c r="AI421" s="2">
        <v>20.532502178035546</v>
      </c>
      <c r="AJ421" s="2">
        <v>13.555235282170331</v>
      </c>
      <c r="AK421" s="2">
        <v>0</v>
      </c>
      <c r="AL421" s="2">
        <v>0</v>
      </c>
      <c r="AM421" s="2">
        <v>0</v>
      </c>
      <c r="AN421" s="2">
        <v>0</v>
      </c>
      <c r="AO421" s="2">
        <v>0</v>
      </c>
      <c r="AP421" s="2">
        <v>0</v>
      </c>
      <c r="AQ421" s="2">
        <v>0</v>
      </c>
      <c r="AR421" s="2">
        <v>385.47818052516476</v>
      </c>
    </row>
    <row r="422" spans="1:44" x14ac:dyDescent="0.25">
      <c r="A422" t="s">
        <v>250</v>
      </c>
      <c r="B422" t="s">
        <v>313</v>
      </c>
      <c r="C422" t="s">
        <v>44</v>
      </c>
      <c r="D422" t="s">
        <v>314</v>
      </c>
      <c r="E422" t="s">
        <v>134</v>
      </c>
      <c r="F422" t="s">
        <v>314</v>
      </c>
      <c r="G422" t="s">
        <v>31</v>
      </c>
      <c r="H422" t="s">
        <v>274</v>
      </c>
      <c r="I422" t="s">
        <v>135</v>
      </c>
      <c r="J422" t="s">
        <v>39</v>
      </c>
      <c r="K422" t="s">
        <v>31</v>
      </c>
      <c r="L422">
        <v>0.87</v>
      </c>
      <c r="M422">
        <v>1</v>
      </c>
      <c r="N422">
        <v>2.120451684454824</v>
      </c>
      <c r="O422">
        <v>5.4114176288701819</v>
      </c>
      <c r="P422">
        <v>-1.0218982000484012</v>
      </c>
      <c r="Q422">
        <v>1.3823087202131159</v>
      </c>
      <c r="R422">
        <v>-1.8625523936223551</v>
      </c>
      <c r="S422" s="2">
        <v>0</v>
      </c>
      <c r="T422" s="2">
        <v>0</v>
      </c>
      <c r="U422" s="2">
        <v>0</v>
      </c>
      <c r="V422" s="2">
        <v>0</v>
      </c>
      <c r="W422" s="2">
        <v>0</v>
      </c>
      <c r="X422" s="2">
        <v>0</v>
      </c>
      <c r="Y422" s="2">
        <v>0</v>
      </c>
      <c r="Z422" s="2">
        <v>0</v>
      </c>
      <c r="AA422" s="2">
        <v>0</v>
      </c>
      <c r="AB422" s="2">
        <v>0</v>
      </c>
      <c r="AC422" s="2">
        <v>0</v>
      </c>
      <c r="AD422" s="2">
        <v>0</v>
      </c>
      <c r="AE422" s="2">
        <v>0</v>
      </c>
      <c r="AF422" s="2">
        <v>0</v>
      </c>
      <c r="AG422" s="2">
        <v>0</v>
      </c>
      <c r="AH422" s="2">
        <v>0</v>
      </c>
      <c r="AI422" s="2">
        <v>0</v>
      </c>
      <c r="AJ422" s="2">
        <v>0</v>
      </c>
      <c r="AK422" s="2">
        <v>0</v>
      </c>
      <c r="AL422" s="2">
        <v>0</v>
      </c>
      <c r="AM422" s="2">
        <v>0</v>
      </c>
      <c r="AN422" s="2">
        <v>0</v>
      </c>
      <c r="AO422" s="2">
        <v>0</v>
      </c>
      <c r="AP422" s="2">
        <v>0</v>
      </c>
      <c r="AQ422" s="2">
        <v>0</v>
      </c>
      <c r="AR422" s="2">
        <v>0</v>
      </c>
    </row>
    <row r="423" spans="1:44" x14ac:dyDescent="0.25">
      <c r="A423" t="s">
        <v>250</v>
      </c>
      <c r="B423" t="s">
        <v>313</v>
      </c>
      <c r="C423" t="s">
        <v>44</v>
      </c>
      <c r="D423" t="s">
        <v>314</v>
      </c>
      <c r="E423" t="s">
        <v>134</v>
      </c>
      <c r="F423" t="s">
        <v>314</v>
      </c>
      <c r="G423" t="s">
        <v>31</v>
      </c>
      <c r="H423" t="s">
        <v>274</v>
      </c>
      <c r="I423" t="s">
        <v>135</v>
      </c>
      <c r="J423" t="s">
        <v>39</v>
      </c>
      <c r="K423" t="s">
        <v>33</v>
      </c>
      <c r="L423">
        <v>0.87</v>
      </c>
      <c r="M423">
        <v>1</v>
      </c>
      <c r="N423">
        <v>2.120451684454824</v>
      </c>
      <c r="O423">
        <v>5.4114176288701819</v>
      </c>
      <c r="P423">
        <v>-1.0218982000484012</v>
      </c>
      <c r="Q423">
        <v>1.3823087202131159</v>
      </c>
      <c r="R423">
        <v>-1.8625523936223551</v>
      </c>
      <c r="S423" s="2">
        <v>0</v>
      </c>
      <c r="T423" s="2">
        <v>0</v>
      </c>
      <c r="U423" s="2">
        <v>0</v>
      </c>
      <c r="V423" s="2">
        <v>0</v>
      </c>
      <c r="W423" s="2">
        <v>0</v>
      </c>
      <c r="X423" s="2">
        <v>0</v>
      </c>
      <c r="Y423" s="2">
        <v>0</v>
      </c>
      <c r="Z423" s="2">
        <v>0</v>
      </c>
      <c r="AA423" s="2">
        <v>0</v>
      </c>
      <c r="AB423" s="2">
        <v>0</v>
      </c>
      <c r="AC423" s="2">
        <v>0</v>
      </c>
      <c r="AD423" s="2">
        <v>0</v>
      </c>
      <c r="AE423" s="2">
        <v>0</v>
      </c>
      <c r="AF423" s="2">
        <v>0</v>
      </c>
      <c r="AG423" s="2">
        <v>0</v>
      </c>
      <c r="AH423" s="2">
        <v>0</v>
      </c>
      <c r="AI423" s="2">
        <v>0</v>
      </c>
      <c r="AJ423" s="2">
        <v>0</v>
      </c>
      <c r="AK423" s="2">
        <v>0</v>
      </c>
      <c r="AL423" s="2">
        <v>0</v>
      </c>
      <c r="AM423" s="2">
        <v>0</v>
      </c>
      <c r="AN423" s="2">
        <v>0</v>
      </c>
      <c r="AO423" s="2">
        <v>0</v>
      </c>
      <c r="AP423" s="2">
        <v>0</v>
      </c>
      <c r="AQ423" s="2">
        <v>0</v>
      </c>
      <c r="AR423" s="2">
        <v>0</v>
      </c>
    </row>
    <row r="424" spans="1:44" x14ac:dyDescent="0.25">
      <c r="A424" t="s">
        <v>250</v>
      </c>
      <c r="B424" t="s">
        <v>313</v>
      </c>
      <c r="C424" t="s">
        <v>44</v>
      </c>
      <c r="D424" t="s">
        <v>314</v>
      </c>
      <c r="E424" t="s">
        <v>134</v>
      </c>
      <c r="F424" t="s">
        <v>314</v>
      </c>
      <c r="G424" t="s">
        <v>31</v>
      </c>
      <c r="H424" t="s">
        <v>255</v>
      </c>
      <c r="I424" t="s">
        <v>135</v>
      </c>
      <c r="J424" t="s">
        <v>39</v>
      </c>
      <c r="K424" t="s">
        <v>31</v>
      </c>
      <c r="L424">
        <v>0.87</v>
      </c>
      <c r="M424">
        <v>1</v>
      </c>
      <c r="N424">
        <v>2.120451684454824</v>
      </c>
      <c r="O424">
        <v>5.4114176288701819</v>
      </c>
      <c r="P424">
        <v>-1.0218982000484012</v>
      </c>
      <c r="Q424">
        <v>1.3823087202131159</v>
      </c>
      <c r="R424">
        <v>-1.8625523936223551</v>
      </c>
      <c r="S424" s="2">
        <v>8.1717696854141444E-2</v>
      </c>
      <c r="T424" s="2">
        <v>0.16187818114901234</v>
      </c>
      <c r="U424" s="2">
        <v>0.28483524280878747</v>
      </c>
      <c r="V424" s="2">
        <v>0.45915365022120241</v>
      </c>
      <c r="W424" s="2">
        <v>0.69065873000887334</v>
      </c>
      <c r="X424" s="2">
        <v>0.98026834179940614</v>
      </c>
      <c r="Y424" s="2">
        <v>1.321433240519827</v>
      </c>
      <c r="Z424" s="2">
        <v>1.6976372549870546</v>
      </c>
      <c r="AA424" s="2">
        <v>2.0807875376862439</v>
      </c>
      <c r="AB424" s="2">
        <v>2.4316591158173892</v>
      </c>
      <c r="AC424" s="2">
        <v>2.7036100284494138</v>
      </c>
      <c r="AD424" s="2">
        <v>2.8502468513231252</v>
      </c>
      <c r="AE424" s="2">
        <v>2.836386939025406</v>
      </c>
      <c r="AF424" s="2">
        <v>2.6497090796041562</v>
      </c>
      <c r="AG424" s="2">
        <v>2.3087197234584078</v>
      </c>
      <c r="AH424" s="2">
        <v>1.8921021305030676</v>
      </c>
      <c r="AI424" s="2">
        <v>0.21985674342735656</v>
      </c>
      <c r="AJ424" s="2">
        <v>0</v>
      </c>
      <c r="AK424" s="2">
        <v>0</v>
      </c>
      <c r="AL424" s="2">
        <v>0</v>
      </c>
      <c r="AM424" s="2">
        <v>0</v>
      </c>
      <c r="AN424" s="2">
        <v>0</v>
      </c>
      <c r="AO424" s="2">
        <v>0</v>
      </c>
      <c r="AP424" s="2">
        <v>0</v>
      </c>
      <c r="AQ424" s="2">
        <v>0</v>
      </c>
      <c r="AR424" s="2">
        <v>25.65066048764287</v>
      </c>
    </row>
    <row r="425" spans="1:44" x14ac:dyDescent="0.25">
      <c r="A425" t="s">
        <v>250</v>
      </c>
      <c r="B425" t="s">
        <v>313</v>
      </c>
      <c r="C425" t="s">
        <v>44</v>
      </c>
      <c r="D425" t="s">
        <v>314</v>
      </c>
      <c r="E425" t="s">
        <v>134</v>
      </c>
      <c r="F425" t="s">
        <v>314</v>
      </c>
      <c r="G425" t="s">
        <v>31</v>
      </c>
      <c r="H425" t="s">
        <v>278</v>
      </c>
      <c r="I425" t="s">
        <v>135</v>
      </c>
      <c r="J425" t="s">
        <v>39</v>
      </c>
      <c r="K425" t="s">
        <v>31</v>
      </c>
      <c r="L425">
        <v>0.87</v>
      </c>
      <c r="M425">
        <v>1</v>
      </c>
      <c r="N425">
        <v>2.120451684454824</v>
      </c>
      <c r="O425">
        <v>5.4114176288701819</v>
      </c>
      <c r="P425">
        <v>-1.0218982000484012</v>
      </c>
      <c r="Q425">
        <v>1.3823087202131159</v>
      </c>
      <c r="R425">
        <v>-1.8625523936223551</v>
      </c>
      <c r="S425" s="2">
        <v>0</v>
      </c>
      <c r="T425" s="2">
        <v>0</v>
      </c>
      <c r="U425" s="2">
        <v>0</v>
      </c>
      <c r="V425" s="2">
        <v>0</v>
      </c>
      <c r="W425" s="2">
        <v>0</v>
      </c>
      <c r="X425" s="2">
        <v>0</v>
      </c>
      <c r="Y425" s="2">
        <v>0</v>
      </c>
      <c r="Z425" s="2">
        <v>0</v>
      </c>
      <c r="AA425" s="2">
        <v>0</v>
      </c>
      <c r="AB425" s="2">
        <v>0</v>
      </c>
      <c r="AC425" s="2">
        <v>0</v>
      </c>
      <c r="AD425" s="2">
        <v>0</v>
      </c>
      <c r="AE425" s="2">
        <v>0</v>
      </c>
      <c r="AF425" s="2">
        <v>0</v>
      </c>
      <c r="AG425" s="2">
        <v>0</v>
      </c>
      <c r="AH425" s="2">
        <v>0</v>
      </c>
      <c r="AI425" s="2">
        <v>0</v>
      </c>
      <c r="AJ425" s="2">
        <v>0</v>
      </c>
      <c r="AK425" s="2">
        <v>0</v>
      </c>
      <c r="AL425" s="2">
        <v>0</v>
      </c>
      <c r="AM425" s="2">
        <v>0</v>
      </c>
      <c r="AN425" s="2">
        <v>0</v>
      </c>
      <c r="AO425" s="2">
        <v>0</v>
      </c>
      <c r="AP425" s="2">
        <v>0</v>
      </c>
      <c r="AQ425" s="2">
        <v>0</v>
      </c>
      <c r="AR425" s="2">
        <v>0</v>
      </c>
    </row>
    <row r="426" spans="1:44" x14ac:dyDescent="0.25">
      <c r="A426" t="s">
        <v>250</v>
      </c>
      <c r="B426" t="s">
        <v>313</v>
      </c>
      <c r="C426" t="s">
        <v>44</v>
      </c>
      <c r="D426" t="s">
        <v>314</v>
      </c>
      <c r="E426" t="s">
        <v>134</v>
      </c>
      <c r="F426" t="s">
        <v>314</v>
      </c>
      <c r="G426" t="s">
        <v>31</v>
      </c>
      <c r="H426" t="s">
        <v>276</v>
      </c>
      <c r="I426" t="s">
        <v>135</v>
      </c>
      <c r="J426" t="s">
        <v>39</v>
      </c>
      <c r="K426" t="s">
        <v>31</v>
      </c>
      <c r="L426">
        <v>0.87</v>
      </c>
      <c r="M426">
        <v>1</v>
      </c>
      <c r="N426">
        <v>2.120451684454824</v>
      </c>
      <c r="O426">
        <v>5.4114176288701819</v>
      </c>
      <c r="P426">
        <v>-1.0218982000484012</v>
      </c>
      <c r="Q426">
        <v>1.3823087202131159</v>
      </c>
      <c r="R426">
        <v>-1.8625523936223551</v>
      </c>
      <c r="S426" s="2">
        <v>7.0924309847935296</v>
      </c>
      <c r="T426" s="2">
        <v>14.147531993525007</v>
      </c>
      <c r="U426" s="2">
        <v>25.066832590587392</v>
      </c>
      <c r="V426" s="2">
        <v>40.689012156448946</v>
      </c>
      <c r="W426" s="2">
        <v>61.630540828029488</v>
      </c>
      <c r="X426" s="2">
        <v>88.082740518317451</v>
      </c>
      <c r="Y426" s="2">
        <v>119.56510143614393</v>
      </c>
      <c r="Z426" s="2">
        <v>154.67405626194738</v>
      </c>
      <c r="AA426" s="2">
        <v>190.90340901283804</v>
      </c>
      <c r="AB426" s="2">
        <v>224.64771562348187</v>
      </c>
      <c r="AC426" s="2">
        <v>251.51085329626093</v>
      </c>
      <c r="AD426" s="2">
        <v>266.99831751155455</v>
      </c>
      <c r="AE426" s="2">
        <v>267.54996290814904</v>
      </c>
      <c r="AF426" s="2">
        <v>251.68131840329212</v>
      </c>
      <c r="AG426" s="2">
        <v>220.81947228222234</v>
      </c>
      <c r="AH426" s="2">
        <v>182.23177164753258</v>
      </c>
      <c r="AI426" s="2">
        <v>139.0610649442321</v>
      </c>
      <c r="AJ426" s="2">
        <v>96.070871566972542</v>
      </c>
      <c r="AK426" s="2">
        <v>27.229657248487353</v>
      </c>
      <c r="AL426" s="2">
        <v>0</v>
      </c>
      <c r="AM426" s="2">
        <v>0</v>
      </c>
      <c r="AN426" s="2">
        <v>0</v>
      </c>
      <c r="AO426" s="2">
        <v>0</v>
      </c>
      <c r="AP426" s="2">
        <v>0</v>
      </c>
      <c r="AQ426" s="2">
        <v>0</v>
      </c>
      <c r="AR426" s="2">
        <v>2629.6526612148168</v>
      </c>
    </row>
    <row r="427" spans="1:44" x14ac:dyDescent="0.25">
      <c r="A427" t="s">
        <v>250</v>
      </c>
      <c r="B427" t="s">
        <v>313</v>
      </c>
      <c r="C427" t="s">
        <v>44</v>
      </c>
      <c r="D427" t="s">
        <v>314</v>
      </c>
      <c r="E427" t="s">
        <v>134</v>
      </c>
      <c r="F427" t="s">
        <v>314</v>
      </c>
      <c r="G427" t="s">
        <v>31</v>
      </c>
      <c r="H427" t="s">
        <v>290</v>
      </c>
      <c r="I427" t="s">
        <v>135</v>
      </c>
      <c r="J427" t="s">
        <v>39</v>
      </c>
      <c r="K427" t="s">
        <v>31</v>
      </c>
      <c r="L427">
        <v>0.87</v>
      </c>
      <c r="M427">
        <v>1</v>
      </c>
      <c r="N427">
        <v>2.120451684454824</v>
      </c>
      <c r="O427">
        <v>5.4114176288701819</v>
      </c>
      <c r="P427">
        <v>-1.0218982000484012</v>
      </c>
      <c r="Q427">
        <v>1.3823087202131159</v>
      </c>
      <c r="R427">
        <v>-1.8625523936223551</v>
      </c>
      <c r="S427" s="2">
        <v>1.538474362405271</v>
      </c>
      <c r="T427" s="2">
        <v>3.0660834109843984</v>
      </c>
      <c r="U427" s="2">
        <v>5.4276380319928377</v>
      </c>
      <c r="V427" s="2">
        <v>8.8023107859535461</v>
      </c>
      <c r="W427" s="2">
        <v>13.320596299263203</v>
      </c>
      <c r="X427" s="2">
        <v>19.020706393803842</v>
      </c>
      <c r="Y427" s="2">
        <v>25.795764042582221</v>
      </c>
      <c r="Z427" s="2">
        <v>33.34030509070331</v>
      </c>
      <c r="AA427" s="2">
        <v>41.112502627586267</v>
      </c>
      <c r="AB427" s="2">
        <v>48.335962711696141</v>
      </c>
      <c r="AC427" s="2">
        <v>54.067119491431804</v>
      </c>
      <c r="AD427" s="2">
        <v>57.344683777289319</v>
      </c>
      <c r="AE427" s="2">
        <v>57.411337984321719</v>
      </c>
      <c r="AF427" s="2">
        <v>53.957508670156443</v>
      </c>
      <c r="AG427" s="2">
        <v>47.298395913954394</v>
      </c>
      <c r="AH427" s="2">
        <v>38.997905059486861</v>
      </c>
      <c r="AI427" s="2">
        <v>29.732461616235831</v>
      </c>
      <c r="AJ427" s="2">
        <v>19.628903931509555</v>
      </c>
      <c r="AK427" s="2">
        <v>0</v>
      </c>
      <c r="AL427" s="2">
        <v>0</v>
      </c>
      <c r="AM427" s="2">
        <v>0</v>
      </c>
      <c r="AN427" s="2">
        <v>0</v>
      </c>
      <c r="AO427" s="2">
        <v>0</v>
      </c>
      <c r="AP427" s="2">
        <v>0</v>
      </c>
      <c r="AQ427" s="2">
        <v>0</v>
      </c>
      <c r="AR427" s="2">
        <v>558.19866020135692</v>
      </c>
    </row>
    <row r="428" spans="1:44" x14ac:dyDescent="0.25">
      <c r="A428" t="s">
        <v>250</v>
      </c>
      <c r="B428" t="s">
        <v>313</v>
      </c>
      <c r="C428" t="s">
        <v>44</v>
      </c>
      <c r="D428" t="s">
        <v>314</v>
      </c>
      <c r="E428" t="s">
        <v>134</v>
      </c>
      <c r="F428" t="s">
        <v>314</v>
      </c>
      <c r="G428" t="s">
        <v>31</v>
      </c>
      <c r="H428" t="s">
        <v>275</v>
      </c>
      <c r="I428" t="s">
        <v>135</v>
      </c>
      <c r="J428" t="s">
        <v>39</v>
      </c>
      <c r="K428" t="s">
        <v>31</v>
      </c>
      <c r="L428">
        <v>0.87</v>
      </c>
      <c r="M428">
        <v>1</v>
      </c>
      <c r="N428">
        <v>2.120451684454824</v>
      </c>
      <c r="O428">
        <v>5.4114176288701819</v>
      </c>
      <c r="P428">
        <v>-1.0218982000484012</v>
      </c>
      <c r="Q428">
        <v>1.3823087202131159</v>
      </c>
      <c r="R428">
        <v>-1.8625523936223551</v>
      </c>
      <c r="S428" s="2">
        <v>0</v>
      </c>
      <c r="T428" s="2">
        <v>0</v>
      </c>
      <c r="U428" s="2">
        <v>0</v>
      </c>
      <c r="V428" s="2">
        <v>0</v>
      </c>
      <c r="W428" s="2">
        <v>0</v>
      </c>
      <c r="X428" s="2">
        <v>0</v>
      </c>
      <c r="Y428" s="2">
        <v>0</v>
      </c>
      <c r="Z428" s="2">
        <v>0</v>
      </c>
      <c r="AA428" s="2">
        <v>0</v>
      </c>
      <c r="AB428" s="2">
        <v>0</v>
      </c>
      <c r="AC428" s="2">
        <v>0</v>
      </c>
      <c r="AD428" s="2">
        <v>0</v>
      </c>
      <c r="AE428" s="2">
        <v>0</v>
      </c>
      <c r="AF428" s="2">
        <v>0</v>
      </c>
      <c r="AG428" s="2">
        <v>0</v>
      </c>
      <c r="AH428" s="2">
        <v>0</v>
      </c>
      <c r="AI428" s="2">
        <v>0</v>
      </c>
      <c r="AJ428" s="2">
        <v>0</v>
      </c>
      <c r="AK428" s="2">
        <v>0</v>
      </c>
      <c r="AL428" s="2">
        <v>0</v>
      </c>
      <c r="AM428" s="2">
        <v>0</v>
      </c>
      <c r="AN428" s="2">
        <v>0</v>
      </c>
      <c r="AO428" s="2">
        <v>0</v>
      </c>
      <c r="AP428" s="2">
        <v>0</v>
      </c>
      <c r="AQ428" s="2">
        <v>0</v>
      </c>
      <c r="AR428" s="2">
        <v>0</v>
      </c>
    </row>
    <row r="429" spans="1:44" x14ac:dyDescent="0.25">
      <c r="A429" t="s">
        <v>250</v>
      </c>
      <c r="B429" t="s">
        <v>313</v>
      </c>
      <c r="C429" t="s">
        <v>44</v>
      </c>
      <c r="D429" t="s">
        <v>314</v>
      </c>
      <c r="E429" t="s">
        <v>134</v>
      </c>
      <c r="F429" t="s">
        <v>314</v>
      </c>
      <c r="G429" t="s">
        <v>31</v>
      </c>
      <c r="H429" t="s">
        <v>277</v>
      </c>
      <c r="I429" t="s">
        <v>135</v>
      </c>
      <c r="J429" t="s">
        <v>39</v>
      </c>
      <c r="K429" t="s">
        <v>31</v>
      </c>
      <c r="L429">
        <v>0.87</v>
      </c>
      <c r="M429">
        <v>1</v>
      </c>
      <c r="N429">
        <v>2.120451684454824</v>
      </c>
      <c r="O429">
        <v>5.4114176288701819</v>
      </c>
      <c r="P429">
        <v>-1.0218982000484012</v>
      </c>
      <c r="Q429">
        <v>1.3823087202131159</v>
      </c>
      <c r="R429">
        <v>-1.8625523936223551</v>
      </c>
      <c r="S429" s="2">
        <v>0</v>
      </c>
      <c r="T429" s="2">
        <v>0</v>
      </c>
      <c r="U429" s="2">
        <v>0</v>
      </c>
      <c r="V429" s="2">
        <v>0</v>
      </c>
      <c r="W429" s="2">
        <v>0</v>
      </c>
      <c r="X429" s="2">
        <v>0</v>
      </c>
      <c r="Y429" s="2">
        <v>0</v>
      </c>
      <c r="Z429" s="2">
        <v>0</v>
      </c>
      <c r="AA429" s="2">
        <v>0</v>
      </c>
      <c r="AB429" s="2">
        <v>0</v>
      </c>
      <c r="AC429" s="2">
        <v>0</v>
      </c>
      <c r="AD429" s="2">
        <v>0</v>
      </c>
      <c r="AE429" s="2">
        <v>0</v>
      </c>
      <c r="AF429" s="2">
        <v>0</v>
      </c>
      <c r="AG429" s="2">
        <v>0</v>
      </c>
      <c r="AH429" s="2">
        <v>0</v>
      </c>
      <c r="AI429" s="2">
        <v>0</v>
      </c>
      <c r="AJ429" s="2">
        <v>0</v>
      </c>
      <c r="AK429" s="2">
        <v>0</v>
      </c>
      <c r="AL429" s="2">
        <v>0</v>
      </c>
      <c r="AM429" s="2">
        <v>0</v>
      </c>
      <c r="AN429" s="2">
        <v>0</v>
      </c>
      <c r="AO429" s="2">
        <v>0</v>
      </c>
      <c r="AP429" s="2">
        <v>0</v>
      </c>
      <c r="AQ429" s="2">
        <v>0</v>
      </c>
      <c r="AR429" s="2">
        <v>0</v>
      </c>
    </row>
    <row r="430" spans="1:44" x14ac:dyDescent="0.25">
      <c r="A430" t="s">
        <v>250</v>
      </c>
      <c r="B430" t="s">
        <v>313</v>
      </c>
      <c r="C430" t="s">
        <v>44</v>
      </c>
      <c r="D430" t="s">
        <v>314</v>
      </c>
      <c r="E430" t="s">
        <v>134</v>
      </c>
      <c r="F430" t="s">
        <v>314</v>
      </c>
      <c r="G430" t="s">
        <v>31</v>
      </c>
      <c r="H430" t="s">
        <v>277</v>
      </c>
      <c r="I430" t="s">
        <v>135</v>
      </c>
      <c r="J430" t="s">
        <v>40</v>
      </c>
      <c r="K430" t="s">
        <v>31</v>
      </c>
      <c r="L430">
        <v>0.87</v>
      </c>
      <c r="M430">
        <v>1</v>
      </c>
      <c r="N430">
        <v>2.120451684454824</v>
      </c>
      <c r="O430">
        <v>4.1746294160814479</v>
      </c>
      <c r="P430">
        <v>-1.0218982000484012</v>
      </c>
      <c r="Q430">
        <v>0.4672931329656026</v>
      </c>
      <c r="R430">
        <v>-1.7195523936223551</v>
      </c>
      <c r="S430" s="2">
        <v>0</v>
      </c>
      <c r="T430" s="2">
        <v>0</v>
      </c>
      <c r="U430" s="2">
        <v>0</v>
      </c>
      <c r="V430" s="2">
        <v>0</v>
      </c>
      <c r="W430" s="2">
        <v>0</v>
      </c>
      <c r="X430" s="2">
        <v>0</v>
      </c>
      <c r="Y430" s="2">
        <v>0</v>
      </c>
      <c r="Z430" s="2">
        <v>0</v>
      </c>
      <c r="AA430" s="2">
        <v>0</v>
      </c>
      <c r="AB430" s="2">
        <v>0</v>
      </c>
      <c r="AC430" s="2">
        <v>0</v>
      </c>
      <c r="AD430" s="2">
        <v>0</v>
      </c>
      <c r="AE430" s="2">
        <v>0</v>
      </c>
      <c r="AF430" s="2">
        <v>0</v>
      </c>
      <c r="AG430" s="2">
        <v>0</v>
      </c>
      <c r="AH430" s="2">
        <v>0</v>
      </c>
      <c r="AI430" s="2">
        <v>0</v>
      </c>
      <c r="AJ430" s="2">
        <v>0</v>
      </c>
      <c r="AK430" s="2">
        <v>0</v>
      </c>
      <c r="AL430" s="2">
        <v>0</v>
      </c>
      <c r="AM430" s="2">
        <v>0</v>
      </c>
      <c r="AN430" s="2">
        <v>0</v>
      </c>
      <c r="AO430" s="2">
        <v>0</v>
      </c>
      <c r="AP430" s="2">
        <v>0</v>
      </c>
      <c r="AQ430" s="2">
        <v>0</v>
      </c>
      <c r="AR430" s="2">
        <v>0</v>
      </c>
    </row>
    <row r="431" spans="1:44" x14ac:dyDescent="0.25">
      <c r="A431" t="s">
        <v>250</v>
      </c>
      <c r="B431" t="s">
        <v>259</v>
      </c>
      <c r="C431" t="s">
        <v>43</v>
      </c>
      <c r="D431" t="s">
        <v>260</v>
      </c>
      <c r="E431" t="s">
        <v>134</v>
      </c>
      <c r="F431" t="s">
        <v>260</v>
      </c>
      <c r="G431" t="s">
        <v>31</v>
      </c>
      <c r="H431" t="s">
        <v>254</v>
      </c>
      <c r="I431" t="s">
        <v>135</v>
      </c>
      <c r="J431" t="s">
        <v>39</v>
      </c>
      <c r="K431" t="s">
        <v>31</v>
      </c>
      <c r="L431">
        <v>44.645800000000001</v>
      </c>
      <c r="M431">
        <v>0</v>
      </c>
      <c r="N431">
        <v>0.81670651997087551</v>
      </c>
      <c r="O431">
        <v>3.1364369911764678</v>
      </c>
      <c r="P431">
        <v>0.87892520177383748</v>
      </c>
      <c r="Q431">
        <v>2.0801417060437122</v>
      </c>
      <c r="R431">
        <v>-0.65956197763071533</v>
      </c>
      <c r="S431" s="2">
        <v>9.7615484633335539E-2</v>
      </c>
      <c r="T431" s="2">
        <v>0.1942514814107438</v>
      </c>
      <c r="U431" s="2">
        <v>0.34335484013745526</v>
      </c>
      <c r="V431" s="2">
        <v>0.5560078432646085</v>
      </c>
      <c r="W431" s="2">
        <v>0.84015575964376954</v>
      </c>
      <c r="X431" s="2">
        <v>1.1978838425312377</v>
      </c>
      <c r="Y431" s="2">
        <v>1.6221401873491126</v>
      </c>
      <c r="Z431" s="2">
        <v>2.0934446388722567</v>
      </c>
      <c r="AA431" s="2">
        <v>2.5776132043221294</v>
      </c>
      <c r="AB431" s="2">
        <v>3.0259805296146949</v>
      </c>
      <c r="AC431" s="2">
        <v>3.379721477916751</v>
      </c>
      <c r="AD431" s="2">
        <v>3.579256020462235</v>
      </c>
      <c r="AE431" s="2">
        <v>3.5780729688355173</v>
      </c>
      <c r="AF431" s="2">
        <v>3.3578039579147583</v>
      </c>
      <c r="AG431" s="2">
        <v>2.9390148641043776</v>
      </c>
      <c r="AH431" s="2">
        <v>2.4196278283027763</v>
      </c>
      <c r="AI431" s="2">
        <v>1.8420019377727814</v>
      </c>
      <c r="AJ431" s="2">
        <v>0.52750157509343076</v>
      </c>
      <c r="AK431" s="2">
        <v>0</v>
      </c>
      <c r="AL431" s="2">
        <v>0</v>
      </c>
      <c r="AM431" s="2">
        <v>0</v>
      </c>
      <c r="AN431" s="2">
        <v>0</v>
      </c>
      <c r="AO431" s="2">
        <v>0</v>
      </c>
      <c r="AP431" s="2">
        <v>0</v>
      </c>
      <c r="AQ431" s="2">
        <v>0</v>
      </c>
      <c r="AR431" s="2">
        <v>34.171448442181962</v>
      </c>
    </row>
    <row r="432" spans="1:44" x14ac:dyDescent="0.25">
      <c r="A432" t="s">
        <v>250</v>
      </c>
      <c r="B432" t="s">
        <v>259</v>
      </c>
      <c r="C432" t="s">
        <v>43</v>
      </c>
      <c r="D432" t="s">
        <v>260</v>
      </c>
      <c r="E432" t="s">
        <v>134</v>
      </c>
      <c r="F432" t="s">
        <v>260</v>
      </c>
      <c r="G432" t="s">
        <v>31</v>
      </c>
      <c r="H432" t="s">
        <v>253</v>
      </c>
      <c r="I432" t="s">
        <v>135</v>
      </c>
      <c r="J432" t="s">
        <v>39</v>
      </c>
      <c r="K432" t="s">
        <v>31</v>
      </c>
      <c r="L432">
        <v>44.645800000000001</v>
      </c>
      <c r="M432">
        <v>0</v>
      </c>
      <c r="N432">
        <v>0.81670651997087551</v>
      </c>
      <c r="O432">
        <v>3.1364369911764678</v>
      </c>
      <c r="P432">
        <v>0.87892520177383748</v>
      </c>
      <c r="Q432">
        <v>2.0801417060437122</v>
      </c>
      <c r="R432">
        <v>-0.65956197763071533</v>
      </c>
      <c r="S432" s="2">
        <v>1.5053594854822378E-2</v>
      </c>
      <c r="T432" s="2">
        <v>2.9967775011241347E-2</v>
      </c>
      <c r="U432" s="2">
        <v>5.2990984123302477E-2</v>
      </c>
      <c r="V432" s="2">
        <v>8.5843690578533263E-2</v>
      </c>
      <c r="W432" s="2">
        <v>0.12976450751178958</v>
      </c>
      <c r="X432" s="2">
        <v>0.1850885154733487</v>
      </c>
      <c r="Y432" s="2">
        <v>0.25073894841244693</v>
      </c>
      <c r="Z432" s="2">
        <v>0.32371553988489526</v>
      </c>
      <c r="AA432" s="2">
        <v>0.39873877174521721</v>
      </c>
      <c r="AB432" s="2">
        <v>0.46827988115586588</v>
      </c>
      <c r="AC432" s="2">
        <v>0.52322553787565562</v>
      </c>
      <c r="AD432" s="2">
        <v>0.55433134519605398</v>
      </c>
      <c r="AE432" s="2">
        <v>0.55436335833645378</v>
      </c>
      <c r="AF432" s="2">
        <v>0.52043837478397059</v>
      </c>
      <c r="AG432" s="2">
        <v>0.45570564575966299</v>
      </c>
      <c r="AH432" s="2">
        <v>0.37531839337656731</v>
      </c>
      <c r="AI432" s="2">
        <v>0.28583144961931783</v>
      </c>
      <c r="AJ432" s="2">
        <v>0.10963475679395158</v>
      </c>
      <c r="AK432" s="2">
        <v>0</v>
      </c>
      <c r="AL432" s="2">
        <v>0</v>
      </c>
      <c r="AM432" s="2">
        <v>0</v>
      </c>
      <c r="AN432" s="2">
        <v>0</v>
      </c>
      <c r="AO432" s="2">
        <v>0</v>
      </c>
      <c r="AP432" s="2">
        <v>0</v>
      </c>
      <c r="AQ432" s="2">
        <v>0</v>
      </c>
      <c r="AR432" s="2">
        <v>5.3190310704930948</v>
      </c>
    </row>
    <row r="433" spans="1:44" x14ac:dyDescent="0.25">
      <c r="A433" t="s">
        <v>250</v>
      </c>
      <c r="B433" t="s">
        <v>259</v>
      </c>
      <c r="C433" t="s">
        <v>43</v>
      </c>
      <c r="D433" t="s">
        <v>260</v>
      </c>
      <c r="E433" t="s">
        <v>134</v>
      </c>
      <c r="F433" t="s">
        <v>260</v>
      </c>
      <c r="G433" t="s">
        <v>31</v>
      </c>
      <c r="H433" t="s">
        <v>253</v>
      </c>
      <c r="I433" t="s">
        <v>135</v>
      </c>
      <c r="J433" t="s">
        <v>40</v>
      </c>
      <c r="K433" t="s">
        <v>31</v>
      </c>
      <c r="L433">
        <v>44.645800000000001</v>
      </c>
      <c r="M433">
        <v>0</v>
      </c>
      <c r="N433">
        <v>0.81670651997087551</v>
      </c>
      <c r="O433">
        <v>1.9536742558690725</v>
      </c>
      <c r="P433">
        <v>0.87892520177383748</v>
      </c>
      <c r="Q433">
        <v>0.4672931329656026</v>
      </c>
      <c r="R433">
        <v>-0.51656197763071521</v>
      </c>
      <c r="S433" s="2">
        <v>7.9185037666978705E-3</v>
      </c>
      <c r="T433" s="2">
        <v>1.5763672504448368E-2</v>
      </c>
      <c r="U433" s="2">
        <v>2.7874359010464332E-2</v>
      </c>
      <c r="V433" s="2">
        <v>4.51555654147026E-2</v>
      </c>
      <c r="W433" s="2">
        <v>6.8258827969362404E-2</v>
      </c>
      <c r="X433" s="2">
        <v>9.7360406008184797E-2</v>
      </c>
      <c r="Y433" s="2">
        <v>0.13189389820902359</v>
      </c>
      <c r="Z433" s="2">
        <v>0.17028110206486774</v>
      </c>
      <c r="AA433" s="2">
        <v>0.20974488130199109</v>
      </c>
      <c r="AB433" s="2">
        <v>0.24632495019046438</v>
      </c>
      <c r="AC433" s="2">
        <v>0.27522750761248538</v>
      </c>
      <c r="AD433" s="2">
        <v>0.29158980876434926</v>
      </c>
      <c r="AE433" s="2">
        <v>0.29160664834155892</v>
      </c>
      <c r="AF433" s="2">
        <v>0.27376140189801962</v>
      </c>
      <c r="AG433" s="2">
        <v>0.23971064102986675</v>
      </c>
      <c r="AH433" s="2">
        <v>0.19742527551226619</v>
      </c>
      <c r="AI433" s="2">
        <v>0.15035328320439156</v>
      </c>
      <c r="AJ433" s="2">
        <v>5.767016071618325E-2</v>
      </c>
      <c r="AK433" s="2">
        <v>0</v>
      </c>
      <c r="AL433" s="2">
        <v>0</v>
      </c>
      <c r="AM433" s="2">
        <v>0</v>
      </c>
      <c r="AN433" s="2">
        <v>0</v>
      </c>
      <c r="AO433" s="2">
        <v>0</v>
      </c>
      <c r="AP433" s="2">
        <v>0</v>
      </c>
      <c r="AQ433" s="2">
        <v>0</v>
      </c>
      <c r="AR433" s="2">
        <v>2.7979208935193283</v>
      </c>
    </row>
    <row r="434" spans="1:44" x14ac:dyDescent="0.25">
      <c r="A434" t="s">
        <v>250</v>
      </c>
      <c r="B434" t="s">
        <v>259</v>
      </c>
      <c r="C434" t="s">
        <v>43</v>
      </c>
      <c r="D434" t="s">
        <v>260</v>
      </c>
      <c r="E434" t="s">
        <v>134</v>
      </c>
      <c r="F434" t="s">
        <v>260</v>
      </c>
      <c r="G434" t="s">
        <v>31</v>
      </c>
      <c r="H434" t="s">
        <v>253</v>
      </c>
      <c r="I434" t="s">
        <v>256</v>
      </c>
      <c r="J434" t="s">
        <v>39</v>
      </c>
      <c r="K434" t="s">
        <v>31</v>
      </c>
      <c r="L434">
        <v>44.645800000000001</v>
      </c>
      <c r="M434">
        <v>0</v>
      </c>
      <c r="N434">
        <v>0.69825038137686057</v>
      </c>
      <c r="O434">
        <v>2.6815242338601144</v>
      </c>
      <c r="P434">
        <v>1.125330756000142</v>
      </c>
      <c r="Q434">
        <v>0.4672931329656026</v>
      </c>
      <c r="R434">
        <v>-0.41315642340441067</v>
      </c>
      <c r="S434" s="2">
        <v>7.8965274474012172E-3</v>
      </c>
      <c r="T434" s="2">
        <v>1.5719923393448059E-2</v>
      </c>
      <c r="U434" s="2">
        <v>2.7796998964696631E-2</v>
      </c>
      <c r="V434" s="2">
        <v>4.503024462774436E-2</v>
      </c>
      <c r="W434" s="2">
        <v>6.8069388418347893E-2</v>
      </c>
      <c r="X434" s="2">
        <v>9.7090200495587087E-2</v>
      </c>
      <c r="Y434" s="2">
        <v>0.13152785147775703</v>
      </c>
      <c r="Z434" s="2">
        <v>0.16980851886235651</v>
      </c>
      <c r="AA434" s="2">
        <v>0.20916277379555587</v>
      </c>
      <c r="AB434" s="2">
        <v>0.24564132157632096</v>
      </c>
      <c r="AC434" s="2">
        <v>0.27446366538108408</v>
      </c>
      <c r="AD434" s="2">
        <v>0.2907805560406207</v>
      </c>
      <c r="AE434" s="2">
        <v>0.29079734888274805</v>
      </c>
      <c r="AF434" s="2">
        <v>0.27300162856754362</v>
      </c>
      <c r="AG434" s="2">
        <v>0.23904536918795222</v>
      </c>
      <c r="AH434" s="2">
        <v>0.19687735875681373</v>
      </c>
      <c r="AI434" s="2">
        <v>0.14993600591863762</v>
      </c>
      <c r="AJ434" s="2">
        <v>5.7510108021490015E-2</v>
      </c>
      <c r="AK434" s="2">
        <v>0</v>
      </c>
      <c r="AL434" s="2">
        <v>0</v>
      </c>
      <c r="AM434" s="2">
        <v>0</v>
      </c>
      <c r="AN434" s="2">
        <v>0</v>
      </c>
      <c r="AO434" s="2">
        <v>0</v>
      </c>
      <c r="AP434" s="2">
        <v>0</v>
      </c>
      <c r="AQ434" s="2">
        <v>0</v>
      </c>
      <c r="AR434" s="2">
        <v>2.7901557898161053</v>
      </c>
    </row>
    <row r="435" spans="1:44" x14ac:dyDescent="0.25">
      <c r="A435" t="s">
        <v>250</v>
      </c>
      <c r="B435" t="s">
        <v>259</v>
      </c>
      <c r="C435" t="s">
        <v>43</v>
      </c>
      <c r="D435" t="s">
        <v>260</v>
      </c>
      <c r="E435" t="s">
        <v>134</v>
      </c>
      <c r="F435" t="s">
        <v>260</v>
      </c>
      <c r="G435" t="s">
        <v>31</v>
      </c>
      <c r="H435" t="s">
        <v>252</v>
      </c>
      <c r="I435" t="s">
        <v>135</v>
      </c>
      <c r="J435" t="s">
        <v>39</v>
      </c>
      <c r="K435" t="s">
        <v>31</v>
      </c>
      <c r="L435">
        <v>44.645800000000001</v>
      </c>
      <c r="M435">
        <v>0</v>
      </c>
      <c r="N435">
        <v>0.81670651997087551</v>
      </c>
      <c r="O435">
        <v>3.1364369911764678</v>
      </c>
      <c r="P435">
        <v>0.87892520177383748</v>
      </c>
      <c r="Q435">
        <v>2.0801417060437122</v>
      </c>
      <c r="R435">
        <v>-0.65956197763071533</v>
      </c>
      <c r="S435" s="2">
        <v>0.42488033985004198</v>
      </c>
      <c r="T435" s="2">
        <v>0.84616549131075547</v>
      </c>
      <c r="U435" s="2">
        <v>1.4968462488351935</v>
      </c>
      <c r="V435" s="2">
        <v>2.4258167285790928</v>
      </c>
      <c r="W435" s="2">
        <v>3.6684273860250349</v>
      </c>
      <c r="X435" s="2">
        <v>5.2345321818349957</v>
      </c>
      <c r="Y435" s="2">
        <v>7.0940557989117963</v>
      </c>
      <c r="Z435" s="2">
        <v>9.1624316110371655</v>
      </c>
      <c r="AA435" s="2">
        <v>11.290419085364096</v>
      </c>
      <c r="AB435" s="2">
        <v>13.26482403827621</v>
      </c>
      <c r="AC435" s="2">
        <v>14.827206119261296</v>
      </c>
      <c r="AD435" s="2">
        <v>15.714994256541225</v>
      </c>
      <c r="AE435" s="2">
        <v>15.722214052694561</v>
      </c>
      <c r="AF435" s="2">
        <v>14.766001140512726</v>
      </c>
      <c r="AG435" s="2">
        <v>12.934581829718841</v>
      </c>
      <c r="AH435" s="2">
        <v>10.657178258388525</v>
      </c>
      <c r="AI435" s="2">
        <v>8.1194533579307251</v>
      </c>
      <c r="AJ435" s="2">
        <v>3.9308751945620712</v>
      </c>
      <c r="AK435" s="2">
        <v>0</v>
      </c>
      <c r="AL435" s="2">
        <v>0</v>
      </c>
      <c r="AM435" s="2">
        <v>0</v>
      </c>
      <c r="AN435" s="2">
        <v>0</v>
      </c>
      <c r="AO435" s="2">
        <v>0</v>
      </c>
      <c r="AP435" s="2">
        <v>0</v>
      </c>
      <c r="AQ435" s="2">
        <v>0</v>
      </c>
      <c r="AR435" s="2">
        <v>151.58090311963437</v>
      </c>
    </row>
    <row r="436" spans="1:44" x14ac:dyDescent="0.25">
      <c r="A436" t="s">
        <v>250</v>
      </c>
      <c r="B436" t="s">
        <v>259</v>
      </c>
      <c r="C436" t="s">
        <v>43</v>
      </c>
      <c r="D436" t="s">
        <v>260</v>
      </c>
      <c r="E436" t="s">
        <v>134</v>
      </c>
      <c r="F436" t="s">
        <v>260</v>
      </c>
      <c r="G436" t="s">
        <v>31</v>
      </c>
      <c r="H436" t="s">
        <v>255</v>
      </c>
      <c r="I436" t="s">
        <v>135</v>
      </c>
      <c r="J436" t="s">
        <v>39</v>
      </c>
      <c r="K436" t="s">
        <v>31</v>
      </c>
      <c r="L436">
        <v>44.645800000000001</v>
      </c>
      <c r="M436">
        <v>0</v>
      </c>
      <c r="N436">
        <v>0.81670651997087551</v>
      </c>
      <c r="O436">
        <v>3.1364369911764678</v>
      </c>
      <c r="P436">
        <v>0.87892520177383748</v>
      </c>
      <c r="Q436">
        <v>2.0801417060437122</v>
      </c>
      <c r="R436">
        <v>-0.65956197763071533</v>
      </c>
      <c r="S436" s="2">
        <v>2.5131977320013443E-2</v>
      </c>
      <c r="T436" s="2">
        <v>4.9785039640845227E-2</v>
      </c>
      <c r="U436" s="2">
        <v>8.7600032034532052E-2</v>
      </c>
      <c r="V436" s="2">
        <v>0.14121101753953591</v>
      </c>
      <c r="W436" s="2">
        <v>0.21240955394807615</v>
      </c>
      <c r="X436" s="2">
        <v>0.30147792561509645</v>
      </c>
      <c r="Y436" s="2">
        <v>0.40640193628967991</v>
      </c>
      <c r="Z436" s="2">
        <v>0.52210209822846065</v>
      </c>
      <c r="AA436" s="2">
        <v>0.63993855943147548</v>
      </c>
      <c r="AB436" s="2">
        <v>0.74784782368262981</v>
      </c>
      <c r="AC436" s="2">
        <v>0.83148532732672109</v>
      </c>
      <c r="AD436" s="2">
        <v>0.87658294324850627</v>
      </c>
      <c r="AE436" s="2">
        <v>0.87232037816244656</v>
      </c>
      <c r="AF436" s="2">
        <v>0.81490828861839648</v>
      </c>
      <c r="AG436" s="2">
        <v>0.71003826541745985</v>
      </c>
      <c r="AH436" s="2">
        <v>0.58190905595184139</v>
      </c>
      <c r="AI436" s="2">
        <v>6.7616133373542317E-2</v>
      </c>
      <c r="AJ436" s="2">
        <v>0</v>
      </c>
      <c r="AK436" s="2">
        <v>0</v>
      </c>
      <c r="AL436" s="2">
        <v>0</v>
      </c>
      <c r="AM436" s="2">
        <v>0</v>
      </c>
      <c r="AN436" s="2">
        <v>0</v>
      </c>
      <c r="AO436" s="2">
        <v>0</v>
      </c>
      <c r="AP436" s="2">
        <v>0</v>
      </c>
      <c r="AQ436" s="2">
        <v>0</v>
      </c>
      <c r="AR436" s="2">
        <v>7.8887663558292589</v>
      </c>
    </row>
    <row r="437" spans="1:44" x14ac:dyDescent="0.25">
      <c r="A437" t="s">
        <v>250</v>
      </c>
      <c r="B437" t="s">
        <v>320</v>
      </c>
      <c r="C437" t="s">
        <v>44</v>
      </c>
      <c r="D437" t="s">
        <v>187</v>
      </c>
      <c r="E437" t="s">
        <v>134</v>
      </c>
      <c r="F437" t="s">
        <v>187</v>
      </c>
      <c r="G437" t="s">
        <v>31</v>
      </c>
      <c r="H437" t="s">
        <v>253</v>
      </c>
      <c r="I437" t="s">
        <v>135</v>
      </c>
      <c r="J437" t="s">
        <v>39</v>
      </c>
      <c r="K437" t="s">
        <v>31</v>
      </c>
      <c r="L437">
        <v>8.1058333333333348</v>
      </c>
      <c r="M437">
        <v>1</v>
      </c>
      <c r="N437">
        <v>3.7873058908027946</v>
      </c>
      <c r="O437">
        <v>5.375660204303025</v>
      </c>
      <c r="P437">
        <v>-1.6353884600453192</v>
      </c>
      <c r="Q437">
        <v>0.76881846021619471</v>
      </c>
      <c r="R437">
        <v>-1.8625523936223536</v>
      </c>
      <c r="S437" s="2">
        <v>0.71383998398233051</v>
      </c>
      <c r="T437" s="2">
        <v>1.4210689367103355</v>
      </c>
      <c r="U437" s="2">
        <v>2.5128272430999004</v>
      </c>
      <c r="V437" s="2">
        <v>4.0706993444780988</v>
      </c>
      <c r="W437" s="2">
        <v>6.1534201535931974</v>
      </c>
      <c r="X437" s="2">
        <v>8.776879157105995</v>
      </c>
      <c r="Y437" s="2">
        <v>11.890016215040449</v>
      </c>
      <c r="Z437" s="2">
        <v>15.350558988389333</v>
      </c>
      <c r="AA437" s="2">
        <v>18.908153247166588</v>
      </c>
      <c r="AB437" s="2">
        <v>22.20578579982616</v>
      </c>
      <c r="AC437" s="2">
        <v>24.811303424753373</v>
      </c>
      <c r="AD437" s="2">
        <v>26.286337741372925</v>
      </c>
      <c r="AE437" s="2">
        <v>26.287855801334729</v>
      </c>
      <c r="AF437" s="2">
        <v>24.679136425713462</v>
      </c>
      <c r="AG437" s="2">
        <v>21.609516796948082</v>
      </c>
      <c r="AH437" s="2">
        <v>17.797561213783851</v>
      </c>
      <c r="AI437" s="2">
        <v>13.554099162735017</v>
      </c>
      <c r="AJ437" s="2">
        <v>5.1988693590108976</v>
      </c>
      <c r="AK437" s="2">
        <v>0</v>
      </c>
      <c r="AL437" s="2">
        <v>0</v>
      </c>
      <c r="AM437" s="2">
        <v>0</v>
      </c>
      <c r="AN437" s="2">
        <v>0</v>
      </c>
      <c r="AO437" s="2">
        <v>0</v>
      </c>
      <c r="AP437" s="2">
        <v>0</v>
      </c>
      <c r="AQ437" s="2">
        <v>0</v>
      </c>
      <c r="AR437" s="2">
        <v>252.22792899504475</v>
      </c>
    </row>
    <row r="438" spans="1:44" x14ac:dyDescent="0.25">
      <c r="A438" t="s">
        <v>250</v>
      </c>
      <c r="B438" t="s">
        <v>320</v>
      </c>
      <c r="C438" t="s">
        <v>44</v>
      </c>
      <c r="D438" t="s">
        <v>187</v>
      </c>
      <c r="E438" t="s">
        <v>134</v>
      </c>
      <c r="F438" t="s">
        <v>187</v>
      </c>
      <c r="G438" t="s">
        <v>31</v>
      </c>
      <c r="H438" t="s">
        <v>253</v>
      </c>
      <c r="I438" t="s">
        <v>135</v>
      </c>
      <c r="J438" t="s">
        <v>40</v>
      </c>
      <c r="K438" t="s">
        <v>31</v>
      </c>
      <c r="L438">
        <v>8.1058333333333348</v>
      </c>
      <c r="M438">
        <v>1</v>
      </c>
      <c r="N438">
        <v>3.7873058908027946</v>
      </c>
      <c r="O438">
        <v>4.1746294160814506</v>
      </c>
      <c r="P438">
        <v>-1.6353884600453192</v>
      </c>
      <c r="Q438">
        <v>0.4672931329656026</v>
      </c>
      <c r="R438">
        <v>-1.7195523936223529</v>
      </c>
      <c r="S438" s="2">
        <v>0.3754946679844286</v>
      </c>
      <c r="T438" s="2">
        <v>0.74751179612578322</v>
      </c>
      <c r="U438" s="2">
        <v>1.3217993563293864</v>
      </c>
      <c r="V438" s="2">
        <v>2.1412724603796778</v>
      </c>
      <c r="W438" s="2">
        <v>3.2368268931253388</v>
      </c>
      <c r="X438" s="2">
        <v>4.6168208547961394</v>
      </c>
      <c r="Y438" s="2">
        <v>6.2543956505336311</v>
      </c>
      <c r="Z438" s="2">
        <v>8.0747130730397902</v>
      </c>
      <c r="AA438" s="2">
        <v>9.946081593993835</v>
      </c>
      <c r="AB438" s="2">
        <v>11.680704854500631</v>
      </c>
      <c r="AC438" s="2">
        <v>13.051261278142821</v>
      </c>
      <c r="AD438" s="2">
        <v>13.827159985714248</v>
      </c>
      <c r="AE438" s="2">
        <v>13.827958516805429</v>
      </c>
      <c r="AF438" s="2">
        <v>12.981738689696424</v>
      </c>
      <c r="AG438" s="2">
        <v>11.367054966165641</v>
      </c>
      <c r="AH438" s="2">
        <v>9.3618871019527088</v>
      </c>
      <c r="AI438" s="2">
        <v>7.1297378672265372</v>
      </c>
      <c r="AJ438" s="2">
        <v>2.7347133358455276</v>
      </c>
      <c r="AK438" s="2">
        <v>0</v>
      </c>
      <c r="AL438" s="2">
        <v>0</v>
      </c>
      <c r="AM438" s="2">
        <v>0</v>
      </c>
      <c r="AN438" s="2">
        <v>0</v>
      </c>
      <c r="AO438" s="2">
        <v>0</v>
      </c>
      <c r="AP438" s="2">
        <v>0</v>
      </c>
      <c r="AQ438" s="2">
        <v>0</v>
      </c>
      <c r="AR438" s="2">
        <v>132.67713294235799</v>
      </c>
    </row>
    <row r="439" spans="1:44" x14ac:dyDescent="0.25">
      <c r="A439" t="s">
        <v>250</v>
      </c>
      <c r="B439" t="s">
        <v>320</v>
      </c>
      <c r="C439" t="s">
        <v>44</v>
      </c>
      <c r="D439" t="s">
        <v>187</v>
      </c>
      <c r="E439" t="s">
        <v>134</v>
      </c>
      <c r="F439" t="s">
        <v>187</v>
      </c>
      <c r="G439" t="s">
        <v>31</v>
      </c>
      <c r="H439" t="s">
        <v>253</v>
      </c>
      <c r="I439" t="s">
        <v>256</v>
      </c>
      <c r="J439" t="s">
        <v>39</v>
      </c>
      <c r="K439" t="s">
        <v>31</v>
      </c>
      <c r="L439">
        <v>8.1058333333333348</v>
      </c>
      <c r="M439">
        <v>1</v>
      </c>
      <c r="N439">
        <v>1.8844679296312008</v>
      </c>
      <c r="O439">
        <v>2.6747929920855817</v>
      </c>
      <c r="P439">
        <v>-0.17245150869645037</v>
      </c>
      <c r="Q439">
        <v>0.4672931329656026</v>
      </c>
      <c r="R439">
        <v>-0.3996154422734845</v>
      </c>
      <c r="S439" s="2">
        <v>0.37445255308987985</v>
      </c>
      <c r="T439" s="2">
        <v>0.74543721759508141</v>
      </c>
      <c r="U439" s="2">
        <v>1.3181309505854926</v>
      </c>
      <c r="V439" s="2">
        <v>2.1353297610166577</v>
      </c>
      <c r="W439" s="2">
        <v>3.2278436882918107</v>
      </c>
      <c r="X439" s="2">
        <v>4.6040077360265137</v>
      </c>
      <c r="Y439" s="2">
        <v>6.2370377506230712</v>
      </c>
      <c r="Z439" s="2">
        <v>8.052303224165529</v>
      </c>
      <c r="AA439" s="2">
        <v>9.9184781134247633</v>
      </c>
      <c r="AB439" s="2">
        <v>11.648287253012322</v>
      </c>
      <c r="AC439" s="2">
        <v>13.015039954831876</v>
      </c>
      <c r="AD439" s="2">
        <v>13.788785301333862</v>
      </c>
      <c r="AE439" s="2">
        <v>13.789581616252041</v>
      </c>
      <c r="AF439" s="2">
        <v>12.945710313266231</v>
      </c>
      <c r="AG439" s="2">
        <v>11.335507841006764</v>
      </c>
      <c r="AH439" s="2">
        <v>9.3359049434246018</v>
      </c>
      <c r="AI439" s="2">
        <v>7.1099506194726647</v>
      </c>
      <c r="AJ439" s="2">
        <v>2.7271236528417271</v>
      </c>
      <c r="AK439" s="2">
        <v>0</v>
      </c>
      <c r="AL439" s="2">
        <v>0</v>
      </c>
      <c r="AM439" s="2">
        <v>0</v>
      </c>
      <c r="AN439" s="2">
        <v>0</v>
      </c>
      <c r="AO439" s="2">
        <v>0</v>
      </c>
      <c r="AP439" s="2">
        <v>0</v>
      </c>
      <c r="AQ439" s="2">
        <v>0</v>
      </c>
      <c r="AR439" s="2">
        <v>132.30891249026092</v>
      </c>
    </row>
    <row r="440" spans="1:44" x14ac:dyDescent="0.25">
      <c r="A440" t="s">
        <v>250</v>
      </c>
      <c r="B440" t="s">
        <v>321</v>
      </c>
      <c r="C440" t="s">
        <v>44</v>
      </c>
      <c r="D440" t="s">
        <v>187</v>
      </c>
      <c r="E440" t="s">
        <v>134</v>
      </c>
      <c r="F440" t="s">
        <v>187</v>
      </c>
      <c r="G440" t="s">
        <v>31</v>
      </c>
      <c r="H440" t="s">
        <v>252</v>
      </c>
      <c r="I440" t="s">
        <v>135</v>
      </c>
      <c r="J440" t="s">
        <v>39</v>
      </c>
      <c r="K440" t="s">
        <v>31</v>
      </c>
      <c r="L440">
        <v>5.53</v>
      </c>
      <c r="M440">
        <v>1</v>
      </c>
      <c r="N440">
        <v>2.9727795060322202</v>
      </c>
      <c r="O440">
        <v>5.4421202420407457</v>
      </c>
      <c r="P440">
        <v>-1.4126267988180814</v>
      </c>
      <c r="Q440">
        <v>0.99158012144343133</v>
      </c>
      <c r="R440">
        <v>-1.8625523936223525</v>
      </c>
      <c r="S440" s="2">
        <v>3.8909153120779943E-2</v>
      </c>
      <c r="T440" s="2">
        <v>7.7489070637041677E-2</v>
      </c>
      <c r="U440" s="2">
        <v>0.13707628814915118</v>
      </c>
      <c r="V440" s="2">
        <v>0.22214836904090776</v>
      </c>
      <c r="W440" s="2">
        <v>0.33594259250895891</v>
      </c>
      <c r="X440" s="2">
        <v>0.4793613520704495</v>
      </c>
      <c r="Y440" s="2">
        <v>0.64965044846423414</v>
      </c>
      <c r="Z440" s="2">
        <v>0.83906554640382813</v>
      </c>
      <c r="AA440" s="2">
        <v>1.0339396855718377</v>
      </c>
      <c r="AB440" s="2">
        <v>1.2147492392979471</v>
      </c>
      <c r="AC440" s="2">
        <v>1.3578270848006766</v>
      </c>
      <c r="AD440" s="2">
        <v>1.4391278213431782</v>
      </c>
      <c r="AE440" s="2">
        <v>1.4397889866824125</v>
      </c>
      <c r="AF440" s="2">
        <v>1.3522221328494457</v>
      </c>
      <c r="AG440" s="2">
        <v>1.1845067369872064</v>
      </c>
      <c r="AH440" s="2">
        <v>0.97594955991006216</v>
      </c>
      <c r="AI440" s="2">
        <v>0.74355300617641973</v>
      </c>
      <c r="AJ440" s="2">
        <v>0.35997670520098213</v>
      </c>
      <c r="AK440" s="2">
        <v>0</v>
      </c>
      <c r="AL440" s="2">
        <v>0</v>
      </c>
      <c r="AM440" s="2">
        <v>0</v>
      </c>
      <c r="AN440" s="2">
        <v>0</v>
      </c>
      <c r="AO440" s="2">
        <v>0</v>
      </c>
      <c r="AP440" s="2">
        <v>0</v>
      </c>
      <c r="AQ440" s="2">
        <v>0</v>
      </c>
      <c r="AR440" s="2">
        <v>13.88128377921552</v>
      </c>
    </row>
    <row r="441" spans="1:44" x14ac:dyDescent="0.25">
      <c r="A441" t="s">
        <v>250</v>
      </c>
      <c r="B441" t="s">
        <v>315</v>
      </c>
      <c r="C441" t="s">
        <v>44</v>
      </c>
      <c r="D441" t="s">
        <v>187</v>
      </c>
      <c r="E441" t="s">
        <v>134</v>
      </c>
      <c r="F441" t="s">
        <v>187</v>
      </c>
      <c r="G441" t="s">
        <v>31</v>
      </c>
      <c r="H441" t="s">
        <v>288</v>
      </c>
      <c r="I441" t="s">
        <v>135</v>
      </c>
      <c r="J441" t="s">
        <v>39</v>
      </c>
      <c r="K441" t="s">
        <v>31</v>
      </c>
      <c r="L441">
        <v>8.1058333333333348</v>
      </c>
      <c r="M441">
        <v>1</v>
      </c>
      <c r="N441">
        <v>3.857794741759645</v>
      </c>
      <c r="O441">
        <v>5.4757113018011117</v>
      </c>
      <c r="P441">
        <v>-1.6353884600453192</v>
      </c>
      <c r="Q441">
        <v>0.7688184602161946</v>
      </c>
      <c r="R441">
        <v>-1.8625523936223536</v>
      </c>
      <c r="S441" s="2">
        <v>0.49254001991928187</v>
      </c>
      <c r="T441" s="2">
        <v>0.98160152760649033</v>
      </c>
      <c r="U441" s="2">
        <v>1.7376493295688633</v>
      </c>
      <c r="V441" s="2">
        <v>2.8180452244073191</v>
      </c>
      <c r="W441" s="2">
        <v>4.2645668507068084</v>
      </c>
      <c r="X441" s="2">
        <v>6.0894476599767211</v>
      </c>
      <c r="Y441" s="2">
        <v>8.2584711489781863</v>
      </c>
      <c r="Z441" s="2">
        <v>10.673843474269185</v>
      </c>
      <c r="AA441" s="2">
        <v>13.162099647513431</v>
      </c>
      <c r="AB441" s="2">
        <v>15.474678433780127</v>
      </c>
      <c r="AC441" s="2">
        <v>17.309498787912194</v>
      </c>
      <c r="AD441" s="2">
        <v>18.35880556746692</v>
      </c>
      <c r="AE441" s="2">
        <v>18.380144801491021</v>
      </c>
      <c r="AF441" s="2">
        <v>17.274407064960155</v>
      </c>
      <c r="AG441" s="2">
        <v>15.142503141350607</v>
      </c>
      <c r="AH441" s="2">
        <v>12.485114737160679</v>
      </c>
      <c r="AI441" s="2">
        <v>9.5187983593140899</v>
      </c>
      <c r="AJ441" s="2">
        <v>6.2841610946992699</v>
      </c>
      <c r="AK441" s="2">
        <v>0</v>
      </c>
      <c r="AL441" s="2">
        <v>0</v>
      </c>
      <c r="AM441" s="2">
        <v>0</v>
      </c>
      <c r="AN441" s="2">
        <v>0</v>
      </c>
      <c r="AO441" s="2">
        <v>0</v>
      </c>
      <c r="AP441" s="2">
        <v>0</v>
      </c>
      <c r="AQ441" s="2">
        <v>0</v>
      </c>
      <c r="AR441" s="2">
        <v>178.70637687108135</v>
      </c>
    </row>
    <row r="442" spans="1:44" x14ac:dyDescent="0.25">
      <c r="A442" t="s">
        <v>250</v>
      </c>
      <c r="B442" t="s">
        <v>315</v>
      </c>
      <c r="C442" t="s">
        <v>44</v>
      </c>
      <c r="D442" t="s">
        <v>187</v>
      </c>
      <c r="E442" t="s">
        <v>134</v>
      </c>
      <c r="F442" t="s">
        <v>187</v>
      </c>
      <c r="G442" t="s">
        <v>31</v>
      </c>
      <c r="H442" t="s">
        <v>288</v>
      </c>
      <c r="I442" t="s">
        <v>135</v>
      </c>
      <c r="J442" t="s">
        <v>39</v>
      </c>
      <c r="K442" t="s">
        <v>33</v>
      </c>
      <c r="L442">
        <v>8.1058333333333348</v>
      </c>
      <c r="M442">
        <v>1</v>
      </c>
      <c r="N442">
        <v>3.857794741759645</v>
      </c>
      <c r="O442">
        <v>5.4757113018011117</v>
      </c>
      <c r="P442">
        <v>-1.6353884600453192</v>
      </c>
      <c r="Q442">
        <v>0.7688184602161946</v>
      </c>
      <c r="R442">
        <v>-1.8625523936223536</v>
      </c>
      <c r="S442" s="2">
        <v>4.6333798092930544E-3</v>
      </c>
      <c r="T442" s="2">
        <v>9.2340368596413435E-3</v>
      </c>
      <c r="U442" s="2">
        <v>1.6346264249908919E-2</v>
      </c>
      <c r="V442" s="2">
        <v>2.6509670922950389E-2</v>
      </c>
      <c r="W442" s="2">
        <v>4.0117263861490039E-2</v>
      </c>
      <c r="X442" s="2">
        <v>5.7284124530848995E-2</v>
      </c>
      <c r="Y442" s="2">
        <v>7.7688374405750063E-2</v>
      </c>
      <c r="Z442" s="2">
        <v>0.10041005571351987</v>
      </c>
      <c r="AA442" s="2">
        <v>0.12381736364221989</v>
      </c>
      <c r="AB442" s="2">
        <v>0.14557205447413152</v>
      </c>
      <c r="AC442" s="2">
        <v>0.16283241756890834</v>
      </c>
      <c r="AD442" s="2">
        <v>0.17270336540973552</v>
      </c>
      <c r="AE442" s="2">
        <v>0.172904106003544</v>
      </c>
      <c r="AF442" s="2">
        <v>0.16250230575256111</v>
      </c>
      <c r="AG442" s="2">
        <v>0.14244724383774671</v>
      </c>
      <c r="AH442" s="2">
        <v>0.11744888983710952</v>
      </c>
      <c r="AI442" s="2">
        <v>8.9544415363457419E-2</v>
      </c>
      <c r="AJ442" s="2">
        <v>5.9115815886993571E-2</v>
      </c>
      <c r="AK442" s="2">
        <v>0</v>
      </c>
      <c r="AL442" s="2">
        <v>0</v>
      </c>
      <c r="AM442" s="2">
        <v>0</v>
      </c>
      <c r="AN442" s="2">
        <v>0</v>
      </c>
      <c r="AO442" s="2">
        <v>0</v>
      </c>
      <c r="AP442" s="2">
        <v>0</v>
      </c>
      <c r="AQ442" s="2">
        <v>0</v>
      </c>
      <c r="AR442" s="2">
        <v>1.6811111481298102</v>
      </c>
    </row>
    <row r="443" spans="1:44" x14ac:dyDescent="0.25">
      <c r="A443" t="s">
        <v>250</v>
      </c>
      <c r="B443" t="s">
        <v>315</v>
      </c>
      <c r="C443" t="s">
        <v>44</v>
      </c>
      <c r="D443" t="s">
        <v>187</v>
      </c>
      <c r="E443" t="s">
        <v>134</v>
      </c>
      <c r="F443" t="s">
        <v>187</v>
      </c>
      <c r="G443" t="s">
        <v>31</v>
      </c>
      <c r="H443" t="s">
        <v>289</v>
      </c>
      <c r="I443" t="s">
        <v>135</v>
      </c>
      <c r="J443" t="s">
        <v>39</v>
      </c>
      <c r="K443" t="s">
        <v>31</v>
      </c>
      <c r="L443">
        <v>8.1058333333333348</v>
      </c>
      <c r="M443">
        <v>1</v>
      </c>
      <c r="N443">
        <v>3.857794741759645</v>
      </c>
      <c r="O443">
        <v>5.4757113018011117</v>
      </c>
      <c r="P443">
        <v>-1.6353884600453192</v>
      </c>
      <c r="Q443">
        <v>0.7688184602161946</v>
      </c>
      <c r="R443">
        <v>-1.8625523936223536</v>
      </c>
      <c r="S443" s="2">
        <v>0.4681379382166973</v>
      </c>
      <c r="T443" s="2">
        <v>0.93296970134400548</v>
      </c>
      <c r="U443" s="2">
        <v>1.6515603638082144</v>
      </c>
      <c r="V443" s="2">
        <v>2.6784298286495596</v>
      </c>
      <c r="W443" s="2">
        <v>4.0532859303581734</v>
      </c>
      <c r="X443" s="2">
        <v>5.7877560342957963</v>
      </c>
      <c r="Y443" s="2">
        <v>7.849318837357238</v>
      </c>
      <c r="Z443" s="2">
        <v>10.145025530536609</v>
      </c>
      <c r="AA443" s="2">
        <v>12.510005161812925</v>
      </c>
      <c r="AB443" s="2">
        <v>14.708011052063185</v>
      </c>
      <c r="AC443" s="2">
        <v>16.451928262531037</v>
      </c>
      <c r="AD443" s="2">
        <v>17.449248870951969</v>
      </c>
      <c r="AE443" s="2">
        <v>17.469530887874775</v>
      </c>
      <c r="AF443" s="2">
        <v>16.418575101027677</v>
      </c>
      <c r="AG443" s="2">
        <v>14.392292835805415</v>
      </c>
      <c r="AH443" s="2">
        <v>11.866560350590696</v>
      </c>
      <c r="AI443" s="2">
        <v>9.0472052178827091</v>
      </c>
      <c r="AJ443" s="2">
        <v>5.9728227135253613</v>
      </c>
      <c r="AK443" s="2">
        <v>0</v>
      </c>
      <c r="AL443" s="2">
        <v>0</v>
      </c>
      <c r="AM443" s="2">
        <v>0</v>
      </c>
      <c r="AN443" s="2">
        <v>0</v>
      </c>
      <c r="AO443" s="2">
        <v>0</v>
      </c>
      <c r="AP443" s="2">
        <v>0</v>
      </c>
      <c r="AQ443" s="2">
        <v>0</v>
      </c>
      <c r="AR443" s="2">
        <v>169.85266461863205</v>
      </c>
    </row>
    <row r="444" spans="1:44" x14ac:dyDescent="0.25">
      <c r="A444" t="s">
        <v>250</v>
      </c>
      <c r="B444" t="s">
        <v>315</v>
      </c>
      <c r="C444" t="s">
        <v>44</v>
      </c>
      <c r="D444" t="s">
        <v>187</v>
      </c>
      <c r="E444" t="s">
        <v>134</v>
      </c>
      <c r="F444" t="s">
        <v>187</v>
      </c>
      <c r="G444" t="s">
        <v>31</v>
      </c>
      <c r="H444" t="s">
        <v>290</v>
      </c>
      <c r="I444" t="s">
        <v>135</v>
      </c>
      <c r="J444" t="s">
        <v>39</v>
      </c>
      <c r="K444" t="s">
        <v>31</v>
      </c>
      <c r="L444">
        <v>8.1058333333333348</v>
      </c>
      <c r="M444">
        <v>1</v>
      </c>
      <c r="N444">
        <v>3.857794741759645</v>
      </c>
      <c r="O444">
        <v>5.4757113018011117</v>
      </c>
      <c r="P444">
        <v>-1.6353884600453192</v>
      </c>
      <c r="Q444">
        <v>0.7688184602161946</v>
      </c>
      <c r="R444">
        <v>-1.8625523936223536</v>
      </c>
      <c r="S444" s="2">
        <v>0.67789561926949871</v>
      </c>
      <c r="T444" s="2">
        <v>1.3510036718269882</v>
      </c>
      <c r="U444" s="2">
        <v>2.3915718940652932</v>
      </c>
      <c r="V444" s="2">
        <v>3.8785488189205872</v>
      </c>
      <c r="W444" s="2">
        <v>5.8694340952230357</v>
      </c>
      <c r="X444" s="2">
        <v>8.3810649399527453</v>
      </c>
      <c r="Y444" s="2">
        <v>11.36634829119739</v>
      </c>
      <c r="Z444" s="2">
        <v>14.690687942801505</v>
      </c>
      <c r="AA444" s="2">
        <v>18.115339526928604</v>
      </c>
      <c r="AB444" s="2">
        <v>21.298201761519579</v>
      </c>
      <c r="AC444" s="2">
        <v>23.823512659944594</v>
      </c>
      <c r="AD444" s="2">
        <v>25.267700828139553</v>
      </c>
      <c r="AE444" s="2">
        <v>25.29707057004574</v>
      </c>
      <c r="AF444" s="2">
        <v>23.77521501041409</v>
      </c>
      <c r="AG444" s="2">
        <v>20.841020280907216</v>
      </c>
      <c r="AH444" s="2">
        <v>17.183587615449621</v>
      </c>
      <c r="AI444" s="2">
        <v>13.10096935787309</v>
      </c>
      <c r="AJ444" s="2">
        <v>8.649054096311934</v>
      </c>
      <c r="AK444" s="2">
        <v>0</v>
      </c>
      <c r="AL444" s="2">
        <v>0</v>
      </c>
      <c r="AM444" s="2">
        <v>0</v>
      </c>
      <c r="AN444" s="2">
        <v>0</v>
      </c>
      <c r="AO444" s="2">
        <v>0</v>
      </c>
      <c r="AP444" s="2">
        <v>0</v>
      </c>
      <c r="AQ444" s="2">
        <v>0</v>
      </c>
      <c r="AR444" s="2">
        <v>245.95822698079107</v>
      </c>
    </row>
    <row r="445" spans="1:44" x14ac:dyDescent="0.25">
      <c r="A445" t="s">
        <v>250</v>
      </c>
      <c r="B445" t="s">
        <v>322</v>
      </c>
      <c r="C445" t="s">
        <v>44</v>
      </c>
      <c r="D445" t="s">
        <v>187</v>
      </c>
      <c r="E445" t="s">
        <v>134</v>
      </c>
      <c r="F445" t="s">
        <v>187</v>
      </c>
      <c r="G445" t="s">
        <v>31</v>
      </c>
      <c r="H445" t="s">
        <v>254</v>
      </c>
      <c r="I445" t="s">
        <v>135</v>
      </c>
      <c r="J445" t="s">
        <v>39</v>
      </c>
      <c r="K445" t="s">
        <v>31</v>
      </c>
      <c r="L445">
        <v>5.53</v>
      </c>
      <c r="M445">
        <v>1</v>
      </c>
      <c r="N445">
        <v>2.9560080832859934</v>
      </c>
      <c r="O445">
        <v>5.411417628870181</v>
      </c>
      <c r="P445">
        <v>-1.4126267988180841</v>
      </c>
      <c r="Q445">
        <v>0.99158012144343211</v>
      </c>
      <c r="R445">
        <v>-1.8625523936223547</v>
      </c>
      <c r="S445" s="2">
        <v>0.20324902716814888</v>
      </c>
      <c r="T445" s="2">
        <v>0.40445862427468388</v>
      </c>
      <c r="U445" s="2">
        <v>0.71491257246272077</v>
      </c>
      <c r="V445" s="2">
        <v>1.1576857264590195</v>
      </c>
      <c r="W445" s="2">
        <v>1.7493212420009718</v>
      </c>
      <c r="X445" s="2">
        <v>2.4941609066372852</v>
      </c>
      <c r="Y445" s="2">
        <v>3.3775216734054347</v>
      </c>
      <c r="Z445" s="2">
        <v>4.3588431474718998</v>
      </c>
      <c r="AA445" s="2">
        <v>5.3669494974298129</v>
      </c>
      <c r="AB445" s="2">
        <v>6.3005126818160146</v>
      </c>
      <c r="AC445" s="2">
        <v>7.0370505772328489</v>
      </c>
      <c r="AD445" s="2">
        <v>7.4525092701968312</v>
      </c>
      <c r="AE445" s="2">
        <v>7.4500459920281763</v>
      </c>
      <c r="AF445" s="2">
        <v>6.991415249650589</v>
      </c>
      <c r="AG445" s="2">
        <v>6.1194380605262007</v>
      </c>
      <c r="AH445" s="2">
        <v>5.0380019528538567</v>
      </c>
      <c r="AI445" s="2">
        <v>3.8353044427370602</v>
      </c>
      <c r="AJ445" s="2">
        <v>1.0983317080289521</v>
      </c>
      <c r="AK445" s="2">
        <v>0</v>
      </c>
      <c r="AL445" s="2">
        <v>0</v>
      </c>
      <c r="AM445" s="2">
        <v>0</v>
      </c>
      <c r="AN445" s="2">
        <v>0</v>
      </c>
      <c r="AO445" s="2">
        <v>0</v>
      </c>
      <c r="AP445" s="2">
        <v>0</v>
      </c>
      <c r="AQ445" s="2">
        <v>0</v>
      </c>
      <c r="AR445" s="2">
        <v>71.149712352380504</v>
      </c>
    </row>
    <row r="446" spans="1:44" x14ac:dyDescent="0.25">
      <c r="A446" t="s">
        <v>250</v>
      </c>
      <c r="B446" t="s">
        <v>322</v>
      </c>
      <c r="C446" t="s">
        <v>44</v>
      </c>
      <c r="D446" t="s">
        <v>187</v>
      </c>
      <c r="E446" t="s">
        <v>134</v>
      </c>
      <c r="F446" t="s">
        <v>187</v>
      </c>
      <c r="G446" t="s">
        <v>31</v>
      </c>
      <c r="H446" t="s">
        <v>255</v>
      </c>
      <c r="I446" t="s">
        <v>135</v>
      </c>
      <c r="J446" t="s">
        <v>39</v>
      </c>
      <c r="K446" t="s">
        <v>31</v>
      </c>
      <c r="L446">
        <v>5.53</v>
      </c>
      <c r="M446">
        <v>1</v>
      </c>
      <c r="N446">
        <v>2.9560080832859934</v>
      </c>
      <c r="O446">
        <v>5.411417628870181</v>
      </c>
      <c r="P446">
        <v>-1.4126267988180841</v>
      </c>
      <c r="Q446">
        <v>0.99158012144343211</v>
      </c>
      <c r="R446">
        <v>-1.8625523936223547</v>
      </c>
      <c r="S446" s="2">
        <v>4.2608867596421539E-2</v>
      </c>
      <c r="T446" s="2">
        <v>8.4405780545175058E-2</v>
      </c>
      <c r="U446" s="2">
        <v>0.1485174890488746</v>
      </c>
      <c r="V446" s="2">
        <v>0.23940979545237104</v>
      </c>
      <c r="W446" s="2">
        <v>0.36012011490959334</v>
      </c>
      <c r="X446" s="2">
        <v>0.51112703358792455</v>
      </c>
      <c r="Y446" s="2">
        <v>0.68901567408732034</v>
      </c>
      <c r="Z446" s="2">
        <v>0.88517424999882377</v>
      </c>
      <c r="AA446" s="2">
        <v>1.0849547173093619</v>
      </c>
      <c r="AB446" s="2">
        <v>1.2679045701744303</v>
      </c>
      <c r="AC446" s="2">
        <v>1.4097039707344656</v>
      </c>
      <c r="AD446" s="2">
        <v>1.4861626719841841</v>
      </c>
      <c r="AE446" s="2">
        <v>1.4789358999295872</v>
      </c>
      <c r="AF446" s="2">
        <v>1.3815991846100055</v>
      </c>
      <c r="AG446" s="2">
        <v>1.2038020747167053</v>
      </c>
      <c r="AH446" s="2">
        <v>0.98657123562124094</v>
      </c>
      <c r="AI446" s="2">
        <v>0.11463669720889928</v>
      </c>
      <c r="AJ446" s="2">
        <v>0</v>
      </c>
      <c r="AK446" s="2">
        <v>0</v>
      </c>
      <c r="AL446" s="2">
        <v>0</v>
      </c>
      <c r="AM446" s="2">
        <v>0</v>
      </c>
      <c r="AN446" s="2">
        <v>0</v>
      </c>
      <c r="AO446" s="2">
        <v>0</v>
      </c>
      <c r="AP446" s="2">
        <v>0</v>
      </c>
      <c r="AQ446" s="2">
        <v>0</v>
      </c>
      <c r="AR446" s="2">
        <v>13.374650027515383</v>
      </c>
    </row>
    <row r="447" spans="1:44" x14ac:dyDescent="0.25">
      <c r="A447" t="s">
        <v>250</v>
      </c>
      <c r="B447" t="s">
        <v>316</v>
      </c>
      <c r="C447" t="s">
        <v>44</v>
      </c>
      <c r="D447" t="s">
        <v>187</v>
      </c>
      <c r="E447" t="s">
        <v>134</v>
      </c>
      <c r="F447" t="s">
        <v>187</v>
      </c>
      <c r="G447" t="s">
        <v>31</v>
      </c>
      <c r="H447" t="s">
        <v>278</v>
      </c>
      <c r="I447" t="s">
        <v>135</v>
      </c>
      <c r="J447" t="s">
        <v>39</v>
      </c>
      <c r="K447" t="s">
        <v>31</v>
      </c>
      <c r="L447">
        <v>5.53</v>
      </c>
      <c r="M447">
        <v>1</v>
      </c>
      <c r="N447">
        <v>2.9856131888145994</v>
      </c>
      <c r="O447">
        <v>5.465614229639959</v>
      </c>
      <c r="P447">
        <v>-1.4126267988180818</v>
      </c>
      <c r="Q447">
        <v>0.99158012144343133</v>
      </c>
      <c r="R447">
        <v>-1.8625523936223527</v>
      </c>
      <c r="S447" s="2">
        <v>0</v>
      </c>
      <c r="T447" s="2">
        <v>0</v>
      </c>
      <c r="U447" s="2">
        <v>0</v>
      </c>
      <c r="V447" s="2">
        <v>0</v>
      </c>
      <c r="W447" s="2">
        <v>0</v>
      </c>
      <c r="X447" s="2">
        <v>0</v>
      </c>
      <c r="Y447" s="2">
        <v>0</v>
      </c>
      <c r="Z447" s="2">
        <v>0</v>
      </c>
      <c r="AA447" s="2">
        <v>0</v>
      </c>
      <c r="AB447" s="2">
        <v>0</v>
      </c>
      <c r="AC447" s="2">
        <v>0</v>
      </c>
      <c r="AD447" s="2">
        <v>0</v>
      </c>
      <c r="AE447" s="2">
        <v>0</v>
      </c>
      <c r="AF447" s="2">
        <v>0</v>
      </c>
      <c r="AG447" s="2">
        <v>0</v>
      </c>
      <c r="AH447" s="2">
        <v>0</v>
      </c>
      <c r="AI447" s="2">
        <v>0</v>
      </c>
      <c r="AJ447" s="2">
        <v>0</v>
      </c>
      <c r="AK447" s="2">
        <v>0</v>
      </c>
      <c r="AL447" s="2">
        <v>0</v>
      </c>
      <c r="AM447" s="2">
        <v>0</v>
      </c>
      <c r="AN447" s="2">
        <v>0</v>
      </c>
      <c r="AO447" s="2">
        <v>0</v>
      </c>
      <c r="AP447" s="2">
        <v>0</v>
      </c>
      <c r="AQ447" s="2">
        <v>0</v>
      </c>
      <c r="AR447" s="2">
        <v>0</v>
      </c>
    </row>
    <row r="448" spans="1:44" x14ac:dyDescent="0.25">
      <c r="A448" t="s">
        <v>250</v>
      </c>
      <c r="B448" t="s">
        <v>317</v>
      </c>
      <c r="C448" t="s">
        <v>44</v>
      </c>
      <c r="D448" t="s">
        <v>187</v>
      </c>
      <c r="E448" t="s">
        <v>134</v>
      </c>
      <c r="F448" t="s">
        <v>187</v>
      </c>
      <c r="G448" t="s">
        <v>31</v>
      </c>
      <c r="H448" t="s">
        <v>272</v>
      </c>
      <c r="I448" t="s">
        <v>135</v>
      </c>
      <c r="J448" t="s">
        <v>39</v>
      </c>
      <c r="K448" t="s">
        <v>31</v>
      </c>
      <c r="L448">
        <v>5.53</v>
      </c>
      <c r="M448">
        <v>1</v>
      </c>
      <c r="N448">
        <v>2.9865889881418424</v>
      </c>
      <c r="O448">
        <v>5.4674005771508298</v>
      </c>
      <c r="P448">
        <v>-1.412626798818081</v>
      </c>
      <c r="Q448">
        <v>0.99158012144343122</v>
      </c>
      <c r="R448">
        <v>-1.862552393622352</v>
      </c>
      <c r="S448" s="2">
        <v>0</v>
      </c>
      <c r="T448" s="2">
        <v>0</v>
      </c>
      <c r="U448" s="2">
        <v>0</v>
      </c>
      <c r="V448" s="2">
        <v>0</v>
      </c>
      <c r="W448" s="2">
        <v>0</v>
      </c>
      <c r="X448" s="2">
        <v>0</v>
      </c>
      <c r="Y448" s="2">
        <v>0</v>
      </c>
      <c r="Z448" s="2">
        <v>0</v>
      </c>
      <c r="AA448" s="2">
        <v>0</v>
      </c>
      <c r="AB448" s="2">
        <v>0</v>
      </c>
      <c r="AC448" s="2">
        <v>0</v>
      </c>
      <c r="AD448" s="2">
        <v>0</v>
      </c>
      <c r="AE448" s="2">
        <v>0</v>
      </c>
      <c r="AF448" s="2">
        <v>0</v>
      </c>
      <c r="AG448" s="2">
        <v>0</v>
      </c>
      <c r="AH448" s="2">
        <v>0</v>
      </c>
      <c r="AI448" s="2">
        <v>0</v>
      </c>
      <c r="AJ448" s="2">
        <v>0</v>
      </c>
      <c r="AK448" s="2">
        <v>0</v>
      </c>
      <c r="AL448" s="2">
        <v>0</v>
      </c>
      <c r="AM448" s="2">
        <v>0</v>
      </c>
      <c r="AN448" s="2">
        <v>0</v>
      </c>
      <c r="AO448" s="2">
        <v>0</v>
      </c>
      <c r="AP448" s="2">
        <v>0</v>
      </c>
      <c r="AQ448" s="2">
        <v>0</v>
      </c>
      <c r="AR448" s="2">
        <v>0</v>
      </c>
    </row>
    <row r="449" spans="1:44" x14ac:dyDescent="0.25">
      <c r="A449" t="s">
        <v>250</v>
      </c>
      <c r="B449" t="s">
        <v>317</v>
      </c>
      <c r="C449" t="s">
        <v>44</v>
      </c>
      <c r="D449" t="s">
        <v>187</v>
      </c>
      <c r="E449" t="s">
        <v>134</v>
      </c>
      <c r="F449" t="s">
        <v>187</v>
      </c>
      <c r="G449" t="s">
        <v>31</v>
      </c>
      <c r="H449" t="s">
        <v>272</v>
      </c>
      <c r="I449" t="s">
        <v>135</v>
      </c>
      <c r="J449" t="s">
        <v>40</v>
      </c>
      <c r="K449" t="s">
        <v>31</v>
      </c>
      <c r="L449">
        <v>5.53</v>
      </c>
      <c r="M449">
        <v>1</v>
      </c>
      <c r="N449">
        <v>2.9865889881418424</v>
      </c>
      <c r="O449">
        <v>4.1746294160814532</v>
      </c>
      <c r="P449">
        <v>-1.412626798818081</v>
      </c>
      <c r="Q449">
        <v>0.4672931329656026</v>
      </c>
      <c r="R449">
        <v>-1.7195523936223518</v>
      </c>
      <c r="S449" s="2">
        <v>0</v>
      </c>
      <c r="T449" s="2">
        <v>0</v>
      </c>
      <c r="U449" s="2">
        <v>0</v>
      </c>
      <c r="V449" s="2">
        <v>0</v>
      </c>
      <c r="W449" s="2">
        <v>0</v>
      </c>
      <c r="X449" s="2">
        <v>0</v>
      </c>
      <c r="Y449" s="2">
        <v>0</v>
      </c>
      <c r="Z449" s="2">
        <v>0</v>
      </c>
      <c r="AA449" s="2">
        <v>0</v>
      </c>
      <c r="AB449" s="2">
        <v>0</v>
      </c>
      <c r="AC449" s="2">
        <v>0</v>
      </c>
      <c r="AD449" s="2">
        <v>0</v>
      </c>
      <c r="AE449" s="2">
        <v>0</v>
      </c>
      <c r="AF449" s="2">
        <v>0</v>
      </c>
      <c r="AG449" s="2">
        <v>0</v>
      </c>
      <c r="AH449" s="2">
        <v>0</v>
      </c>
      <c r="AI449" s="2">
        <v>0</v>
      </c>
      <c r="AJ449" s="2">
        <v>0</v>
      </c>
      <c r="AK449" s="2">
        <v>0</v>
      </c>
      <c r="AL449" s="2">
        <v>0</v>
      </c>
      <c r="AM449" s="2">
        <v>0</v>
      </c>
      <c r="AN449" s="2">
        <v>0</v>
      </c>
      <c r="AO449" s="2">
        <v>0</v>
      </c>
      <c r="AP449" s="2">
        <v>0</v>
      </c>
      <c r="AQ449" s="2">
        <v>0</v>
      </c>
      <c r="AR449" s="2">
        <v>0</v>
      </c>
    </row>
    <row r="450" spans="1:44" x14ac:dyDescent="0.25">
      <c r="A450" t="s">
        <v>250</v>
      </c>
      <c r="B450" t="s">
        <v>317</v>
      </c>
      <c r="C450" t="s">
        <v>44</v>
      </c>
      <c r="D450" t="s">
        <v>187</v>
      </c>
      <c r="E450" t="s">
        <v>134</v>
      </c>
      <c r="F450" t="s">
        <v>187</v>
      </c>
      <c r="G450" t="s">
        <v>31</v>
      </c>
      <c r="H450" t="s">
        <v>273</v>
      </c>
      <c r="I450" t="s">
        <v>135</v>
      </c>
      <c r="J450" t="s">
        <v>39</v>
      </c>
      <c r="K450" t="s">
        <v>31</v>
      </c>
      <c r="L450">
        <v>5.53</v>
      </c>
      <c r="M450">
        <v>1</v>
      </c>
      <c r="N450">
        <v>2.9865889881418424</v>
      </c>
      <c r="O450">
        <v>5.4674005771508298</v>
      </c>
      <c r="P450">
        <v>-1.412626798818081</v>
      </c>
      <c r="Q450">
        <v>0.99158012144343122</v>
      </c>
      <c r="R450">
        <v>-1.862552393622352</v>
      </c>
      <c r="S450" s="2">
        <v>0</v>
      </c>
      <c r="T450" s="2">
        <v>0</v>
      </c>
      <c r="U450" s="2">
        <v>0</v>
      </c>
      <c r="V450" s="2">
        <v>0</v>
      </c>
      <c r="W450" s="2">
        <v>0</v>
      </c>
      <c r="X450" s="2">
        <v>0</v>
      </c>
      <c r="Y450" s="2">
        <v>0</v>
      </c>
      <c r="Z450" s="2">
        <v>0</v>
      </c>
      <c r="AA450" s="2">
        <v>0</v>
      </c>
      <c r="AB450" s="2">
        <v>0</v>
      </c>
      <c r="AC450" s="2">
        <v>0</v>
      </c>
      <c r="AD450" s="2">
        <v>0</v>
      </c>
      <c r="AE450" s="2">
        <v>0</v>
      </c>
      <c r="AF450" s="2">
        <v>0</v>
      </c>
      <c r="AG450" s="2">
        <v>0</v>
      </c>
      <c r="AH450" s="2">
        <v>0</v>
      </c>
      <c r="AI450" s="2">
        <v>0</v>
      </c>
      <c r="AJ450" s="2">
        <v>0</v>
      </c>
      <c r="AK450" s="2">
        <v>0</v>
      </c>
      <c r="AL450" s="2">
        <v>0</v>
      </c>
      <c r="AM450" s="2">
        <v>0</v>
      </c>
      <c r="AN450" s="2">
        <v>0</v>
      </c>
      <c r="AO450" s="2">
        <v>0</v>
      </c>
      <c r="AP450" s="2">
        <v>0</v>
      </c>
      <c r="AQ450" s="2">
        <v>0</v>
      </c>
      <c r="AR450" s="2">
        <v>0</v>
      </c>
    </row>
    <row r="451" spans="1:44" x14ac:dyDescent="0.25">
      <c r="A451" t="s">
        <v>250</v>
      </c>
      <c r="B451" t="s">
        <v>317</v>
      </c>
      <c r="C451" t="s">
        <v>44</v>
      </c>
      <c r="D451" t="s">
        <v>187</v>
      </c>
      <c r="E451" t="s">
        <v>134</v>
      </c>
      <c r="F451" t="s">
        <v>187</v>
      </c>
      <c r="G451" t="s">
        <v>31</v>
      </c>
      <c r="H451" t="s">
        <v>274</v>
      </c>
      <c r="I451" t="s">
        <v>135</v>
      </c>
      <c r="J451" t="s">
        <v>39</v>
      </c>
      <c r="K451" t="s">
        <v>31</v>
      </c>
      <c r="L451">
        <v>5.53</v>
      </c>
      <c r="M451">
        <v>1</v>
      </c>
      <c r="N451">
        <v>2.9865889881418424</v>
      </c>
      <c r="O451">
        <v>5.4674005771508298</v>
      </c>
      <c r="P451">
        <v>-1.412626798818081</v>
      </c>
      <c r="Q451">
        <v>0.99158012144343122</v>
      </c>
      <c r="R451">
        <v>-1.862552393622352</v>
      </c>
      <c r="S451" s="2">
        <v>0</v>
      </c>
      <c r="T451" s="2">
        <v>0</v>
      </c>
      <c r="U451" s="2">
        <v>0</v>
      </c>
      <c r="V451" s="2">
        <v>0</v>
      </c>
      <c r="W451" s="2">
        <v>0</v>
      </c>
      <c r="X451" s="2">
        <v>0</v>
      </c>
      <c r="Y451" s="2">
        <v>0</v>
      </c>
      <c r="Z451" s="2">
        <v>0</v>
      </c>
      <c r="AA451" s="2">
        <v>0</v>
      </c>
      <c r="AB451" s="2">
        <v>0</v>
      </c>
      <c r="AC451" s="2">
        <v>0</v>
      </c>
      <c r="AD451" s="2">
        <v>0</v>
      </c>
      <c r="AE451" s="2">
        <v>0</v>
      </c>
      <c r="AF451" s="2">
        <v>0</v>
      </c>
      <c r="AG451" s="2">
        <v>0</v>
      </c>
      <c r="AH451" s="2">
        <v>0</v>
      </c>
      <c r="AI451" s="2">
        <v>0</v>
      </c>
      <c r="AJ451" s="2">
        <v>0</v>
      </c>
      <c r="AK451" s="2">
        <v>0</v>
      </c>
      <c r="AL451" s="2">
        <v>0</v>
      </c>
      <c r="AM451" s="2">
        <v>0</v>
      </c>
      <c r="AN451" s="2">
        <v>0</v>
      </c>
      <c r="AO451" s="2">
        <v>0</v>
      </c>
      <c r="AP451" s="2">
        <v>0</v>
      </c>
      <c r="AQ451" s="2">
        <v>0</v>
      </c>
      <c r="AR451" s="2">
        <v>0</v>
      </c>
    </row>
    <row r="452" spans="1:44" x14ac:dyDescent="0.25">
      <c r="A452" t="s">
        <v>250</v>
      </c>
      <c r="B452" t="s">
        <v>317</v>
      </c>
      <c r="C452" t="s">
        <v>44</v>
      </c>
      <c r="D452" t="s">
        <v>187</v>
      </c>
      <c r="E452" t="s">
        <v>134</v>
      </c>
      <c r="F452" t="s">
        <v>187</v>
      </c>
      <c r="G452" t="s">
        <v>31</v>
      </c>
      <c r="H452" t="s">
        <v>274</v>
      </c>
      <c r="I452" t="s">
        <v>135</v>
      </c>
      <c r="J452" t="s">
        <v>39</v>
      </c>
      <c r="K452" t="s">
        <v>33</v>
      </c>
      <c r="L452">
        <v>5.53</v>
      </c>
      <c r="M452">
        <v>1</v>
      </c>
      <c r="N452">
        <v>2.9865889881418424</v>
      </c>
      <c r="O452">
        <v>5.4674005771508298</v>
      </c>
      <c r="P452">
        <v>-1.412626798818081</v>
      </c>
      <c r="Q452">
        <v>0.99158012144343122</v>
      </c>
      <c r="R452">
        <v>-1.862552393622352</v>
      </c>
      <c r="S452" s="2">
        <v>0</v>
      </c>
      <c r="T452" s="2">
        <v>0</v>
      </c>
      <c r="U452" s="2">
        <v>0</v>
      </c>
      <c r="V452" s="2">
        <v>0</v>
      </c>
      <c r="W452" s="2">
        <v>0</v>
      </c>
      <c r="X452" s="2">
        <v>0</v>
      </c>
      <c r="Y452" s="2">
        <v>0</v>
      </c>
      <c r="Z452" s="2">
        <v>0</v>
      </c>
      <c r="AA452" s="2">
        <v>0</v>
      </c>
      <c r="AB452" s="2">
        <v>0</v>
      </c>
      <c r="AC452" s="2">
        <v>0</v>
      </c>
      <c r="AD452" s="2">
        <v>0</v>
      </c>
      <c r="AE452" s="2">
        <v>0</v>
      </c>
      <c r="AF452" s="2">
        <v>0</v>
      </c>
      <c r="AG452" s="2">
        <v>0</v>
      </c>
      <c r="AH452" s="2">
        <v>0</v>
      </c>
      <c r="AI452" s="2">
        <v>0</v>
      </c>
      <c r="AJ452" s="2">
        <v>0</v>
      </c>
      <c r="AK452" s="2">
        <v>0</v>
      </c>
      <c r="AL452" s="2">
        <v>0</v>
      </c>
      <c r="AM452" s="2">
        <v>0</v>
      </c>
      <c r="AN452" s="2">
        <v>0</v>
      </c>
      <c r="AO452" s="2">
        <v>0</v>
      </c>
      <c r="AP452" s="2">
        <v>0</v>
      </c>
      <c r="AQ452" s="2">
        <v>0</v>
      </c>
      <c r="AR452" s="2">
        <v>0</v>
      </c>
    </row>
    <row r="453" spans="1:44" x14ac:dyDescent="0.25">
      <c r="A453" t="s">
        <v>250</v>
      </c>
      <c r="B453" t="s">
        <v>317</v>
      </c>
      <c r="C453" t="s">
        <v>44</v>
      </c>
      <c r="D453" t="s">
        <v>187</v>
      </c>
      <c r="E453" t="s">
        <v>134</v>
      </c>
      <c r="F453" t="s">
        <v>187</v>
      </c>
      <c r="G453" t="s">
        <v>31</v>
      </c>
      <c r="H453" t="s">
        <v>275</v>
      </c>
      <c r="I453" t="s">
        <v>135</v>
      </c>
      <c r="J453" t="s">
        <v>39</v>
      </c>
      <c r="K453" t="s">
        <v>31</v>
      </c>
      <c r="L453">
        <v>5.53</v>
      </c>
      <c r="M453">
        <v>1</v>
      </c>
      <c r="N453">
        <v>2.9865889881418424</v>
      </c>
      <c r="O453">
        <v>5.4674005771508298</v>
      </c>
      <c r="P453">
        <v>-1.412626798818081</v>
      </c>
      <c r="Q453">
        <v>0.99158012144343122</v>
      </c>
      <c r="R453">
        <v>-1.862552393622352</v>
      </c>
      <c r="S453" s="2">
        <v>0</v>
      </c>
      <c r="T453" s="2">
        <v>0</v>
      </c>
      <c r="U453" s="2">
        <v>0</v>
      </c>
      <c r="V453" s="2">
        <v>0</v>
      </c>
      <c r="W453" s="2">
        <v>0</v>
      </c>
      <c r="X453" s="2">
        <v>0</v>
      </c>
      <c r="Y453" s="2">
        <v>0</v>
      </c>
      <c r="Z453" s="2">
        <v>0</v>
      </c>
      <c r="AA453" s="2">
        <v>0</v>
      </c>
      <c r="AB453" s="2">
        <v>0</v>
      </c>
      <c r="AC453" s="2">
        <v>0</v>
      </c>
      <c r="AD453" s="2">
        <v>0</v>
      </c>
      <c r="AE453" s="2">
        <v>0</v>
      </c>
      <c r="AF453" s="2">
        <v>0</v>
      </c>
      <c r="AG453" s="2">
        <v>0</v>
      </c>
      <c r="AH453" s="2">
        <v>0</v>
      </c>
      <c r="AI453" s="2">
        <v>0</v>
      </c>
      <c r="AJ453" s="2">
        <v>0</v>
      </c>
      <c r="AK453" s="2">
        <v>0</v>
      </c>
      <c r="AL453" s="2">
        <v>0</v>
      </c>
      <c r="AM453" s="2">
        <v>0</v>
      </c>
      <c r="AN453" s="2">
        <v>0</v>
      </c>
      <c r="AO453" s="2">
        <v>0</v>
      </c>
      <c r="AP453" s="2">
        <v>0</v>
      </c>
      <c r="AQ453" s="2">
        <v>0</v>
      </c>
      <c r="AR453" s="2">
        <v>0</v>
      </c>
    </row>
    <row r="454" spans="1:44" x14ac:dyDescent="0.25">
      <c r="A454" t="s">
        <v>250</v>
      </c>
      <c r="B454" t="s">
        <v>319</v>
      </c>
      <c r="C454" t="s">
        <v>44</v>
      </c>
      <c r="D454" t="s">
        <v>187</v>
      </c>
      <c r="E454" t="s">
        <v>134</v>
      </c>
      <c r="F454" t="s">
        <v>187</v>
      </c>
      <c r="G454" t="s">
        <v>31</v>
      </c>
      <c r="H454" t="s">
        <v>276</v>
      </c>
      <c r="I454" t="s">
        <v>135</v>
      </c>
      <c r="J454" t="s">
        <v>39</v>
      </c>
      <c r="K454" t="s">
        <v>31</v>
      </c>
      <c r="L454">
        <v>8.1058333333333348</v>
      </c>
      <c r="M454">
        <v>1</v>
      </c>
      <c r="N454">
        <v>3.8495202205322574</v>
      </c>
      <c r="O454">
        <v>5.463966537645744</v>
      </c>
      <c r="P454">
        <v>-1.6353884600453179</v>
      </c>
      <c r="Q454">
        <v>0.76881846021619438</v>
      </c>
      <c r="R454">
        <v>-1.8625523936223525</v>
      </c>
      <c r="S454" s="2">
        <v>5.5716471978220552</v>
      </c>
      <c r="T454" s="2">
        <v>11.113968843239471</v>
      </c>
      <c r="U454" s="2">
        <v>19.691914924666229</v>
      </c>
      <c r="V454" s="2">
        <v>31.964332264873786</v>
      </c>
      <c r="W454" s="2">
        <v>48.41550532405283</v>
      </c>
      <c r="X454" s="2">
        <v>69.195732103363952</v>
      </c>
      <c r="Y454" s="2">
        <v>93.927535396862893</v>
      </c>
      <c r="Z454" s="2">
        <v>121.50830568466058</v>
      </c>
      <c r="AA454" s="2">
        <v>149.96923426700377</v>
      </c>
      <c r="AB454" s="2">
        <v>176.47796896921611</v>
      </c>
      <c r="AC454" s="2">
        <v>197.58101897564546</v>
      </c>
      <c r="AD454" s="2">
        <v>209.74760710058052</v>
      </c>
      <c r="AE454" s="2">
        <v>210.18096676734595</v>
      </c>
      <c r="AF454" s="2">
        <v>197.71493235992139</v>
      </c>
      <c r="AG454" s="2">
        <v>173.47059091638184</v>
      </c>
      <c r="AH454" s="2">
        <v>143.15699962834131</v>
      </c>
      <c r="AI454" s="2">
        <v>109.24310641638726</v>
      </c>
      <c r="AJ454" s="2">
        <v>75.471020233555038</v>
      </c>
      <c r="AK454" s="2">
        <v>21.390979176459574</v>
      </c>
      <c r="AL454" s="2">
        <v>0</v>
      </c>
      <c r="AM454" s="2">
        <v>0</v>
      </c>
      <c r="AN454" s="2">
        <v>0</v>
      </c>
      <c r="AO454" s="2">
        <v>0</v>
      </c>
      <c r="AP454" s="2">
        <v>0</v>
      </c>
      <c r="AQ454" s="2">
        <v>0</v>
      </c>
      <c r="AR454" s="2">
        <v>2065.7933665503801</v>
      </c>
    </row>
    <row r="455" spans="1:44" x14ac:dyDescent="0.25">
      <c r="A455" t="s">
        <v>250</v>
      </c>
      <c r="B455" t="s">
        <v>318</v>
      </c>
      <c r="C455" t="s">
        <v>44</v>
      </c>
      <c r="D455" t="s">
        <v>187</v>
      </c>
      <c r="E455" t="s">
        <v>134</v>
      </c>
      <c r="F455" t="s">
        <v>187</v>
      </c>
      <c r="G455" t="s">
        <v>31</v>
      </c>
      <c r="H455" t="s">
        <v>277</v>
      </c>
      <c r="I455" t="s">
        <v>135</v>
      </c>
      <c r="J455" t="s">
        <v>39</v>
      </c>
      <c r="K455" t="s">
        <v>31</v>
      </c>
      <c r="L455">
        <v>5.53</v>
      </c>
      <c r="M455">
        <v>1</v>
      </c>
      <c r="N455">
        <v>2.9868815262071493</v>
      </c>
      <c r="O455">
        <v>5.4679361121017198</v>
      </c>
      <c r="P455">
        <v>-1.412626798818081</v>
      </c>
      <c r="Q455">
        <v>0.99158012144343122</v>
      </c>
      <c r="R455">
        <v>-1.862552393622352</v>
      </c>
      <c r="S455" s="2">
        <v>0</v>
      </c>
      <c r="T455" s="2">
        <v>0</v>
      </c>
      <c r="U455" s="2">
        <v>0</v>
      </c>
      <c r="V455" s="2">
        <v>0</v>
      </c>
      <c r="W455" s="2">
        <v>0</v>
      </c>
      <c r="X455" s="2">
        <v>0</v>
      </c>
      <c r="Y455" s="2">
        <v>0</v>
      </c>
      <c r="Z455" s="2">
        <v>0</v>
      </c>
      <c r="AA455" s="2">
        <v>0</v>
      </c>
      <c r="AB455" s="2">
        <v>0</v>
      </c>
      <c r="AC455" s="2">
        <v>0</v>
      </c>
      <c r="AD455" s="2">
        <v>0</v>
      </c>
      <c r="AE455" s="2">
        <v>0</v>
      </c>
      <c r="AF455" s="2">
        <v>0</v>
      </c>
      <c r="AG455" s="2">
        <v>0</v>
      </c>
      <c r="AH455" s="2">
        <v>0</v>
      </c>
      <c r="AI455" s="2">
        <v>0</v>
      </c>
      <c r="AJ455" s="2">
        <v>0</v>
      </c>
      <c r="AK455" s="2">
        <v>0</v>
      </c>
      <c r="AL455" s="2">
        <v>0</v>
      </c>
      <c r="AM455" s="2">
        <v>0</v>
      </c>
      <c r="AN455" s="2">
        <v>0</v>
      </c>
      <c r="AO455" s="2">
        <v>0</v>
      </c>
      <c r="AP455" s="2">
        <v>0</v>
      </c>
      <c r="AQ455" s="2">
        <v>0</v>
      </c>
      <c r="AR455" s="2">
        <v>0</v>
      </c>
    </row>
    <row r="456" spans="1:44" x14ac:dyDescent="0.25">
      <c r="A456" t="s">
        <v>250</v>
      </c>
      <c r="B456" t="s">
        <v>318</v>
      </c>
      <c r="C456" t="s">
        <v>44</v>
      </c>
      <c r="D456" t="s">
        <v>187</v>
      </c>
      <c r="E456" t="s">
        <v>134</v>
      </c>
      <c r="F456" t="s">
        <v>187</v>
      </c>
      <c r="G456" t="s">
        <v>31</v>
      </c>
      <c r="H456" t="s">
        <v>277</v>
      </c>
      <c r="I456" t="s">
        <v>135</v>
      </c>
      <c r="J456" t="s">
        <v>40</v>
      </c>
      <c r="K456" t="s">
        <v>31</v>
      </c>
      <c r="L456">
        <v>5.53</v>
      </c>
      <c r="M456">
        <v>1</v>
      </c>
      <c r="N456">
        <v>2.9868815262071493</v>
      </c>
      <c r="O456">
        <v>4.1746294160814514</v>
      </c>
      <c r="P456">
        <v>-1.412626798818081</v>
      </c>
      <c r="Q456">
        <v>0.4672931329656026</v>
      </c>
      <c r="R456">
        <v>-1.7195523936223518</v>
      </c>
      <c r="S456" s="2">
        <v>0</v>
      </c>
      <c r="T456" s="2">
        <v>0</v>
      </c>
      <c r="U456" s="2">
        <v>0</v>
      </c>
      <c r="V456" s="2">
        <v>0</v>
      </c>
      <c r="W456" s="2">
        <v>0</v>
      </c>
      <c r="X456" s="2">
        <v>0</v>
      </c>
      <c r="Y456" s="2">
        <v>0</v>
      </c>
      <c r="Z456" s="2">
        <v>0</v>
      </c>
      <c r="AA456" s="2">
        <v>0</v>
      </c>
      <c r="AB456" s="2">
        <v>0</v>
      </c>
      <c r="AC456" s="2">
        <v>0</v>
      </c>
      <c r="AD456" s="2">
        <v>0</v>
      </c>
      <c r="AE456" s="2">
        <v>0</v>
      </c>
      <c r="AF456" s="2">
        <v>0</v>
      </c>
      <c r="AG456" s="2">
        <v>0</v>
      </c>
      <c r="AH456" s="2">
        <v>0</v>
      </c>
      <c r="AI456" s="2">
        <v>0</v>
      </c>
      <c r="AJ456" s="2">
        <v>0</v>
      </c>
      <c r="AK456" s="2">
        <v>0</v>
      </c>
      <c r="AL456" s="2">
        <v>0</v>
      </c>
      <c r="AM456" s="2">
        <v>0</v>
      </c>
      <c r="AN456" s="2">
        <v>0</v>
      </c>
      <c r="AO456" s="2">
        <v>0</v>
      </c>
      <c r="AP456" s="2">
        <v>0</v>
      </c>
      <c r="AQ456" s="2">
        <v>0</v>
      </c>
      <c r="AR456" s="2">
        <v>0</v>
      </c>
    </row>
    <row r="457" spans="1:44" x14ac:dyDescent="0.25">
      <c r="A457" t="s">
        <v>250</v>
      </c>
      <c r="B457" t="s">
        <v>353</v>
      </c>
      <c r="C457" t="s">
        <v>45</v>
      </c>
      <c r="D457" t="s">
        <v>354</v>
      </c>
      <c r="E457" t="s">
        <v>134</v>
      </c>
      <c r="F457" t="s">
        <v>354</v>
      </c>
      <c r="G457" t="s">
        <v>31</v>
      </c>
      <c r="H457" t="s">
        <v>254</v>
      </c>
      <c r="I457" t="s">
        <v>135</v>
      </c>
      <c r="J457" t="s">
        <v>39</v>
      </c>
      <c r="K457" t="s">
        <v>31</v>
      </c>
      <c r="L457">
        <v>2.11</v>
      </c>
      <c r="M457">
        <v>1</v>
      </c>
      <c r="N457">
        <v>1.5959225360467455</v>
      </c>
      <c r="O457">
        <v>3.1588853240212429</v>
      </c>
      <c r="P457">
        <v>-0.14324970019558894</v>
      </c>
      <c r="Q457">
        <v>1.0721225474567759</v>
      </c>
      <c r="R457">
        <v>-0.67371772101320515</v>
      </c>
      <c r="S457" s="2">
        <v>0.10081363859525032</v>
      </c>
      <c r="T457" s="2">
        <v>0.20061569859631753</v>
      </c>
      <c r="U457" s="2">
        <v>0.35460409681484534</v>
      </c>
      <c r="V457" s="2">
        <v>0.57422420200596691</v>
      </c>
      <c r="W457" s="2">
        <v>0.86768159206085971</v>
      </c>
      <c r="X457" s="2">
        <v>1.2371298389148555</v>
      </c>
      <c r="Y457" s="2">
        <v>1.6752859980413242</v>
      </c>
      <c r="Z457" s="2">
        <v>2.1620316903119643</v>
      </c>
      <c r="AA457" s="2">
        <v>2.6620629605534414</v>
      </c>
      <c r="AB457" s="2">
        <v>3.1251200427341046</v>
      </c>
      <c r="AC457" s="2">
        <v>3.4904505254174443</v>
      </c>
      <c r="AD457" s="2">
        <v>3.6965223728810748</v>
      </c>
      <c r="AE457" s="2">
        <v>3.695300561202493</v>
      </c>
      <c r="AF457" s="2">
        <v>3.4678149266834453</v>
      </c>
      <c r="AG457" s="2">
        <v>3.0353051408680276</v>
      </c>
      <c r="AH457" s="2">
        <v>2.4989015455261514</v>
      </c>
      <c r="AI457" s="2">
        <v>1.9023510290800729</v>
      </c>
      <c r="AJ457" s="2">
        <v>0.54478398944232942</v>
      </c>
      <c r="AK457" s="2">
        <v>0</v>
      </c>
      <c r="AL457" s="2">
        <v>0</v>
      </c>
      <c r="AM457" s="2">
        <v>0</v>
      </c>
      <c r="AN457" s="2">
        <v>0</v>
      </c>
      <c r="AO457" s="2">
        <v>0</v>
      </c>
      <c r="AP457" s="2">
        <v>0</v>
      </c>
      <c r="AQ457" s="2">
        <v>0</v>
      </c>
      <c r="AR457" s="2">
        <v>35.290999849729964</v>
      </c>
    </row>
    <row r="458" spans="1:44" x14ac:dyDescent="0.25">
      <c r="A458" t="s">
        <v>250</v>
      </c>
      <c r="B458" t="s">
        <v>353</v>
      </c>
      <c r="C458" t="s">
        <v>45</v>
      </c>
      <c r="D458" t="s">
        <v>354</v>
      </c>
      <c r="E458" t="s">
        <v>134</v>
      </c>
      <c r="F458" t="s">
        <v>354</v>
      </c>
      <c r="G458" t="s">
        <v>31</v>
      </c>
      <c r="H458" t="s">
        <v>272</v>
      </c>
      <c r="I458" t="s">
        <v>135</v>
      </c>
      <c r="J458" t="s">
        <v>39</v>
      </c>
      <c r="K458" t="s">
        <v>31</v>
      </c>
      <c r="L458">
        <v>2.11</v>
      </c>
      <c r="M458">
        <v>1</v>
      </c>
      <c r="N458">
        <v>1.5959225360467455</v>
      </c>
      <c r="O458">
        <v>3.1588853240212429</v>
      </c>
      <c r="P458">
        <v>-0.14324970019558894</v>
      </c>
      <c r="Q458">
        <v>1.0721225474567759</v>
      </c>
      <c r="R458">
        <v>-0.67371772101320515</v>
      </c>
      <c r="S458" s="2">
        <v>1.6125488705556992E-2</v>
      </c>
      <c r="T458" s="2">
        <v>3.2085518767651575E-2</v>
      </c>
      <c r="U458" s="2">
        <v>5.6707232802946192E-2</v>
      </c>
      <c r="V458" s="2">
        <v>9.1817772916023319E-2</v>
      </c>
      <c r="W458" s="2">
        <v>0.13872546873640168</v>
      </c>
      <c r="X458" s="2">
        <v>0.19777056500132717</v>
      </c>
      <c r="Y458" s="2">
        <v>0.26778477800931738</v>
      </c>
      <c r="Z458" s="2">
        <v>0.34554891870504473</v>
      </c>
      <c r="AA458" s="2">
        <v>0.42541848925777076</v>
      </c>
      <c r="AB458" s="2">
        <v>0.4993617781084258</v>
      </c>
      <c r="AC458" s="2">
        <v>0.55767430592267686</v>
      </c>
      <c r="AD458" s="2">
        <v>0.59053146550394331</v>
      </c>
      <c r="AE458" s="2">
        <v>0.59026907080611069</v>
      </c>
      <c r="AF458" s="2">
        <v>0.55386857661208833</v>
      </c>
      <c r="AG458" s="2">
        <v>0.48473427311108158</v>
      </c>
      <c r="AH458" s="2">
        <v>0.39902588645771309</v>
      </c>
      <c r="AI458" s="2">
        <v>0.3037338103494176</v>
      </c>
      <c r="AJ458" s="2">
        <v>7.833037376752279E-2</v>
      </c>
      <c r="AK458" s="2">
        <v>0</v>
      </c>
      <c r="AL458" s="2">
        <v>0</v>
      </c>
      <c r="AM458" s="2">
        <v>0</v>
      </c>
      <c r="AN458" s="2">
        <v>0</v>
      </c>
      <c r="AO458" s="2">
        <v>0</v>
      </c>
      <c r="AP458" s="2">
        <v>0</v>
      </c>
      <c r="AQ458" s="2">
        <v>0</v>
      </c>
      <c r="AR458" s="2">
        <v>5.6295137735410199</v>
      </c>
    </row>
    <row r="459" spans="1:44" x14ac:dyDescent="0.25">
      <c r="A459" t="s">
        <v>250</v>
      </c>
      <c r="B459" t="s">
        <v>353</v>
      </c>
      <c r="C459" t="s">
        <v>45</v>
      </c>
      <c r="D459" t="s">
        <v>354</v>
      </c>
      <c r="E459" t="s">
        <v>134</v>
      </c>
      <c r="F459" t="s">
        <v>354</v>
      </c>
      <c r="G459" t="s">
        <v>31</v>
      </c>
      <c r="H459" t="s">
        <v>272</v>
      </c>
      <c r="I459" t="s">
        <v>135</v>
      </c>
      <c r="J459" t="s">
        <v>40</v>
      </c>
      <c r="K459" t="s">
        <v>31</v>
      </c>
      <c r="L459">
        <v>2.11</v>
      </c>
      <c r="M459">
        <v>1</v>
      </c>
      <c r="N459">
        <v>1.5959225360467455</v>
      </c>
      <c r="O459">
        <v>1.9798085216903567</v>
      </c>
      <c r="P459">
        <v>-0.14324970019558894</v>
      </c>
      <c r="Q459">
        <v>0.4672931329656026</v>
      </c>
      <c r="R459">
        <v>-0.53071772101320502</v>
      </c>
      <c r="S459" s="2">
        <v>1.5950662888197646E-3</v>
      </c>
      <c r="T459" s="2">
        <v>3.1737660966478678E-3</v>
      </c>
      <c r="U459" s="2">
        <v>5.6092436655928004E-3</v>
      </c>
      <c r="V459" s="2">
        <v>9.0822322949125484E-3</v>
      </c>
      <c r="W459" s="2">
        <v>1.3722146511187637E-2</v>
      </c>
      <c r="X459" s="2">
        <v>1.9562641909001217E-2</v>
      </c>
      <c r="Y459" s="2">
        <v>2.6488156722627079E-2</v>
      </c>
      <c r="Z459" s="2">
        <v>3.418026215692916E-2</v>
      </c>
      <c r="AA459" s="2">
        <v>4.2080627957766126E-2</v>
      </c>
      <c r="AB459" s="2">
        <v>4.9394790615639408E-2</v>
      </c>
      <c r="AC459" s="2">
        <v>5.51628233885205E-2</v>
      </c>
      <c r="AD459" s="2">
        <v>5.8412916985769954E-2</v>
      </c>
      <c r="AE459" s="2">
        <v>5.83869619933651E-2</v>
      </c>
      <c r="AF459" s="2">
        <v>5.4786376470319441E-2</v>
      </c>
      <c r="AG459" s="2">
        <v>4.7947898646234083E-2</v>
      </c>
      <c r="AH459" s="2">
        <v>3.9469981436022275E-2</v>
      </c>
      <c r="AI459" s="2">
        <v>3.004408551637737E-2</v>
      </c>
      <c r="AJ459" s="2">
        <v>7.7481148552208797E-3</v>
      </c>
      <c r="AK459" s="2">
        <v>0</v>
      </c>
      <c r="AL459" s="2">
        <v>0</v>
      </c>
      <c r="AM459" s="2">
        <v>0</v>
      </c>
      <c r="AN459" s="2">
        <v>0</v>
      </c>
      <c r="AO459" s="2">
        <v>0</v>
      </c>
      <c r="AP459" s="2">
        <v>0</v>
      </c>
      <c r="AQ459" s="2">
        <v>0</v>
      </c>
      <c r="AR459" s="2">
        <v>0.55684809351095332</v>
      </c>
    </row>
    <row r="460" spans="1:44" x14ac:dyDescent="0.25">
      <c r="A460" t="s">
        <v>250</v>
      </c>
      <c r="B460" t="s">
        <v>353</v>
      </c>
      <c r="C460" t="s">
        <v>45</v>
      </c>
      <c r="D460" t="s">
        <v>354</v>
      </c>
      <c r="E460" t="s">
        <v>134</v>
      </c>
      <c r="F460" t="s">
        <v>354</v>
      </c>
      <c r="G460" t="s">
        <v>31</v>
      </c>
      <c r="H460" t="s">
        <v>253</v>
      </c>
      <c r="I460" t="s">
        <v>135</v>
      </c>
      <c r="J460" t="s">
        <v>39</v>
      </c>
      <c r="K460" t="s">
        <v>31</v>
      </c>
      <c r="L460">
        <v>2.11</v>
      </c>
      <c r="M460">
        <v>1</v>
      </c>
      <c r="N460">
        <v>1.5959225360467455</v>
      </c>
      <c r="O460">
        <v>3.1588853240212429</v>
      </c>
      <c r="P460">
        <v>-0.14324970019558894</v>
      </c>
      <c r="Q460">
        <v>1.0721225474567759</v>
      </c>
      <c r="R460">
        <v>-0.67371772101320515</v>
      </c>
      <c r="S460" s="2">
        <v>6.2651003973884636E-2</v>
      </c>
      <c r="T460" s="2">
        <v>0.124721783030869</v>
      </c>
      <c r="U460" s="2">
        <v>0.22054123210480506</v>
      </c>
      <c r="V460" s="2">
        <v>0.35726970543821451</v>
      </c>
      <c r="W460" s="2">
        <v>0.54006214158114707</v>
      </c>
      <c r="X460" s="2">
        <v>0.77031309997866992</v>
      </c>
      <c r="Y460" s="2">
        <v>1.0435412275203835</v>
      </c>
      <c r="Z460" s="2">
        <v>1.3472598253990997</v>
      </c>
      <c r="AA460" s="2">
        <v>1.6594962607983814</v>
      </c>
      <c r="AB460" s="2">
        <v>1.9489168519629692</v>
      </c>
      <c r="AC460" s="2">
        <v>2.1775931642124973</v>
      </c>
      <c r="AD460" s="2">
        <v>2.3070512821461584</v>
      </c>
      <c r="AE460" s="2">
        <v>2.307184516460338</v>
      </c>
      <c r="AF460" s="2">
        <v>2.1659933724274087</v>
      </c>
      <c r="AG460" s="2">
        <v>1.8965846031298141</v>
      </c>
      <c r="AH460" s="2">
        <v>1.562023847571177</v>
      </c>
      <c r="AI460" s="2">
        <v>1.1895914204323381</v>
      </c>
      <c r="AJ460" s="2">
        <v>0.45628487081098978</v>
      </c>
      <c r="AK460" s="2">
        <v>0</v>
      </c>
      <c r="AL460" s="2">
        <v>0</v>
      </c>
      <c r="AM460" s="2">
        <v>0</v>
      </c>
      <c r="AN460" s="2">
        <v>0</v>
      </c>
      <c r="AO460" s="2">
        <v>0</v>
      </c>
      <c r="AP460" s="2">
        <v>0</v>
      </c>
      <c r="AQ460" s="2">
        <v>0</v>
      </c>
      <c r="AR460" s="2">
        <v>22.137080208979146</v>
      </c>
    </row>
    <row r="461" spans="1:44" x14ac:dyDescent="0.25">
      <c r="A461" t="s">
        <v>250</v>
      </c>
      <c r="B461" t="s">
        <v>353</v>
      </c>
      <c r="C461" t="s">
        <v>45</v>
      </c>
      <c r="D461" t="s">
        <v>354</v>
      </c>
      <c r="E461" t="s">
        <v>134</v>
      </c>
      <c r="F461" t="s">
        <v>354</v>
      </c>
      <c r="G461" t="s">
        <v>31</v>
      </c>
      <c r="H461" t="s">
        <v>253</v>
      </c>
      <c r="I461" t="s">
        <v>135</v>
      </c>
      <c r="J461" t="s">
        <v>40</v>
      </c>
      <c r="K461" t="s">
        <v>31</v>
      </c>
      <c r="L461">
        <v>2.11</v>
      </c>
      <c r="M461">
        <v>1</v>
      </c>
      <c r="N461">
        <v>1.5959225360467455</v>
      </c>
      <c r="O461">
        <v>1.9798085216903567</v>
      </c>
      <c r="P461">
        <v>-0.14324970019558894</v>
      </c>
      <c r="Q461">
        <v>0.4672931329656026</v>
      </c>
      <c r="R461">
        <v>-0.53071772101320502</v>
      </c>
      <c r="S461" s="2">
        <v>3.2955730225175006E-2</v>
      </c>
      <c r="T461" s="2">
        <v>6.5606250084698711E-2</v>
      </c>
      <c r="U461" s="2">
        <v>0.11600927180358168</v>
      </c>
      <c r="V461" s="2">
        <v>0.18793129053378663</v>
      </c>
      <c r="W461" s="2">
        <v>0.28408391109259007</v>
      </c>
      <c r="X461" s="2">
        <v>0.40520070073254155</v>
      </c>
      <c r="Y461" s="2">
        <v>0.54892437457738219</v>
      </c>
      <c r="Z461" s="2">
        <v>0.70868666953169179</v>
      </c>
      <c r="AA461" s="2">
        <v>0.87292952405607038</v>
      </c>
      <c r="AB461" s="2">
        <v>1.0251707703097881</v>
      </c>
      <c r="AC461" s="2">
        <v>1.1454592633485383</v>
      </c>
      <c r="AD461" s="2">
        <v>1.2135569240318222</v>
      </c>
      <c r="AE461" s="2">
        <v>1.2136270080502145</v>
      </c>
      <c r="AF461" s="2">
        <v>1.1393575317801679</v>
      </c>
      <c r="AG461" s="2">
        <v>0.99764291975305852</v>
      </c>
      <c r="AH461" s="2">
        <v>0.82165700883745518</v>
      </c>
      <c r="AI461" s="2">
        <v>0.62574981154799292</v>
      </c>
      <c r="AJ461" s="2">
        <v>0.2400153254454542</v>
      </c>
      <c r="AK461" s="2">
        <v>0</v>
      </c>
      <c r="AL461" s="2">
        <v>0</v>
      </c>
      <c r="AM461" s="2">
        <v>0</v>
      </c>
      <c r="AN461" s="2">
        <v>0</v>
      </c>
      <c r="AO461" s="2">
        <v>0</v>
      </c>
      <c r="AP461" s="2">
        <v>0</v>
      </c>
      <c r="AQ461" s="2">
        <v>0</v>
      </c>
      <c r="AR461" s="2">
        <v>11.64456428574201</v>
      </c>
    </row>
    <row r="462" spans="1:44" x14ac:dyDescent="0.25">
      <c r="A462" t="s">
        <v>250</v>
      </c>
      <c r="B462" t="s">
        <v>353</v>
      </c>
      <c r="C462" t="s">
        <v>45</v>
      </c>
      <c r="D462" t="s">
        <v>354</v>
      </c>
      <c r="E462" t="s">
        <v>134</v>
      </c>
      <c r="F462" t="s">
        <v>354</v>
      </c>
      <c r="G462" t="s">
        <v>31</v>
      </c>
      <c r="H462" t="s">
        <v>253</v>
      </c>
      <c r="I462" t="s">
        <v>256</v>
      </c>
      <c r="J462" t="s">
        <v>39</v>
      </c>
      <c r="K462" t="s">
        <v>31</v>
      </c>
      <c r="L462">
        <v>2.11</v>
      </c>
      <c r="M462">
        <v>1</v>
      </c>
      <c r="N462">
        <v>1.3402593384114303</v>
      </c>
      <c r="O462">
        <v>2.6528390061948963</v>
      </c>
      <c r="P462">
        <v>0.13085257854413071</v>
      </c>
      <c r="Q462">
        <v>0.4672931329656026</v>
      </c>
      <c r="R462">
        <v>-0.39961544227348544</v>
      </c>
      <c r="S462" s="2">
        <v>3.2864267788403977E-2</v>
      </c>
      <c r="T462" s="2">
        <v>6.5424172265176675E-2</v>
      </c>
      <c r="U462" s="2">
        <v>0.11568730986814009</v>
      </c>
      <c r="V462" s="2">
        <v>0.18740972254969704</v>
      </c>
      <c r="W462" s="2">
        <v>0.28329548957747147</v>
      </c>
      <c r="X462" s="2">
        <v>0.40407614232594252</v>
      </c>
      <c r="Y462" s="2">
        <v>0.5474009381200855</v>
      </c>
      <c r="Z462" s="2">
        <v>0.70671984284450795</v>
      </c>
      <c r="AA462" s="2">
        <v>0.87050687218782097</v>
      </c>
      <c r="AB462" s="2">
        <v>1.0223256014690947</v>
      </c>
      <c r="AC462" s="2">
        <v>1.142280256397942</v>
      </c>
      <c r="AD462" s="2">
        <v>1.2101889248197299</v>
      </c>
      <c r="AE462" s="2">
        <v>1.2102588143330988</v>
      </c>
      <c r="AF462" s="2">
        <v>1.1361954590390078</v>
      </c>
      <c r="AG462" s="2">
        <v>0.99487414928902917</v>
      </c>
      <c r="AH462" s="2">
        <v>0.8193766542009534</v>
      </c>
      <c r="AI462" s="2">
        <v>0.62401316052608713</v>
      </c>
      <c r="AJ462" s="2">
        <v>0.23934920800918444</v>
      </c>
      <c r="AK462" s="2">
        <v>0</v>
      </c>
      <c r="AL462" s="2">
        <v>0</v>
      </c>
      <c r="AM462" s="2">
        <v>0</v>
      </c>
      <c r="AN462" s="2">
        <v>0</v>
      </c>
      <c r="AO462" s="2">
        <v>0</v>
      </c>
      <c r="AP462" s="2">
        <v>0</v>
      </c>
      <c r="AQ462" s="2">
        <v>0</v>
      </c>
      <c r="AR462" s="2">
        <v>11.612246985611375</v>
      </c>
    </row>
    <row r="463" spans="1:44" x14ac:dyDescent="0.25">
      <c r="A463" t="s">
        <v>250</v>
      </c>
      <c r="B463" t="s">
        <v>353</v>
      </c>
      <c r="C463" t="s">
        <v>45</v>
      </c>
      <c r="D463" t="s">
        <v>354</v>
      </c>
      <c r="E463" t="s">
        <v>134</v>
      </c>
      <c r="F463" t="s">
        <v>354</v>
      </c>
      <c r="G463" t="s">
        <v>31</v>
      </c>
      <c r="H463" t="s">
        <v>288</v>
      </c>
      <c r="I463" t="s">
        <v>135</v>
      </c>
      <c r="J463" t="s">
        <v>39</v>
      </c>
      <c r="K463" t="s">
        <v>31</v>
      </c>
      <c r="L463">
        <v>2.11</v>
      </c>
      <c r="M463">
        <v>1</v>
      </c>
      <c r="N463">
        <v>1.5959225360467455</v>
      </c>
      <c r="O463">
        <v>3.1588853240212429</v>
      </c>
      <c r="P463">
        <v>-0.14324970019558894</v>
      </c>
      <c r="Q463">
        <v>1.0721225474567759</v>
      </c>
      <c r="R463">
        <v>-0.67371772101320515</v>
      </c>
      <c r="S463" s="2">
        <v>0.11886528792163181</v>
      </c>
      <c r="T463" s="2">
        <v>0.23689110221415199</v>
      </c>
      <c r="U463" s="2">
        <v>0.41934904680412061</v>
      </c>
      <c r="V463" s="2">
        <v>0.68008231499696303</v>
      </c>
      <c r="W463" s="2">
        <v>1.0291731556217183</v>
      </c>
      <c r="X463" s="2">
        <v>1.4695738825556983</v>
      </c>
      <c r="Y463" s="2">
        <v>1.9930269850491642</v>
      </c>
      <c r="Z463" s="2">
        <v>2.5759317547584493</v>
      </c>
      <c r="AA463" s="2">
        <v>3.1764256730068099</v>
      </c>
      <c r="AB463" s="2">
        <v>3.7345231516971653</v>
      </c>
      <c r="AC463" s="2">
        <v>4.17732260120001</v>
      </c>
      <c r="AD463" s="2">
        <v>4.4305530950192393</v>
      </c>
      <c r="AE463" s="2">
        <v>4.4357029185741199</v>
      </c>
      <c r="AF463" s="2">
        <v>4.1688538726019901</v>
      </c>
      <c r="AG463" s="2">
        <v>3.6543588804130605</v>
      </c>
      <c r="AH463" s="2">
        <v>3.01304807315032</v>
      </c>
      <c r="AI463" s="2">
        <v>2.2971832985941929</v>
      </c>
      <c r="AJ463" s="2">
        <v>1.5165643148951837</v>
      </c>
      <c r="AK463" s="2">
        <v>0</v>
      </c>
      <c r="AL463" s="2">
        <v>0</v>
      </c>
      <c r="AM463" s="2">
        <v>0</v>
      </c>
      <c r="AN463" s="2">
        <v>0</v>
      </c>
      <c r="AO463" s="2">
        <v>0</v>
      </c>
      <c r="AP463" s="2">
        <v>0</v>
      </c>
      <c r="AQ463" s="2">
        <v>0</v>
      </c>
      <c r="AR463" s="2">
        <v>43.12742940907399</v>
      </c>
    </row>
    <row r="464" spans="1:44" x14ac:dyDescent="0.25">
      <c r="A464" t="s">
        <v>250</v>
      </c>
      <c r="B464" t="s">
        <v>353</v>
      </c>
      <c r="C464" t="s">
        <v>45</v>
      </c>
      <c r="D464" t="s">
        <v>354</v>
      </c>
      <c r="E464" t="s">
        <v>134</v>
      </c>
      <c r="F464" t="s">
        <v>354</v>
      </c>
      <c r="G464" t="s">
        <v>31</v>
      </c>
      <c r="H464" t="s">
        <v>288</v>
      </c>
      <c r="I464" t="s">
        <v>135</v>
      </c>
      <c r="J464" t="s">
        <v>39</v>
      </c>
      <c r="K464" t="s">
        <v>33</v>
      </c>
      <c r="L464">
        <v>2.11</v>
      </c>
      <c r="M464">
        <v>1</v>
      </c>
      <c r="N464">
        <v>1.5959225360467455</v>
      </c>
      <c r="O464">
        <v>3.1588853240212429</v>
      </c>
      <c r="P464">
        <v>-0.14324970019558894</v>
      </c>
      <c r="Q464">
        <v>1.0721225474567759</v>
      </c>
      <c r="R464">
        <v>-0.67371772101320515</v>
      </c>
      <c r="S464" s="2">
        <v>1.1181792398760849E-3</v>
      </c>
      <c r="T464" s="2">
        <v>2.2284614561474741E-3</v>
      </c>
      <c r="U464" s="2">
        <v>3.9448640271442775E-3</v>
      </c>
      <c r="V464" s="2">
        <v>6.3976114417679418E-3</v>
      </c>
      <c r="W464" s="2">
        <v>9.6815485578320374E-3</v>
      </c>
      <c r="X464" s="2">
        <v>1.3824448126700159E-2</v>
      </c>
      <c r="Y464" s="2">
        <v>1.8748630808551079E-2</v>
      </c>
      <c r="Z464" s="2">
        <v>2.4232082064256619E-2</v>
      </c>
      <c r="AA464" s="2">
        <v>2.988099643444566E-2</v>
      </c>
      <c r="AB464" s="2">
        <v>3.513108269100005E-2</v>
      </c>
      <c r="AC464" s="2">
        <v>3.9296547315029566E-2</v>
      </c>
      <c r="AD464" s="2">
        <v>4.1678715280490768E-2</v>
      </c>
      <c r="AE464" s="2">
        <v>4.1727160254534733E-2</v>
      </c>
      <c r="AF464" s="2">
        <v>3.9216881024962666E-2</v>
      </c>
      <c r="AG464" s="2">
        <v>3.4376968302375709E-2</v>
      </c>
      <c r="AH464" s="2">
        <v>2.8344084829598052E-2</v>
      </c>
      <c r="AI464" s="2">
        <v>2.1609863733907074E-2</v>
      </c>
      <c r="AJ464" s="2">
        <v>1.4266492451275793E-2</v>
      </c>
      <c r="AK464" s="2">
        <v>0</v>
      </c>
      <c r="AL464" s="2">
        <v>0</v>
      </c>
      <c r="AM464" s="2">
        <v>0</v>
      </c>
      <c r="AN464" s="2">
        <v>0</v>
      </c>
      <c r="AO464" s="2">
        <v>0</v>
      </c>
      <c r="AP464" s="2">
        <v>0</v>
      </c>
      <c r="AQ464" s="2">
        <v>0</v>
      </c>
      <c r="AR464" s="2">
        <v>0.40570461803989571</v>
      </c>
    </row>
    <row r="465" spans="1:44" x14ac:dyDescent="0.25">
      <c r="A465" t="s">
        <v>250</v>
      </c>
      <c r="B465" t="s">
        <v>353</v>
      </c>
      <c r="C465" t="s">
        <v>45</v>
      </c>
      <c r="D465" t="s">
        <v>354</v>
      </c>
      <c r="E465" t="s">
        <v>134</v>
      </c>
      <c r="F465" t="s">
        <v>354</v>
      </c>
      <c r="G465" t="s">
        <v>31</v>
      </c>
      <c r="H465" t="s">
        <v>273</v>
      </c>
      <c r="I465" t="s">
        <v>135</v>
      </c>
      <c r="J465" t="s">
        <v>39</v>
      </c>
      <c r="K465" t="s">
        <v>31</v>
      </c>
      <c r="L465">
        <v>2.11</v>
      </c>
      <c r="M465">
        <v>1</v>
      </c>
      <c r="N465">
        <v>1.5959225360467455</v>
      </c>
      <c r="O465">
        <v>3.1588853240212429</v>
      </c>
      <c r="P465">
        <v>-0.14324970019558894</v>
      </c>
      <c r="Q465">
        <v>1.0721225474567759</v>
      </c>
      <c r="R465">
        <v>-0.67371772101320515</v>
      </c>
      <c r="S465" s="2">
        <v>4.8498463094884797E-3</v>
      </c>
      <c r="T465" s="2">
        <v>9.6499298486187098E-3</v>
      </c>
      <c r="U465" s="2">
        <v>1.7055071554879311E-2</v>
      </c>
      <c r="V465" s="2">
        <v>2.7614796379397281E-2</v>
      </c>
      <c r="W465" s="2">
        <v>4.1722593024510625E-2</v>
      </c>
      <c r="X465" s="2">
        <v>5.9480792322691184E-2</v>
      </c>
      <c r="Y465" s="2">
        <v>8.0538025301405622E-2</v>
      </c>
      <c r="Z465" s="2">
        <v>0.10392609977469268</v>
      </c>
      <c r="AA465" s="2">
        <v>0.12794739606272898</v>
      </c>
      <c r="AB465" s="2">
        <v>0.15018632432666487</v>
      </c>
      <c r="AC465" s="2">
        <v>0.16772419886682882</v>
      </c>
      <c r="AD465" s="2">
        <v>0.17760620474244393</v>
      </c>
      <c r="AE465" s="2">
        <v>0.17752728781904714</v>
      </c>
      <c r="AF465" s="2">
        <v>0.16657960085873816</v>
      </c>
      <c r="AG465" s="2">
        <v>0.14578700642543757</v>
      </c>
      <c r="AH465" s="2">
        <v>0.1200096479656096</v>
      </c>
      <c r="AI465" s="2">
        <v>9.1349932153210675E-2</v>
      </c>
      <c r="AJ465" s="2">
        <v>2.3558372777027655E-2</v>
      </c>
      <c r="AK465" s="2">
        <v>0</v>
      </c>
      <c r="AL465" s="2">
        <v>0</v>
      </c>
      <c r="AM465" s="2">
        <v>0</v>
      </c>
      <c r="AN465" s="2">
        <v>0</v>
      </c>
      <c r="AO465" s="2">
        <v>0</v>
      </c>
      <c r="AP465" s="2">
        <v>0</v>
      </c>
      <c r="AQ465" s="2">
        <v>0</v>
      </c>
      <c r="AR465" s="2">
        <v>1.6931131265134214</v>
      </c>
    </row>
    <row r="466" spans="1:44" x14ac:dyDescent="0.25">
      <c r="A466" t="s">
        <v>250</v>
      </c>
      <c r="B466" t="s">
        <v>353</v>
      </c>
      <c r="C466" t="s">
        <v>45</v>
      </c>
      <c r="D466" t="s">
        <v>354</v>
      </c>
      <c r="E466" t="s">
        <v>134</v>
      </c>
      <c r="F466" t="s">
        <v>354</v>
      </c>
      <c r="G466" t="s">
        <v>31</v>
      </c>
      <c r="H466" t="s">
        <v>252</v>
      </c>
      <c r="I466" t="s">
        <v>135</v>
      </c>
      <c r="J466" t="s">
        <v>39</v>
      </c>
      <c r="K466" t="s">
        <v>31</v>
      </c>
      <c r="L466">
        <v>2.11</v>
      </c>
      <c r="M466">
        <v>1</v>
      </c>
      <c r="N466">
        <v>1.5959225360467455</v>
      </c>
      <c r="O466">
        <v>3.1588853240212429</v>
      </c>
      <c r="P466">
        <v>-0.14324970019558894</v>
      </c>
      <c r="Q466">
        <v>1.0721225474567759</v>
      </c>
      <c r="R466">
        <v>-0.67371772101320515</v>
      </c>
      <c r="S466" s="2">
        <v>0.10400505444213942</v>
      </c>
      <c r="T466" s="2">
        <v>0.20713005459818548</v>
      </c>
      <c r="U466" s="2">
        <v>0.36640804716114267</v>
      </c>
      <c r="V466" s="2">
        <v>0.59380766126191531</v>
      </c>
      <c r="W466" s="2">
        <v>0.89798221808810619</v>
      </c>
      <c r="X466" s="2">
        <v>1.2813438361093088</v>
      </c>
      <c r="Y466" s="2">
        <v>1.7365304778324249</v>
      </c>
      <c r="Z466" s="2">
        <v>2.2428413582624986</v>
      </c>
      <c r="AA466" s="2">
        <v>2.7637443805055995</v>
      </c>
      <c r="AB466" s="2">
        <v>3.2470524448206728</v>
      </c>
      <c r="AC466" s="2">
        <v>3.6295027917810159</v>
      </c>
      <c r="AD466" s="2">
        <v>3.8468215163505577</v>
      </c>
      <c r="AE466" s="2">
        <v>3.84858882639426</v>
      </c>
      <c r="AF466" s="2">
        <v>3.6145206272753065</v>
      </c>
      <c r="AG466" s="2">
        <v>3.1662135458209595</v>
      </c>
      <c r="AH466" s="2">
        <v>2.6087354509142133</v>
      </c>
      <c r="AI466" s="2">
        <v>1.9875341580409294</v>
      </c>
      <c r="AJ466" s="2">
        <v>0.96222594992269095</v>
      </c>
      <c r="AK466" s="2">
        <v>0</v>
      </c>
      <c r="AL466" s="2">
        <v>0</v>
      </c>
      <c r="AM466" s="2">
        <v>0</v>
      </c>
      <c r="AN466" s="2">
        <v>0</v>
      </c>
      <c r="AO466" s="2">
        <v>0</v>
      </c>
      <c r="AP466" s="2">
        <v>0</v>
      </c>
      <c r="AQ466" s="2">
        <v>0</v>
      </c>
      <c r="AR466" s="2">
        <v>37.104988399581927</v>
      </c>
    </row>
    <row r="467" spans="1:44" x14ac:dyDescent="0.25">
      <c r="A467" t="s">
        <v>250</v>
      </c>
      <c r="B467" t="s">
        <v>353</v>
      </c>
      <c r="C467" t="s">
        <v>45</v>
      </c>
      <c r="D467" t="s">
        <v>354</v>
      </c>
      <c r="E467" t="s">
        <v>134</v>
      </c>
      <c r="F467" t="s">
        <v>354</v>
      </c>
      <c r="G467" t="s">
        <v>31</v>
      </c>
      <c r="H467" t="s">
        <v>289</v>
      </c>
      <c r="I467" t="s">
        <v>135</v>
      </c>
      <c r="J467" t="s">
        <v>39</v>
      </c>
      <c r="K467" t="s">
        <v>31</v>
      </c>
      <c r="L467">
        <v>2.11</v>
      </c>
      <c r="M467">
        <v>1</v>
      </c>
      <c r="N467">
        <v>1.5959225360467455</v>
      </c>
      <c r="O467">
        <v>3.1588853240212429</v>
      </c>
      <c r="P467">
        <v>-0.14324970019558894</v>
      </c>
      <c r="Q467">
        <v>1.0721225474567759</v>
      </c>
      <c r="R467">
        <v>-0.67371772101320515</v>
      </c>
      <c r="S467" s="2">
        <v>0.11297630357485682</v>
      </c>
      <c r="T467" s="2">
        <v>0.22515472385490237</v>
      </c>
      <c r="U467" s="2">
        <v>0.39857309096667998</v>
      </c>
      <c r="V467" s="2">
        <v>0.64638876006967338</v>
      </c>
      <c r="W467" s="2">
        <v>0.97818447162868238</v>
      </c>
      <c r="X467" s="2">
        <v>1.3967662720066401</v>
      </c>
      <c r="Y467" s="2">
        <v>1.8942857551840344</v>
      </c>
      <c r="Z467" s="2">
        <v>2.4483114709281137</v>
      </c>
      <c r="AA467" s="2">
        <v>3.0190549099008961</v>
      </c>
      <c r="AB467" s="2">
        <v>3.5495023708825575</v>
      </c>
      <c r="AC467" s="2">
        <v>3.9703640530819477</v>
      </c>
      <c r="AD467" s="2">
        <v>4.2110486603744848</v>
      </c>
      <c r="AE467" s="2">
        <v>4.2159433444278864</v>
      </c>
      <c r="AF467" s="2">
        <v>3.9623148936535562</v>
      </c>
      <c r="AG467" s="2">
        <v>3.4733097060027895</v>
      </c>
      <c r="AH467" s="2">
        <v>2.8637715833599504</v>
      </c>
      <c r="AI467" s="2">
        <v>2.1833731465840183</v>
      </c>
      <c r="AJ467" s="2">
        <v>1.4414286409952994</v>
      </c>
      <c r="AK467" s="2">
        <v>0</v>
      </c>
      <c r="AL467" s="2">
        <v>0</v>
      </c>
      <c r="AM467" s="2">
        <v>0</v>
      </c>
      <c r="AN467" s="2">
        <v>0</v>
      </c>
      <c r="AO467" s="2">
        <v>0</v>
      </c>
      <c r="AP467" s="2">
        <v>0</v>
      </c>
      <c r="AQ467" s="2">
        <v>0</v>
      </c>
      <c r="AR467" s="2">
        <v>40.990752157476969</v>
      </c>
    </row>
    <row r="468" spans="1:44" x14ac:dyDescent="0.25">
      <c r="A468" t="s">
        <v>250</v>
      </c>
      <c r="B468" t="s">
        <v>353</v>
      </c>
      <c r="C468" t="s">
        <v>45</v>
      </c>
      <c r="D468" t="s">
        <v>354</v>
      </c>
      <c r="E468" t="s">
        <v>134</v>
      </c>
      <c r="F468" t="s">
        <v>354</v>
      </c>
      <c r="G468" t="s">
        <v>31</v>
      </c>
      <c r="H468" t="s">
        <v>274</v>
      </c>
      <c r="I468" t="s">
        <v>135</v>
      </c>
      <c r="J468" t="s">
        <v>39</v>
      </c>
      <c r="K468" t="s">
        <v>31</v>
      </c>
      <c r="L468">
        <v>2.11</v>
      </c>
      <c r="M468">
        <v>1</v>
      </c>
      <c r="N468">
        <v>1.5959225360467455</v>
      </c>
      <c r="O468">
        <v>3.1588853240212429</v>
      </c>
      <c r="P468">
        <v>-0.14324970019558894</v>
      </c>
      <c r="Q468">
        <v>1.0721225474567759</v>
      </c>
      <c r="R468">
        <v>-0.67371772101320515</v>
      </c>
      <c r="S468" s="2">
        <v>7.6345265552064051E-3</v>
      </c>
      <c r="T468" s="2">
        <v>1.5190717598828164E-2</v>
      </c>
      <c r="U468" s="2">
        <v>2.6847736686403299E-2</v>
      </c>
      <c r="V468" s="2">
        <v>4.3470634494675857E-2</v>
      </c>
      <c r="W468" s="2">
        <v>6.567883270331755E-2</v>
      </c>
      <c r="X468" s="2">
        <v>9.3633418367065471E-2</v>
      </c>
      <c r="Y468" s="2">
        <v>0.12678127380335849</v>
      </c>
      <c r="Z468" s="2">
        <v>0.16359829113690114</v>
      </c>
      <c r="AA468" s="2">
        <v>0.20141211299816275</v>
      </c>
      <c r="AB468" s="2">
        <v>0.23642016842007904</v>
      </c>
      <c r="AC468" s="2">
        <v>0.26402792346105936</v>
      </c>
      <c r="AD468" s="2">
        <v>0.27958397028433413</v>
      </c>
      <c r="AE468" s="2">
        <v>0.27945974091522002</v>
      </c>
      <c r="AF468" s="2">
        <v>0.26222612123266537</v>
      </c>
      <c r="AG468" s="2">
        <v>0.2294948542557923</v>
      </c>
      <c r="AH468" s="2">
        <v>0.18891667607731968</v>
      </c>
      <c r="AI468" s="2">
        <v>0.14380115128092541</v>
      </c>
      <c r="AJ468" s="2">
        <v>3.7085097359021477E-2</v>
      </c>
      <c r="AK468" s="2">
        <v>0</v>
      </c>
      <c r="AL468" s="2">
        <v>0</v>
      </c>
      <c r="AM468" s="2">
        <v>0</v>
      </c>
      <c r="AN468" s="2">
        <v>0</v>
      </c>
      <c r="AO468" s="2">
        <v>0</v>
      </c>
      <c r="AP468" s="2">
        <v>0</v>
      </c>
      <c r="AQ468" s="2">
        <v>0</v>
      </c>
      <c r="AR468" s="2">
        <v>2.6652632476303357</v>
      </c>
    </row>
    <row r="469" spans="1:44" x14ac:dyDescent="0.25">
      <c r="A469" t="s">
        <v>250</v>
      </c>
      <c r="B469" t="s">
        <v>353</v>
      </c>
      <c r="C469" t="s">
        <v>45</v>
      </c>
      <c r="D469" t="s">
        <v>354</v>
      </c>
      <c r="E469" t="s">
        <v>134</v>
      </c>
      <c r="F469" t="s">
        <v>354</v>
      </c>
      <c r="G469" t="s">
        <v>31</v>
      </c>
      <c r="H469" t="s">
        <v>274</v>
      </c>
      <c r="I469" t="s">
        <v>135</v>
      </c>
      <c r="J469" t="s">
        <v>39</v>
      </c>
      <c r="K469" t="s">
        <v>33</v>
      </c>
      <c r="L469">
        <v>2.11</v>
      </c>
      <c r="M469">
        <v>1</v>
      </c>
      <c r="N469">
        <v>1.5959225360467455</v>
      </c>
      <c r="O469">
        <v>3.1588853240212429</v>
      </c>
      <c r="P469">
        <v>-0.14324970019558894</v>
      </c>
      <c r="Q469">
        <v>1.0721225474567759</v>
      </c>
      <c r="R469">
        <v>-0.67371772101320515</v>
      </c>
      <c r="S469" s="2">
        <v>2.4563956531354674E-5</v>
      </c>
      <c r="T469" s="2">
        <v>4.8875869915369152E-5</v>
      </c>
      <c r="U469" s="2">
        <v>8.6382126273478816E-5</v>
      </c>
      <c r="V469" s="2">
        <v>1.3986601112670513E-4</v>
      </c>
      <c r="W469" s="2">
        <v>2.1132050296611892E-4</v>
      </c>
      <c r="X469" s="2">
        <v>3.0126389659123536E-4</v>
      </c>
      <c r="Y469" s="2">
        <v>4.0791654546956744E-4</v>
      </c>
      <c r="Z469" s="2">
        <v>5.263746589957471E-4</v>
      </c>
      <c r="AA469" s="2">
        <v>6.4803997376906201E-4</v>
      </c>
      <c r="AB469" s="2">
        <v>7.6067778377769582E-4</v>
      </c>
      <c r="AC469" s="2">
        <v>8.4950525590069947E-4</v>
      </c>
      <c r="AD469" s="2">
        <v>8.9955656624764548E-4</v>
      </c>
      <c r="AE469" s="2">
        <v>8.9915686041117137E-4</v>
      </c>
      <c r="AF469" s="2">
        <v>8.4370798853954435E-4</v>
      </c>
      <c r="AG469" s="2">
        <v>7.3839570579061929E-4</v>
      </c>
      <c r="AH469" s="2">
        <v>6.0783612260103441E-4</v>
      </c>
      <c r="AI469" s="2">
        <v>4.626777055107002E-4</v>
      </c>
      <c r="AJ469" s="2">
        <v>1.193206563499129E-4</v>
      </c>
      <c r="AK469" s="2">
        <v>0</v>
      </c>
      <c r="AL469" s="2">
        <v>0</v>
      </c>
      <c r="AM469" s="2">
        <v>0</v>
      </c>
      <c r="AN469" s="2">
        <v>0</v>
      </c>
      <c r="AO469" s="2">
        <v>0</v>
      </c>
      <c r="AP469" s="2">
        <v>0</v>
      </c>
      <c r="AQ469" s="2">
        <v>0</v>
      </c>
      <c r="AR469" s="2">
        <v>8.5754381867676633E-3</v>
      </c>
    </row>
    <row r="470" spans="1:44" x14ac:dyDescent="0.25">
      <c r="A470" t="s">
        <v>250</v>
      </c>
      <c r="B470" t="s">
        <v>353</v>
      </c>
      <c r="C470" t="s">
        <v>45</v>
      </c>
      <c r="D470" t="s">
        <v>354</v>
      </c>
      <c r="E470" t="s">
        <v>134</v>
      </c>
      <c r="F470" t="s">
        <v>354</v>
      </c>
      <c r="G470" t="s">
        <v>31</v>
      </c>
      <c r="H470" t="s">
        <v>255</v>
      </c>
      <c r="I470" t="s">
        <v>135</v>
      </c>
      <c r="J470" t="s">
        <v>39</v>
      </c>
      <c r="K470" t="s">
        <v>31</v>
      </c>
      <c r="L470">
        <v>2.11</v>
      </c>
      <c r="M470">
        <v>1</v>
      </c>
      <c r="N470">
        <v>1.5959225360467455</v>
      </c>
      <c r="O470">
        <v>3.1588853240212429</v>
      </c>
      <c r="P470">
        <v>-0.14324970019558894</v>
      </c>
      <c r="Q470">
        <v>1.0721225474567759</v>
      </c>
      <c r="R470">
        <v>-0.67371772101320515</v>
      </c>
      <c r="S470" s="2">
        <v>2.2202786887990471E-2</v>
      </c>
      <c r="T470" s="2">
        <v>4.3982477434260751E-2</v>
      </c>
      <c r="U470" s="2">
        <v>7.73900444791112E-2</v>
      </c>
      <c r="V470" s="2">
        <v>0.12475254488511228</v>
      </c>
      <c r="W470" s="2">
        <v>0.18765272621532544</v>
      </c>
      <c r="X470" s="2">
        <v>0.26633997192632558</v>
      </c>
      <c r="Y470" s="2">
        <v>0.35903484502673499</v>
      </c>
      <c r="Z470" s="2">
        <v>0.46124988388828375</v>
      </c>
      <c r="AA470" s="2">
        <v>0.56535223136422419</v>
      </c>
      <c r="AB470" s="2">
        <v>0.66068441979097037</v>
      </c>
      <c r="AC470" s="2">
        <v>0.73457377778328792</v>
      </c>
      <c r="AD470" s="2">
        <v>0.77441516163932389</v>
      </c>
      <c r="AE470" s="2">
        <v>0.77064940843189078</v>
      </c>
      <c r="AF470" s="2">
        <v>0.71992883150674492</v>
      </c>
      <c r="AG470" s="2">
        <v>0.62728165351431431</v>
      </c>
      <c r="AH470" s="2">
        <v>0.51408620153424311</v>
      </c>
      <c r="AI470" s="2">
        <v>5.9735315704237062E-2</v>
      </c>
      <c r="AJ470" s="2">
        <v>0</v>
      </c>
      <c r="AK470" s="2">
        <v>0</v>
      </c>
      <c r="AL470" s="2">
        <v>0</v>
      </c>
      <c r="AM470" s="2">
        <v>0</v>
      </c>
      <c r="AN470" s="2">
        <v>0</v>
      </c>
      <c r="AO470" s="2">
        <v>0</v>
      </c>
      <c r="AP470" s="2">
        <v>0</v>
      </c>
      <c r="AQ470" s="2">
        <v>0</v>
      </c>
      <c r="AR470" s="2">
        <v>6.969312282012381</v>
      </c>
    </row>
    <row r="471" spans="1:44" x14ac:dyDescent="0.25">
      <c r="A471" t="s">
        <v>250</v>
      </c>
      <c r="B471" t="s">
        <v>353</v>
      </c>
      <c r="C471" t="s">
        <v>45</v>
      </c>
      <c r="D471" t="s">
        <v>354</v>
      </c>
      <c r="E471" t="s">
        <v>134</v>
      </c>
      <c r="F471" t="s">
        <v>354</v>
      </c>
      <c r="G471" t="s">
        <v>31</v>
      </c>
      <c r="H471" t="s">
        <v>278</v>
      </c>
      <c r="I471" t="s">
        <v>135</v>
      </c>
      <c r="J471" t="s">
        <v>39</v>
      </c>
      <c r="K471" t="s">
        <v>31</v>
      </c>
      <c r="L471">
        <v>2.11</v>
      </c>
      <c r="M471">
        <v>1</v>
      </c>
      <c r="N471">
        <v>1.5959225360467455</v>
      </c>
      <c r="O471">
        <v>3.1588853240212429</v>
      </c>
      <c r="P471">
        <v>-0.14324970019558894</v>
      </c>
      <c r="Q471">
        <v>1.0721225474567759</v>
      </c>
      <c r="R471">
        <v>-0.67371772101320515</v>
      </c>
      <c r="S471" s="2">
        <v>5.2186104642744299E-2</v>
      </c>
      <c r="T471" s="2">
        <v>0.10337775079366227</v>
      </c>
      <c r="U471" s="2">
        <v>0.18189991102774869</v>
      </c>
      <c r="V471" s="2">
        <v>0.29322217047196819</v>
      </c>
      <c r="W471" s="2">
        <v>0.44106466706961889</v>
      </c>
      <c r="X471" s="2">
        <v>0.62601355927128821</v>
      </c>
      <c r="Y471" s="2">
        <v>0.84388640432752826</v>
      </c>
      <c r="Z471" s="2">
        <v>1.0841357361344395</v>
      </c>
      <c r="AA471" s="2">
        <v>1.3288210554297983</v>
      </c>
      <c r="AB471" s="2">
        <v>1.5528927265293837</v>
      </c>
      <c r="AC471" s="2">
        <v>1.7265645177160118</v>
      </c>
      <c r="AD471" s="2">
        <v>1.8202089163904613</v>
      </c>
      <c r="AE471" s="2">
        <v>1.8113577756785657</v>
      </c>
      <c r="AF471" s="2">
        <v>1.692142591192525</v>
      </c>
      <c r="AG471" s="2">
        <v>1.4743818501666699</v>
      </c>
      <c r="AH471" s="2">
        <v>1.2083238218697829</v>
      </c>
      <c r="AI471" s="2">
        <v>0.14040370030731705</v>
      </c>
      <c r="AJ471" s="2">
        <v>0</v>
      </c>
      <c r="AK471" s="2">
        <v>0</v>
      </c>
      <c r="AL471" s="2">
        <v>0</v>
      </c>
      <c r="AM471" s="2">
        <v>0</v>
      </c>
      <c r="AN471" s="2">
        <v>0</v>
      </c>
      <c r="AO471" s="2">
        <v>0</v>
      </c>
      <c r="AP471" s="2">
        <v>0</v>
      </c>
      <c r="AQ471" s="2">
        <v>0</v>
      </c>
      <c r="AR471" s="2">
        <v>16.380883259019516</v>
      </c>
    </row>
    <row r="472" spans="1:44" x14ac:dyDescent="0.25">
      <c r="A472" t="s">
        <v>250</v>
      </c>
      <c r="B472" t="s">
        <v>353</v>
      </c>
      <c r="C472" t="s">
        <v>45</v>
      </c>
      <c r="D472" t="s">
        <v>354</v>
      </c>
      <c r="E472" t="s">
        <v>134</v>
      </c>
      <c r="F472" t="s">
        <v>354</v>
      </c>
      <c r="G472" t="s">
        <v>31</v>
      </c>
      <c r="H472" t="s">
        <v>276</v>
      </c>
      <c r="I472" t="s">
        <v>135</v>
      </c>
      <c r="J472" t="s">
        <v>39</v>
      </c>
      <c r="K472" t="s">
        <v>31</v>
      </c>
      <c r="L472">
        <v>2.11</v>
      </c>
      <c r="M472">
        <v>1</v>
      </c>
      <c r="N472">
        <v>1.5959225360467455</v>
      </c>
      <c r="O472">
        <v>3.1588853240212429</v>
      </c>
      <c r="P472">
        <v>-0.14324970019558894</v>
      </c>
      <c r="Q472">
        <v>1.0721225474567759</v>
      </c>
      <c r="R472">
        <v>-0.67371772101320515</v>
      </c>
      <c r="S472" s="2">
        <v>0.25684191076212726</v>
      </c>
      <c r="T472" s="2">
        <v>0.51233197158718224</v>
      </c>
      <c r="U472" s="2">
        <v>0.90775831208292768</v>
      </c>
      <c r="V472" s="2">
        <v>1.4734924670669889</v>
      </c>
      <c r="W472" s="2">
        <v>2.2318589918623228</v>
      </c>
      <c r="X472" s="2">
        <v>3.1897863269159323</v>
      </c>
      <c r="Y472" s="2">
        <v>4.3298735199776868</v>
      </c>
      <c r="Z472" s="2">
        <v>5.6012924540010651</v>
      </c>
      <c r="AA472" s="2">
        <v>6.9132849437643999</v>
      </c>
      <c r="AB472" s="2">
        <v>8.1352851586136037</v>
      </c>
      <c r="AC472" s="2">
        <v>9.1080940056416022</v>
      </c>
      <c r="AD472" s="2">
        <v>9.6689496432142104</v>
      </c>
      <c r="AE472" s="2">
        <v>9.6889266663291647</v>
      </c>
      <c r="AF472" s="2">
        <v>9.1142671476717503</v>
      </c>
      <c r="AG472" s="2">
        <v>7.9966509813139428</v>
      </c>
      <c r="AH472" s="2">
        <v>6.5992544068276837</v>
      </c>
      <c r="AI472" s="2">
        <v>5.0358910378502051</v>
      </c>
      <c r="AJ472" s="2">
        <v>3.4790646923104984</v>
      </c>
      <c r="AK472" s="2">
        <v>0.98608181201823797</v>
      </c>
      <c r="AL472" s="2">
        <v>0</v>
      </c>
      <c r="AM472" s="2">
        <v>0</v>
      </c>
      <c r="AN472" s="2">
        <v>0</v>
      </c>
      <c r="AO472" s="2">
        <v>0</v>
      </c>
      <c r="AP472" s="2">
        <v>0</v>
      </c>
      <c r="AQ472" s="2">
        <v>0</v>
      </c>
      <c r="AR472" s="2">
        <v>95.228986449811543</v>
      </c>
    </row>
    <row r="473" spans="1:44" x14ac:dyDescent="0.25">
      <c r="A473" t="s">
        <v>250</v>
      </c>
      <c r="B473" t="s">
        <v>353</v>
      </c>
      <c r="C473" t="s">
        <v>45</v>
      </c>
      <c r="D473" t="s">
        <v>354</v>
      </c>
      <c r="E473" t="s">
        <v>134</v>
      </c>
      <c r="F473" t="s">
        <v>354</v>
      </c>
      <c r="G473" t="s">
        <v>31</v>
      </c>
      <c r="H473" t="s">
        <v>290</v>
      </c>
      <c r="I473" t="s">
        <v>135</v>
      </c>
      <c r="J473" t="s">
        <v>39</v>
      </c>
      <c r="K473" t="s">
        <v>31</v>
      </c>
      <c r="L473">
        <v>2.11</v>
      </c>
      <c r="M473">
        <v>1</v>
      </c>
      <c r="N473">
        <v>1.5959225360467455</v>
      </c>
      <c r="O473">
        <v>3.1588853240212429</v>
      </c>
      <c r="P473">
        <v>-0.14324970019558894</v>
      </c>
      <c r="Q473">
        <v>1.0721225474567759</v>
      </c>
      <c r="R473">
        <v>-0.67371772101320515</v>
      </c>
      <c r="S473" s="2">
        <v>0.1635973823578582</v>
      </c>
      <c r="T473" s="2">
        <v>0.32603937536124278</v>
      </c>
      <c r="U473" s="2">
        <v>0.57716098241101454</v>
      </c>
      <c r="V473" s="2">
        <v>0.93601494992153933</v>
      </c>
      <c r="W473" s="2">
        <v>1.4164777387633685</v>
      </c>
      <c r="X473" s="2">
        <v>2.0226126951889887</v>
      </c>
      <c r="Y473" s="2">
        <v>2.7430547927296134</v>
      </c>
      <c r="Z473" s="2">
        <v>3.5453217636490071</v>
      </c>
      <c r="AA473" s="2">
        <v>4.3717971364425754</v>
      </c>
      <c r="AB473" s="2">
        <v>5.1399211885582714</v>
      </c>
      <c r="AC473" s="2">
        <v>5.7493575691433794</v>
      </c>
      <c r="AD473" s="2">
        <v>6.0978852734579236</v>
      </c>
      <c r="AE473" s="2">
        <v>6.1049731093426827</v>
      </c>
      <c r="AF473" s="2">
        <v>5.7377018380652807</v>
      </c>
      <c r="AG473" s="2">
        <v>5.0295890203532752</v>
      </c>
      <c r="AH473" s="2">
        <v>4.1469363033114313</v>
      </c>
      <c r="AI473" s="2">
        <v>3.1616730251305571</v>
      </c>
      <c r="AJ473" s="2">
        <v>2.0872868474248509</v>
      </c>
      <c r="AK473" s="2">
        <v>0</v>
      </c>
      <c r="AL473" s="2">
        <v>0</v>
      </c>
      <c r="AM473" s="2">
        <v>0</v>
      </c>
      <c r="AN473" s="2">
        <v>0</v>
      </c>
      <c r="AO473" s="2">
        <v>0</v>
      </c>
      <c r="AP473" s="2">
        <v>0</v>
      </c>
      <c r="AQ473" s="2">
        <v>0</v>
      </c>
      <c r="AR473" s="2">
        <v>59.357400991612849</v>
      </c>
    </row>
    <row r="474" spans="1:44" x14ac:dyDescent="0.25">
      <c r="A474" t="s">
        <v>250</v>
      </c>
      <c r="B474" t="s">
        <v>353</v>
      </c>
      <c r="C474" t="s">
        <v>45</v>
      </c>
      <c r="D474" t="s">
        <v>354</v>
      </c>
      <c r="E474" t="s">
        <v>134</v>
      </c>
      <c r="F474" t="s">
        <v>354</v>
      </c>
      <c r="G474" t="s">
        <v>31</v>
      </c>
      <c r="H474" t="s">
        <v>275</v>
      </c>
      <c r="I474" t="s">
        <v>135</v>
      </c>
      <c r="J474" t="s">
        <v>39</v>
      </c>
      <c r="K474" t="s">
        <v>31</v>
      </c>
      <c r="L474">
        <v>2.11</v>
      </c>
      <c r="M474">
        <v>1</v>
      </c>
      <c r="N474">
        <v>1.5959225360467455</v>
      </c>
      <c r="O474">
        <v>3.1588853240212429</v>
      </c>
      <c r="P474">
        <v>-0.14324970019558894</v>
      </c>
      <c r="Q474">
        <v>1.0721225474567759</v>
      </c>
      <c r="R474">
        <v>-0.67371772101320515</v>
      </c>
      <c r="S474" s="2">
        <v>1.1663170015560737E-2</v>
      </c>
      <c r="T474" s="2">
        <v>2.3206667857181028E-2</v>
      </c>
      <c r="U474" s="2">
        <v>4.1014949026929315E-2</v>
      </c>
      <c r="V474" s="2">
        <v>6.6409540543145906E-2</v>
      </c>
      <c r="W474" s="2">
        <v>0.10033672510051982</v>
      </c>
      <c r="X474" s="2">
        <v>0.1430425933627115</v>
      </c>
      <c r="Y474" s="2">
        <v>0.19368215441591977</v>
      </c>
      <c r="Z474" s="2">
        <v>0.24992704786437081</v>
      </c>
      <c r="AA474" s="2">
        <v>0.30769474702906358</v>
      </c>
      <c r="AB474" s="2">
        <v>0.36117611215988976</v>
      </c>
      <c r="AC474" s="2">
        <v>0.40335213165009931</v>
      </c>
      <c r="AD474" s="2">
        <v>0.4271169083599462</v>
      </c>
      <c r="AE474" s="2">
        <v>0.42692712471816757</v>
      </c>
      <c r="AF474" s="2">
        <v>0.40059954109032908</v>
      </c>
      <c r="AG474" s="2">
        <v>0.35059639697713696</v>
      </c>
      <c r="AH474" s="2">
        <v>0.28860562550035246</v>
      </c>
      <c r="AI474" s="2">
        <v>0.21968320677056824</v>
      </c>
      <c r="AJ474" s="2">
        <v>5.6654435925293449E-2</v>
      </c>
      <c r="AK474" s="2">
        <v>0</v>
      </c>
      <c r="AL474" s="2">
        <v>0</v>
      </c>
      <c r="AM474" s="2">
        <v>0</v>
      </c>
      <c r="AN474" s="2">
        <v>0</v>
      </c>
      <c r="AO474" s="2">
        <v>0</v>
      </c>
      <c r="AP474" s="2">
        <v>0</v>
      </c>
      <c r="AQ474" s="2">
        <v>0</v>
      </c>
      <c r="AR474" s="2">
        <v>4.0716890783671849</v>
      </c>
    </row>
    <row r="475" spans="1:44" x14ac:dyDescent="0.25">
      <c r="A475" t="s">
        <v>250</v>
      </c>
      <c r="B475" t="s">
        <v>353</v>
      </c>
      <c r="C475" t="s">
        <v>45</v>
      </c>
      <c r="D475" t="s">
        <v>354</v>
      </c>
      <c r="E475" t="s">
        <v>134</v>
      </c>
      <c r="F475" t="s">
        <v>354</v>
      </c>
      <c r="G475" t="s">
        <v>31</v>
      </c>
      <c r="H475" t="s">
        <v>277</v>
      </c>
      <c r="I475" t="s">
        <v>135</v>
      </c>
      <c r="J475" t="s">
        <v>39</v>
      </c>
      <c r="K475" t="s">
        <v>31</v>
      </c>
      <c r="L475">
        <v>2.11</v>
      </c>
      <c r="M475">
        <v>1</v>
      </c>
      <c r="N475">
        <v>1.5959225360467455</v>
      </c>
      <c r="O475">
        <v>3.1588853240212429</v>
      </c>
      <c r="P475">
        <v>-0.14324970019558894</v>
      </c>
      <c r="Q475">
        <v>1.0721225474567759</v>
      </c>
      <c r="R475">
        <v>-0.67371772101320515</v>
      </c>
      <c r="S475" s="2">
        <v>6.1530312401840807E-3</v>
      </c>
      <c r="T475" s="2">
        <v>1.2241452192497417E-2</v>
      </c>
      <c r="U475" s="2">
        <v>2.1632662321258919E-2</v>
      </c>
      <c r="V475" s="2">
        <v>3.5022400589613312E-2</v>
      </c>
      <c r="W475" s="2">
        <v>5.2908201425812158E-2</v>
      </c>
      <c r="X475" s="2">
        <v>7.5418187731872602E-2</v>
      </c>
      <c r="Y475" s="2">
        <v>0.10210522460087247</v>
      </c>
      <c r="Z475" s="2">
        <v>0.13174048491242102</v>
      </c>
      <c r="AA475" s="2">
        <v>0.16217119652767997</v>
      </c>
      <c r="AB475" s="2">
        <v>0.19033571962742307</v>
      </c>
      <c r="AC475" s="2">
        <v>0.21253637880277271</v>
      </c>
      <c r="AD475" s="2">
        <v>0.22503150527617702</v>
      </c>
      <c r="AE475" s="2">
        <v>0.22490439904181145</v>
      </c>
      <c r="AF475" s="2">
        <v>0.21100963671440803</v>
      </c>
      <c r="AG475" s="2">
        <v>0.18464898793131429</v>
      </c>
      <c r="AH475" s="2">
        <v>0.15198191618201878</v>
      </c>
      <c r="AI475" s="2">
        <v>0.11567289999937147</v>
      </c>
      <c r="AJ475" s="2">
        <v>2.634283688886337E-2</v>
      </c>
      <c r="AK475" s="2">
        <v>0</v>
      </c>
      <c r="AL475" s="2">
        <v>0</v>
      </c>
      <c r="AM475" s="2">
        <v>0</v>
      </c>
      <c r="AN475" s="2">
        <v>0</v>
      </c>
      <c r="AO475" s="2">
        <v>0</v>
      </c>
      <c r="AP475" s="2">
        <v>0</v>
      </c>
      <c r="AQ475" s="2">
        <v>0</v>
      </c>
      <c r="AR475" s="2">
        <v>2.141857122006372</v>
      </c>
    </row>
    <row r="476" spans="1:44" x14ac:dyDescent="0.25">
      <c r="A476" t="s">
        <v>250</v>
      </c>
      <c r="B476" t="s">
        <v>353</v>
      </c>
      <c r="C476" t="s">
        <v>45</v>
      </c>
      <c r="D476" t="s">
        <v>354</v>
      </c>
      <c r="E476" t="s">
        <v>134</v>
      </c>
      <c r="F476" t="s">
        <v>354</v>
      </c>
      <c r="G476" t="s">
        <v>31</v>
      </c>
      <c r="H476" t="s">
        <v>277</v>
      </c>
      <c r="I476" t="s">
        <v>135</v>
      </c>
      <c r="J476" t="s">
        <v>40</v>
      </c>
      <c r="K476" t="s">
        <v>31</v>
      </c>
      <c r="L476">
        <v>2.11</v>
      </c>
      <c r="M476">
        <v>1</v>
      </c>
      <c r="N476">
        <v>1.5959225360467455</v>
      </c>
      <c r="O476">
        <v>1.9798085216903567</v>
      </c>
      <c r="P476">
        <v>-0.14324970019558894</v>
      </c>
      <c r="Q476">
        <v>0.4672931329656026</v>
      </c>
      <c r="R476">
        <v>-0.53071772101320502</v>
      </c>
      <c r="S476" s="2">
        <v>9.7061231279544117E-4</v>
      </c>
      <c r="T476" s="2">
        <v>1.93103265053133E-3</v>
      </c>
      <c r="U476" s="2">
        <v>3.412452755063819E-3</v>
      </c>
      <c r="V476" s="2">
        <v>5.5246222404871145E-3</v>
      </c>
      <c r="W476" s="2">
        <v>8.346024869234735E-3</v>
      </c>
      <c r="X476" s="2">
        <v>1.1896871438456021E-2</v>
      </c>
      <c r="Y476" s="2">
        <v>1.6106628477866446E-2</v>
      </c>
      <c r="Z476" s="2">
        <v>2.078145417409134E-2</v>
      </c>
      <c r="AA476" s="2">
        <v>2.55817586464629E-2</v>
      </c>
      <c r="AB476" s="2">
        <v>3.0024582327592864E-2</v>
      </c>
      <c r="AC476" s="2">
        <v>3.3526633967936023E-2</v>
      </c>
      <c r="AD476" s="2">
        <v>3.5497682566847349E-2</v>
      </c>
      <c r="AE476" s="2">
        <v>3.5477632144333221E-2</v>
      </c>
      <c r="AF476" s="2">
        <v>3.328579744174516E-2</v>
      </c>
      <c r="AG476" s="2">
        <v>2.9127526618244283E-2</v>
      </c>
      <c r="AH476" s="2">
        <v>2.3974446644301269E-2</v>
      </c>
      <c r="AI476" s="2">
        <v>1.8246866725283653E-2</v>
      </c>
      <c r="AJ476" s="2">
        <v>4.1554610792986562E-3</v>
      </c>
      <c r="AK476" s="2">
        <v>0</v>
      </c>
      <c r="AL476" s="2">
        <v>0</v>
      </c>
      <c r="AM476" s="2">
        <v>0</v>
      </c>
      <c r="AN476" s="2">
        <v>0</v>
      </c>
      <c r="AO476" s="2">
        <v>0</v>
      </c>
      <c r="AP476" s="2">
        <v>0</v>
      </c>
      <c r="AQ476" s="2">
        <v>0</v>
      </c>
      <c r="AR476" s="2">
        <v>0.33786808708057159</v>
      </c>
    </row>
    <row r="477" spans="1:44" x14ac:dyDescent="0.25">
      <c r="A477" t="s">
        <v>250</v>
      </c>
      <c r="B477" t="s">
        <v>261</v>
      </c>
      <c r="C477" t="s">
        <v>43</v>
      </c>
      <c r="D477" t="s">
        <v>262</v>
      </c>
      <c r="E477" t="s">
        <v>134</v>
      </c>
      <c r="F477" t="s">
        <v>262</v>
      </c>
      <c r="G477" t="s">
        <v>31</v>
      </c>
      <c r="H477" t="s">
        <v>254</v>
      </c>
      <c r="I477" t="s">
        <v>135</v>
      </c>
      <c r="J477" t="s">
        <v>39</v>
      </c>
      <c r="K477" t="s">
        <v>31</v>
      </c>
      <c r="L477">
        <v>1.5016666666666667</v>
      </c>
      <c r="M477">
        <v>1</v>
      </c>
      <c r="N477">
        <v>1.5584917401472864</v>
      </c>
      <c r="O477">
        <v>2.9025603819605665</v>
      </c>
      <c r="P477">
        <v>-7.0871986976393714E-2</v>
      </c>
      <c r="Q477">
        <v>1.008786206068599</v>
      </c>
      <c r="R477">
        <v>-0.53800366640583275</v>
      </c>
      <c r="S477" s="2">
        <v>1.7099685716647099E-2</v>
      </c>
      <c r="T477" s="2">
        <v>3.4027790719818853E-2</v>
      </c>
      <c r="U477" s="2">
        <v>6.0146808446362679E-2</v>
      </c>
      <c r="V477" s="2">
        <v>9.7398065599202777E-2</v>
      </c>
      <c r="W477" s="2">
        <v>0.14717336595625788</v>
      </c>
      <c r="X477" s="2">
        <v>0.20983799147516285</v>
      </c>
      <c r="Y477" s="2">
        <v>0.28415663248718176</v>
      </c>
      <c r="Z477" s="2">
        <v>0.36671687411456722</v>
      </c>
      <c r="AA477" s="2">
        <v>0.4515305728240584</v>
      </c>
      <c r="AB477" s="2">
        <v>0.53007282846019244</v>
      </c>
      <c r="AC477" s="2">
        <v>0.5920390120405401</v>
      </c>
      <c r="AD477" s="2">
        <v>0.62699225721428309</v>
      </c>
      <c r="AE477" s="2">
        <v>0.62678501743998472</v>
      </c>
      <c r="AF477" s="2">
        <v>0.58819963445479995</v>
      </c>
      <c r="AG477" s="2">
        <v>0.51483871315613694</v>
      </c>
      <c r="AH477" s="2">
        <v>0.42385565743635478</v>
      </c>
      <c r="AI477" s="2">
        <v>0.3226706740603848</v>
      </c>
      <c r="AJ477" s="2">
        <v>9.2404511261870742E-2</v>
      </c>
      <c r="AK477" s="2">
        <v>0</v>
      </c>
      <c r="AL477" s="2">
        <v>0</v>
      </c>
      <c r="AM477" s="2">
        <v>0</v>
      </c>
      <c r="AN477" s="2">
        <v>0</v>
      </c>
      <c r="AO477" s="2">
        <v>0</v>
      </c>
      <c r="AP477" s="2">
        <v>0</v>
      </c>
      <c r="AQ477" s="2">
        <v>0</v>
      </c>
      <c r="AR477" s="2">
        <v>5.9859460928638075</v>
      </c>
    </row>
    <row r="478" spans="1:44" x14ac:dyDescent="0.25">
      <c r="A478" t="s">
        <v>250</v>
      </c>
      <c r="B478" t="s">
        <v>261</v>
      </c>
      <c r="C478" t="s">
        <v>43</v>
      </c>
      <c r="D478" t="s">
        <v>262</v>
      </c>
      <c r="E478" t="s">
        <v>134</v>
      </c>
      <c r="F478" t="s">
        <v>262</v>
      </c>
      <c r="G478" t="s">
        <v>31</v>
      </c>
      <c r="H478" t="s">
        <v>252</v>
      </c>
      <c r="I478" t="s">
        <v>135</v>
      </c>
      <c r="J478" t="s">
        <v>39</v>
      </c>
      <c r="K478" t="s">
        <v>31</v>
      </c>
      <c r="L478">
        <v>1.5016666666666667</v>
      </c>
      <c r="M478">
        <v>1</v>
      </c>
      <c r="N478">
        <v>1.5584917401472864</v>
      </c>
      <c r="O478">
        <v>2.9025603819605665</v>
      </c>
      <c r="P478">
        <v>-7.0871986976393714E-2</v>
      </c>
      <c r="Q478">
        <v>1.008786206068599</v>
      </c>
      <c r="R478">
        <v>-0.53800366640583275</v>
      </c>
      <c r="S478" s="2">
        <v>6.9200992437832828E-2</v>
      </c>
      <c r="T478" s="2">
        <v>0.13781643035311394</v>
      </c>
      <c r="U478" s="2">
        <v>0.24379392556219834</v>
      </c>
      <c r="V478" s="2">
        <v>0.39509694694091568</v>
      </c>
      <c r="W478" s="2">
        <v>0.59748308403409478</v>
      </c>
      <c r="X478" s="2">
        <v>0.85255726837961954</v>
      </c>
      <c r="Y478" s="2">
        <v>1.1554210813033243</v>
      </c>
      <c r="Z478" s="2">
        <v>1.4923010108006554</v>
      </c>
      <c r="AA478" s="2">
        <v>1.8388899943499404</v>
      </c>
      <c r="AB478" s="2">
        <v>2.1604647282242206</v>
      </c>
      <c r="AC478" s="2">
        <v>2.4149325875970824</v>
      </c>
      <c r="AD478" s="2">
        <v>2.559528169957964</v>
      </c>
      <c r="AE478" s="2">
        <v>2.5607040705872706</v>
      </c>
      <c r="AF478" s="2">
        <v>2.4049640273360167</v>
      </c>
      <c r="AG478" s="2">
        <v>2.1066776111618082</v>
      </c>
      <c r="AH478" s="2">
        <v>1.7357529706544459</v>
      </c>
      <c r="AI478" s="2">
        <v>1.3224293470952539</v>
      </c>
      <c r="AJ478" s="2">
        <v>0.64022841044836154</v>
      </c>
      <c r="AK478" s="2">
        <v>0</v>
      </c>
      <c r="AL478" s="2">
        <v>0</v>
      </c>
      <c r="AM478" s="2">
        <v>0</v>
      </c>
      <c r="AN478" s="2">
        <v>0</v>
      </c>
      <c r="AO478" s="2">
        <v>0</v>
      </c>
      <c r="AP478" s="2">
        <v>0</v>
      </c>
      <c r="AQ478" s="2">
        <v>0</v>
      </c>
      <c r="AR478" s="2">
        <v>24.688242657224119</v>
      </c>
    </row>
    <row r="479" spans="1:44" x14ac:dyDescent="0.25">
      <c r="A479" t="s">
        <v>250</v>
      </c>
      <c r="B479" t="s">
        <v>261</v>
      </c>
      <c r="C479" t="s">
        <v>43</v>
      </c>
      <c r="D479" t="s">
        <v>262</v>
      </c>
      <c r="E479" t="s">
        <v>134</v>
      </c>
      <c r="F479" t="s">
        <v>262</v>
      </c>
      <c r="G479" t="s">
        <v>31</v>
      </c>
      <c r="H479" t="s">
        <v>255</v>
      </c>
      <c r="I479" t="s">
        <v>135</v>
      </c>
      <c r="J479" t="s">
        <v>39</v>
      </c>
      <c r="K479" t="s">
        <v>31</v>
      </c>
      <c r="L479">
        <v>1.5016666666666667</v>
      </c>
      <c r="M479">
        <v>1</v>
      </c>
      <c r="N479">
        <v>1.5584917401472864</v>
      </c>
      <c r="O479">
        <v>2.9025603819605665</v>
      </c>
      <c r="P479">
        <v>-7.0871986976393714E-2</v>
      </c>
      <c r="Q479">
        <v>1.008786206068599</v>
      </c>
      <c r="R479">
        <v>-0.53800366640583275</v>
      </c>
      <c r="S479" s="2">
        <v>4.4024666293914407E-3</v>
      </c>
      <c r="T479" s="2">
        <v>8.7210398477963399E-3</v>
      </c>
      <c r="U479" s="2">
        <v>1.5345239765855492E-2</v>
      </c>
      <c r="V479" s="2">
        <v>2.4736485494324955E-2</v>
      </c>
      <c r="W479" s="2">
        <v>3.7208611209260237E-2</v>
      </c>
      <c r="X479" s="2">
        <v>5.2811065763682913E-2</v>
      </c>
      <c r="Y479" s="2">
        <v>7.1191014533130453E-2</v>
      </c>
      <c r="Z479" s="2">
        <v>9.1458663809776991E-2</v>
      </c>
      <c r="AA479" s="2">
        <v>0.11210053697264737</v>
      </c>
      <c r="AB479" s="2">
        <v>0.13100342427111625</v>
      </c>
      <c r="AC479" s="2">
        <v>0.1456545324616961</v>
      </c>
      <c r="AD479" s="2">
        <v>0.15355445798815548</v>
      </c>
      <c r="AE479" s="2">
        <v>0.15280776781300384</v>
      </c>
      <c r="AF479" s="2">
        <v>0.14275066784339516</v>
      </c>
      <c r="AG479" s="2">
        <v>0.12438017627057439</v>
      </c>
      <c r="AH479" s="2">
        <v>0.10193528219240364</v>
      </c>
      <c r="AI479" s="2">
        <v>1.1844582182892908E-2</v>
      </c>
      <c r="AJ479" s="2">
        <v>0</v>
      </c>
      <c r="AK479" s="2">
        <v>0</v>
      </c>
      <c r="AL479" s="2">
        <v>0</v>
      </c>
      <c r="AM479" s="2">
        <v>0</v>
      </c>
      <c r="AN479" s="2">
        <v>0</v>
      </c>
      <c r="AO479" s="2">
        <v>0</v>
      </c>
      <c r="AP479" s="2">
        <v>0</v>
      </c>
      <c r="AQ479" s="2">
        <v>0</v>
      </c>
      <c r="AR479" s="2">
        <v>1.381906015049104</v>
      </c>
    </row>
    <row r="480" spans="1:44" x14ac:dyDescent="0.25">
      <c r="A480" t="s">
        <v>250</v>
      </c>
      <c r="B480" t="s">
        <v>263</v>
      </c>
      <c r="C480" t="s">
        <v>43</v>
      </c>
      <c r="D480" t="s">
        <v>264</v>
      </c>
      <c r="E480" t="s">
        <v>145</v>
      </c>
      <c r="F480" t="s">
        <v>265</v>
      </c>
      <c r="G480" t="s">
        <v>31</v>
      </c>
      <c r="H480" t="s">
        <v>254</v>
      </c>
      <c r="I480" t="s">
        <v>135</v>
      </c>
      <c r="J480" t="s">
        <v>39</v>
      </c>
      <c r="K480" t="s">
        <v>31</v>
      </c>
      <c r="L480">
        <v>0.36249999999999993</v>
      </c>
      <c r="M480">
        <v>1</v>
      </c>
      <c r="N480">
        <v>1.1290986548603958</v>
      </c>
      <c r="O480">
        <v>2.9025603819605679</v>
      </c>
      <c r="P480">
        <v>0.31276660789219263</v>
      </c>
      <c r="Q480">
        <v>1.3924248009371851</v>
      </c>
      <c r="R480">
        <v>-0.53800366640583286</v>
      </c>
      <c r="S480" s="2">
        <v>9.198862128774306E-4</v>
      </c>
      <c r="T480" s="2">
        <v>1.4085213255942842E-3</v>
      </c>
      <c r="U480" s="2">
        <v>3.0616886951859378E-3</v>
      </c>
      <c r="V480" s="2">
        <v>5.7352236385157145E-3</v>
      </c>
      <c r="W480" s="2">
        <v>9.7700940565709736E-3</v>
      </c>
      <c r="X480" s="2">
        <v>1.5515816391845962E-2</v>
      </c>
      <c r="Y480" s="2">
        <v>2.3286255979857239E-2</v>
      </c>
      <c r="Z480" s="2">
        <v>3.3299719350240647E-2</v>
      </c>
      <c r="AA480" s="2">
        <v>4.560831705099587E-2</v>
      </c>
      <c r="AB480" s="2">
        <v>6.0028718660235528E-2</v>
      </c>
      <c r="AC480" s="2">
        <v>8.5076120588565229E-2</v>
      </c>
      <c r="AD480" s="2">
        <v>0.10840802437720459</v>
      </c>
      <c r="AE480" s="2">
        <v>0.1281056610445232</v>
      </c>
      <c r="AF480" s="2">
        <v>0.14636274227637319</v>
      </c>
      <c r="AG480" s="2">
        <v>0.16197366183373071</v>
      </c>
      <c r="AH480" s="2">
        <v>0.17406995027098354</v>
      </c>
      <c r="AI480" s="2">
        <v>0.18228706789387492</v>
      </c>
      <c r="AJ480" s="2">
        <v>0.18730916171924888</v>
      </c>
      <c r="AK480" s="2">
        <v>0.18853052845125615</v>
      </c>
      <c r="AL480" s="2">
        <v>0.18847370448164588</v>
      </c>
      <c r="AM480" s="2">
        <v>0.12006338731153311</v>
      </c>
      <c r="AN480" s="2">
        <v>1.462836847131652E-2</v>
      </c>
      <c r="AO480" s="2">
        <v>1.1614722712194662E-2</v>
      </c>
      <c r="AP480" s="2">
        <v>8.7371883976049385E-3</v>
      </c>
      <c r="AQ480" s="2">
        <v>6.1777292359970143E-3</v>
      </c>
      <c r="AR480" s="2">
        <v>1.9104522604279726</v>
      </c>
    </row>
    <row r="481" spans="1:44" x14ac:dyDescent="0.25">
      <c r="A481" t="s">
        <v>250</v>
      </c>
      <c r="B481" t="s">
        <v>263</v>
      </c>
      <c r="C481" t="s">
        <v>43</v>
      </c>
      <c r="D481" t="s">
        <v>264</v>
      </c>
      <c r="E481" t="s">
        <v>145</v>
      </c>
      <c r="F481" t="s">
        <v>265</v>
      </c>
      <c r="G481" t="s">
        <v>31</v>
      </c>
      <c r="H481" t="s">
        <v>252</v>
      </c>
      <c r="I481" t="s">
        <v>135</v>
      </c>
      <c r="J481" t="s">
        <v>39</v>
      </c>
      <c r="K481" t="s">
        <v>31</v>
      </c>
      <c r="L481">
        <v>0.36249999999999993</v>
      </c>
      <c r="M481">
        <v>1</v>
      </c>
      <c r="N481">
        <v>1.1290986548603958</v>
      </c>
      <c r="O481">
        <v>2.9025603819605679</v>
      </c>
      <c r="P481">
        <v>0.31276660789219263</v>
      </c>
      <c r="Q481">
        <v>1.3924248009371851</v>
      </c>
      <c r="R481">
        <v>-0.53800366640583286</v>
      </c>
      <c r="S481" s="2">
        <v>4.7448997986137441E-3</v>
      </c>
      <c r="T481" s="2">
        <v>7.2710881835880157E-3</v>
      </c>
      <c r="U481" s="2">
        <v>1.581758091883648E-2</v>
      </c>
      <c r="V481" s="2">
        <v>2.9653259683106455E-2</v>
      </c>
      <c r="W481" s="2">
        <v>5.0554972371522448E-2</v>
      </c>
      <c r="X481" s="2">
        <v>8.0349432476719398E-2</v>
      </c>
      <c r="Y481" s="2">
        <v>0.12068433407599752</v>
      </c>
      <c r="Z481" s="2">
        <v>0.17271690762639977</v>
      </c>
      <c r="AA481" s="2">
        <v>0.23674530585523348</v>
      </c>
      <c r="AB481" s="2">
        <v>0.31184547888873659</v>
      </c>
      <c r="AC481" s="2">
        <v>0.44194701460962882</v>
      </c>
      <c r="AD481" s="2">
        <v>0.55943539077201698</v>
      </c>
      <c r="AE481" s="2">
        <v>0.6615959542262555</v>
      </c>
      <c r="AF481" s="2">
        <v>0.75649975030089855</v>
      </c>
      <c r="AG481" s="2">
        <v>0.83791730789461216</v>
      </c>
      <c r="AH481" s="2">
        <v>0.90134647539624047</v>
      </c>
      <c r="AI481" s="2">
        <v>0.94487836915051038</v>
      </c>
      <c r="AJ481" s="2">
        <v>0.97202986541203928</v>
      </c>
      <c r="AK481" s="2">
        <v>0.97961824870074865</v>
      </c>
      <c r="AL481" s="2">
        <v>0.98070079737479288</v>
      </c>
      <c r="AM481" s="2">
        <v>0.68881155180372111</v>
      </c>
      <c r="AN481" s="2">
        <v>7.2235641476117843E-2</v>
      </c>
      <c r="AO481" s="2">
        <v>5.7393708074303461E-2</v>
      </c>
      <c r="AP481" s="2">
        <v>4.32039337461156E-2</v>
      </c>
      <c r="AQ481" s="2">
        <v>3.0568419834160004E-2</v>
      </c>
      <c r="AR481" s="2">
        <v>9.9585656886509142</v>
      </c>
    </row>
    <row r="482" spans="1:44" x14ac:dyDescent="0.25">
      <c r="A482" t="s">
        <v>250</v>
      </c>
      <c r="B482" t="s">
        <v>263</v>
      </c>
      <c r="C482" t="s">
        <v>43</v>
      </c>
      <c r="D482" t="s">
        <v>264</v>
      </c>
      <c r="E482" t="s">
        <v>145</v>
      </c>
      <c r="F482" t="s">
        <v>265</v>
      </c>
      <c r="G482" t="s">
        <v>31</v>
      </c>
      <c r="H482" t="s">
        <v>255</v>
      </c>
      <c r="I482" t="s">
        <v>135</v>
      </c>
      <c r="J482" t="s">
        <v>39</v>
      </c>
      <c r="K482" t="s">
        <v>31</v>
      </c>
      <c r="L482">
        <v>0.36249999999999993</v>
      </c>
      <c r="M482">
        <v>1</v>
      </c>
      <c r="N482">
        <v>1.1290986548603958</v>
      </c>
      <c r="O482">
        <v>2.9025603819605679</v>
      </c>
      <c r="P482">
        <v>0.31276660789219263</v>
      </c>
      <c r="Q482">
        <v>1.3924248009371851</v>
      </c>
      <c r="R482">
        <v>-0.53800366640583286</v>
      </c>
      <c r="S482" s="2">
        <v>2.3683291155974744E-4</v>
      </c>
      <c r="T482" s="2">
        <v>3.6099230502861367E-4</v>
      </c>
      <c r="U482" s="2">
        <v>7.8112784916817431E-4</v>
      </c>
      <c r="V482" s="2">
        <v>1.4565923405979305E-3</v>
      </c>
      <c r="W482" s="2">
        <v>2.4700911667461661E-3</v>
      </c>
      <c r="X482" s="2">
        <v>3.9049496904091118E-3</v>
      </c>
      <c r="Y482" s="2">
        <v>5.8340084247690202E-3</v>
      </c>
      <c r="Z482" s="2">
        <v>8.3049023701650456E-3</v>
      </c>
      <c r="AA482" s="2">
        <v>1.1323080073755237E-2</v>
      </c>
      <c r="AB482" s="2">
        <v>1.4835636306698327E-2</v>
      </c>
      <c r="AC482" s="2">
        <v>2.1033312450737786E-2</v>
      </c>
      <c r="AD482" s="2">
        <v>2.7869936117793481E-2</v>
      </c>
      <c r="AE482" s="2">
        <v>3.2787690329811402E-2</v>
      </c>
      <c r="AF482" s="2">
        <v>3.7285557152253658E-2</v>
      </c>
      <c r="AG482" s="2">
        <v>4.1056433207725437E-2</v>
      </c>
      <c r="AH482" s="2">
        <v>4.3883448075571506E-2</v>
      </c>
      <c r="AI482" s="2">
        <v>4.5681296991322215E-2</v>
      </c>
      <c r="AJ482" s="2">
        <v>4.6630239278848025E-2</v>
      </c>
      <c r="AK482" s="2">
        <v>4.6590988933941715E-2</v>
      </c>
      <c r="AL482" s="2">
        <v>4.6201203338500467E-2</v>
      </c>
      <c r="AM482" s="2">
        <v>1.276747897643146E-2</v>
      </c>
      <c r="AN482" s="2">
        <v>4.6390456476232906E-3</v>
      </c>
      <c r="AO482" s="2">
        <v>3.6687736994684469E-3</v>
      </c>
      <c r="AP482" s="2">
        <v>2.7490664667388343E-3</v>
      </c>
      <c r="AQ482" s="2">
        <v>1.9362702531121945E-3</v>
      </c>
      <c r="AR482" s="2">
        <v>0.46428895435877721</v>
      </c>
    </row>
    <row r="483" spans="1:44" x14ac:dyDescent="0.25">
      <c r="A483" t="s">
        <v>250</v>
      </c>
      <c r="B483" t="s">
        <v>263</v>
      </c>
      <c r="C483" t="s">
        <v>43</v>
      </c>
      <c r="D483" t="s">
        <v>264</v>
      </c>
      <c r="E483" t="s">
        <v>148</v>
      </c>
      <c r="F483" t="s">
        <v>265</v>
      </c>
      <c r="G483" t="s">
        <v>31</v>
      </c>
      <c r="H483" t="s">
        <v>254</v>
      </c>
      <c r="I483" t="s">
        <v>135</v>
      </c>
      <c r="J483" t="s">
        <v>39</v>
      </c>
      <c r="K483" t="s">
        <v>31</v>
      </c>
      <c r="L483">
        <v>0.36249999999999993</v>
      </c>
      <c r="M483">
        <v>1</v>
      </c>
      <c r="N483">
        <v>1.1290986548603958</v>
      </c>
      <c r="O483">
        <v>2.9025603819605679</v>
      </c>
      <c r="P483">
        <v>0.31276660789219263</v>
      </c>
      <c r="Q483">
        <v>1.3924248009371851</v>
      </c>
      <c r="R483">
        <v>-0.53800366640583286</v>
      </c>
      <c r="S483" s="2">
        <v>1.0432889631580598E-4</v>
      </c>
      <c r="T483" s="2">
        <v>2.2394788472979773E-4</v>
      </c>
      <c r="U483" s="2">
        <v>4.9229455831100517E-4</v>
      </c>
      <c r="V483" s="2">
        <v>9.3264481998769932E-4</v>
      </c>
      <c r="W483" s="2">
        <v>1.606896467415232E-3</v>
      </c>
      <c r="X483" s="2">
        <v>2.5811198212817963E-3</v>
      </c>
      <c r="Y483" s="2">
        <v>3.9183081809827753E-3</v>
      </c>
      <c r="Z483" s="2">
        <v>5.6679464954218096E-3</v>
      </c>
      <c r="AA483" s="2">
        <v>7.8530102464085365E-3</v>
      </c>
      <c r="AB483" s="2">
        <v>1.0456315755336724E-2</v>
      </c>
      <c r="AC483" s="2">
        <v>1.3409683498478186E-2</v>
      </c>
      <c r="AD483" s="2">
        <v>1.6590535264956675E-2</v>
      </c>
      <c r="AE483" s="2">
        <v>1.983037554117072E-2</v>
      </c>
      <c r="AF483" s="2">
        <v>2.2937196905105789E-2</v>
      </c>
      <c r="AG483" s="2">
        <v>2.5729067834729061E-2</v>
      </c>
      <c r="AH483" s="2">
        <v>2.8070429664640271E-2</v>
      </c>
      <c r="AI483" s="2">
        <v>2.9898955469307858E-2</v>
      </c>
      <c r="AJ483" s="2">
        <v>3.1318183831485144E-2</v>
      </c>
      <c r="AK483" s="2">
        <v>3.2210981206147578E-2</v>
      </c>
      <c r="AL483" s="2">
        <v>3.2984411979282029E-2</v>
      </c>
      <c r="AM483" s="2">
        <v>3.3368736623025676E-2</v>
      </c>
      <c r="AN483" s="2">
        <v>3.3623954426421729E-2</v>
      </c>
      <c r="AO483" s="2">
        <v>3.3882568189072211E-2</v>
      </c>
      <c r="AP483" s="2">
        <v>3.4144613599042951E-2</v>
      </c>
      <c r="AQ483" s="2">
        <v>3.4410126755366269E-2</v>
      </c>
      <c r="AR483" s="2">
        <v>0.45624663391442333</v>
      </c>
    </row>
    <row r="484" spans="1:44" x14ac:dyDescent="0.25">
      <c r="A484" t="s">
        <v>250</v>
      </c>
      <c r="B484" t="s">
        <v>263</v>
      </c>
      <c r="C484" t="s">
        <v>43</v>
      </c>
      <c r="D484" t="s">
        <v>264</v>
      </c>
      <c r="E484" t="s">
        <v>148</v>
      </c>
      <c r="F484" t="s">
        <v>265</v>
      </c>
      <c r="G484" t="s">
        <v>31</v>
      </c>
      <c r="H484" t="s">
        <v>252</v>
      </c>
      <c r="I484" t="s">
        <v>135</v>
      </c>
      <c r="J484" t="s">
        <v>39</v>
      </c>
      <c r="K484" t="s">
        <v>31</v>
      </c>
      <c r="L484">
        <v>0.36249999999999993</v>
      </c>
      <c r="M484">
        <v>1</v>
      </c>
      <c r="N484">
        <v>1.1290986548603958</v>
      </c>
      <c r="O484">
        <v>2.9025603819605679</v>
      </c>
      <c r="P484">
        <v>0.31276660789219263</v>
      </c>
      <c r="Q484">
        <v>1.3924248009371851</v>
      </c>
      <c r="R484">
        <v>-0.53800366640583286</v>
      </c>
      <c r="S484" s="2">
        <v>5.3814281830574838E-4</v>
      </c>
      <c r="T484" s="2">
        <v>1.0977423876855298E-3</v>
      </c>
      <c r="U484" s="2">
        <v>2.4149918386181463E-3</v>
      </c>
      <c r="V484" s="2">
        <v>4.5786798030974319E-3</v>
      </c>
      <c r="W484" s="2">
        <v>7.8948058648907662E-3</v>
      </c>
      <c r="X484" s="2">
        <v>1.2690756643385313E-2</v>
      </c>
      <c r="Y484" s="2">
        <v>1.9279686606353763E-2</v>
      </c>
      <c r="Z484" s="2">
        <v>2.7909072437181992E-2</v>
      </c>
      <c r="AA484" s="2">
        <v>3.8696383239833529E-2</v>
      </c>
      <c r="AB484" s="2">
        <v>5.1561285507965932E-2</v>
      </c>
      <c r="AC484" s="2">
        <v>6.6171459317274042E-2</v>
      </c>
      <c r="AD484" s="2">
        <v>8.1924922772227959E-2</v>
      </c>
      <c r="AE484" s="2">
        <v>9.7991042318969213E-2</v>
      </c>
      <c r="AF484" s="2">
        <v>0.11342059828782534</v>
      </c>
      <c r="AG484" s="2">
        <v>0.12731165732074184</v>
      </c>
      <c r="AH484" s="2">
        <v>0.13898953589092225</v>
      </c>
      <c r="AI484" s="2">
        <v>0.14814070318719544</v>
      </c>
      <c r="AJ484" s="2">
        <v>0.15527328193338638</v>
      </c>
      <c r="AK484" s="2">
        <v>0.1598020530222975</v>
      </c>
      <c r="AL484" s="2">
        <v>0.16374266820379096</v>
      </c>
      <c r="AM484" s="2">
        <v>0.16575403139064238</v>
      </c>
      <c r="AN484" s="2">
        <v>0.16712478754613486</v>
      </c>
      <c r="AO484" s="2">
        <v>0.16851272161755718</v>
      </c>
      <c r="AP484" s="2">
        <v>0.16991801956188377</v>
      </c>
      <c r="AQ484" s="2">
        <v>0.1713408694461728</v>
      </c>
      <c r="AR484" s="2">
        <v>2.2620798989643403</v>
      </c>
    </row>
    <row r="485" spans="1:44" x14ac:dyDescent="0.25">
      <c r="A485" t="s">
        <v>250</v>
      </c>
      <c r="B485" t="s">
        <v>263</v>
      </c>
      <c r="C485" t="s">
        <v>43</v>
      </c>
      <c r="D485" t="s">
        <v>264</v>
      </c>
      <c r="E485" t="s">
        <v>148</v>
      </c>
      <c r="F485" t="s">
        <v>265</v>
      </c>
      <c r="G485" t="s">
        <v>31</v>
      </c>
      <c r="H485" t="s">
        <v>255</v>
      </c>
      <c r="I485" t="s">
        <v>135</v>
      </c>
      <c r="J485" t="s">
        <v>39</v>
      </c>
      <c r="K485" t="s">
        <v>31</v>
      </c>
      <c r="L485">
        <v>0.36249999999999993</v>
      </c>
      <c r="M485">
        <v>1</v>
      </c>
      <c r="N485">
        <v>1.1290986548603958</v>
      </c>
      <c r="O485">
        <v>2.9025603819605679</v>
      </c>
      <c r="P485">
        <v>0.31276660789219263</v>
      </c>
      <c r="Q485">
        <v>1.3924248009371851</v>
      </c>
      <c r="R485">
        <v>-0.53800366640583286</v>
      </c>
      <c r="S485" s="2">
        <v>2.686040504618325E-5</v>
      </c>
      <c r="T485" s="2">
        <v>7.4098133510697582E-5</v>
      </c>
      <c r="U485" s="2">
        <v>1.6215964187880279E-4</v>
      </c>
      <c r="V485" s="2">
        <v>3.0585359148057294E-4</v>
      </c>
      <c r="W485" s="2">
        <v>5.2467082560735926E-4</v>
      </c>
      <c r="X485" s="2">
        <v>8.3913355334056048E-4</v>
      </c>
      <c r="Y485" s="2">
        <v>1.2684332443458845E-3</v>
      </c>
      <c r="Z485" s="2">
        <v>1.8271032304406024E-3</v>
      </c>
      <c r="AA485" s="2">
        <v>2.5209489183188787E-3</v>
      </c>
      <c r="AB485" s="2">
        <v>3.3428687569209896E-3</v>
      </c>
      <c r="AC485" s="2">
        <v>4.2696682064185965E-3</v>
      </c>
      <c r="AD485" s="2">
        <v>5.2613010510058171E-3</v>
      </c>
      <c r="AE485" s="2">
        <v>6.2638740535444458E-3</v>
      </c>
      <c r="AF485" s="2">
        <v>7.2169530955858915E-3</v>
      </c>
      <c r="AG485" s="2">
        <v>8.0641975045465976E-3</v>
      </c>
      <c r="AH485" s="2">
        <v>8.7645936674863659E-3</v>
      </c>
      <c r="AI485" s="2">
        <v>9.3005016582103188E-3</v>
      </c>
      <c r="AJ485" s="2">
        <v>9.7059156324883124E-3</v>
      </c>
      <c r="AK485" s="2">
        <v>9.9461584324435776E-3</v>
      </c>
      <c r="AL485" s="2">
        <v>1.0148303857450545E-2</v>
      </c>
      <c r="AM485" s="2">
        <v>1.023009167171952E-2</v>
      </c>
      <c r="AN485" s="2">
        <v>1.0272242472130218E-2</v>
      </c>
      <c r="AO485" s="2">
        <v>1.0315519118660216E-2</v>
      </c>
      <c r="AP485" s="2">
        <v>1.0359928358515654E-2</v>
      </c>
      <c r="AQ485" s="2">
        <v>1.0405477067473683E-2</v>
      </c>
      <c r="AR485" s="2">
        <v>0.14141685614857027</v>
      </c>
    </row>
    <row r="486" spans="1:44" x14ac:dyDescent="0.25">
      <c r="A486" t="s">
        <v>250</v>
      </c>
      <c r="B486" t="s">
        <v>266</v>
      </c>
      <c r="C486" t="s">
        <v>43</v>
      </c>
      <c r="D486" t="s">
        <v>264</v>
      </c>
      <c r="E486" t="s">
        <v>145</v>
      </c>
      <c r="F486" t="s">
        <v>267</v>
      </c>
      <c r="G486" t="s">
        <v>31</v>
      </c>
      <c r="H486" t="s">
        <v>254</v>
      </c>
      <c r="I486" t="s">
        <v>135</v>
      </c>
      <c r="J486" t="s">
        <v>39</v>
      </c>
      <c r="K486" t="s">
        <v>31</v>
      </c>
      <c r="L486">
        <v>1.1475</v>
      </c>
      <c r="M486">
        <v>1</v>
      </c>
      <c r="N486">
        <v>1.9435945825335712</v>
      </c>
      <c r="O486">
        <v>2.5395240143327231</v>
      </c>
      <c r="P486">
        <v>-0.2335376618596588</v>
      </c>
      <c r="Q486">
        <v>0.70773230705298595</v>
      </c>
      <c r="R486">
        <v>-0.39961544227348511</v>
      </c>
      <c r="S486" s="2">
        <v>2.0483656781263961E-3</v>
      </c>
      <c r="T486" s="2">
        <v>3.1364387245587043E-3</v>
      </c>
      <c r="U486" s="2">
        <v>6.8176454354165871E-3</v>
      </c>
      <c r="V486" s="2">
        <v>1.2770965683643859E-2</v>
      </c>
      <c r="W486" s="2">
        <v>2.1755653098600416E-2</v>
      </c>
      <c r="X486" s="2">
        <v>3.4549996858582101E-2</v>
      </c>
      <c r="Y486" s="2">
        <v>5.1852899688540822E-2</v>
      </c>
      <c r="Z486" s="2">
        <v>7.4150477801935427E-2</v>
      </c>
      <c r="AA486" s="2">
        <v>0.10155876887440081</v>
      </c>
      <c r="AB486" s="2">
        <v>0.13366954008464499</v>
      </c>
      <c r="AC486" s="2">
        <v>0.18944408884730118</v>
      </c>
      <c r="AD486" s="2">
        <v>0.24139863524331742</v>
      </c>
      <c r="AE486" s="2">
        <v>0.28526054155815372</v>
      </c>
      <c r="AF486" s="2">
        <v>0.32591467687898623</v>
      </c>
      <c r="AG486" s="2">
        <v>0.36067644564738494</v>
      </c>
      <c r="AH486" s="2">
        <v>0.38761197497777972</v>
      </c>
      <c r="AI486" s="2">
        <v>0.40590952251815249</v>
      </c>
      <c r="AJ486" s="2">
        <v>0.41709251937169622</v>
      </c>
      <c r="AK486" s="2">
        <v>0.41981220976299299</v>
      </c>
      <c r="AL486" s="2">
        <v>0.41968567642939675</v>
      </c>
      <c r="AM486" s="2">
        <v>0.26735232937044823</v>
      </c>
      <c r="AN486" s="2">
        <v>3.2573863467202119E-2</v>
      </c>
      <c r="AO486" s="2">
        <v>2.5863198112509058E-2</v>
      </c>
      <c r="AP486" s="2">
        <v>1.945562025654882E-2</v>
      </c>
      <c r="AQ486" s="2">
        <v>1.3756319378014624E-2</v>
      </c>
      <c r="AR486" s="2">
        <v>4.2541183737483346</v>
      </c>
    </row>
    <row r="487" spans="1:44" x14ac:dyDescent="0.25">
      <c r="A487" t="s">
        <v>250</v>
      </c>
      <c r="B487" t="s">
        <v>266</v>
      </c>
      <c r="C487" t="s">
        <v>43</v>
      </c>
      <c r="D487" t="s">
        <v>264</v>
      </c>
      <c r="E487" t="s">
        <v>145</v>
      </c>
      <c r="F487" t="s">
        <v>267</v>
      </c>
      <c r="G487" t="s">
        <v>31</v>
      </c>
      <c r="H487" t="s">
        <v>252</v>
      </c>
      <c r="I487" t="s">
        <v>135</v>
      </c>
      <c r="J487" t="s">
        <v>39</v>
      </c>
      <c r="K487" t="s">
        <v>31</v>
      </c>
      <c r="L487">
        <v>1.1475</v>
      </c>
      <c r="M487">
        <v>1</v>
      </c>
      <c r="N487">
        <v>1.9435945825335712</v>
      </c>
      <c r="O487">
        <v>2.5395240143327231</v>
      </c>
      <c r="P487">
        <v>-0.2335376618596588</v>
      </c>
      <c r="Q487">
        <v>0.70773230705298595</v>
      </c>
      <c r="R487">
        <v>-0.39961544227348511</v>
      </c>
      <c r="S487" s="2">
        <v>4.8828204798182749E-3</v>
      </c>
      <c r="T487" s="2">
        <v>7.4824379439500047E-3</v>
      </c>
      <c r="U487" s="2">
        <v>1.6277352806110278E-2</v>
      </c>
      <c r="V487" s="2">
        <v>3.051519522421603E-2</v>
      </c>
      <c r="W487" s="2">
        <v>5.2024460985337577E-2</v>
      </c>
      <c r="X487" s="2">
        <v>8.2684960924511733E-2</v>
      </c>
      <c r="Y487" s="2">
        <v>0.12419228287848637</v>
      </c>
      <c r="Z487" s="2">
        <v>0.17773729468754121</v>
      </c>
      <c r="AA487" s="2">
        <v>0.24362681552695895</v>
      </c>
      <c r="AB487" s="2">
        <v>0.32090993603311158</v>
      </c>
      <c r="AC487" s="2">
        <v>0.45479315170383611</v>
      </c>
      <c r="AD487" s="2">
        <v>0.57569657930285612</v>
      </c>
      <c r="AE487" s="2">
        <v>0.68082665846909407</v>
      </c>
      <c r="AF487" s="2">
        <v>0.77848903676023307</v>
      </c>
      <c r="AG487" s="2">
        <v>0.86227317014731031</v>
      </c>
      <c r="AH487" s="2">
        <v>0.92754604233425475</v>
      </c>
      <c r="AI487" s="2">
        <v>0.97234328387152025</v>
      </c>
      <c r="AJ487" s="2">
        <v>1.0002839965589065</v>
      </c>
      <c r="AK487" s="2">
        <v>1.0080929524701872</v>
      </c>
      <c r="AL487" s="2">
        <v>1.0092069677413986</v>
      </c>
      <c r="AM487" s="2">
        <v>0.70883333571453933</v>
      </c>
      <c r="AN487" s="2">
        <v>7.4335325200217364E-2</v>
      </c>
      <c r="AO487" s="2">
        <v>5.9061979197072921E-2</v>
      </c>
      <c r="AP487" s="2">
        <v>4.4459748668639477E-2</v>
      </c>
      <c r="AQ487" s="2">
        <v>3.1456956466293977E-2</v>
      </c>
      <c r="AR487" s="2">
        <v>10.248032742096402</v>
      </c>
    </row>
    <row r="488" spans="1:44" x14ac:dyDescent="0.25">
      <c r="A488" t="s">
        <v>250</v>
      </c>
      <c r="B488" t="s">
        <v>266</v>
      </c>
      <c r="C488" t="s">
        <v>43</v>
      </c>
      <c r="D488" t="s">
        <v>264</v>
      </c>
      <c r="E488" t="s">
        <v>145</v>
      </c>
      <c r="F488" t="s">
        <v>267</v>
      </c>
      <c r="G488" t="s">
        <v>31</v>
      </c>
      <c r="H488" t="s">
        <v>255</v>
      </c>
      <c r="I488" t="s">
        <v>135</v>
      </c>
      <c r="J488" t="s">
        <v>39</v>
      </c>
      <c r="K488" t="s">
        <v>31</v>
      </c>
      <c r="L488">
        <v>1.1475</v>
      </c>
      <c r="M488">
        <v>1</v>
      </c>
      <c r="N488">
        <v>1.9435945825335712</v>
      </c>
      <c r="O488">
        <v>2.5395240143327231</v>
      </c>
      <c r="P488">
        <v>-0.2335376618596588</v>
      </c>
      <c r="Q488">
        <v>0.70773230705298595</v>
      </c>
      <c r="R488">
        <v>-0.39961544227348511</v>
      </c>
      <c r="S488" s="2">
        <v>5.2737001674615838E-4</v>
      </c>
      <c r="T488" s="2">
        <v>8.0384316814070302E-4</v>
      </c>
      <c r="U488" s="2">
        <v>1.7393841260647054E-3</v>
      </c>
      <c r="V488" s="2">
        <v>3.2434813303372613E-3</v>
      </c>
      <c r="W488" s="2">
        <v>5.5002998164080524E-3</v>
      </c>
      <c r="X488" s="2">
        <v>8.6953851559791843E-3</v>
      </c>
      <c r="Y488" s="2">
        <v>1.2990935678682024E-2</v>
      </c>
      <c r="Z488" s="2">
        <v>1.849302309034967E-2</v>
      </c>
      <c r="AA488" s="2">
        <v>2.5213779996991401E-2</v>
      </c>
      <c r="AB488" s="2">
        <v>3.3035399159586948E-2</v>
      </c>
      <c r="AC488" s="2">
        <v>4.683613551140433E-2</v>
      </c>
      <c r="AD488" s="2">
        <v>6.2059654548676221E-2</v>
      </c>
      <c r="AE488" s="2">
        <v>7.3010312141259595E-2</v>
      </c>
      <c r="AF488" s="2">
        <v>8.3025981356536535E-2</v>
      </c>
      <c r="AG488" s="2">
        <v>9.1422816726354439E-2</v>
      </c>
      <c r="AH488" s="2">
        <v>9.7717899907061367E-2</v>
      </c>
      <c r="AI488" s="2">
        <v>0.10172127767479752</v>
      </c>
      <c r="AJ488" s="2">
        <v>0.10383434425311963</v>
      </c>
      <c r="AK488" s="2">
        <v>0.10374694316129414</v>
      </c>
      <c r="AL488" s="2">
        <v>0.10287898425034103</v>
      </c>
      <c r="AM488" s="2">
        <v>2.8430109469427523E-2</v>
      </c>
      <c r="AN488" s="2">
        <v>1.0330040553743284E-2</v>
      </c>
      <c r="AO488" s="2">
        <v>8.1694779436870431E-3</v>
      </c>
      <c r="AP488" s="2">
        <v>6.1215108113663397E-3</v>
      </c>
      <c r="AQ488" s="2">
        <v>4.3116088430608969E-3</v>
      </c>
      <c r="AR488" s="2">
        <v>1.0338599986914159</v>
      </c>
    </row>
    <row r="489" spans="1:44" x14ac:dyDescent="0.25">
      <c r="A489" t="s">
        <v>250</v>
      </c>
      <c r="B489" t="s">
        <v>266</v>
      </c>
      <c r="C489" t="s">
        <v>43</v>
      </c>
      <c r="D489" t="s">
        <v>264</v>
      </c>
      <c r="E489" t="s">
        <v>148</v>
      </c>
      <c r="F489" t="s">
        <v>267</v>
      </c>
      <c r="G489" t="s">
        <v>31</v>
      </c>
      <c r="H489" t="s">
        <v>254</v>
      </c>
      <c r="I489" t="s">
        <v>135</v>
      </c>
      <c r="J489" t="s">
        <v>39</v>
      </c>
      <c r="K489" t="s">
        <v>31</v>
      </c>
      <c r="L489">
        <v>1.1475</v>
      </c>
      <c r="M489">
        <v>1</v>
      </c>
      <c r="N489">
        <v>1.9435945825335712</v>
      </c>
      <c r="O489">
        <v>2.5395240143327231</v>
      </c>
      <c r="P489">
        <v>-0.2335376618596588</v>
      </c>
      <c r="Q489">
        <v>0.70773230705298595</v>
      </c>
      <c r="R489">
        <v>-0.39961544227348511</v>
      </c>
      <c r="S489" s="2">
        <v>2.3231539668545844E-4</v>
      </c>
      <c r="T489" s="2">
        <v>4.986781564369926E-4</v>
      </c>
      <c r="U489" s="2">
        <v>1.0962217529256739E-3</v>
      </c>
      <c r="V489" s="2">
        <v>2.0767760320805277E-3</v>
      </c>
      <c r="W489" s="2">
        <v>3.5781725240342155E-3</v>
      </c>
      <c r="X489" s="2">
        <v>5.7475339656491188E-3</v>
      </c>
      <c r="Y489" s="2">
        <v>8.7251313063395394E-3</v>
      </c>
      <c r="Z489" s="2">
        <v>1.2621155643111906E-2</v>
      </c>
      <c r="AA489" s="2">
        <v>1.7486767856212563E-2</v>
      </c>
      <c r="AB489" s="2">
        <v>2.3283704020181782E-2</v>
      </c>
      <c r="AC489" s="2">
        <v>2.9860144709528934E-2</v>
      </c>
      <c r="AD489" s="2">
        <v>3.6943137686759699E-2</v>
      </c>
      <c r="AE489" s="2">
        <v>4.4157483908614258E-2</v>
      </c>
      <c r="AF489" s="2">
        <v>5.1075628958367696E-2</v>
      </c>
      <c r="AG489" s="2">
        <v>5.7292455028747268E-2</v>
      </c>
      <c r="AH489" s="2">
        <v>6.2506105527392553E-2</v>
      </c>
      <c r="AI489" s="2">
        <v>6.6577793359449008E-2</v>
      </c>
      <c r="AJ489" s="2">
        <v>6.9738074083098511E-2</v>
      </c>
      <c r="AK489" s="2">
        <v>7.1726119424118925E-2</v>
      </c>
      <c r="AL489" s="2">
        <v>7.3448364010370248E-2</v>
      </c>
      <c r="AM489" s="2">
        <v>7.4304162693383594E-2</v>
      </c>
      <c r="AN489" s="2">
        <v>7.4872471448971967E-2</v>
      </c>
      <c r="AO489" s="2">
        <v>7.5448342190253495E-2</v>
      </c>
      <c r="AP489" s="2">
        <v>7.603185438597998E-2</v>
      </c>
      <c r="AQ489" s="2">
        <v>7.6623088420026922E-2</v>
      </c>
      <c r="AR489" s="2">
        <v>1.0159516824887209</v>
      </c>
    </row>
    <row r="490" spans="1:44" x14ac:dyDescent="0.25">
      <c r="A490" t="s">
        <v>250</v>
      </c>
      <c r="B490" t="s">
        <v>266</v>
      </c>
      <c r="C490" t="s">
        <v>43</v>
      </c>
      <c r="D490" t="s">
        <v>264</v>
      </c>
      <c r="E490" t="s">
        <v>148</v>
      </c>
      <c r="F490" t="s">
        <v>267</v>
      </c>
      <c r="G490" t="s">
        <v>31</v>
      </c>
      <c r="H490" t="s">
        <v>252</v>
      </c>
      <c r="I490" t="s">
        <v>135</v>
      </c>
      <c r="J490" t="s">
        <v>39</v>
      </c>
      <c r="K490" t="s">
        <v>31</v>
      </c>
      <c r="L490">
        <v>1.1475</v>
      </c>
      <c r="M490">
        <v>1</v>
      </c>
      <c r="N490">
        <v>1.9435945825335712</v>
      </c>
      <c r="O490">
        <v>2.5395240143327231</v>
      </c>
      <c r="P490">
        <v>-0.2335376618596588</v>
      </c>
      <c r="Q490">
        <v>0.70773230705298595</v>
      </c>
      <c r="R490">
        <v>-0.39961544227348511</v>
      </c>
      <c r="S490" s="2">
        <v>5.5378509258680671E-4</v>
      </c>
      <c r="T490" s="2">
        <v>1.1296506227005049E-3</v>
      </c>
      <c r="U490" s="2">
        <v>2.4851887518559991E-3</v>
      </c>
      <c r="V490" s="2">
        <v>4.7117689439145072E-3</v>
      </c>
      <c r="W490" s="2">
        <v>8.1242853163180379E-3</v>
      </c>
      <c r="X490" s="2">
        <v>1.3059640682152152E-2</v>
      </c>
      <c r="Y490" s="2">
        <v>1.984009201490107E-2</v>
      </c>
      <c r="Z490" s="2">
        <v>2.8720309438108188E-2</v>
      </c>
      <c r="AA490" s="2">
        <v>3.9821176546985915E-2</v>
      </c>
      <c r="AB490" s="2">
        <v>5.306002476967122E-2</v>
      </c>
      <c r="AC490" s="2">
        <v>6.8094874591080823E-2</v>
      </c>
      <c r="AD490" s="2">
        <v>8.4306246221813833E-2</v>
      </c>
      <c r="AE490" s="2">
        <v>0.10083936196367968</v>
      </c>
      <c r="AF490" s="2">
        <v>0.11671741104308152</v>
      </c>
      <c r="AG490" s="2">
        <v>0.13101224347602475</v>
      </c>
      <c r="AH490" s="2">
        <v>0.1430295646131258</v>
      </c>
      <c r="AI490" s="2">
        <v>0.15244673019827482</v>
      </c>
      <c r="AJ490" s="2">
        <v>0.15978663263119719</v>
      </c>
      <c r="AK490" s="2">
        <v>0.16444704215719066</v>
      </c>
      <c r="AL490" s="2">
        <v>0.1685021997638699</v>
      </c>
      <c r="AM490" s="2">
        <v>0.17057202753219913</v>
      </c>
      <c r="AN490" s="2">
        <v>0.17198262765295011</v>
      </c>
      <c r="AO490" s="2">
        <v>0.17341090500257053</v>
      </c>
      <c r="AP490" s="2">
        <v>0.17485705094327278</v>
      </c>
      <c r="AQ490" s="2">
        <v>0.17632125900868725</v>
      </c>
      <c r="AR490" s="2">
        <v>2.3278320989782131</v>
      </c>
    </row>
    <row r="491" spans="1:44" x14ac:dyDescent="0.25">
      <c r="A491" t="s">
        <v>250</v>
      </c>
      <c r="B491" t="s">
        <v>266</v>
      </c>
      <c r="C491" t="s">
        <v>43</v>
      </c>
      <c r="D491" t="s">
        <v>264</v>
      </c>
      <c r="E491" t="s">
        <v>148</v>
      </c>
      <c r="F491" t="s">
        <v>267</v>
      </c>
      <c r="G491" t="s">
        <v>31</v>
      </c>
      <c r="H491" t="s">
        <v>255</v>
      </c>
      <c r="I491" t="s">
        <v>135</v>
      </c>
      <c r="J491" t="s">
        <v>39</v>
      </c>
      <c r="K491" t="s">
        <v>31</v>
      </c>
      <c r="L491">
        <v>1.1475</v>
      </c>
      <c r="M491">
        <v>1</v>
      </c>
      <c r="N491">
        <v>1.9435945825335712</v>
      </c>
      <c r="O491">
        <v>2.5395240143327231</v>
      </c>
      <c r="P491">
        <v>-0.2335376618596588</v>
      </c>
      <c r="Q491">
        <v>0.70773230705298595</v>
      </c>
      <c r="R491">
        <v>-0.39961544227348511</v>
      </c>
      <c r="S491" s="2">
        <v>5.9811671299073926E-5</v>
      </c>
      <c r="T491" s="2">
        <v>1.649987480753384E-4</v>
      </c>
      <c r="U491" s="2">
        <v>3.6109057854318124E-4</v>
      </c>
      <c r="V491" s="2">
        <v>6.8106249506750096E-4</v>
      </c>
      <c r="W491" s="2">
        <v>1.1683159247779203E-3</v>
      </c>
      <c r="X491" s="2">
        <v>1.8685488987278433E-3</v>
      </c>
      <c r="Y491" s="2">
        <v>2.8244962108795288E-3</v>
      </c>
      <c r="Z491" s="2">
        <v>4.0685201008954239E-3</v>
      </c>
      <c r="AA491" s="2">
        <v>5.6135478152690849E-3</v>
      </c>
      <c r="AB491" s="2">
        <v>7.4437659052841833E-3</v>
      </c>
      <c r="AC491" s="2">
        <v>9.5075257010952402E-3</v>
      </c>
      <c r="AD491" s="2">
        <v>1.1715653897518118E-2</v>
      </c>
      <c r="AE491" s="2">
        <v>1.3948143198333296E-2</v>
      </c>
      <c r="AF491" s="2">
        <v>1.6070421335487424E-2</v>
      </c>
      <c r="AG491" s="2">
        <v>1.7957031161795183E-2</v>
      </c>
      <c r="AH491" s="2">
        <v>1.9516645210982377E-2</v>
      </c>
      <c r="AI491" s="2">
        <v>2.0709983603780849E-2</v>
      </c>
      <c r="AJ491" s="2">
        <v>2.1612743161124617E-2</v>
      </c>
      <c r="AK491" s="2">
        <v>2.2147706180415911E-2</v>
      </c>
      <c r="AL491" s="2">
        <v>2.2597835495083356E-2</v>
      </c>
      <c r="AM491" s="2">
        <v>2.2779957315469709E-2</v>
      </c>
      <c r="AN491" s="2">
        <v>2.2873817025136144E-2</v>
      </c>
      <c r="AO491" s="2">
        <v>2.2970183723729404E-2</v>
      </c>
      <c r="AP491" s="2">
        <v>2.3069072435657166E-2</v>
      </c>
      <c r="AQ491" s="2">
        <v>2.317049847162389E-2</v>
      </c>
      <c r="AR491" s="2">
        <v>0.31490137626605175</v>
      </c>
    </row>
    <row r="492" spans="1:44" x14ac:dyDescent="0.25">
      <c r="A492" t="s">
        <v>250</v>
      </c>
      <c r="B492" t="s">
        <v>329</v>
      </c>
      <c r="C492" t="s">
        <v>44</v>
      </c>
      <c r="D492" t="s">
        <v>324</v>
      </c>
      <c r="E492" t="s">
        <v>145</v>
      </c>
      <c r="F492" t="s">
        <v>324</v>
      </c>
      <c r="G492" t="s">
        <v>31</v>
      </c>
      <c r="H492" t="s">
        <v>253</v>
      </c>
      <c r="I492" t="s">
        <v>135</v>
      </c>
      <c r="J492" t="s">
        <v>39</v>
      </c>
      <c r="K492" t="s">
        <v>31</v>
      </c>
      <c r="L492">
        <v>2.209411764705882</v>
      </c>
      <c r="M492">
        <v>1</v>
      </c>
      <c r="N492">
        <v>7.278646667967732</v>
      </c>
      <c r="O492">
        <v>5.3756602043030233</v>
      </c>
      <c r="P492">
        <v>-2.004166800695204</v>
      </c>
      <c r="Q492">
        <v>0.40004011956630897</v>
      </c>
      <c r="R492">
        <v>-1.8625523936223525</v>
      </c>
      <c r="S492" s="2">
        <v>7.9861039416146058E-4</v>
      </c>
      <c r="T492" s="2">
        <v>8.3214737689034639E-4</v>
      </c>
      <c r="U492" s="2">
        <v>8.543978239976195E-4</v>
      </c>
      <c r="V492" s="2">
        <v>8.6793281700054791E-4</v>
      </c>
      <c r="W492" s="2">
        <v>8.7517221765794539E-4</v>
      </c>
      <c r="X492" s="2">
        <v>8.7812971382609194E-4</v>
      </c>
      <c r="Y492" s="2">
        <v>8.7833205318014888E-4</v>
      </c>
      <c r="Z492" s="2">
        <v>8.7914410074412734E-4</v>
      </c>
      <c r="AA492" s="2">
        <v>8.755396099310765E-4</v>
      </c>
      <c r="AB492" s="2">
        <v>8.7194989753035896E-4</v>
      </c>
      <c r="AC492" s="2">
        <v>8.6837490295048466E-4</v>
      </c>
      <c r="AD492" s="2">
        <v>8.6481456584838767E-4</v>
      </c>
      <c r="AE492" s="2">
        <v>8.6126882612840906E-4</v>
      </c>
      <c r="AF492" s="2">
        <v>8.5773762394128266E-4</v>
      </c>
      <c r="AG492" s="2">
        <v>2.3400313300779427E-4</v>
      </c>
      <c r="AH492" s="2">
        <v>1.8064301431687589E-5</v>
      </c>
      <c r="AI492" s="2">
        <v>1.6033198494167402E-5</v>
      </c>
      <c r="AJ492" s="2">
        <v>1.0111969988577317E-5</v>
      </c>
      <c r="AK492" s="2">
        <v>6.1318744697016221E-6</v>
      </c>
      <c r="AL492" s="2">
        <v>3.5785142646320998E-6</v>
      </c>
      <c r="AM492" s="2">
        <v>2.0118242443716563E-6</v>
      </c>
      <c r="AN492" s="2">
        <v>1.0906519091692659E-6</v>
      </c>
      <c r="AO492" s="2">
        <v>0</v>
      </c>
      <c r="AP492" s="2">
        <v>0</v>
      </c>
      <c r="AQ492" s="2">
        <v>0</v>
      </c>
      <c r="AR492" s="2">
        <v>1.2354577391598388E-2</v>
      </c>
    </row>
    <row r="493" spans="1:44" x14ac:dyDescent="0.25">
      <c r="A493" t="s">
        <v>250</v>
      </c>
      <c r="B493" t="s">
        <v>329</v>
      </c>
      <c r="C493" t="s">
        <v>44</v>
      </c>
      <c r="D493" t="s">
        <v>324</v>
      </c>
      <c r="E493" t="s">
        <v>145</v>
      </c>
      <c r="F493" t="s">
        <v>324</v>
      </c>
      <c r="G493" t="s">
        <v>31</v>
      </c>
      <c r="H493" t="s">
        <v>253</v>
      </c>
      <c r="I493" t="s">
        <v>135</v>
      </c>
      <c r="J493" t="s">
        <v>40</v>
      </c>
      <c r="K493" t="s">
        <v>31</v>
      </c>
      <c r="L493">
        <v>2.209411764705882</v>
      </c>
      <c r="M493">
        <v>1</v>
      </c>
      <c r="N493">
        <v>7.278646667967732</v>
      </c>
      <c r="O493">
        <v>4.1746294160814488</v>
      </c>
      <c r="P493">
        <v>-2.004166800695204</v>
      </c>
      <c r="Q493">
        <v>0.4672931329656026</v>
      </c>
      <c r="R493">
        <v>-1.719552393622352</v>
      </c>
      <c r="S493" s="2">
        <v>4.2008566560204614E-4</v>
      </c>
      <c r="T493" s="2">
        <v>4.3772681554818616E-4</v>
      </c>
      <c r="U493" s="2">
        <v>4.4943101317864191E-4</v>
      </c>
      <c r="V493" s="2">
        <v>4.5655070080870887E-4</v>
      </c>
      <c r="W493" s="2">
        <v>4.6035877601779246E-4</v>
      </c>
      <c r="X493" s="2">
        <v>4.6191448047066993E-4</v>
      </c>
      <c r="Y493" s="2">
        <v>4.6202091517631364E-4</v>
      </c>
      <c r="Z493" s="2">
        <v>4.6244806907251676E-4</v>
      </c>
      <c r="AA493" s="2">
        <v>4.6055203198931948E-4</v>
      </c>
      <c r="AB493" s="2">
        <v>4.5866376865816327E-4</v>
      </c>
      <c r="AC493" s="2">
        <v>4.5678324720666469E-4</v>
      </c>
      <c r="AD493" s="2">
        <v>4.5491043589311749E-4</v>
      </c>
      <c r="AE493" s="2">
        <v>4.5304530310595582E-4</v>
      </c>
      <c r="AF493" s="2">
        <v>4.5118781736322135E-4</v>
      </c>
      <c r="AG493" s="2">
        <v>1.2309051146994232E-4</v>
      </c>
      <c r="AH493" s="2">
        <v>9.5021980004836302E-6</v>
      </c>
      <c r="AI493" s="2">
        <v>8.4337956410198182E-6</v>
      </c>
      <c r="AJ493" s="2">
        <v>5.3191063806020747E-6</v>
      </c>
      <c r="AK493" s="2">
        <v>3.2254934155941257E-6</v>
      </c>
      <c r="AL493" s="2">
        <v>1.8823728788339262E-6</v>
      </c>
      <c r="AM493" s="2">
        <v>1.0582613661804336E-6</v>
      </c>
      <c r="AN493" s="2">
        <v>5.737055722704321E-7</v>
      </c>
      <c r="AO493" s="2">
        <v>0</v>
      </c>
      <c r="AP493" s="2">
        <v>0</v>
      </c>
      <c r="AQ493" s="2">
        <v>0</v>
      </c>
      <c r="AR493" s="2">
        <v>6.4987644848162451E-3</v>
      </c>
    </row>
    <row r="494" spans="1:44" x14ac:dyDescent="0.25">
      <c r="A494" t="s">
        <v>250</v>
      </c>
      <c r="B494" t="s">
        <v>329</v>
      </c>
      <c r="C494" t="s">
        <v>44</v>
      </c>
      <c r="D494" t="s">
        <v>324</v>
      </c>
      <c r="E494" t="s">
        <v>145</v>
      </c>
      <c r="F494" t="s">
        <v>324</v>
      </c>
      <c r="G494" t="s">
        <v>31</v>
      </c>
      <c r="H494" t="s">
        <v>253</v>
      </c>
      <c r="I494" t="s">
        <v>256</v>
      </c>
      <c r="J494" t="s">
        <v>39</v>
      </c>
      <c r="K494" t="s">
        <v>31</v>
      </c>
      <c r="L494">
        <v>2.209411764705882</v>
      </c>
      <c r="M494">
        <v>1</v>
      </c>
      <c r="N494">
        <v>3.6216710802820118</v>
      </c>
      <c r="O494">
        <v>2.6747929920855809</v>
      </c>
      <c r="P494">
        <v>-0.54122984934633578</v>
      </c>
      <c r="Q494">
        <v>0.4672931329656026</v>
      </c>
      <c r="R494">
        <v>-0.399615442273484</v>
      </c>
      <c r="S494" s="2">
        <v>4.1891979677237623E-4</v>
      </c>
      <c r="T494" s="2">
        <v>4.365119870216595E-4</v>
      </c>
      <c r="U494" s="2">
        <v>4.4818370185084171E-4</v>
      </c>
      <c r="V494" s="2">
        <v>4.5528363012569957E-4</v>
      </c>
      <c r="W494" s="2">
        <v>4.5908113673758774E-4</v>
      </c>
      <c r="X494" s="2">
        <v>4.6063252362507715E-4</v>
      </c>
      <c r="Y494" s="2">
        <v>4.607386629411947E-4</v>
      </c>
      <c r="Z494" s="2">
        <v>4.6116463135202228E-4</v>
      </c>
      <c r="AA494" s="2">
        <v>4.5927385636347905E-4</v>
      </c>
      <c r="AB494" s="2">
        <v>4.573908335523888E-4</v>
      </c>
      <c r="AC494" s="2">
        <v>4.5551553113482393E-4</v>
      </c>
      <c r="AD494" s="2">
        <v>4.5364791745717111E-4</v>
      </c>
      <c r="AE494" s="2">
        <v>4.5178796099559678E-4</v>
      </c>
      <c r="AF494" s="2">
        <v>4.4993563035551474E-4</v>
      </c>
      <c r="AG494" s="2">
        <v>1.2274889688438504E-4</v>
      </c>
      <c r="AH494" s="2">
        <v>9.4758264354214483E-6</v>
      </c>
      <c r="AI494" s="2">
        <v>8.4103892259507108E-6</v>
      </c>
      <c r="AJ494" s="2">
        <v>5.3043442003169144E-6</v>
      </c>
      <c r="AK494" s="2">
        <v>3.2165416646978505E-6</v>
      </c>
      <c r="AL494" s="2">
        <v>1.8771487066115651E-6</v>
      </c>
      <c r="AM494" s="2">
        <v>1.055324360608721E-6</v>
      </c>
      <c r="AN494" s="2">
        <v>5.7211336025539088E-7</v>
      </c>
      <c r="AO494" s="2">
        <v>0</v>
      </c>
      <c r="AP494" s="2">
        <v>0</v>
      </c>
      <c r="AQ494" s="2">
        <v>0</v>
      </c>
      <c r="AR494" s="2">
        <v>6.4807283851236793E-3</v>
      </c>
    </row>
    <row r="495" spans="1:44" x14ac:dyDescent="0.25">
      <c r="A495" t="s">
        <v>250</v>
      </c>
      <c r="B495" t="s">
        <v>329</v>
      </c>
      <c r="C495" t="s">
        <v>44</v>
      </c>
      <c r="D495" t="s">
        <v>324</v>
      </c>
      <c r="E495" t="s">
        <v>148</v>
      </c>
      <c r="F495" t="s">
        <v>324</v>
      </c>
      <c r="G495" t="s">
        <v>31</v>
      </c>
      <c r="H495" t="s">
        <v>253</v>
      </c>
      <c r="I495" t="s">
        <v>135</v>
      </c>
      <c r="J495" t="s">
        <v>39</v>
      </c>
      <c r="K495" t="s">
        <v>31</v>
      </c>
      <c r="L495">
        <v>2.209411764705882</v>
      </c>
      <c r="M495">
        <v>1</v>
      </c>
      <c r="N495">
        <v>7.278646667967732</v>
      </c>
      <c r="O495">
        <v>5.3756602043030233</v>
      </c>
      <c r="P495">
        <v>-2.004166800695204</v>
      </c>
      <c r="Q495">
        <v>0.40004011956630897</v>
      </c>
      <c r="R495">
        <v>-1.8625523936223525</v>
      </c>
      <c r="S495" s="2">
        <v>1.3586159871106408E-4</v>
      </c>
      <c r="T495" s="2">
        <v>1.9353756181863372E-4</v>
      </c>
      <c r="U495" s="2">
        <v>2.009568196248639E-4</v>
      </c>
      <c r="V495" s="2">
        <v>2.0645523768138995E-4</v>
      </c>
      <c r="W495" s="2">
        <v>2.1054742691097673E-4</v>
      </c>
      <c r="X495" s="2">
        <v>2.1367366814266139E-4</v>
      </c>
      <c r="Y495" s="2">
        <v>2.1617533205364858E-4</v>
      </c>
      <c r="Z495" s="2">
        <v>2.1886763658538345E-4</v>
      </c>
      <c r="AA495" s="2">
        <v>2.2049067346996168E-4</v>
      </c>
      <c r="AB495" s="2">
        <v>2.2213532039276165E-4</v>
      </c>
      <c r="AC495" s="2">
        <v>2.2380180571947064E-4</v>
      </c>
      <c r="AD495" s="2">
        <v>2.2549036043401582E-4</v>
      </c>
      <c r="AE495" s="2">
        <v>2.2720121816774129E-4</v>
      </c>
      <c r="AF495" s="2">
        <v>2.289346152288231E-4</v>
      </c>
      <c r="AG495" s="2">
        <v>2.3069079063208717E-4</v>
      </c>
      <c r="AH495" s="2">
        <v>2.3246998612909005E-4</v>
      </c>
      <c r="AI495" s="2">
        <v>2.3427244623863697E-4</v>
      </c>
      <c r="AJ495" s="2">
        <v>2.3609841827751534E-4</v>
      </c>
      <c r="AK495" s="2">
        <v>2.3794815239168882E-4</v>
      </c>
      <c r="AL495" s="2">
        <v>2.3982190158780987E-4</v>
      </c>
      <c r="AM495" s="2">
        <v>2.4171992176501183E-4</v>
      </c>
      <c r="AN495" s="2">
        <v>2.4364247174717656E-4</v>
      </c>
      <c r="AO495" s="2">
        <v>2.4558981331548879E-4</v>
      </c>
      <c r="AP495" s="2">
        <v>2.4756221124135736E-4</v>
      </c>
      <c r="AQ495" s="2">
        <v>2.4955993331977254E-4</v>
      </c>
      <c r="AR495" s="2">
        <v>5.5835053215870303E-3</v>
      </c>
    </row>
    <row r="496" spans="1:44" x14ac:dyDescent="0.25">
      <c r="A496" t="s">
        <v>250</v>
      </c>
      <c r="B496" t="s">
        <v>329</v>
      </c>
      <c r="C496" t="s">
        <v>44</v>
      </c>
      <c r="D496" t="s">
        <v>324</v>
      </c>
      <c r="E496" t="s">
        <v>148</v>
      </c>
      <c r="F496" t="s">
        <v>324</v>
      </c>
      <c r="G496" t="s">
        <v>31</v>
      </c>
      <c r="H496" t="s">
        <v>253</v>
      </c>
      <c r="I496" t="s">
        <v>135</v>
      </c>
      <c r="J496" t="s">
        <v>40</v>
      </c>
      <c r="K496" t="s">
        <v>31</v>
      </c>
      <c r="L496">
        <v>2.209411764705882</v>
      </c>
      <c r="M496">
        <v>1</v>
      </c>
      <c r="N496">
        <v>7.278646667967732</v>
      </c>
      <c r="O496">
        <v>4.1746294160814488</v>
      </c>
      <c r="P496">
        <v>-2.004166800695204</v>
      </c>
      <c r="Q496">
        <v>0.4672931329656026</v>
      </c>
      <c r="R496">
        <v>-1.719552393622352</v>
      </c>
      <c r="S496" s="2">
        <v>7.1466024661778299E-5</v>
      </c>
      <c r="T496" s="2">
        <v>1.0180477999030467E-4</v>
      </c>
      <c r="U496" s="2">
        <v>1.0570746379781355E-4</v>
      </c>
      <c r="V496" s="2">
        <v>1.0859974597435737E-4</v>
      </c>
      <c r="W496" s="2">
        <v>1.1075232256094886E-4</v>
      </c>
      <c r="X496" s="2">
        <v>1.1239679042443455E-4</v>
      </c>
      <c r="Y496" s="2">
        <v>1.137127176360551E-4</v>
      </c>
      <c r="Z496" s="2">
        <v>1.1512892577645018E-4</v>
      </c>
      <c r="AA496" s="2">
        <v>1.1598267691084602E-4</v>
      </c>
      <c r="AB496" s="2">
        <v>1.1684779537448919E-4</v>
      </c>
      <c r="AC496" s="2">
        <v>1.1772440129247172E-4</v>
      </c>
      <c r="AD496" s="2">
        <v>1.1861261616714835E-4</v>
      </c>
      <c r="AE496" s="2">
        <v>1.1951256289345775E-4</v>
      </c>
      <c r="AF496" s="2">
        <v>1.2042436577441438E-4</v>
      </c>
      <c r="AG496" s="2">
        <v>1.2134815053677974E-4</v>
      </c>
      <c r="AH496" s="2">
        <v>1.222840443469029E-4</v>
      </c>
      <c r="AI496" s="2">
        <v>1.2323217582675298E-4</v>
      </c>
      <c r="AJ496" s="2">
        <v>1.2419267507010062E-4</v>
      </c>
      <c r="AK496" s="2">
        <v>1.2516567365892655E-4</v>
      </c>
      <c r="AL496" s="2">
        <v>1.2615130467998222E-4</v>
      </c>
      <c r="AM496" s="2">
        <v>1.2714970274153449E-4</v>
      </c>
      <c r="AN496" s="2">
        <v>1.2816100399032246E-4</v>
      </c>
      <c r="AO496" s="2">
        <v>1.2918534612869158E-4</v>
      </c>
      <c r="AP496" s="2">
        <v>1.3022286843190548E-4</v>
      </c>
      <c r="AQ496" s="2">
        <v>1.3127371176569394E-4</v>
      </c>
      <c r="AR496" s="2">
        <v>2.9370398464125631E-3</v>
      </c>
    </row>
    <row r="497" spans="1:44" x14ac:dyDescent="0.25">
      <c r="A497" t="s">
        <v>250</v>
      </c>
      <c r="B497" t="s">
        <v>329</v>
      </c>
      <c r="C497" t="s">
        <v>44</v>
      </c>
      <c r="D497" t="s">
        <v>324</v>
      </c>
      <c r="E497" t="s">
        <v>148</v>
      </c>
      <c r="F497" t="s">
        <v>324</v>
      </c>
      <c r="G497" t="s">
        <v>31</v>
      </c>
      <c r="H497" t="s">
        <v>253</v>
      </c>
      <c r="I497" t="s">
        <v>256</v>
      </c>
      <c r="J497" t="s">
        <v>39</v>
      </c>
      <c r="K497" t="s">
        <v>31</v>
      </c>
      <c r="L497">
        <v>2.209411764705882</v>
      </c>
      <c r="M497">
        <v>1</v>
      </c>
      <c r="N497">
        <v>3.6216710802820118</v>
      </c>
      <c r="O497">
        <v>2.6747929920855809</v>
      </c>
      <c r="P497">
        <v>-0.54122984934633578</v>
      </c>
      <c r="Q497">
        <v>0.4672931329656026</v>
      </c>
      <c r="R497">
        <v>-0.399615442273484</v>
      </c>
      <c r="S497" s="2">
        <v>7.1267684138984783E-5</v>
      </c>
      <c r="T497" s="2">
        <v>1.0152223995282944E-4</v>
      </c>
      <c r="U497" s="2">
        <v>1.054140925947556E-4</v>
      </c>
      <c r="V497" s="2">
        <v>1.0829834778558378E-4</v>
      </c>
      <c r="W497" s="2">
        <v>1.1044495030033524E-4</v>
      </c>
      <c r="X497" s="2">
        <v>1.1208485425226693E-4</v>
      </c>
      <c r="Y497" s="2">
        <v>1.133971293551768E-4</v>
      </c>
      <c r="Z497" s="2">
        <v>1.1480940707598748E-4</v>
      </c>
      <c r="AA497" s="2">
        <v>1.1566078878453326E-4</v>
      </c>
      <c r="AB497" s="2">
        <v>1.1652350627443621E-4</v>
      </c>
      <c r="AC497" s="2">
        <v>1.1739767933741244E-4</v>
      </c>
      <c r="AD497" s="2">
        <v>1.1828342913860047E-4</v>
      </c>
      <c r="AE497" s="2">
        <v>1.1918087823187555E-4</v>
      </c>
      <c r="AF497" s="2">
        <v>1.200901505752643E-4</v>
      </c>
      <c r="AG497" s="2">
        <v>1.2101137154660426E-4</v>
      </c>
      <c r="AH497" s="2">
        <v>1.2194466795931429E-4</v>
      </c>
      <c r="AI497" s="2">
        <v>1.2289016807839694E-4</v>
      </c>
      <c r="AJ497" s="2">
        <v>1.2384800163657623E-4</v>
      </c>
      <c r="AK497" s="2">
        <v>1.2481829985064769E-4</v>
      </c>
      <c r="AL497" s="2">
        <v>1.2580119543800759E-4</v>
      </c>
      <c r="AM497" s="2">
        <v>1.2679682263334101E-4</v>
      </c>
      <c r="AN497" s="2">
        <v>1.278053172055403E-4</v>
      </c>
      <c r="AO497" s="2">
        <v>1.2882681647477829E-4</v>
      </c>
      <c r="AP497" s="2">
        <v>1.2986145932979517E-4</v>
      </c>
      <c r="AQ497" s="2">
        <v>1.3090938624536711E-4</v>
      </c>
      <c r="AR497" s="2">
        <v>2.9288886441964103E-3</v>
      </c>
    </row>
    <row r="498" spans="1:44" x14ac:dyDescent="0.25">
      <c r="A498" t="s">
        <v>250</v>
      </c>
      <c r="B498" t="s">
        <v>330</v>
      </c>
      <c r="C498" t="s">
        <v>44</v>
      </c>
      <c r="D498" t="s">
        <v>324</v>
      </c>
      <c r="E498" t="s">
        <v>145</v>
      </c>
      <c r="F498" t="s">
        <v>324</v>
      </c>
      <c r="G498" t="s">
        <v>31</v>
      </c>
      <c r="H498" t="s">
        <v>252</v>
      </c>
      <c r="I498" t="s">
        <v>135</v>
      </c>
      <c r="J498" t="s">
        <v>39</v>
      </c>
      <c r="K498" t="s">
        <v>31</v>
      </c>
      <c r="L498">
        <v>2.590588235294117</v>
      </c>
      <c r="M498">
        <v>1</v>
      </c>
      <c r="N498">
        <v>7.6777548088491043</v>
      </c>
      <c r="O498">
        <v>5.442120242040744</v>
      </c>
      <c r="P498">
        <v>-2.0202731874183506</v>
      </c>
      <c r="Q498">
        <v>0.38393373284316173</v>
      </c>
      <c r="R498">
        <v>-1.862552393622352</v>
      </c>
      <c r="S498" s="2">
        <v>1.5651030726071501E-2</v>
      </c>
      <c r="T498" s="2">
        <v>1.6314832980494659E-2</v>
      </c>
      <c r="U498" s="2">
        <v>1.6757796614477159E-2</v>
      </c>
      <c r="V498" s="2">
        <v>1.7030103567337654E-2</v>
      </c>
      <c r="W498" s="2">
        <v>1.7179048270739395E-2</v>
      </c>
      <c r="X498" s="2">
        <v>1.7244025178534468E-2</v>
      </c>
      <c r="Y498" s="2">
        <v>1.7254926163263049E-2</v>
      </c>
      <c r="Z498" s="2">
        <v>1.7277815716037561E-2</v>
      </c>
      <c r="AA498" s="2">
        <v>1.7213887797888218E-2</v>
      </c>
      <c r="AB498" s="2">
        <v>1.7150196413036035E-2</v>
      </c>
      <c r="AC498" s="2">
        <v>1.7086740686307798E-2</v>
      </c>
      <c r="AD498" s="2">
        <v>1.7023519745768458E-2</v>
      </c>
      <c r="AE498" s="2">
        <v>1.6960532722709115E-2</v>
      </c>
      <c r="AF498" s="2">
        <v>1.6897778751635093E-2</v>
      </c>
      <c r="AG498" s="2">
        <v>6.2970969354603145E-3</v>
      </c>
      <c r="AH498" s="2">
        <v>3.5402110818908198E-4</v>
      </c>
      <c r="AI498" s="2">
        <v>3.0607638074412895E-4</v>
      </c>
      <c r="AJ498" s="2">
        <v>1.9311535191449635E-4</v>
      </c>
      <c r="AK498" s="2">
        <v>1.1715038792343277E-4</v>
      </c>
      <c r="AL498" s="2">
        <v>6.8394432628470167E-5</v>
      </c>
      <c r="AM498" s="2">
        <v>3.8465700149778193E-5</v>
      </c>
      <c r="AN498" s="2">
        <v>2.086092036451964E-5</v>
      </c>
      <c r="AO498" s="2">
        <v>0</v>
      </c>
      <c r="AP498" s="2">
        <v>0</v>
      </c>
      <c r="AQ498" s="2">
        <v>0</v>
      </c>
      <c r="AR498" s="2">
        <v>0.24443741655167439</v>
      </c>
    </row>
    <row r="499" spans="1:44" x14ac:dyDescent="0.25">
      <c r="A499" t="s">
        <v>250</v>
      </c>
      <c r="B499" t="s">
        <v>330</v>
      </c>
      <c r="C499" t="s">
        <v>44</v>
      </c>
      <c r="D499" t="s">
        <v>324</v>
      </c>
      <c r="E499" t="s">
        <v>148</v>
      </c>
      <c r="F499" t="s">
        <v>324</v>
      </c>
      <c r="G499" t="s">
        <v>31</v>
      </c>
      <c r="H499" t="s">
        <v>252</v>
      </c>
      <c r="I499" t="s">
        <v>135</v>
      </c>
      <c r="J499" t="s">
        <v>39</v>
      </c>
      <c r="K499" t="s">
        <v>31</v>
      </c>
      <c r="L499">
        <v>2.590588235294117</v>
      </c>
      <c r="M499">
        <v>1</v>
      </c>
      <c r="N499">
        <v>7.6777548088491043</v>
      </c>
      <c r="O499">
        <v>5.442120242040744</v>
      </c>
      <c r="P499">
        <v>-2.0202731874183506</v>
      </c>
      <c r="Q499">
        <v>0.38393373284316173</v>
      </c>
      <c r="R499">
        <v>-1.862552393622352</v>
      </c>
      <c r="S499" s="2">
        <v>2.6625925125263977E-3</v>
      </c>
      <c r="T499" s="2">
        <v>3.6946636992637506E-3</v>
      </c>
      <c r="U499" s="2">
        <v>3.8378127096215342E-3</v>
      </c>
      <c r="V499" s="2">
        <v>3.9443584996247099E-3</v>
      </c>
      <c r="W499" s="2">
        <v>4.024092329960577E-3</v>
      </c>
      <c r="X499" s="2">
        <v>4.0854002389487361E-3</v>
      </c>
      <c r="Y499" s="2">
        <v>4.1347897975804789E-3</v>
      </c>
      <c r="Z499" s="2">
        <v>4.1878454489663553E-3</v>
      </c>
      <c r="AA499" s="2">
        <v>4.2204545315160146E-3</v>
      </c>
      <c r="AB499" s="2">
        <v>4.2534824150156194E-3</v>
      </c>
      <c r="AC499" s="2">
        <v>4.2869335995140744E-3</v>
      </c>
      <c r="AD499" s="2">
        <v>4.3208126362519576E-3</v>
      </c>
      <c r="AE499" s="2">
        <v>4.3551241282338083E-3</v>
      </c>
      <c r="AF499" s="2">
        <v>4.3898727308048459E-3</v>
      </c>
      <c r="AG499" s="2">
        <v>4.4250631522364456E-3</v>
      </c>
      <c r="AH499" s="2">
        <v>4.4607001543158836E-3</v>
      </c>
      <c r="AI499" s="2">
        <v>4.496788552944885E-3</v>
      </c>
      <c r="AJ499" s="2">
        <v>4.5333332187429045E-3</v>
      </c>
      <c r="AK499" s="2">
        <v>4.5703390776585771E-3</v>
      </c>
      <c r="AL499" s="2">
        <v>4.60781111158798E-3</v>
      </c>
      <c r="AM499" s="2">
        <v>4.6457543589983096E-3</v>
      </c>
      <c r="AN499" s="2">
        <v>4.6841739155609758E-3</v>
      </c>
      <c r="AO499" s="2">
        <v>4.7230749347893794E-3</v>
      </c>
      <c r="AP499" s="2">
        <v>4.7624626286860055E-3</v>
      </c>
      <c r="AQ499" s="2">
        <v>4.8023422683947832E-3</v>
      </c>
      <c r="AR499" s="2">
        <v>0.10711007865174497</v>
      </c>
    </row>
    <row r="500" spans="1:44" x14ac:dyDescent="0.25">
      <c r="A500" t="s">
        <v>250</v>
      </c>
      <c r="B500" t="s">
        <v>323</v>
      </c>
      <c r="C500" t="s">
        <v>44</v>
      </c>
      <c r="D500" t="s">
        <v>324</v>
      </c>
      <c r="E500" t="s">
        <v>145</v>
      </c>
      <c r="F500" t="s">
        <v>324</v>
      </c>
      <c r="G500" t="s">
        <v>31</v>
      </c>
      <c r="H500" t="s">
        <v>288</v>
      </c>
      <c r="I500" t="s">
        <v>135</v>
      </c>
      <c r="J500" t="s">
        <v>39</v>
      </c>
      <c r="K500" t="s">
        <v>31</v>
      </c>
      <c r="L500">
        <v>2.5658823529411769</v>
      </c>
      <c r="M500">
        <v>1</v>
      </c>
      <c r="N500">
        <v>7.7071005546982621</v>
      </c>
      <c r="O500">
        <v>5.4757113018011117</v>
      </c>
      <c r="P500">
        <v>-2.0193742854541559</v>
      </c>
      <c r="Q500">
        <v>0.38483263480735791</v>
      </c>
      <c r="R500">
        <v>-1.8625523936223527</v>
      </c>
      <c r="S500" s="2">
        <v>0.12473058416807367</v>
      </c>
      <c r="T500" s="2">
        <v>0.13011209581484934</v>
      </c>
      <c r="U500" s="2">
        <v>0.13373866492976222</v>
      </c>
      <c r="V500" s="2">
        <v>0.13600735205907319</v>
      </c>
      <c r="W500" s="2">
        <v>0.13729326217590465</v>
      </c>
      <c r="X500" s="2">
        <v>0.13790937827071847</v>
      </c>
      <c r="Y500" s="2">
        <v>0.13809351540722983</v>
      </c>
      <c r="Z500" s="2">
        <v>0.13837385676318179</v>
      </c>
      <c r="AA500" s="2">
        <v>0.13795873519289223</v>
      </c>
      <c r="AB500" s="2">
        <v>0.13754485898731356</v>
      </c>
      <c r="AC500" s="2">
        <v>0.13713222441035164</v>
      </c>
      <c r="AD500" s="2">
        <v>0.13672082773712058</v>
      </c>
      <c r="AE500" s="2">
        <v>0.1363106652539092</v>
      </c>
      <c r="AF500" s="2">
        <v>0.13590173325814747</v>
      </c>
      <c r="AG500" s="2">
        <v>7.442692947864657E-2</v>
      </c>
      <c r="AH500" s="2">
        <v>2.8213643181145788E-3</v>
      </c>
      <c r="AI500" s="2">
        <v>2.3257512285863287E-3</v>
      </c>
      <c r="AJ500" s="2">
        <v>1.4684185088449291E-3</v>
      </c>
      <c r="AK500" s="2">
        <v>8.914007985151882E-4</v>
      </c>
      <c r="AL500" s="2">
        <v>5.207663599112283E-4</v>
      </c>
      <c r="AM500" s="2">
        <v>2.9307944377232966E-4</v>
      </c>
      <c r="AN500" s="2">
        <v>1.5904917012535429E-4</v>
      </c>
      <c r="AO500" s="2">
        <v>0</v>
      </c>
      <c r="AP500" s="2">
        <v>0</v>
      </c>
      <c r="AQ500" s="2">
        <v>0</v>
      </c>
      <c r="AR500" s="2">
        <v>1.9807345137350447</v>
      </c>
    </row>
    <row r="501" spans="1:44" x14ac:dyDescent="0.25">
      <c r="A501" t="s">
        <v>250</v>
      </c>
      <c r="B501" t="s">
        <v>323</v>
      </c>
      <c r="C501" t="s">
        <v>44</v>
      </c>
      <c r="D501" t="s">
        <v>324</v>
      </c>
      <c r="E501" t="s">
        <v>145</v>
      </c>
      <c r="F501" t="s">
        <v>324</v>
      </c>
      <c r="G501" t="s">
        <v>31</v>
      </c>
      <c r="H501" t="s">
        <v>288</v>
      </c>
      <c r="I501" t="s">
        <v>135</v>
      </c>
      <c r="J501" t="s">
        <v>39</v>
      </c>
      <c r="K501" t="s">
        <v>33</v>
      </c>
      <c r="L501">
        <v>2.5658823529411769</v>
      </c>
      <c r="M501">
        <v>1</v>
      </c>
      <c r="N501">
        <v>7.7071005546982621</v>
      </c>
      <c r="O501">
        <v>5.4757113018011117</v>
      </c>
      <c r="P501">
        <v>-2.0193742854541559</v>
      </c>
      <c r="Q501">
        <v>0.38483263480735791</v>
      </c>
      <c r="R501">
        <v>-1.8625523936223527</v>
      </c>
      <c r="S501" s="2">
        <v>1.1733547466465594E-3</v>
      </c>
      <c r="T501" s="2">
        <v>1.2239792368387114E-3</v>
      </c>
      <c r="U501" s="2">
        <v>1.2580947836663516E-3</v>
      </c>
      <c r="V501" s="2">
        <v>1.2794365807050471E-3</v>
      </c>
      <c r="W501" s="2">
        <v>1.2915332829646297E-3</v>
      </c>
      <c r="X501" s="2">
        <v>1.2973291569209407E-3</v>
      </c>
      <c r="Y501" s="2">
        <v>1.2990613558407213E-3</v>
      </c>
      <c r="Z501" s="2">
        <v>1.3016985587599689E-3</v>
      </c>
      <c r="AA501" s="2">
        <v>1.2977934630836892E-3</v>
      </c>
      <c r="AB501" s="2">
        <v>1.2939000826944383E-3</v>
      </c>
      <c r="AC501" s="2">
        <v>1.2900183824463547E-3</v>
      </c>
      <c r="AD501" s="2">
        <v>1.286148327299016E-3</v>
      </c>
      <c r="AE501" s="2">
        <v>1.2822898823171189E-3</v>
      </c>
      <c r="AF501" s="2">
        <v>1.2784430126701672E-3</v>
      </c>
      <c r="AG501" s="2">
        <v>7.0014256378710777E-4</v>
      </c>
      <c r="AH501" s="2">
        <v>2.654089401375807E-5</v>
      </c>
      <c r="AI501" s="2">
        <v>2.1878605490242759E-5</v>
      </c>
      <c r="AJ501" s="2">
        <v>1.3813579395212109E-5</v>
      </c>
      <c r="AK501" s="2">
        <v>8.3855083745373896E-6</v>
      </c>
      <c r="AL501" s="2">
        <v>4.8989081897693784E-6</v>
      </c>
      <c r="AM501" s="2">
        <v>2.7570315555599064E-6</v>
      </c>
      <c r="AN501" s="2">
        <v>1.4961935756294281E-6</v>
      </c>
      <c r="AO501" s="2">
        <v>0</v>
      </c>
      <c r="AP501" s="2">
        <v>0</v>
      </c>
      <c r="AQ501" s="2">
        <v>0</v>
      </c>
      <c r="AR501" s="2">
        <v>1.8632994137235528E-2</v>
      </c>
    </row>
    <row r="502" spans="1:44" x14ac:dyDescent="0.25">
      <c r="A502" t="s">
        <v>250</v>
      </c>
      <c r="B502" t="s">
        <v>323</v>
      </c>
      <c r="C502" t="s">
        <v>44</v>
      </c>
      <c r="D502" t="s">
        <v>324</v>
      </c>
      <c r="E502" t="s">
        <v>145</v>
      </c>
      <c r="F502" t="s">
        <v>324</v>
      </c>
      <c r="G502" t="s">
        <v>31</v>
      </c>
      <c r="H502" t="s">
        <v>289</v>
      </c>
      <c r="I502" t="s">
        <v>135</v>
      </c>
      <c r="J502" t="s">
        <v>39</v>
      </c>
      <c r="K502" t="s">
        <v>31</v>
      </c>
      <c r="L502">
        <v>2.5658823529411769</v>
      </c>
      <c r="M502">
        <v>1</v>
      </c>
      <c r="N502">
        <v>7.7071005546982621</v>
      </c>
      <c r="O502">
        <v>5.4757113018011117</v>
      </c>
      <c r="P502">
        <v>-2.0193742854541559</v>
      </c>
      <c r="Q502">
        <v>0.38483263480735791</v>
      </c>
      <c r="R502">
        <v>-1.8625523936223527</v>
      </c>
      <c r="S502" s="2">
        <v>0.11855101340714497</v>
      </c>
      <c r="T502" s="2">
        <v>0.12366590694863541</v>
      </c>
      <c r="U502" s="2">
        <v>0.12711280368716618</v>
      </c>
      <c r="V502" s="2">
        <v>0.12926909246010376</v>
      </c>
      <c r="W502" s="2">
        <v>0.13049129428428069</v>
      </c>
      <c r="X502" s="2">
        <v>0.13107688592488592</v>
      </c>
      <c r="Y502" s="2">
        <v>0.13125190029112904</v>
      </c>
      <c r="Z502" s="2">
        <v>0.13151835259767203</v>
      </c>
      <c r="AA502" s="2">
        <v>0.13112379753987902</v>
      </c>
      <c r="AB502" s="2">
        <v>0.13073042614725941</v>
      </c>
      <c r="AC502" s="2">
        <v>0.13033823486881763</v>
      </c>
      <c r="AD502" s="2">
        <v>0.12994722016421115</v>
      </c>
      <c r="AE502" s="2">
        <v>0.12955737850371854</v>
      </c>
      <c r="AF502" s="2">
        <v>0.12916870636820738</v>
      </c>
      <c r="AG502" s="2">
        <v>7.0739570197043439E-2</v>
      </c>
      <c r="AH502" s="2">
        <v>2.6815844833416153E-3</v>
      </c>
      <c r="AI502" s="2">
        <v>2.2105257256735643E-3</v>
      </c>
      <c r="AJ502" s="2">
        <v>1.3956681393779255E-3</v>
      </c>
      <c r="AK502" s="2">
        <v>8.4723781838073539E-4</v>
      </c>
      <c r="AL502" s="2">
        <v>4.9496585081839262E-4</v>
      </c>
      <c r="AM502" s="2">
        <v>2.7855930684325138E-4</v>
      </c>
      <c r="AN502" s="2">
        <v>1.5116934171107899E-4</v>
      </c>
      <c r="AO502" s="2">
        <v>0</v>
      </c>
      <c r="AP502" s="2">
        <v>0</v>
      </c>
      <c r="AQ502" s="2">
        <v>0</v>
      </c>
      <c r="AR502" s="2">
        <v>1.882602294056301</v>
      </c>
    </row>
    <row r="503" spans="1:44" x14ac:dyDescent="0.25">
      <c r="A503" t="s">
        <v>250</v>
      </c>
      <c r="B503" t="s">
        <v>323</v>
      </c>
      <c r="C503" t="s">
        <v>44</v>
      </c>
      <c r="D503" t="s">
        <v>324</v>
      </c>
      <c r="E503" t="s">
        <v>145</v>
      </c>
      <c r="F503" t="s">
        <v>324</v>
      </c>
      <c r="G503" t="s">
        <v>31</v>
      </c>
      <c r="H503" t="s">
        <v>290</v>
      </c>
      <c r="I503" t="s">
        <v>135</v>
      </c>
      <c r="J503" t="s">
        <v>39</v>
      </c>
      <c r="K503" t="s">
        <v>31</v>
      </c>
      <c r="L503">
        <v>2.5658823529411769</v>
      </c>
      <c r="M503">
        <v>1</v>
      </c>
      <c r="N503">
        <v>7.7071005546982621</v>
      </c>
      <c r="O503">
        <v>5.4757113018011117</v>
      </c>
      <c r="P503">
        <v>-2.0193742854541559</v>
      </c>
      <c r="Q503">
        <v>0.38483263480735791</v>
      </c>
      <c r="R503">
        <v>-1.8625523936223527</v>
      </c>
      <c r="S503" s="2">
        <v>0.1716699418867923</v>
      </c>
      <c r="T503" s="2">
        <v>0.17907665610870438</v>
      </c>
      <c r="U503" s="2">
        <v>0.18406799735317908</v>
      </c>
      <c r="V503" s="2">
        <v>0.18719045036056114</v>
      </c>
      <c r="W503" s="2">
        <v>0.18896028184576158</v>
      </c>
      <c r="X503" s="2">
        <v>0.18980825842582538</v>
      </c>
      <c r="Y503" s="2">
        <v>0.19006169114832042</v>
      </c>
      <c r="Z503" s="2">
        <v>0.19044753223617975</v>
      </c>
      <c r="AA503" s="2">
        <v>0.1898761896394712</v>
      </c>
      <c r="AB503" s="2">
        <v>0.18930656107055274</v>
      </c>
      <c r="AC503" s="2">
        <v>0.18873864138734109</v>
      </c>
      <c r="AD503" s="2">
        <v>0.18817242546317908</v>
      </c>
      <c r="AE503" s="2">
        <v>0.18760790818678955</v>
      </c>
      <c r="AF503" s="2">
        <v>0.1870450844622292</v>
      </c>
      <c r="AG503" s="2">
        <v>0.10243571569579769</v>
      </c>
      <c r="AH503" s="2">
        <v>3.8831169737772514E-3</v>
      </c>
      <c r="AI503" s="2">
        <v>3.2009918090060963E-3</v>
      </c>
      <c r="AJ503" s="2">
        <v>2.0210225243491092E-3</v>
      </c>
      <c r="AK503" s="2">
        <v>1.2268580661238628E-3</v>
      </c>
      <c r="AL503" s="2">
        <v>7.1674426395767793E-4</v>
      </c>
      <c r="AM503" s="2">
        <v>4.0337284889817998E-4</v>
      </c>
      <c r="AN503" s="2">
        <v>2.1890350289524577E-4</v>
      </c>
      <c r="AO503" s="2">
        <v>0</v>
      </c>
      <c r="AP503" s="2">
        <v>0</v>
      </c>
      <c r="AQ503" s="2">
        <v>0</v>
      </c>
      <c r="AR503" s="2">
        <v>2.7261363452596918</v>
      </c>
    </row>
    <row r="504" spans="1:44" x14ac:dyDescent="0.25">
      <c r="A504" t="s">
        <v>250</v>
      </c>
      <c r="B504" t="s">
        <v>323</v>
      </c>
      <c r="C504" t="s">
        <v>44</v>
      </c>
      <c r="D504" t="s">
        <v>324</v>
      </c>
      <c r="E504" t="s">
        <v>148</v>
      </c>
      <c r="F504" t="s">
        <v>324</v>
      </c>
      <c r="G504" t="s">
        <v>31</v>
      </c>
      <c r="H504" t="s">
        <v>288</v>
      </c>
      <c r="I504" t="s">
        <v>135</v>
      </c>
      <c r="J504" t="s">
        <v>39</v>
      </c>
      <c r="K504" t="s">
        <v>31</v>
      </c>
      <c r="L504">
        <v>2.5658823529411769</v>
      </c>
      <c r="M504">
        <v>1</v>
      </c>
      <c r="N504">
        <v>7.7071005546982621</v>
      </c>
      <c r="O504">
        <v>5.4757113018011117</v>
      </c>
      <c r="P504">
        <v>-2.0193742854541559</v>
      </c>
      <c r="Q504">
        <v>0.38483263480735791</v>
      </c>
      <c r="R504">
        <v>-1.8625523936223527</v>
      </c>
      <c r="S504" s="2">
        <v>2.1219479106620955E-2</v>
      </c>
      <c r="T504" s="2">
        <v>2.8074262433726856E-2</v>
      </c>
      <c r="U504" s="2">
        <v>2.9182119186380109E-2</v>
      </c>
      <c r="V504" s="2">
        <v>3.0012741558257814E-2</v>
      </c>
      <c r="W504" s="2">
        <v>3.0640095020657197E-2</v>
      </c>
      <c r="X504" s="2">
        <v>3.1127649437191967E-2</v>
      </c>
      <c r="Y504" s="2">
        <v>3.1524730187190861E-2</v>
      </c>
      <c r="Z504" s="2">
        <v>3.1950047698289727E-2</v>
      </c>
      <c r="AA504" s="2">
        <v>3.2219569186225316E-2</v>
      </c>
      <c r="AB504" s="2">
        <v>3.2492379501538007E-2</v>
      </c>
      <c r="AC504" s="2">
        <v>3.276851472718275E-2</v>
      </c>
      <c r="AD504" s="2">
        <v>3.3048011353152218E-2</v>
      </c>
      <c r="AE504" s="2">
        <v>3.3330906281043161E-2</v>
      </c>
      <c r="AF504" s="2">
        <v>3.3617236828658317E-2</v>
      </c>
      <c r="AG504" s="2">
        <v>3.3907040734671566E-2</v>
      </c>
      <c r="AH504" s="2">
        <v>3.4200356163334819E-2</v>
      </c>
      <c r="AI504" s="2">
        <v>3.4497221709252984E-2</v>
      </c>
      <c r="AJ504" s="2">
        <v>3.4797676402189913E-2</v>
      </c>
      <c r="AK504" s="2">
        <v>3.5101759711954186E-2</v>
      </c>
      <c r="AL504" s="2">
        <v>3.5409511553320082E-2</v>
      </c>
      <c r="AM504" s="2">
        <v>3.5720972291009373E-2</v>
      </c>
      <c r="AN504" s="2">
        <v>3.6036182744733532E-2</v>
      </c>
      <c r="AO504" s="2">
        <v>3.6355184194289486E-2</v>
      </c>
      <c r="AP504" s="2">
        <v>3.6678018384709361E-2</v>
      </c>
      <c r="AQ504" s="2">
        <v>3.7004727531473318E-2</v>
      </c>
      <c r="AR504" s="2">
        <v>0.82091639392705384</v>
      </c>
    </row>
    <row r="505" spans="1:44" x14ac:dyDescent="0.25">
      <c r="A505" t="s">
        <v>250</v>
      </c>
      <c r="B505" t="s">
        <v>323</v>
      </c>
      <c r="C505" t="s">
        <v>44</v>
      </c>
      <c r="D505" t="s">
        <v>324</v>
      </c>
      <c r="E505" t="s">
        <v>148</v>
      </c>
      <c r="F505" t="s">
        <v>324</v>
      </c>
      <c r="G505" t="s">
        <v>31</v>
      </c>
      <c r="H505" t="s">
        <v>288</v>
      </c>
      <c r="I505" t="s">
        <v>135</v>
      </c>
      <c r="J505" t="s">
        <v>39</v>
      </c>
      <c r="K505" t="s">
        <v>33</v>
      </c>
      <c r="L505">
        <v>2.5658823529411769</v>
      </c>
      <c r="M505">
        <v>1</v>
      </c>
      <c r="N505">
        <v>7.7071005546982621</v>
      </c>
      <c r="O505">
        <v>5.4757113018011117</v>
      </c>
      <c r="P505">
        <v>-2.0193742854541559</v>
      </c>
      <c r="Q505">
        <v>0.38483263480735791</v>
      </c>
      <c r="R505">
        <v>-1.8625523936223527</v>
      </c>
      <c r="S505" s="2">
        <v>1.996140457225096E-4</v>
      </c>
      <c r="T505" s="2">
        <v>2.6409776964426236E-4</v>
      </c>
      <c r="U505" s="2">
        <v>2.745195037201579E-4</v>
      </c>
      <c r="V505" s="2">
        <v>2.8233326254453555E-4</v>
      </c>
      <c r="W505" s="2">
        <v>2.8823484769176829E-4</v>
      </c>
      <c r="X505" s="2">
        <v>2.928213273647794E-4</v>
      </c>
      <c r="Y505" s="2">
        <v>2.9655671099919237E-4</v>
      </c>
      <c r="Z505" s="2">
        <v>3.0055772104663946E-4</v>
      </c>
      <c r="AA505" s="2">
        <v>3.0309314024075135E-4</v>
      </c>
      <c r="AB505" s="2">
        <v>3.0565949780687424E-4</v>
      </c>
      <c r="AC505" s="2">
        <v>3.0825713318144448E-4</v>
      </c>
      <c r="AD505" s="2">
        <v>3.1088638962997506E-4</v>
      </c>
      <c r="AE505" s="2">
        <v>3.1354761428997047E-4</v>
      </c>
      <c r="AF505" s="2">
        <v>3.1624115821421808E-4</v>
      </c>
      <c r="AG505" s="2">
        <v>3.1896737641471301E-4</v>
      </c>
      <c r="AH505" s="2">
        <v>3.2172662790689932E-4</v>
      </c>
      <c r="AI505" s="2">
        <v>3.245192757545899E-4</v>
      </c>
      <c r="AJ505" s="2">
        <v>3.2734568711522224E-4</v>
      </c>
      <c r="AK505" s="2">
        <v>3.3020623328572748E-4</v>
      </c>
      <c r="AL505" s="2">
        <v>3.3310128974894601E-4</v>
      </c>
      <c r="AM505" s="2">
        <v>3.3603123622036248E-4</v>
      </c>
      <c r="AN505" s="2">
        <v>3.3899645669565291E-4</v>
      </c>
      <c r="AO505" s="2">
        <v>3.419973394985389E-4</v>
      </c>
      <c r="AP505" s="2">
        <v>3.4503427732926814E-4</v>
      </c>
      <c r="AQ505" s="2">
        <v>3.4810766731364727E-4</v>
      </c>
      <c r="AR505" s="2">
        <v>7.7224535893806474E-3</v>
      </c>
    </row>
    <row r="506" spans="1:44" x14ac:dyDescent="0.25">
      <c r="A506" t="s">
        <v>250</v>
      </c>
      <c r="B506" t="s">
        <v>323</v>
      </c>
      <c r="C506" t="s">
        <v>44</v>
      </c>
      <c r="D506" t="s">
        <v>324</v>
      </c>
      <c r="E506" t="s">
        <v>148</v>
      </c>
      <c r="F506" t="s">
        <v>324</v>
      </c>
      <c r="G506" t="s">
        <v>31</v>
      </c>
      <c r="H506" t="s">
        <v>289</v>
      </c>
      <c r="I506" t="s">
        <v>135</v>
      </c>
      <c r="J506" t="s">
        <v>39</v>
      </c>
      <c r="K506" t="s">
        <v>31</v>
      </c>
      <c r="L506">
        <v>2.5658823529411769</v>
      </c>
      <c r="M506">
        <v>1</v>
      </c>
      <c r="N506">
        <v>7.7071005546982621</v>
      </c>
      <c r="O506">
        <v>5.4757113018011117</v>
      </c>
      <c r="P506">
        <v>-2.0193742854541559</v>
      </c>
      <c r="Q506">
        <v>0.38483263480735791</v>
      </c>
      <c r="R506">
        <v>-1.8625523936223527</v>
      </c>
      <c r="S506" s="2">
        <v>2.0168195064908138E-2</v>
      </c>
      <c r="T506" s="2">
        <v>2.668336947489679E-2</v>
      </c>
      <c r="U506" s="2">
        <v>2.7736339294713343E-2</v>
      </c>
      <c r="V506" s="2">
        <v>2.8525809853209291E-2</v>
      </c>
      <c r="W506" s="2">
        <v>2.9122082124585006E-2</v>
      </c>
      <c r="X506" s="2">
        <v>2.9585481462902106E-2</v>
      </c>
      <c r="Y506" s="2">
        <v>2.9962889503045168E-2</v>
      </c>
      <c r="Z506" s="2">
        <v>3.0367135360602201E-2</v>
      </c>
      <c r="AA506" s="2">
        <v>3.0623303851617219E-2</v>
      </c>
      <c r="AB506" s="2">
        <v>3.0882598230489555E-2</v>
      </c>
      <c r="AC506" s="2">
        <v>3.1145052792503711E-2</v>
      </c>
      <c r="AD506" s="2">
        <v>3.1410702219815768E-2</v>
      </c>
      <c r="AE506" s="2">
        <v>3.1679581585794141E-2</v>
      </c>
      <c r="AF506" s="2">
        <v>3.1951726359392148E-2</v>
      </c>
      <c r="AG506" s="2">
        <v>3.2227172409584073E-2</v>
      </c>
      <c r="AH506" s="2">
        <v>3.2505956009836925E-2</v>
      </c>
      <c r="AI506" s="2">
        <v>3.2788113842648202E-2</v>
      </c>
      <c r="AJ506" s="2">
        <v>3.3073683004120079E-2</v>
      </c>
      <c r="AK506" s="2">
        <v>3.3362701008590484E-2</v>
      </c>
      <c r="AL506" s="2">
        <v>3.3655205793324379E-2</v>
      </c>
      <c r="AM506" s="2">
        <v>3.3951235723240138E-2</v>
      </c>
      <c r="AN506" s="2">
        <v>3.4250829595703039E-2</v>
      </c>
      <c r="AO506" s="2">
        <v>3.4554026645372118E-2</v>
      </c>
      <c r="AP506" s="2">
        <v>3.4860866549089486E-2</v>
      </c>
      <c r="AQ506" s="2">
        <v>3.5171389430839375E-2</v>
      </c>
      <c r="AR506" s="2">
        <v>0.78024544719082278</v>
      </c>
    </row>
    <row r="507" spans="1:44" x14ac:dyDescent="0.25">
      <c r="A507" t="s">
        <v>250</v>
      </c>
      <c r="B507" t="s">
        <v>323</v>
      </c>
      <c r="C507" t="s">
        <v>44</v>
      </c>
      <c r="D507" t="s">
        <v>324</v>
      </c>
      <c r="E507" t="s">
        <v>148</v>
      </c>
      <c r="F507" t="s">
        <v>324</v>
      </c>
      <c r="G507" t="s">
        <v>31</v>
      </c>
      <c r="H507" t="s">
        <v>290</v>
      </c>
      <c r="I507" t="s">
        <v>135</v>
      </c>
      <c r="J507" t="s">
        <v>39</v>
      </c>
      <c r="K507" t="s">
        <v>31</v>
      </c>
      <c r="L507">
        <v>2.5658823529411769</v>
      </c>
      <c r="M507">
        <v>1</v>
      </c>
      <c r="N507">
        <v>7.7071005546982621</v>
      </c>
      <c r="O507">
        <v>5.4757113018011117</v>
      </c>
      <c r="P507">
        <v>-2.0193742854541559</v>
      </c>
      <c r="Q507">
        <v>0.38483263480735791</v>
      </c>
      <c r="R507">
        <v>-1.8625523936223527</v>
      </c>
      <c r="S507" s="2">
        <v>2.9204920103581361E-2</v>
      </c>
      <c r="T507" s="2">
        <v>3.8639336395780627E-2</v>
      </c>
      <c r="U507" s="2">
        <v>4.0164108412326469E-2</v>
      </c>
      <c r="V507" s="2">
        <v>4.1307315551627352E-2</v>
      </c>
      <c r="W507" s="2">
        <v>4.2170758412501584E-2</v>
      </c>
      <c r="X507" s="2">
        <v>4.284179221637175E-2</v>
      </c>
      <c r="Y507" s="2">
        <v>4.3388304763644268E-2</v>
      </c>
      <c r="Z507" s="2">
        <v>4.3973680298449086E-2</v>
      </c>
      <c r="AA507" s="2">
        <v>4.4344629720995926E-2</v>
      </c>
      <c r="AB507" s="2">
        <v>4.4720105642064349E-2</v>
      </c>
      <c r="AC507" s="2">
        <v>4.5100157723560796E-2</v>
      </c>
      <c r="AD507" s="2">
        <v>4.5484836187609679E-2</v>
      </c>
      <c r="AE507" s="2">
        <v>4.5874191822837751E-2</v>
      </c>
      <c r="AF507" s="2">
        <v>4.6268275990705279E-2</v>
      </c>
      <c r="AG507" s="2">
        <v>4.666714063192863E-2</v>
      </c>
      <c r="AH507" s="2">
        <v>4.7070838272960755E-2</v>
      </c>
      <c r="AI507" s="2">
        <v>4.7479422032556007E-2</v>
      </c>
      <c r="AJ507" s="2">
        <v>4.7892945628394142E-2</v>
      </c>
      <c r="AK507" s="2">
        <v>4.8311463383795508E-2</v>
      </c>
      <c r="AL507" s="2">
        <v>4.8735030234501903E-2</v>
      </c>
      <c r="AM507" s="2">
        <v>4.9163701735527462E-2</v>
      </c>
      <c r="AN507" s="2">
        <v>4.9597534068101225E-2</v>
      </c>
      <c r="AO507" s="2">
        <v>5.0036584046680245E-2</v>
      </c>
      <c r="AP507" s="2">
        <v>5.048090912603509E-2</v>
      </c>
      <c r="AQ507" s="2">
        <v>5.0930567408427704E-2</v>
      </c>
      <c r="AR507" s="2">
        <v>1.1298485498109649</v>
      </c>
    </row>
    <row r="508" spans="1:44" x14ac:dyDescent="0.25">
      <c r="A508" t="s">
        <v>250</v>
      </c>
      <c r="B508" t="s">
        <v>331</v>
      </c>
      <c r="C508" t="s">
        <v>44</v>
      </c>
      <c r="D508" t="s">
        <v>324</v>
      </c>
      <c r="E508" t="s">
        <v>145</v>
      </c>
      <c r="F508" t="s">
        <v>324</v>
      </c>
      <c r="G508" t="s">
        <v>31</v>
      </c>
      <c r="H508" t="s">
        <v>254</v>
      </c>
      <c r="I508" t="s">
        <v>135</v>
      </c>
      <c r="J508" t="s">
        <v>39</v>
      </c>
      <c r="K508" t="s">
        <v>31</v>
      </c>
      <c r="L508">
        <v>2.6611764705882361</v>
      </c>
      <c r="M508">
        <v>1</v>
      </c>
      <c r="N508">
        <v>7.6840003133975507</v>
      </c>
      <c r="O508">
        <v>5.4114176288701801</v>
      </c>
      <c r="P508">
        <v>-2.0227495107528393</v>
      </c>
      <c r="Q508">
        <v>0.38145740950867718</v>
      </c>
      <c r="R508">
        <v>-1.8625523936223547</v>
      </c>
      <c r="S508" s="2">
        <v>3.3380386854227437E-2</v>
      </c>
      <c r="T508" s="2">
        <v>3.4768664107558474E-2</v>
      </c>
      <c r="U508" s="2">
        <v>3.5684468963629007E-2</v>
      </c>
      <c r="V508" s="2">
        <v>3.6235692280782834E-2</v>
      </c>
      <c r="W508" s="2">
        <v>3.6523746900090769E-2</v>
      </c>
      <c r="X508" s="2">
        <v>3.6632944134693313E-2</v>
      </c>
      <c r="Y508" s="2">
        <v>3.6627158796904917E-2</v>
      </c>
      <c r="Z508" s="2">
        <v>3.6646787884432847E-2</v>
      </c>
      <c r="AA508" s="2">
        <v>3.6482365962791356E-2</v>
      </c>
      <c r="AB508" s="2">
        <v>3.6318681747504966E-2</v>
      </c>
      <c r="AC508" s="2">
        <v>3.6155731928731165E-2</v>
      </c>
      <c r="AD508" s="2">
        <v>3.5993513211477583E-2</v>
      </c>
      <c r="AE508" s="2">
        <v>3.5832022315535422E-2</v>
      </c>
      <c r="AF508" s="2">
        <v>3.5671255975413048E-2</v>
      </c>
      <c r="AG508" s="2">
        <v>6.2924917763410677E-3</v>
      </c>
      <c r="AH508" s="2">
        <v>7.5505324554941218E-4</v>
      </c>
      <c r="AI508" s="2">
        <v>6.869382591470865E-4</v>
      </c>
      <c r="AJ508" s="2">
        <v>4.3307939853657793E-4</v>
      </c>
      <c r="AK508" s="2">
        <v>2.6251921522547027E-4</v>
      </c>
      <c r="AL508" s="2">
        <v>1.5314701959240671E-4</v>
      </c>
      <c r="AM508" s="2">
        <v>8.6066798576563925E-5</v>
      </c>
      <c r="AN508" s="2">
        <v>4.6641600340480767E-5</v>
      </c>
      <c r="AO508" s="2">
        <v>0</v>
      </c>
      <c r="AP508" s="2">
        <v>0</v>
      </c>
      <c r="AQ508" s="2">
        <v>0</v>
      </c>
      <c r="AR508" s="2">
        <v>0.51166935837708227</v>
      </c>
    </row>
    <row r="509" spans="1:44" x14ac:dyDescent="0.25">
      <c r="A509" t="s">
        <v>250</v>
      </c>
      <c r="B509" t="s">
        <v>331</v>
      </c>
      <c r="C509" t="s">
        <v>44</v>
      </c>
      <c r="D509" t="s">
        <v>324</v>
      </c>
      <c r="E509" t="s">
        <v>145</v>
      </c>
      <c r="F509" t="s">
        <v>324</v>
      </c>
      <c r="G509" t="s">
        <v>31</v>
      </c>
      <c r="H509" t="s">
        <v>255</v>
      </c>
      <c r="I509" t="s">
        <v>135</v>
      </c>
      <c r="J509" t="s">
        <v>39</v>
      </c>
      <c r="K509" t="s">
        <v>31</v>
      </c>
      <c r="L509">
        <v>2.6611764705882361</v>
      </c>
      <c r="M509">
        <v>1</v>
      </c>
      <c r="N509">
        <v>7.6840003133975507</v>
      </c>
      <c r="O509">
        <v>5.4114176288701801</v>
      </c>
      <c r="P509">
        <v>-2.0227495107528393</v>
      </c>
      <c r="Q509">
        <v>0.38145740950867718</v>
      </c>
      <c r="R509">
        <v>-1.8625523936223547</v>
      </c>
      <c r="S509" s="2">
        <v>5.6388915330355005E-2</v>
      </c>
      <c r="T509" s="2">
        <v>5.8467826973235971E-2</v>
      </c>
      <c r="U509" s="2">
        <v>5.9735810452225389E-2</v>
      </c>
      <c r="V509" s="2">
        <v>6.038355227579055E-2</v>
      </c>
      <c r="W509" s="2">
        <v>6.0587634022038935E-2</v>
      </c>
      <c r="X509" s="2">
        <v>6.0493270654358784E-2</v>
      </c>
      <c r="Y509" s="2">
        <v>6.0209503641244617E-2</v>
      </c>
      <c r="Z509" s="2">
        <v>5.9968654313610092E-2</v>
      </c>
      <c r="AA509" s="2">
        <v>5.9428936424787603E-2</v>
      </c>
      <c r="AB509" s="2">
        <v>5.8894075996964501E-2</v>
      </c>
      <c r="AC509" s="2">
        <v>5.8364029312991825E-2</v>
      </c>
      <c r="AD509" s="2">
        <v>5.7838753049174893E-2</v>
      </c>
      <c r="AE509" s="2">
        <v>5.7318204271732322E-2</v>
      </c>
      <c r="AF509" s="2">
        <v>3.2996153245953581E-3</v>
      </c>
      <c r="AG509" s="2">
        <v>0</v>
      </c>
      <c r="AH509" s="2">
        <v>1.2754985051290223E-3</v>
      </c>
      <c r="AI509" s="2">
        <v>1.4913254861272005E-3</v>
      </c>
      <c r="AJ509" s="2">
        <v>9.3600829434578885E-4</v>
      </c>
      <c r="AK509" s="2">
        <v>5.6487561910802781E-4</v>
      </c>
      <c r="AL509" s="2">
        <v>3.280968041702497E-4</v>
      </c>
      <c r="AM509" s="2">
        <v>1.8359168205398855E-4</v>
      </c>
      <c r="AN509" s="2">
        <v>9.9068799241259811E-5</v>
      </c>
      <c r="AO509" s="2">
        <v>0</v>
      </c>
      <c r="AP509" s="2">
        <v>0</v>
      </c>
      <c r="AQ509" s="2">
        <v>0</v>
      </c>
      <c r="AR509" s="2">
        <v>0.77625724723328127</v>
      </c>
    </row>
    <row r="510" spans="1:44" x14ac:dyDescent="0.25">
      <c r="A510" t="s">
        <v>250</v>
      </c>
      <c r="B510" t="s">
        <v>331</v>
      </c>
      <c r="C510" t="s">
        <v>44</v>
      </c>
      <c r="D510" t="s">
        <v>324</v>
      </c>
      <c r="E510" t="s">
        <v>148</v>
      </c>
      <c r="F510" t="s">
        <v>324</v>
      </c>
      <c r="G510" t="s">
        <v>31</v>
      </c>
      <c r="H510" t="s">
        <v>254</v>
      </c>
      <c r="I510" t="s">
        <v>135</v>
      </c>
      <c r="J510" t="s">
        <v>39</v>
      </c>
      <c r="K510" t="s">
        <v>31</v>
      </c>
      <c r="L510">
        <v>2.6611764705882361</v>
      </c>
      <c r="M510">
        <v>1</v>
      </c>
      <c r="N510">
        <v>7.6840003133975507</v>
      </c>
      <c r="O510">
        <v>5.4114176288701801</v>
      </c>
      <c r="P510">
        <v>-2.0227495107528393</v>
      </c>
      <c r="Q510">
        <v>0.38145740950867718</v>
      </c>
      <c r="R510">
        <v>-1.8625523936223547</v>
      </c>
      <c r="S510" s="2">
        <v>5.6787549432924496E-3</v>
      </c>
      <c r="T510" s="2">
        <v>8.2920669786273882E-3</v>
      </c>
      <c r="U510" s="2">
        <v>8.6066571274707841E-3</v>
      </c>
      <c r="V510" s="2">
        <v>8.8388089552563429E-3</v>
      </c>
      <c r="W510" s="2">
        <v>9.0106419954654529E-3</v>
      </c>
      <c r="X510" s="2">
        <v>9.1410612078063128E-3</v>
      </c>
      <c r="Y510" s="2">
        <v>9.2447125946874265E-3</v>
      </c>
      <c r="Z510" s="2">
        <v>9.3564767366366604E-3</v>
      </c>
      <c r="AA510" s="2">
        <v>9.422504893088492E-3</v>
      </c>
      <c r="AB510" s="2">
        <v>9.4894480336723853E-3</v>
      </c>
      <c r="AC510" s="2">
        <v>9.5573156362776367E-3</v>
      </c>
      <c r="AD510" s="2">
        <v>9.6261172885939092E-3</v>
      </c>
      <c r="AE510" s="2">
        <v>9.69586268932803E-3</v>
      </c>
      <c r="AF510" s="2">
        <v>9.7665616494324297E-3</v>
      </c>
      <c r="AG510" s="2">
        <v>9.8382240933498882E-3</v>
      </c>
      <c r="AH510" s="2">
        <v>9.910860060267793E-3</v>
      </c>
      <c r="AI510" s="2">
        <v>9.9844797053932378E-3</v>
      </c>
      <c r="AJ510" s="2">
        <v>1.0059093301234773E-2</v>
      </c>
      <c r="AK510" s="2">
        <v>1.0134711238905509E-2</v>
      </c>
      <c r="AL510" s="2">
        <v>1.0211344029437033E-2</v>
      </c>
      <c r="AM510" s="2">
        <v>1.0289002305107509E-2</v>
      </c>
      <c r="AN510" s="2">
        <v>1.0367696820788823E-2</v>
      </c>
      <c r="AO510" s="2">
        <v>1.0447438455304506E-2</v>
      </c>
      <c r="AP510" s="2">
        <v>1.0528238212804804E-2</v>
      </c>
      <c r="AQ510" s="2">
        <v>1.0610107224158439E-2</v>
      </c>
      <c r="AR510" s="2">
        <v>0.23810818617638804</v>
      </c>
    </row>
    <row r="511" spans="1:44" x14ac:dyDescent="0.25">
      <c r="A511" t="s">
        <v>250</v>
      </c>
      <c r="B511" t="s">
        <v>331</v>
      </c>
      <c r="C511" t="s">
        <v>44</v>
      </c>
      <c r="D511" t="s">
        <v>324</v>
      </c>
      <c r="E511" t="s">
        <v>148</v>
      </c>
      <c r="F511" t="s">
        <v>324</v>
      </c>
      <c r="G511" t="s">
        <v>31</v>
      </c>
      <c r="H511" t="s">
        <v>255</v>
      </c>
      <c r="I511" t="s">
        <v>135</v>
      </c>
      <c r="J511" t="s">
        <v>39</v>
      </c>
      <c r="K511" t="s">
        <v>31</v>
      </c>
      <c r="L511">
        <v>2.6611764705882361</v>
      </c>
      <c r="M511">
        <v>1</v>
      </c>
      <c r="N511">
        <v>7.6840003133975507</v>
      </c>
      <c r="O511">
        <v>5.4114176288701801</v>
      </c>
      <c r="P511">
        <v>-2.0227495107528393</v>
      </c>
      <c r="Q511">
        <v>0.38145740950867718</v>
      </c>
      <c r="R511">
        <v>-1.8625523936223547</v>
      </c>
      <c r="S511" s="2">
        <v>9.5930233845866603E-3</v>
      </c>
      <c r="T511" s="2">
        <v>1.8001866475241646E-2</v>
      </c>
      <c r="U511" s="2">
        <v>1.8601444643002459E-2</v>
      </c>
      <c r="V511" s="2">
        <v>1.9018903726684581E-2</v>
      </c>
      <c r="W511" s="2">
        <v>1.9304083423253498E-2</v>
      </c>
      <c r="X511" s="2">
        <v>1.9499073169390629E-2</v>
      </c>
      <c r="Y511" s="2">
        <v>1.9636173917714984E-2</v>
      </c>
      <c r="Z511" s="2">
        <v>1.9789923554404516E-2</v>
      </c>
      <c r="AA511" s="2">
        <v>1.984671732704928E-2</v>
      </c>
      <c r="AB511" s="2">
        <v>1.9905634232462284E-2</v>
      </c>
      <c r="AC511" s="2">
        <v>1.9966684704052991E-2</v>
      </c>
      <c r="AD511" s="2">
        <v>2.0029879412617912E-2</v>
      </c>
      <c r="AE511" s="2">
        <v>2.0095229267921184E-2</v>
      </c>
      <c r="AF511" s="2">
        <v>2.0162745420298903E-2</v>
      </c>
      <c r="AG511" s="2">
        <v>2.0232439262295284E-2</v>
      </c>
      <c r="AH511" s="2">
        <v>2.0304322430321532E-2</v>
      </c>
      <c r="AI511" s="2">
        <v>2.037840680634832E-2</v>
      </c>
      <c r="AJ511" s="2">
        <v>2.0454704519622148E-2</v>
      </c>
      <c r="AK511" s="2">
        <v>2.0533227948412332E-2</v>
      </c>
      <c r="AL511" s="2">
        <v>2.0613989721789232E-2</v>
      </c>
      <c r="AM511" s="2">
        <v>2.069700272142411E-2</v>
      </c>
      <c r="AN511" s="2">
        <v>2.0782280083426842E-2</v>
      </c>
      <c r="AO511" s="2">
        <v>2.0869835200208596E-2</v>
      </c>
      <c r="AP511" s="2">
        <v>2.0959681722374696E-2</v>
      </c>
      <c r="AQ511" s="2">
        <v>2.1051833560648815E-2</v>
      </c>
      <c r="AR511" s="2">
        <v>0.49032910663555346</v>
      </c>
    </row>
    <row r="512" spans="1:44" x14ac:dyDescent="0.25">
      <c r="A512" t="s">
        <v>250</v>
      </c>
      <c r="B512" t="s">
        <v>325</v>
      </c>
      <c r="C512" t="s">
        <v>44</v>
      </c>
      <c r="D512" t="s">
        <v>324</v>
      </c>
      <c r="E512" t="s">
        <v>145</v>
      </c>
      <c r="F512" t="s">
        <v>324</v>
      </c>
      <c r="G512" t="s">
        <v>31</v>
      </c>
      <c r="H512" t="s">
        <v>278</v>
      </c>
      <c r="I512" t="s">
        <v>135</v>
      </c>
      <c r="J512" t="s">
        <v>39</v>
      </c>
      <c r="K512" t="s">
        <v>31</v>
      </c>
      <c r="L512">
        <v>2.080588235294119</v>
      </c>
      <c r="M512">
        <v>1</v>
      </c>
      <c r="N512">
        <v>7.2771517636398224</v>
      </c>
      <c r="O512">
        <v>5.4656142296399581</v>
      </c>
      <c r="P512">
        <v>-1.9973891453265649</v>
      </c>
      <c r="Q512">
        <v>0.40681777493494881</v>
      </c>
      <c r="R512">
        <v>-1.8625523936223536</v>
      </c>
      <c r="S512" s="2">
        <v>5.9885652499028025E-2</v>
      </c>
      <c r="T512" s="2">
        <v>6.2093479684431158E-2</v>
      </c>
      <c r="U512" s="2">
        <v>6.3440092180032603E-2</v>
      </c>
      <c r="V512" s="2">
        <v>6.4128001169376642E-2</v>
      </c>
      <c r="W512" s="2">
        <v>6.4344738243775457E-2</v>
      </c>
      <c r="X512" s="2">
        <v>6.4244523302373888E-2</v>
      </c>
      <c r="Y512" s="2">
        <v>6.3943159592175086E-2</v>
      </c>
      <c r="Z512" s="2">
        <v>6.3687374939201236E-2</v>
      </c>
      <c r="AA512" s="2">
        <v>6.311418856474843E-2</v>
      </c>
      <c r="AB512" s="2">
        <v>6.2546160867665693E-2</v>
      </c>
      <c r="AC512" s="2">
        <v>6.1983245419856711E-2</v>
      </c>
      <c r="AD512" s="2">
        <v>6.1425396211077982E-2</v>
      </c>
      <c r="AE512" s="2">
        <v>6.0872567645178288E-2</v>
      </c>
      <c r="AF512" s="2">
        <v>3.504228012749226E-3</v>
      </c>
      <c r="AG512" s="2">
        <v>0</v>
      </c>
      <c r="AH512" s="2">
        <v>1.3545935365787693E-3</v>
      </c>
      <c r="AI512" s="2">
        <v>1.5838041803418388E-3</v>
      </c>
      <c r="AJ512" s="2">
        <v>9.9405117340899693E-4</v>
      </c>
      <c r="AK512" s="2">
        <v>5.9990416259818639E-4</v>
      </c>
      <c r="AL512" s="2">
        <v>3.4844243918279969E-4</v>
      </c>
      <c r="AM512" s="2">
        <v>1.9497639932929603E-4</v>
      </c>
      <c r="AN512" s="2">
        <v>1.0521216182472519E-4</v>
      </c>
      <c r="AO512" s="2">
        <v>0</v>
      </c>
      <c r="AP512" s="2">
        <v>0</v>
      </c>
      <c r="AQ512" s="2">
        <v>0</v>
      </c>
      <c r="AR512" s="2">
        <v>0.82439379238493493</v>
      </c>
    </row>
    <row r="513" spans="1:44" x14ac:dyDescent="0.25">
      <c r="A513" t="s">
        <v>250</v>
      </c>
      <c r="B513" t="s">
        <v>325</v>
      </c>
      <c r="C513" t="s">
        <v>44</v>
      </c>
      <c r="D513" t="s">
        <v>324</v>
      </c>
      <c r="E513" t="s">
        <v>148</v>
      </c>
      <c r="F513" t="s">
        <v>324</v>
      </c>
      <c r="G513" t="s">
        <v>31</v>
      </c>
      <c r="H513" t="s">
        <v>278</v>
      </c>
      <c r="I513" t="s">
        <v>135</v>
      </c>
      <c r="J513" t="s">
        <v>39</v>
      </c>
      <c r="K513" t="s">
        <v>31</v>
      </c>
      <c r="L513">
        <v>2.080588235294119</v>
      </c>
      <c r="M513">
        <v>1</v>
      </c>
      <c r="N513">
        <v>7.2771517636398224</v>
      </c>
      <c r="O513">
        <v>5.4656142296399581</v>
      </c>
      <c r="P513">
        <v>-1.9973891453265649</v>
      </c>
      <c r="Q513">
        <v>0.40681777493494881</v>
      </c>
      <c r="R513">
        <v>-1.8625523936223536</v>
      </c>
      <c r="S513" s="2">
        <v>1.0187897062016246E-2</v>
      </c>
      <c r="T513" s="2">
        <v>1.9118181538950434E-2</v>
      </c>
      <c r="U513" s="2">
        <v>1.9754940192493697E-2</v>
      </c>
      <c r="V513" s="2">
        <v>2.019828636206418E-2</v>
      </c>
      <c r="W513" s="2">
        <v>2.0501150357735219E-2</v>
      </c>
      <c r="X513" s="2">
        <v>2.0708231627336267E-2</v>
      </c>
      <c r="Y513" s="2">
        <v>2.0853834140231019E-2</v>
      </c>
      <c r="Z513" s="2">
        <v>2.1017117956929805E-2</v>
      </c>
      <c r="AA513" s="2">
        <v>2.1077433572379775E-2</v>
      </c>
      <c r="AB513" s="2">
        <v>2.1140003978340142E-2</v>
      </c>
      <c r="AC513" s="2">
        <v>2.1204840255207295E-2</v>
      </c>
      <c r="AD513" s="2">
        <v>2.127195373548461E-2</v>
      </c>
      <c r="AE513" s="2">
        <v>2.1341356005463118E-2</v>
      </c>
      <c r="AF513" s="2">
        <v>2.1413058906923129E-2</v>
      </c>
      <c r="AG513" s="2">
        <v>2.148707453887239E-2</v>
      </c>
      <c r="AH513" s="2">
        <v>2.1563415259308921E-2</v>
      </c>
      <c r="AI513" s="2">
        <v>2.1642093687016778E-2</v>
      </c>
      <c r="AJ513" s="2">
        <v>2.1723122703390482E-2</v>
      </c>
      <c r="AK513" s="2">
        <v>2.1806515454288578E-2</v>
      </c>
      <c r="AL513" s="2">
        <v>2.1892285351923897E-2</v>
      </c>
      <c r="AM513" s="2">
        <v>2.1980446076773838E-2</v>
      </c>
      <c r="AN513" s="2">
        <v>2.2071011579532809E-2</v>
      </c>
      <c r="AO513" s="2">
        <v>2.2163996083089981E-2</v>
      </c>
      <c r="AP513" s="2">
        <v>2.2259414084538708E-2</v>
      </c>
      <c r="AQ513" s="2">
        <v>2.2357280357221964E-2</v>
      </c>
      <c r="AR513" s="2">
        <v>0.52073494086751326</v>
      </c>
    </row>
    <row r="514" spans="1:44" x14ac:dyDescent="0.25">
      <c r="A514" t="s">
        <v>250</v>
      </c>
      <c r="B514" t="s">
        <v>326</v>
      </c>
      <c r="C514" t="s">
        <v>44</v>
      </c>
      <c r="D514" t="s">
        <v>324</v>
      </c>
      <c r="E514" t="s">
        <v>145</v>
      </c>
      <c r="F514" t="s">
        <v>324</v>
      </c>
      <c r="G514" t="s">
        <v>31</v>
      </c>
      <c r="H514" t="s">
        <v>272</v>
      </c>
      <c r="I514" t="s">
        <v>135</v>
      </c>
      <c r="J514" t="s">
        <v>39</v>
      </c>
      <c r="K514" t="s">
        <v>31</v>
      </c>
      <c r="L514">
        <v>2.0876470588235296</v>
      </c>
      <c r="M514">
        <v>1</v>
      </c>
      <c r="N514">
        <v>7.2865699682034801</v>
      </c>
      <c r="O514">
        <v>5.4674005771508289</v>
      </c>
      <c r="P514">
        <v>-1.9977821848254711</v>
      </c>
      <c r="Q514">
        <v>0.40642473543604118</v>
      </c>
      <c r="R514">
        <v>-1.8625523936223525</v>
      </c>
      <c r="S514" s="2">
        <v>0.13347410025807535</v>
      </c>
      <c r="T514" s="2">
        <v>0.13900940875779175</v>
      </c>
      <c r="U514" s="2">
        <v>0.14265466731839618</v>
      </c>
      <c r="V514" s="2">
        <v>0.14484178399034636</v>
      </c>
      <c r="W514" s="2">
        <v>0.14597657922264021</v>
      </c>
      <c r="X514" s="2">
        <v>0.14639634588856576</v>
      </c>
      <c r="Y514" s="2">
        <v>0.14635656219538587</v>
      </c>
      <c r="Z514" s="2">
        <v>0.14641832628463206</v>
      </c>
      <c r="AA514" s="2">
        <v>0.14574480198372272</v>
      </c>
      <c r="AB514" s="2">
        <v>0.1450743758945976</v>
      </c>
      <c r="AC514" s="2">
        <v>0.14440703376548245</v>
      </c>
      <c r="AD514" s="2">
        <v>0.14374276141016123</v>
      </c>
      <c r="AE514" s="2">
        <v>0.14308154470767448</v>
      </c>
      <c r="AF514" s="2">
        <v>0.14242336960201918</v>
      </c>
      <c r="AG514" s="2">
        <v>2.1101832891466697E-2</v>
      </c>
      <c r="AH514" s="2">
        <v>3.019139743249688E-3</v>
      </c>
      <c r="AI514" s="2">
        <v>2.7664441723699528E-3</v>
      </c>
      <c r="AJ514" s="2">
        <v>1.7439061837584353E-3</v>
      </c>
      <c r="AK514" s="2">
        <v>1.0569845196476458E-3</v>
      </c>
      <c r="AL514" s="2">
        <v>6.1655037118534288E-4</v>
      </c>
      <c r="AM514" s="2">
        <v>3.4645648433323864E-4</v>
      </c>
      <c r="AN514" s="2">
        <v>1.8773275965283301E-4</v>
      </c>
      <c r="AO514" s="2">
        <v>0</v>
      </c>
      <c r="AP514" s="2">
        <v>0</v>
      </c>
      <c r="AQ514" s="2">
        <v>0</v>
      </c>
      <c r="AR514" s="2">
        <v>2.0404407084051557</v>
      </c>
    </row>
    <row r="515" spans="1:44" x14ac:dyDescent="0.25">
      <c r="A515" t="s">
        <v>250</v>
      </c>
      <c r="B515" t="s">
        <v>326</v>
      </c>
      <c r="C515" t="s">
        <v>44</v>
      </c>
      <c r="D515" t="s">
        <v>324</v>
      </c>
      <c r="E515" t="s">
        <v>145</v>
      </c>
      <c r="F515" t="s">
        <v>324</v>
      </c>
      <c r="G515" t="s">
        <v>31</v>
      </c>
      <c r="H515" t="s">
        <v>272</v>
      </c>
      <c r="I515" t="s">
        <v>135</v>
      </c>
      <c r="J515" t="s">
        <v>40</v>
      </c>
      <c r="K515" t="s">
        <v>31</v>
      </c>
      <c r="L515">
        <v>2.0876470588235296</v>
      </c>
      <c r="M515">
        <v>1</v>
      </c>
      <c r="N515">
        <v>7.2865699682034801</v>
      </c>
      <c r="O515">
        <v>4.1746294160814523</v>
      </c>
      <c r="P515">
        <v>-1.9977821848254711</v>
      </c>
      <c r="Q515">
        <v>0.4672931329656026</v>
      </c>
      <c r="R515">
        <v>-1.719552393622352</v>
      </c>
      <c r="S515" s="2">
        <v>1.3202702977853822E-2</v>
      </c>
      <c r="T515" s="2">
        <v>1.3750232677407822E-2</v>
      </c>
      <c r="U515" s="2">
        <v>1.4110806496299163E-2</v>
      </c>
      <c r="V515" s="2">
        <v>1.4327146982894225E-2</v>
      </c>
      <c r="W515" s="2">
        <v>1.4439396208501975E-2</v>
      </c>
      <c r="X515" s="2">
        <v>1.4480917781597456E-2</v>
      </c>
      <c r="Y515" s="2">
        <v>1.4476982544098942E-2</v>
      </c>
      <c r="Z515" s="2">
        <v>1.4483091990976192E-2</v>
      </c>
      <c r="AA515" s="2">
        <v>1.4416469767817698E-2</v>
      </c>
      <c r="AB515" s="2">
        <v>1.4350154006885737E-2</v>
      </c>
      <c r="AC515" s="2">
        <v>1.4284143298454059E-2</v>
      </c>
      <c r="AD515" s="2">
        <v>1.4218436239281169E-2</v>
      </c>
      <c r="AE515" s="2">
        <v>1.4153031432580475E-2</v>
      </c>
      <c r="AF515" s="2">
        <v>1.4087927487990605E-2</v>
      </c>
      <c r="AG515" s="2">
        <v>2.0873055627694159E-3</v>
      </c>
      <c r="AH515" s="2">
        <v>2.9864074904185651E-4</v>
      </c>
      <c r="AI515" s="2">
        <v>2.736451539436793E-4</v>
      </c>
      <c r="AJ515" s="2">
        <v>1.7249994808645979E-4</v>
      </c>
      <c r="AK515" s="2">
        <v>1.0455251346976796E-4</v>
      </c>
      <c r="AL515" s="2">
        <v>6.0986598942464725E-5</v>
      </c>
      <c r="AM515" s="2">
        <v>3.4270034774978696E-5</v>
      </c>
      <c r="AN515" s="2">
        <v>1.8569743943707152E-5</v>
      </c>
      <c r="AO515" s="2">
        <v>0</v>
      </c>
      <c r="AP515" s="2">
        <v>0</v>
      </c>
      <c r="AQ515" s="2">
        <v>0</v>
      </c>
      <c r="AR515" s="2">
        <v>0.20183191019761162</v>
      </c>
    </row>
    <row r="516" spans="1:44" x14ac:dyDescent="0.25">
      <c r="A516" t="s">
        <v>250</v>
      </c>
      <c r="B516" t="s">
        <v>326</v>
      </c>
      <c r="C516" t="s">
        <v>44</v>
      </c>
      <c r="D516" t="s">
        <v>324</v>
      </c>
      <c r="E516" t="s">
        <v>145</v>
      </c>
      <c r="F516" t="s">
        <v>324</v>
      </c>
      <c r="G516" t="s">
        <v>31</v>
      </c>
      <c r="H516" t="s">
        <v>273</v>
      </c>
      <c r="I516" t="s">
        <v>135</v>
      </c>
      <c r="J516" t="s">
        <v>39</v>
      </c>
      <c r="K516" t="s">
        <v>31</v>
      </c>
      <c r="L516">
        <v>2.0876470588235296</v>
      </c>
      <c r="M516">
        <v>1</v>
      </c>
      <c r="N516">
        <v>7.2865699682034801</v>
      </c>
      <c r="O516">
        <v>5.4674005771508289</v>
      </c>
      <c r="P516">
        <v>-1.9977821848254711</v>
      </c>
      <c r="Q516">
        <v>0.40642473543604118</v>
      </c>
      <c r="R516">
        <v>-1.8625523936223525</v>
      </c>
      <c r="S516" s="2">
        <v>4.0143209571431249E-2</v>
      </c>
      <c r="T516" s="2">
        <v>4.1807989845034886E-2</v>
      </c>
      <c r="U516" s="2">
        <v>4.2904325224389105E-2</v>
      </c>
      <c r="V516" s="2">
        <v>4.3562114883577717E-2</v>
      </c>
      <c r="W516" s="2">
        <v>4.39034119797376E-2</v>
      </c>
      <c r="X516" s="2">
        <v>4.4029659552927966E-2</v>
      </c>
      <c r="Y516" s="2">
        <v>4.4017694346721238E-2</v>
      </c>
      <c r="Z516" s="2">
        <v>4.4036270300961078E-2</v>
      </c>
      <c r="AA516" s="2">
        <v>4.3833703457576659E-2</v>
      </c>
      <c r="AB516" s="2">
        <v>4.3632068421671805E-2</v>
      </c>
      <c r="AC516" s="2">
        <v>4.3431360906932108E-2</v>
      </c>
      <c r="AD516" s="2">
        <v>4.3231576646760209E-2</v>
      </c>
      <c r="AE516" s="2">
        <v>4.3032711394185123E-2</v>
      </c>
      <c r="AF516" s="2">
        <v>4.2834760921771867E-2</v>
      </c>
      <c r="AG516" s="2">
        <v>6.3465144059074467E-3</v>
      </c>
      <c r="AH516" s="2">
        <v>9.0802604553520249E-4</v>
      </c>
      <c r="AI516" s="2">
        <v>8.3202619807428292E-4</v>
      </c>
      <c r="AJ516" s="2">
        <v>5.2449120295376293E-4</v>
      </c>
      <c r="AK516" s="2">
        <v>3.1789501486755652E-4</v>
      </c>
      <c r="AL516" s="2">
        <v>1.8543156098435248E-4</v>
      </c>
      <c r="AM516" s="2">
        <v>1.0419905607963898E-4</v>
      </c>
      <c r="AN516" s="2">
        <v>5.6461856641816036E-5</v>
      </c>
      <c r="AO516" s="2">
        <v>0</v>
      </c>
      <c r="AP516" s="2">
        <v>0</v>
      </c>
      <c r="AQ516" s="2">
        <v>0</v>
      </c>
      <c r="AR516" s="2">
        <v>0.61367590279472273</v>
      </c>
    </row>
    <row r="517" spans="1:44" x14ac:dyDescent="0.25">
      <c r="A517" t="s">
        <v>250</v>
      </c>
      <c r="B517" t="s">
        <v>326</v>
      </c>
      <c r="C517" t="s">
        <v>44</v>
      </c>
      <c r="D517" t="s">
        <v>324</v>
      </c>
      <c r="E517" t="s">
        <v>145</v>
      </c>
      <c r="F517" t="s">
        <v>324</v>
      </c>
      <c r="G517" t="s">
        <v>31</v>
      </c>
      <c r="H517" t="s">
        <v>274</v>
      </c>
      <c r="I517" t="s">
        <v>135</v>
      </c>
      <c r="J517" t="s">
        <v>39</v>
      </c>
      <c r="K517" t="s">
        <v>31</v>
      </c>
      <c r="L517">
        <v>2.0876470588235296</v>
      </c>
      <c r="M517">
        <v>1</v>
      </c>
      <c r="N517">
        <v>7.2865699682034801</v>
      </c>
      <c r="O517">
        <v>5.4674005771508289</v>
      </c>
      <c r="P517">
        <v>-1.9977821848254711</v>
      </c>
      <c r="Q517">
        <v>0.40642473543604118</v>
      </c>
      <c r="R517">
        <v>-1.8625523936223525</v>
      </c>
      <c r="S517" s="2">
        <v>6.3192600327294124E-2</v>
      </c>
      <c r="T517" s="2">
        <v>6.5813262590868241E-2</v>
      </c>
      <c r="U517" s="2">
        <v>6.7539090799221269E-2</v>
      </c>
      <c r="V517" s="2">
        <v>6.8574569513462302E-2</v>
      </c>
      <c r="W517" s="2">
        <v>6.9111832259036221E-2</v>
      </c>
      <c r="X517" s="2">
        <v>6.9310568546445309E-2</v>
      </c>
      <c r="Y517" s="2">
        <v>6.9291733169261252E-2</v>
      </c>
      <c r="Z517" s="2">
        <v>6.9320975047638941E-2</v>
      </c>
      <c r="AA517" s="2">
        <v>6.9002098562419789E-2</v>
      </c>
      <c r="AB517" s="2">
        <v>6.8684688909032662E-2</v>
      </c>
      <c r="AC517" s="2">
        <v>6.836873934005111E-2</v>
      </c>
      <c r="AD517" s="2">
        <v>6.8054243139086867E-2</v>
      </c>
      <c r="AE517" s="2">
        <v>6.7741193620647067E-2</v>
      </c>
      <c r="AF517" s="2">
        <v>6.7429584129992087E-2</v>
      </c>
      <c r="AG517" s="2">
        <v>9.9905501479723036E-3</v>
      </c>
      <c r="AH517" s="2">
        <v>1.4293955962882319E-3</v>
      </c>
      <c r="AI517" s="2">
        <v>1.3097582270592705E-3</v>
      </c>
      <c r="AJ517" s="2">
        <v>8.2564307431527359E-4</v>
      </c>
      <c r="AK517" s="2">
        <v>5.0042367899902557E-4</v>
      </c>
      <c r="AL517" s="2">
        <v>2.9190248229901943E-4</v>
      </c>
      <c r="AM517" s="2">
        <v>1.640279732392885E-4</v>
      </c>
      <c r="AN517" s="2">
        <v>8.8881073003251412E-5</v>
      </c>
      <c r="AO517" s="2">
        <v>0</v>
      </c>
      <c r="AP517" s="2">
        <v>0</v>
      </c>
      <c r="AQ517" s="2">
        <v>0</v>
      </c>
      <c r="AR517" s="2">
        <v>0.96603576220763299</v>
      </c>
    </row>
    <row r="518" spans="1:44" x14ac:dyDescent="0.25">
      <c r="A518" t="s">
        <v>250</v>
      </c>
      <c r="B518" t="s">
        <v>326</v>
      </c>
      <c r="C518" t="s">
        <v>44</v>
      </c>
      <c r="D518" t="s">
        <v>324</v>
      </c>
      <c r="E518" t="s">
        <v>145</v>
      </c>
      <c r="F518" t="s">
        <v>324</v>
      </c>
      <c r="G518" t="s">
        <v>31</v>
      </c>
      <c r="H518" t="s">
        <v>274</v>
      </c>
      <c r="I518" t="s">
        <v>135</v>
      </c>
      <c r="J518" t="s">
        <v>39</v>
      </c>
      <c r="K518" t="s">
        <v>33</v>
      </c>
      <c r="L518">
        <v>2.0876470588235296</v>
      </c>
      <c r="M518">
        <v>1</v>
      </c>
      <c r="N518">
        <v>7.2865699682034801</v>
      </c>
      <c r="O518">
        <v>5.4674005771508289</v>
      </c>
      <c r="P518">
        <v>-1.9977821848254711</v>
      </c>
      <c r="Q518">
        <v>0.40642473543604118</v>
      </c>
      <c r="R518">
        <v>-1.8625523936223525</v>
      </c>
      <c r="S518" s="2">
        <v>2.0332109349784761E-4</v>
      </c>
      <c r="T518" s="2">
        <v>2.1175302879341572E-4</v>
      </c>
      <c r="U518" s="2">
        <v>2.1730585106523811E-4</v>
      </c>
      <c r="V518" s="2">
        <v>2.2063748583549294E-4</v>
      </c>
      <c r="W518" s="2">
        <v>2.223661193837245E-4</v>
      </c>
      <c r="X518" s="2">
        <v>2.2300554993515663E-4</v>
      </c>
      <c r="Y518" s="2">
        <v>2.2294494743635668E-4</v>
      </c>
      <c r="Z518" s="2">
        <v>2.2303903267192034E-4</v>
      </c>
      <c r="AA518" s="2">
        <v>2.2201305312162948E-4</v>
      </c>
      <c r="AB518" s="2">
        <v>2.2099179307727001E-4</v>
      </c>
      <c r="AC518" s="2">
        <v>2.1997523082911461E-4</v>
      </c>
      <c r="AD518" s="2">
        <v>2.1896334476730062E-4</v>
      </c>
      <c r="AE518" s="2">
        <v>2.1795611338137102E-4</v>
      </c>
      <c r="AF518" s="2">
        <v>2.1695351525981673E-4</v>
      </c>
      <c r="AG518" s="2">
        <v>3.2144421502043828E-5</v>
      </c>
      <c r="AH518" s="2">
        <v>4.5990554934135884E-6</v>
      </c>
      <c r="AI518" s="2">
        <v>4.2141243367772978E-6</v>
      </c>
      <c r="AJ518" s="2">
        <v>2.6564922449662216E-6</v>
      </c>
      <c r="AK518" s="2">
        <v>1.6101044916544057E-6</v>
      </c>
      <c r="AL518" s="2">
        <v>9.3919116460440573E-7</v>
      </c>
      <c r="AM518" s="2">
        <v>5.277571536938886E-7</v>
      </c>
      <c r="AN518" s="2">
        <v>2.8597330796146582E-7</v>
      </c>
      <c r="AO518" s="2">
        <v>0</v>
      </c>
      <c r="AP518" s="2">
        <v>0</v>
      </c>
      <c r="AQ518" s="2">
        <v>0</v>
      </c>
      <c r="AR518" s="2">
        <v>3.1082032787507693E-3</v>
      </c>
    </row>
    <row r="519" spans="1:44" x14ac:dyDescent="0.25">
      <c r="A519" t="s">
        <v>250</v>
      </c>
      <c r="B519" t="s">
        <v>326</v>
      </c>
      <c r="C519" t="s">
        <v>44</v>
      </c>
      <c r="D519" t="s">
        <v>324</v>
      </c>
      <c r="E519" t="s">
        <v>145</v>
      </c>
      <c r="F519" t="s">
        <v>324</v>
      </c>
      <c r="G519" t="s">
        <v>31</v>
      </c>
      <c r="H519" t="s">
        <v>275</v>
      </c>
      <c r="I519" t="s">
        <v>135</v>
      </c>
      <c r="J519" t="s">
        <v>39</v>
      </c>
      <c r="K519" t="s">
        <v>31</v>
      </c>
      <c r="L519">
        <v>2.0876470588235296</v>
      </c>
      <c r="M519">
        <v>1</v>
      </c>
      <c r="N519">
        <v>7.2865699682034801</v>
      </c>
      <c r="O519">
        <v>5.4674005771508289</v>
      </c>
      <c r="P519">
        <v>-1.9977821848254711</v>
      </c>
      <c r="Q519">
        <v>0.40642473543604118</v>
      </c>
      <c r="R519">
        <v>-1.8625523936223525</v>
      </c>
      <c r="S519" s="2">
        <v>9.6538539228734704E-2</v>
      </c>
      <c r="T519" s="2">
        <v>0.10054209194577719</v>
      </c>
      <c r="U519" s="2">
        <v>0.1031786179524809</v>
      </c>
      <c r="V519" s="2">
        <v>0.10476050573613808</v>
      </c>
      <c r="W519" s="2">
        <v>0.10558127526249234</v>
      </c>
      <c r="X519" s="2">
        <v>0.10588488218448705</v>
      </c>
      <c r="Y519" s="2">
        <v>0.10585610761610798</v>
      </c>
      <c r="Z519" s="2">
        <v>0.10590078006522803</v>
      </c>
      <c r="AA519" s="2">
        <v>0.10541363647692795</v>
      </c>
      <c r="AB519" s="2">
        <v>0.10492873374913408</v>
      </c>
      <c r="AC519" s="2">
        <v>0.10444606157388808</v>
      </c>
      <c r="AD519" s="2">
        <v>0.10396560969064819</v>
      </c>
      <c r="AE519" s="2">
        <v>0.10348736788607123</v>
      </c>
      <c r="AF519" s="2">
        <v>0.10301132599379527</v>
      </c>
      <c r="AG519" s="2">
        <v>1.5262437569926849E-2</v>
      </c>
      <c r="AH519" s="2">
        <v>2.1836696406058614E-3</v>
      </c>
      <c r="AI519" s="2">
        <v>2.0009011391877328E-3</v>
      </c>
      <c r="AJ519" s="2">
        <v>1.2613245206858745E-3</v>
      </c>
      <c r="AK519" s="2">
        <v>7.6449094855761683E-4</v>
      </c>
      <c r="AL519" s="2">
        <v>4.4593574393895114E-4</v>
      </c>
      <c r="AM519" s="2">
        <v>2.5058346779775737E-4</v>
      </c>
      <c r="AN519" s="2">
        <v>1.3578249523481646E-4</v>
      </c>
      <c r="AO519" s="2">
        <v>0</v>
      </c>
      <c r="AP519" s="2">
        <v>0</v>
      </c>
      <c r="AQ519" s="2">
        <v>0</v>
      </c>
      <c r="AR519" s="2">
        <v>1.4758006608878467</v>
      </c>
    </row>
    <row r="520" spans="1:44" x14ac:dyDescent="0.25">
      <c r="A520" t="s">
        <v>250</v>
      </c>
      <c r="B520" t="s">
        <v>326</v>
      </c>
      <c r="C520" t="s">
        <v>44</v>
      </c>
      <c r="D520" t="s">
        <v>324</v>
      </c>
      <c r="E520" t="s">
        <v>148</v>
      </c>
      <c r="F520" t="s">
        <v>324</v>
      </c>
      <c r="G520" t="s">
        <v>31</v>
      </c>
      <c r="H520" t="s">
        <v>272</v>
      </c>
      <c r="I520" t="s">
        <v>135</v>
      </c>
      <c r="J520" t="s">
        <v>39</v>
      </c>
      <c r="K520" t="s">
        <v>31</v>
      </c>
      <c r="L520">
        <v>2.0876470588235296</v>
      </c>
      <c r="M520">
        <v>1</v>
      </c>
      <c r="N520">
        <v>7.2865699682034801</v>
      </c>
      <c r="O520">
        <v>5.4674005771508289</v>
      </c>
      <c r="P520">
        <v>-1.9977821848254711</v>
      </c>
      <c r="Q520">
        <v>0.40642473543604118</v>
      </c>
      <c r="R520">
        <v>-1.8625523936223525</v>
      </c>
      <c r="S520" s="2">
        <v>2.2706947943776319E-2</v>
      </c>
      <c r="T520" s="2">
        <v>3.3393889573725535E-2</v>
      </c>
      <c r="U520" s="2">
        <v>3.4656930430776958E-2</v>
      </c>
      <c r="V520" s="2">
        <v>3.5587811085771151E-2</v>
      </c>
      <c r="W520" s="2">
        <v>3.6275695613980571E-2</v>
      </c>
      <c r="X520" s="2">
        <v>3.6796766947410263E-2</v>
      </c>
      <c r="Y520" s="2">
        <v>3.7210031279558867E-2</v>
      </c>
      <c r="Z520" s="2">
        <v>3.7655904322314734E-2</v>
      </c>
      <c r="AA520" s="2">
        <v>3.791768122112428E-2</v>
      </c>
      <c r="AB520" s="2">
        <v>3.8183132105739238E-2</v>
      </c>
      <c r="AC520" s="2">
        <v>3.8452294781032785E-2</v>
      </c>
      <c r="AD520" s="2">
        <v>3.872520749145613E-2</v>
      </c>
      <c r="AE520" s="2">
        <v>3.900190892590058E-2</v>
      </c>
      <c r="AF520" s="2">
        <v>3.9282438222601024E-2</v>
      </c>
      <c r="AG520" s="2">
        <v>3.9566834974115672E-2</v>
      </c>
      <c r="AH520" s="2">
        <v>3.9855139232337904E-2</v>
      </c>
      <c r="AI520" s="2">
        <v>4.0147391513587878E-2</v>
      </c>
      <c r="AJ520" s="2">
        <v>4.0443632803741823E-2</v>
      </c>
      <c r="AK520" s="2">
        <v>4.074390456343184E-2</v>
      </c>
      <c r="AL520" s="2">
        <v>4.1048248733303178E-2</v>
      </c>
      <c r="AM520" s="2">
        <v>4.1356707739321263E-2</v>
      </c>
      <c r="AN520" s="2">
        <v>4.1669324498149016E-2</v>
      </c>
      <c r="AO520" s="2">
        <v>4.1986142422583847E-2</v>
      </c>
      <c r="AP520" s="2">
        <v>4.2307205427046822E-2</v>
      </c>
      <c r="AQ520" s="2">
        <v>4.2632557933145965E-2</v>
      </c>
      <c r="AR520" s="2">
        <v>0.95760372978593389</v>
      </c>
    </row>
    <row r="521" spans="1:44" x14ac:dyDescent="0.25">
      <c r="A521" t="s">
        <v>250</v>
      </c>
      <c r="B521" t="s">
        <v>326</v>
      </c>
      <c r="C521" t="s">
        <v>44</v>
      </c>
      <c r="D521" t="s">
        <v>324</v>
      </c>
      <c r="E521" t="s">
        <v>148</v>
      </c>
      <c r="F521" t="s">
        <v>324</v>
      </c>
      <c r="G521" t="s">
        <v>31</v>
      </c>
      <c r="H521" t="s">
        <v>272</v>
      </c>
      <c r="I521" t="s">
        <v>135</v>
      </c>
      <c r="J521" t="s">
        <v>40</v>
      </c>
      <c r="K521" t="s">
        <v>31</v>
      </c>
      <c r="L521">
        <v>2.0876470588235296</v>
      </c>
      <c r="M521">
        <v>1</v>
      </c>
      <c r="N521">
        <v>7.2865699682034801</v>
      </c>
      <c r="O521">
        <v>4.1746294160814523</v>
      </c>
      <c r="P521">
        <v>-1.9977821848254711</v>
      </c>
      <c r="Q521">
        <v>0.4672931329656026</v>
      </c>
      <c r="R521">
        <v>-1.719552393622352</v>
      </c>
      <c r="S521" s="2">
        <v>2.2460768692623527E-3</v>
      </c>
      <c r="T521" s="2">
        <v>3.3031846962420204E-3</v>
      </c>
      <c r="U521" s="2">
        <v>3.4281194457724267E-3</v>
      </c>
      <c r="V521" s="2">
        <v>3.5201982893231045E-3</v>
      </c>
      <c r="W521" s="2">
        <v>3.5882409664525277E-3</v>
      </c>
      <c r="X521" s="2">
        <v>3.6397831760066582E-3</v>
      </c>
      <c r="Y521" s="2">
        <v>3.6806615652832577E-3</v>
      </c>
      <c r="Z521" s="2">
        <v>3.7247654726177359E-3</v>
      </c>
      <c r="AA521" s="2">
        <v>3.750659354912346E-3</v>
      </c>
      <c r="AB521" s="2">
        <v>3.7769166526052419E-3</v>
      </c>
      <c r="AC521" s="2">
        <v>3.8035411051975682E-3</v>
      </c>
      <c r="AD521" s="2">
        <v>3.8305364956714035E-3</v>
      </c>
      <c r="AE521" s="2">
        <v>3.8579066509707854E-3</v>
      </c>
      <c r="AF521" s="2">
        <v>3.8856554424873424E-3</v>
      </c>
      <c r="AG521" s="2">
        <v>3.9137867865522528E-3</v>
      </c>
      <c r="AH521" s="2">
        <v>3.9423046449323148E-3</v>
      </c>
      <c r="AI521" s="2">
        <v>3.9712130253332888E-3</v>
      </c>
      <c r="AJ521" s="2">
        <v>4.0005159819077518E-3</v>
      </c>
      <c r="AK521" s="2">
        <v>4.0302176157689992E-3</v>
      </c>
      <c r="AL521" s="2">
        <v>4.060322075511269E-3</v>
      </c>
      <c r="AM521" s="2">
        <v>4.0908335577345932E-3</v>
      </c>
      <c r="AN521" s="2">
        <v>4.1217563075768614E-3</v>
      </c>
      <c r="AO521" s="2">
        <v>4.1530946192514717E-3</v>
      </c>
      <c r="AP521" s="2">
        <v>4.1848528365903024E-3</v>
      </c>
      <c r="AQ521" s="2">
        <v>4.2170353535941106E-3</v>
      </c>
      <c r="AR521" s="2">
        <v>9.472217898755797E-2</v>
      </c>
    </row>
    <row r="522" spans="1:44" x14ac:dyDescent="0.25">
      <c r="A522" t="s">
        <v>250</v>
      </c>
      <c r="B522" t="s">
        <v>326</v>
      </c>
      <c r="C522" t="s">
        <v>44</v>
      </c>
      <c r="D522" t="s">
        <v>324</v>
      </c>
      <c r="E522" t="s">
        <v>148</v>
      </c>
      <c r="F522" t="s">
        <v>324</v>
      </c>
      <c r="G522" t="s">
        <v>31</v>
      </c>
      <c r="H522" t="s">
        <v>273</v>
      </c>
      <c r="I522" t="s">
        <v>135</v>
      </c>
      <c r="J522" t="s">
        <v>39</v>
      </c>
      <c r="K522" t="s">
        <v>31</v>
      </c>
      <c r="L522">
        <v>2.0876470588235296</v>
      </c>
      <c r="M522">
        <v>1</v>
      </c>
      <c r="N522">
        <v>7.2865699682034801</v>
      </c>
      <c r="O522">
        <v>5.4674005771508289</v>
      </c>
      <c r="P522">
        <v>-1.9977821848254711</v>
      </c>
      <c r="Q522">
        <v>0.40642473543604118</v>
      </c>
      <c r="R522">
        <v>-1.8625523936223525</v>
      </c>
      <c r="S522" s="2">
        <v>6.8292632673464578E-3</v>
      </c>
      <c r="T522" s="2">
        <v>1.0043430935075343E-2</v>
      </c>
      <c r="U522" s="2">
        <v>1.0423298742566409E-2</v>
      </c>
      <c r="V522" s="2">
        <v>1.0703267194477319E-2</v>
      </c>
      <c r="W522" s="2">
        <v>1.0910152970245356E-2</v>
      </c>
      <c r="X522" s="2">
        <v>1.1066868585477821E-2</v>
      </c>
      <c r="Y522" s="2">
        <v>1.1191160539210867E-2</v>
      </c>
      <c r="Z522" s="2">
        <v>1.1325259776163684E-2</v>
      </c>
      <c r="AA522" s="2">
        <v>1.1403990892459569E-2</v>
      </c>
      <c r="AB522" s="2">
        <v>1.1483826984041372E-2</v>
      </c>
      <c r="AC522" s="2">
        <v>1.1564779420972856E-2</v>
      </c>
      <c r="AD522" s="2">
        <v>1.1646859705522846E-2</v>
      </c>
      <c r="AE522" s="2">
        <v>1.1730079473628507E-2</v>
      </c>
      <c r="AF522" s="2">
        <v>1.1814450496371051E-2</v>
      </c>
      <c r="AG522" s="2">
        <v>1.1899984681470492E-2</v>
      </c>
      <c r="AH522" s="2">
        <v>1.1986694074796897E-2</v>
      </c>
      <c r="AI522" s="2">
        <v>1.2074590861898393E-2</v>
      </c>
      <c r="AJ522" s="2">
        <v>1.2163687369545685E-2</v>
      </c>
      <c r="AK522" s="2">
        <v>1.2253996067295197E-2</v>
      </c>
      <c r="AL522" s="2">
        <v>1.2345529569071166E-2</v>
      </c>
      <c r="AM522" s="2">
        <v>1.2438300634759701E-2</v>
      </c>
      <c r="AN522" s="2">
        <v>1.2532322171828831E-2</v>
      </c>
      <c r="AO522" s="2">
        <v>1.2627607236961063E-2</v>
      </c>
      <c r="AP522" s="2">
        <v>1.2724169037706476E-2</v>
      </c>
      <c r="AQ522" s="2">
        <v>1.2822020934154318E-2</v>
      </c>
      <c r="AR522" s="2">
        <v>0.28800559162304767</v>
      </c>
    </row>
    <row r="523" spans="1:44" x14ac:dyDescent="0.25">
      <c r="A523" t="s">
        <v>250</v>
      </c>
      <c r="B523" t="s">
        <v>326</v>
      </c>
      <c r="C523" t="s">
        <v>44</v>
      </c>
      <c r="D523" t="s">
        <v>324</v>
      </c>
      <c r="E523" t="s">
        <v>148</v>
      </c>
      <c r="F523" t="s">
        <v>324</v>
      </c>
      <c r="G523" t="s">
        <v>31</v>
      </c>
      <c r="H523" t="s">
        <v>274</v>
      </c>
      <c r="I523" t="s">
        <v>135</v>
      </c>
      <c r="J523" t="s">
        <v>39</v>
      </c>
      <c r="K523" t="s">
        <v>31</v>
      </c>
      <c r="L523">
        <v>2.0876470588235296</v>
      </c>
      <c r="M523">
        <v>1</v>
      </c>
      <c r="N523">
        <v>7.2865699682034801</v>
      </c>
      <c r="O523">
        <v>5.4674005771508289</v>
      </c>
      <c r="P523">
        <v>-1.9977821848254711</v>
      </c>
      <c r="Q523">
        <v>0.40642473543604118</v>
      </c>
      <c r="R523">
        <v>-1.8625523936223525</v>
      </c>
      <c r="S523" s="2">
        <v>1.0750483301923705E-2</v>
      </c>
      <c r="T523" s="2">
        <v>1.5810158773320367E-2</v>
      </c>
      <c r="U523" s="2">
        <v>1.6408138725403407E-2</v>
      </c>
      <c r="V523" s="2">
        <v>1.6848859202782531E-2</v>
      </c>
      <c r="W523" s="2">
        <v>1.7174534460966857E-2</v>
      </c>
      <c r="X523" s="2">
        <v>1.7421232902475332E-2</v>
      </c>
      <c r="Y523" s="2">
        <v>1.7616890694664811E-2</v>
      </c>
      <c r="Z523" s="2">
        <v>1.7827986906837245E-2</v>
      </c>
      <c r="AA523" s="2">
        <v>1.7951923782301624E-2</v>
      </c>
      <c r="AB523" s="2">
        <v>1.8077600086734952E-2</v>
      </c>
      <c r="AC523" s="2">
        <v>1.8205033718652775E-2</v>
      </c>
      <c r="AD523" s="2">
        <v>1.83342427846864E-2</v>
      </c>
      <c r="AE523" s="2">
        <v>1.8465245601884738E-2</v>
      </c>
      <c r="AF523" s="2">
        <v>1.8598060700036549E-2</v>
      </c>
      <c r="AG523" s="2">
        <v>1.8732706824027067E-2</v>
      </c>
      <c r="AH523" s="2">
        <v>1.886920293621085E-2</v>
      </c>
      <c r="AI523" s="2">
        <v>1.9007568218824523E-2</v>
      </c>
      <c r="AJ523" s="2">
        <v>1.9147822076411112E-2</v>
      </c>
      <c r="AK523" s="2">
        <v>1.928998413828667E-2</v>
      </c>
      <c r="AL523" s="2">
        <v>1.9434074261025492E-2</v>
      </c>
      <c r="AM523" s="2">
        <v>1.9580112530974067E-2</v>
      </c>
      <c r="AN523" s="2">
        <v>1.9728119266798044E-2</v>
      </c>
      <c r="AO523" s="2">
        <v>1.9878115022053944E-2</v>
      </c>
      <c r="AP523" s="2">
        <v>2.0030120587790641E-2</v>
      </c>
      <c r="AQ523" s="2">
        <v>2.0184156995180752E-2</v>
      </c>
      <c r="AR523" s="2">
        <v>0.45337237450025453</v>
      </c>
    </row>
    <row r="524" spans="1:44" x14ac:dyDescent="0.25">
      <c r="A524" t="s">
        <v>250</v>
      </c>
      <c r="B524" t="s">
        <v>326</v>
      </c>
      <c r="C524" t="s">
        <v>44</v>
      </c>
      <c r="D524" t="s">
        <v>324</v>
      </c>
      <c r="E524" t="s">
        <v>148</v>
      </c>
      <c r="F524" t="s">
        <v>324</v>
      </c>
      <c r="G524" t="s">
        <v>31</v>
      </c>
      <c r="H524" t="s">
        <v>274</v>
      </c>
      <c r="I524" t="s">
        <v>135</v>
      </c>
      <c r="J524" t="s">
        <v>39</v>
      </c>
      <c r="K524" t="s">
        <v>33</v>
      </c>
      <c r="L524">
        <v>2.0876470588235296</v>
      </c>
      <c r="M524">
        <v>1</v>
      </c>
      <c r="N524">
        <v>7.2865699682034801</v>
      </c>
      <c r="O524">
        <v>5.4674005771508289</v>
      </c>
      <c r="P524">
        <v>-1.9977821848254711</v>
      </c>
      <c r="Q524">
        <v>0.40642473543604118</v>
      </c>
      <c r="R524">
        <v>-1.8625523936223525</v>
      </c>
      <c r="S524" s="2">
        <v>3.4589493220037508E-5</v>
      </c>
      <c r="T524" s="2">
        <v>5.0868911130685678E-5</v>
      </c>
      <c r="U524" s="2">
        <v>5.2792901235818862E-5</v>
      </c>
      <c r="V524" s="2">
        <v>5.4210911713683408E-5</v>
      </c>
      <c r="W524" s="2">
        <v>5.5258766197851373E-5</v>
      </c>
      <c r="X524" s="2">
        <v>5.6052514146693629E-5</v>
      </c>
      <c r="Y524" s="2">
        <v>5.6682039693249031E-5</v>
      </c>
      <c r="Z524" s="2">
        <v>5.736123808783735E-5</v>
      </c>
      <c r="AA524" s="2">
        <v>5.7760002831076203E-5</v>
      </c>
      <c r="AB524" s="2">
        <v>5.816436415679787E-5</v>
      </c>
      <c r="AC524" s="2">
        <v>5.8574379653165627E-5</v>
      </c>
      <c r="AD524" s="2">
        <v>5.899010757794986E-5</v>
      </c>
      <c r="AE524" s="2">
        <v>5.9411606865937823E-5</v>
      </c>
      <c r="AF524" s="2">
        <v>5.9838937136403003E-5</v>
      </c>
      <c r="AG524" s="2">
        <v>6.0272158700686898E-5</v>
      </c>
      <c r="AH524" s="2">
        <v>6.0711332569837272E-5</v>
      </c>
      <c r="AI524" s="2">
        <v>6.1156520462366898E-5</v>
      </c>
      <c r="AJ524" s="2">
        <v>6.1607784812054952E-5</v>
      </c>
      <c r="AK524" s="2">
        <v>6.2065188775885355E-5</v>
      </c>
      <c r="AL524" s="2">
        <v>6.2528796242040233E-5</v>
      </c>
      <c r="AM524" s="2">
        <v>6.2998671837991336E-5</v>
      </c>
      <c r="AN524" s="2">
        <v>6.3474880938692229E-5</v>
      </c>
      <c r="AO524" s="2">
        <v>6.3957489674852598E-5</v>
      </c>
      <c r="AP524" s="2">
        <v>6.4446564941311545E-5</v>
      </c>
      <c r="AQ524" s="2">
        <v>6.4942174405503375E-5</v>
      </c>
      <c r="AR524" s="2">
        <v>1.45871773700841E-3</v>
      </c>
    </row>
    <row r="525" spans="1:44" x14ac:dyDescent="0.25">
      <c r="A525" t="s">
        <v>250</v>
      </c>
      <c r="B525" t="s">
        <v>326</v>
      </c>
      <c r="C525" t="s">
        <v>44</v>
      </c>
      <c r="D525" t="s">
        <v>324</v>
      </c>
      <c r="E525" t="s">
        <v>148</v>
      </c>
      <c r="F525" t="s">
        <v>324</v>
      </c>
      <c r="G525" t="s">
        <v>31</v>
      </c>
      <c r="H525" t="s">
        <v>275</v>
      </c>
      <c r="I525" t="s">
        <v>135</v>
      </c>
      <c r="J525" t="s">
        <v>39</v>
      </c>
      <c r="K525" t="s">
        <v>31</v>
      </c>
      <c r="L525">
        <v>2.0876470588235296</v>
      </c>
      <c r="M525">
        <v>1</v>
      </c>
      <c r="N525">
        <v>7.2865699682034801</v>
      </c>
      <c r="O525">
        <v>5.4674005771508289</v>
      </c>
      <c r="P525">
        <v>-1.9977821848254711</v>
      </c>
      <c r="Q525">
        <v>0.40642473543604118</v>
      </c>
      <c r="R525">
        <v>-1.8625523936223525</v>
      </c>
      <c r="S525" s="2">
        <v>1.6423377873284916E-2</v>
      </c>
      <c r="T525" s="2">
        <v>2.4152980333861339E-2</v>
      </c>
      <c r="U525" s="2">
        <v>2.5066506771501094E-2</v>
      </c>
      <c r="V525" s="2">
        <v>2.5739789891265377E-2</v>
      </c>
      <c r="W525" s="2">
        <v>2.6237319879352516E-2</v>
      </c>
      <c r="X525" s="2">
        <v>2.6614197979793277E-2</v>
      </c>
      <c r="Y525" s="2">
        <v>2.6913101923433144E-2</v>
      </c>
      <c r="Z525" s="2">
        <v>2.7235590946741023E-2</v>
      </c>
      <c r="AA525" s="2">
        <v>2.7424927749656866E-2</v>
      </c>
      <c r="AB525" s="2">
        <v>2.7616921856289646E-2</v>
      </c>
      <c r="AC525" s="2">
        <v>2.7811600609976842E-2</v>
      </c>
      <c r="AD525" s="2">
        <v>2.8008991671990561E-2</v>
      </c>
      <c r="AE525" s="2">
        <v>2.8209123025054954E-2</v>
      </c>
      <c r="AF525" s="2">
        <v>2.8412022976895691E-2</v>
      </c>
      <c r="AG525" s="2">
        <v>2.8617720163837169E-2</v>
      </c>
      <c r="AH525" s="2">
        <v>2.8826243554430146E-2</v>
      </c>
      <c r="AI525" s="2">
        <v>2.9037622453135299E-2</v>
      </c>
      <c r="AJ525" s="2">
        <v>2.9251886504028941E-2</v>
      </c>
      <c r="AK525" s="2">
        <v>2.9469065694568662E-2</v>
      </c>
      <c r="AL525" s="2">
        <v>2.9689190359393977E-2</v>
      </c>
      <c r="AM525" s="2">
        <v>2.9912291184163612E-2</v>
      </c>
      <c r="AN525" s="2">
        <v>3.0138399209445266E-2</v>
      </c>
      <c r="AO525" s="2">
        <v>3.0367545834650858E-2</v>
      </c>
      <c r="AP525" s="2">
        <v>3.0599762822000765E-2</v>
      </c>
      <c r="AQ525" s="2">
        <v>3.0835082300555518E-2</v>
      </c>
      <c r="AR525" s="2">
        <v>0.69261126356930736</v>
      </c>
    </row>
    <row r="526" spans="1:44" x14ac:dyDescent="0.25">
      <c r="A526" t="s">
        <v>250</v>
      </c>
      <c r="B526" t="s">
        <v>328</v>
      </c>
      <c r="C526" t="s">
        <v>44</v>
      </c>
      <c r="D526" t="s">
        <v>324</v>
      </c>
      <c r="E526" t="s">
        <v>145</v>
      </c>
      <c r="F526" t="s">
        <v>324</v>
      </c>
      <c r="G526" t="s">
        <v>31</v>
      </c>
      <c r="H526" t="s">
        <v>276</v>
      </c>
      <c r="I526" t="s">
        <v>135</v>
      </c>
      <c r="J526" t="s">
        <v>39</v>
      </c>
      <c r="K526" t="s">
        <v>31</v>
      </c>
      <c r="L526">
        <v>2.91</v>
      </c>
      <c r="M526">
        <v>1</v>
      </c>
      <c r="N526">
        <v>7.9199602107711264</v>
      </c>
      <c r="O526">
        <v>5.4639665376457422</v>
      </c>
      <c r="P526">
        <v>-2.0305204206127274</v>
      </c>
      <c r="Q526">
        <v>0.37368649964878498</v>
      </c>
      <c r="R526">
        <v>-1.8625523936223525</v>
      </c>
      <c r="S526" s="2">
        <v>9.18888261370156E-2</v>
      </c>
      <c r="T526" s="2">
        <v>9.5939904966906256E-2</v>
      </c>
      <c r="U526" s="2">
        <v>9.870302417513438E-2</v>
      </c>
      <c r="V526" s="2">
        <v>0.10046799273326022</v>
      </c>
      <c r="W526" s="2">
        <v>0.10150943925416535</v>
      </c>
      <c r="X526" s="2">
        <v>0.1020570167733596</v>
      </c>
      <c r="Y526" s="2">
        <v>0.10228553440525838</v>
      </c>
      <c r="Z526" s="2">
        <v>0.102585704001298</v>
      </c>
      <c r="AA526" s="2">
        <v>0.10237027402289525</v>
      </c>
      <c r="AB526" s="2">
        <v>0.10215529644744721</v>
      </c>
      <c r="AC526" s="2">
        <v>0.10194077032490756</v>
      </c>
      <c r="AD526" s="2">
        <v>0.10172669470722526</v>
      </c>
      <c r="AE526" s="2">
        <v>0.10151306864834006</v>
      </c>
      <c r="AF526" s="2">
        <v>0.10129989120417857</v>
      </c>
      <c r="AG526" s="2">
        <v>7.8320760119276522E-2</v>
      </c>
      <c r="AH526" s="2">
        <v>2.0784946773525072E-3</v>
      </c>
      <c r="AI526" s="2">
        <v>1.6058543988291495E-3</v>
      </c>
      <c r="AJ526" s="2">
        <v>1.0147927495880657E-3</v>
      </c>
      <c r="AK526" s="2">
        <v>6.1656775742031738E-4</v>
      </c>
      <c r="AL526" s="2">
        <v>3.6051780093595469E-4</v>
      </c>
      <c r="AM526" s="2">
        <v>2.0306771933592961E-4</v>
      </c>
      <c r="AN526" s="2">
        <v>1.1029465114977045E-4</v>
      </c>
      <c r="AO526" s="2">
        <v>0</v>
      </c>
      <c r="AP526" s="2">
        <v>0</v>
      </c>
      <c r="AQ526" s="2">
        <v>0</v>
      </c>
      <c r="AR526" s="2">
        <v>1.4907537876752801</v>
      </c>
    </row>
    <row r="527" spans="1:44" x14ac:dyDescent="0.25">
      <c r="A527" t="s">
        <v>250</v>
      </c>
      <c r="B527" t="s">
        <v>328</v>
      </c>
      <c r="C527" t="s">
        <v>44</v>
      </c>
      <c r="D527" t="s">
        <v>324</v>
      </c>
      <c r="E527" t="s">
        <v>148</v>
      </c>
      <c r="F527" t="s">
        <v>324</v>
      </c>
      <c r="G527" t="s">
        <v>31</v>
      </c>
      <c r="H527" t="s">
        <v>276</v>
      </c>
      <c r="I527" t="s">
        <v>135</v>
      </c>
      <c r="J527" t="s">
        <v>39</v>
      </c>
      <c r="K527" t="s">
        <v>31</v>
      </c>
      <c r="L527">
        <v>2.91</v>
      </c>
      <c r="M527">
        <v>1</v>
      </c>
      <c r="N527">
        <v>7.9199602107711264</v>
      </c>
      <c r="O527">
        <v>5.4639665376457422</v>
      </c>
      <c r="P527">
        <v>-2.0305204206127274</v>
      </c>
      <c r="Q527">
        <v>0.37368649964878498</v>
      </c>
      <c r="R527">
        <v>-1.8625523936223525</v>
      </c>
      <c r="S527" s="2">
        <v>1.5632357046600053E-2</v>
      </c>
      <c r="T527" s="2">
        <v>1.9384350857889178E-2</v>
      </c>
      <c r="U527" s="2">
        <v>2.016714089993853E-2</v>
      </c>
      <c r="V527" s="2">
        <v>2.0759336078040643E-2</v>
      </c>
      <c r="W527" s="2">
        <v>2.1211622961204751E-2</v>
      </c>
      <c r="X527" s="2">
        <v>2.1567601938023366E-2</v>
      </c>
      <c r="Y527" s="2">
        <v>2.1861221381076407E-2</v>
      </c>
      <c r="Z527" s="2">
        <v>2.2174705684343456E-2</v>
      </c>
      <c r="AA527" s="2">
        <v>2.2380264701017248E-2</v>
      </c>
      <c r="AB527" s="2">
        <v>2.258821946250493E-2</v>
      </c>
      <c r="AC527" s="2">
        <v>2.2798596645302652E-2</v>
      </c>
      <c r="AD527" s="2">
        <v>2.3011423225461656E-2</v>
      </c>
      <c r="AE527" s="2">
        <v>2.3226726481952256E-2</v>
      </c>
      <c r="AF527" s="2">
        <v>2.3444534000055112E-2</v>
      </c>
      <c r="AG527" s="2">
        <v>2.3664873674798696E-2</v>
      </c>
      <c r="AH527" s="2">
        <v>2.3887773714430471E-2</v>
      </c>
      <c r="AI527" s="2">
        <v>2.4113262643931144E-2</v>
      </c>
      <c r="AJ527" s="2">
        <v>2.434136930855961E-2</v>
      </c>
      <c r="AK527" s="2">
        <v>2.4572122877451343E-2</v>
      </c>
      <c r="AL527" s="2">
        <v>2.4805552847247118E-2</v>
      </c>
      <c r="AM527" s="2">
        <v>2.5041689045759905E-2</v>
      </c>
      <c r="AN527" s="2">
        <v>2.5280561635696197E-2</v>
      </c>
      <c r="AO527" s="2">
        <v>2.5522201118404187E-2</v>
      </c>
      <c r="AP527" s="2">
        <v>2.5766638337673738E-2</v>
      </c>
      <c r="AQ527" s="2">
        <v>2.6013904483576485E-2</v>
      </c>
      <c r="AR527" s="2">
        <v>0.57321805105093915</v>
      </c>
    </row>
    <row r="528" spans="1:44" x14ac:dyDescent="0.25">
      <c r="A528" t="s">
        <v>250</v>
      </c>
      <c r="B528" t="s">
        <v>327</v>
      </c>
      <c r="C528" t="s">
        <v>44</v>
      </c>
      <c r="D528" t="s">
        <v>324</v>
      </c>
      <c r="E528" t="s">
        <v>145</v>
      </c>
      <c r="F528" t="s">
        <v>324</v>
      </c>
      <c r="G528" t="s">
        <v>31</v>
      </c>
      <c r="H528" t="s">
        <v>277</v>
      </c>
      <c r="I528" t="s">
        <v>135</v>
      </c>
      <c r="J528" t="s">
        <v>39</v>
      </c>
      <c r="K528" t="s">
        <v>31</v>
      </c>
      <c r="L528">
        <v>2.407058823529411</v>
      </c>
      <c r="M528">
        <v>1</v>
      </c>
      <c r="N528">
        <v>7.5737578827607859</v>
      </c>
      <c r="O528">
        <v>5.4679361121017189</v>
      </c>
      <c r="P528">
        <v>-2.0131550286721267</v>
      </c>
      <c r="Q528">
        <v>0.39105189158938575</v>
      </c>
      <c r="R528">
        <v>-1.8625523936223525</v>
      </c>
      <c r="S528" s="2">
        <v>4.7209884608636919E-2</v>
      </c>
      <c r="T528" s="2">
        <v>4.9161799785869167E-2</v>
      </c>
      <c r="U528" s="2">
        <v>5.04448928134585E-2</v>
      </c>
      <c r="V528" s="2">
        <v>5.1212116437544378E-2</v>
      </c>
      <c r="W528" s="2">
        <v>5.160712695142438E-2</v>
      </c>
      <c r="X528" s="2">
        <v>5.1749287773846193E-2</v>
      </c>
      <c r="Y528" s="2">
        <v>5.1728987816248261E-2</v>
      </c>
      <c r="Z528" s="2">
        <v>5.1744579225060351E-2</v>
      </c>
      <c r="AA528" s="2">
        <v>5.1500344811118065E-2</v>
      </c>
      <c r="AB528" s="2">
        <v>5.1257263183609597E-2</v>
      </c>
      <c r="AC528" s="2">
        <v>5.1015328901382974E-2</v>
      </c>
      <c r="AD528" s="2">
        <v>5.0774536548968449E-2</v>
      </c>
      <c r="AE528" s="2">
        <v>5.0534880736457316E-2</v>
      </c>
      <c r="AF528" s="2">
        <v>5.0296356099381247E-2</v>
      </c>
      <c r="AG528" s="2">
        <v>5.9486174121638549E-3</v>
      </c>
      <c r="AH528" s="2">
        <v>1.0678718839128795E-3</v>
      </c>
      <c r="AI528" s="2">
        <v>9.8585891009014197E-4</v>
      </c>
      <c r="AJ528" s="2">
        <v>6.2139033024929545E-4</v>
      </c>
      <c r="AK528" s="2">
        <v>3.7658160275122178E-4</v>
      </c>
      <c r="AL528" s="2">
        <v>2.1963862516345659E-4</v>
      </c>
      <c r="AM528" s="2">
        <v>1.2340680440977323E-4</v>
      </c>
      <c r="AN528" s="2">
        <v>6.6862300274709351E-5</v>
      </c>
      <c r="AO528" s="2">
        <v>0</v>
      </c>
      <c r="AP528" s="2">
        <v>0</v>
      </c>
      <c r="AQ528" s="2">
        <v>0</v>
      </c>
      <c r="AR528" s="2">
        <v>0.719647613562021</v>
      </c>
    </row>
    <row r="529" spans="1:44" x14ac:dyDescent="0.25">
      <c r="A529" t="s">
        <v>250</v>
      </c>
      <c r="B529" t="s">
        <v>327</v>
      </c>
      <c r="C529" t="s">
        <v>44</v>
      </c>
      <c r="D529" t="s">
        <v>324</v>
      </c>
      <c r="E529" t="s">
        <v>145</v>
      </c>
      <c r="F529" t="s">
        <v>324</v>
      </c>
      <c r="G529" t="s">
        <v>31</v>
      </c>
      <c r="H529" t="s">
        <v>277</v>
      </c>
      <c r="I529" t="s">
        <v>135</v>
      </c>
      <c r="J529" t="s">
        <v>40</v>
      </c>
      <c r="K529" t="s">
        <v>31</v>
      </c>
      <c r="L529">
        <v>2.407058823529411</v>
      </c>
      <c r="M529">
        <v>1</v>
      </c>
      <c r="N529">
        <v>7.5737578827607859</v>
      </c>
      <c r="O529">
        <v>4.1746294160814523</v>
      </c>
      <c r="P529">
        <v>-2.0131550286721267</v>
      </c>
      <c r="Q529">
        <v>0.4672931329656026</v>
      </c>
      <c r="R529">
        <v>-1.7195523936223525</v>
      </c>
      <c r="S529" s="2">
        <v>7.4471416604450875E-3</v>
      </c>
      <c r="T529" s="2">
        <v>7.755047281365883E-3</v>
      </c>
      <c r="U529" s="2">
        <v>7.9574492914364393E-3</v>
      </c>
      <c r="V529" s="2">
        <v>8.0784752812513363E-3</v>
      </c>
      <c r="W529" s="2">
        <v>8.1407863688258142E-3</v>
      </c>
      <c r="X529" s="2">
        <v>8.1632115832044778E-3</v>
      </c>
      <c r="Y529" s="2">
        <v>8.1600093584757762E-3</v>
      </c>
      <c r="Z529" s="2">
        <v>8.1624688313398225E-3</v>
      </c>
      <c r="AA529" s="2">
        <v>8.1239419784558987E-3</v>
      </c>
      <c r="AB529" s="2">
        <v>8.085596972317588E-3</v>
      </c>
      <c r="AC529" s="2">
        <v>8.0474329546082485E-3</v>
      </c>
      <c r="AD529" s="2">
        <v>8.0094490710624945E-3</v>
      </c>
      <c r="AE529" s="2">
        <v>7.9716444714470827E-3</v>
      </c>
      <c r="AF529" s="2">
        <v>7.9340183095418498E-3</v>
      </c>
      <c r="AG529" s="2">
        <v>9.3836697376870146E-4</v>
      </c>
      <c r="AH529" s="2">
        <v>1.6845186682050648E-4</v>
      </c>
      <c r="AI529" s="2">
        <v>1.5551469827804161E-4</v>
      </c>
      <c r="AJ529" s="2">
        <v>9.8021460000574431E-5</v>
      </c>
      <c r="AK529" s="2">
        <v>5.9404011800798771E-5</v>
      </c>
      <c r="AL529" s="2">
        <v>3.4646980590128844E-5</v>
      </c>
      <c r="AM529" s="2">
        <v>1.9466854492889091E-5</v>
      </c>
      <c r="AN529" s="2">
        <v>1.0547219634548342E-5</v>
      </c>
      <c r="AO529" s="2">
        <v>0</v>
      </c>
      <c r="AP529" s="2">
        <v>0</v>
      </c>
      <c r="AQ529" s="2">
        <v>0</v>
      </c>
      <c r="AR529" s="2">
        <v>0.113521093479164</v>
      </c>
    </row>
    <row r="530" spans="1:44" x14ac:dyDescent="0.25">
      <c r="A530" t="s">
        <v>250</v>
      </c>
      <c r="B530" t="s">
        <v>327</v>
      </c>
      <c r="C530" t="s">
        <v>44</v>
      </c>
      <c r="D530" t="s">
        <v>324</v>
      </c>
      <c r="E530" t="s">
        <v>148</v>
      </c>
      <c r="F530" t="s">
        <v>324</v>
      </c>
      <c r="G530" t="s">
        <v>31</v>
      </c>
      <c r="H530" t="s">
        <v>277</v>
      </c>
      <c r="I530" t="s">
        <v>135</v>
      </c>
      <c r="J530" t="s">
        <v>39</v>
      </c>
      <c r="K530" t="s">
        <v>31</v>
      </c>
      <c r="L530">
        <v>2.407058823529411</v>
      </c>
      <c r="M530">
        <v>1</v>
      </c>
      <c r="N530">
        <v>7.5737578827607859</v>
      </c>
      <c r="O530">
        <v>5.4679361121017189</v>
      </c>
      <c r="P530">
        <v>-2.0131550286721267</v>
      </c>
      <c r="Q530">
        <v>0.39105189158938575</v>
      </c>
      <c r="R530">
        <v>-1.8625523936223525</v>
      </c>
      <c r="S530" s="2">
        <v>8.0314637084444307E-3</v>
      </c>
      <c r="T530" s="2">
        <v>1.1900353496242917E-2</v>
      </c>
      <c r="U530" s="2">
        <v>1.2348990815202267E-2</v>
      </c>
      <c r="V530" s="2">
        <v>1.2679196987251022E-2</v>
      </c>
      <c r="W530" s="2">
        <v>1.292277854960139E-2</v>
      </c>
      <c r="X530" s="2">
        <v>1.3106902675902407E-2</v>
      </c>
      <c r="Y530" s="2">
        <v>1.3252605934340172E-2</v>
      </c>
      <c r="Z530" s="2">
        <v>1.3409906314663992E-2</v>
      </c>
      <c r="AA530" s="2">
        <v>1.3501636748113418E-2</v>
      </c>
      <c r="AB530" s="2">
        <v>1.3594672714938786E-2</v>
      </c>
      <c r="AC530" s="2">
        <v>1.3689027549117435E-2</v>
      </c>
      <c r="AD530" s="2">
        <v>1.3784714740325277E-2</v>
      </c>
      <c r="AE530" s="2">
        <v>1.3881747935654633E-2</v>
      </c>
      <c r="AF530" s="2">
        <v>1.3980140941349058E-2</v>
      </c>
      <c r="AG530" s="2">
        <v>1.407990772456158E-2</v>
      </c>
      <c r="AH530" s="2">
        <v>1.4181062415127359E-2</v>
      </c>
      <c r="AI530" s="2">
        <v>1.4283619307364007E-2</v>
      </c>
      <c r="AJ530" s="2">
        <v>1.4387592861881984E-2</v>
      </c>
      <c r="AK530" s="2">
        <v>1.4492997707426227E-2</v>
      </c>
      <c r="AL530" s="2">
        <v>1.4599848642731146E-2</v>
      </c>
      <c r="AM530" s="2">
        <v>1.4708160638398724E-2</v>
      </c>
      <c r="AN530" s="2">
        <v>1.4817948838798405E-2</v>
      </c>
      <c r="AO530" s="2">
        <v>1.4929228563988798E-2</v>
      </c>
      <c r="AP530" s="2">
        <v>1.5042015311659192E-2</v>
      </c>
      <c r="AQ530" s="2">
        <v>1.5156324759094501E-2</v>
      </c>
      <c r="AR530" s="2">
        <v>0.34076284588217909</v>
      </c>
    </row>
    <row r="531" spans="1:44" x14ac:dyDescent="0.25">
      <c r="A531" t="s">
        <v>250</v>
      </c>
      <c r="B531" t="s">
        <v>327</v>
      </c>
      <c r="C531" t="s">
        <v>44</v>
      </c>
      <c r="D531" t="s">
        <v>324</v>
      </c>
      <c r="E531" t="s">
        <v>148</v>
      </c>
      <c r="F531" t="s">
        <v>324</v>
      </c>
      <c r="G531" t="s">
        <v>31</v>
      </c>
      <c r="H531" t="s">
        <v>277</v>
      </c>
      <c r="I531" t="s">
        <v>135</v>
      </c>
      <c r="J531" t="s">
        <v>40</v>
      </c>
      <c r="K531" t="s">
        <v>31</v>
      </c>
      <c r="L531">
        <v>2.407058823529411</v>
      </c>
      <c r="M531">
        <v>1</v>
      </c>
      <c r="N531">
        <v>7.5737578827607859</v>
      </c>
      <c r="O531">
        <v>4.1746294160814523</v>
      </c>
      <c r="P531">
        <v>-2.0131550286721267</v>
      </c>
      <c r="Q531">
        <v>0.4672931329656026</v>
      </c>
      <c r="R531">
        <v>-1.7195523936223525</v>
      </c>
      <c r="S531" s="2">
        <v>1.2669263751296474E-3</v>
      </c>
      <c r="T531" s="2">
        <v>1.877225903654954E-3</v>
      </c>
      <c r="U531" s="2">
        <v>1.9479963725122394E-3</v>
      </c>
      <c r="V531" s="2">
        <v>2.0000848739094921E-3</v>
      </c>
      <c r="W531" s="2">
        <v>2.0385087424644233E-3</v>
      </c>
      <c r="X531" s="2">
        <v>2.067553474580079E-3</v>
      </c>
      <c r="Y531" s="2">
        <v>2.0905374919097061E-3</v>
      </c>
      <c r="Z531" s="2">
        <v>2.1153509017543585E-3</v>
      </c>
      <c r="AA531" s="2">
        <v>2.1298209547556844E-3</v>
      </c>
      <c r="AB531" s="2">
        <v>2.1444969496285165E-3</v>
      </c>
      <c r="AC531" s="2">
        <v>2.1593809897464452E-3</v>
      </c>
      <c r="AD531" s="2">
        <v>2.1744752030435455E-3</v>
      </c>
      <c r="AE531" s="2">
        <v>2.1897817422857624E-3</v>
      </c>
      <c r="AF531" s="2">
        <v>2.2053027853444194E-3</v>
      </c>
      <c r="AG531" s="2">
        <v>2.2210405354733793E-3</v>
      </c>
      <c r="AH531" s="2">
        <v>2.2369972215891994E-3</v>
      </c>
      <c r="AI531" s="2">
        <v>2.2531750985544108E-3</v>
      </c>
      <c r="AJ531" s="2">
        <v>2.2695764474637645E-3</v>
      </c>
      <c r="AK531" s="2">
        <v>2.2862035759342232E-3</v>
      </c>
      <c r="AL531" s="2">
        <v>2.3030588183980604E-3</v>
      </c>
      <c r="AM531" s="2">
        <v>2.320144536398591E-3</v>
      </c>
      <c r="AN531" s="2">
        <v>2.3374631188903699E-3</v>
      </c>
      <c r="AO531" s="2">
        <v>2.3550169825420132E-3</v>
      </c>
      <c r="AP531" s="2">
        <v>2.3728085720424678E-3</v>
      </c>
      <c r="AQ531" s="2">
        <v>2.3908403604113028E-3</v>
      </c>
      <c r="AR531" s="2">
        <v>5.3753768028417047E-2</v>
      </c>
    </row>
    <row r="532" spans="1:44" x14ac:dyDescent="0.25">
      <c r="A532" t="s">
        <v>250</v>
      </c>
      <c r="B532" t="s">
        <v>355</v>
      </c>
      <c r="C532" t="s">
        <v>45</v>
      </c>
      <c r="D532" t="s">
        <v>356</v>
      </c>
      <c r="E532" t="s">
        <v>134</v>
      </c>
      <c r="F532" t="s">
        <v>356</v>
      </c>
      <c r="G532" t="s">
        <v>31</v>
      </c>
      <c r="H532" t="s">
        <v>254</v>
      </c>
      <c r="I532" t="s">
        <v>135</v>
      </c>
      <c r="J532" t="s">
        <v>39</v>
      </c>
      <c r="K532" t="s">
        <v>31</v>
      </c>
      <c r="L532">
        <v>27.609695928724999</v>
      </c>
      <c r="M532">
        <v>0</v>
      </c>
      <c r="N532">
        <v>0.97527625300994847</v>
      </c>
      <c r="O532">
        <v>5.5125763814213515</v>
      </c>
      <c r="P532">
        <v>0.57134666754224184</v>
      </c>
      <c r="Q532">
        <v>3.0616063307454859</v>
      </c>
      <c r="R532">
        <v>-1.9486051365640844</v>
      </c>
      <c r="S532" s="2">
        <v>2.9303888083811807E-4</v>
      </c>
      <c r="T532" s="2">
        <v>5.8313736726879552E-4</v>
      </c>
      <c r="U532" s="2">
        <v>1.0307413671321417E-3</v>
      </c>
      <c r="V532" s="2">
        <v>1.6691195740049178E-3</v>
      </c>
      <c r="W532" s="2">
        <v>2.522123456749533E-3</v>
      </c>
      <c r="X532" s="2">
        <v>3.5960128857419338E-3</v>
      </c>
      <c r="Y532" s="2">
        <v>4.869618246007127E-3</v>
      </c>
      <c r="Z532" s="2">
        <v>6.2844606711319707E-3</v>
      </c>
      <c r="AA532" s="2">
        <v>7.7379207967397034E-3</v>
      </c>
      <c r="AB532" s="2">
        <v>9.0839066277954936E-3</v>
      </c>
      <c r="AC532" s="2">
        <v>1.0145826793294005E-2</v>
      </c>
      <c r="AD532" s="2">
        <v>1.0744823758331934E-2</v>
      </c>
      <c r="AE532" s="2">
        <v>1.0741272271332005E-2</v>
      </c>
      <c r="AF532" s="2">
        <v>1.0080031027834705E-2</v>
      </c>
      <c r="AG532" s="2">
        <v>8.8228381980457442E-3</v>
      </c>
      <c r="AH532" s="2">
        <v>7.2636532361021935E-3</v>
      </c>
      <c r="AI532" s="2">
        <v>5.5296369051908312E-3</v>
      </c>
      <c r="AJ532" s="2">
        <v>1.5835445758052855E-3</v>
      </c>
      <c r="AK532" s="2">
        <v>0</v>
      </c>
      <c r="AL532" s="2">
        <v>0</v>
      </c>
      <c r="AM532" s="2">
        <v>0</v>
      </c>
      <c r="AN532" s="2">
        <v>0</v>
      </c>
      <c r="AO532" s="2">
        <v>0</v>
      </c>
      <c r="AP532" s="2">
        <v>0</v>
      </c>
      <c r="AQ532" s="2">
        <v>0</v>
      </c>
      <c r="AR532" s="2">
        <v>0.10258170663934643</v>
      </c>
    </row>
    <row r="533" spans="1:44" x14ac:dyDescent="0.25">
      <c r="A533" t="s">
        <v>250</v>
      </c>
      <c r="B533" t="s">
        <v>355</v>
      </c>
      <c r="C533" t="s">
        <v>45</v>
      </c>
      <c r="D533" t="s">
        <v>356</v>
      </c>
      <c r="E533" t="s">
        <v>134</v>
      </c>
      <c r="F533" t="s">
        <v>356</v>
      </c>
      <c r="G533" t="s">
        <v>31</v>
      </c>
      <c r="H533" t="s">
        <v>272</v>
      </c>
      <c r="I533" t="s">
        <v>135</v>
      </c>
      <c r="J533" t="s">
        <v>39</v>
      </c>
      <c r="K533" t="s">
        <v>31</v>
      </c>
      <c r="L533">
        <v>27.609695928724999</v>
      </c>
      <c r="M533">
        <v>0</v>
      </c>
      <c r="N533">
        <v>0.97527625300994847</v>
      </c>
      <c r="O533">
        <v>5.5125763814213515</v>
      </c>
      <c r="P533">
        <v>0.57134666754224184</v>
      </c>
      <c r="Q533">
        <v>3.0616063307454859</v>
      </c>
      <c r="R533">
        <v>-1.9486051365640844</v>
      </c>
      <c r="S533" s="2">
        <v>2.3355977180882845E-4</v>
      </c>
      <c r="T533" s="2">
        <v>4.6472305916273542E-4</v>
      </c>
      <c r="U533" s="2">
        <v>8.2134120678166098E-4</v>
      </c>
      <c r="V533" s="2">
        <v>1.3298783362064007E-3</v>
      </c>
      <c r="W533" s="2">
        <v>2.0092841472135452E-3</v>
      </c>
      <c r="X533" s="2">
        <v>2.8644867064583986E-3</v>
      </c>
      <c r="Y533" s="2">
        <v>3.878564723696144E-3</v>
      </c>
      <c r="Z533" s="2">
        <v>5.0048918253079375E-3</v>
      </c>
      <c r="AA533" s="2">
        <v>6.1617137370888406E-3</v>
      </c>
      <c r="AB533" s="2">
        <v>7.2327000486417919E-3</v>
      </c>
      <c r="AC533" s="2">
        <v>8.0772921685196269E-3</v>
      </c>
      <c r="AD533" s="2">
        <v>8.5531915867767781E-3</v>
      </c>
      <c r="AE533" s="2">
        <v>8.549391091370491E-3</v>
      </c>
      <c r="AF533" s="2">
        <v>8.0221704115560118E-3</v>
      </c>
      <c r="AG533" s="2">
        <v>7.0208369050376611E-3</v>
      </c>
      <c r="AH533" s="2">
        <v>5.7794462350007798E-3</v>
      </c>
      <c r="AI533" s="2">
        <v>4.3992464805974749E-3</v>
      </c>
      <c r="AJ533" s="2">
        <v>1.1345283579863321E-3</v>
      </c>
      <c r="AK533" s="2">
        <v>0</v>
      </c>
      <c r="AL533" s="2">
        <v>0</v>
      </c>
      <c r="AM533" s="2">
        <v>0</v>
      </c>
      <c r="AN533" s="2">
        <v>0</v>
      </c>
      <c r="AO533" s="2">
        <v>0</v>
      </c>
      <c r="AP533" s="2">
        <v>0</v>
      </c>
      <c r="AQ533" s="2">
        <v>0</v>
      </c>
      <c r="AR533" s="2">
        <v>8.1537246799211455E-2</v>
      </c>
    </row>
    <row r="534" spans="1:44" x14ac:dyDescent="0.25">
      <c r="A534" t="s">
        <v>250</v>
      </c>
      <c r="B534" t="s">
        <v>355</v>
      </c>
      <c r="C534" t="s">
        <v>45</v>
      </c>
      <c r="D534" t="s">
        <v>356</v>
      </c>
      <c r="E534" t="s">
        <v>134</v>
      </c>
      <c r="F534" t="s">
        <v>356</v>
      </c>
      <c r="G534" t="s">
        <v>31</v>
      </c>
      <c r="H534" t="s">
        <v>272</v>
      </c>
      <c r="I534" t="s">
        <v>135</v>
      </c>
      <c r="J534" t="s">
        <v>40</v>
      </c>
      <c r="K534" t="s">
        <v>31</v>
      </c>
      <c r="L534">
        <v>27.609695928724999</v>
      </c>
      <c r="M534">
        <v>0</v>
      </c>
      <c r="N534">
        <v>0.97527625300994847</v>
      </c>
      <c r="O534">
        <v>4.3334995790904642</v>
      </c>
      <c r="P534">
        <v>0.57134666754224184</v>
      </c>
      <c r="Q534">
        <v>0.4672931329656026</v>
      </c>
      <c r="R534">
        <v>-1.8056051365640844</v>
      </c>
      <c r="S534" s="2">
        <v>2.3102761425662542E-5</v>
      </c>
      <c r="T534" s="2">
        <v>4.5968472574243644E-5</v>
      </c>
      <c r="U534" s="2">
        <v>8.124365682663004E-5</v>
      </c>
      <c r="V534" s="2">
        <v>1.31546035041006E-4</v>
      </c>
      <c r="W534" s="2">
        <v>1.9875003272154119E-4</v>
      </c>
      <c r="X534" s="2">
        <v>2.8334311372960822E-4</v>
      </c>
      <c r="Y534" s="2">
        <v>3.8365149439727159E-4</v>
      </c>
      <c r="Z534" s="2">
        <v>4.9506308773062161E-4</v>
      </c>
      <c r="AA534" s="2">
        <v>6.0949110088062784E-4</v>
      </c>
      <c r="AB534" s="2">
        <v>7.1542861338261146E-4</v>
      </c>
      <c r="AC534" s="2">
        <v>7.9897215384943157E-4</v>
      </c>
      <c r="AD534" s="2">
        <v>8.4604614539111607E-4</v>
      </c>
      <c r="AE534" s="2">
        <v>8.4567021618896471E-4</v>
      </c>
      <c r="AF534" s="2">
        <v>7.9351973886104864E-4</v>
      </c>
      <c r="AG534" s="2">
        <v>6.944719921987909E-4</v>
      </c>
      <c r="AH534" s="2">
        <v>5.7167878914077448E-4</v>
      </c>
      <c r="AI534" s="2">
        <v>4.3515516866114397E-4</v>
      </c>
      <c r="AJ534" s="2">
        <v>1.1222282751097951E-4</v>
      </c>
      <c r="AK534" s="2">
        <v>0</v>
      </c>
      <c r="AL534" s="2">
        <v>0</v>
      </c>
      <c r="AM534" s="2">
        <v>0</v>
      </c>
      <c r="AN534" s="2">
        <v>0</v>
      </c>
      <c r="AO534" s="2">
        <v>0</v>
      </c>
      <c r="AP534" s="2">
        <v>0</v>
      </c>
      <c r="AQ534" s="2">
        <v>0</v>
      </c>
      <c r="AR534" s="2">
        <v>8.0653254005120748E-3</v>
      </c>
    </row>
    <row r="535" spans="1:44" x14ac:dyDescent="0.25">
      <c r="A535" t="s">
        <v>250</v>
      </c>
      <c r="B535" t="s">
        <v>355</v>
      </c>
      <c r="C535" t="s">
        <v>45</v>
      </c>
      <c r="D535" t="s">
        <v>356</v>
      </c>
      <c r="E535" t="s">
        <v>134</v>
      </c>
      <c r="F535" t="s">
        <v>356</v>
      </c>
      <c r="G535" t="s">
        <v>31</v>
      </c>
      <c r="H535" t="s">
        <v>253</v>
      </c>
      <c r="I535" t="s">
        <v>135</v>
      </c>
      <c r="J535" t="s">
        <v>39</v>
      </c>
      <c r="K535" t="s">
        <v>31</v>
      </c>
      <c r="L535">
        <v>27.609695928724999</v>
      </c>
      <c r="M535">
        <v>0</v>
      </c>
      <c r="N535">
        <v>0.97527625300994847</v>
      </c>
      <c r="O535">
        <v>5.5125763814213515</v>
      </c>
      <c r="P535">
        <v>0.57134666754224184</v>
      </c>
      <c r="Q535">
        <v>3.0616063307454859</v>
      </c>
      <c r="R535">
        <v>-1.9486051365640844</v>
      </c>
      <c r="S535" s="2">
        <v>1.27699144739273E-4</v>
      </c>
      <c r="T535" s="2">
        <v>2.5421563922643732E-4</v>
      </c>
      <c r="U535" s="2">
        <v>4.4952075678258085E-4</v>
      </c>
      <c r="V535" s="2">
        <v>7.2820917354699433E-4</v>
      </c>
      <c r="W535" s="2">
        <v>1.1007880035684686E-3</v>
      </c>
      <c r="X535" s="2">
        <v>1.5700997240162017E-3</v>
      </c>
      <c r="Y535" s="2">
        <v>2.1270101642756069E-3</v>
      </c>
      <c r="Z535" s="2">
        <v>2.7460681638359998E-3</v>
      </c>
      <c r="AA535" s="2">
        <v>3.3824877457719542E-3</v>
      </c>
      <c r="AB535" s="2">
        <v>3.9724026652049856E-3</v>
      </c>
      <c r="AC535" s="2">
        <v>4.438504844646007E-3</v>
      </c>
      <c r="AD535" s="2">
        <v>4.7023743741203558E-3</v>
      </c>
      <c r="AE535" s="2">
        <v>4.7026459405261822E-3</v>
      </c>
      <c r="AF535" s="2">
        <v>4.4148614327905976E-3</v>
      </c>
      <c r="AG535" s="2">
        <v>3.8657358443338909E-3</v>
      </c>
      <c r="AH535" s="2">
        <v>3.183813454614937E-3</v>
      </c>
      <c r="AI535" s="2">
        <v>2.4246986854625412E-3</v>
      </c>
      <c r="AJ535" s="2">
        <v>9.3002799738566878E-4</v>
      </c>
      <c r="AK535" s="2">
        <v>0</v>
      </c>
      <c r="AL535" s="2">
        <v>0</v>
      </c>
      <c r="AM535" s="2">
        <v>0</v>
      </c>
      <c r="AN535" s="2">
        <v>0</v>
      </c>
      <c r="AO535" s="2">
        <v>0</v>
      </c>
      <c r="AP535" s="2">
        <v>0</v>
      </c>
      <c r="AQ535" s="2">
        <v>0</v>
      </c>
      <c r="AR535" s="2">
        <v>4.5121163754848682E-2</v>
      </c>
    </row>
    <row r="536" spans="1:44" x14ac:dyDescent="0.25">
      <c r="A536" t="s">
        <v>250</v>
      </c>
      <c r="B536" t="s">
        <v>355</v>
      </c>
      <c r="C536" t="s">
        <v>45</v>
      </c>
      <c r="D536" t="s">
        <v>356</v>
      </c>
      <c r="E536" t="s">
        <v>134</v>
      </c>
      <c r="F536" t="s">
        <v>356</v>
      </c>
      <c r="G536" t="s">
        <v>31</v>
      </c>
      <c r="H536" t="s">
        <v>253</v>
      </c>
      <c r="I536" t="s">
        <v>135</v>
      </c>
      <c r="J536" t="s">
        <v>40</v>
      </c>
      <c r="K536" t="s">
        <v>31</v>
      </c>
      <c r="L536">
        <v>27.609695928724999</v>
      </c>
      <c r="M536">
        <v>0</v>
      </c>
      <c r="N536">
        <v>0.97527625300994847</v>
      </c>
      <c r="O536">
        <v>4.3334995790904642</v>
      </c>
      <c r="P536">
        <v>0.57134666754224184</v>
      </c>
      <c r="Q536">
        <v>0.4672931329656026</v>
      </c>
      <c r="R536">
        <v>-1.8056051365640844</v>
      </c>
      <c r="S536" s="2">
        <v>6.7172404224636036E-5</v>
      </c>
      <c r="T536" s="2">
        <v>1.3372270983652711E-4</v>
      </c>
      <c r="U536" s="2">
        <v>2.3645726088154001E-4</v>
      </c>
      <c r="V536" s="2">
        <v>3.8305316034386227E-4</v>
      </c>
      <c r="W536" s="2">
        <v>5.7903736859242017E-4</v>
      </c>
      <c r="X536" s="2">
        <v>8.2590508769609609E-4</v>
      </c>
      <c r="Y536" s="2">
        <v>1.1188515540675335E-3</v>
      </c>
      <c r="Z536" s="2">
        <v>1.4444889283026366E-3</v>
      </c>
      <c r="AA536" s="2">
        <v>1.7792588557094282E-3</v>
      </c>
      <c r="AB536" s="2">
        <v>2.089566364089415E-3</v>
      </c>
      <c r="AC536" s="2">
        <v>2.3347457979166425E-3</v>
      </c>
      <c r="AD536" s="2">
        <v>2.4735466546694793E-3</v>
      </c>
      <c r="AE536" s="2">
        <v>2.4736895042431644E-3</v>
      </c>
      <c r="AF536" s="2">
        <v>2.3223088718773671E-3</v>
      </c>
      <c r="AG536" s="2">
        <v>2.033457399354067E-3</v>
      </c>
      <c r="AH536" s="2">
        <v>1.674752049325643E-3</v>
      </c>
      <c r="AI536" s="2">
        <v>1.2754419033531941E-3</v>
      </c>
      <c r="AJ536" s="2">
        <v>4.8921405627399184E-4</v>
      </c>
      <c r="AK536" s="2">
        <v>0</v>
      </c>
      <c r="AL536" s="2">
        <v>0</v>
      </c>
      <c r="AM536" s="2">
        <v>0</v>
      </c>
      <c r="AN536" s="2">
        <v>0</v>
      </c>
      <c r="AO536" s="2">
        <v>0</v>
      </c>
      <c r="AP536" s="2">
        <v>0</v>
      </c>
      <c r="AQ536" s="2">
        <v>0</v>
      </c>
      <c r="AR536" s="2">
        <v>2.3734669930757644E-2</v>
      </c>
    </row>
    <row r="537" spans="1:44" x14ac:dyDescent="0.25">
      <c r="A537" t="s">
        <v>250</v>
      </c>
      <c r="B537" t="s">
        <v>355</v>
      </c>
      <c r="C537" t="s">
        <v>45</v>
      </c>
      <c r="D537" t="s">
        <v>356</v>
      </c>
      <c r="E537" t="s">
        <v>134</v>
      </c>
      <c r="F537" t="s">
        <v>356</v>
      </c>
      <c r="G537" t="s">
        <v>31</v>
      </c>
      <c r="H537" t="s">
        <v>253</v>
      </c>
      <c r="I537" t="s">
        <v>256</v>
      </c>
      <c r="J537" t="s">
        <v>39</v>
      </c>
      <c r="K537" t="s">
        <v>31</v>
      </c>
      <c r="L537">
        <v>27.609695928724999</v>
      </c>
      <c r="M537">
        <v>0</v>
      </c>
      <c r="N537">
        <v>0.8857473426509942</v>
      </c>
      <c r="O537">
        <v>5.0065300635950045</v>
      </c>
      <c r="P537">
        <v>0.84544894628196166</v>
      </c>
      <c r="Q537">
        <v>0.4672931329656026</v>
      </c>
      <c r="R537">
        <v>-1.6745028578243648</v>
      </c>
      <c r="S537" s="2">
        <v>6.6985979838583097E-5</v>
      </c>
      <c r="T537" s="2">
        <v>1.3335158758222696E-4</v>
      </c>
      <c r="U537" s="2">
        <v>2.3580101818490852E-4</v>
      </c>
      <c r="V537" s="2">
        <v>3.8199006827403066E-4</v>
      </c>
      <c r="W537" s="2">
        <v>5.7743035917854637E-4</v>
      </c>
      <c r="X537" s="2">
        <v>8.236129433149479E-4</v>
      </c>
      <c r="Y537" s="2">
        <v>1.1157463918143875E-3</v>
      </c>
      <c r="Z537" s="2">
        <v>1.4404800207054261E-3</v>
      </c>
      <c r="AA537" s="2">
        <v>1.7743208570828554E-3</v>
      </c>
      <c r="AB537" s="2">
        <v>2.0837671652809359E-3</v>
      </c>
      <c r="AC537" s="2">
        <v>2.3282661496594401E-3</v>
      </c>
      <c r="AD537" s="2">
        <v>2.4666817907154073E-3</v>
      </c>
      <c r="AE537" s="2">
        <v>2.4668242438369431E-3</v>
      </c>
      <c r="AF537" s="2">
        <v>2.3158637399714552E-3</v>
      </c>
      <c r="AG537" s="2">
        <v>2.0278139204341866E-3</v>
      </c>
      <c r="AH537" s="2">
        <v>1.6701040897030826E-3</v>
      </c>
      <c r="AI537" s="2">
        <v>1.2719021540093464E-3</v>
      </c>
      <c r="AJ537" s="2">
        <v>4.8785633458541157E-4</v>
      </c>
      <c r="AK537" s="2">
        <v>0</v>
      </c>
      <c r="AL537" s="2">
        <v>0</v>
      </c>
      <c r="AM537" s="2">
        <v>0</v>
      </c>
      <c r="AN537" s="2">
        <v>0</v>
      </c>
      <c r="AO537" s="2">
        <v>0</v>
      </c>
      <c r="AP537" s="2">
        <v>0</v>
      </c>
      <c r="AQ537" s="2">
        <v>0</v>
      </c>
      <c r="AR537" s="2">
        <v>2.3668798814172127E-2</v>
      </c>
    </row>
    <row r="538" spans="1:44" x14ac:dyDescent="0.25">
      <c r="A538" t="s">
        <v>250</v>
      </c>
      <c r="B538" t="s">
        <v>355</v>
      </c>
      <c r="C538" t="s">
        <v>45</v>
      </c>
      <c r="D538" t="s">
        <v>356</v>
      </c>
      <c r="E538" t="s">
        <v>134</v>
      </c>
      <c r="F538" t="s">
        <v>356</v>
      </c>
      <c r="G538" t="s">
        <v>31</v>
      </c>
      <c r="H538" t="s">
        <v>288</v>
      </c>
      <c r="I538" t="s">
        <v>135</v>
      </c>
      <c r="J538" t="s">
        <v>39</v>
      </c>
      <c r="K538" t="s">
        <v>31</v>
      </c>
      <c r="L538">
        <v>27.609695928724999</v>
      </c>
      <c r="M538">
        <v>0</v>
      </c>
      <c r="N538">
        <v>0.97527625300994847</v>
      </c>
      <c r="O538">
        <v>5.5125763814213515</v>
      </c>
      <c r="P538">
        <v>0.57134666754224184</v>
      </c>
      <c r="Q538">
        <v>3.0616063307454859</v>
      </c>
      <c r="R538">
        <v>-1.9486051365640844</v>
      </c>
      <c r="S538" s="2">
        <v>4.7979241348444768E-4</v>
      </c>
      <c r="T538" s="2">
        <v>9.5619634337027284E-4</v>
      </c>
      <c r="U538" s="2">
        <v>1.692676598665236E-3</v>
      </c>
      <c r="V538" s="2">
        <v>2.7451103765096891E-3</v>
      </c>
      <c r="W538" s="2">
        <v>4.1541940533110552E-3</v>
      </c>
      <c r="X538" s="2">
        <v>5.9318444621946874E-3</v>
      </c>
      <c r="Y538" s="2">
        <v>8.0447306696200642E-3</v>
      </c>
      <c r="Z538" s="2">
        <v>1.0397589869984795E-2</v>
      </c>
      <c r="AA538" s="2">
        <v>1.2821446585067729E-2</v>
      </c>
      <c r="AB538" s="2">
        <v>1.5074172683177818E-2</v>
      </c>
      <c r="AC538" s="2">
        <v>1.6861505387967338E-2</v>
      </c>
      <c r="AD538" s="2">
        <v>1.7883654679167398E-2</v>
      </c>
      <c r="AE538" s="2">
        <v>1.7904441624756118E-2</v>
      </c>
      <c r="AF538" s="2">
        <v>1.6827321886591667E-2</v>
      </c>
      <c r="AG538" s="2">
        <v>1.4750594539658072E-2</v>
      </c>
      <c r="AH538" s="2">
        <v>1.2161982966083163E-2</v>
      </c>
      <c r="AI538" s="2">
        <v>9.272438895494341E-3</v>
      </c>
      <c r="AJ538" s="2">
        <v>6.1215184480744771E-3</v>
      </c>
      <c r="AK538" s="2">
        <v>0</v>
      </c>
      <c r="AL538" s="2">
        <v>0</v>
      </c>
      <c r="AM538" s="2">
        <v>0</v>
      </c>
      <c r="AN538" s="2">
        <v>0</v>
      </c>
      <c r="AO538" s="2">
        <v>0</v>
      </c>
      <c r="AP538" s="2">
        <v>0</v>
      </c>
      <c r="AQ538" s="2">
        <v>0</v>
      </c>
      <c r="AR538" s="2">
        <v>0.17408121248317837</v>
      </c>
    </row>
    <row r="539" spans="1:44" x14ac:dyDescent="0.25">
      <c r="A539" t="s">
        <v>250</v>
      </c>
      <c r="B539" t="s">
        <v>355</v>
      </c>
      <c r="C539" t="s">
        <v>45</v>
      </c>
      <c r="D539" t="s">
        <v>356</v>
      </c>
      <c r="E539" t="s">
        <v>134</v>
      </c>
      <c r="F539" t="s">
        <v>356</v>
      </c>
      <c r="G539" t="s">
        <v>31</v>
      </c>
      <c r="H539" t="s">
        <v>288</v>
      </c>
      <c r="I539" t="s">
        <v>135</v>
      </c>
      <c r="J539" t="s">
        <v>39</v>
      </c>
      <c r="K539" t="s">
        <v>33</v>
      </c>
      <c r="L539">
        <v>27.609695928724999</v>
      </c>
      <c r="M539">
        <v>0</v>
      </c>
      <c r="N539">
        <v>0.97527625300994847</v>
      </c>
      <c r="O539">
        <v>5.5125763814213515</v>
      </c>
      <c r="P539">
        <v>0.57134666754224184</v>
      </c>
      <c r="Q539">
        <v>3.0616063307454859</v>
      </c>
      <c r="R539">
        <v>-1.9486051365640844</v>
      </c>
      <c r="S539" s="2">
        <v>4.513461630295833E-6</v>
      </c>
      <c r="T539" s="2">
        <v>8.9950474112088067E-6</v>
      </c>
      <c r="U539" s="2">
        <v>1.5923200671497993E-5</v>
      </c>
      <c r="V539" s="2">
        <v>2.5823564539761211E-5</v>
      </c>
      <c r="W539" s="2">
        <v>3.9078974442830233E-5</v>
      </c>
      <c r="X539" s="2">
        <v>5.5801533380990813E-5</v>
      </c>
      <c r="Y539" s="2">
        <v>7.5677693483519918E-5</v>
      </c>
      <c r="Z539" s="2">
        <v>9.781130673765897E-5</v>
      </c>
      <c r="AA539" s="2">
        <v>1.2061280166212244E-4</v>
      </c>
      <c r="AB539" s="2">
        <v>1.4180445147072358E-4</v>
      </c>
      <c r="AC539" s="2">
        <v>1.5861809286420476E-4</v>
      </c>
      <c r="AD539" s="2">
        <v>1.6823356713308897E-4</v>
      </c>
      <c r="AE539" s="2">
        <v>1.6842911228696992E-4</v>
      </c>
      <c r="AF539" s="2">
        <v>1.5829652479119633E-4</v>
      </c>
      <c r="AG539" s="2">
        <v>1.3876051518883799E-4</v>
      </c>
      <c r="AH539" s="2">
        <v>1.1440915263139568E-4</v>
      </c>
      <c r="AI539" s="2">
        <v>8.7226883956207E-5</v>
      </c>
      <c r="AJ539" s="2">
        <v>5.7585818070522096E-5</v>
      </c>
      <c r="AK539" s="2">
        <v>0</v>
      </c>
      <c r="AL539" s="2">
        <v>0</v>
      </c>
      <c r="AM539" s="2">
        <v>0</v>
      </c>
      <c r="AN539" s="2">
        <v>0</v>
      </c>
      <c r="AO539" s="2">
        <v>0</v>
      </c>
      <c r="AP539" s="2">
        <v>0</v>
      </c>
      <c r="AQ539" s="2">
        <v>0</v>
      </c>
      <c r="AR539" s="2">
        <v>1.6376017023530325E-3</v>
      </c>
    </row>
    <row r="540" spans="1:44" x14ac:dyDescent="0.25">
      <c r="A540" t="s">
        <v>250</v>
      </c>
      <c r="B540" t="s">
        <v>355</v>
      </c>
      <c r="C540" t="s">
        <v>45</v>
      </c>
      <c r="D540" t="s">
        <v>356</v>
      </c>
      <c r="E540" t="s">
        <v>134</v>
      </c>
      <c r="F540" t="s">
        <v>356</v>
      </c>
      <c r="G540" t="s">
        <v>31</v>
      </c>
      <c r="H540" t="s">
        <v>273</v>
      </c>
      <c r="I540" t="s">
        <v>135</v>
      </c>
      <c r="J540" t="s">
        <v>39</v>
      </c>
      <c r="K540" t="s">
        <v>31</v>
      </c>
      <c r="L540">
        <v>27.609695928724999</v>
      </c>
      <c r="M540">
        <v>0</v>
      </c>
      <c r="N540">
        <v>0.97527625300994847</v>
      </c>
      <c r="O540">
        <v>5.5125763814213515</v>
      </c>
      <c r="P540">
        <v>0.57134666754224184</v>
      </c>
      <c r="Q540">
        <v>3.0616063307454859</v>
      </c>
      <c r="R540">
        <v>-1.9486051365640844</v>
      </c>
      <c r="S540" s="2">
        <v>7.0244630599112885E-5</v>
      </c>
      <c r="T540" s="2">
        <v>1.3976850280747742E-4</v>
      </c>
      <c r="U540" s="2">
        <v>2.4702374565355921E-4</v>
      </c>
      <c r="V540" s="2">
        <v>3.9996961696402188E-4</v>
      </c>
      <c r="W540" s="2">
        <v>6.0430536301942883E-4</v>
      </c>
      <c r="X540" s="2">
        <v>8.6151313213277353E-4</v>
      </c>
      <c r="Y540" s="2">
        <v>1.1665037354711423E-3</v>
      </c>
      <c r="Z540" s="2">
        <v>1.5052539858834832E-3</v>
      </c>
      <c r="AA540" s="2">
        <v>1.8531757501183018E-3</v>
      </c>
      <c r="AB540" s="2">
        <v>2.1752818955778079E-3</v>
      </c>
      <c r="AC540" s="2">
        <v>2.4292985055798968E-3</v>
      </c>
      <c r="AD540" s="2">
        <v>2.5724283715619915E-3</v>
      </c>
      <c r="AE540" s="2">
        <v>2.5712853476848891E-3</v>
      </c>
      <c r="AF540" s="2">
        <v>2.4127202762645656E-3</v>
      </c>
      <c r="AG540" s="2">
        <v>2.1115626679694653E-3</v>
      </c>
      <c r="AH540" s="2">
        <v>1.7382062959770276E-3</v>
      </c>
      <c r="AI540" s="2">
        <v>1.3231021830118778E-3</v>
      </c>
      <c r="AJ540" s="2">
        <v>3.4121683196452454E-4</v>
      </c>
      <c r="AK540" s="2">
        <v>0</v>
      </c>
      <c r="AL540" s="2">
        <v>0</v>
      </c>
      <c r="AM540" s="2">
        <v>0</v>
      </c>
      <c r="AN540" s="2">
        <v>0</v>
      </c>
      <c r="AO540" s="2">
        <v>0</v>
      </c>
      <c r="AP540" s="2">
        <v>0</v>
      </c>
      <c r="AQ540" s="2">
        <v>0</v>
      </c>
      <c r="AR540" s="2">
        <v>2.4522860838241345E-2</v>
      </c>
    </row>
    <row r="541" spans="1:44" x14ac:dyDescent="0.25">
      <c r="A541" t="s">
        <v>250</v>
      </c>
      <c r="B541" t="s">
        <v>355</v>
      </c>
      <c r="C541" t="s">
        <v>45</v>
      </c>
      <c r="D541" t="s">
        <v>356</v>
      </c>
      <c r="E541" t="s">
        <v>134</v>
      </c>
      <c r="F541" t="s">
        <v>356</v>
      </c>
      <c r="G541" t="s">
        <v>31</v>
      </c>
      <c r="H541" t="s">
        <v>252</v>
      </c>
      <c r="I541" t="s">
        <v>135</v>
      </c>
      <c r="J541" t="s">
        <v>39</v>
      </c>
      <c r="K541" t="s">
        <v>31</v>
      </c>
      <c r="L541">
        <v>27.609695928724999</v>
      </c>
      <c r="M541">
        <v>0</v>
      </c>
      <c r="N541">
        <v>0.97527625300994847</v>
      </c>
      <c r="O541">
        <v>5.5125763814213515</v>
      </c>
      <c r="P541">
        <v>0.57134666754224184</v>
      </c>
      <c r="Q541">
        <v>3.0616063307454859</v>
      </c>
      <c r="R541">
        <v>-1.9486051365640844</v>
      </c>
      <c r="S541" s="2">
        <v>3.1605853479884342E-4</v>
      </c>
      <c r="T541" s="2">
        <v>6.2944269314840697E-4</v>
      </c>
      <c r="U541" s="2">
        <v>1.1134688707718737E-3</v>
      </c>
      <c r="V541" s="2">
        <v>1.804508255655775E-3</v>
      </c>
      <c r="W541" s="2">
        <v>2.7288572237826728E-3</v>
      </c>
      <c r="X541" s="2">
        <v>3.8938459057250691E-3</v>
      </c>
      <c r="Y541" s="2">
        <v>5.2771019774100272E-3</v>
      </c>
      <c r="Z541" s="2">
        <v>6.8157183060084271E-3</v>
      </c>
      <c r="AA541" s="2">
        <v>8.3986783541091202E-3</v>
      </c>
      <c r="AB541" s="2">
        <v>9.8673919611854729E-3</v>
      </c>
      <c r="AC541" s="2">
        <v>1.1029611402749653E-2</v>
      </c>
      <c r="AD541" s="2">
        <v>1.1690016207498965E-2</v>
      </c>
      <c r="AE541" s="2">
        <v>1.1695386844781396E-2</v>
      </c>
      <c r="AF541" s="2">
        <v>1.098408245238096E-2</v>
      </c>
      <c r="AG541" s="2">
        <v>9.6217325159821156E-3</v>
      </c>
      <c r="AH541" s="2">
        <v>7.9276253324057737E-3</v>
      </c>
      <c r="AI541" s="2">
        <v>6.0398712083991968E-3</v>
      </c>
      <c r="AJ541" s="2">
        <v>2.9240860024469335E-3</v>
      </c>
      <c r="AK541" s="2">
        <v>0</v>
      </c>
      <c r="AL541" s="2">
        <v>0</v>
      </c>
      <c r="AM541" s="2">
        <v>0</v>
      </c>
      <c r="AN541" s="2">
        <v>0</v>
      </c>
      <c r="AO541" s="2">
        <v>0</v>
      </c>
      <c r="AP541" s="2">
        <v>0</v>
      </c>
      <c r="AQ541" s="2">
        <v>0</v>
      </c>
      <c r="AR541" s="2">
        <v>0.11275748404924069</v>
      </c>
    </row>
    <row r="542" spans="1:44" x14ac:dyDescent="0.25">
      <c r="A542" t="s">
        <v>250</v>
      </c>
      <c r="B542" t="s">
        <v>355</v>
      </c>
      <c r="C542" t="s">
        <v>45</v>
      </c>
      <c r="D542" t="s">
        <v>356</v>
      </c>
      <c r="E542" t="s">
        <v>134</v>
      </c>
      <c r="F542" t="s">
        <v>356</v>
      </c>
      <c r="G542" t="s">
        <v>31</v>
      </c>
      <c r="H542" t="s">
        <v>289</v>
      </c>
      <c r="I542" t="s">
        <v>135</v>
      </c>
      <c r="J542" t="s">
        <v>39</v>
      </c>
      <c r="K542" t="s">
        <v>31</v>
      </c>
      <c r="L542">
        <v>27.609695928724999</v>
      </c>
      <c r="M542">
        <v>0</v>
      </c>
      <c r="N542">
        <v>0.97527625300994847</v>
      </c>
      <c r="O542">
        <v>5.5125763814213515</v>
      </c>
      <c r="P542">
        <v>0.57134666754224184</v>
      </c>
      <c r="Q542">
        <v>3.0616063307454859</v>
      </c>
      <c r="R542">
        <v>-1.9486051365640844</v>
      </c>
      <c r="S542" s="2">
        <v>4.5602189088600709E-4</v>
      </c>
      <c r="T542" s="2">
        <v>9.0882317499614194E-4</v>
      </c>
      <c r="U542" s="2">
        <v>1.6088157325706367E-3</v>
      </c>
      <c r="V542" s="2">
        <v>2.6091084173162416E-3</v>
      </c>
      <c r="W542" s="2">
        <v>3.948381370894101E-3</v>
      </c>
      <c r="X542" s="2">
        <v>5.637961026616763E-3</v>
      </c>
      <c r="Y542" s="2">
        <v>7.6461677769894777E-3</v>
      </c>
      <c r="Z542" s="2">
        <v>9.8824584547570222E-3</v>
      </c>
      <c r="AA542" s="2">
        <v>1.218622919265072E-2</v>
      </c>
      <c r="AB542" s="2">
        <v>1.4327347697313617E-2</v>
      </c>
      <c r="AC542" s="2">
        <v>1.6026129955584847E-2</v>
      </c>
      <c r="AD542" s="2">
        <v>1.6997638548552529E-2</v>
      </c>
      <c r="AE542" s="2">
        <v>1.701739563925822E-2</v>
      </c>
      <c r="AF542" s="2">
        <v>1.5993640019320063E-2</v>
      </c>
      <c r="AG542" s="2">
        <v>1.4019800698423767E-2</v>
      </c>
      <c r="AH542" s="2">
        <v>1.1559437609357754E-2</v>
      </c>
      <c r="AI542" s="2">
        <v>8.8130512267579897E-3</v>
      </c>
      <c r="AJ542" s="2">
        <v>5.818237928172155E-3</v>
      </c>
      <c r="AK542" s="2">
        <v>0</v>
      </c>
      <c r="AL542" s="2">
        <v>0</v>
      </c>
      <c r="AM542" s="2">
        <v>0</v>
      </c>
      <c r="AN542" s="2">
        <v>0</v>
      </c>
      <c r="AO542" s="2">
        <v>0</v>
      </c>
      <c r="AP542" s="2">
        <v>0</v>
      </c>
      <c r="AQ542" s="2">
        <v>0</v>
      </c>
      <c r="AR542" s="2">
        <v>0.16545664636041807</v>
      </c>
    </row>
    <row r="543" spans="1:44" x14ac:dyDescent="0.25">
      <c r="A543" t="s">
        <v>250</v>
      </c>
      <c r="B543" t="s">
        <v>355</v>
      </c>
      <c r="C543" t="s">
        <v>45</v>
      </c>
      <c r="D543" t="s">
        <v>356</v>
      </c>
      <c r="E543" t="s">
        <v>134</v>
      </c>
      <c r="F543" t="s">
        <v>356</v>
      </c>
      <c r="G543" t="s">
        <v>31</v>
      </c>
      <c r="H543" t="s">
        <v>274</v>
      </c>
      <c r="I543" t="s">
        <v>135</v>
      </c>
      <c r="J543" t="s">
        <v>39</v>
      </c>
      <c r="K543" t="s">
        <v>31</v>
      </c>
      <c r="L543">
        <v>27.609695928724999</v>
      </c>
      <c r="M543">
        <v>0</v>
      </c>
      <c r="N543">
        <v>0.97527625300994847</v>
      </c>
      <c r="O543">
        <v>5.5125763814213515</v>
      </c>
      <c r="P543">
        <v>0.57134666754224184</v>
      </c>
      <c r="Q543">
        <v>3.0616063307454859</v>
      </c>
      <c r="R543">
        <v>-1.9486051365640844</v>
      </c>
      <c r="S543" s="2">
        <v>1.1057762729931836E-4</v>
      </c>
      <c r="T543" s="2">
        <v>2.2002065182508278E-4</v>
      </c>
      <c r="U543" s="2">
        <v>3.8885961030743677E-4</v>
      </c>
      <c r="V543" s="2">
        <v>6.2962379983328277E-4</v>
      </c>
      <c r="W543" s="2">
        <v>9.5128485461471834E-4</v>
      </c>
      <c r="X543" s="2">
        <v>1.3561759415053336E-3</v>
      </c>
      <c r="Y543" s="2">
        <v>1.8362857659588812E-3</v>
      </c>
      <c r="Z543" s="2">
        <v>2.3695393202614319E-3</v>
      </c>
      <c r="AA543" s="2">
        <v>2.9172304796674987E-3</v>
      </c>
      <c r="AB543" s="2">
        <v>3.4242832323072314E-3</v>
      </c>
      <c r="AC543" s="2">
        <v>3.8241508633144916E-3</v>
      </c>
      <c r="AD543" s="2">
        <v>4.0494629026971759E-3</v>
      </c>
      <c r="AE543" s="2">
        <v>4.0476635784328372E-3</v>
      </c>
      <c r="AF543" s="2">
        <v>3.7980537617014827E-3</v>
      </c>
      <c r="AG543" s="2">
        <v>3.3239777578221159E-3</v>
      </c>
      <c r="AH543" s="2">
        <v>2.7362479712193678E-3</v>
      </c>
      <c r="AI543" s="2">
        <v>2.0827997645395798E-3</v>
      </c>
      <c r="AJ543" s="2">
        <v>5.3713639535750174E-4</v>
      </c>
      <c r="AK543" s="2">
        <v>0</v>
      </c>
      <c r="AL543" s="2">
        <v>0</v>
      </c>
      <c r="AM543" s="2">
        <v>0</v>
      </c>
      <c r="AN543" s="2">
        <v>0</v>
      </c>
      <c r="AO543" s="2">
        <v>0</v>
      </c>
      <c r="AP543" s="2">
        <v>0</v>
      </c>
      <c r="AQ543" s="2">
        <v>0</v>
      </c>
      <c r="AR543" s="2">
        <v>3.8603374278664768E-2</v>
      </c>
    </row>
    <row r="544" spans="1:44" x14ac:dyDescent="0.25">
      <c r="A544" t="s">
        <v>250</v>
      </c>
      <c r="B544" t="s">
        <v>355</v>
      </c>
      <c r="C544" t="s">
        <v>45</v>
      </c>
      <c r="D544" t="s">
        <v>356</v>
      </c>
      <c r="E544" t="s">
        <v>134</v>
      </c>
      <c r="F544" t="s">
        <v>356</v>
      </c>
      <c r="G544" t="s">
        <v>31</v>
      </c>
      <c r="H544" t="s">
        <v>274</v>
      </c>
      <c r="I544" t="s">
        <v>135</v>
      </c>
      <c r="J544" t="s">
        <v>39</v>
      </c>
      <c r="K544" t="s">
        <v>33</v>
      </c>
      <c r="L544">
        <v>27.609695928724999</v>
      </c>
      <c r="M544">
        <v>0</v>
      </c>
      <c r="N544">
        <v>0.97527625300994847</v>
      </c>
      <c r="O544">
        <v>5.5125763814213515</v>
      </c>
      <c r="P544">
        <v>0.57134666754224184</v>
      </c>
      <c r="Q544">
        <v>3.0616063307454859</v>
      </c>
      <c r="R544">
        <v>-1.9486051365640844</v>
      </c>
      <c r="S544" s="2">
        <v>3.5578159440266166E-7</v>
      </c>
      <c r="T544" s="2">
        <v>7.0791262409664104E-7</v>
      </c>
      <c r="U544" s="2">
        <v>1.2511490392128389E-6</v>
      </c>
      <c r="V544" s="2">
        <v>2.0258036354152125E-6</v>
      </c>
      <c r="W544" s="2">
        <v>3.0607424898871481E-6</v>
      </c>
      <c r="X544" s="2">
        <v>4.3634725264381993E-6</v>
      </c>
      <c r="Y544" s="2">
        <v>5.9082175440726879E-6</v>
      </c>
      <c r="Z544" s="2">
        <v>7.6239515890535662E-6</v>
      </c>
      <c r="AA544" s="2">
        <v>9.3861383775824787E-6</v>
      </c>
      <c r="AB544" s="2">
        <v>1.1017571798486911E-5</v>
      </c>
      <c r="AC544" s="2">
        <v>1.2304138953022473E-5</v>
      </c>
      <c r="AD544" s="2">
        <v>1.3029076524640828E-5</v>
      </c>
      <c r="AE544" s="2">
        <v>1.3023287230085962E-5</v>
      </c>
      <c r="AF544" s="2">
        <v>1.2220171982054361E-5</v>
      </c>
      <c r="AG544" s="2">
        <v>1.0694840677271674E-5</v>
      </c>
      <c r="AH544" s="2">
        <v>8.8038303014616762E-6</v>
      </c>
      <c r="AI544" s="2">
        <v>6.7013720509984917E-6</v>
      </c>
      <c r="AJ544" s="2">
        <v>1.7282270186057329E-6</v>
      </c>
      <c r="AK544" s="2">
        <v>0</v>
      </c>
      <c r="AL544" s="2">
        <v>0</v>
      </c>
      <c r="AM544" s="2">
        <v>0</v>
      </c>
      <c r="AN544" s="2">
        <v>0</v>
      </c>
      <c r="AO544" s="2">
        <v>0</v>
      </c>
      <c r="AP544" s="2">
        <v>0</v>
      </c>
      <c r="AQ544" s="2">
        <v>0</v>
      </c>
      <c r="AR544" s="2">
        <v>1.2420568595678956E-4</v>
      </c>
    </row>
    <row r="545" spans="1:44" x14ac:dyDescent="0.25">
      <c r="A545" t="s">
        <v>250</v>
      </c>
      <c r="B545" t="s">
        <v>355</v>
      </c>
      <c r="C545" t="s">
        <v>45</v>
      </c>
      <c r="D545" t="s">
        <v>356</v>
      </c>
      <c r="E545" t="s">
        <v>134</v>
      </c>
      <c r="F545" t="s">
        <v>356</v>
      </c>
      <c r="G545" t="s">
        <v>31</v>
      </c>
      <c r="H545" t="s">
        <v>255</v>
      </c>
      <c r="I545" t="s">
        <v>135</v>
      </c>
      <c r="J545" t="s">
        <v>39</v>
      </c>
      <c r="K545" t="s">
        <v>31</v>
      </c>
      <c r="L545">
        <v>27.609695928724999</v>
      </c>
      <c r="M545">
        <v>0</v>
      </c>
      <c r="N545">
        <v>0.97527625300994847</v>
      </c>
      <c r="O545">
        <v>5.5125763814213515</v>
      </c>
      <c r="P545">
        <v>0.57134666754224184</v>
      </c>
      <c r="Q545">
        <v>3.0616063307454859</v>
      </c>
      <c r="R545">
        <v>-1.9486051365640844</v>
      </c>
      <c r="S545" s="2">
        <v>6.4537694619530442E-5</v>
      </c>
      <c r="T545" s="2">
        <v>1.2784555882928701E-4</v>
      </c>
      <c r="U545" s="2">
        <v>2.2495261889336643E-4</v>
      </c>
      <c r="V545" s="2">
        <v>3.6262302049836691E-4</v>
      </c>
      <c r="W545" s="2">
        <v>5.454573968620898E-4</v>
      </c>
      <c r="X545" s="2">
        <v>7.7418064046964549E-4</v>
      </c>
      <c r="Y545" s="2">
        <v>1.0436203933767991E-3</v>
      </c>
      <c r="Z545" s="2">
        <v>1.340732778270168E-3</v>
      </c>
      <c r="AA545" s="2">
        <v>1.6433310757033861E-3</v>
      </c>
      <c r="AB545" s="2">
        <v>1.9204368145070482E-3</v>
      </c>
      <c r="AC545" s="2">
        <v>2.1352138533444896E-3</v>
      </c>
      <c r="AD545" s="2">
        <v>2.2510223361936017E-3</v>
      </c>
      <c r="AE545" s="2">
        <v>2.2400762765056948E-3</v>
      </c>
      <c r="AF545" s="2">
        <v>2.0926448247228528E-3</v>
      </c>
      <c r="AG545" s="2">
        <v>1.8233437090205292E-3</v>
      </c>
      <c r="AH545" s="2">
        <v>1.4943141349826388E-3</v>
      </c>
      <c r="AI545" s="2">
        <v>1.7363493972040648E-4</v>
      </c>
      <c r="AJ545" s="2">
        <v>0</v>
      </c>
      <c r="AK545" s="2">
        <v>0</v>
      </c>
      <c r="AL545" s="2">
        <v>0</v>
      </c>
      <c r="AM545" s="2">
        <v>0</v>
      </c>
      <c r="AN545" s="2">
        <v>0</v>
      </c>
      <c r="AO545" s="2">
        <v>0</v>
      </c>
      <c r="AP545" s="2">
        <v>0</v>
      </c>
      <c r="AQ545" s="2">
        <v>0</v>
      </c>
      <c r="AR545" s="2">
        <v>2.0257968066519902E-2</v>
      </c>
    </row>
    <row r="546" spans="1:44" x14ac:dyDescent="0.25">
      <c r="A546" t="s">
        <v>250</v>
      </c>
      <c r="B546" t="s">
        <v>355</v>
      </c>
      <c r="C546" t="s">
        <v>45</v>
      </c>
      <c r="D546" t="s">
        <v>356</v>
      </c>
      <c r="E546" t="s">
        <v>134</v>
      </c>
      <c r="F546" t="s">
        <v>356</v>
      </c>
      <c r="G546" t="s">
        <v>31</v>
      </c>
      <c r="H546" t="s">
        <v>278</v>
      </c>
      <c r="I546" t="s">
        <v>135</v>
      </c>
      <c r="J546" t="s">
        <v>39</v>
      </c>
      <c r="K546" t="s">
        <v>31</v>
      </c>
      <c r="L546">
        <v>27.609695928724999</v>
      </c>
      <c r="M546">
        <v>0</v>
      </c>
      <c r="N546">
        <v>0.97527625300994847</v>
      </c>
      <c r="O546">
        <v>5.5125763814213515</v>
      </c>
      <c r="P546">
        <v>0.57134666754224184</v>
      </c>
      <c r="Q546">
        <v>3.0616063307454859</v>
      </c>
      <c r="R546">
        <v>-1.9486051365640844</v>
      </c>
      <c r="S546" s="2">
        <v>9.354283620032874E-5</v>
      </c>
      <c r="T546" s="2">
        <v>1.853031199674808E-4</v>
      </c>
      <c r="U546" s="2">
        <v>3.2605295410736892E-4</v>
      </c>
      <c r="V546" s="2">
        <v>5.2559649068533722E-4</v>
      </c>
      <c r="W546" s="2">
        <v>7.9060202304603779E-4</v>
      </c>
      <c r="X546" s="2">
        <v>1.1221202317165219E-3</v>
      </c>
      <c r="Y546" s="2">
        <v>1.5126541486876375E-3</v>
      </c>
      <c r="Z546" s="2">
        <v>1.9432975938403678E-3</v>
      </c>
      <c r="AA546" s="2">
        <v>2.381892482272096E-3</v>
      </c>
      <c r="AB546" s="2">
        <v>2.7835377050817399E-3</v>
      </c>
      <c r="AC546" s="2">
        <v>3.0948418736301236E-3</v>
      </c>
      <c r="AD546" s="2">
        <v>3.2626981009965823E-3</v>
      </c>
      <c r="AE546" s="2">
        <v>3.2468325595566348E-3</v>
      </c>
      <c r="AF546" s="2">
        <v>3.0331410692391991E-3</v>
      </c>
      <c r="AG546" s="2">
        <v>2.6428080971177418E-3</v>
      </c>
      <c r="AH546" s="2">
        <v>2.1659029375712441E-3</v>
      </c>
      <c r="AI546" s="2">
        <v>2.5167159782624047E-4</v>
      </c>
      <c r="AJ546" s="2">
        <v>0</v>
      </c>
      <c r="AK546" s="2">
        <v>0</v>
      </c>
      <c r="AL546" s="2">
        <v>0</v>
      </c>
      <c r="AM546" s="2">
        <v>0</v>
      </c>
      <c r="AN546" s="2">
        <v>0</v>
      </c>
      <c r="AO546" s="2">
        <v>0</v>
      </c>
      <c r="AP546" s="2">
        <v>0</v>
      </c>
      <c r="AQ546" s="2">
        <v>0</v>
      </c>
      <c r="AR546" s="2">
        <v>2.936249582154268E-2</v>
      </c>
    </row>
    <row r="547" spans="1:44" x14ac:dyDescent="0.25">
      <c r="A547" t="s">
        <v>250</v>
      </c>
      <c r="B547" t="s">
        <v>355</v>
      </c>
      <c r="C547" t="s">
        <v>45</v>
      </c>
      <c r="D547" t="s">
        <v>356</v>
      </c>
      <c r="E547" t="s">
        <v>134</v>
      </c>
      <c r="F547" t="s">
        <v>356</v>
      </c>
      <c r="G547" t="s">
        <v>31</v>
      </c>
      <c r="H547" t="s">
        <v>276</v>
      </c>
      <c r="I547" t="s">
        <v>135</v>
      </c>
      <c r="J547" t="s">
        <v>39</v>
      </c>
      <c r="K547" t="s">
        <v>31</v>
      </c>
      <c r="L547">
        <v>27.609695928724999</v>
      </c>
      <c r="M547">
        <v>0</v>
      </c>
      <c r="N547">
        <v>0.97527625300994847</v>
      </c>
      <c r="O547">
        <v>5.5125763814213515</v>
      </c>
      <c r="P547">
        <v>0.57134666754224184</v>
      </c>
      <c r="Q547">
        <v>3.0616063307454859</v>
      </c>
      <c r="R547">
        <v>-1.9486051365640844</v>
      </c>
      <c r="S547" s="2">
        <v>1.4581645737145898E-3</v>
      </c>
      <c r="T547" s="2">
        <v>2.9086543108677804E-3</v>
      </c>
      <c r="U547" s="2">
        <v>5.1536021058501604E-3</v>
      </c>
      <c r="V547" s="2">
        <v>8.3654357995424835E-3</v>
      </c>
      <c r="W547" s="2">
        <v>1.267089824165831E-2</v>
      </c>
      <c r="X547" s="2">
        <v>1.8109324159076637E-2</v>
      </c>
      <c r="Y547" s="2">
        <v>2.4581923397010257E-2</v>
      </c>
      <c r="Z547" s="2">
        <v>3.1800130279374839E-2</v>
      </c>
      <c r="AA547" s="2">
        <v>3.9248684776870019E-2</v>
      </c>
      <c r="AB547" s="2">
        <v>4.6186327535706999E-2</v>
      </c>
      <c r="AC547" s="2">
        <v>5.1709240028933671E-2</v>
      </c>
      <c r="AD547" s="2">
        <v>5.4893376991821716E-2</v>
      </c>
      <c r="AE547" s="2">
        <v>5.5006792233547916E-2</v>
      </c>
      <c r="AF547" s="2">
        <v>5.1744286711891921E-2</v>
      </c>
      <c r="AG547" s="2">
        <v>4.5399261883358466E-2</v>
      </c>
      <c r="AH547" s="2">
        <v>3.7465844107810432E-2</v>
      </c>
      <c r="AI547" s="2">
        <v>2.8590185638670135E-2</v>
      </c>
      <c r="AJ547" s="2">
        <v>1.9751639710727721E-2</v>
      </c>
      <c r="AK547" s="2">
        <v>5.5982668903321736E-3</v>
      </c>
      <c r="AL547" s="2">
        <v>0</v>
      </c>
      <c r="AM547" s="2">
        <v>0</v>
      </c>
      <c r="AN547" s="2">
        <v>0</v>
      </c>
      <c r="AO547" s="2">
        <v>0</v>
      </c>
      <c r="AP547" s="2">
        <v>0</v>
      </c>
      <c r="AQ547" s="2">
        <v>0</v>
      </c>
      <c r="AR547" s="2">
        <v>0.54064203937676625</v>
      </c>
    </row>
    <row r="548" spans="1:44" x14ac:dyDescent="0.25">
      <c r="A548" t="s">
        <v>250</v>
      </c>
      <c r="B548" t="s">
        <v>355</v>
      </c>
      <c r="C548" t="s">
        <v>45</v>
      </c>
      <c r="D548" t="s">
        <v>356</v>
      </c>
      <c r="E548" t="s">
        <v>134</v>
      </c>
      <c r="F548" t="s">
        <v>356</v>
      </c>
      <c r="G548" t="s">
        <v>31</v>
      </c>
      <c r="H548" t="s">
        <v>290</v>
      </c>
      <c r="I548" t="s">
        <v>135</v>
      </c>
      <c r="J548" t="s">
        <v>39</v>
      </c>
      <c r="K548" t="s">
        <v>31</v>
      </c>
      <c r="L548">
        <v>27.609695928724999</v>
      </c>
      <c r="M548">
        <v>0</v>
      </c>
      <c r="N548">
        <v>0.97527625300994847</v>
      </c>
      <c r="O548">
        <v>5.5125763814213515</v>
      </c>
      <c r="P548">
        <v>0.57134666754224184</v>
      </c>
      <c r="Q548">
        <v>3.0616063307454859</v>
      </c>
      <c r="R548">
        <v>-1.9486051365640844</v>
      </c>
      <c r="S548" s="2">
        <v>6.6035075751438301E-4</v>
      </c>
      <c r="T548" s="2">
        <v>1.316037857062761E-3</v>
      </c>
      <c r="U548" s="2">
        <v>2.3296747567095274E-3</v>
      </c>
      <c r="V548" s="2">
        <v>3.7781666938498304E-3</v>
      </c>
      <c r="W548" s="2">
        <v>5.7175251481016189E-3</v>
      </c>
      <c r="X548" s="2">
        <v>8.1641515663413711E-3</v>
      </c>
      <c r="Y548" s="2">
        <v>1.1072171719228316E-2</v>
      </c>
      <c r="Z548" s="2">
        <v>1.4310472933709472E-2</v>
      </c>
      <c r="AA548" s="2">
        <v>1.7646489871299551E-2</v>
      </c>
      <c r="AB548" s="2">
        <v>2.0746975296977593E-2</v>
      </c>
      <c r="AC548" s="2">
        <v>2.3206927710494121E-2</v>
      </c>
      <c r="AD548" s="2">
        <v>2.4613738322264298E-2</v>
      </c>
      <c r="AE548" s="2">
        <v>2.4642347935255538E-2</v>
      </c>
      <c r="AF548" s="2">
        <v>2.3159880069903081E-2</v>
      </c>
      <c r="AG548" s="2">
        <v>2.0301626295653095E-2</v>
      </c>
      <c r="AH548" s="2">
        <v>1.6738852968108391E-2</v>
      </c>
      <c r="AI548" s="2">
        <v>1.2761898430567816E-2</v>
      </c>
      <c r="AJ548" s="2">
        <v>8.425204798398183E-3</v>
      </c>
      <c r="AK548" s="2">
        <v>0</v>
      </c>
      <c r="AL548" s="2">
        <v>0</v>
      </c>
      <c r="AM548" s="2">
        <v>0</v>
      </c>
      <c r="AN548" s="2">
        <v>0</v>
      </c>
      <c r="AO548" s="2">
        <v>0</v>
      </c>
      <c r="AP548" s="2">
        <v>0</v>
      </c>
      <c r="AQ548" s="2">
        <v>0</v>
      </c>
      <c r="AR548" s="2">
        <v>0.23959249313143893</v>
      </c>
    </row>
    <row r="549" spans="1:44" x14ac:dyDescent="0.25">
      <c r="A549" t="s">
        <v>250</v>
      </c>
      <c r="B549" t="s">
        <v>355</v>
      </c>
      <c r="C549" t="s">
        <v>45</v>
      </c>
      <c r="D549" t="s">
        <v>356</v>
      </c>
      <c r="E549" t="s">
        <v>134</v>
      </c>
      <c r="F549" t="s">
        <v>356</v>
      </c>
      <c r="G549" t="s">
        <v>31</v>
      </c>
      <c r="H549" t="s">
        <v>275</v>
      </c>
      <c r="I549" t="s">
        <v>135</v>
      </c>
      <c r="J549" t="s">
        <v>39</v>
      </c>
      <c r="K549" t="s">
        <v>31</v>
      </c>
      <c r="L549">
        <v>27.609695928724999</v>
      </c>
      <c r="M549">
        <v>0</v>
      </c>
      <c r="N549">
        <v>0.97527625300994847</v>
      </c>
      <c r="O549">
        <v>5.5125763814213515</v>
      </c>
      <c r="P549">
        <v>0.57134666754224184</v>
      </c>
      <c r="Q549">
        <v>3.0616063307454859</v>
      </c>
      <c r="R549">
        <v>-1.9486051365640844</v>
      </c>
      <c r="S549" s="2">
        <v>1.6892804783418466E-4</v>
      </c>
      <c r="T549" s="2">
        <v>3.3612277730836411E-4</v>
      </c>
      <c r="U549" s="2">
        <v>5.9405592663862501E-4</v>
      </c>
      <c r="V549" s="2">
        <v>9.6186834510269441E-4</v>
      </c>
      <c r="W549" s="2">
        <v>1.4532658852346452E-3</v>
      </c>
      <c r="X549" s="2">
        <v>2.0718128966364211E-3</v>
      </c>
      <c r="Y549" s="2">
        <v>2.8052706255802112E-3</v>
      </c>
      <c r="Z549" s="2">
        <v>3.6199153609490771E-3</v>
      </c>
      <c r="AA549" s="2">
        <v>4.4566162437060216E-3</v>
      </c>
      <c r="AB549" s="2">
        <v>5.2312343445314472E-3</v>
      </c>
      <c r="AC549" s="2">
        <v>5.842107085680893E-3</v>
      </c>
      <c r="AD549" s="2">
        <v>6.1863134490841212E-3</v>
      </c>
      <c r="AE549" s="2">
        <v>6.1835646440788145E-3</v>
      </c>
      <c r="AF549" s="2">
        <v>5.8022388723968201E-3</v>
      </c>
      <c r="AG549" s="2">
        <v>5.0779989351119091E-3</v>
      </c>
      <c r="AH549" s="2">
        <v>4.1801315461141688E-3</v>
      </c>
      <c r="AI549" s="2">
        <v>3.1818669548839148E-3</v>
      </c>
      <c r="AJ549" s="2">
        <v>8.2057650272079734E-4</v>
      </c>
      <c r="AK549" s="2">
        <v>0</v>
      </c>
      <c r="AL549" s="2">
        <v>0</v>
      </c>
      <c r="AM549" s="2">
        <v>0</v>
      </c>
      <c r="AN549" s="2">
        <v>0</v>
      </c>
      <c r="AO549" s="2">
        <v>0</v>
      </c>
      <c r="AP549" s="2">
        <v>0</v>
      </c>
      <c r="AQ549" s="2">
        <v>0</v>
      </c>
      <c r="AR549" s="2">
        <v>5.8973888443593123E-2</v>
      </c>
    </row>
    <row r="550" spans="1:44" x14ac:dyDescent="0.25">
      <c r="A550" t="s">
        <v>250</v>
      </c>
      <c r="B550" t="s">
        <v>355</v>
      </c>
      <c r="C550" t="s">
        <v>45</v>
      </c>
      <c r="D550" t="s">
        <v>356</v>
      </c>
      <c r="E550" t="s">
        <v>134</v>
      </c>
      <c r="F550" t="s">
        <v>356</v>
      </c>
      <c r="G550" t="s">
        <v>31</v>
      </c>
      <c r="H550" t="s">
        <v>277</v>
      </c>
      <c r="I550" t="s">
        <v>135</v>
      </c>
      <c r="J550" t="s">
        <v>39</v>
      </c>
      <c r="K550" t="s">
        <v>31</v>
      </c>
      <c r="L550">
        <v>27.609695928724999</v>
      </c>
      <c r="M550">
        <v>0</v>
      </c>
      <c r="N550">
        <v>0.97527625300994847</v>
      </c>
      <c r="O550">
        <v>5.5125763814213515</v>
      </c>
      <c r="P550">
        <v>0.57134666754224184</v>
      </c>
      <c r="Q550">
        <v>3.0616063307454859</v>
      </c>
      <c r="R550">
        <v>-1.9486051365640844</v>
      </c>
      <c r="S550" s="2">
        <v>4.4695720112706639E-4</v>
      </c>
      <c r="T550" s="2">
        <v>8.8922110031831164E-4</v>
      </c>
      <c r="U550" s="2">
        <v>1.5714001484165331E-3</v>
      </c>
      <c r="V550" s="2">
        <v>2.5440329381159086E-3</v>
      </c>
      <c r="W550" s="2">
        <v>3.8432604521020743E-3</v>
      </c>
      <c r="X550" s="2">
        <v>5.4783895590468272E-3</v>
      </c>
      <c r="Y550" s="2">
        <v>7.4169403057818897E-3</v>
      </c>
      <c r="Z550" s="2">
        <v>9.5696504882066234E-3</v>
      </c>
      <c r="AA550" s="2">
        <v>1.1780142384141504E-2</v>
      </c>
      <c r="AB550" s="2">
        <v>1.3826017973644146E-2</v>
      </c>
      <c r="AC550" s="2">
        <v>1.5438677506946519E-2</v>
      </c>
      <c r="AD550" s="2">
        <v>1.6346325548745575E-2</v>
      </c>
      <c r="AE550" s="2">
        <v>1.6337092530979175E-2</v>
      </c>
      <c r="AF550" s="2">
        <v>1.5327774710581396E-2</v>
      </c>
      <c r="AG550" s="2">
        <v>1.3412932848079704E-2</v>
      </c>
      <c r="AH550" s="2">
        <v>1.1039991384248394E-2</v>
      </c>
      <c r="AI550" s="2">
        <v>8.4024984778759814E-3</v>
      </c>
      <c r="AJ550" s="2">
        <v>1.9135480035757414E-3</v>
      </c>
      <c r="AK550" s="2">
        <v>0</v>
      </c>
      <c r="AL550" s="2">
        <v>0</v>
      </c>
      <c r="AM550" s="2">
        <v>0</v>
      </c>
      <c r="AN550" s="2">
        <v>0</v>
      </c>
      <c r="AO550" s="2">
        <v>0</v>
      </c>
      <c r="AP550" s="2">
        <v>0</v>
      </c>
      <c r="AQ550" s="2">
        <v>0</v>
      </c>
      <c r="AR550" s="2">
        <v>0.15558485356193336</v>
      </c>
    </row>
    <row r="551" spans="1:44" x14ac:dyDescent="0.25">
      <c r="A551" t="s">
        <v>250</v>
      </c>
      <c r="B551" t="s">
        <v>355</v>
      </c>
      <c r="C551" t="s">
        <v>45</v>
      </c>
      <c r="D551" t="s">
        <v>356</v>
      </c>
      <c r="E551" t="s">
        <v>134</v>
      </c>
      <c r="F551" t="s">
        <v>356</v>
      </c>
      <c r="G551" t="s">
        <v>31</v>
      </c>
      <c r="H551" t="s">
        <v>277</v>
      </c>
      <c r="I551" t="s">
        <v>135</v>
      </c>
      <c r="J551" t="s">
        <v>40</v>
      </c>
      <c r="K551" t="s">
        <v>31</v>
      </c>
      <c r="L551">
        <v>27.609695928724999</v>
      </c>
      <c r="M551">
        <v>0</v>
      </c>
      <c r="N551">
        <v>0.97527625300994847</v>
      </c>
      <c r="O551">
        <v>4.3334995790904642</v>
      </c>
      <c r="P551">
        <v>0.57134666754224184</v>
      </c>
      <c r="Q551">
        <v>0.4672931329656026</v>
      </c>
      <c r="R551">
        <v>-1.8056051365640844</v>
      </c>
      <c r="S551" s="2">
        <v>7.0505438014571204E-5</v>
      </c>
      <c r="T551" s="2">
        <v>1.4027052928478913E-4</v>
      </c>
      <c r="U551" s="2">
        <v>2.4788112929133126E-4</v>
      </c>
      <c r="V551" s="2">
        <v>4.0130946804986306E-4</v>
      </c>
      <c r="W551" s="2">
        <v>6.062566189698797E-4</v>
      </c>
      <c r="X551" s="2">
        <v>8.6419069767988991E-4</v>
      </c>
      <c r="Y551" s="2">
        <v>1.1699881412994928E-3</v>
      </c>
      <c r="Z551" s="2">
        <v>1.5095682486286827E-3</v>
      </c>
      <c r="AA551" s="2">
        <v>1.8582631548916232E-3</v>
      </c>
      <c r="AB551" s="2">
        <v>2.1809905976925615E-3</v>
      </c>
      <c r="AC551" s="2">
        <v>2.4353802047447433E-3</v>
      </c>
      <c r="AD551" s="2">
        <v>2.5785574991003101E-3</v>
      </c>
      <c r="AE551" s="2">
        <v>2.5771010331116771E-3</v>
      </c>
      <c r="AF551" s="2">
        <v>2.417885799877686E-3</v>
      </c>
      <c r="AG551" s="2">
        <v>2.115828323448444E-3</v>
      </c>
      <c r="AH551" s="2">
        <v>1.7415077467389066E-3</v>
      </c>
      <c r="AI551" s="2">
        <v>1.3254553995450521E-3</v>
      </c>
      <c r="AJ551" s="2">
        <v>3.0185337614833832E-4</v>
      </c>
      <c r="AK551" s="2">
        <v>0</v>
      </c>
      <c r="AL551" s="2">
        <v>0</v>
      </c>
      <c r="AM551" s="2">
        <v>0</v>
      </c>
      <c r="AN551" s="2">
        <v>0</v>
      </c>
      <c r="AO551" s="2">
        <v>0</v>
      </c>
      <c r="AP551" s="2">
        <v>0</v>
      </c>
      <c r="AQ551" s="2">
        <v>0</v>
      </c>
      <c r="AR551" s="2">
        <v>2.454279340651784E-2</v>
      </c>
    </row>
    <row r="552" spans="1:44" x14ac:dyDescent="0.25">
      <c r="A552" t="s">
        <v>250</v>
      </c>
      <c r="B552" t="s">
        <v>332</v>
      </c>
      <c r="C552" t="s">
        <v>44</v>
      </c>
      <c r="D552" t="s">
        <v>333</v>
      </c>
      <c r="E552" t="s">
        <v>134</v>
      </c>
      <c r="F552" t="s">
        <v>334</v>
      </c>
      <c r="G552" t="s">
        <v>31</v>
      </c>
      <c r="H552" t="s">
        <v>272</v>
      </c>
      <c r="I552" t="s">
        <v>135</v>
      </c>
      <c r="J552" t="s">
        <v>39</v>
      </c>
      <c r="K552" t="s">
        <v>31</v>
      </c>
      <c r="L552">
        <v>47.690400470307488</v>
      </c>
      <c r="M552">
        <v>1</v>
      </c>
      <c r="N552">
        <v>3.235559366958098</v>
      </c>
      <c r="O552">
        <v>7.3503117205943074</v>
      </c>
      <c r="P552">
        <v>-2.2239257747150929</v>
      </c>
      <c r="Q552">
        <v>1.2304919070027225</v>
      </c>
      <c r="R552">
        <v>-2.9127631550786535</v>
      </c>
      <c r="S552" s="2">
        <v>0.13359316904741955</v>
      </c>
      <c r="T552" s="2">
        <v>0.21630798493293085</v>
      </c>
      <c r="U552" s="2">
        <v>0.3268150124779457</v>
      </c>
      <c r="V552" s="2">
        <v>0.46591581385458297</v>
      </c>
      <c r="W552" s="2">
        <v>0.63085809955208827</v>
      </c>
      <c r="X552" s="2">
        <v>0.81405797512866329</v>
      </c>
      <c r="Y552" s="2">
        <v>1.0022179066434449</v>
      </c>
      <c r="Z552" s="2">
        <v>1.1764164664933712</v>
      </c>
      <c r="AA552" s="2">
        <v>1.3137914537889399</v>
      </c>
      <c r="AB552" s="2">
        <v>1.3911976656140053</v>
      </c>
      <c r="AC552" s="2">
        <v>1.3905795056811012</v>
      </c>
      <c r="AD552" s="2">
        <v>1.3048257643343888</v>
      </c>
      <c r="AE552" s="2">
        <v>1.1419564046765178</v>
      </c>
      <c r="AF552" s="2">
        <v>0.94004115646200559</v>
      </c>
      <c r="AG552" s="2">
        <v>0.71554826899115564</v>
      </c>
      <c r="AH552" s="2">
        <v>8.0342924881526334E-2</v>
      </c>
      <c r="AI552" s="2">
        <v>0</v>
      </c>
      <c r="AJ552" s="2">
        <v>0</v>
      </c>
      <c r="AK552" s="2">
        <v>0</v>
      </c>
      <c r="AL552" s="2">
        <v>0</v>
      </c>
      <c r="AM552" s="2">
        <v>0</v>
      </c>
      <c r="AN552" s="2">
        <v>0</v>
      </c>
      <c r="AO552" s="2">
        <v>0</v>
      </c>
      <c r="AP552" s="2">
        <v>0</v>
      </c>
      <c r="AQ552" s="2">
        <v>0</v>
      </c>
      <c r="AR552" s="2">
        <v>13.044465572560087</v>
      </c>
    </row>
    <row r="553" spans="1:44" x14ac:dyDescent="0.25">
      <c r="A553" t="s">
        <v>250</v>
      </c>
      <c r="B553" t="s">
        <v>332</v>
      </c>
      <c r="C553" t="s">
        <v>44</v>
      </c>
      <c r="D553" t="s">
        <v>333</v>
      </c>
      <c r="E553" t="s">
        <v>134</v>
      </c>
      <c r="F553" t="s">
        <v>334</v>
      </c>
      <c r="G553" t="s">
        <v>31</v>
      </c>
      <c r="H553" t="s">
        <v>272</v>
      </c>
      <c r="I553" t="s">
        <v>135</v>
      </c>
      <c r="J553" t="s">
        <v>40</v>
      </c>
      <c r="K553" t="s">
        <v>31</v>
      </c>
      <c r="L553">
        <v>47.690400470307488</v>
      </c>
      <c r="M553">
        <v>1</v>
      </c>
      <c r="N553">
        <v>3.235559366958098</v>
      </c>
      <c r="O553">
        <v>6.1135235078055725</v>
      </c>
      <c r="P553">
        <v>-2.2239257747150929</v>
      </c>
      <c r="Q553">
        <v>0.4672931329656026</v>
      </c>
      <c r="R553">
        <v>-2.7697631550786532</v>
      </c>
      <c r="S553" s="2">
        <v>1.3214480767377065E-2</v>
      </c>
      <c r="T553" s="2">
        <v>2.139628640527047E-2</v>
      </c>
      <c r="U553" s="2">
        <v>3.2327182053350105E-2</v>
      </c>
      <c r="V553" s="2">
        <v>4.6086454908580099E-2</v>
      </c>
      <c r="W553" s="2">
        <v>6.2401859937285004E-2</v>
      </c>
      <c r="X553" s="2">
        <v>8.0523229837067958E-2</v>
      </c>
      <c r="Y553" s="2">
        <v>9.9135227845068605E-2</v>
      </c>
      <c r="Z553" s="2">
        <v>0.11636622502295989</v>
      </c>
      <c r="AA553" s="2">
        <v>0.12995478752566988</v>
      </c>
      <c r="AB553" s="2">
        <v>0.13761148812444648</v>
      </c>
      <c r="AC553" s="2">
        <v>0.13755034231435173</v>
      </c>
      <c r="AD553" s="2">
        <v>0.12906793880647083</v>
      </c>
      <c r="AE553" s="2">
        <v>0.11295757900184639</v>
      </c>
      <c r="AF553" s="2">
        <v>9.2984962264056795E-2</v>
      </c>
      <c r="AG553" s="2">
        <v>7.0779059334667507E-2</v>
      </c>
      <c r="AH553" s="2">
        <v>7.9471880427122703E-3</v>
      </c>
      <c r="AI553" s="2">
        <v>0</v>
      </c>
      <c r="AJ553" s="2">
        <v>0</v>
      </c>
      <c r="AK553" s="2">
        <v>0</v>
      </c>
      <c r="AL553" s="2">
        <v>0</v>
      </c>
      <c r="AM553" s="2">
        <v>0</v>
      </c>
      <c r="AN553" s="2">
        <v>0</v>
      </c>
      <c r="AO553" s="2">
        <v>0</v>
      </c>
      <c r="AP553" s="2">
        <v>0</v>
      </c>
      <c r="AQ553" s="2">
        <v>0</v>
      </c>
      <c r="AR553" s="2">
        <v>1.2903042921911811</v>
      </c>
    </row>
    <row r="554" spans="1:44" x14ac:dyDescent="0.25">
      <c r="A554" t="s">
        <v>250</v>
      </c>
      <c r="B554" t="s">
        <v>332</v>
      </c>
      <c r="C554" t="s">
        <v>44</v>
      </c>
      <c r="D554" t="s">
        <v>333</v>
      </c>
      <c r="E554" t="s">
        <v>134</v>
      </c>
      <c r="F554" t="s">
        <v>334</v>
      </c>
      <c r="G554" t="s">
        <v>31</v>
      </c>
      <c r="H554" t="s">
        <v>273</v>
      </c>
      <c r="I554" t="s">
        <v>135</v>
      </c>
      <c r="J554" t="s">
        <v>39</v>
      </c>
      <c r="K554" t="s">
        <v>31</v>
      </c>
      <c r="L554">
        <v>47.690400470307488</v>
      </c>
      <c r="M554">
        <v>1</v>
      </c>
      <c r="N554">
        <v>3.235559366958098</v>
      </c>
      <c r="O554">
        <v>7.3503117205943074</v>
      </c>
      <c r="P554">
        <v>-2.2239257747150929</v>
      </c>
      <c r="Q554">
        <v>1.2304919070027225</v>
      </c>
      <c r="R554">
        <v>-2.9127631550786535</v>
      </c>
      <c r="S554" s="2">
        <v>4.0179020289426881E-2</v>
      </c>
      <c r="T554" s="2">
        <v>6.505604274048131E-2</v>
      </c>
      <c r="U554" s="2">
        <v>9.8291754817042484E-2</v>
      </c>
      <c r="V554" s="2">
        <v>0.14012723159058643</v>
      </c>
      <c r="W554" s="2">
        <v>0.18973470397019693</v>
      </c>
      <c r="X554" s="2">
        <v>0.24483326604711672</v>
      </c>
      <c r="Y554" s="2">
        <v>0.30142359742331232</v>
      </c>
      <c r="Z554" s="2">
        <v>0.35381495485952041</v>
      </c>
      <c r="AA554" s="2">
        <v>0.39513138174845225</v>
      </c>
      <c r="AB554" s="2">
        <v>0.41841180677035611</v>
      </c>
      <c r="AC554" s="2">
        <v>0.41822589112314612</v>
      </c>
      <c r="AD554" s="2">
        <v>0.39243489194233594</v>
      </c>
      <c r="AE554" s="2">
        <v>0.34345086564158456</v>
      </c>
      <c r="AF554" s="2">
        <v>0.28272353270530315</v>
      </c>
      <c r="AG554" s="2">
        <v>0.21520582693606841</v>
      </c>
      <c r="AH554" s="2">
        <v>2.4163660701697353E-2</v>
      </c>
      <c r="AI554" s="2">
        <v>0</v>
      </c>
      <c r="AJ554" s="2">
        <v>0</v>
      </c>
      <c r="AK554" s="2">
        <v>0</v>
      </c>
      <c r="AL554" s="2">
        <v>0</v>
      </c>
      <c r="AM554" s="2">
        <v>0</v>
      </c>
      <c r="AN554" s="2">
        <v>0</v>
      </c>
      <c r="AO554" s="2">
        <v>0</v>
      </c>
      <c r="AP554" s="2">
        <v>0</v>
      </c>
      <c r="AQ554" s="2">
        <v>0</v>
      </c>
      <c r="AR554" s="2">
        <v>3.9232084293066274</v>
      </c>
    </row>
    <row r="555" spans="1:44" x14ac:dyDescent="0.25">
      <c r="A555" t="s">
        <v>250</v>
      </c>
      <c r="B555" t="s">
        <v>332</v>
      </c>
      <c r="C555" t="s">
        <v>44</v>
      </c>
      <c r="D555" t="s">
        <v>333</v>
      </c>
      <c r="E555" t="s">
        <v>134</v>
      </c>
      <c r="F555" t="s">
        <v>334</v>
      </c>
      <c r="G555" t="s">
        <v>31</v>
      </c>
      <c r="H555" t="s">
        <v>274</v>
      </c>
      <c r="I555" t="s">
        <v>135</v>
      </c>
      <c r="J555" t="s">
        <v>39</v>
      </c>
      <c r="K555" t="s">
        <v>31</v>
      </c>
      <c r="L555">
        <v>47.690400470307488</v>
      </c>
      <c r="M555">
        <v>1</v>
      </c>
      <c r="N555">
        <v>3.235559366958098</v>
      </c>
      <c r="O555">
        <v>7.3503117205943074</v>
      </c>
      <c r="P555">
        <v>-2.2239257747150929</v>
      </c>
      <c r="Q555">
        <v>1.2304919070027225</v>
      </c>
      <c r="R555">
        <v>-2.9127631550786535</v>
      </c>
      <c r="S555" s="2">
        <v>6.324897281005995E-2</v>
      </c>
      <c r="T555" s="2">
        <v>0.10240986088716533</v>
      </c>
      <c r="U555" s="2">
        <v>0.15472882322897671</v>
      </c>
      <c r="V555" s="2">
        <v>0.22058535516741434</v>
      </c>
      <c r="W555" s="2">
        <v>0.29867639992440786</v>
      </c>
      <c r="X555" s="2">
        <v>0.38541140315676797</v>
      </c>
      <c r="Y555" s="2">
        <v>0.47449471839796037</v>
      </c>
      <c r="Z555" s="2">
        <v>0.55696809674553704</v>
      </c>
      <c r="AA555" s="2">
        <v>0.62200755121910833</v>
      </c>
      <c r="AB555" s="2">
        <v>0.6586551090393401</v>
      </c>
      <c r="AC555" s="2">
        <v>0.65836244451863657</v>
      </c>
      <c r="AD555" s="2">
        <v>0.61776279340268836</v>
      </c>
      <c r="AE555" s="2">
        <v>0.54065316441457711</v>
      </c>
      <c r="AF555" s="2">
        <v>0.4450574679031552</v>
      </c>
      <c r="AG555" s="2">
        <v>0.33877250859767094</v>
      </c>
      <c r="AH555" s="2">
        <v>3.8037928941623243E-2</v>
      </c>
      <c r="AI555" s="2">
        <v>0</v>
      </c>
      <c r="AJ555" s="2">
        <v>0</v>
      </c>
      <c r="AK555" s="2">
        <v>0</v>
      </c>
      <c r="AL555" s="2">
        <v>0</v>
      </c>
      <c r="AM555" s="2">
        <v>0</v>
      </c>
      <c r="AN555" s="2">
        <v>0</v>
      </c>
      <c r="AO555" s="2">
        <v>0</v>
      </c>
      <c r="AP555" s="2">
        <v>0</v>
      </c>
      <c r="AQ555" s="2">
        <v>0</v>
      </c>
      <c r="AR555" s="2">
        <v>6.1758325983550888</v>
      </c>
    </row>
    <row r="556" spans="1:44" x14ac:dyDescent="0.25">
      <c r="A556" t="s">
        <v>250</v>
      </c>
      <c r="B556" t="s">
        <v>332</v>
      </c>
      <c r="C556" t="s">
        <v>44</v>
      </c>
      <c r="D556" t="s">
        <v>333</v>
      </c>
      <c r="E556" t="s">
        <v>134</v>
      </c>
      <c r="F556" t="s">
        <v>334</v>
      </c>
      <c r="G556" t="s">
        <v>31</v>
      </c>
      <c r="H556" t="s">
        <v>274</v>
      </c>
      <c r="I556" t="s">
        <v>135</v>
      </c>
      <c r="J556" t="s">
        <v>39</v>
      </c>
      <c r="K556" t="s">
        <v>33</v>
      </c>
      <c r="L556">
        <v>47.690400470307488</v>
      </c>
      <c r="M556">
        <v>1</v>
      </c>
      <c r="N556">
        <v>3.235559366958098</v>
      </c>
      <c r="O556">
        <v>7.3503117205943074</v>
      </c>
      <c r="P556">
        <v>-2.2239257747150929</v>
      </c>
      <c r="Q556">
        <v>1.2304919070027225</v>
      </c>
      <c r="R556">
        <v>-2.9127631550786535</v>
      </c>
      <c r="S556" s="2">
        <v>2.0350247098160009E-4</v>
      </c>
      <c r="T556" s="2">
        <v>3.2950194789733078E-4</v>
      </c>
      <c r="U556" s="2">
        <v>4.9783730012076569E-4</v>
      </c>
      <c r="V556" s="2">
        <v>7.0972954728812365E-4</v>
      </c>
      <c r="W556" s="2">
        <v>9.6098612685830255E-4</v>
      </c>
      <c r="X556" s="2">
        <v>1.2400544926227332E-3</v>
      </c>
      <c r="Y556" s="2">
        <v>1.526678511470547E-3</v>
      </c>
      <c r="Z556" s="2">
        <v>1.7920351732195702E-3</v>
      </c>
      <c r="AA556" s="2">
        <v>2.0012984878415253E-3</v>
      </c>
      <c r="AB556" s="2">
        <v>2.119211368328211E-3</v>
      </c>
      <c r="AC556" s="2">
        <v>2.118269725318281E-3</v>
      </c>
      <c r="AD556" s="2">
        <v>1.9876410533254891E-3</v>
      </c>
      <c r="AE556" s="2">
        <v>1.7395421619382889E-3</v>
      </c>
      <c r="AF556" s="2">
        <v>1.4319646695147711E-3</v>
      </c>
      <c r="AG556" s="2">
        <v>1.0899946597914729E-3</v>
      </c>
      <c r="AH556" s="2">
        <v>1.2238637541022788E-4</v>
      </c>
      <c r="AI556" s="2">
        <v>0</v>
      </c>
      <c r="AJ556" s="2">
        <v>0</v>
      </c>
      <c r="AK556" s="2">
        <v>0</v>
      </c>
      <c r="AL556" s="2">
        <v>0</v>
      </c>
      <c r="AM556" s="2">
        <v>0</v>
      </c>
      <c r="AN556" s="2">
        <v>0</v>
      </c>
      <c r="AO556" s="2">
        <v>0</v>
      </c>
      <c r="AP556" s="2">
        <v>0</v>
      </c>
      <c r="AQ556" s="2">
        <v>0</v>
      </c>
      <c r="AR556" s="2">
        <v>1.9870634071927244E-2</v>
      </c>
    </row>
    <row r="557" spans="1:44" x14ac:dyDescent="0.25">
      <c r="A557" t="s">
        <v>250</v>
      </c>
      <c r="B557" t="s">
        <v>332</v>
      </c>
      <c r="C557" t="s">
        <v>44</v>
      </c>
      <c r="D557" t="s">
        <v>333</v>
      </c>
      <c r="E557" t="s">
        <v>134</v>
      </c>
      <c r="F557" t="s">
        <v>334</v>
      </c>
      <c r="G557" t="s">
        <v>31</v>
      </c>
      <c r="H557" t="s">
        <v>278</v>
      </c>
      <c r="I557" t="s">
        <v>135</v>
      </c>
      <c r="J557" t="s">
        <v>39</v>
      </c>
      <c r="K557" t="s">
        <v>31</v>
      </c>
      <c r="L557">
        <v>47.690400470307488</v>
      </c>
      <c r="M557">
        <v>1</v>
      </c>
      <c r="N557">
        <v>3.235559366958098</v>
      </c>
      <c r="O557">
        <v>7.3503117205943074</v>
      </c>
      <c r="P557">
        <v>-2.2239257747150929</v>
      </c>
      <c r="Q557">
        <v>1.2304919070027225</v>
      </c>
      <c r="R557">
        <v>-2.9127631550786535</v>
      </c>
      <c r="S557" s="2">
        <v>2.0166384976387417E-3</v>
      </c>
      <c r="T557" s="2">
        <v>3.2508158689794806E-3</v>
      </c>
      <c r="U557" s="2">
        <v>4.8898758802862763E-3</v>
      </c>
      <c r="V557" s="2">
        <v>6.940316993765583E-3</v>
      </c>
      <c r="W557" s="2">
        <v>9.355770439828397E-3</v>
      </c>
      <c r="X557" s="2">
        <v>1.2019301437817124E-2</v>
      </c>
      <c r="Y557" s="2">
        <v>1.4732012136299955E-2</v>
      </c>
      <c r="Z557" s="2">
        <v>1.7216189042250928E-2</v>
      </c>
      <c r="AA557" s="2">
        <v>1.914160625703672E-2</v>
      </c>
      <c r="AB557" s="2">
        <v>2.0179797526005055E-2</v>
      </c>
      <c r="AC557" s="2">
        <v>2.0081669104683817E-2</v>
      </c>
      <c r="AD557" s="2">
        <v>1.8759986597093253E-2</v>
      </c>
      <c r="AE557" s="2">
        <v>1.634577599552739E-2</v>
      </c>
      <c r="AF557" s="2">
        <v>1.2119671496887176E-2</v>
      </c>
      <c r="AG557" s="2">
        <v>0</v>
      </c>
      <c r="AH557" s="2">
        <v>0</v>
      </c>
      <c r="AI557" s="2">
        <v>0</v>
      </c>
      <c r="AJ557" s="2">
        <v>0</v>
      </c>
      <c r="AK557" s="2">
        <v>0</v>
      </c>
      <c r="AL557" s="2">
        <v>0</v>
      </c>
      <c r="AM557" s="2">
        <v>0</v>
      </c>
      <c r="AN557" s="2">
        <v>0</v>
      </c>
      <c r="AO557" s="2">
        <v>0</v>
      </c>
      <c r="AP557" s="2">
        <v>0</v>
      </c>
      <c r="AQ557" s="2">
        <v>0</v>
      </c>
      <c r="AR557" s="2">
        <v>0.17704942727409989</v>
      </c>
    </row>
    <row r="558" spans="1:44" x14ac:dyDescent="0.25">
      <c r="A558" t="s">
        <v>250</v>
      </c>
      <c r="B558" t="s">
        <v>332</v>
      </c>
      <c r="C558" t="s">
        <v>44</v>
      </c>
      <c r="D558" t="s">
        <v>333</v>
      </c>
      <c r="E558" t="s">
        <v>134</v>
      </c>
      <c r="F558" t="s">
        <v>334</v>
      </c>
      <c r="G558" t="s">
        <v>31</v>
      </c>
      <c r="H558" t="s">
        <v>275</v>
      </c>
      <c r="I558" t="s">
        <v>135</v>
      </c>
      <c r="J558" t="s">
        <v>39</v>
      </c>
      <c r="K558" t="s">
        <v>31</v>
      </c>
      <c r="L558">
        <v>47.690400470307488</v>
      </c>
      <c r="M558">
        <v>1</v>
      </c>
      <c r="N558">
        <v>3.235559366958098</v>
      </c>
      <c r="O558">
        <v>7.3503117205943074</v>
      </c>
      <c r="P558">
        <v>-2.2239257747150929</v>
      </c>
      <c r="Q558">
        <v>1.2304919070027225</v>
      </c>
      <c r="R558">
        <v>-2.9127631550786535</v>
      </c>
      <c r="S558" s="2">
        <v>9.6624658760305251E-2</v>
      </c>
      <c r="T558" s="2">
        <v>0.15645025400853313</v>
      </c>
      <c r="U558" s="2">
        <v>0.23637727350578452</v>
      </c>
      <c r="V558" s="2">
        <v>0.33698546748860547</v>
      </c>
      <c r="W558" s="2">
        <v>0.45628417253698356</v>
      </c>
      <c r="X558" s="2">
        <v>0.5887881440254783</v>
      </c>
      <c r="Y558" s="2">
        <v>0.72487960217873748</v>
      </c>
      <c r="Z558" s="2">
        <v>0.85087314303157258</v>
      </c>
      <c r="AA558" s="2">
        <v>0.95023309806732759</v>
      </c>
      <c r="AB558" s="2">
        <v>1.0062191103526565</v>
      </c>
      <c r="AC558" s="2">
        <v>1.0057720104522494</v>
      </c>
      <c r="AD558" s="2">
        <v>0.94374843503946437</v>
      </c>
      <c r="AE558" s="2">
        <v>0.82594902649436741</v>
      </c>
      <c r="AF558" s="2">
        <v>0.67990868553723016</v>
      </c>
      <c r="AG558" s="2">
        <v>0.51753849250522743</v>
      </c>
      <c r="AH558" s="2">
        <v>5.8110064727385849E-2</v>
      </c>
      <c r="AI558" s="2">
        <v>0</v>
      </c>
      <c r="AJ558" s="2">
        <v>0</v>
      </c>
      <c r="AK558" s="2">
        <v>0</v>
      </c>
      <c r="AL558" s="2">
        <v>0</v>
      </c>
      <c r="AM558" s="2">
        <v>0</v>
      </c>
      <c r="AN558" s="2">
        <v>0</v>
      </c>
      <c r="AO558" s="2">
        <v>0</v>
      </c>
      <c r="AP558" s="2">
        <v>0</v>
      </c>
      <c r="AQ558" s="2">
        <v>0</v>
      </c>
      <c r="AR558" s="2">
        <v>9.4347416387119072</v>
      </c>
    </row>
    <row r="559" spans="1:44" x14ac:dyDescent="0.25">
      <c r="A559" t="s">
        <v>250</v>
      </c>
      <c r="B559" t="s">
        <v>332</v>
      </c>
      <c r="C559" t="s">
        <v>44</v>
      </c>
      <c r="D559" t="s">
        <v>333</v>
      </c>
      <c r="E559" t="s">
        <v>134</v>
      </c>
      <c r="F559" t="s">
        <v>334</v>
      </c>
      <c r="G559" t="s">
        <v>31</v>
      </c>
      <c r="H559" t="s">
        <v>277</v>
      </c>
      <c r="I559" t="s">
        <v>135</v>
      </c>
      <c r="J559" t="s">
        <v>39</v>
      </c>
      <c r="K559" t="s">
        <v>31</v>
      </c>
      <c r="L559">
        <v>47.690400470307488</v>
      </c>
      <c r="M559">
        <v>1</v>
      </c>
      <c r="N559">
        <v>3.235559366958098</v>
      </c>
      <c r="O559">
        <v>7.3503117205943074</v>
      </c>
      <c r="P559">
        <v>-2.2239257747150929</v>
      </c>
      <c r="Q559">
        <v>1.2304919070027225</v>
      </c>
      <c r="R559">
        <v>-2.9127631550786535</v>
      </c>
      <c r="S559" s="2">
        <v>20.295531696388139</v>
      </c>
      <c r="T559" s="2">
        <v>32.85764048337137</v>
      </c>
      <c r="U559" s="2">
        <v>49.637906933961183</v>
      </c>
      <c r="V559" s="2">
        <v>70.756534580219636</v>
      </c>
      <c r="W559" s="2">
        <v>95.794026249712203</v>
      </c>
      <c r="X559" s="2">
        <v>123.5975095219803</v>
      </c>
      <c r="Y559" s="2">
        <v>152.14727667311814</v>
      </c>
      <c r="Z559" s="2">
        <v>178.57093007257762</v>
      </c>
      <c r="AA559" s="2">
        <v>199.39935032352506</v>
      </c>
      <c r="AB559" s="2">
        <v>211.12214392263479</v>
      </c>
      <c r="AC559" s="2">
        <v>211.00289421725566</v>
      </c>
      <c r="AD559" s="2">
        <v>197.96697727639608</v>
      </c>
      <c r="AE559" s="2">
        <v>173.23569940733444</v>
      </c>
      <c r="AF559" s="2">
        <v>142.58780317199819</v>
      </c>
      <c r="AG559" s="2">
        <v>108.52307374313777</v>
      </c>
      <c r="AH559" s="2">
        <v>8.4997325387944382</v>
      </c>
      <c r="AI559" s="2">
        <v>0</v>
      </c>
      <c r="AJ559" s="2">
        <v>0</v>
      </c>
      <c r="AK559" s="2">
        <v>0</v>
      </c>
      <c r="AL559" s="2">
        <v>0</v>
      </c>
      <c r="AM559" s="2">
        <v>0</v>
      </c>
      <c r="AN559" s="2">
        <v>0</v>
      </c>
      <c r="AO559" s="2">
        <v>0</v>
      </c>
      <c r="AP559" s="2">
        <v>0</v>
      </c>
      <c r="AQ559" s="2">
        <v>0</v>
      </c>
      <c r="AR559" s="2">
        <v>1975.9950308124053</v>
      </c>
    </row>
    <row r="560" spans="1:44" x14ac:dyDescent="0.25">
      <c r="A560" t="s">
        <v>250</v>
      </c>
      <c r="B560" t="s">
        <v>332</v>
      </c>
      <c r="C560" t="s">
        <v>44</v>
      </c>
      <c r="D560" t="s">
        <v>333</v>
      </c>
      <c r="E560" t="s">
        <v>134</v>
      </c>
      <c r="F560" t="s">
        <v>334</v>
      </c>
      <c r="G560" t="s">
        <v>31</v>
      </c>
      <c r="H560" t="s">
        <v>277</v>
      </c>
      <c r="I560" t="s">
        <v>135</v>
      </c>
      <c r="J560" t="s">
        <v>40</v>
      </c>
      <c r="K560" t="s">
        <v>31</v>
      </c>
      <c r="L560">
        <v>47.690400470307488</v>
      </c>
      <c r="M560">
        <v>1</v>
      </c>
      <c r="N560">
        <v>3.235559366958098</v>
      </c>
      <c r="O560">
        <v>6.1135235078055725</v>
      </c>
      <c r="P560">
        <v>-2.2239257747150929</v>
      </c>
      <c r="Q560">
        <v>0.4672931329656026</v>
      </c>
      <c r="R560">
        <v>-2.7697631550786532</v>
      </c>
      <c r="S560" s="2">
        <v>3.2015265631342915</v>
      </c>
      <c r="T560" s="2">
        <v>5.1831413132256561</v>
      </c>
      <c r="U560" s="2">
        <v>7.8301509891335366</v>
      </c>
      <c r="V560" s="2">
        <v>11.161517143904986</v>
      </c>
      <c r="W560" s="2">
        <v>15.111066032461535</v>
      </c>
      <c r="X560" s="2">
        <v>19.496937345193267</v>
      </c>
      <c r="Y560" s="2">
        <v>24.00053149946384</v>
      </c>
      <c r="Z560" s="2">
        <v>28.168741010746476</v>
      </c>
      <c r="AA560" s="2">
        <v>31.454328286757548</v>
      </c>
      <c r="AB560" s="2">
        <v>33.303544935187098</v>
      </c>
      <c r="AC560" s="2">
        <v>33.284733843902153</v>
      </c>
      <c r="AD560" s="2">
        <v>31.228378041782335</v>
      </c>
      <c r="AE560" s="2">
        <v>27.327132968604641</v>
      </c>
      <c r="AF560" s="2">
        <v>22.492568623632373</v>
      </c>
      <c r="AG560" s="2">
        <v>17.119014593910279</v>
      </c>
      <c r="AH560" s="2">
        <v>1.3407936244079799</v>
      </c>
      <c r="AI560" s="2">
        <v>0</v>
      </c>
      <c r="AJ560" s="2">
        <v>0</v>
      </c>
      <c r="AK560" s="2">
        <v>0</v>
      </c>
      <c r="AL560" s="2">
        <v>0</v>
      </c>
      <c r="AM560" s="2">
        <v>0</v>
      </c>
      <c r="AN560" s="2">
        <v>0</v>
      </c>
      <c r="AO560" s="2">
        <v>0</v>
      </c>
      <c r="AP560" s="2">
        <v>0</v>
      </c>
      <c r="AQ560" s="2">
        <v>0</v>
      </c>
      <c r="AR560" s="2">
        <v>311.70410681544803</v>
      </c>
    </row>
    <row r="561" spans="1:44" x14ac:dyDescent="0.25">
      <c r="A561" t="s">
        <v>250</v>
      </c>
      <c r="B561" t="s">
        <v>428</v>
      </c>
      <c r="C561" t="s">
        <v>44</v>
      </c>
      <c r="D561" t="s">
        <v>426</v>
      </c>
      <c r="E561" t="s">
        <v>134</v>
      </c>
      <c r="F561" t="s">
        <v>427</v>
      </c>
      <c r="G561" t="s">
        <v>31</v>
      </c>
      <c r="H561" t="s">
        <v>253</v>
      </c>
      <c r="I561" t="s">
        <v>135</v>
      </c>
      <c r="J561" t="s">
        <v>39</v>
      </c>
      <c r="K561" t="s">
        <v>31</v>
      </c>
      <c r="L561">
        <v>2.6811632968427466</v>
      </c>
      <c r="M561">
        <v>1</v>
      </c>
      <c r="N561">
        <v>3.805910542982351</v>
      </c>
      <c r="O561">
        <v>32.367018153726569</v>
      </c>
      <c r="P561">
        <v>-12.417746747424893</v>
      </c>
      <c r="Q561">
        <v>4.6064513862797813</v>
      </c>
      <c r="R561">
        <v>-16.482543607065516</v>
      </c>
      <c r="S561" s="2">
        <v>17.096360478426384</v>
      </c>
      <c r="T561" s="2">
        <v>10.945456328870248</v>
      </c>
      <c r="U561" s="2">
        <v>7.2113831483442903</v>
      </c>
      <c r="V561" s="2">
        <v>2.4425310594883332</v>
      </c>
      <c r="W561" s="2">
        <v>0</v>
      </c>
      <c r="X561" s="2">
        <v>0</v>
      </c>
      <c r="Y561" s="2">
        <v>0</v>
      </c>
      <c r="Z561" s="2">
        <v>0</v>
      </c>
      <c r="AA561" s="2">
        <v>0</v>
      </c>
      <c r="AB561" s="2">
        <v>0</v>
      </c>
      <c r="AC561" s="2">
        <v>0</v>
      </c>
      <c r="AD561" s="2">
        <v>0</v>
      </c>
      <c r="AE561" s="2">
        <v>0</v>
      </c>
      <c r="AF561" s="2">
        <v>0</v>
      </c>
      <c r="AG561" s="2">
        <v>0</v>
      </c>
      <c r="AH561" s="2">
        <v>0</v>
      </c>
      <c r="AI561" s="2">
        <v>0</v>
      </c>
      <c r="AJ561" s="2">
        <v>0</v>
      </c>
      <c r="AK561" s="2">
        <v>0</v>
      </c>
      <c r="AL561" s="2">
        <v>0</v>
      </c>
      <c r="AM561" s="2">
        <v>0</v>
      </c>
      <c r="AN561" s="2">
        <v>0</v>
      </c>
      <c r="AO561" s="2">
        <v>0</v>
      </c>
      <c r="AP561" s="2">
        <v>0</v>
      </c>
      <c r="AQ561" s="2">
        <v>0</v>
      </c>
      <c r="AR561" s="2">
        <v>37.695731015129255</v>
      </c>
    </row>
    <row r="562" spans="1:44" x14ac:dyDescent="0.25">
      <c r="A562" t="s">
        <v>250</v>
      </c>
      <c r="B562" t="s">
        <v>428</v>
      </c>
      <c r="C562" t="s">
        <v>44</v>
      </c>
      <c r="D562" t="s">
        <v>426</v>
      </c>
      <c r="E562" t="s">
        <v>134</v>
      </c>
      <c r="F562" t="s">
        <v>427</v>
      </c>
      <c r="G562" t="s">
        <v>31</v>
      </c>
      <c r="H562" t="s">
        <v>253</v>
      </c>
      <c r="I562" t="s">
        <v>135</v>
      </c>
      <c r="J562" t="s">
        <v>40</v>
      </c>
      <c r="K562" t="s">
        <v>31</v>
      </c>
      <c r="L562">
        <v>2.6811632968427466</v>
      </c>
      <c r="M562">
        <v>1</v>
      </c>
      <c r="N562">
        <v>3.805910542982351</v>
      </c>
      <c r="O562">
        <v>31.165987365504993</v>
      </c>
      <c r="P562">
        <v>-12.417746747424893</v>
      </c>
      <c r="Q562">
        <v>0.4672931329656026</v>
      </c>
      <c r="R562">
        <v>-16.339543607065512</v>
      </c>
      <c r="S562" s="2">
        <v>8.9930409414383856</v>
      </c>
      <c r="T562" s="2">
        <v>5.7575375187290279</v>
      </c>
      <c r="U562" s="2">
        <v>3.7933374170072662</v>
      </c>
      <c r="V562" s="2">
        <v>1.2848221027178182</v>
      </c>
      <c r="W562" s="2">
        <v>0</v>
      </c>
      <c r="X562" s="2">
        <v>0</v>
      </c>
      <c r="Y562" s="2">
        <v>0</v>
      </c>
      <c r="Z562" s="2">
        <v>0</v>
      </c>
      <c r="AA562" s="2">
        <v>0</v>
      </c>
      <c r="AB562" s="2">
        <v>0</v>
      </c>
      <c r="AC562" s="2">
        <v>0</v>
      </c>
      <c r="AD562" s="2">
        <v>0</v>
      </c>
      <c r="AE562" s="2">
        <v>0</v>
      </c>
      <c r="AF562" s="2">
        <v>0</v>
      </c>
      <c r="AG562" s="2">
        <v>0</v>
      </c>
      <c r="AH562" s="2">
        <v>0</v>
      </c>
      <c r="AI562" s="2">
        <v>0</v>
      </c>
      <c r="AJ562" s="2">
        <v>0</v>
      </c>
      <c r="AK562" s="2">
        <v>0</v>
      </c>
      <c r="AL562" s="2">
        <v>0</v>
      </c>
      <c r="AM562" s="2">
        <v>0</v>
      </c>
      <c r="AN562" s="2">
        <v>0</v>
      </c>
      <c r="AO562" s="2">
        <v>0</v>
      </c>
      <c r="AP562" s="2">
        <v>0</v>
      </c>
      <c r="AQ562" s="2">
        <v>0</v>
      </c>
      <c r="AR562" s="2">
        <v>19.828737979892498</v>
      </c>
    </row>
    <row r="563" spans="1:44" x14ac:dyDescent="0.25">
      <c r="A563" t="s">
        <v>250</v>
      </c>
      <c r="B563" t="s">
        <v>428</v>
      </c>
      <c r="C563" t="s">
        <v>44</v>
      </c>
      <c r="D563" t="s">
        <v>426</v>
      </c>
      <c r="E563" t="s">
        <v>134</v>
      </c>
      <c r="F563" t="s">
        <v>427</v>
      </c>
      <c r="G563" t="s">
        <v>31</v>
      </c>
      <c r="H563" t="s">
        <v>253</v>
      </c>
      <c r="I563" t="s">
        <v>256</v>
      </c>
      <c r="J563" t="s">
        <v>39</v>
      </c>
      <c r="K563" t="s">
        <v>31</v>
      </c>
      <c r="L563">
        <v>2.6811632968427466</v>
      </c>
      <c r="M563">
        <v>1</v>
      </c>
      <c r="N563">
        <v>3.4883261751745867</v>
      </c>
      <c r="O563">
        <v>29.66615094150913</v>
      </c>
      <c r="P563">
        <v>-10.954809796076024</v>
      </c>
      <c r="Q563">
        <v>0.4672931329656026</v>
      </c>
      <c r="R563">
        <v>-15.019606655716643</v>
      </c>
      <c r="S563" s="2">
        <v>8.9680824461216204</v>
      </c>
      <c r="T563" s="2">
        <v>5.7415585552023352</v>
      </c>
      <c r="U563" s="2">
        <v>3.7828097217845054</v>
      </c>
      <c r="V563" s="2">
        <v>1.281256320393181</v>
      </c>
      <c r="W563" s="2">
        <v>0</v>
      </c>
      <c r="X563" s="2">
        <v>0</v>
      </c>
      <c r="Y563" s="2">
        <v>0</v>
      </c>
      <c r="Z563" s="2">
        <v>0</v>
      </c>
      <c r="AA563" s="2">
        <v>0</v>
      </c>
      <c r="AB563" s="2">
        <v>0</v>
      </c>
      <c r="AC563" s="2">
        <v>0</v>
      </c>
      <c r="AD563" s="2">
        <v>0</v>
      </c>
      <c r="AE563" s="2">
        <v>0</v>
      </c>
      <c r="AF563" s="2">
        <v>0</v>
      </c>
      <c r="AG563" s="2">
        <v>0</v>
      </c>
      <c r="AH563" s="2">
        <v>0</v>
      </c>
      <c r="AI563" s="2">
        <v>0</v>
      </c>
      <c r="AJ563" s="2">
        <v>0</v>
      </c>
      <c r="AK563" s="2">
        <v>0</v>
      </c>
      <c r="AL563" s="2">
        <v>0</v>
      </c>
      <c r="AM563" s="2">
        <v>0</v>
      </c>
      <c r="AN563" s="2">
        <v>0</v>
      </c>
      <c r="AO563" s="2">
        <v>0</v>
      </c>
      <c r="AP563" s="2">
        <v>0</v>
      </c>
      <c r="AQ563" s="2">
        <v>0</v>
      </c>
      <c r="AR563" s="2">
        <v>19.773707043501645</v>
      </c>
    </row>
    <row r="564" spans="1:44" x14ac:dyDescent="0.25">
      <c r="A564" t="s">
        <v>250</v>
      </c>
      <c r="B564" t="s">
        <v>431</v>
      </c>
      <c r="C564" t="s">
        <v>44</v>
      </c>
      <c r="D564" t="s">
        <v>426</v>
      </c>
      <c r="E564" t="s">
        <v>134</v>
      </c>
      <c r="F564" t="s">
        <v>427</v>
      </c>
      <c r="G564" t="s">
        <v>31</v>
      </c>
      <c r="H564" t="s">
        <v>252</v>
      </c>
      <c r="I564" t="s">
        <v>135</v>
      </c>
      <c r="J564" t="s">
        <v>39</v>
      </c>
      <c r="K564" t="s">
        <v>31</v>
      </c>
      <c r="L564">
        <v>6.7044253476663016</v>
      </c>
      <c r="M564">
        <v>1</v>
      </c>
      <c r="N564">
        <v>3.813725317797616</v>
      </c>
      <c r="O564">
        <v>32.433478191464303</v>
      </c>
      <c r="P564">
        <v>-12.417746747424887</v>
      </c>
      <c r="Q564">
        <v>4.6064513862797822</v>
      </c>
      <c r="R564">
        <v>-16.482543607065512</v>
      </c>
      <c r="S564" s="2">
        <v>14.697274295788931</v>
      </c>
      <c r="T564" s="2">
        <v>9.4132892448607564</v>
      </c>
      <c r="U564" s="2">
        <v>6.2044101507309763</v>
      </c>
      <c r="V564" s="2">
        <v>2.4048423753631125</v>
      </c>
      <c r="W564" s="2">
        <v>0</v>
      </c>
      <c r="X564" s="2">
        <v>0</v>
      </c>
      <c r="Y564" s="2">
        <v>0</v>
      </c>
      <c r="Z564" s="2">
        <v>0</v>
      </c>
      <c r="AA564" s="2">
        <v>0</v>
      </c>
      <c r="AB564" s="2">
        <v>0</v>
      </c>
      <c r="AC564" s="2">
        <v>0</v>
      </c>
      <c r="AD564" s="2">
        <v>0</v>
      </c>
      <c r="AE564" s="2">
        <v>0</v>
      </c>
      <c r="AF564" s="2">
        <v>0</v>
      </c>
      <c r="AG564" s="2">
        <v>0</v>
      </c>
      <c r="AH564" s="2">
        <v>0</v>
      </c>
      <c r="AI564" s="2">
        <v>0</v>
      </c>
      <c r="AJ564" s="2">
        <v>0</v>
      </c>
      <c r="AK564" s="2">
        <v>0</v>
      </c>
      <c r="AL564" s="2">
        <v>0</v>
      </c>
      <c r="AM564" s="2">
        <v>0</v>
      </c>
      <c r="AN564" s="2">
        <v>0</v>
      </c>
      <c r="AO564" s="2">
        <v>0</v>
      </c>
      <c r="AP564" s="2">
        <v>0</v>
      </c>
      <c r="AQ564" s="2">
        <v>0</v>
      </c>
      <c r="AR564" s="2">
        <v>32.719816066743775</v>
      </c>
    </row>
    <row r="565" spans="1:44" x14ac:dyDescent="0.25">
      <c r="A565" t="s">
        <v>250</v>
      </c>
      <c r="B565" t="s">
        <v>425</v>
      </c>
      <c r="C565" t="s">
        <v>44</v>
      </c>
      <c r="D565" t="s">
        <v>426</v>
      </c>
      <c r="E565" t="s">
        <v>134</v>
      </c>
      <c r="F565" t="s">
        <v>427</v>
      </c>
      <c r="G565" t="s">
        <v>31</v>
      </c>
      <c r="H565" t="s">
        <v>288</v>
      </c>
      <c r="I565" t="s">
        <v>135</v>
      </c>
      <c r="J565" t="s">
        <v>39</v>
      </c>
      <c r="K565" t="s">
        <v>31</v>
      </c>
      <c r="L565">
        <v>2.8887849337297156</v>
      </c>
      <c r="M565">
        <v>1</v>
      </c>
      <c r="N565">
        <v>3.8176751585856912</v>
      </c>
      <c r="O565">
        <v>32.467069251224679</v>
      </c>
      <c r="P565">
        <v>-12.417746747424893</v>
      </c>
      <c r="Q565">
        <v>4.6064513862797822</v>
      </c>
      <c r="R565">
        <v>-16.482543607065516</v>
      </c>
      <c r="S565" s="2">
        <v>75.126158715057826</v>
      </c>
      <c r="T565" s="2">
        <v>48.150501582158128</v>
      </c>
      <c r="U565" s="2">
        <v>31.75886254521977</v>
      </c>
      <c r="V565" s="2">
        <v>15.057268944663326</v>
      </c>
      <c r="W565" s="2">
        <v>0</v>
      </c>
      <c r="X565" s="2">
        <v>0</v>
      </c>
      <c r="Y565" s="2">
        <v>0</v>
      </c>
      <c r="Z565" s="2">
        <v>0</v>
      </c>
      <c r="AA565" s="2">
        <v>0</v>
      </c>
      <c r="AB565" s="2">
        <v>0</v>
      </c>
      <c r="AC565" s="2">
        <v>0</v>
      </c>
      <c r="AD565" s="2">
        <v>0</v>
      </c>
      <c r="AE565" s="2">
        <v>0</v>
      </c>
      <c r="AF565" s="2">
        <v>0</v>
      </c>
      <c r="AG565" s="2">
        <v>0</v>
      </c>
      <c r="AH565" s="2">
        <v>0</v>
      </c>
      <c r="AI565" s="2">
        <v>0</v>
      </c>
      <c r="AJ565" s="2">
        <v>0</v>
      </c>
      <c r="AK565" s="2">
        <v>0</v>
      </c>
      <c r="AL565" s="2">
        <v>0</v>
      </c>
      <c r="AM565" s="2">
        <v>0</v>
      </c>
      <c r="AN565" s="2">
        <v>0</v>
      </c>
      <c r="AO565" s="2">
        <v>0</v>
      </c>
      <c r="AP565" s="2">
        <v>0</v>
      </c>
      <c r="AQ565" s="2">
        <v>0</v>
      </c>
      <c r="AR565" s="2">
        <v>170.09279178709906</v>
      </c>
    </row>
    <row r="566" spans="1:44" x14ac:dyDescent="0.25">
      <c r="A566" t="s">
        <v>250</v>
      </c>
      <c r="B566" t="s">
        <v>425</v>
      </c>
      <c r="C566" t="s">
        <v>44</v>
      </c>
      <c r="D566" t="s">
        <v>426</v>
      </c>
      <c r="E566" t="s">
        <v>134</v>
      </c>
      <c r="F566" t="s">
        <v>427</v>
      </c>
      <c r="G566" t="s">
        <v>31</v>
      </c>
      <c r="H566" t="s">
        <v>288</v>
      </c>
      <c r="I566" t="s">
        <v>135</v>
      </c>
      <c r="J566" t="s">
        <v>39</v>
      </c>
      <c r="K566" t="s">
        <v>33</v>
      </c>
      <c r="L566">
        <v>2.8887849337297156</v>
      </c>
      <c r="M566">
        <v>1</v>
      </c>
      <c r="N566">
        <v>3.8176751585856912</v>
      </c>
      <c r="O566">
        <v>32.467069251224679</v>
      </c>
      <c r="P566">
        <v>-12.417746747424893</v>
      </c>
      <c r="Q566">
        <v>4.6064513862797822</v>
      </c>
      <c r="R566">
        <v>-16.482543607065516</v>
      </c>
      <c r="S566" s="2">
        <v>0.70672029248940926</v>
      </c>
      <c r="T566" s="2">
        <v>0.4529572274648192</v>
      </c>
      <c r="U566" s="2">
        <v>0.29875922063602056</v>
      </c>
      <c r="V566" s="2">
        <v>0.14164543608605026</v>
      </c>
      <c r="W566" s="2">
        <v>0</v>
      </c>
      <c r="X566" s="2">
        <v>0</v>
      </c>
      <c r="Y566" s="2">
        <v>0</v>
      </c>
      <c r="Z566" s="2">
        <v>0</v>
      </c>
      <c r="AA566" s="2">
        <v>0</v>
      </c>
      <c r="AB566" s="2">
        <v>0</v>
      </c>
      <c r="AC566" s="2">
        <v>0</v>
      </c>
      <c r="AD566" s="2">
        <v>0</v>
      </c>
      <c r="AE566" s="2">
        <v>0</v>
      </c>
      <c r="AF566" s="2">
        <v>0</v>
      </c>
      <c r="AG566" s="2">
        <v>0</v>
      </c>
      <c r="AH566" s="2">
        <v>0</v>
      </c>
      <c r="AI566" s="2">
        <v>0</v>
      </c>
      <c r="AJ566" s="2">
        <v>0</v>
      </c>
      <c r="AK566" s="2">
        <v>0</v>
      </c>
      <c r="AL566" s="2">
        <v>0</v>
      </c>
      <c r="AM566" s="2">
        <v>0</v>
      </c>
      <c r="AN566" s="2">
        <v>0</v>
      </c>
      <c r="AO566" s="2">
        <v>0</v>
      </c>
      <c r="AP566" s="2">
        <v>0</v>
      </c>
      <c r="AQ566" s="2">
        <v>0</v>
      </c>
      <c r="AR566" s="2">
        <v>1.6000821766762994</v>
      </c>
    </row>
    <row r="567" spans="1:44" x14ac:dyDescent="0.25">
      <c r="A567" t="s">
        <v>250</v>
      </c>
      <c r="B567" t="s">
        <v>425</v>
      </c>
      <c r="C567" t="s">
        <v>44</v>
      </c>
      <c r="D567" t="s">
        <v>426</v>
      </c>
      <c r="E567" t="s">
        <v>134</v>
      </c>
      <c r="F567" t="s">
        <v>427</v>
      </c>
      <c r="G567" t="s">
        <v>31</v>
      </c>
      <c r="H567" t="s">
        <v>289</v>
      </c>
      <c r="I567" t="s">
        <v>135</v>
      </c>
      <c r="J567" t="s">
        <v>39</v>
      </c>
      <c r="K567" t="s">
        <v>31</v>
      </c>
      <c r="L567">
        <v>2.8887849337297156</v>
      </c>
      <c r="M567">
        <v>1</v>
      </c>
      <c r="N567">
        <v>3.8176751585856912</v>
      </c>
      <c r="O567">
        <v>32.467069251224679</v>
      </c>
      <c r="P567">
        <v>-12.417746747424893</v>
      </c>
      <c r="Q567">
        <v>4.6064513862797822</v>
      </c>
      <c r="R567">
        <v>-16.482543607065516</v>
      </c>
      <c r="S567" s="2">
        <v>71.404157275932931</v>
      </c>
      <c r="T567" s="2">
        <v>45.764964516924735</v>
      </c>
      <c r="U567" s="2">
        <v>30.185422160138767</v>
      </c>
      <c r="V567" s="2">
        <v>14.311281426601973</v>
      </c>
      <c r="W567" s="2">
        <v>0</v>
      </c>
      <c r="X567" s="2">
        <v>0</v>
      </c>
      <c r="Y567" s="2">
        <v>0</v>
      </c>
      <c r="Z567" s="2">
        <v>0</v>
      </c>
      <c r="AA567" s="2">
        <v>0</v>
      </c>
      <c r="AB567" s="2">
        <v>0</v>
      </c>
      <c r="AC567" s="2">
        <v>0</v>
      </c>
      <c r="AD567" s="2">
        <v>0</v>
      </c>
      <c r="AE567" s="2">
        <v>0</v>
      </c>
      <c r="AF567" s="2">
        <v>0</v>
      </c>
      <c r="AG567" s="2">
        <v>0</v>
      </c>
      <c r="AH567" s="2">
        <v>0</v>
      </c>
      <c r="AI567" s="2">
        <v>0</v>
      </c>
      <c r="AJ567" s="2">
        <v>0</v>
      </c>
      <c r="AK567" s="2">
        <v>0</v>
      </c>
      <c r="AL567" s="2">
        <v>0</v>
      </c>
      <c r="AM567" s="2">
        <v>0</v>
      </c>
      <c r="AN567" s="2">
        <v>0</v>
      </c>
      <c r="AO567" s="2">
        <v>0</v>
      </c>
      <c r="AP567" s="2">
        <v>0</v>
      </c>
      <c r="AQ567" s="2">
        <v>0</v>
      </c>
      <c r="AR567" s="2">
        <v>161.66582537959843</v>
      </c>
    </row>
    <row r="568" spans="1:44" x14ac:dyDescent="0.25">
      <c r="A568" t="s">
        <v>250</v>
      </c>
      <c r="B568" t="s">
        <v>425</v>
      </c>
      <c r="C568" t="s">
        <v>44</v>
      </c>
      <c r="D568" t="s">
        <v>426</v>
      </c>
      <c r="E568" t="s">
        <v>134</v>
      </c>
      <c r="F568" t="s">
        <v>427</v>
      </c>
      <c r="G568" t="s">
        <v>31</v>
      </c>
      <c r="H568" t="s">
        <v>290</v>
      </c>
      <c r="I568" t="s">
        <v>135</v>
      </c>
      <c r="J568" t="s">
        <v>39</v>
      </c>
      <c r="K568" t="s">
        <v>31</v>
      </c>
      <c r="L568">
        <v>2.8887849337297156</v>
      </c>
      <c r="M568">
        <v>1</v>
      </c>
      <c r="N568">
        <v>3.8176751585856912</v>
      </c>
      <c r="O568">
        <v>32.467069251224679</v>
      </c>
      <c r="P568">
        <v>-12.417746747424893</v>
      </c>
      <c r="Q568">
        <v>4.6064513862797822</v>
      </c>
      <c r="R568">
        <v>-16.482543607065516</v>
      </c>
      <c r="S568" s="2">
        <v>103.39808305085316</v>
      </c>
      <c r="T568" s="2">
        <v>66.270785658236107</v>
      </c>
      <c r="U568" s="2">
        <v>43.710547207747474</v>
      </c>
      <c r="V568" s="2">
        <v>20.723710242718287</v>
      </c>
      <c r="W568" s="2">
        <v>0</v>
      </c>
      <c r="X568" s="2">
        <v>0</v>
      </c>
      <c r="Y568" s="2">
        <v>0</v>
      </c>
      <c r="Z568" s="2">
        <v>0</v>
      </c>
      <c r="AA568" s="2">
        <v>0</v>
      </c>
      <c r="AB568" s="2">
        <v>0</v>
      </c>
      <c r="AC568" s="2">
        <v>0</v>
      </c>
      <c r="AD568" s="2">
        <v>0</v>
      </c>
      <c r="AE568" s="2">
        <v>0</v>
      </c>
      <c r="AF568" s="2">
        <v>0</v>
      </c>
      <c r="AG568" s="2">
        <v>0</v>
      </c>
      <c r="AH568" s="2">
        <v>0</v>
      </c>
      <c r="AI568" s="2">
        <v>0</v>
      </c>
      <c r="AJ568" s="2">
        <v>0</v>
      </c>
      <c r="AK568" s="2">
        <v>0</v>
      </c>
      <c r="AL568" s="2">
        <v>0</v>
      </c>
      <c r="AM568" s="2">
        <v>0</v>
      </c>
      <c r="AN568" s="2">
        <v>0</v>
      </c>
      <c r="AO568" s="2">
        <v>0</v>
      </c>
      <c r="AP568" s="2">
        <v>0</v>
      </c>
      <c r="AQ568" s="2">
        <v>0</v>
      </c>
      <c r="AR568" s="2">
        <v>234.10312615955505</v>
      </c>
    </row>
    <row r="569" spans="1:44" x14ac:dyDescent="0.25">
      <c r="A569" t="s">
        <v>250</v>
      </c>
      <c r="B569" t="s">
        <v>429</v>
      </c>
      <c r="C569" t="s">
        <v>44</v>
      </c>
      <c r="D569" t="s">
        <v>426</v>
      </c>
      <c r="E569" t="s">
        <v>134</v>
      </c>
      <c r="F569" t="s">
        <v>427</v>
      </c>
      <c r="G569" t="s">
        <v>31</v>
      </c>
      <c r="H569" t="s">
        <v>254</v>
      </c>
      <c r="I569" t="s">
        <v>135</v>
      </c>
      <c r="J569" t="s">
        <v>39</v>
      </c>
      <c r="K569" t="s">
        <v>31</v>
      </c>
      <c r="L569">
        <v>1.0818728120569481</v>
      </c>
      <c r="M569">
        <v>1</v>
      </c>
      <c r="N569">
        <v>3.8101151180996409</v>
      </c>
      <c r="O569">
        <v>32.402775578293678</v>
      </c>
      <c r="P569">
        <v>-12.417746747424893</v>
      </c>
      <c r="Q569">
        <v>4.6064513862797831</v>
      </c>
      <c r="R569">
        <v>-16.482543607065512</v>
      </c>
      <c r="S569" s="2">
        <v>15.291704205496172</v>
      </c>
      <c r="T569" s="2">
        <v>9.7862756309748278</v>
      </c>
      <c r="U569" s="2">
        <v>6.4451568434866555</v>
      </c>
      <c r="V569" s="2">
        <v>1.8807315167089058</v>
      </c>
      <c r="W569" s="2">
        <v>0</v>
      </c>
      <c r="X569" s="2">
        <v>0</v>
      </c>
      <c r="Y569" s="2">
        <v>0</v>
      </c>
      <c r="Z569" s="2">
        <v>0</v>
      </c>
      <c r="AA569" s="2">
        <v>0</v>
      </c>
      <c r="AB569" s="2">
        <v>0</v>
      </c>
      <c r="AC569" s="2">
        <v>0</v>
      </c>
      <c r="AD569" s="2">
        <v>0</v>
      </c>
      <c r="AE569" s="2">
        <v>0</v>
      </c>
      <c r="AF569" s="2">
        <v>0</v>
      </c>
      <c r="AG569" s="2">
        <v>0</v>
      </c>
      <c r="AH569" s="2">
        <v>0</v>
      </c>
      <c r="AI569" s="2">
        <v>0</v>
      </c>
      <c r="AJ569" s="2">
        <v>0</v>
      </c>
      <c r="AK569" s="2">
        <v>0</v>
      </c>
      <c r="AL569" s="2">
        <v>0</v>
      </c>
      <c r="AM569" s="2">
        <v>0</v>
      </c>
      <c r="AN569" s="2">
        <v>0</v>
      </c>
      <c r="AO569" s="2">
        <v>0</v>
      </c>
      <c r="AP569" s="2">
        <v>0</v>
      </c>
      <c r="AQ569" s="2">
        <v>0</v>
      </c>
      <c r="AR569" s="2">
        <v>33.403868196666558</v>
      </c>
    </row>
    <row r="570" spans="1:44" x14ac:dyDescent="0.25">
      <c r="A570" t="s">
        <v>250</v>
      </c>
      <c r="B570" t="s">
        <v>429</v>
      </c>
      <c r="C570" t="s">
        <v>44</v>
      </c>
      <c r="D570" t="s">
        <v>426</v>
      </c>
      <c r="E570" t="s">
        <v>134</v>
      </c>
      <c r="F570" t="s">
        <v>427</v>
      </c>
      <c r="G570" t="s">
        <v>31</v>
      </c>
      <c r="H570" t="s">
        <v>255</v>
      </c>
      <c r="I570" t="s">
        <v>135</v>
      </c>
      <c r="J570" t="s">
        <v>39</v>
      </c>
      <c r="K570" t="s">
        <v>31</v>
      </c>
      <c r="L570">
        <v>1.0818728120569481</v>
      </c>
      <c r="M570">
        <v>1</v>
      </c>
      <c r="N570">
        <v>3.8101151180996409</v>
      </c>
      <c r="O570">
        <v>32.402775578293678</v>
      </c>
      <c r="P570">
        <v>-12.417746747424893</v>
      </c>
      <c r="Q570">
        <v>4.6064513862797831</v>
      </c>
      <c r="R570">
        <v>-16.482543607065512</v>
      </c>
      <c r="S570" s="2">
        <v>3.2057334241338742</v>
      </c>
      <c r="T570" s="2">
        <v>2.0422811721321446</v>
      </c>
      <c r="U570" s="2">
        <v>1.0312103215100403</v>
      </c>
      <c r="V570" s="2">
        <v>0</v>
      </c>
      <c r="W570" s="2">
        <v>0</v>
      </c>
      <c r="X570" s="2">
        <v>0</v>
      </c>
      <c r="Y570" s="2">
        <v>0</v>
      </c>
      <c r="Z570" s="2">
        <v>0</v>
      </c>
      <c r="AA570" s="2">
        <v>0</v>
      </c>
      <c r="AB570" s="2">
        <v>0</v>
      </c>
      <c r="AC570" s="2">
        <v>0</v>
      </c>
      <c r="AD570" s="2">
        <v>0</v>
      </c>
      <c r="AE570" s="2">
        <v>0</v>
      </c>
      <c r="AF570" s="2">
        <v>0</v>
      </c>
      <c r="AG570" s="2">
        <v>0</v>
      </c>
      <c r="AH570" s="2">
        <v>0</v>
      </c>
      <c r="AI570" s="2">
        <v>0</v>
      </c>
      <c r="AJ570" s="2">
        <v>0</v>
      </c>
      <c r="AK570" s="2">
        <v>0</v>
      </c>
      <c r="AL570" s="2">
        <v>0</v>
      </c>
      <c r="AM570" s="2">
        <v>0</v>
      </c>
      <c r="AN570" s="2">
        <v>0</v>
      </c>
      <c r="AO570" s="2">
        <v>0</v>
      </c>
      <c r="AP570" s="2">
        <v>0</v>
      </c>
      <c r="AQ570" s="2">
        <v>0</v>
      </c>
      <c r="AR570" s="2">
        <v>6.2792249177760588</v>
      </c>
    </row>
    <row r="571" spans="1:44" x14ac:dyDescent="0.25">
      <c r="A571" t="s">
        <v>250</v>
      </c>
      <c r="B571" t="s">
        <v>433</v>
      </c>
      <c r="C571" t="s">
        <v>44</v>
      </c>
      <c r="D571" t="s">
        <v>426</v>
      </c>
      <c r="E571" t="s">
        <v>134</v>
      </c>
      <c r="F571" t="s">
        <v>427</v>
      </c>
      <c r="G571" t="s">
        <v>31</v>
      </c>
      <c r="H571" t="s">
        <v>278</v>
      </c>
      <c r="I571" t="s">
        <v>135</v>
      </c>
      <c r="J571" t="s">
        <v>39</v>
      </c>
      <c r="K571" t="s">
        <v>31</v>
      </c>
      <c r="L571">
        <v>5.6706223366326478</v>
      </c>
      <c r="M571">
        <v>1</v>
      </c>
      <c r="N571">
        <v>3.8164878835265905</v>
      </c>
      <c r="O571">
        <v>32.456972179063527</v>
      </c>
      <c r="P571">
        <v>-12.417746747424896</v>
      </c>
      <c r="Q571">
        <v>4.6064513862797822</v>
      </c>
      <c r="R571">
        <v>-16.482543607065516</v>
      </c>
      <c r="S571" s="2">
        <v>34.054784733027908</v>
      </c>
      <c r="T571" s="2">
        <v>21.695330359562558</v>
      </c>
      <c r="U571" s="2">
        <v>10.954636854431831</v>
      </c>
      <c r="V571" s="2">
        <v>0</v>
      </c>
      <c r="W571" s="2">
        <v>0</v>
      </c>
      <c r="X571" s="2">
        <v>0</v>
      </c>
      <c r="Y571" s="2">
        <v>0</v>
      </c>
      <c r="Z571" s="2">
        <v>0</v>
      </c>
      <c r="AA571" s="2">
        <v>0</v>
      </c>
      <c r="AB571" s="2">
        <v>0</v>
      </c>
      <c r="AC571" s="2">
        <v>0</v>
      </c>
      <c r="AD571" s="2">
        <v>0</v>
      </c>
      <c r="AE571" s="2">
        <v>0</v>
      </c>
      <c r="AF571" s="2">
        <v>0</v>
      </c>
      <c r="AG571" s="2">
        <v>0</v>
      </c>
      <c r="AH571" s="2">
        <v>0</v>
      </c>
      <c r="AI571" s="2">
        <v>0</v>
      </c>
      <c r="AJ571" s="2">
        <v>0</v>
      </c>
      <c r="AK571" s="2">
        <v>0</v>
      </c>
      <c r="AL571" s="2">
        <v>0</v>
      </c>
      <c r="AM571" s="2">
        <v>0</v>
      </c>
      <c r="AN571" s="2">
        <v>0</v>
      </c>
      <c r="AO571" s="2">
        <v>0</v>
      </c>
      <c r="AP571" s="2">
        <v>0</v>
      </c>
      <c r="AQ571" s="2">
        <v>0</v>
      </c>
      <c r="AR571" s="2">
        <v>66.704751947022302</v>
      </c>
    </row>
    <row r="572" spans="1:44" x14ac:dyDescent="0.25">
      <c r="A572" t="s">
        <v>250</v>
      </c>
      <c r="B572" t="s">
        <v>432</v>
      </c>
      <c r="C572" t="s">
        <v>44</v>
      </c>
      <c r="D572" t="s">
        <v>426</v>
      </c>
      <c r="E572" t="s">
        <v>134</v>
      </c>
      <c r="F572" t="s">
        <v>427</v>
      </c>
      <c r="G572" t="s">
        <v>31</v>
      </c>
      <c r="H572" t="s">
        <v>272</v>
      </c>
      <c r="I572" t="s">
        <v>135</v>
      </c>
      <c r="J572" t="s">
        <v>39</v>
      </c>
      <c r="K572" t="s">
        <v>31</v>
      </c>
      <c r="L572">
        <v>1.3518127382698817</v>
      </c>
      <c r="M572">
        <v>1</v>
      </c>
      <c r="N572">
        <v>3.816697933114499</v>
      </c>
      <c r="O572">
        <v>32.458758526574407</v>
      </c>
      <c r="P572">
        <v>-12.417746747424886</v>
      </c>
      <c r="Q572">
        <v>4.6064513862797805</v>
      </c>
      <c r="R572">
        <v>-16.482543607065505</v>
      </c>
      <c r="S572" s="2">
        <v>29.692112502543399</v>
      </c>
      <c r="T572" s="2">
        <v>18.999982790377512</v>
      </c>
      <c r="U572" s="2">
        <v>12.511800465989101</v>
      </c>
      <c r="V572" s="2">
        <v>3.4798702946778017</v>
      </c>
      <c r="W572" s="2">
        <v>0</v>
      </c>
      <c r="X572" s="2">
        <v>0</v>
      </c>
      <c r="Y572" s="2">
        <v>0</v>
      </c>
      <c r="Z572" s="2">
        <v>0</v>
      </c>
      <c r="AA572" s="2">
        <v>0</v>
      </c>
      <c r="AB572" s="2">
        <v>0</v>
      </c>
      <c r="AC572" s="2">
        <v>0</v>
      </c>
      <c r="AD572" s="2">
        <v>0</v>
      </c>
      <c r="AE572" s="2">
        <v>0</v>
      </c>
      <c r="AF572" s="2">
        <v>0</v>
      </c>
      <c r="AG572" s="2">
        <v>0</v>
      </c>
      <c r="AH572" s="2">
        <v>0</v>
      </c>
      <c r="AI572" s="2">
        <v>0</v>
      </c>
      <c r="AJ572" s="2">
        <v>0</v>
      </c>
      <c r="AK572" s="2">
        <v>0</v>
      </c>
      <c r="AL572" s="2">
        <v>0</v>
      </c>
      <c r="AM572" s="2">
        <v>0</v>
      </c>
      <c r="AN572" s="2">
        <v>0</v>
      </c>
      <c r="AO572" s="2">
        <v>0</v>
      </c>
      <c r="AP572" s="2">
        <v>0</v>
      </c>
      <c r="AQ572" s="2">
        <v>0</v>
      </c>
      <c r="AR572" s="2">
        <v>64.683766053587817</v>
      </c>
    </row>
    <row r="573" spans="1:44" x14ac:dyDescent="0.25">
      <c r="A573" t="s">
        <v>250</v>
      </c>
      <c r="B573" t="s">
        <v>432</v>
      </c>
      <c r="C573" t="s">
        <v>44</v>
      </c>
      <c r="D573" t="s">
        <v>426</v>
      </c>
      <c r="E573" t="s">
        <v>134</v>
      </c>
      <c r="F573" t="s">
        <v>427</v>
      </c>
      <c r="G573" t="s">
        <v>31</v>
      </c>
      <c r="H573" t="s">
        <v>272</v>
      </c>
      <c r="I573" t="s">
        <v>135</v>
      </c>
      <c r="J573" t="s">
        <v>40</v>
      </c>
      <c r="K573" t="s">
        <v>31</v>
      </c>
      <c r="L573">
        <v>1.3518127382698817</v>
      </c>
      <c r="M573">
        <v>1</v>
      </c>
      <c r="N573">
        <v>3.816697933114499</v>
      </c>
      <c r="O573">
        <v>31.165987365505025</v>
      </c>
      <c r="P573">
        <v>-12.417746747424886</v>
      </c>
      <c r="Q573">
        <v>0.4672931329656026</v>
      </c>
      <c r="R573">
        <v>-16.339543607065504</v>
      </c>
      <c r="S573" s="2">
        <v>2.9370203013028573</v>
      </c>
      <c r="T573" s="2">
        <v>1.8793992908036985</v>
      </c>
      <c r="U573" s="2">
        <v>1.2376152748078402</v>
      </c>
      <c r="V573" s="2">
        <v>0.34421429935286668</v>
      </c>
      <c r="W573" s="2">
        <v>0</v>
      </c>
      <c r="X573" s="2">
        <v>0</v>
      </c>
      <c r="Y573" s="2">
        <v>0</v>
      </c>
      <c r="Z573" s="2">
        <v>0</v>
      </c>
      <c r="AA573" s="2">
        <v>0</v>
      </c>
      <c r="AB573" s="2">
        <v>0</v>
      </c>
      <c r="AC573" s="2">
        <v>0</v>
      </c>
      <c r="AD573" s="2">
        <v>0</v>
      </c>
      <c r="AE573" s="2">
        <v>0</v>
      </c>
      <c r="AF573" s="2">
        <v>0</v>
      </c>
      <c r="AG573" s="2">
        <v>0</v>
      </c>
      <c r="AH573" s="2">
        <v>0</v>
      </c>
      <c r="AI573" s="2">
        <v>0</v>
      </c>
      <c r="AJ573" s="2">
        <v>0</v>
      </c>
      <c r="AK573" s="2">
        <v>0</v>
      </c>
      <c r="AL573" s="2">
        <v>0</v>
      </c>
      <c r="AM573" s="2">
        <v>0</v>
      </c>
      <c r="AN573" s="2">
        <v>0</v>
      </c>
      <c r="AO573" s="2">
        <v>0</v>
      </c>
      <c r="AP573" s="2">
        <v>0</v>
      </c>
      <c r="AQ573" s="2">
        <v>0</v>
      </c>
      <c r="AR573" s="2">
        <v>6.3982491662672638</v>
      </c>
    </row>
    <row r="574" spans="1:44" x14ac:dyDescent="0.25">
      <c r="A574" t="s">
        <v>250</v>
      </c>
      <c r="B574" t="s">
        <v>432</v>
      </c>
      <c r="C574" t="s">
        <v>44</v>
      </c>
      <c r="D574" t="s">
        <v>426</v>
      </c>
      <c r="E574" t="s">
        <v>134</v>
      </c>
      <c r="F574" t="s">
        <v>427</v>
      </c>
      <c r="G574" t="s">
        <v>31</v>
      </c>
      <c r="H574" t="s">
        <v>273</v>
      </c>
      <c r="I574" t="s">
        <v>135</v>
      </c>
      <c r="J574" t="s">
        <v>39</v>
      </c>
      <c r="K574" t="s">
        <v>31</v>
      </c>
      <c r="L574">
        <v>1.3518127382698817</v>
      </c>
      <c r="M574">
        <v>1</v>
      </c>
      <c r="N574">
        <v>3.816697933114499</v>
      </c>
      <c r="O574">
        <v>32.458758526574407</v>
      </c>
      <c r="P574">
        <v>-12.417746747424886</v>
      </c>
      <c r="Q574">
        <v>4.6064513862797805</v>
      </c>
      <c r="R574">
        <v>-16.482543607065505</v>
      </c>
      <c r="S574" s="2">
        <v>8.9300972436111241</v>
      </c>
      <c r="T574" s="2">
        <v>5.714369226186756</v>
      </c>
      <c r="U574" s="2">
        <v>3.7630059108920202</v>
      </c>
      <c r="V574" s="2">
        <v>1.0465937755006289</v>
      </c>
      <c r="W574" s="2">
        <v>0</v>
      </c>
      <c r="X574" s="2">
        <v>0</v>
      </c>
      <c r="Y574" s="2">
        <v>0</v>
      </c>
      <c r="Z574" s="2">
        <v>0</v>
      </c>
      <c r="AA574" s="2">
        <v>0</v>
      </c>
      <c r="AB574" s="2">
        <v>0</v>
      </c>
      <c r="AC574" s="2">
        <v>0</v>
      </c>
      <c r="AD574" s="2">
        <v>0</v>
      </c>
      <c r="AE574" s="2">
        <v>0</v>
      </c>
      <c r="AF574" s="2">
        <v>0</v>
      </c>
      <c r="AG574" s="2">
        <v>0</v>
      </c>
      <c r="AH574" s="2">
        <v>0</v>
      </c>
      <c r="AI574" s="2">
        <v>0</v>
      </c>
      <c r="AJ574" s="2">
        <v>0</v>
      </c>
      <c r="AK574" s="2">
        <v>0</v>
      </c>
      <c r="AL574" s="2">
        <v>0</v>
      </c>
      <c r="AM574" s="2">
        <v>0</v>
      </c>
      <c r="AN574" s="2">
        <v>0</v>
      </c>
      <c r="AO574" s="2">
        <v>0</v>
      </c>
      <c r="AP574" s="2">
        <v>0</v>
      </c>
      <c r="AQ574" s="2">
        <v>0</v>
      </c>
      <c r="AR574" s="2">
        <v>19.454066156190532</v>
      </c>
    </row>
    <row r="575" spans="1:44" x14ac:dyDescent="0.25">
      <c r="A575" t="s">
        <v>250</v>
      </c>
      <c r="B575" t="s">
        <v>432</v>
      </c>
      <c r="C575" t="s">
        <v>44</v>
      </c>
      <c r="D575" t="s">
        <v>426</v>
      </c>
      <c r="E575" t="s">
        <v>134</v>
      </c>
      <c r="F575" t="s">
        <v>427</v>
      </c>
      <c r="G575" t="s">
        <v>31</v>
      </c>
      <c r="H575" t="s">
        <v>274</v>
      </c>
      <c r="I575" t="s">
        <v>135</v>
      </c>
      <c r="J575" t="s">
        <v>39</v>
      </c>
      <c r="K575" t="s">
        <v>31</v>
      </c>
      <c r="L575">
        <v>1.3518127382698817</v>
      </c>
      <c r="M575">
        <v>1</v>
      </c>
      <c r="N575">
        <v>3.816697933114499</v>
      </c>
      <c r="O575">
        <v>32.458758526574407</v>
      </c>
      <c r="P575">
        <v>-12.417746747424886</v>
      </c>
      <c r="Q575">
        <v>4.6064513862797805</v>
      </c>
      <c r="R575">
        <v>-16.482543607065505</v>
      </c>
      <c r="S575" s="2">
        <v>14.057572177811009</v>
      </c>
      <c r="T575" s="2">
        <v>8.9954404365812621</v>
      </c>
      <c r="U575" s="2">
        <v>5.923645146836388</v>
      </c>
      <c r="V575" s="2">
        <v>1.6475260166370325</v>
      </c>
      <c r="W575" s="2">
        <v>0</v>
      </c>
      <c r="X575" s="2">
        <v>0</v>
      </c>
      <c r="Y575" s="2">
        <v>0</v>
      </c>
      <c r="Z575" s="2">
        <v>0</v>
      </c>
      <c r="AA575" s="2">
        <v>0</v>
      </c>
      <c r="AB575" s="2">
        <v>0</v>
      </c>
      <c r="AC575" s="2">
        <v>0</v>
      </c>
      <c r="AD575" s="2">
        <v>0</v>
      </c>
      <c r="AE575" s="2">
        <v>0</v>
      </c>
      <c r="AF575" s="2">
        <v>0</v>
      </c>
      <c r="AG575" s="2">
        <v>0</v>
      </c>
      <c r="AH575" s="2">
        <v>0</v>
      </c>
      <c r="AI575" s="2">
        <v>0</v>
      </c>
      <c r="AJ575" s="2">
        <v>0</v>
      </c>
      <c r="AK575" s="2">
        <v>0</v>
      </c>
      <c r="AL575" s="2">
        <v>0</v>
      </c>
      <c r="AM575" s="2">
        <v>0</v>
      </c>
      <c r="AN575" s="2">
        <v>0</v>
      </c>
      <c r="AO575" s="2">
        <v>0</v>
      </c>
      <c r="AP575" s="2">
        <v>0</v>
      </c>
      <c r="AQ575" s="2">
        <v>0</v>
      </c>
      <c r="AR575" s="2">
        <v>30.624183777865692</v>
      </c>
    </row>
    <row r="576" spans="1:44" x14ac:dyDescent="0.25">
      <c r="A576" t="s">
        <v>250</v>
      </c>
      <c r="B576" t="s">
        <v>432</v>
      </c>
      <c r="C576" t="s">
        <v>44</v>
      </c>
      <c r="D576" t="s">
        <v>426</v>
      </c>
      <c r="E576" t="s">
        <v>134</v>
      </c>
      <c r="F576" t="s">
        <v>427</v>
      </c>
      <c r="G576" t="s">
        <v>31</v>
      </c>
      <c r="H576" t="s">
        <v>274</v>
      </c>
      <c r="I576" t="s">
        <v>135</v>
      </c>
      <c r="J576" t="s">
        <v>39</v>
      </c>
      <c r="K576" t="s">
        <v>33</v>
      </c>
      <c r="L576">
        <v>1.3518127382698817</v>
      </c>
      <c r="M576">
        <v>1</v>
      </c>
      <c r="N576">
        <v>3.816697933114499</v>
      </c>
      <c r="O576">
        <v>32.458758526574407</v>
      </c>
      <c r="P576">
        <v>-12.417746747424886</v>
      </c>
      <c r="Q576">
        <v>4.6064513862797805</v>
      </c>
      <c r="R576">
        <v>-16.482543607065505</v>
      </c>
      <c r="S576" s="2">
        <v>4.5229994213150639E-2</v>
      </c>
      <c r="T576" s="2">
        <v>2.8942673296995087E-2</v>
      </c>
      <c r="U576" s="2">
        <v>1.905922532875717E-2</v>
      </c>
      <c r="V576" s="2">
        <v>5.3008863305805858E-3</v>
      </c>
      <c r="W576" s="2">
        <v>0</v>
      </c>
      <c r="X576" s="2">
        <v>0</v>
      </c>
      <c r="Y576" s="2">
        <v>0</v>
      </c>
      <c r="Z576" s="2">
        <v>0</v>
      </c>
      <c r="AA576" s="2">
        <v>0</v>
      </c>
      <c r="AB576" s="2">
        <v>0</v>
      </c>
      <c r="AC576" s="2">
        <v>0</v>
      </c>
      <c r="AD576" s="2">
        <v>0</v>
      </c>
      <c r="AE576" s="2">
        <v>0</v>
      </c>
      <c r="AF576" s="2">
        <v>0</v>
      </c>
      <c r="AG576" s="2">
        <v>0</v>
      </c>
      <c r="AH576" s="2">
        <v>0</v>
      </c>
      <c r="AI576" s="2">
        <v>0</v>
      </c>
      <c r="AJ576" s="2">
        <v>0</v>
      </c>
      <c r="AK576" s="2">
        <v>0</v>
      </c>
      <c r="AL576" s="2">
        <v>0</v>
      </c>
      <c r="AM576" s="2">
        <v>0</v>
      </c>
      <c r="AN576" s="2">
        <v>0</v>
      </c>
      <c r="AO576" s="2">
        <v>0</v>
      </c>
      <c r="AP576" s="2">
        <v>0</v>
      </c>
      <c r="AQ576" s="2">
        <v>0</v>
      </c>
      <c r="AR576" s="2">
        <v>9.8532779169483484E-2</v>
      </c>
    </row>
    <row r="577" spans="1:44" x14ac:dyDescent="0.25">
      <c r="A577" t="s">
        <v>250</v>
      </c>
      <c r="B577" t="s">
        <v>432</v>
      </c>
      <c r="C577" t="s">
        <v>44</v>
      </c>
      <c r="D577" t="s">
        <v>426</v>
      </c>
      <c r="E577" t="s">
        <v>134</v>
      </c>
      <c r="F577" t="s">
        <v>427</v>
      </c>
      <c r="G577" t="s">
        <v>31</v>
      </c>
      <c r="H577" t="s">
        <v>275</v>
      </c>
      <c r="I577" t="s">
        <v>135</v>
      </c>
      <c r="J577" t="s">
        <v>39</v>
      </c>
      <c r="K577" t="s">
        <v>31</v>
      </c>
      <c r="L577">
        <v>1.3518127382698817</v>
      </c>
      <c r="M577">
        <v>1</v>
      </c>
      <c r="N577">
        <v>3.816697933114499</v>
      </c>
      <c r="O577">
        <v>32.458758526574407</v>
      </c>
      <c r="P577">
        <v>-12.417746747424886</v>
      </c>
      <c r="Q577">
        <v>4.6064513862797805</v>
      </c>
      <c r="R577">
        <v>-16.482543607065505</v>
      </c>
      <c r="S577" s="2">
        <v>21.475575876282161</v>
      </c>
      <c r="T577" s="2">
        <v>13.742221003232954</v>
      </c>
      <c r="U577" s="2">
        <v>9.0494780468461169</v>
      </c>
      <c r="V577" s="2">
        <v>2.5169047351067544</v>
      </c>
      <c r="W577" s="2">
        <v>0</v>
      </c>
      <c r="X577" s="2">
        <v>0</v>
      </c>
      <c r="Y577" s="2">
        <v>0</v>
      </c>
      <c r="Z577" s="2">
        <v>0</v>
      </c>
      <c r="AA577" s="2">
        <v>0</v>
      </c>
      <c r="AB577" s="2">
        <v>0</v>
      </c>
      <c r="AC577" s="2">
        <v>0</v>
      </c>
      <c r="AD577" s="2">
        <v>0</v>
      </c>
      <c r="AE577" s="2">
        <v>0</v>
      </c>
      <c r="AF577" s="2">
        <v>0</v>
      </c>
      <c r="AG577" s="2">
        <v>0</v>
      </c>
      <c r="AH577" s="2">
        <v>0</v>
      </c>
      <c r="AI577" s="2">
        <v>0</v>
      </c>
      <c r="AJ577" s="2">
        <v>0</v>
      </c>
      <c r="AK577" s="2">
        <v>0</v>
      </c>
      <c r="AL577" s="2">
        <v>0</v>
      </c>
      <c r="AM577" s="2">
        <v>0</v>
      </c>
      <c r="AN577" s="2">
        <v>0</v>
      </c>
      <c r="AO577" s="2">
        <v>0</v>
      </c>
      <c r="AP577" s="2">
        <v>0</v>
      </c>
      <c r="AQ577" s="2">
        <v>0</v>
      </c>
      <c r="AR577" s="2">
        <v>46.784179661467988</v>
      </c>
    </row>
    <row r="578" spans="1:44" x14ac:dyDescent="0.25">
      <c r="A578" t="s">
        <v>250</v>
      </c>
      <c r="B578" t="s">
        <v>430</v>
      </c>
      <c r="C578" t="s">
        <v>44</v>
      </c>
      <c r="D578" t="s">
        <v>426</v>
      </c>
      <c r="E578" t="s">
        <v>134</v>
      </c>
      <c r="F578" t="s">
        <v>427</v>
      </c>
      <c r="G578" t="s">
        <v>31</v>
      </c>
      <c r="H578" t="s">
        <v>276</v>
      </c>
      <c r="I578" t="s">
        <v>135</v>
      </c>
      <c r="J578" t="s">
        <v>39</v>
      </c>
      <c r="K578" t="s">
        <v>31</v>
      </c>
      <c r="L578">
        <v>5.2615885271995229</v>
      </c>
      <c r="M578">
        <v>1</v>
      </c>
      <c r="N578">
        <v>3.8162941378963127</v>
      </c>
      <c r="O578">
        <v>32.455324487069326</v>
      </c>
      <c r="P578">
        <v>-12.417746747424884</v>
      </c>
      <c r="Q578">
        <v>4.6064513862797813</v>
      </c>
      <c r="R578">
        <v>-16.482543607065505</v>
      </c>
      <c r="S578" s="2">
        <v>356.61930699152879</v>
      </c>
      <c r="T578" s="2">
        <v>228.77383271582983</v>
      </c>
      <c r="U578" s="2">
        <v>151.02969193234262</v>
      </c>
      <c r="V578" s="2">
        <v>75.356264789642779</v>
      </c>
      <c r="W578" s="2">
        <v>13.316598723289871</v>
      </c>
      <c r="X578" s="2">
        <v>0</v>
      </c>
      <c r="Y578" s="2">
        <v>0</v>
      </c>
      <c r="Z578" s="2">
        <v>0</v>
      </c>
      <c r="AA578" s="2">
        <v>0</v>
      </c>
      <c r="AB578" s="2">
        <v>0</v>
      </c>
      <c r="AC578" s="2">
        <v>0</v>
      </c>
      <c r="AD578" s="2">
        <v>0</v>
      </c>
      <c r="AE578" s="2">
        <v>0</v>
      </c>
      <c r="AF578" s="2">
        <v>0</v>
      </c>
      <c r="AG578" s="2">
        <v>0</v>
      </c>
      <c r="AH578" s="2">
        <v>0</v>
      </c>
      <c r="AI578" s="2">
        <v>0</v>
      </c>
      <c r="AJ578" s="2">
        <v>0</v>
      </c>
      <c r="AK578" s="2">
        <v>0</v>
      </c>
      <c r="AL578" s="2">
        <v>0</v>
      </c>
      <c r="AM578" s="2">
        <v>0</v>
      </c>
      <c r="AN578" s="2">
        <v>0</v>
      </c>
      <c r="AO578" s="2">
        <v>0</v>
      </c>
      <c r="AP578" s="2">
        <v>0</v>
      </c>
      <c r="AQ578" s="2">
        <v>0</v>
      </c>
      <c r="AR578" s="2">
        <v>825.09569515263399</v>
      </c>
    </row>
    <row r="579" spans="1:44" x14ac:dyDescent="0.25">
      <c r="A579" t="s">
        <v>250</v>
      </c>
      <c r="B579" t="s">
        <v>434</v>
      </c>
      <c r="C579" t="s">
        <v>44</v>
      </c>
      <c r="D579" t="s">
        <v>426</v>
      </c>
      <c r="E579" t="s">
        <v>134</v>
      </c>
      <c r="F579" t="s">
        <v>427</v>
      </c>
      <c r="G579" t="s">
        <v>31</v>
      </c>
      <c r="H579" t="s">
        <v>277</v>
      </c>
      <c r="I579" t="s">
        <v>135</v>
      </c>
      <c r="J579" t="s">
        <v>39</v>
      </c>
      <c r="K579" t="s">
        <v>31</v>
      </c>
      <c r="L579">
        <v>1.6183681259174498</v>
      </c>
      <c r="M579">
        <v>1</v>
      </c>
      <c r="N579">
        <v>3.8167609045660575</v>
      </c>
      <c r="O579">
        <v>32.459294061525291</v>
      </c>
      <c r="P579">
        <v>-12.417746747424893</v>
      </c>
      <c r="Q579">
        <v>4.6064513862797813</v>
      </c>
      <c r="R579">
        <v>-16.482543607065512</v>
      </c>
      <c r="S579" s="2">
        <v>43.552611710421679</v>
      </c>
      <c r="T579" s="2">
        <v>27.865956460595456</v>
      </c>
      <c r="U579" s="2">
        <v>18.347977423696083</v>
      </c>
      <c r="V579" s="2">
        <v>4.8379511255636407</v>
      </c>
      <c r="W579" s="2">
        <v>0</v>
      </c>
      <c r="X579" s="2">
        <v>0</v>
      </c>
      <c r="Y579" s="2">
        <v>0</v>
      </c>
      <c r="Z579" s="2">
        <v>0</v>
      </c>
      <c r="AA579" s="2">
        <v>0</v>
      </c>
      <c r="AB579" s="2">
        <v>0</v>
      </c>
      <c r="AC579" s="2">
        <v>0</v>
      </c>
      <c r="AD579" s="2">
        <v>0</v>
      </c>
      <c r="AE579" s="2">
        <v>0</v>
      </c>
      <c r="AF579" s="2">
        <v>0</v>
      </c>
      <c r="AG579" s="2">
        <v>0</v>
      </c>
      <c r="AH579" s="2">
        <v>0</v>
      </c>
      <c r="AI579" s="2">
        <v>0</v>
      </c>
      <c r="AJ579" s="2">
        <v>0</v>
      </c>
      <c r="AK579" s="2">
        <v>0</v>
      </c>
      <c r="AL579" s="2">
        <v>0</v>
      </c>
      <c r="AM579" s="2">
        <v>0</v>
      </c>
      <c r="AN579" s="2">
        <v>0</v>
      </c>
      <c r="AO579" s="2">
        <v>0</v>
      </c>
      <c r="AP579" s="2">
        <v>0</v>
      </c>
      <c r="AQ579" s="2">
        <v>0</v>
      </c>
      <c r="AR579" s="2">
        <v>94.604496720276856</v>
      </c>
    </row>
    <row r="580" spans="1:44" x14ac:dyDescent="0.25">
      <c r="A580" t="s">
        <v>250</v>
      </c>
      <c r="B580" t="s">
        <v>434</v>
      </c>
      <c r="C580" t="s">
        <v>44</v>
      </c>
      <c r="D580" t="s">
        <v>426</v>
      </c>
      <c r="E580" t="s">
        <v>134</v>
      </c>
      <c r="F580" t="s">
        <v>427</v>
      </c>
      <c r="G580" t="s">
        <v>31</v>
      </c>
      <c r="H580" t="s">
        <v>277</v>
      </c>
      <c r="I580" t="s">
        <v>135</v>
      </c>
      <c r="J580" t="s">
        <v>40</v>
      </c>
      <c r="K580" t="s">
        <v>31</v>
      </c>
      <c r="L580">
        <v>1.6183681259174498</v>
      </c>
      <c r="M580">
        <v>1</v>
      </c>
      <c r="N580">
        <v>3.8167609045660575</v>
      </c>
      <c r="O580">
        <v>31.165987365505021</v>
      </c>
      <c r="P580">
        <v>-12.417746747424893</v>
      </c>
      <c r="Q580">
        <v>0.4672931329656026</v>
      </c>
      <c r="R580">
        <v>-16.339543607065512</v>
      </c>
      <c r="S580" s="2">
        <v>6.8702237207021764</v>
      </c>
      <c r="T580" s="2">
        <v>4.3957261701902972</v>
      </c>
      <c r="U580" s="2">
        <v>2.8943088548010376</v>
      </c>
      <c r="V580" s="2">
        <v>0.76316448720552055</v>
      </c>
      <c r="W580" s="2">
        <v>0</v>
      </c>
      <c r="X580" s="2">
        <v>0</v>
      </c>
      <c r="Y580" s="2">
        <v>0</v>
      </c>
      <c r="Z580" s="2">
        <v>0</v>
      </c>
      <c r="AA580" s="2">
        <v>0</v>
      </c>
      <c r="AB580" s="2">
        <v>0</v>
      </c>
      <c r="AC580" s="2">
        <v>0</v>
      </c>
      <c r="AD580" s="2">
        <v>0</v>
      </c>
      <c r="AE580" s="2">
        <v>0</v>
      </c>
      <c r="AF580" s="2">
        <v>0</v>
      </c>
      <c r="AG580" s="2">
        <v>0</v>
      </c>
      <c r="AH580" s="2">
        <v>0</v>
      </c>
      <c r="AI580" s="2">
        <v>0</v>
      </c>
      <c r="AJ580" s="2">
        <v>0</v>
      </c>
      <c r="AK580" s="2">
        <v>0</v>
      </c>
      <c r="AL580" s="2">
        <v>0</v>
      </c>
      <c r="AM580" s="2">
        <v>0</v>
      </c>
      <c r="AN580" s="2">
        <v>0</v>
      </c>
      <c r="AO580" s="2">
        <v>0</v>
      </c>
      <c r="AP580" s="2">
        <v>0</v>
      </c>
      <c r="AQ580" s="2">
        <v>0</v>
      </c>
      <c r="AR580" s="2">
        <v>14.923423232899031</v>
      </c>
    </row>
    <row r="581" spans="1:44" x14ac:dyDescent="0.25">
      <c r="A581" t="s">
        <v>250</v>
      </c>
      <c r="B581" t="s">
        <v>418</v>
      </c>
      <c r="C581" t="s">
        <v>46</v>
      </c>
      <c r="D581" t="s">
        <v>417</v>
      </c>
      <c r="E581" t="s">
        <v>134</v>
      </c>
      <c r="F581" t="s">
        <v>417</v>
      </c>
      <c r="G581" t="s">
        <v>31</v>
      </c>
      <c r="H581" t="s">
        <v>253</v>
      </c>
      <c r="I581" t="s">
        <v>135</v>
      </c>
      <c r="J581" t="s">
        <v>39</v>
      </c>
      <c r="K581" t="s">
        <v>31</v>
      </c>
      <c r="L581">
        <v>132.92529508551502</v>
      </c>
      <c r="M581">
        <v>1</v>
      </c>
      <c r="N581">
        <v>3.7090191236946746</v>
      </c>
      <c r="O581">
        <v>6.6927284547203163</v>
      </c>
      <c r="P581">
        <v>-2.1462333666955802</v>
      </c>
      <c r="Q581">
        <v>0.97738688913926208</v>
      </c>
      <c r="R581">
        <v>-2.5819657291956819</v>
      </c>
      <c r="S581" s="2">
        <v>147.9922729073264</v>
      </c>
      <c r="T581" s="2">
        <v>171.09134813367726</v>
      </c>
      <c r="U581" s="2">
        <v>194.35122781828142</v>
      </c>
      <c r="V581" s="2">
        <v>226.28834511441724</v>
      </c>
      <c r="W581" s="2">
        <v>247.22403723935165</v>
      </c>
      <c r="X581" s="2">
        <v>251.52133424097653</v>
      </c>
      <c r="Y581" s="2">
        <v>236.05685466397182</v>
      </c>
      <c r="Z581" s="2">
        <v>202.07892676112141</v>
      </c>
      <c r="AA581" s="2">
        <v>155.73605881107542</v>
      </c>
      <c r="AB581" s="2">
        <v>53.150960514055932</v>
      </c>
      <c r="AC581" s="2">
        <v>0</v>
      </c>
      <c r="AD581" s="2">
        <v>0</v>
      </c>
      <c r="AE581" s="2">
        <v>0</v>
      </c>
      <c r="AF581" s="2">
        <v>0</v>
      </c>
      <c r="AG581" s="2">
        <v>0</v>
      </c>
      <c r="AH581" s="2">
        <v>0</v>
      </c>
      <c r="AI581" s="2">
        <v>0</v>
      </c>
      <c r="AJ581" s="2">
        <v>0</v>
      </c>
      <c r="AK581" s="2">
        <v>0</v>
      </c>
      <c r="AL581" s="2">
        <v>0</v>
      </c>
      <c r="AM581" s="2">
        <v>0</v>
      </c>
      <c r="AN581" s="2">
        <v>0</v>
      </c>
      <c r="AO581" s="2">
        <v>0</v>
      </c>
      <c r="AP581" s="2">
        <v>0</v>
      </c>
      <c r="AQ581" s="2">
        <v>0</v>
      </c>
      <c r="AR581" s="2">
        <v>1885.491366204255</v>
      </c>
    </row>
    <row r="582" spans="1:44" x14ac:dyDescent="0.25">
      <c r="A582" t="s">
        <v>250</v>
      </c>
      <c r="B582" t="s">
        <v>418</v>
      </c>
      <c r="C582" t="s">
        <v>46</v>
      </c>
      <c r="D582" t="s">
        <v>417</v>
      </c>
      <c r="E582" t="s">
        <v>134</v>
      </c>
      <c r="F582" t="s">
        <v>417</v>
      </c>
      <c r="G582" t="s">
        <v>31</v>
      </c>
      <c r="H582" t="s">
        <v>253</v>
      </c>
      <c r="I582" t="s">
        <v>135</v>
      </c>
      <c r="J582" t="s">
        <v>40</v>
      </c>
      <c r="K582" t="s">
        <v>31</v>
      </c>
      <c r="L582">
        <v>132.92529508551502</v>
      </c>
      <c r="M582">
        <v>1</v>
      </c>
      <c r="N582">
        <v>3.7090191236946746</v>
      </c>
      <c r="O582">
        <v>5.5028068801139645</v>
      </c>
      <c r="P582">
        <v>-2.1462333666955802</v>
      </c>
      <c r="Q582">
        <v>0.4672931329656026</v>
      </c>
      <c r="R582">
        <v>-2.4389657291956826</v>
      </c>
      <c r="S582" s="2">
        <v>77.847011412256478</v>
      </c>
      <c r="T582" s="2">
        <v>89.997605071185873</v>
      </c>
      <c r="U582" s="2">
        <v>102.23278521730718</v>
      </c>
      <c r="V582" s="2">
        <v>119.03237269430836</v>
      </c>
      <c r="W582" s="2">
        <v>130.04498187826104</v>
      </c>
      <c r="X582" s="2">
        <v>132.30544941589278</v>
      </c>
      <c r="Y582" s="2">
        <v>124.17081174552229</v>
      </c>
      <c r="Z582" s="2">
        <v>106.29771547329742</v>
      </c>
      <c r="AA582" s="2">
        <v>81.920403744035283</v>
      </c>
      <c r="AB582" s="2">
        <v>27.95850991694137</v>
      </c>
      <c r="AC582" s="2">
        <v>0</v>
      </c>
      <c r="AD582" s="2">
        <v>0</v>
      </c>
      <c r="AE582" s="2">
        <v>0</v>
      </c>
      <c r="AF582" s="2">
        <v>0</v>
      </c>
      <c r="AG582" s="2">
        <v>0</v>
      </c>
      <c r="AH582" s="2">
        <v>0</v>
      </c>
      <c r="AI582" s="2">
        <v>0</v>
      </c>
      <c r="AJ582" s="2">
        <v>0</v>
      </c>
      <c r="AK582" s="2">
        <v>0</v>
      </c>
      <c r="AL582" s="2">
        <v>0</v>
      </c>
      <c r="AM582" s="2">
        <v>0</v>
      </c>
      <c r="AN582" s="2">
        <v>0</v>
      </c>
      <c r="AO582" s="2">
        <v>0</v>
      </c>
      <c r="AP582" s="2">
        <v>0</v>
      </c>
      <c r="AQ582" s="2">
        <v>0</v>
      </c>
      <c r="AR582" s="2">
        <v>991.80764656900806</v>
      </c>
    </row>
    <row r="583" spans="1:44" x14ac:dyDescent="0.25">
      <c r="A583" t="s">
        <v>250</v>
      </c>
      <c r="B583" t="s">
        <v>418</v>
      </c>
      <c r="C583" t="s">
        <v>46</v>
      </c>
      <c r="D583" t="s">
        <v>417</v>
      </c>
      <c r="E583" t="s">
        <v>134</v>
      </c>
      <c r="F583" t="s">
        <v>417</v>
      </c>
      <c r="G583" t="s">
        <v>31</v>
      </c>
      <c r="H583" t="s">
        <v>253</v>
      </c>
      <c r="I583" t="s">
        <v>256</v>
      </c>
      <c r="J583" t="s">
        <v>39</v>
      </c>
      <c r="K583" t="s">
        <v>31</v>
      </c>
      <c r="L583">
        <v>132.92529508551502</v>
      </c>
      <c r="M583">
        <v>1</v>
      </c>
      <c r="N583">
        <v>2.2122352322745571</v>
      </c>
      <c r="O583">
        <v>3.9918612425028721</v>
      </c>
      <c r="P583">
        <v>-0.68329641534671282</v>
      </c>
      <c r="Q583">
        <v>0.4672931329656026</v>
      </c>
      <c r="R583">
        <v>-1.1190287778468149</v>
      </c>
      <c r="S583" s="2">
        <v>77.630961659741274</v>
      </c>
      <c r="T583" s="2">
        <v>89.74783362909902</v>
      </c>
      <c r="U583" s="2">
        <v>101.94905733174751</v>
      </c>
      <c r="V583" s="2">
        <v>118.70202071039323</v>
      </c>
      <c r="W583" s="2">
        <v>129.68406646685426</v>
      </c>
      <c r="X583" s="2">
        <v>131.93826050158316</v>
      </c>
      <c r="Y583" s="2">
        <v>123.8261989895468</v>
      </c>
      <c r="Z583" s="2">
        <v>106.00270613762336</v>
      </c>
      <c r="AA583" s="2">
        <v>81.693049056504421</v>
      </c>
      <c r="AB583" s="2">
        <v>27.880916326144245</v>
      </c>
      <c r="AC583" s="2">
        <v>0</v>
      </c>
      <c r="AD583" s="2">
        <v>0</v>
      </c>
      <c r="AE583" s="2">
        <v>0</v>
      </c>
      <c r="AF583" s="2">
        <v>0</v>
      </c>
      <c r="AG583" s="2">
        <v>0</v>
      </c>
      <c r="AH583" s="2">
        <v>0</v>
      </c>
      <c r="AI583" s="2">
        <v>0</v>
      </c>
      <c r="AJ583" s="2">
        <v>0</v>
      </c>
      <c r="AK583" s="2">
        <v>0</v>
      </c>
      <c r="AL583" s="2">
        <v>0</v>
      </c>
      <c r="AM583" s="2">
        <v>0</v>
      </c>
      <c r="AN583" s="2">
        <v>0</v>
      </c>
      <c r="AO583" s="2">
        <v>0</v>
      </c>
      <c r="AP583" s="2">
        <v>0</v>
      </c>
      <c r="AQ583" s="2">
        <v>0</v>
      </c>
      <c r="AR583" s="2">
        <v>989.05507080923724</v>
      </c>
    </row>
    <row r="584" spans="1:44" x14ac:dyDescent="0.25">
      <c r="A584" t="s">
        <v>250</v>
      </c>
      <c r="B584" t="s">
        <v>421</v>
      </c>
      <c r="C584" t="s">
        <v>46</v>
      </c>
      <c r="D584" t="s">
        <v>417</v>
      </c>
      <c r="E584" t="s">
        <v>134</v>
      </c>
      <c r="F584" t="s">
        <v>417</v>
      </c>
      <c r="G584" t="s">
        <v>31</v>
      </c>
      <c r="H584" t="s">
        <v>252</v>
      </c>
      <c r="I584" t="s">
        <v>135</v>
      </c>
      <c r="J584" t="s">
        <v>39</v>
      </c>
      <c r="K584" t="s">
        <v>31</v>
      </c>
      <c r="L584">
        <v>23.32522440484621</v>
      </c>
      <c r="M584">
        <v>1</v>
      </c>
      <c r="N584">
        <v>4.5763392831344119</v>
      </c>
      <c r="O584">
        <v>8.2577617200793298</v>
      </c>
      <c r="P584">
        <v>-2.9939407192181542</v>
      </c>
      <c r="Q584">
        <v>0.97738688913926253</v>
      </c>
      <c r="R584">
        <v>-3.4296730817182568</v>
      </c>
      <c r="S584" s="2">
        <v>55.385226604767922</v>
      </c>
      <c r="T584" s="2">
        <v>64.055635324815697</v>
      </c>
      <c r="U584" s="2">
        <v>72.793228455762332</v>
      </c>
      <c r="V584" s="2">
        <v>84.789149094543362</v>
      </c>
      <c r="W584" s="2">
        <v>92.670857741305696</v>
      </c>
      <c r="X584" s="2">
        <v>94.3195488087771</v>
      </c>
      <c r="Y584" s="2">
        <v>88.555981413299904</v>
      </c>
      <c r="Z584" s="2">
        <v>75.839717918576056</v>
      </c>
      <c r="AA584" s="2">
        <v>58.470830188084413</v>
      </c>
      <c r="AB584" s="2">
        <v>25.587221413716474</v>
      </c>
      <c r="AC584" s="2">
        <v>0</v>
      </c>
      <c r="AD584" s="2">
        <v>0</v>
      </c>
      <c r="AE584" s="2">
        <v>0</v>
      </c>
      <c r="AF584" s="2">
        <v>0</v>
      </c>
      <c r="AG584" s="2">
        <v>0</v>
      </c>
      <c r="AH584" s="2">
        <v>0</v>
      </c>
      <c r="AI584" s="2">
        <v>0</v>
      </c>
      <c r="AJ584" s="2">
        <v>0</v>
      </c>
      <c r="AK584" s="2">
        <v>0</v>
      </c>
      <c r="AL584" s="2">
        <v>0</v>
      </c>
      <c r="AM584" s="2">
        <v>0</v>
      </c>
      <c r="AN584" s="2">
        <v>0</v>
      </c>
      <c r="AO584" s="2">
        <v>0</v>
      </c>
      <c r="AP584" s="2">
        <v>0</v>
      </c>
      <c r="AQ584" s="2">
        <v>0</v>
      </c>
      <c r="AR584" s="2">
        <v>712.46739696364898</v>
      </c>
    </row>
    <row r="585" spans="1:44" x14ac:dyDescent="0.25">
      <c r="A585" t="s">
        <v>250</v>
      </c>
      <c r="B585" t="s">
        <v>416</v>
      </c>
      <c r="C585" t="s">
        <v>46</v>
      </c>
      <c r="D585" t="s">
        <v>417</v>
      </c>
      <c r="E585" t="s">
        <v>134</v>
      </c>
      <c r="F585" t="s">
        <v>417</v>
      </c>
      <c r="G585" t="s">
        <v>31</v>
      </c>
      <c r="H585" t="s">
        <v>288</v>
      </c>
      <c r="I585" t="s">
        <v>135</v>
      </c>
      <c r="J585" t="s">
        <v>39</v>
      </c>
      <c r="K585" t="s">
        <v>31</v>
      </c>
      <c r="L585">
        <v>14.288847944005283</v>
      </c>
      <c r="M585">
        <v>1</v>
      </c>
      <c r="N585">
        <v>6.2590732420642228</v>
      </c>
      <c r="O585">
        <v>11.294165974969015</v>
      </c>
      <c r="P585">
        <v>-4.6386228285855591</v>
      </c>
      <c r="Q585">
        <v>0.97738688913926242</v>
      </c>
      <c r="R585">
        <v>-5.0743551910856617</v>
      </c>
      <c r="S585" s="2">
        <v>82.059150564857248</v>
      </c>
      <c r="T585" s="2">
        <v>94.971970980763373</v>
      </c>
      <c r="U585" s="2">
        <v>108.002576804803</v>
      </c>
      <c r="V585" s="2">
        <v>125.88919052197062</v>
      </c>
      <c r="W585" s="2">
        <v>137.68808980878956</v>
      </c>
      <c r="X585" s="2">
        <v>140.2361352773008</v>
      </c>
      <c r="Y585" s="2">
        <v>131.75926045094948</v>
      </c>
      <c r="Z585" s="2">
        <v>112.91847001958159</v>
      </c>
      <c r="AA585" s="2">
        <v>87.118936309914716</v>
      </c>
      <c r="AB585" s="2">
        <v>52.897496297701977</v>
      </c>
      <c r="AC585" s="2">
        <v>0</v>
      </c>
      <c r="AD585" s="2">
        <v>0</v>
      </c>
      <c r="AE585" s="2">
        <v>0</v>
      </c>
      <c r="AF585" s="2">
        <v>0</v>
      </c>
      <c r="AG585" s="2">
        <v>0</v>
      </c>
      <c r="AH585" s="2">
        <v>0</v>
      </c>
      <c r="AI585" s="2">
        <v>0</v>
      </c>
      <c r="AJ585" s="2">
        <v>0</v>
      </c>
      <c r="AK585" s="2">
        <v>0</v>
      </c>
      <c r="AL585" s="2">
        <v>0</v>
      </c>
      <c r="AM585" s="2">
        <v>0</v>
      </c>
      <c r="AN585" s="2">
        <v>0</v>
      </c>
      <c r="AO585" s="2">
        <v>0</v>
      </c>
      <c r="AP585" s="2">
        <v>0</v>
      </c>
      <c r="AQ585" s="2">
        <v>0</v>
      </c>
      <c r="AR585" s="2">
        <v>1073.5412770366322</v>
      </c>
    </row>
    <row r="586" spans="1:44" x14ac:dyDescent="0.25">
      <c r="A586" t="s">
        <v>250</v>
      </c>
      <c r="B586" t="s">
        <v>416</v>
      </c>
      <c r="C586" t="s">
        <v>46</v>
      </c>
      <c r="D586" t="s">
        <v>417</v>
      </c>
      <c r="E586" t="s">
        <v>134</v>
      </c>
      <c r="F586" t="s">
        <v>417</v>
      </c>
      <c r="G586" t="s">
        <v>31</v>
      </c>
      <c r="H586" t="s">
        <v>288</v>
      </c>
      <c r="I586" t="s">
        <v>135</v>
      </c>
      <c r="J586" t="s">
        <v>39</v>
      </c>
      <c r="K586" t="s">
        <v>33</v>
      </c>
      <c r="L586">
        <v>14.288847944005283</v>
      </c>
      <c r="M586">
        <v>1</v>
      </c>
      <c r="N586">
        <v>6.2590732420642228</v>
      </c>
      <c r="O586">
        <v>11.294165974969015</v>
      </c>
      <c r="P586">
        <v>-4.6386228285855591</v>
      </c>
      <c r="Q586">
        <v>0.97738688913926242</v>
      </c>
      <c r="R586">
        <v>-5.0743551910856617</v>
      </c>
      <c r="S586" s="2">
        <v>0.77193973285106421</v>
      </c>
      <c r="T586" s="2">
        <v>0.89341209849942638</v>
      </c>
      <c r="U586" s="2">
        <v>1.0159924848360657</v>
      </c>
      <c r="V586" s="2">
        <v>1.1842538879751048</v>
      </c>
      <c r="W586" s="2">
        <v>1.2952474712709114</v>
      </c>
      <c r="X586" s="2">
        <v>1.3192172238788225</v>
      </c>
      <c r="Y586" s="2">
        <v>1.2394743013184237</v>
      </c>
      <c r="Z586" s="2">
        <v>1.062236849648754</v>
      </c>
      <c r="AA586" s="2">
        <v>0.81953771100995609</v>
      </c>
      <c r="AB586" s="2">
        <v>0.49761274494627444</v>
      </c>
      <c r="AC586" s="2">
        <v>0</v>
      </c>
      <c r="AD586" s="2">
        <v>0</v>
      </c>
      <c r="AE586" s="2">
        <v>0</v>
      </c>
      <c r="AF586" s="2">
        <v>0</v>
      </c>
      <c r="AG586" s="2">
        <v>0</v>
      </c>
      <c r="AH586" s="2">
        <v>0</v>
      </c>
      <c r="AI586" s="2">
        <v>0</v>
      </c>
      <c r="AJ586" s="2">
        <v>0</v>
      </c>
      <c r="AK586" s="2">
        <v>0</v>
      </c>
      <c r="AL586" s="2">
        <v>0</v>
      </c>
      <c r="AM586" s="2">
        <v>0</v>
      </c>
      <c r="AN586" s="2">
        <v>0</v>
      </c>
      <c r="AO586" s="2">
        <v>0</v>
      </c>
      <c r="AP586" s="2">
        <v>0</v>
      </c>
      <c r="AQ586" s="2">
        <v>0</v>
      </c>
      <c r="AR586" s="2">
        <v>10.098924506234804</v>
      </c>
    </row>
    <row r="587" spans="1:44" x14ac:dyDescent="0.25">
      <c r="A587" t="s">
        <v>250</v>
      </c>
      <c r="B587" t="s">
        <v>416</v>
      </c>
      <c r="C587" t="s">
        <v>46</v>
      </c>
      <c r="D587" t="s">
        <v>417</v>
      </c>
      <c r="E587" t="s">
        <v>134</v>
      </c>
      <c r="F587" t="s">
        <v>417</v>
      </c>
      <c r="G587" t="s">
        <v>31</v>
      </c>
      <c r="H587" t="s">
        <v>289</v>
      </c>
      <c r="I587" t="s">
        <v>135</v>
      </c>
      <c r="J587" t="s">
        <v>39</v>
      </c>
      <c r="K587" t="s">
        <v>31</v>
      </c>
      <c r="L587">
        <v>14.288847944005283</v>
      </c>
      <c r="M587">
        <v>1</v>
      </c>
      <c r="N587">
        <v>6.2590732420642228</v>
      </c>
      <c r="O587">
        <v>11.294165974969015</v>
      </c>
      <c r="P587">
        <v>-4.6386228285855591</v>
      </c>
      <c r="Q587">
        <v>0.97738688913926242</v>
      </c>
      <c r="R587">
        <v>-5.0743551910856617</v>
      </c>
      <c r="S587" s="2">
        <v>77.993665496544423</v>
      </c>
      <c r="T587" s="2">
        <v>90.26674155451721</v>
      </c>
      <c r="U587" s="2">
        <v>102.65176753713705</v>
      </c>
      <c r="V587" s="2">
        <v>119.65221852303986</v>
      </c>
      <c r="W587" s="2">
        <v>130.86656083427599</v>
      </c>
      <c r="X587" s="2">
        <v>133.28836759894602</v>
      </c>
      <c r="Y587" s="2">
        <v>125.23146553364896</v>
      </c>
      <c r="Z587" s="2">
        <v>107.32411094272882</v>
      </c>
      <c r="AA587" s="2">
        <v>82.802772514686097</v>
      </c>
      <c r="AB587" s="2">
        <v>50.276777220437637</v>
      </c>
      <c r="AC587" s="2">
        <v>0</v>
      </c>
      <c r="AD587" s="2">
        <v>0</v>
      </c>
      <c r="AE587" s="2">
        <v>0</v>
      </c>
      <c r="AF587" s="2">
        <v>0</v>
      </c>
      <c r="AG587" s="2">
        <v>0</v>
      </c>
      <c r="AH587" s="2">
        <v>0</v>
      </c>
      <c r="AI587" s="2">
        <v>0</v>
      </c>
      <c r="AJ587" s="2">
        <v>0</v>
      </c>
      <c r="AK587" s="2">
        <v>0</v>
      </c>
      <c r="AL587" s="2">
        <v>0</v>
      </c>
      <c r="AM587" s="2">
        <v>0</v>
      </c>
      <c r="AN587" s="2">
        <v>0</v>
      </c>
      <c r="AO587" s="2">
        <v>0</v>
      </c>
      <c r="AP587" s="2">
        <v>0</v>
      </c>
      <c r="AQ587" s="2">
        <v>0</v>
      </c>
      <c r="AR587" s="2">
        <v>1020.3544477559622</v>
      </c>
    </row>
    <row r="588" spans="1:44" x14ac:dyDescent="0.25">
      <c r="A588" t="s">
        <v>250</v>
      </c>
      <c r="B588" t="s">
        <v>416</v>
      </c>
      <c r="C588" t="s">
        <v>46</v>
      </c>
      <c r="D588" t="s">
        <v>417</v>
      </c>
      <c r="E588" t="s">
        <v>134</v>
      </c>
      <c r="F588" t="s">
        <v>417</v>
      </c>
      <c r="G588" t="s">
        <v>31</v>
      </c>
      <c r="H588" t="s">
        <v>290</v>
      </c>
      <c r="I588" t="s">
        <v>135</v>
      </c>
      <c r="J588" t="s">
        <v>39</v>
      </c>
      <c r="K588" t="s">
        <v>31</v>
      </c>
      <c r="L588">
        <v>14.288847944005283</v>
      </c>
      <c r="M588">
        <v>1</v>
      </c>
      <c r="N588">
        <v>6.2590732420642228</v>
      </c>
      <c r="O588">
        <v>11.294165974969015</v>
      </c>
      <c r="P588">
        <v>-4.6386228285855591</v>
      </c>
      <c r="Q588">
        <v>0.97738688913926242</v>
      </c>
      <c r="R588">
        <v>-5.0743551910856617</v>
      </c>
      <c r="S588" s="2">
        <v>112.94013976368713</v>
      </c>
      <c r="T588" s="2">
        <v>130.71238981108641</v>
      </c>
      <c r="U588" s="2">
        <v>148.64675097424981</v>
      </c>
      <c r="V588" s="2">
        <v>173.26456189735157</v>
      </c>
      <c r="W588" s="2">
        <v>189.50369336944468</v>
      </c>
      <c r="X588" s="2">
        <v>193.01063451320459</v>
      </c>
      <c r="Y588" s="2">
        <v>181.34369156952019</v>
      </c>
      <c r="Z588" s="2">
        <v>155.41262245742638</v>
      </c>
      <c r="AA588" s="2">
        <v>119.90405427276363</v>
      </c>
      <c r="AB588" s="2">
        <v>72.804197751104667</v>
      </c>
      <c r="AC588" s="2">
        <v>0</v>
      </c>
      <c r="AD588" s="2">
        <v>0</v>
      </c>
      <c r="AE588" s="2">
        <v>0</v>
      </c>
      <c r="AF588" s="2">
        <v>0</v>
      </c>
      <c r="AG588" s="2">
        <v>0</v>
      </c>
      <c r="AH588" s="2">
        <v>0</v>
      </c>
      <c r="AI588" s="2">
        <v>0</v>
      </c>
      <c r="AJ588" s="2">
        <v>0</v>
      </c>
      <c r="AK588" s="2">
        <v>0</v>
      </c>
      <c r="AL588" s="2">
        <v>0</v>
      </c>
      <c r="AM588" s="2">
        <v>0</v>
      </c>
      <c r="AN588" s="2">
        <v>0</v>
      </c>
      <c r="AO588" s="2">
        <v>0</v>
      </c>
      <c r="AP588" s="2">
        <v>0</v>
      </c>
      <c r="AQ588" s="2">
        <v>0</v>
      </c>
      <c r="AR588" s="2">
        <v>1477.5427363798392</v>
      </c>
    </row>
    <row r="589" spans="1:44" x14ac:dyDescent="0.25">
      <c r="A589" t="s">
        <v>250</v>
      </c>
      <c r="B589" t="s">
        <v>419</v>
      </c>
      <c r="C589" t="s">
        <v>46</v>
      </c>
      <c r="D589" t="s">
        <v>417</v>
      </c>
      <c r="E589" t="s">
        <v>134</v>
      </c>
      <c r="F589" t="s">
        <v>417</v>
      </c>
      <c r="G589" t="s">
        <v>31</v>
      </c>
      <c r="H589" t="s">
        <v>254</v>
      </c>
      <c r="I589" t="s">
        <v>135</v>
      </c>
      <c r="J589" t="s">
        <v>39</v>
      </c>
      <c r="K589" t="s">
        <v>31</v>
      </c>
      <c r="L589">
        <v>25.551339726938693</v>
      </c>
      <c r="M589">
        <v>1</v>
      </c>
      <c r="N589">
        <v>3.696448091734216</v>
      </c>
      <c r="O589">
        <v>6.6700446937309286</v>
      </c>
      <c r="P589">
        <v>-2.1339466048744784</v>
      </c>
      <c r="Q589">
        <v>0.97738688913926219</v>
      </c>
      <c r="R589">
        <v>-2.569678967374581</v>
      </c>
      <c r="S589" s="2">
        <v>63.707310107926666</v>
      </c>
      <c r="T589" s="2">
        <v>73.622341422403522</v>
      </c>
      <c r="U589" s="2">
        <v>83.598832865018579</v>
      </c>
      <c r="V589" s="2">
        <v>97.298570720746568</v>
      </c>
      <c r="W589" s="2">
        <v>106.25914505963776</v>
      </c>
      <c r="X589" s="2">
        <v>108.06418934850733</v>
      </c>
      <c r="Y589" s="2">
        <v>101.38061853081109</v>
      </c>
      <c r="Z589" s="2">
        <v>86.754237269811043</v>
      </c>
      <c r="AA589" s="2">
        <v>66.832883295105802</v>
      </c>
      <c r="AB589" s="2">
        <v>16.613502149247406</v>
      </c>
      <c r="AC589" s="2">
        <v>0</v>
      </c>
      <c r="AD589" s="2">
        <v>0</v>
      </c>
      <c r="AE589" s="2">
        <v>0</v>
      </c>
      <c r="AF589" s="2">
        <v>0</v>
      </c>
      <c r="AG589" s="2">
        <v>0</v>
      </c>
      <c r="AH589" s="2">
        <v>0</v>
      </c>
      <c r="AI589" s="2">
        <v>0</v>
      </c>
      <c r="AJ589" s="2">
        <v>0</v>
      </c>
      <c r="AK589" s="2">
        <v>0</v>
      </c>
      <c r="AL589" s="2">
        <v>0</v>
      </c>
      <c r="AM589" s="2">
        <v>0</v>
      </c>
      <c r="AN589" s="2">
        <v>0</v>
      </c>
      <c r="AO589" s="2">
        <v>0</v>
      </c>
      <c r="AP589" s="2">
        <v>0</v>
      </c>
      <c r="AQ589" s="2">
        <v>0</v>
      </c>
      <c r="AR589" s="2">
        <v>804.13163076921569</v>
      </c>
    </row>
    <row r="590" spans="1:44" x14ac:dyDescent="0.25">
      <c r="A590" t="s">
        <v>250</v>
      </c>
      <c r="B590" t="s">
        <v>419</v>
      </c>
      <c r="C590" t="s">
        <v>46</v>
      </c>
      <c r="D590" t="s">
        <v>417</v>
      </c>
      <c r="E590" t="s">
        <v>134</v>
      </c>
      <c r="F590" t="s">
        <v>417</v>
      </c>
      <c r="G590" t="s">
        <v>31</v>
      </c>
      <c r="H590" t="s">
        <v>255</v>
      </c>
      <c r="I590" t="s">
        <v>135</v>
      </c>
      <c r="J590" t="s">
        <v>39</v>
      </c>
      <c r="K590" t="s">
        <v>31</v>
      </c>
      <c r="L590">
        <v>25.551339726938693</v>
      </c>
      <c r="M590">
        <v>1</v>
      </c>
      <c r="N590">
        <v>3.696448091734216</v>
      </c>
      <c r="O590">
        <v>6.6700446937309286</v>
      </c>
      <c r="P590">
        <v>-2.1339466048744784</v>
      </c>
      <c r="Q590">
        <v>0.97738688913926219</v>
      </c>
      <c r="R590">
        <v>-2.569678967374581</v>
      </c>
      <c r="S590" s="2">
        <v>16.402015302853965</v>
      </c>
      <c r="T590" s="2">
        <v>18.868793996046598</v>
      </c>
      <c r="U590" s="2">
        <v>21.328548722637482</v>
      </c>
      <c r="V590" s="2">
        <v>24.711216474837244</v>
      </c>
      <c r="W590" s="2">
        <v>26.864610931896216</v>
      </c>
      <c r="X590" s="2">
        <v>27.197100821748016</v>
      </c>
      <c r="Y590" s="2">
        <v>25.399333543728922</v>
      </c>
      <c r="Z590" s="2">
        <v>21.636382671756895</v>
      </c>
      <c r="AA590" s="2">
        <v>3.2325496229926327</v>
      </c>
      <c r="AB590" s="2">
        <v>0</v>
      </c>
      <c r="AC590" s="2">
        <v>0</v>
      </c>
      <c r="AD590" s="2">
        <v>0</v>
      </c>
      <c r="AE590" s="2">
        <v>0</v>
      </c>
      <c r="AF590" s="2">
        <v>0</v>
      </c>
      <c r="AG590" s="2">
        <v>0</v>
      </c>
      <c r="AH590" s="2">
        <v>0</v>
      </c>
      <c r="AI590" s="2">
        <v>0</v>
      </c>
      <c r="AJ590" s="2">
        <v>0</v>
      </c>
      <c r="AK590" s="2">
        <v>0</v>
      </c>
      <c r="AL590" s="2">
        <v>0</v>
      </c>
      <c r="AM590" s="2">
        <v>0</v>
      </c>
      <c r="AN590" s="2">
        <v>0</v>
      </c>
      <c r="AO590" s="2">
        <v>0</v>
      </c>
      <c r="AP590" s="2">
        <v>0</v>
      </c>
      <c r="AQ590" s="2">
        <v>0</v>
      </c>
      <c r="AR590" s="2">
        <v>185.64055208849797</v>
      </c>
    </row>
    <row r="591" spans="1:44" x14ac:dyDescent="0.25">
      <c r="A591" t="s">
        <v>250</v>
      </c>
      <c r="B591" t="s">
        <v>423</v>
      </c>
      <c r="C591" t="s">
        <v>46</v>
      </c>
      <c r="D591" t="s">
        <v>417</v>
      </c>
      <c r="E591" t="s">
        <v>134</v>
      </c>
      <c r="F591" t="s">
        <v>417</v>
      </c>
      <c r="G591" t="s">
        <v>31</v>
      </c>
      <c r="H591" t="s">
        <v>278</v>
      </c>
      <c r="I591" t="s">
        <v>135</v>
      </c>
      <c r="J591" t="s">
        <v>39</v>
      </c>
      <c r="K591" t="s">
        <v>31</v>
      </c>
      <c r="L591">
        <v>196.08017298589448</v>
      </c>
      <c r="M591">
        <v>1</v>
      </c>
      <c r="N591">
        <v>3.2126218906728834</v>
      </c>
      <c r="O591">
        <v>5.7970059535702099</v>
      </c>
      <c r="P591">
        <v>-1.6610612193350758</v>
      </c>
      <c r="Q591">
        <v>0.97738688913926253</v>
      </c>
      <c r="R591">
        <v>-2.0967935818351786</v>
      </c>
      <c r="S591" s="2">
        <v>205.60425721688529</v>
      </c>
      <c r="T591" s="2">
        <v>236.52607941784734</v>
      </c>
      <c r="U591" s="2">
        <v>267.35985405823817</v>
      </c>
      <c r="V591" s="2">
        <v>309.76262455690534</v>
      </c>
      <c r="W591" s="2">
        <v>336.75607991367042</v>
      </c>
      <c r="X591" s="2">
        <v>340.92394194603958</v>
      </c>
      <c r="Y591" s="2">
        <v>318.38838158830595</v>
      </c>
      <c r="Z591" s="2">
        <v>271.21864636431678</v>
      </c>
      <c r="AA591" s="2">
        <v>40.520994029098347</v>
      </c>
      <c r="AB591" s="2">
        <v>0</v>
      </c>
      <c r="AC591" s="2">
        <v>0</v>
      </c>
      <c r="AD591" s="2">
        <v>0</v>
      </c>
      <c r="AE591" s="2">
        <v>0</v>
      </c>
      <c r="AF591" s="2">
        <v>0</v>
      </c>
      <c r="AG591" s="2">
        <v>0</v>
      </c>
      <c r="AH591" s="2">
        <v>0</v>
      </c>
      <c r="AI591" s="2">
        <v>0</v>
      </c>
      <c r="AJ591" s="2">
        <v>0</v>
      </c>
      <c r="AK591" s="2">
        <v>0</v>
      </c>
      <c r="AL591" s="2">
        <v>0</v>
      </c>
      <c r="AM591" s="2">
        <v>0</v>
      </c>
      <c r="AN591" s="2">
        <v>0</v>
      </c>
      <c r="AO591" s="2">
        <v>0</v>
      </c>
      <c r="AP591" s="2">
        <v>0</v>
      </c>
      <c r="AQ591" s="2">
        <v>0</v>
      </c>
      <c r="AR591" s="2">
        <v>2327.0608590913071</v>
      </c>
    </row>
    <row r="592" spans="1:44" x14ac:dyDescent="0.25">
      <c r="A592" t="s">
        <v>250</v>
      </c>
      <c r="B592" t="s">
        <v>422</v>
      </c>
      <c r="C592" t="s">
        <v>46</v>
      </c>
      <c r="D592" t="s">
        <v>417</v>
      </c>
      <c r="E592" t="s">
        <v>134</v>
      </c>
      <c r="F592" t="s">
        <v>417</v>
      </c>
      <c r="G592" t="s">
        <v>31</v>
      </c>
      <c r="H592" t="s">
        <v>272</v>
      </c>
      <c r="I592" t="s">
        <v>135</v>
      </c>
      <c r="J592" t="s">
        <v>39</v>
      </c>
      <c r="K592" t="s">
        <v>31</v>
      </c>
      <c r="L592">
        <v>20.929193230947988</v>
      </c>
      <c r="M592">
        <v>1</v>
      </c>
      <c r="N592">
        <v>3.3514932674547055</v>
      </c>
      <c r="O592">
        <v>6.0475919936896414</v>
      </c>
      <c r="P592">
        <v>-1.7967922822783473</v>
      </c>
      <c r="Q592">
        <v>0.97738688913926242</v>
      </c>
      <c r="R592">
        <v>-2.2325246447784499</v>
      </c>
      <c r="S592" s="2">
        <v>80.28058191167419</v>
      </c>
      <c r="T592" s="2">
        <v>92.764417957246593</v>
      </c>
      <c r="U592" s="2">
        <v>105.32284170873658</v>
      </c>
      <c r="V592" s="2">
        <v>122.56864078080683</v>
      </c>
      <c r="W592" s="2">
        <v>133.84118773633935</v>
      </c>
      <c r="X592" s="2">
        <v>136.0992775596234</v>
      </c>
      <c r="Y592" s="2">
        <v>127.66725241873014</v>
      </c>
      <c r="Z592" s="2">
        <v>109.23600948572744</v>
      </c>
      <c r="AA592" s="2">
        <v>84.142591506895002</v>
      </c>
      <c r="AB592" s="2">
        <v>18.636297322504614</v>
      </c>
      <c r="AC592" s="2">
        <v>0</v>
      </c>
      <c r="AD592" s="2">
        <v>0</v>
      </c>
      <c r="AE592" s="2">
        <v>0</v>
      </c>
      <c r="AF592" s="2">
        <v>0</v>
      </c>
      <c r="AG592" s="2">
        <v>0</v>
      </c>
      <c r="AH592" s="2">
        <v>0</v>
      </c>
      <c r="AI592" s="2">
        <v>0</v>
      </c>
      <c r="AJ592" s="2">
        <v>0</v>
      </c>
      <c r="AK592" s="2">
        <v>0</v>
      </c>
      <c r="AL592" s="2">
        <v>0</v>
      </c>
      <c r="AM592" s="2">
        <v>0</v>
      </c>
      <c r="AN592" s="2">
        <v>0</v>
      </c>
      <c r="AO592" s="2">
        <v>0</v>
      </c>
      <c r="AP592" s="2">
        <v>0</v>
      </c>
      <c r="AQ592" s="2">
        <v>0</v>
      </c>
      <c r="AR592" s="2">
        <v>1010.5590983882842</v>
      </c>
    </row>
    <row r="593" spans="1:44" x14ac:dyDescent="0.25">
      <c r="A593" t="s">
        <v>250</v>
      </c>
      <c r="B593" t="s">
        <v>422</v>
      </c>
      <c r="C593" t="s">
        <v>46</v>
      </c>
      <c r="D593" t="s">
        <v>417</v>
      </c>
      <c r="E593" t="s">
        <v>134</v>
      </c>
      <c r="F593" t="s">
        <v>417</v>
      </c>
      <c r="G593" t="s">
        <v>31</v>
      </c>
      <c r="H593" t="s">
        <v>272</v>
      </c>
      <c r="I593" t="s">
        <v>135</v>
      </c>
      <c r="J593" t="s">
        <v>40</v>
      </c>
      <c r="K593" t="s">
        <v>31</v>
      </c>
      <c r="L593">
        <v>20.929193230947988</v>
      </c>
      <c r="M593">
        <v>1</v>
      </c>
      <c r="N593">
        <v>3.3514932674547055</v>
      </c>
      <c r="O593">
        <v>4.8576704190832896</v>
      </c>
      <c r="P593">
        <v>-1.7967922822783473</v>
      </c>
      <c r="Q593">
        <v>0.4672931329656026</v>
      </c>
      <c r="R593">
        <v>-2.0895246447784497</v>
      </c>
      <c r="S593" s="2">
        <v>7.9410213353730521</v>
      </c>
      <c r="T593" s="2">
        <v>9.1758704859965352</v>
      </c>
      <c r="U593" s="2">
        <v>10.418097542334495</v>
      </c>
      <c r="V593" s="2">
        <v>12.123980274070798</v>
      </c>
      <c r="W593" s="2">
        <v>13.239013744759443</v>
      </c>
      <c r="X593" s="2">
        <v>13.462374600359816</v>
      </c>
      <c r="Y593" s="2">
        <v>12.628313735954224</v>
      </c>
      <c r="Z593" s="2">
        <v>10.805171826875275</v>
      </c>
      <c r="AA593" s="2">
        <v>8.3230352653020354</v>
      </c>
      <c r="AB593" s="2">
        <v>1.843425036619502</v>
      </c>
      <c r="AC593" s="2">
        <v>0</v>
      </c>
      <c r="AD593" s="2">
        <v>0</v>
      </c>
      <c r="AE593" s="2">
        <v>0</v>
      </c>
      <c r="AF593" s="2">
        <v>0</v>
      </c>
      <c r="AG593" s="2">
        <v>0</v>
      </c>
      <c r="AH593" s="2">
        <v>0</v>
      </c>
      <c r="AI593" s="2">
        <v>0</v>
      </c>
      <c r="AJ593" s="2">
        <v>0</v>
      </c>
      <c r="AK593" s="2">
        <v>0</v>
      </c>
      <c r="AL593" s="2">
        <v>0</v>
      </c>
      <c r="AM593" s="2">
        <v>0</v>
      </c>
      <c r="AN593" s="2">
        <v>0</v>
      </c>
      <c r="AO593" s="2">
        <v>0</v>
      </c>
      <c r="AP593" s="2">
        <v>0</v>
      </c>
      <c r="AQ593" s="2">
        <v>0</v>
      </c>
      <c r="AR593" s="2">
        <v>99.96030384764515</v>
      </c>
    </row>
    <row r="594" spans="1:44" x14ac:dyDescent="0.25">
      <c r="A594" t="s">
        <v>250</v>
      </c>
      <c r="B594" t="s">
        <v>422</v>
      </c>
      <c r="C594" t="s">
        <v>46</v>
      </c>
      <c r="D594" t="s">
        <v>417</v>
      </c>
      <c r="E594" t="s">
        <v>134</v>
      </c>
      <c r="F594" t="s">
        <v>417</v>
      </c>
      <c r="G594" t="s">
        <v>31</v>
      </c>
      <c r="H594" t="s">
        <v>273</v>
      </c>
      <c r="I594" t="s">
        <v>135</v>
      </c>
      <c r="J594" t="s">
        <v>39</v>
      </c>
      <c r="K594" t="s">
        <v>31</v>
      </c>
      <c r="L594">
        <v>20.929193230947988</v>
      </c>
      <c r="M594">
        <v>1</v>
      </c>
      <c r="N594">
        <v>3.3514932674547055</v>
      </c>
      <c r="O594">
        <v>6.0475919936896414</v>
      </c>
      <c r="P594">
        <v>-1.7967922822783473</v>
      </c>
      <c r="Q594">
        <v>0.97738688913926242</v>
      </c>
      <c r="R594">
        <v>-2.2325246447784499</v>
      </c>
      <c r="S594" s="2">
        <v>24.144910645328078</v>
      </c>
      <c r="T594" s="2">
        <v>27.899506073683327</v>
      </c>
      <c r="U594" s="2">
        <v>31.676534242954695</v>
      </c>
      <c r="V594" s="2">
        <v>36.863321230380194</v>
      </c>
      <c r="W594" s="2">
        <v>40.253613534016544</v>
      </c>
      <c r="X594" s="2">
        <v>40.93274883316402</v>
      </c>
      <c r="Y594" s="2">
        <v>38.396762063536215</v>
      </c>
      <c r="Z594" s="2">
        <v>32.853445073266982</v>
      </c>
      <c r="AA594" s="2">
        <v>25.306435317515913</v>
      </c>
      <c r="AB594" s="2">
        <v>5.6049884405009944</v>
      </c>
      <c r="AC594" s="2">
        <v>0</v>
      </c>
      <c r="AD594" s="2">
        <v>0</v>
      </c>
      <c r="AE594" s="2">
        <v>0</v>
      </c>
      <c r="AF594" s="2">
        <v>0</v>
      </c>
      <c r="AG594" s="2">
        <v>0</v>
      </c>
      <c r="AH594" s="2">
        <v>0</v>
      </c>
      <c r="AI594" s="2">
        <v>0</v>
      </c>
      <c r="AJ594" s="2">
        <v>0</v>
      </c>
      <c r="AK594" s="2">
        <v>0</v>
      </c>
      <c r="AL594" s="2">
        <v>0</v>
      </c>
      <c r="AM594" s="2">
        <v>0</v>
      </c>
      <c r="AN594" s="2">
        <v>0</v>
      </c>
      <c r="AO594" s="2">
        <v>0</v>
      </c>
      <c r="AP594" s="2">
        <v>0</v>
      </c>
      <c r="AQ594" s="2">
        <v>0</v>
      </c>
      <c r="AR594" s="2">
        <v>303.93226545434692</v>
      </c>
    </row>
    <row r="595" spans="1:44" x14ac:dyDescent="0.25">
      <c r="A595" t="s">
        <v>250</v>
      </c>
      <c r="B595" t="s">
        <v>422</v>
      </c>
      <c r="C595" t="s">
        <v>46</v>
      </c>
      <c r="D595" t="s">
        <v>417</v>
      </c>
      <c r="E595" t="s">
        <v>134</v>
      </c>
      <c r="F595" t="s">
        <v>417</v>
      </c>
      <c r="G595" t="s">
        <v>31</v>
      </c>
      <c r="H595" t="s">
        <v>274</v>
      </c>
      <c r="I595" t="s">
        <v>135</v>
      </c>
      <c r="J595" t="s">
        <v>39</v>
      </c>
      <c r="K595" t="s">
        <v>31</v>
      </c>
      <c r="L595">
        <v>20.929193230947988</v>
      </c>
      <c r="M595">
        <v>1</v>
      </c>
      <c r="N595">
        <v>3.3514932674547055</v>
      </c>
      <c r="O595">
        <v>6.0475919936896414</v>
      </c>
      <c r="P595">
        <v>-1.7967922822783473</v>
      </c>
      <c r="Q595">
        <v>0.97738688913926242</v>
      </c>
      <c r="R595">
        <v>-2.2325246447784499</v>
      </c>
      <c r="S595" s="2">
        <v>38.008412995315119</v>
      </c>
      <c r="T595" s="2">
        <v>43.918818536569887</v>
      </c>
      <c r="U595" s="2">
        <v>49.864537229067246</v>
      </c>
      <c r="V595" s="2">
        <v>58.029468747459113</v>
      </c>
      <c r="W595" s="2">
        <v>63.366395934488601</v>
      </c>
      <c r="X595" s="2">
        <v>64.435476508397826</v>
      </c>
      <c r="Y595" s="2">
        <v>60.443379212758451</v>
      </c>
      <c r="Z595" s="2">
        <v>51.71720562590906</v>
      </c>
      <c r="AA595" s="2">
        <v>39.836860824063081</v>
      </c>
      <c r="AB595" s="2">
        <v>8.8232554930476415</v>
      </c>
      <c r="AC595" s="2">
        <v>0</v>
      </c>
      <c r="AD595" s="2">
        <v>0</v>
      </c>
      <c r="AE595" s="2">
        <v>0</v>
      </c>
      <c r="AF595" s="2">
        <v>0</v>
      </c>
      <c r="AG595" s="2">
        <v>0</v>
      </c>
      <c r="AH595" s="2">
        <v>0</v>
      </c>
      <c r="AI595" s="2">
        <v>0</v>
      </c>
      <c r="AJ595" s="2">
        <v>0</v>
      </c>
      <c r="AK595" s="2">
        <v>0</v>
      </c>
      <c r="AL595" s="2">
        <v>0</v>
      </c>
      <c r="AM595" s="2">
        <v>0</v>
      </c>
      <c r="AN595" s="2">
        <v>0</v>
      </c>
      <c r="AO595" s="2">
        <v>0</v>
      </c>
      <c r="AP595" s="2">
        <v>0</v>
      </c>
      <c r="AQ595" s="2">
        <v>0</v>
      </c>
      <c r="AR595" s="2">
        <v>478.44381110707604</v>
      </c>
    </row>
    <row r="596" spans="1:44" x14ac:dyDescent="0.25">
      <c r="A596" t="s">
        <v>250</v>
      </c>
      <c r="B596" t="s">
        <v>422</v>
      </c>
      <c r="C596" t="s">
        <v>46</v>
      </c>
      <c r="D596" t="s">
        <v>417</v>
      </c>
      <c r="E596" t="s">
        <v>134</v>
      </c>
      <c r="F596" t="s">
        <v>417</v>
      </c>
      <c r="G596" t="s">
        <v>31</v>
      </c>
      <c r="H596" t="s">
        <v>274</v>
      </c>
      <c r="I596" t="s">
        <v>135</v>
      </c>
      <c r="J596" t="s">
        <v>39</v>
      </c>
      <c r="K596" t="s">
        <v>33</v>
      </c>
      <c r="L596">
        <v>20.929193230947988</v>
      </c>
      <c r="M596">
        <v>1</v>
      </c>
      <c r="N596">
        <v>3.3514932674547055</v>
      </c>
      <c r="O596">
        <v>6.0475919936896414</v>
      </c>
      <c r="P596">
        <v>-1.7967922822783473</v>
      </c>
      <c r="Q596">
        <v>0.97738688913926242</v>
      </c>
      <c r="R596">
        <v>-2.2325246447784499</v>
      </c>
      <c r="S596" s="2">
        <v>0.12229140836585317</v>
      </c>
      <c r="T596" s="2">
        <v>0.14130803549370724</v>
      </c>
      <c r="U596" s="2">
        <v>0.16043828207207136</v>
      </c>
      <c r="V596" s="2">
        <v>0.18670880735598575</v>
      </c>
      <c r="W596" s="2">
        <v>0.20388027784406679</v>
      </c>
      <c r="X596" s="2">
        <v>0.20732002601392721</v>
      </c>
      <c r="Y596" s="2">
        <v>0.19447552233319135</v>
      </c>
      <c r="Z596" s="2">
        <v>0.16639921044633998</v>
      </c>
      <c r="AA596" s="2">
        <v>0.12817440748314429</v>
      </c>
      <c r="AB596" s="2">
        <v>2.8388671233117481E-2</v>
      </c>
      <c r="AC596" s="2">
        <v>0</v>
      </c>
      <c r="AD596" s="2">
        <v>0</v>
      </c>
      <c r="AE596" s="2">
        <v>0</v>
      </c>
      <c r="AF596" s="2">
        <v>0</v>
      </c>
      <c r="AG596" s="2">
        <v>0</v>
      </c>
      <c r="AH596" s="2">
        <v>0</v>
      </c>
      <c r="AI596" s="2">
        <v>0</v>
      </c>
      <c r="AJ596" s="2">
        <v>0</v>
      </c>
      <c r="AK596" s="2">
        <v>0</v>
      </c>
      <c r="AL596" s="2">
        <v>0</v>
      </c>
      <c r="AM596" s="2">
        <v>0</v>
      </c>
      <c r="AN596" s="2">
        <v>0</v>
      </c>
      <c r="AO596" s="2">
        <v>0</v>
      </c>
      <c r="AP596" s="2">
        <v>0</v>
      </c>
      <c r="AQ596" s="2">
        <v>0</v>
      </c>
      <c r="AR596" s="2">
        <v>1.5393846486414045</v>
      </c>
    </row>
    <row r="597" spans="1:44" x14ac:dyDescent="0.25">
      <c r="A597" t="s">
        <v>250</v>
      </c>
      <c r="B597" t="s">
        <v>422</v>
      </c>
      <c r="C597" t="s">
        <v>46</v>
      </c>
      <c r="D597" t="s">
        <v>417</v>
      </c>
      <c r="E597" t="s">
        <v>134</v>
      </c>
      <c r="F597" t="s">
        <v>417</v>
      </c>
      <c r="G597" t="s">
        <v>31</v>
      </c>
      <c r="H597" t="s">
        <v>275</v>
      </c>
      <c r="I597" t="s">
        <v>135</v>
      </c>
      <c r="J597" t="s">
        <v>39</v>
      </c>
      <c r="K597" t="s">
        <v>31</v>
      </c>
      <c r="L597">
        <v>20.929193230947988</v>
      </c>
      <c r="M597">
        <v>1</v>
      </c>
      <c r="N597">
        <v>3.3514932674547055</v>
      </c>
      <c r="O597">
        <v>6.0475919936896414</v>
      </c>
      <c r="P597">
        <v>-1.7967922822783473</v>
      </c>
      <c r="Q597">
        <v>0.97738688913926242</v>
      </c>
      <c r="R597">
        <v>-2.2325246447784499</v>
      </c>
      <c r="S597" s="2">
        <v>58.064973588139338</v>
      </c>
      <c r="T597" s="2">
        <v>67.094225656371009</v>
      </c>
      <c r="U597" s="2">
        <v>76.177425180774136</v>
      </c>
      <c r="V597" s="2">
        <v>88.650888174949344</v>
      </c>
      <c r="W597" s="2">
        <v>96.804044587843663</v>
      </c>
      <c r="X597" s="2">
        <v>98.437265509098211</v>
      </c>
      <c r="Y597" s="2">
        <v>92.338588775051079</v>
      </c>
      <c r="Z597" s="2">
        <v>79.007723345116332</v>
      </c>
      <c r="AA597" s="2">
        <v>60.858270295808445</v>
      </c>
      <c r="AB597" s="2">
        <v>13.479176234702779</v>
      </c>
      <c r="AC597" s="2">
        <v>0</v>
      </c>
      <c r="AD597" s="2">
        <v>0</v>
      </c>
      <c r="AE597" s="2">
        <v>0</v>
      </c>
      <c r="AF597" s="2">
        <v>0</v>
      </c>
      <c r="AG597" s="2">
        <v>0</v>
      </c>
      <c r="AH597" s="2">
        <v>0</v>
      </c>
      <c r="AI597" s="2">
        <v>0</v>
      </c>
      <c r="AJ597" s="2">
        <v>0</v>
      </c>
      <c r="AK597" s="2">
        <v>0</v>
      </c>
      <c r="AL597" s="2">
        <v>0</v>
      </c>
      <c r="AM597" s="2">
        <v>0</v>
      </c>
      <c r="AN597" s="2">
        <v>0</v>
      </c>
      <c r="AO597" s="2">
        <v>0</v>
      </c>
      <c r="AP597" s="2">
        <v>0</v>
      </c>
      <c r="AQ597" s="2">
        <v>0</v>
      </c>
      <c r="AR597" s="2">
        <v>730.91258134785437</v>
      </c>
    </row>
    <row r="598" spans="1:44" x14ac:dyDescent="0.25">
      <c r="A598" t="s">
        <v>250</v>
      </c>
      <c r="B598" t="s">
        <v>420</v>
      </c>
      <c r="C598" t="s">
        <v>46</v>
      </c>
      <c r="D598" t="s">
        <v>417</v>
      </c>
      <c r="E598" t="s">
        <v>134</v>
      </c>
      <c r="F598" t="s">
        <v>417</v>
      </c>
      <c r="G598" t="s">
        <v>31</v>
      </c>
      <c r="H598" t="s">
        <v>276</v>
      </c>
      <c r="I598" t="s">
        <v>135</v>
      </c>
      <c r="J598" t="s">
        <v>39</v>
      </c>
      <c r="K598" t="s">
        <v>31</v>
      </c>
      <c r="L598">
        <v>18.647305501260348</v>
      </c>
      <c r="M598">
        <v>1</v>
      </c>
      <c r="N598">
        <v>3.992594563639448</v>
      </c>
      <c r="O598">
        <v>7.2044253084393324</v>
      </c>
      <c r="P598">
        <v>-2.4233962837795024</v>
      </c>
      <c r="Q598">
        <v>0.97738688913926275</v>
      </c>
      <c r="R598">
        <v>-2.8591286462796051</v>
      </c>
      <c r="S598" s="2">
        <v>220.7149818897731</v>
      </c>
      <c r="T598" s="2">
        <v>255.67726500693851</v>
      </c>
      <c r="U598" s="2">
        <v>291.01987007800744</v>
      </c>
      <c r="V598" s="2">
        <v>339.52271140737344</v>
      </c>
      <c r="W598" s="2">
        <v>371.6795174917678</v>
      </c>
      <c r="X598" s="2">
        <v>378.89951797360055</v>
      </c>
      <c r="Y598" s="2">
        <v>356.31748223782586</v>
      </c>
      <c r="Z598" s="2">
        <v>305.64185850047829</v>
      </c>
      <c r="AA598" s="2">
        <v>236.02188538085352</v>
      </c>
      <c r="AB598" s="2">
        <v>155.87626195425602</v>
      </c>
      <c r="AC598" s="2">
        <v>39.350599397182251</v>
      </c>
      <c r="AD598" s="2">
        <v>0</v>
      </c>
      <c r="AE598" s="2">
        <v>0</v>
      </c>
      <c r="AF598" s="2">
        <v>0</v>
      </c>
      <c r="AG598" s="2">
        <v>0</v>
      </c>
      <c r="AH598" s="2">
        <v>0</v>
      </c>
      <c r="AI598" s="2">
        <v>0</v>
      </c>
      <c r="AJ598" s="2">
        <v>0</v>
      </c>
      <c r="AK598" s="2">
        <v>0</v>
      </c>
      <c r="AL598" s="2">
        <v>0</v>
      </c>
      <c r="AM598" s="2">
        <v>0</v>
      </c>
      <c r="AN598" s="2">
        <v>0</v>
      </c>
      <c r="AO598" s="2">
        <v>0</v>
      </c>
      <c r="AP598" s="2">
        <v>0</v>
      </c>
      <c r="AQ598" s="2">
        <v>0</v>
      </c>
      <c r="AR598" s="2">
        <v>2950.7219513180567</v>
      </c>
    </row>
    <row r="599" spans="1:44" x14ac:dyDescent="0.25">
      <c r="A599" t="s">
        <v>250</v>
      </c>
      <c r="B599" t="s">
        <v>424</v>
      </c>
      <c r="C599" t="s">
        <v>46</v>
      </c>
      <c r="D599" t="s">
        <v>417</v>
      </c>
      <c r="E599" t="s">
        <v>134</v>
      </c>
      <c r="F599" t="s">
        <v>417</v>
      </c>
      <c r="G599" t="s">
        <v>31</v>
      </c>
      <c r="H599" t="s">
        <v>277</v>
      </c>
      <c r="I599" t="s">
        <v>135</v>
      </c>
      <c r="J599" t="s">
        <v>39</v>
      </c>
      <c r="K599" t="s">
        <v>31</v>
      </c>
      <c r="L599">
        <v>23.558166392472799</v>
      </c>
      <c r="M599">
        <v>1</v>
      </c>
      <c r="N599">
        <v>5.8283940021897402</v>
      </c>
      <c r="O599">
        <v>10.517028109825306</v>
      </c>
      <c r="P599">
        <v>-4.2176825861077756</v>
      </c>
      <c r="Q599">
        <v>0.97738688913926242</v>
      </c>
      <c r="R599">
        <v>-4.6534149486078791</v>
      </c>
      <c r="S599" s="2">
        <v>119.93451179115092</v>
      </c>
      <c r="T599" s="2">
        <v>138.5679284583137</v>
      </c>
      <c r="U599" s="2">
        <v>157.30825351772452</v>
      </c>
      <c r="V599" s="2">
        <v>183.04419141288363</v>
      </c>
      <c r="W599" s="2">
        <v>199.85453361308993</v>
      </c>
      <c r="X599" s="2">
        <v>203.20186193056625</v>
      </c>
      <c r="Y599" s="2">
        <v>190.58951973194613</v>
      </c>
      <c r="Z599" s="2">
        <v>163.05456831705592</v>
      </c>
      <c r="AA599" s="2">
        <v>125.58294660707628</v>
      </c>
      <c r="AB599" s="2">
        <v>24.216070956220484</v>
      </c>
      <c r="AC599" s="2">
        <v>0</v>
      </c>
      <c r="AD599" s="2">
        <v>0</v>
      </c>
      <c r="AE599" s="2">
        <v>0</v>
      </c>
      <c r="AF599" s="2">
        <v>0</v>
      </c>
      <c r="AG599" s="2">
        <v>0</v>
      </c>
      <c r="AH599" s="2">
        <v>0</v>
      </c>
      <c r="AI599" s="2">
        <v>0</v>
      </c>
      <c r="AJ599" s="2">
        <v>0</v>
      </c>
      <c r="AK599" s="2">
        <v>0</v>
      </c>
      <c r="AL599" s="2">
        <v>0</v>
      </c>
      <c r="AM599" s="2">
        <v>0</v>
      </c>
      <c r="AN599" s="2">
        <v>0</v>
      </c>
      <c r="AO599" s="2">
        <v>0</v>
      </c>
      <c r="AP599" s="2">
        <v>0</v>
      </c>
      <c r="AQ599" s="2">
        <v>0</v>
      </c>
      <c r="AR599" s="2">
        <v>1505.3543863360278</v>
      </c>
    </row>
    <row r="600" spans="1:44" x14ac:dyDescent="0.25">
      <c r="A600" t="s">
        <v>250</v>
      </c>
      <c r="B600" t="s">
        <v>424</v>
      </c>
      <c r="C600" t="s">
        <v>46</v>
      </c>
      <c r="D600" t="s">
        <v>417</v>
      </c>
      <c r="E600" t="s">
        <v>134</v>
      </c>
      <c r="F600" t="s">
        <v>417</v>
      </c>
      <c r="G600" t="s">
        <v>31</v>
      </c>
      <c r="H600" t="s">
        <v>277</v>
      </c>
      <c r="I600" t="s">
        <v>135</v>
      </c>
      <c r="J600" t="s">
        <v>40</v>
      </c>
      <c r="K600" t="s">
        <v>31</v>
      </c>
      <c r="L600">
        <v>23.558166392472799</v>
      </c>
      <c r="M600">
        <v>1</v>
      </c>
      <c r="N600">
        <v>5.8283940021897402</v>
      </c>
      <c r="O600">
        <v>9.3271065352189524</v>
      </c>
      <c r="P600">
        <v>-4.2176825861077756</v>
      </c>
      <c r="Q600">
        <v>0.4672931329656026</v>
      </c>
      <c r="R600">
        <v>-4.5104149486078775</v>
      </c>
      <c r="S600" s="2">
        <v>18.919116339496831</v>
      </c>
      <c r="T600" s="2">
        <v>21.858451919085873</v>
      </c>
      <c r="U600" s="2">
        <v>24.814651804706632</v>
      </c>
      <c r="V600" s="2">
        <v>28.874377365539786</v>
      </c>
      <c r="W600" s="2">
        <v>31.526131352301089</v>
      </c>
      <c r="X600" s="2">
        <v>32.054156963270394</v>
      </c>
      <c r="Y600" s="2">
        <v>30.064618124068271</v>
      </c>
      <c r="Z600" s="2">
        <v>25.721106473911735</v>
      </c>
      <c r="AA600" s="2">
        <v>19.810130892544276</v>
      </c>
      <c r="AB600" s="2">
        <v>3.8199735577700071</v>
      </c>
      <c r="AC600" s="2">
        <v>0</v>
      </c>
      <c r="AD600" s="2">
        <v>0</v>
      </c>
      <c r="AE600" s="2">
        <v>0</v>
      </c>
      <c r="AF600" s="2">
        <v>0</v>
      </c>
      <c r="AG600" s="2">
        <v>0</v>
      </c>
      <c r="AH600" s="2">
        <v>0</v>
      </c>
      <c r="AI600" s="2">
        <v>0</v>
      </c>
      <c r="AJ600" s="2">
        <v>0</v>
      </c>
      <c r="AK600" s="2">
        <v>0</v>
      </c>
      <c r="AL600" s="2">
        <v>0</v>
      </c>
      <c r="AM600" s="2">
        <v>0</v>
      </c>
      <c r="AN600" s="2">
        <v>0</v>
      </c>
      <c r="AO600" s="2">
        <v>0</v>
      </c>
      <c r="AP600" s="2">
        <v>0</v>
      </c>
      <c r="AQ600" s="2">
        <v>0</v>
      </c>
      <c r="AR600" s="2">
        <v>237.4627147926949</v>
      </c>
    </row>
    <row r="601" spans="1:44" x14ac:dyDescent="0.25">
      <c r="A601" t="s">
        <v>250</v>
      </c>
      <c r="B601" t="s">
        <v>395</v>
      </c>
      <c r="C601" t="s">
        <v>44</v>
      </c>
      <c r="D601" t="s">
        <v>390</v>
      </c>
      <c r="E601" t="s">
        <v>134</v>
      </c>
      <c r="F601" t="s">
        <v>390</v>
      </c>
      <c r="G601" t="s">
        <v>31</v>
      </c>
      <c r="H601" t="s">
        <v>253</v>
      </c>
      <c r="I601" t="s">
        <v>135</v>
      </c>
      <c r="J601" t="s">
        <v>39</v>
      </c>
      <c r="K601" t="s">
        <v>31</v>
      </c>
      <c r="L601">
        <v>0.26148930323017083</v>
      </c>
      <c r="M601">
        <v>0</v>
      </c>
      <c r="N601">
        <v>0.52383520285766771</v>
      </c>
      <c r="O601">
        <v>6.0314982584435803</v>
      </c>
      <c r="P601">
        <v>3.4772274133658292</v>
      </c>
      <c r="Q601">
        <v>6.2366719843947944</v>
      </c>
      <c r="R601">
        <v>-2.2177900443898042</v>
      </c>
      <c r="S601" s="2">
        <v>0.15240288244368397</v>
      </c>
      <c r="T601" s="2">
        <v>0.24688776968795892</v>
      </c>
      <c r="U601" s="2">
        <v>0.37320471228963686</v>
      </c>
      <c r="V601" s="2">
        <v>0.53231740704654007</v>
      </c>
      <c r="W601" s="2">
        <v>0.72112905829486218</v>
      </c>
      <c r="X601" s="2">
        <v>0.93101085376099901</v>
      </c>
      <c r="Y601" s="2">
        <v>1.1467788183481289</v>
      </c>
      <c r="Z601" s="2">
        <v>1.3467801147545853</v>
      </c>
      <c r="AA601" s="2">
        <v>1.504804665541797</v>
      </c>
      <c r="AB601" s="2">
        <v>1.5942654441024635</v>
      </c>
      <c r="AC601" s="2">
        <v>1.5943575143848658</v>
      </c>
      <c r="AD601" s="2">
        <v>1.4967887417758781</v>
      </c>
      <c r="AE601" s="2">
        <v>1.3106164210506217</v>
      </c>
      <c r="AF601" s="2">
        <v>1.0794214512345346</v>
      </c>
      <c r="AG601" s="2">
        <v>0.82205562957047928</v>
      </c>
      <c r="AH601" s="2">
        <v>0.20872348797248361</v>
      </c>
      <c r="AI601" s="2">
        <v>0</v>
      </c>
      <c r="AJ601" s="2">
        <v>0</v>
      </c>
      <c r="AK601" s="2">
        <v>0</v>
      </c>
      <c r="AL601" s="2">
        <v>0</v>
      </c>
      <c r="AM601" s="2">
        <v>0</v>
      </c>
      <c r="AN601" s="2">
        <v>0</v>
      </c>
      <c r="AO601" s="2">
        <v>0</v>
      </c>
      <c r="AP601" s="2">
        <v>0</v>
      </c>
      <c r="AQ601" s="2">
        <v>0</v>
      </c>
      <c r="AR601" s="2">
        <v>15.061544972259522</v>
      </c>
    </row>
    <row r="602" spans="1:44" x14ac:dyDescent="0.25">
      <c r="A602" t="s">
        <v>250</v>
      </c>
      <c r="B602" t="s">
        <v>395</v>
      </c>
      <c r="C602" t="s">
        <v>44</v>
      </c>
      <c r="D602" t="s">
        <v>390</v>
      </c>
      <c r="E602" t="s">
        <v>134</v>
      </c>
      <c r="F602" t="s">
        <v>390</v>
      </c>
      <c r="G602" t="s">
        <v>31</v>
      </c>
      <c r="H602" t="s">
        <v>253</v>
      </c>
      <c r="I602" t="s">
        <v>135</v>
      </c>
      <c r="J602" t="s">
        <v>40</v>
      </c>
      <c r="K602" t="s">
        <v>31</v>
      </c>
      <c r="L602">
        <v>0.26148930323017083</v>
      </c>
      <c r="M602">
        <v>0</v>
      </c>
      <c r="N602">
        <v>0.52383520285766771</v>
      </c>
      <c r="O602">
        <v>4.8304674702220067</v>
      </c>
      <c r="P602">
        <v>3.4772274133658292</v>
      </c>
      <c r="Q602">
        <v>0.4672931329656026</v>
      </c>
      <c r="R602">
        <v>-2.0747900443898049</v>
      </c>
      <c r="S602" s="2">
        <v>8.0167083698238897E-2</v>
      </c>
      <c r="T602" s="2">
        <v>0.1298680981572628</v>
      </c>
      <c r="U602" s="2">
        <v>0.19631343532991291</v>
      </c>
      <c r="V602" s="2">
        <v>0.28001001976126366</v>
      </c>
      <c r="W602" s="2">
        <v>0.37932887256852704</v>
      </c>
      <c r="X602" s="2">
        <v>0.489731059155043</v>
      </c>
      <c r="Y602" s="2">
        <v>0.60322949303700635</v>
      </c>
      <c r="Z602" s="2">
        <v>0.70843433176239856</v>
      </c>
      <c r="AA602" s="2">
        <v>0.79155852984976893</v>
      </c>
      <c r="AB602" s="2">
        <v>0.83861675872042463</v>
      </c>
      <c r="AC602" s="2">
        <v>0.83866518960255199</v>
      </c>
      <c r="AD602" s="2">
        <v>0.78734198734639071</v>
      </c>
      <c r="AE602" s="2">
        <v>0.68941147724995566</v>
      </c>
      <c r="AF602" s="2">
        <v>0.5677981179835595</v>
      </c>
      <c r="AG602" s="2">
        <v>0.43241834671163232</v>
      </c>
      <c r="AH602" s="2">
        <v>0.10979289277066186</v>
      </c>
      <c r="AI602" s="2">
        <v>0</v>
      </c>
      <c r="AJ602" s="2">
        <v>0</v>
      </c>
      <c r="AK602" s="2">
        <v>0</v>
      </c>
      <c r="AL602" s="2">
        <v>0</v>
      </c>
      <c r="AM602" s="2">
        <v>0</v>
      </c>
      <c r="AN602" s="2">
        <v>0</v>
      </c>
      <c r="AO602" s="2">
        <v>0</v>
      </c>
      <c r="AP602" s="2">
        <v>0</v>
      </c>
      <c r="AQ602" s="2">
        <v>0</v>
      </c>
      <c r="AR602" s="2">
        <v>7.9226856937045982</v>
      </c>
    </row>
    <row r="603" spans="1:44" x14ac:dyDescent="0.25">
      <c r="A603" t="s">
        <v>250</v>
      </c>
      <c r="B603" t="s">
        <v>395</v>
      </c>
      <c r="C603" t="s">
        <v>44</v>
      </c>
      <c r="D603" t="s">
        <v>390</v>
      </c>
      <c r="E603" t="s">
        <v>134</v>
      </c>
      <c r="F603" t="s">
        <v>390</v>
      </c>
      <c r="G603" t="s">
        <v>31</v>
      </c>
      <c r="H603" t="s">
        <v>253</v>
      </c>
      <c r="I603" t="s">
        <v>256</v>
      </c>
      <c r="J603" t="s">
        <v>39</v>
      </c>
      <c r="K603" t="s">
        <v>31</v>
      </c>
      <c r="L603">
        <v>0.26148930323017083</v>
      </c>
      <c r="M603">
        <v>0</v>
      </c>
      <c r="N603">
        <v>0.28926507394766826</v>
      </c>
      <c r="O603">
        <v>3.330631046226137</v>
      </c>
      <c r="P603">
        <v>4.9401643647146969</v>
      </c>
      <c r="Q603">
        <v>0.4672931329656026</v>
      </c>
      <c r="R603">
        <v>-0.75485309304093573</v>
      </c>
      <c r="S603" s="2">
        <v>7.9944595021041676E-2</v>
      </c>
      <c r="T603" s="2">
        <v>0.12950767365338672</v>
      </c>
      <c r="U603" s="2">
        <v>0.19576860427796897</v>
      </c>
      <c r="V603" s="2">
        <v>0.27923290456604011</v>
      </c>
      <c r="W603" s="2">
        <v>0.37827611655961241</v>
      </c>
      <c r="X603" s="2">
        <v>0.48837190262212044</v>
      </c>
      <c r="Y603" s="2">
        <v>0.60155534292750068</v>
      </c>
      <c r="Z603" s="2">
        <v>0.70646820539127819</v>
      </c>
      <c r="AA603" s="2">
        <v>0.78936170788611393</v>
      </c>
      <c r="AB603" s="2">
        <v>0.83628933548490514</v>
      </c>
      <c r="AC603" s="2">
        <v>0.83633763195621924</v>
      </c>
      <c r="AD603" s="2">
        <v>0.78515686760415426</v>
      </c>
      <c r="AE603" s="2">
        <v>0.68749814523708985</v>
      </c>
      <c r="AF603" s="2">
        <v>0.5662223009978653</v>
      </c>
      <c r="AG603" s="2">
        <v>0.43121825084288595</v>
      </c>
      <c r="AH603" s="2">
        <v>0.10948818322714587</v>
      </c>
      <c r="AI603" s="2">
        <v>0</v>
      </c>
      <c r="AJ603" s="2">
        <v>0</v>
      </c>
      <c r="AK603" s="2">
        <v>0</v>
      </c>
      <c r="AL603" s="2">
        <v>0</v>
      </c>
      <c r="AM603" s="2">
        <v>0</v>
      </c>
      <c r="AN603" s="2">
        <v>0</v>
      </c>
      <c r="AO603" s="2">
        <v>0</v>
      </c>
      <c r="AP603" s="2">
        <v>0</v>
      </c>
      <c r="AQ603" s="2">
        <v>0</v>
      </c>
      <c r="AR603" s="2">
        <v>7.9006977682553279</v>
      </c>
    </row>
    <row r="604" spans="1:44" x14ac:dyDescent="0.25">
      <c r="A604" t="s">
        <v>250</v>
      </c>
      <c r="B604" t="s">
        <v>396</v>
      </c>
      <c r="C604" t="s">
        <v>44</v>
      </c>
      <c r="D604" t="s">
        <v>390</v>
      </c>
      <c r="E604" t="s">
        <v>134</v>
      </c>
      <c r="F604" t="s">
        <v>390</v>
      </c>
      <c r="G604" t="s">
        <v>31</v>
      </c>
      <c r="H604" t="s">
        <v>252</v>
      </c>
      <c r="I604" t="s">
        <v>135</v>
      </c>
      <c r="J604" t="s">
        <v>39</v>
      </c>
      <c r="K604" t="s">
        <v>31</v>
      </c>
      <c r="L604">
        <v>0.29656632466037225</v>
      </c>
      <c r="M604">
        <v>0</v>
      </c>
      <c r="N604">
        <v>0.70838296473979667</v>
      </c>
      <c r="O604">
        <v>7.236633810211182</v>
      </c>
      <c r="P604">
        <v>2.1571713853867371</v>
      </c>
      <c r="Q604">
        <v>5.5333847029631578</v>
      </c>
      <c r="R604">
        <v>-2.8345587909372605</v>
      </c>
      <c r="S604" s="2">
        <v>0.1285850430773027</v>
      </c>
      <c r="T604" s="2">
        <v>0.20838730015505277</v>
      </c>
      <c r="U604" s="2">
        <v>0.31513249528804615</v>
      </c>
      <c r="V604" s="2">
        <v>0.44966712286886845</v>
      </c>
      <c r="W604" s="2">
        <v>0.6094075936026857</v>
      </c>
      <c r="X604" s="2">
        <v>0.78708929812588335</v>
      </c>
      <c r="Y604" s="2">
        <v>0.96989188140203386</v>
      </c>
      <c r="Z604" s="2">
        <v>1.1395011155633954</v>
      </c>
      <c r="AA604" s="2">
        <v>1.2737159471421278</v>
      </c>
      <c r="AB604" s="2">
        <v>1.3499804772930977</v>
      </c>
      <c r="AC604" s="2">
        <v>1.350600686482992</v>
      </c>
      <c r="AD604" s="2">
        <v>1.2684581961639934</v>
      </c>
      <c r="AE604" s="2">
        <v>1.111131997060852</v>
      </c>
      <c r="AF604" s="2">
        <v>0.91549397708933433</v>
      </c>
      <c r="AG604" s="2">
        <v>0.69749332010960841</v>
      </c>
      <c r="AH604" s="2">
        <v>0.25622253630865072</v>
      </c>
      <c r="AI604" s="2">
        <v>0</v>
      </c>
      <c r="AJ604" s="2">
        <v>0</v>
      </c>
      <c r="AK604" s="2">
        <v>0</v>
      </c>
      <c r="AL604" s="2">
        <v>0</v>
      </c>
      <c r="AM604" s="2">
        <v>0</v>
      </c>
      <c r="AN604" s="2">
        <v>0</v>
      </c>
      <c r="AO604" s="2">
        <v>0</v>
      </c>
      <c r="AP604" s="2">
        <v>0</v>
      </c>
      <c r="AQ604" s="2">
        <v>0</v>
      </c>
      <c r="AR604" s="2">
        <v>12.830758987733924</v>
      </c>
    </row>
    <row r="605" spans="1:44" x14ac:dyDescent="0.25">
      <c r="A605" t="s">
        <v>250</v>
      </c>
      <c r="B605" t="s">
        <v>389</v>
      </c>
      <c r="C605" t="s">
        <v>44</v>
      </c>
      <c r="D605" t="s">
        <v>390</v>
      </c>
      <c r="E605" t="s">
        <v>134</v>
      </c>
      <c r="F605" t="s">
        <v>390</v>
      </c>
      <c r="G605" t="s">
        <v>31</v>
      </c>
      <c r="H605" t="s">
        <v>288</v>
      </c>
      <c r="I605" t="s">
        <v>135</v>
      </c>
      <c r="J605" t="s">
        <v>39</v>
      </c>
      <c r="K605" t="s">
        <v>31</v>
      </c>
      <c r="L605">
        <v>5.9814813064183341E-2</v>
      </c>
      <c r="M605">
        <v>0</v>
      </c>
      <c r="N605">
        <v>0.16203067434216739</v>
      </c>
      <c r="O605">
        <v>7.8628457168505825</v>
      </c>
      <c r="P605">
        <v>22.587603914734448</v>
      </c>
      <c r="Q605">
        <v>26.28481299660363</v>
      </c>
      <c r="R605">
        <v>-3.1555545552300228</v>
      </c>
      <c r="S605" s="2">
        <v>0.35524252459813621</v>
      </c>
      <c r="T605" s="2">
        <v>0.576117104248279</v>
      </c>
      <c r="U605" s="2">
        <v>0.87184190076975532</v>
      </c>
      <c r="V605" s="2">
        <v>1.2449179033580224</v>
      </c>
      <c r="W605" s="2">
        <v>1.6883499394045121</v>
      </c>
      <c r="X605" s="2">
        <v>2.1821451764986017</v>
      </c>
      <c r="Y605" s="2">
        <v>2.6908406824264293</v>
      </c>
      <c r="Z605" s="2">
        <v>3.1636209565507296</v>
      </c>
      <c r="AA605" s="2">
        <v>3.5387289853655215</v>
      </c>
      <c r="AB605" s="2">
        <v>3.7532477510933848</v>
      </c>
      <c r="AC605" s="2">
        <v>3.7576103133426915</v>
      </c>
      <c r="AD605" s="2">
        <v>3.5315548841001814</v>
      </c>
      <c r="AE605" s="2">
        <v>3.0957115185048703</v>
      </c>
      <c r="AF605" s="2">
        <v>2.5524388630396473</v>
      </c>
      <c r="AG605" s="2">
        <v>1.9460094178739327</v>
      </c>
      <c r="AH605" s="2">
        <v>1.1018082818358057</v>
      </c>
      <c r="AI605" s="2">
        <v>0</v>
      </c>
      <c r="AJ605" s="2">
        <v>0</v>
      </c>
      <c r="AK605" s="2">
        <v>0</v>
      </c>
      <c r="AL605" s="2">
        <v>0</v>
      </c>
      <c r="AM605" s="2">
        <v>0</v>
      </c>
      <c r="AN605" s="2">
        <v>0</v>
      </c>
      <c r="AO605" s="2">
        <v>0</v>
      </c>
      <c r="AP605" s="2">
        <v>0</v>
      </c>
      <c r="AQ605" s="2">
        <v>0</v>
      </c>
      <c r="AR605" s="2">
        <v>36.050186203010497</v>
      </c>
    </row>
    <row r="606" spans="1:44" x14ac:dyDescent="0.25">
      <c r="A606" t="s">
        <v>250</v>
      </c>
      <c r="B606" t="s">
        <v>389</v>
      </c>
      <c r="C606" t="s">
        <v>44</v>
      </c>
      <c r="D606" t="s">
        <v>390</v>
      </c>
      <c r="E606" t="s">
        <v>134</v>
      </c>
      <c r="F606" t="s">
        <v>390</v>
      </c>
      <c r="G606" t="s">
        <v>31</v>
      </c>
      <c r="H606" t="s">
        <v>288</v>
      </c>
      <c r="I606" t="s">
        <v>135</v>
      </c>
      <c r="J606" t="s">
        <v>39</v>
      </c>
      <c r="K606" t="s">
        <v>33</v>
      </c>
      <c r="L606">
        <v>5.9814813064183341E-2</v>
      </c>
      <c r="M606">
        <v>0</v>
      </c>
      <c r="N606">
        <v>0.16203067434216739</v>
      </c>
      <c r="O606">
        <v>7.8628457168505825</v>
      </c>
      <c r="P606">
        <v>22.587603914734448</v>
      </c>
      <c r="Q606">
        <v>26.28481299660363</v>
      </c>
      <c r="R606">
        <v>-3.1555545552300228</v>
      </c>
      <c r="S606" s="2">
        <v>3.3418067046512064E-3</v>
      </c>
      <c r="T606" s="2">
        <v>5.4195989171597018E-3</v>
      </c>
      <c r="U606" s="2">
        <v>8.2015156059486779E-3</v>
      </c>
      <c r="V606" s="2">
        <v>1.1711083859930405E-2</v>
      </c>
      <c r="W606" s="2">
        <v>1.5882499297295728E-2</v>
      </c>
      <c r="X606" s="2">
        <v>2.0527687076862932E-2</v>
      </c>
      <c r="Y606" s="2">
        <v>2.5313043374672752E-2</v>
      </c>
      <c r="Z606" s="2">
        <v>2.9760541015003712E-2</v>
      </c>
      <c r="AA606" s="2">
        <v>3.3289224770080103E-2</v>
      </c>
      <c r="AB606" s="2">
        <v>3.5307227120428893E-2</v>
      </c>
      <c r="AC606" s="2">
        <v>3.5348266238115281E-2</v>
      </c>
      <c r="AD606" s="2">
        <v>3.3221737186110573E-2</v>
      </c>
      <c r="AE606" s="2">
        <v>2.9121709232047894E-2</v>
      </c>
      <c r="AF606" s="2">
        <v>2.4011081768342296E-2</v>
      </c>
      <c r="AG606" s="2">
        <v>1.8306331223499082E-2</v>
      </c>
      <c r="AH606" s="2">
        <v>1.0364835425163001E-2</v>
      </c>
      <c r="AI606" s="2">
        <v>0</v>
      </c>
      <c r="AJ606" s="2">
        <v>0</v>
      </c>
      <c r="AK606" s="2">
        <v>0</v>
      </c>
      <c r="AL606" s="2">
        <v>0</v>
      </c>
      <c r="AM606" s="2">
        <v>0</v>
      </c>
      <c r="AN606" s="2">
        <v>0</v>
      </c>
      <c r="AO606" s="2">
        <v>0</v>
      </c>
      <c r="AP606" s="2">
        <v>0</v>
      </c>
      <c r="AQ606" s="2">
        <v>0</v>
      </c>
      <c r="AR606" s="2">
        <v>0.3391281888153122</v>
      </c>
    </row>
    <row r="607" spans="1:44" x14ac:dyDescent="0.25">
      <c r="A607" t="s">
        <v>250</v>
      </c>
      <c r="B607" t="s">
        <v>389</v>
      </c>
      <c r="C607" t="s">
        <v>44</v>
      </c>
      <c r="D607" t="s">
        <v>390</v>
      </c>
      <c r="E607" t="s">
        <v>134</v>
      </c>
      <c r="F607" t="s">
        <v>390</v>
      </c>
      <c r="G607" t="s">
        <v>31</v>
      </c>
      <c r="H607" t="s">
        <v>289</v>
      </c>
      <c r="I607" t="s">
        <v>135</v>
      </c>
      <c r="J607" t="s">
        <v>39</v>
      </c>
      <c r="K607" t="s">
        <v>31</v>
      </c>
      <c r="L607">
        <v>5.9814813064183341E-2</v>
      </c>
      <c r="M607">
        <v>0</v>
      </c>
      <c r="N607">
        <v>0.16203067434216739</v>
      </c>
      <c r="O607">
        <v>7.8628457168505825</v>
      </c>
      <c r="P607">
        <v>22.587603914734448</v>
      </c>
      <c r="Q607">
        <v>26.28481299660363</v>
      </c>
      <c r="R607">
        <v>-3.1555545552300228</v>
      </c>
      <c r="S607" s="2">
        <v>0.33764262051136412</v>
      </c>
      <c r="T607" s="2">
        <v>0.54757433395638122</v>
      </c>
      <c r="U607" s="2">
        <v>0.82864793391644942</v>
      </c>
      <c r="V607" s="2">
        <v>1.1832405022085055</v>
      </c>
      <c r="W607" s="2">
        <v>1.6047034304961514</v>
      </c>
      <c r="X607" s="2">
        <v>2.0740343982261153</v>
      </c>
      <c r="Y607" s="2">
        <v>2.5575274255829163</v>
      </c>
      <c r="Z607" s="2">
        <v>3.0068845819706271</v>
      </c>
      <c r="AA607" s="2">
        <v>3.3634085031063443</v>
      </c>
      <c r="AB607" s="2">
        <v>3.567299290931242</v>
      </c>
      <c r="AC607" s="2">
        <v>3.5714457172400453</v>
      </c>
      <c r="AD607" s="2">
        <v>3.3565898308379154</v>
      </c>
      <c r="AE607" s="2">
        <v>2.9423396048590149</v>
      </c>
      <c r="AF607" s="2">
        <v>2.4259824957236411</v>
      </c>
      <c r="AG607" s="2">
        <v>1.8495975957102415</v>
      </c>
      <c r="AH607" s="2">
        <v>1.047221010494183</v>
      </c>
      <c r="AI607" s="2">
        <v>0</v>
      </c>
      <c r="AJ607" s="2">
        <v>0</v>
      </c>
      <c r="AK607" s="2">
        <v>0</v>
      </c>
      <c r="AL607" s="2">
        <v>0</v>
      </c>
      <c r="AM607" s="2">
        <v>0</v>
      </c>
      <c r="AN607" s="2">
        <v>0</v>
      </c>
      <c r="AO607" s="2">
        <v>0</v>
      </c>
      <c r="AP607" s="2">
        <v>0</v>
      </c>
      <c r="AQ607" s="2">
        <v>0</v>
      </c>
      <c r="AR607" s="2">
        <v>34.264139275771136</v>
      </c>
    </row>
    <row r="608" spans="1:44" x14ac:dyDescent="0.25">
      <c r="A608" t="s">
        <v>250</v>
      </c>
      <c r="B608" t="s">
        <v>389</v>
      </c>
      <c r="C608" t="s">
        <v>44</v>
      </c>
      <c r="D608" t="s">
        <v>390</v>
      </c>
      <c r="E608" t="s">
        <v>134</v>
      </c>
      <c r="F608" t="s">
        <v>390</v>
      </c>
      <c r="G608" t="s">
        <v>31</v>
      </c>
      <c r="H608" t="s">
        <v>290</v>
      </c>
      <c r="I608" t="s">
        <v>135</v>
      </c>
      <c r="J608" t="s">
        <v>39</v>
      </c>
      <c r="K608" t="s">
        <v>31</v>
      </c>
      <c r="L608">
        <v>5.9814813064183341E-2</v>
      </c>
      <c r="M608">
        <v>0</v>
      </c>
      <c r="N608">
        <v>0.16203067434216739</v>
      </c>
      <c r="O608">
        <v>7.8628457168505825</v>
      </c>
      <c r="P608">
        <v>22.587603914734448</v>
      </c>
      <c r="Q608">
        <v>26.28481299660363</v>
      </c>
      <c r="R608">
        <v>-3.1555545552300228</v>
      </c>
      <c r="S608" s="2">
        <v>0.48892951123601919</v>
      </c>
      <c r="T608" s="2">
        <v>0.79292493068916714</v>
      </c>
      <c r="U608" s="2">
        <v>1.1999386472682301</v>
      </c>
      <c r="V608" s="2">
        <v>1.7134128373464474</v>
      </c>
      <c r="W608" s="2">
        <v>2.3237198632180358</v>
      </c>
      <c r="X608" s="2">
        <v>3.00334307047962</v>
      </c>
      <c r="Y608" s="2">
        <v>3.703473904654413</v>
      </c>
      <c r="Z608" s="2">
        <v>4.3541736726822355</v>
      </c>
      <c r="AA608" s="2">
        <v>4.8704445932219249</v>
      </c>
      <c r="AB608" s="2">
        <v>5.1656923409315434</v>
      </c>
      <c r="AC608" s="2">
        <v>5.1716966486385187</v>
      </c>
      <c r="AD608" s="2">
        <v>4.8605706913595581</v>
      </c>
      <c r="AE608" s="2">
        <v>4.2607081496859802</v>
      </c>
      <c r="AF608" s="2">
        <v>3.5129878867332613</v>
      </c>
      <c r="AG608" s="2">
        <v>2.6783432941146934</v>
      </c>
      <c r="AH608" s="2">
        <v>1.5164473490981405</v>
      </c>
      <c r="AI608" s="2">
        <v>0</v>
      </c>
      <c r="AJ608" s="2">
        <v>0</v>
      </c>
      <c r="AK608" s="2">
        <v>0</v>
      </c>
      <c r="AL608" s="2">
        <v>0</v>
      </c>
      <c r="AM608" s="2">
        <v>0</v>
      </c>
      <c r="AN608" s="2">
        <v>0</v>
      </c>
      <c r="AO608" s="2">
        <v>0</v>
      </c>
      <c r="AP608" s="2">
        <v>0</v>
      </c>
      <c r="AQ608" s="2">
        <v>0</v>
      </c>
      <c r="AR608" s="2">
        <v>49.616807391357796</v>
      </c>
    </row>
    <row r="609" spans="1:44" x14ac:dyDescent="0.25">
      <c r="A609" t="s">
        <v>250</v>
      </c>
      <c r="B609" t="s">
        <v>397</v>
      </c>
      <c r="C609" t="s">
        <v>44</v>
      </c>
      <c r="D609" t="s">
        <v>390</v>
      </c>
      <c r="E609" t="s">
        <v>134</v>
      </c>
      <c r="F609" t="s">
        <v>390</v>
      </c>
      <c r="G609" t="s">
        <v>31</v>
      </c>
      <c r="H609" t="s">
        <v>254</v>
      </c>
      <c r="I609" t="s">
        <v>135</v>
      </c>
      <c r="J609" t="s">
        <v>39</v>
      </c>
      <c r="K609" t="s">
        <v>31</v>
      </c>
      <c r="L609">
        <v>0.18916475889744169</v>
      </c>
      <c r="M609">
        <v>0</v>
      </c>
      <c r="N609">
        <v>0.40629251985025328</v>
      </c>
      <c r="O609">
        <v>6.3833710076387984</v>
      </c>
      <c r="P609">
        <v>5.5794100196641887</v>
      </c>
      <c r="Q609">
        <v>8.5100798872179535</v>
      </c>
      <c r="R609">
        <v>-2.3890153409146042</v>
      </c>
      <c r="S609" s="2">
        <v>0.42157396124202445</v>
      </c>
      <c r="T609" s="2">
        <v>0.68267110745507165</v>
      </c>
      <c r="U609" s="2">
        <v>1.0315503096200249</v>
      </c>
      <c r="V609" s="2">
        <v>1.470771859227457</v>
      </c>
      <c r="W609" s="2">
        <v>1.991677368511475</v>
      </c>
      <c r="X609" s="2">
        <v>2.5703489390070895</v>
      </c>
      <c r="Y609" s="2">
        <v>3.164815176803121</v>
      </c>
      <c r="Z609" s="2">
        <v>3.7153243507510041</v>
      </c>
      <c r="AA609" s="2">
        <v>4.1496504629721329</v>
      </c>
      <c r="AB609" s="2">
        <v>4.3946406529220976</v>
      </c>
      <c r="AC609" s="2">
        <v>4.3931880921822248</v>
      </c>
      <c r="AD609" s="2">
        <v>4.1227399475294435</v>
      </c>
      <c r="AE609" s="2">
        <v>3.6085471750264491</v>
      </c>
      <c r="AF609" s="2">
        <v>2.9708394030521923</v>
      </c>
      <c r="AG609" s="2">
        <v>2.261625475299792</v>
      </c>
      <c r="AH609" s="2">
        <v>0.32650009359945464</v>
      </c>
      <c r="AI609" s="2">
        <v>0</v>
      </c>
      <c r="AJ609" s="2">
        <v>0</v>
      </c>
      <c r="AK609" s="2">
        <v>0</v>
      </c>
      <c r="AL609" s="2">
        <v>0</v>
      </c>
      <c r="AM609" s="2">
        <v>0</v>
      </c>
      <c r="AN609" s="2">
        <v>0</v>
      </c>
      <c r="AO609" s="2">
        <v>0</v>
      </c>
      <c r="AP609" s="2">
        <v>0</v>
      </c>
      <c r="AQ609" s="2">
        <v>0</v>
      </c>
      <c r="AR609" s="2">
        <v>41.276464375201051</v>
      </c>
    </row>
    <row r="610" spans="1:44" x14ac:dyDescent="0.25">
      <c r="A610" t="s">
        <v>250</v>
      </c>
      <c r="B610" t="s">
        <v>397</v>
      </c>
      <c r="C610" t="s">
        <v>44</v>
      </c>
      <c r="D610" t="s">
        <v>390</v>
      </c>
      <c r="E610" t="s">
        <v>134</v>
      </c>
      <c r="F610" t="s">
        <v>390</v>
      </c>
      <c r="G610" t="s">
        <v>31</v>
      </c>
      <c r="H610" t="s">
        <v>255</v>
      </c>
      <c r="I610" t="s">
        <v>135</v>
      </c>
      <c r="J610" t="s">
        <v>39</v>
      </c>
      <c r="K610" t="s">
        <v>31</v>
      </c>
      <c r="L610">
        <v>0.18916475889744169</v>
      </c>
      <c r="M610">
        <v>0</v>
      </c>
      <c r="N610">
        <v>0.40629251985025328</v>
      </c>
      <c r="O610">
        <v>6.3833710076387984</v>
      </c>
      <c r="P610">
        <v>5.5794100196641887</v>
      </c>
      <c r="Q610">
        <v>8.5100798872179535</v>
      </c>
      <c r="R610">
        <v>-2.3890153409146042</v>
      </c>
      <c r="S610" s="2">
        <v>8.8378229145469236E-2</v>
      </c>
      <c r="T610" s="2">
        <v>0.14246546920273218</v>
      </c>
      <c r="U610" s="2">
        <v>0.21429649961897146</v>
      </c>
      <c r="V610" s="2">
        <v>0.30415611242937207</v>
      </c>
      <c r="W610" s="2">
        <v>0.41001221821943118</v>
      </c>
      <c r="X610" s="2">
        <v>0.52674020548731948</v>
      </c>
      <c r="Y610" s="2">
        <v>0.6456234698882497</v>
      </c>
      <c r="Z610" s="2">
        <v>0.75449134883089775</v>
      </c>
      <c r="AA610" s="2">
        <v>0.83887184836426165</v>
      </c>
      <c r="AB610" s="2">
        <v>0.88437009010324552</v>
      </c>
      <c r="AC610" s="2">
        <v>0.88006965841191109</v>
      </c>
      <c r="AD610" s="2">
        <v>0.8221475471112657</v>
      </c>
      <c r="AE610" s="2">
        <v>0.71634590839394774</v>
      </c>
      <c r="AF610" s="2">
        <v>0.53113887589365572</v>
      </c>
      <c r="AG610" s="2">
        <v>0</v>
      </c>
      <c r="AH610" s="2">
        <v>0</v>
      </c>
      <c r="AI610" s="2">
        <v>0</v>
      </c>
      <c r="AJ610" s="2">
        <v>0</v>
      </c>
      <c r="AK610" s="2">
        <v>0</v>
      </c>
      <c r="AL610" s="2">
        <v>0</v>
      </c>
      <c r="AM610" s="2">
        <v>0</v>
      </c>
      <c r="AN610" s="2">
        <v>0</v>
      </c>
      <c r="AO610" s="2">
        <v>0</v>
      </c>
      <c r="AP610" s="2">
        <v>0</v>
      </c>
      <c r="AQ610" s="2">
        <v>0</v>
      </c>
      <c r="AR610" s="2">
        <v>7.7591074811007301</v>
      </c>
    </row>
    <row r="611" spans="1:44" x14ac:dyDescent="0.25">
      <c r="A611" t="s">
        <v>250</v>
      </c>
      <c r="B611" t="s">
        <v>391</v>
      </c>
      <c r="C611" t="s">
        <v>44</v>
      </c>
      <c r="D611" t="s">
        <v>390</v>
      </c>
      <c r="E611" t="s">
        <v>134</v>
      </c>
      <c r="F611" t="s">
        <v>390</v>
      </c>
      <c r="G611" t="s">
        <v>31</v>
      </c>
      <c r="H611" t="s">
        <v>278</v>
      </c>
      <c r="I611" t="s">
        <v>135</v>
      </c>
      <c r="J611" t="s">
        <v>39</v>
      </c>
      <c r="K611" t="s">
        <v>31</v>
      </c>
      <c r="L611">
        <v>4.0325188614540375E-2</v>
      </c>
      <c r="M611">
        <v>0</v>
      </c>
      <c r="N611">
        <v>0.18009299470238083</v>
      </c>
      <c r="O611">
        <v>12.916489671181225</v>
      </c>
      <c r="P611">
        <v>32.408117274389646</v>
      </c>
      <c r="Q611">
        <v>38.848124604986538</v>
      </c>
      <c r="R611">
        <v>-5.8983528039577333</v>
      </c>
      <c r="S611" s="2">
        <v>7.1628990889605837E-2</v>
      </c>
      <c r="T611" s="2">
        <v>0.1154657418945249</v>
      </c>
      <c r="U611" s="2">
        <v>0.17368352101303269</v>
      </c>
      <c r="V611" s="2">
        <v>0.24651314715031616</v>
      </c>
      <c r="W611" s="2">
        <v>0.33230764779328376</v>
      </c>
      <c r="X611" s="2">
        <v>0.42691361599854538</v>
      </c>
      <c r="Y611" s="2">
        <v>0.52326639818299581</v>
      </c>
      <c r="Z611" s="2">
        <v>0.61150188767349112</v>
      </c>
      <c r="AA611" s="2">
        <v>0.67989078945140791</v>
      </c>
      <c r="AB611" s="2">
        <v>0.71676630929974672</v>
      </c>
      <c r="AC611" s="2">
        <v>0.71328088550908708</v>
      </c>
      <c r="AD611" s="2">
        <v>0.66633603921858675</v>
      </c>
      <c r="AE611" s="2">
        <v>0.58058568317429327</v>
      </c>
      <c r="AF611" s="2">
        <v>0.43047866052939876</v>
      </c>
      <c r="AG611" s="2">
        <v>0</v>
      </c>
      <c r="AH611" s="2">
        <v>0</v>
      </c>
      <c r="AI611" s="2">
        <v>0</v>
      </c>
      <c r="AJ611" s="2">
        <v>0</v>
      </c>
      <c r="AK611" s="2">
        <v>0</v>
      </c>
      <c r="AL611" s="2">
        <v>0</v>
      </c>
      <c r="AM611" s="2">
        <v>0</v>
      </c>
      <c r="AN611" s="2">
        <v>0</v>
      </c>
      <c r="AO611" s="2">
        <v>0</v>
      </c>
      <c r="AP611" s="2">
        <v>0</v>
      </c>
      <c r="AQ611" s="2">
        <v>0</v>
      </c>
      <c r="AR611" s="2">
        <v>6.2886193177783172</v>
      </c>
    </row>
    <row r="612" spans="1:44" x14ac:dyDescent="0.25">
      <c r="A612" t="s">
        <v>250</v>
      </c>
      <c r="B612" t="s">
        <v>392</v>
      </c>
      <c r="C612" t="s">
        <v>44</v>
      </c>
      <c r="D612" t="s">
        <v>390</v>
      </c>
      <c r="E612" t="s">
        <v>134</v>
      </c>
      <c r="F612" t="s">
        <v>390</v>
      </c>
      <c r="G612" t="s">
        <v>31</v>
      </c>
      <c r="H612" t="s">
        <v>272</v>
      </c>
      <c r="I612" t="s">
        <v>135</v>
      </c>
      <c r="J612" t="s">
        <v>39</v>
      </c>
      <c r="K612" t="s">
        <v>31</v>
      </c>
      <c r="L612">
        <v>7.4195278969956924E-2</v>
      </c>
      <c r="M612">
        <v>0</v>
      </c>
      <c r="N612">
        <v>0.27950272237800688</v>
      </c>
      <c r="O612">
        <v>10.963614690254309</v>
      </c>
      <c r="P612">
        <v>15.865375968895169</v>
      </c>
      <c r="Q612">
        <v>21.246632142897212</v>
      </c>
      <c r="R612">
        <v>-4.8396016473628869</v>
      </c>
      <c r="S612" s="2">
        <v>0.17879833272629184</v>
      </c>
      <c r="T612" s="2">
        <v>0.28950213051435164</v>
      </c>
      <c r="U612" s="2">
        <v>0.43740244922431254</v>
      </c>
      <c r="V612" s="2">
        <v>0.62357208307891276</v>
      </c>
      <c r="W612" s="2">
        <v>0.84432742475592271</v>
      </c>
      <c r="X612" s="2">
        <v>1.089518346884051</v>
      </c>
      <c r="Y612" s="2">
        <v>1.341347705230918</v>
      </c>
      <c r="Z612" s="2">
        <v>1.5744914526738163</v>
      </c>
      <c r="AA612" s="2">
        <v>1.7583512926782456</v>
      </c>
      <c r="AB612" s="2">
        <v>1.8619501646540066</v>
      </c>
      <c r="AC612" s="2">
        <v>1.861122832192702</v>
      </c>
      <c r="AD612" s="2">
        <v>1.7463517994583007</v>
      </c>
      <c r="AE612" s="2">
        <v>1.528370819093283</v>
      </c>
      <c r="AF612" s="2">
        <v>1.2581316295434373</v>
      </c>
      <c r="AG612" s="2">
        <v>0.95767499485988117</v>
      </c>
      <c r="AH612" s="2">
        <v>0.107529307954893</v>
      </c>
      <c r="AI612" s="2">
        <v>0</v>
      </c>
      <c r="AJ612" s="2">
        <v>0</v>
      </c>
      <c r="AK612" s="2">
        <v>0</v>
      </c>
      <c r="AL612" s="2">
        <v>0</v>
      </c>
      <c r="AM612" s="2">
        <v>0</v>
      </c>
      <c r="AN612" s="2">
        <v>0</v>
      </c>
      <c r="AO612" s="2">
        <v>0</v>
      </c>
      <c r="AP612" s="2">
        <v>0</v>
      </c>
      <c r="AQ612" s="2">
        <v>0</v>
      </c>
      <c r="AR612" s="2">
        <v>17.458442765523326</v>
      </c>
    </row>
    <row r="613" spans="1:44" x14ac:dyDescent="0.25">
      <c r="A613" t="s">
        <v>250</v>
      </c>
      <c r="B613" t="s">
        <v>392</v>
      </c>
      <c r="C613" t="s">
        <v>44</v>
      </c>
      <c r="D613" t="s">
        <v>390</v>
      </c>
      <c r="E613" t="s">
        <v>134</v>
      </c>
      <c r="F613" t="s">
        <v>390</v>
      </c>
      <c r="G613" t="s">
        <v>31</v>
      </c>
      <c r="H613" t="s">
        <v>272</v>
      </c>
      <c r="I613" t="s">
        <v>135</v>
      </c>
      <c r="J613" t="s">
        <v>40</v>
      </c>
      <c r="K613" t="s">
        <v>31</v>
      </c>
      <c r="L613">
        <v>7.4195278969956924E-2</v>
      </c>
      <c r="M613">
        <v>0</v>
      </c>
      <c r="N613">
        <v>0.27950272237800688</v>
      </c>
      <c r="O613">
        <v>9.6708435291849302</v>
      </c>
      <c r="P613">
        <v>15.865375968895169</v>
      </c>
      <c r="Q613">
        <v>0.4672931329656026</v>
      </c>
      <c r="R613">
        <v>-4.6966016473628862</v>
      </c>
      <c r="S613" s="2">
        <v>1.7685987583781374E-2</v>
      </c>
      <c r="T613" s="2">
        <v>2.8636346926081684E-2</v>
      </c>
      <c r="U613" s="2">
        <v>4.3266031445265328E-2</v>
      </c>
      <c r="V613" s="2">
        <v>6.1681157484890996E-2</v>
      </c>
      <c r="W613" s="2">
        <v>8.3517357926031308E-2</v>
      </c>
      <c r="X613" s="2">
        <v>0.10777062437596126</v>
      </c>
      <c r="Y613" s="2">
        <v>0.1326805373323218</v>
      </c>
      <c r="Z613" s="2">
        <v>0.15574214735764294</v>
      </c>
      <c r="AA613" s="2">
        <v>0.17392879819432722</v>
      </c>
      <c r="AB613" s="2">
        <v>0.18417636781938584</v>
      </c>
      <c r="AC613" s="2">
        <v>0.18409453153257499</v>
      </c>
      <c r="AD613" s="2">
        <v>0.17274185822199264</v>
      </c>
      <c r="AE613" s="2">
        <v>0.15118008606532587</v>
      </c>
      <c r="AF613" s="2">
        <v>0.12444914915918487</v>
      </c>
      <c r="AG613" s="2">
        <v>9.4729228232334345E-2</v>
      </c>
      <c r="AH613" s="2">
        <v>1.0636352008349262E-2</v>
      </c>
      <c r="AI613" s="2">
        <v>0</v>
      </c>
      <c r="AJ613" s="2">
        <v>0</v>
      </c>
      <c r="AK613" s="2">
        <v>0</v>
      </c>
      <c r="AL613" s="2">
        <v>0</v>
      </c>
      <c r="AM613" s="2">
        <v>0</v>
      </c>
      <c r="AN613" s="2">
        <v>0</v>
      </c>
      <c r="AO613" s="2">
        <v>0</v>
      </c>
      <c r="AP613" s="2">
        <v>0</v>
      </c>
      <c r="AQ613" s="2">
        <v>0</v>
      </c>
      <c r="AR613" s="2">
        <v>1.7269165616654518</v>
      </c>
    </row>
    <row r="614" spans="1:44" x14ac:dyDescent="0.25">
      <c r="A614" t="s">
        <v>250</v>
      </c>
      <c r="B614" t="s">
        <v>392</v>
      </c>
      <c r="C614" t="s">
        <v>44</v>
      </c>
      <c r="D614" t="s">
        <v>390</v>
      </c>
      <c r="E614" t="s">
        <v>134</v>
      </c>
      <c r="F614" t="s">
        <v>390</v>
      </c>
      <c r="G614" t="s">
        <v>31</v>
      </c>
      <c r="H614" t="s">
        <v>273</v>
      </c>
      <c r="I614" t="s">
        <v>135</v>
      </c>
      <c r="J614" t="s">
        <v>39</v>
      </c>
      <c r="K614" t="s">
        <v>31</v>
      </c>
      <c r="L614">
        <v>7.4195278969956924E-2</v>
      </c>
      <c r="M614">
        <v>0</v>
      </c>
      <c r="N614">
        <v>0.27950272237800688</v>
      </c>
      <c r="O614">
        <v>10.963614690254309</v>
      </c>
      <c r="P614">
        <v>15.865375968895169</v>
      </c>
      <c r="Q614">
        <v>21.246632142897212</v>
      </c>
      <c r="R614">
        <v>-4.8396016473628869</v>
      </c>
      <c r="S614" s="2">
        <v>5.377476924568951E-2</v>
      </c>
      <c r="T614" s="2">
        <v>8.7069661261195419E-2</v>
      </c>
      <c r="U614" s="2">
        <v>0.13155165048738784</v>
      </c>
      <c r="V614" s="2">
        <v>0.18754338681085253</v>
      </c>
      <c r="W614" s="2">
        <v>0.25393700121108864</v>
      </c>
      <c r="X614" s="2">
        <v>0.32767977642343871</v>
      </c>
      <c r="Y614" s="2">
        <v>0.40341910479359372</v>
      </c>
      <c r="Z614" s="2">
        <v>0.47353861334074243</v>
      </c>
      <c r="AA614" s="2">
        <v>0.52883566404044235</v>
      </c>
      <c r="AB614" s="2">
        <v>0.5599937030985499</v>
      </c>
      <c r="AC614" s="2">
        <v>0.5597448774438708</v>
      </c>
      <c r="AD614" s="2">
        <v>0.5252267378881188</v>
      </c>
      <c r="AE614" s="2">
        <v>0.45966753081753564</v>
      </c>
      <c r="AF614" s="2">
        <v>0.37839132517510893</v>
      </c>
      <c r="AG614" s="2">
        <v>0.28802702506064376</v>
      </c>
      <c r="AH614" s="2">
        <v>3.2340143413274888E-2</v>
      </c>
      <c r="AI614" s="2">
        <v>0</v>
      </c>
      <c r="AJ614" s="2">
        <v>0</v>
      </c>
      <c r="AK614" s="2">
        <v>0</v>
      </c>
      <c r="AL614" s="2">
        <v>0</v>
      </c>
      <c r="AM614" s="2">
        <v>0</v>
      </c>
      <c r="AN614" s="2">
        <v>0</v>
      </c>
      <c r="AO614" s="2">
        <v>0</v>
      </c>
      <c r="AP614" s="2">
        <v>0</v>
      </c>
      <c r="AQ614" s="2">
        <v>0</v>
      </c>
      <c r="AR614" s="2">
        <v>5.2507409705115338</v>
      </c>
    </row>
    <row r="615" spans="1:44" x14ac:dyDescent="0.25">
      <c r="A615" t="s">
        <v>250</v>
      </c>
      <c r="B615" t="s">
        <v>392</v>
      </c>
      <c r="C615" t="s">
        <v>44</v>
      </c>
      <c r="D615" t="s">
        <v>390</v>
      </c>
      <c r="E615" t="s">
        <v>134</v>
      </c>
      <c r="F615" t="s">
        <v>390</v>
      </c>
      <c r="G615" t="s">
        <v>31</v>
      </c>
      <c r="H615" t="s">
        <v>274</v>
      </c>
      <c r="I615" t="s">
        <v>135</v>
      </c>
      <c r="J615" t="s">
        <v>39</v>
      </c>
      <c r="K615" t="s">
        <v>31</v>
      </c>
      <c r="L615">
        <v>7.4195278969956924E-2</v>
      </c>
      <c r="M615">
        <v>0</v>
      </c>
      <c r="N615">
        <v>0.27950272237800688</v>
      </c>
      <c r="O615">
        <v>10.963614690254309</v>
      </c>
      <c r="P615">
        <v>15.865375968895169</v>
      </c>
      <c r="Q615">
        <v>21.246632142897212</v>
      </c>
      <c r="R615">
        <v>-4.8396016473628869</v>
      </c>
      <c r="S615" s="2">
        <v>8.4651116263850024E-2</v>
      </c>
      <c r="T615" s="2">
        <v>0.1370632384269376</v>
      </c>
      <c r="U615" s="2">
        <v>0.20708585487797096</v>
      </c>
      <c r="V615" s="2">
        <v>0.29522687431549055</v>
      </c>
      <c r="W615" s="2">
        <v>0.3997423125146442</v>
      </c>
      <c r="X615" s="2">
        <v>0.51582664584946347</v>
      </c>
      <c r="Y615" s="2">
        <v>0.63505391137830314</v>
      </c>
      <c r="Z615" s="2">
        <v>0.74543457416217007</v>
      </c>
      <c r="AA615" s="2">
        <v>0.83248203403022969</v>
      </c>
      <c r="AB615" s="2">
        <v>0.88153036699119069</v>
      </c>
      <c r="AC615" s="2">
        <v>0.8811386708534088</v>
      </c>
      <c r="AD615" s="2">
        <v>0.82680093801450893</v>
      </c>
      <c r="AE615" s="2">
        <v>0.72359900636990937</v>
      </c>
      <c r="AF615" s="2">
        <v>0.59565570452351158</v>
      </c>
      <c r="AG615" s="2">
        <v>0.45340611456912605</v>
      </c>
      <c r="AH615" s="2">
        <v>5.0909176895935188E-2</v>
      </c>
      <c r="AI615" s="2">
        <v>0</v>
      </c>
      <c r="AJ615" s="2">
        <v>0</v>
      </c>
      <c r="AK615" s="2">
        <v>0</v>
      </c>
      <c r="AL615" s="2">
        <v>0</v>
      </c>
      <c r="AM615" s="2">
        <v>0</v>
      </c>
      <c r="AN615" s="2">
        <v>0</v>
      </c>
      <c r="AO615" s="2">
        <v>0</v>
      </c>
      <c r="AP615" s="2">
        <v>0</v>
      </c>
      <c r="AQ615" s="2">
        <v>0</v>
      </c>
      <c r="AR615" s="2">
        <v>8.2656065400366519</v>
      </c>
    </row>
    <row r="616" spans="1:44" x14ac:dyDescent="0.25">
      <c r="A616" t="s">
        <v>250</v>
      </c>
      <c r="B616" t="s">
        <v>392</v>
      </c>
      <c r="C616" t="s">
        <v>44</v>
      </c>
      <c r="D616" t="s">
        <v>390</v>
      </c>
      <c r="E616" t="s">
        <v>134</v>
      </c>
      <c r="F616" t="s">
        <v>390</v>
      </c>
      <c r="G616" t="s">
        <v>31</v>
      </c>
      <c r="H616" t="s">
        <v>274</v>
      </c>
      <c r="I616" t="s">
        <v>135</v>
      </c>
      <c r="J616" t="s">
        <v>39</v>
      </c>
      <c r="K616" t="s">
        <v>33</v>
      </c>
      <c r="L616">
        <v>7.4195278969956924E-2</v>
      </c>
      <c r="M616">
        <v>0</v>
      </c>
      <c r="N616">
        <v>0.27950272237800688</v>
      </c>
      <c r="O616">
        <v>10.963614690254309</v>
      </c>
      <c r="P616">
        <v>15.865375968895169</v>
      </c>
      <c r="Q616">
        <v>21.246632142897212</v>
      </c>
      <c r="R616">
        <v>-4.8396016473628869</v>
      </c>
      <c r="S616" s="2">
        <v>2.7236349565354888E-4</v>
      </c>
      <c r="T616" s="2">
        <v>4.4099858798316461E-4</v>
      </c>
      <c r="U616" s="2">
        <v>6.6629513967855693E-4</v>
      </c>
      <c r="V616" s="2">
        <v>9.4988733815169226E-4</v>
      </c>
      <c r="W616" s="2">
        <v>1.286163944463148E-3</v>
      </c>
      <c r="X616" s="2">
        <v>1.659663269848715E-3</v>
      </c>
      <c r="Y616" s="2">
        <v>2.0432749249559277E-3</v>
      </c>
      <c r="Z616" s="2">
        <v>2.3984227894526438E-3</v>
      </c>
      <c r="AA616" s="2">
        <v>2.678496479013089E-3</v>
      </c>
      <c r="AB616" s="2">
        <v>2.8363086380351608E-3</v>
      </c>
      <c r="AC616" s="2">
        <v>2.8350483625180865E-3</v>
      </c>
      <c r="AD616" s="2">
        <v>2.660217651299084E-3</v>
      </c>
      <c r="AE616" s="2">
        <v>2.3281672295029886E-3</v>
      </c>
      <c r="AF616" s="2">
        <v>1.9165118789967203E-3</v>
      </c>
      <c r="AG616" s="2">
        <v>1.4588262950937269E-3</v>
      </c>
      <c r="AH616" s="2">
        <v>1.6379939204822489E-4</v>
      </c>
      <c r="AI616" s="2">
        <v>0</v>
      </c>
      <c r="AJ616" s="2">
        <v>0</v>
      </c>
      <c r="AK616" s="2">
        <v>0</v>
      </c>
      <c r="AL616" s="2">
        <v>0</v>
      </c>
      <c r="AM616" s="2">
        <v>0</v>
      </c>
      <c r="AN616" s="2">
        <v>0</v>
      </c>
      <c r="AO616" s="2">
        <v>0</v>
      </c>
      <c r="AP616" s="2">
        <v>0</v>
      </c>
      <c r="AQ616" s="2">
        <v>0</v>
      </c>
      <c r="AR616" s="2">
        <v>2.6594445416694472E-2</v>
      </c>
    </row>
    <row r="617" spans="1:44" x14ac:dyDescent="0.25">
      <c r="A617" t="s">
        <v>250</v>
      </c>
      <c r="B617" t="s">
        <v>392</v>
      </c>
      <c r="C617" t="s">
        <v>44</v>
      </c>
      <c r="D617" t="s">
        <v>390</v>
      </c>
      <c r="E617" t="s">
        <v>134</v>
      </c>
      <c r="F617" t="s">
        <v>390</v>
      </c>
      <c r="G617" t="s">
        <v>31</v>
      </c>
      <c r="H617" t="s">
        <v>275</v>
      </c>
      <c r="I617" t="s">
        <v>135</v>
      </c>
      <c r="J617" t="s">
        <v>39</v>
      </c>
      <c r="K617" t="s">
        <v>31</v>
      </c>
      <c r="L617">
        <v>7.4195278969956924E-2</v>
      </c>
      <c r="M617">
        <v>0</v>
      </c>
      <c r="N617">
        <v>0.27950272237800688</v>
      </c>
      <c r="O617">
        <v>10.963614690254309</v>
      </c>
      <c r="P617">
        <v>15.865375968895169</v>
      </c>
      <c r="Q617">
        <v>21.246632142897212</v>
      </c>
      <c r="R617">
        <v>-4.8396016473628869</v>
      </c>
      <c r="S617" s="2">
        <v>0.12932044362580505</v>
      </c>
      <c r="T617" s="2">
        <v>0.20938978220811127</v>
      </c>
      <c r="U617" s="2">
        <v>0.31636245100390709</v>
      </c>
      <c r="V617" s="2">
        <v>0.45101437573178449</v>
      </c>
      <c r="W617" s="2">
        <v>0.61068129366741886</v>
      </c>
      <c r="X617" s="2">
        <v>0.78802186692192078</v>
      </c>
      <c r="Y617" s="2">
        <v>0.97016385808507322</v>
      </c>
      <c r="Z617" s="2">
        <v>1.1387910057109569</v>
      </c>
      <c r="AA617" s="2">
        <v>1.2717723132645373</v>
      </c>
      <c r="AB617" s="2">
        <v>1.3467028334699331</v>
      </c>
      <c r="AC617" s="2">
        <v>1.3461044442160137</v>
      </c>
      <c r="AD617" s="2">
        <v>1.2630933744689299</v>
      </c>
      <c r="AE617" s="2">
        <v>1.1054330839451649</v>
      </c>
      <c r="AF617" s="2">
        <v>0.90997571393063337</v>
      </c>
      <c r="AG617" s="2">
        <v>0.69266280784736356</v>
      </c>
      <c r="AH617" s="2">
        <v>7.7773308036324415E-2</v>
      </c>
      <c r="AI617" s="2">
        <v>0</v>
      </c>
      <c r="AJ617" s="2">
        <v>0</v>
      </c>
      <c r="AK617" s="2">
        <v>0</v>
      </c>
      <c r="AL617" s="2">
        <v>0</v>
      </c>
      <c r="AM617" s="2">
        <v>0</v>
      </c>
      <c r="AN617" s="2">
        <v>0</v>
      </c>
      <c r="AO617" s="2">
        <v>0</v>
      </c>
      <c r="AP617" s="2">
        <v>0</v>
      </c>
      <c r="AQ617" s="2">
        <v>0</v>
      </c>
      <c r="AR617" s="2">
        <v>12.627262956133878</v>
      </c>
    </row>
    <row r="618" spans="1:44" x14ac:dyDescent="0.25">
      <c r="A618" t="s">
        <v>250</v>
      </c>
      <c r="B618" t="s">
        <v>394</v>
      </c>
      <c r="C618" t="s">
        <v>44</v>
      </c>
      <c r="D618" t="s">
        <v>390</v>
      </c>
      <c r="E618" t="s">
        <v>134</v>
      </c>
      <c r="F618" t="s">
        <v>390</v>
      </c>
      <c r="G618" t="s">
        <v>31</v>
      </c>
      <c r="H618" t="s">
        <v>276</v>
      </c>
      <c r="I618" t="s">
        <v>135</v>
      </c>
      <c r="J618" t="s">
        <v>39</v>
      </c>
      <c r="K618" t="s">
        <v>31</v>
      </c>
      <c r="L618">
        <v>0.14568348082595861</v>
      </c>
      <c r="M618">
        <v>0</v>
      </c>
      <c r="N618">
        <v>0.32133818869682679</v>
      </c>
      <c r="O618">
        <v>6.5040144936843847</v>
      </c>
      <c r="P618">
        <v>7.995752395375872</v>
      </c>
      <c r="Q618">
        <v>10.96330599894752</v>
      </c>
      <c r="R618">
        <v>-2.4258990769324882</v>
      </c>
      <c r="S618" s="2">
        <v>0.77578168536918868</v>
      </c>
      <c r="T618" s="2">
        <v>1.2592652187971423</v>
      </c>
      <c r="U618" s="2">
        <v>1.9073748013834295</v>
      </c>
      <c r="V618" s="2">
        <v>2.7260315655874416</v>
      </c>
      <c r="W618" s="2">
        <v>3.700364438477155</v>
      </c>
      <c r="X618" s="2">
        <v>4.7869350711202268</v>
      </c>
      <c r="Y618" s="2">
        <v>5.9081803754621349</v>
      </c>
      <c r="Z618" s="2">
        <v>6.9525171483438379</v>
      </c>
      <c r="AA618" s="2">
        <v>7.7838918400916262</v>
      </c>
      <c r="AB618" s="2">
        <v>8.2632061311020948</v>
      </c>
      <c r="AC618" s="2">
        <v>8.2802787466369701</v>
      </c>
      <c r="AD618" s="2">
        <v>7.7891674850121149</v>
      </c>
      <c r="AE618" s="2">
        <v>6.8340386345326838</v>
      </c>
      <c r="AF618" s="2">
        <v>5.6398059238493996</v>
      </c>
      <c r="AG618" s="2">
        <v>4.3037359004894764</v>
      </c>
      <c r="AH618" s="2">
        <v>2.9732524996835408</v>
      </c>
      <c r="AI618" s="2">
        <v>0.56631741687709247</v>
      </c>
      <c r="AJ618" s="2">
        <v>0</v>
      </c>
      <c r="AK618" s="2">
        <v>0</v>
      </c>
      <c r="AL618" s="2">
        <v>0</v>
      </c>
      <c r="AM618" s="2">
        <v>0</v>
      </c>
      <c r="AN618" s="2">
        <v>0</v>
      </c>
      <c r="AO618" s="2">
        <v>0</v>
      </c>
      <c r="AP618" s="2">
        <v>0</v>
      </c>
      <c r="AQ618" s="2">
        <v>0</v>
      </c>
      <c r="AR618" s="2">
        <v>80.450144882815536</v>
      </c>
    </row>
    <row r="619" spans="1:44" x14ac:dyDescent="0.25">
      <c r="A619" t="s">
        <v>250</v>
      </c>
      <c r="B619" t="s">
        <v>393</v>
      </c>
      <c r="C619" t="s">
        <v>44</v>
      </c>
      <c r="D619" t="s">
        <v>390</v>
      </c>
      <c r="E619" t="s">
        <v>134</v>
      </c>
      <c r="F619" t="s">
        <v>390</v>
      </c>
      <c r="G619" t="s">
        <v>31</v>
      </c>
      <c r="H619" t="s">
        <v>277</v>
      </c>
      <c r="I619" t="s">
        <v>135</v>
      </c>
      <c r="J619" t="s">
        <v>39</v>
      </c>
      <c r="K619" t="s">
        <v>31</v>
      </c>
      <c r="L619">
        <v>1.7330886141164292E-2</v>
      </c>
      <c r="M619">
        <v>0</v>
      </c>
      <c r="N619">
        <v>5.2590649203604373E-2</v>
      </c>
      <c r="O619">
        <v>8.7388756588801293</v>
      </c>
      <c r="P619">
        <v>85.829647673268298</v>
      </c>
      <c r="Q619">
        <v>90.005573805405362</v>
      </c>
      <c r="R619">
        <v>-3.6342716054979225</v>
      </c>
      <c r="S619" s="2">
        <v>6.4106562197793537E-2</v>
      </c>
      <c r="T619" s="2">
        <v>0.10378591725659726</v>
      </c>
      <c r="U619" s="2">
        <v>0.15678897285536844</v>
      </c>
      <c r="V619" s="2">
        <v>0.22349541036042012</v>
      </c>
      <c r="W619" s="2">
        <v>0.30258018335371434</v>
      </c>
      <c r="X619" s="2">
        <v>0.39040176676294169</v>
      </c>
      <c r="Y619" s="2">
        <v>0.48058060272478326</v>
      </c>
      <c r="Z619" s="2">
        <v>0.56404378099898633</v>
      </c>
      <c r="AA619" s="2">
        <v>0.62983355375654237</v>
      </c>
      <c r="AB619" s="2">
        <v>0.66686180254723348</v>
      </c>
      <c r="AC619" s="2">
        <v>0.66648513398937992</v>
      </c>
      <c r="AD619" s="2">
        <v>0.6253091829142372</v>
      </c>
      <c r="AE619" s="2">
        <v>0.5471916333638569</v>
      </c>
      <c r="AF619" s="2">
        <v>0.45038553359600703</v>
      </c>
      <c r="AG619" s="2">
        <v>0.34278684002391996</v>
      </c>
      <c r="AH619" s="2">
        <v>2.6847714108411577E-2</v>
      </c>
      <c r="AI619" s="2">
        <v>0</v>
      </c>
      <c r="AJ619" s="2">
        <v>0</v>
      </c>
      <c r="AK619" s="2">
        <v>0</v>
      </c>
      <c r="AL619" s="2">
        <v>0</v>
      </c>
      <c r="AM619" s="2">
        <v>0</v>
      </c>
      <c r="AN619" s="2">
        <v>0</v>
      </c>
      <c r="AO619" s="2">
        <v>0</v>
      </c>
      <c r="AP619" s="2">
        <v>0</v>
      </c>
      <c r="AQ619" s="2">
        <v>0</v>
      </c>
      <c r="AR619" s="2">
        <v>6.2414845908101926</v>
      </c>
    </row>
    <row r="620" spans="1:44" x14ac:dyDescent="0.25">
      <c r="A620" t="s">
        <v>250</v>
      </c>
      <c r="B620" t="s">
        <v>393</v>
      </c>
      <c r="C620" t="s">
        <v>44</v>
      </c>
      <c r="D620" t="s">
        <v>390</v>
      </c>
      <c r="E620" t="s">
        <v>134</v>
      </c>
      <c r="F620" t="s">
        <v>390</v>
      </c>
      <c r="G620" t="s">
        <v>31</v>
      </c>
      <c r="H620" t="s">
        <v>277</v>
      </c>
      <c r="I620" t="s">
        <v>135</v>
      </c>
      <c r="J620" t="s">
        <v>40</v>
      </c>
      <c r="K620" t="s">
        <v>31</v>
      </c>
      <c r="L620">
        <v>1.7330886141164292E-2</v>
      </c>
      <c r="M620">
        <v>0</v>
      </c>
      <c r="N620">
        <v>5.2590649203604373E-2</v>
      </c>
      <c r="O620">
        <v>7.4455689628598627</v>
      </c>
      <c r="P620">
        <v>85.829647673268298</v>
      </c>
      <c r="Q620">
        <v>0.4672931329656026</v>
      </c>
      <c r="R620">
        <v>-3.4912716054979223</v>
      </c>
      <c r="S620" s="2">
        <v>1.0112514656809001E-2</v>
      </c>
      <c r="T620" s="2">
        <v>1.6371749996349504E-2</v>
      </c>
      <c r="U620" s="2">
        <v>2.4732737674092817E-2</v>
      </c>
      <c r="V620" s="2">
        <v>3.5255370675251717E-2</v>
      </c>
      <c r="W620" s="2">
        <v>4.7730629035816652E-2</v>
      </c>
      <c r="X620" s="2">
        <v>6.1584078962984228E-2</v>
      </c>
      <c r="Y620" s="2">
        <v>7.5809374613442393E-2</v>
      </c>
      <c r="Z620" s="2">
        <v>8.8975306222715184E-2</v>
      </c>
      <c r="AA620" s="2">
        <v>9.935333958576166E-2</v>
      </c>
      <c r="AB620" s="2">
        <v>0.10519437513305115</v>
      </c>
      <c r="AC620" s="2">
        <v>0.10513495740448381</v>
      </c>
      <c r="AD620" s="2">
        <v>9.8639640942641701E-2</v>
      </c>
      <c r="AE620" s="2">
        <v>8.6316957621316873E-2</v>
      </c>
      <c r="AF620" s="2">
        <v>7.104624165700657E-2</v>
      </c>
      <c r="AG620" s="2">
        <v>5.4073043773706565E-2</v>
      </c>
      <c r="AH620" s="2">
        <v>4.2351031332091248E-3</v>
      </c>
      <c r="AI620" s="2">
        <v>0</v>
      </c>
      <c r="AJ620" s="2">
        <v>0</v>
      </c>
      <c r="AK620" s="2">
        <v>0</v>
      </c>
      <c r="AL620" s="2">
        <v>0</v>
      </c>
      <c r="AM620" s="2">
        <v>0</v>
      </c>
      <c r="AN620" s="2">
        <v>0</v>
      </c>
      <c r="AO620" s="2">
        <v>0</v>
      </c>
      <c r="AP620" s="2">
        <v>0</v>
      </c>
      <c r="AQ620" s="2">
        <v>0</v>
      </c>
      <c r="AR620" s="2">
        <v>0.98456542108863887</v>
      </c>
    </row>
    <row r="621" spans="1:44" x14ac:dyDescent="0.25">
      <c r="A621" t="s">
        <v>250</v>
      </c>
      <c r="B621" t="s">
        <v>279</v>
      </c>
      <c r="C621" t="s">
        <v>43</v>
      </c>
      <c r="D621" t="s">
        <v>280</v>
      </c>
      <c r="E621" t="s">
        <v>145</v>
      </c>
      <c r="F621" t="s">
        <v>280</v>
      </c>
      <c r="G621" t="s">
        <v>31</v>
      </c>
      <c r="H621" t="s">
        <v>272</v>
      </c>
      <c r="I621" t="s">
        <v>135</v>
      </c>
      <c r="J621" t="s">
        <v>39</v>
      </c>
      <c r="K621" t="s">
        <v>31</v>
      </c>
      <c r="L621">
        <v>555.32000000000005</v>
      </c>
      <c r="M621">
        <v>1</v>
      </c>
      <c r="N621">
        <v>7.4417404184983775</v>
      </c>
      <c r="O621">
        <v>3.994835640102659</v>
      </c>
      <c r="P621">
        <v>-1.3808313679047273</v>
      </c>
      <c r="Q621">
        <v>0.29076811148401677</v>
      </c>
      <c r="R621">
        <v>-1.1299449527495846</v>
      </c>
      <c r="S621" s="2">
        <v>2.3220698517399533E-4</v>
      </c>
      <c r="T621" s="2">
        <v>3.555127266491619E-4</v>
      </c>
      <c r="U621" s="2">
        <v>7.7268647664579355E-4</v>
      </c>
      <c r="V621" s="2">
        <v>1.4472487844405127E-3</v>
      </c>
      <c r="W621" s="2">
        <v>2.4651431069256081E-3</v>
      </c>
      <c r="X621" s="2">
        <v>3.9144304256425811E-3</v>
      </c>
      <c r="Y621" s="2">
        <v>5.8741383268270438E-3</v>
      </c>
      <c r="Z621" s="2">
        <v>8.3991556716317313E-3</v>
      </c>
      <c r="AA621" s="2">
        <v>1.1502431608653217E-2</v>
      </c>
      <c r="AB621" s="2">
        <v>1.5137537820520641E-2</v>
      </c>
      <c r="AC621" s="2">
        <v>1.9186587497531448E-2</v>
      </c>
      <c r="AD621" s="2">
        <v>2.3459676846963755E-2</v>
      </c>
      <c r="AE621" s="2">
        <v>3.1677221196622626E-2</v>
      </c>
      <c r="AF621" s="2">
        <v>3.805830751320468E-2</v>
      </c>
      <c r="AG621" s="2">
        <v>4.219912649634236E-2</v>
      </c>
      <c r="AH621" s="2">
        <v>4.5462011447148405E-2</v>
      </c>
      <c r="AI621" s="2">
        <v>4.7748607697320443E-2</v>
      </c>
      <c r="AJ621" s="2">
        <v>4.9227664942456756E-2</v>
      </c>
      <c r="AK621" s="2">
        <v>4.9721457137944257E-2</v>
      </c>
      <c r="AL621" s="2">
        <v>4.9869393108498694E-2</v>
      </c>
      <c r="AM621" s="2">
        <v>4.9272329349848536E-2</v>
      </c>
      <c r="AN621" s="2">
        <v>4.8349435493357282E-2</v>
      </c>
      <c r="AO621" s="2">
        <v>2.9365592157383217E-2</v>
      </c>
      <c r="AP621" s="2">
        <v>4.458156144196041E-3</v>
      </c>
      <c r="AQ621" s="2">
        <v>3.5393624014464237E-3</v>
      </c>
      <c r="AR621" s="2">
        <v>0.58169542136337515</v>
      </c>
    </row>
    <row r="622" spans="1:44" x14ac:dyDescent="0.25">
      <c r="A622" t="s">
        <v>250</v>
      </c>
      <c r="B622" t="s">
        <v>279</v>
      </c>
      <c r="C622" t="s">
        <v>43</v>
      </c>
      <c r="D622" t="s">
        <v>280</v>
      </c>
      <c r="E622" t="s">
        <v>145</v>
      </c>
      <c r="F622" t="s">
        <v>280</v>
      </c>
      <c r="G622" t="s">
        <v>31</v>
      </c>
      <c r="H622" t="s">
        <v>272</v>
      </c>
      <c r="I622" t="s">
        <v>135</v>
      </c>
      <c r="J622" t="s">
        <v>40</v>
      </c>
      <c r="K622" t="s">
        <v>31</v>
      </c>
      <c r="L622">
        <v>555.32000000000005</v>
      </c>
      <c r="M622">
        <v>1</v>
      </c>
      <c r="N622">
        <v>7.4417404184983775</v>
      </c>
      <c r="O622">
        <v>2.8220930578635581</v>
      </c>
      <c r="P622">
        <v>-1.3808313679047273</v>
      </c>
      <c r="Q622">
        <v>0.4672931329656026</v>
      </c>
      <c r="R622">
        <v>-0.98694495274958449</v>
      </c>
      <c r="S622" s="2">
        <v>2.2968949396979982E-5</v>
      </c>
      <c r="T622" s="2">
        <v>3.5165840606682365E-5</v>
      </c>
      <c r="U622" s="2">
        <v>7.6430933240485268E-5</v>
      </c>
      <c r="V622" s="2">
        <v>1.4315583172378078E-4</v>
      </c>
      <c r="W622" s="2">
        <v>2.438417054373321E-4</v>
      </c>
      <c r="X622" s="2">
        <v>3.871991804949899E-4</v>
      </c>
      <c r="Y622" s="2">
        <v>5.8104533711013004E-4</v>
      </c>
      <c r="Z622" s="2">
        <v>8.3080955318596335E-4</v>
      </c>
      <c r="AA622" s="2">
        <v>1.1377727046557697E-3</v>
      </c>
      <c r="AB622" s="2">
        <v>1.4973422954261204E-3</v>
      </c>
      <c r="AC622" s="2">
        <v>1.8978574524849475E-3</v>
      </c>
      <c r="AD622" s="2">
        <v>2.3205336823250667E-3</v>
      </c>
      <c r="AE622" s="2">
        <v>3.133378998728112E-3</v>
      </c>
      <c r="AF622" s="2">
        <v>3.7645695229645377E-3</v>
      </c>
      <c r="AG622" s="2">
        <v>4.1741621181850264E-3</v>
      </c>
      <c r="AH622" s="2">
        <v>4.4969131296030453E-3</v>
      </c>
      <c r="AI622" s="2">
        <v>4.723093722414101E-3</v>
      </c>
      <c r="AJ622" s="2">
        <v>4.8693959148021475E-3</v>
      </c>
      <c r="AK622" s="2">
        <v>4.9182397854646738E-3</v>
      </c>
      <c r="AL622" s="2">
        <v>4.9328729965160602E-3</v>
      </c>
      <c r="AM622" s="2">
        <v>4.8738139322552446E-3</v>
      </c>
      <c r="AN622" s="2">
        <v>4.7825251096013906E-3</v>
      </c>
      <c r="AO622" s="2">
        <v>2.904722266515271E-3</v>
      </c>
      <c r="AP622" s="2">
        <v>4.4098226762277081E-4</v>
      </c>
      <c r="AQ622" s="2">
        <v>3.5009901117092035E-4</v>
      </c>
      <c r="AR622" s="2">
        <v>5.7538892241931539E-2</v>
      </c>
    </row>
    <row r="623" spans="1:44" x14ac:dyDescent="0.25">
      <c r="A623" t="s">
        <v>250</v>
      </c>
      <c r="B623" t="s">
        <v>279</v>
      </c>
      <c r="C623" t="s">
        <v>43</v>
      </c>
      <c r="D623" t="s">
        <v>280</v>
      </c>
      <c r="E623" t="s">
        <v>145</v>
      </c>
      <c r="F623" t="s">
        <v>280</v>
      </c>
      <c r="G623" t="s">
        <v>31</v>
      </c>
      <c r="H623" t="s">
        <v>253</v>
      </c>
      <c r="I623" t="s">
        <v>135</v>
      </c>
      <c r="J623" t="s">
        <v>39</v>
      </c>
      <c r="K623" t="s">
        <v>31</v>
      </c>
      <c r="L623">
        <v>555.32000000000005</v>
      </c>
      <c r="M623">
        <v>1</v>
      </c>
      <c r="N623">
        <v>7.4417404184983775</v>
      </c>
      <c r="O623">
        <v>3.994835640102659</v>
      </c>
      <c r="P623">
        <v>-1.3808313679047273</v>
      </c>
      <c r="Q623">
        <v>0.29076811148401677</v>
      </c>
      <c r="R623">
        <v>-1.1299449527495846</v>
      </c>
      <c r="S623" s="2">
        <v>3.5908264519519343E-4</v>
      </c>
      <c r="T623" s="2">
        <v>5.500376071222808E-4</v>
      </c>
      <c r="U623" s="2">
        <v>1.1960756230044607E-3</v>
      </c>
      <c r="V623" s="2">
        <v>2.2413858053378227E-3</v>
      </c>
      <c r="W623" s="2">
        <v>3.8197387089278553E-3</v>
      </c>
      <c r="X623" s="2">
        <v>6.068455814054699E-3</v>
      </c>
      <c r="Y623" s="2">
        <v>9.111122397187971E-3</v>
      </c>
      <c r="Z623" s="2">
        <v>1.3034111692239073E-2</v>
      </c>
      <c r="AA623" s="2">
        <v>1.7858853031381208E-2</v>
      </c>
      <c r="AB623" s="2">
        <v>2.3514580793075363E-2</v>
      </c>
      <c r="AC623" s="2">
        <v>2.9819326759798433E-2</v>
      </c>
      <c r="AD623" s="2">
        <v>3.6478772577888598E-2</v>
      </c>
      <c r="AE623" s="2">
        <v>4.9244366470726081E-2</v>
      </c>
      <c r="AF623" s="2">
        <v>5.8864173849848891E-2</v>
      </c>
      <c r="AG623" s="2">
        <v>6.5300706451980356E-2</v>
      </c>
      <c r="AH623" s="2">
        <v>7.0386455058992492E-2</v>
      </c>
      <c r="AI623" s="2">
        <v>7.3968301952728993E-2</v>
      </c>
      <c r="AJ623" s="2">
        <v>7.6306770001570823E-2</v>
      </c>
      <c r="AK623" s="2">
        <v>7.7125361776235704E-2</v>
      </c>
      <c r="AL623" s="2">
        <v>7.7414706597316918E-2</v>
      </c>
      <c r="AM623" s="2">
        <v>7.6554288295506562E-2</v>
      </c>
      <c r="AN623" s="2">
        <v>7.5193071198532357E-2</v>
      </c>
      <c r="AO623" s="2">
        <v>4.8893492014183665E-2</v>
      </c>
      <c r="AP623" s="2">
        <v>6.7091991330039654E-3</v>
      </c>
      <c r="AQ623" s="2">
        <v>5.328819431293339E-3</v>
      </c>
      <c r="AR623" s="2">
        <v>0.9053412556871332</v>
      </c>
    </row>
    <row r="624" spans="1:44" x14ac:dyDescent="0.25">
      <c r="A624" t="s">
        <v>250</v>
      </c>
      <c r="B624" t="s">
        <v>279</v>
      </c>
      <c r="C624" t="s">
        <v>43</v>
      </c>
      <c r="D624" t="s">
        <v>280</v>
      </c>
      <c r="E624" t="s">
        <v>145</v>
      </c>
      <c r="F624" t="s">
        <v>280</v>
      </c>
      <c r="G624" t="s">
        <v>31</v>
      </c>
      <c r="H624" t="s">
        <v>253</v>
      </c>
      <c r="I624" t="s">
        <v>135</v>
      </c>
      <c r="J624" t="s">
        <v>40</v>
      </c>
      <c r="K624" t="s">
        <v>31</v>
      </c>
      <c r="L624">
        <v>555.32000000000005</v>
      </c>
      <c r="M624">
        <v>1</v>
      </c>
      <c r="N624">
        <v>7.4417404184983775</v>
      </c>
      <c r="O624">
        <v>2.8220930578635581</v>
      </c>
      <c r="P624">
        <v>-1.3808313679047273</v>
      </c>
      <c r="Q624">
        <v>0.4672931329656026</v>
      </c>
      <c r="R624">
        <v>-0.98694495274958449</v>
      </c>
      <c r="S624" s="2">
        <v>1.8888493452599454E-4</v>
      </c>
      <c r="T624" s="2">
        <v>2.8933121329673616E-4</v>
      </c>
      <c r="U624" s="2">
        <v>6.2916063686822767E-4</v>
      </c>
      <c r="V624" s="2">
        <v>1.1790155184430936E-3</v>
      </c>
      <c r="W624" s="2">
        <v>2.0092619501286394E-3</v>
      </c>
      <c r="X624" s="2">
        <v>3.1921338846340771E-3</v>
      </c>
      <c r="Y624" s="2">
        <v>4.7926397459717952E-3</v>
      </c>
      <c r="Z624" s="2">
        <v>6.8562136503555861E-3</v>
      </c>
      <c r="AA624" s="2">
        <v>9.3941278718945795E-3</v>
      </c>
      <c r="AB624" s="2">
        <v>1.236915822287059E-2</v>
      </c>
      <c r="AC624" s="2">
        <v>1.5685585638849354E-2</v>
      </c>
      <c r="AD624" s="2">
        <v>1.9188592548708801E-2</v>
      </c>
      <c r="AE624" s="2">
        <v>2.5903560255720444E-2</v>
      </c>
      <c r="AF624" s="2">
        <v>3.0963778874669782E-2</v>
      </c>
      <c r="AG624" s="2">
        <v>3.4349528799919232E-2</v>
      </c>
      <c r="AH624" s="2">
        <v>3.7024738269118201E-2</v>
      </c>
      <c r="AI624" s="2">
        <v>3.8908864180126207E-2</v>
      </c>
      <c r="AJ624" s="2">
        <v>4.0138946976404209E-2</v>
      </c>
      <c r="AK624" s="2">
        <v>4.0569543263442968E-2</v>
      </c>
      <c r="AL624" s="2">
        <v>4.0721744653057911E-2</v>
      </c>
      <c r="AM624" s="2">
        <v>4.0269146743420574E-2</v>
      </c>
      <c r="AN624" s="2">
        <v>3.9553118258953329E-2</v>
      </c>
      <c r="AO624" s="2">
        <v>2.5718992999024422E-2</v>
      </c>
      <c r="AP624" s="2">
        <v>3.5291781875741585E-3</v>
      </c>
      <c r="AQ624" s="2">
        <v>2.8030697747409719E-3</v>
      </c>
      <c r="AR624" s="2">
        <v>0.47622831705271984</v>
      </c>
    </row>
    <row r="625" spans="1:44" x14ac:dyDescent="0.25">
      <c r="A625" t="s">
        <v>250</v>
      </c>
      <c r="B625" t="s">
        <v>279</v>
      </c>
      <c r="C625" t="s">
        <v>43</v>
      </c>
      <c r="D625" t="s">
        <v>280</v>
      </c>
      <c r="E625" t="s">
        <v>145</v>
      </c>
      <c r="F625" t="s">
        <v>280</v>
      </c>
      <c r="G625" t="s">
        <v>31</v>
      </c>
      <c r="H625" t="s">
        <v>253</v>
      </c>
      <c r="I625" t="s">
        <v>256</v>
      </c>
      <c r="J625" t="s">
        <v>39</v>
      </c>
      <c r="K625" t="s">
        <v>31</v>
      </c>
      <c r="L625">
        <v>555.32000000000005</v>
      </c>
      <c r="M625">
        <v>1</v>
      </c>
      <c r="N625">
        <v>4.9300155022114529</v>
      </c>
      <c r="O625">
        <v>2.6465047861031108</v>
      </c>
      <c r="P625">
        <v>-0.65050185742862832</v>
      </c>
      <c r="Q625">
        <v>0.4672931329656026</v>
      </c>
      <c r="R625">
        <v>-0.3996154422734855</v>
      </c>
      <c r="S625" s="2">
        <v>1.8836071988219679E-4</v>
      </c>
      <c r="T625" s="2">
        <v>2.8852822888033187E-4</v>
      </c>
      <c r="U625" s="2">
        <v>6.2741451974154903E-4</v>
      </c>
      <c r="V625" s="2">
        <v>1.1757433824117914E-3</v>
      </c>
      <c r="W625" s="2">
        <v>2.0036856211316971E-3</v>
      </c>
      <c r="X625" s="2">
        <v>3.1832747168476822E-3</v>
      </c>
      <c r="Y625" s="2">
        <v>4.7793386749065457E-3</v>
      </c>
      <c r="Z625" s="2">
        <v>6.8371855176697178E-3</v>
      </c>
      <c r="AA625" s="2">
        <v>9.3680562351676315E-3</v>
      </c>
      <c r="AB625" s="2">
        <v>1.2334829948420584E-2</v>
      </c>
      <c r="AC625" s="2">
        <v>1.5642053243271788E-2</v>
      </c>
      <c r="AD625" s="2">
        <v>1.913533821567719E-2</v>
      </c>
      <c r="AE625" s="2">
        <v>2.5831669791578225E-2</v>
      </c>
      <c r="AF625" s="2">
        <v>3.0877844724579148E-2</v>
      </c>
      <c r="AG625" s="2">
        <v>3.4254198137102461E-2</v>
      </c>
      <c r="AH625" s="2">
        <v>3.6921983065098501E-2</v>
      </c>
      <c r="AI625" s="2">
        <v>3.880087993867281E-2</v>
      </c>
      <c r="AJ625" s="2">
        <v>4.002754887128563E-2</v>
      </c>
      <c r="AK625" s="2">
        <v>4.0456950119239825E-2</v>
      </c>
      <c r="AL625" s="2">
        <v>4.0608729102496945E-2</v>
      </c>
      <c r="AM625" s="2">
        <v>4.0157387293313529E-2</v>
      </c>
      <c r="AN625" s="2">
        <v>3.9443346011361159E-2</v>
      </c>
      <c r="AO625" s="2">
        <v>2.5647614766622473E-2</v>
      </c>
      <c r="AP625" s="2">
        <v>3.519383616656456E-3</v>
      </c>
      <c r="AQ625" s="2">
        <v>2.7952903812854478E-3</v>
      </c>
      <c r="AR625" s="2">
        <v>0.4749066348433012</v>
      </c>
    </row>
    <row r="626" spans="1:44" x14ac:dyDescent="0.25">
      <c r="A626" t="s">
        <v>250</v>
      </c>
      <c r="B626" t="s">
        <v>279</v>
      </c>
      <c r="C626" t="s">
        <v>43</v>
      </c>
      <c r="D626" t="s">
        <v>280</v>
      </c>
      <c r="E626" t="s">
        <v>145</v>
      </c>
      <c r="F626" t="s">
        <v>280</v>
      </c>
      <c r="G626" t="s">
        <v>31</v>
      </c>
      <c r="H626" t="s">
        <v>273</v>
      </c>
      <c r="I626" t="s">
        <v>135</v>
      </c>
      <c r="J626" t="s">
        <v>39</v>
      </c>
      <c r="K626" t="s">
        <v>31</v>
      </c>
      <c r="L626">
        <v>555.32000000000005</v>
      </c>
      <c r="M626">
        <v>1</v>
      </c>
      <c r="N626">
        <v>7.4417404184983775</v>
      </c>
      <c r="O626">
        <v>3.994835640102659</v>
      </c>
      <c r="P626">
        <v>-1.3808313679047273</v>
      </c>
      <c r="Q626">
        <v>0.29076811148401677</v>
      </c>
      <c r="R626">
        <v>-1.1299449527495846</v>
      </c>
      <c r="S626" s="2">
        <v>6.9837771161345273E-5</v>
      </c>
      <c r="T626" s="2">
        <v>1.0692278025170517E-4</v>
      </c>
      <c r="U626" s="2">
        <v>2.3239051699939275E-4</v>
      </c>
      <c r="V626" s="2">
        <v>4.3526954775092915E-4</v>
      </c>
      <c r="W626" s="2">
        <v>7.4140792987961507E-4</v>
      </c>
      <c r="X626" s="2">
        <v>1.1772905801614489E-3</v>
      </c>
      <c r="Y626" s="2">
        <v>1.7666855625882215E-3</v>
      </c>
      <c r="Z626" s="2">
        <v>2.5261010615352606E-3</v>
      </c>
      <c r="AA626" s="2">
        <v>3.45943161822726E-3</v>
      </c>
      <c r="AB626" s="2">
        <v>4.5527136122265194E-3</v>
      </c>
      <c r="AC626" s="2">
        <v>5.7704918136536262E-3</v>
      </c>
      <c r="AD626" s="2">
        <v>7.0556514134564666E-3</v>
      </c>
      <c r="AE626" s="2">
        <v>9.5271316808121474E-3</v>
      </c>
      <c r="AF626" s="2">
        <v>1.1446285170550302E-2</v>
      </c>
      <c r="AG626" s="2">
        <v>1.2691663591652613E-2</v>
      </c>
      <c r="AH626" s="2">
        <v>1.367299760427697E-2</v>
      </c>
      <c r="AI626" s="2">
        <v>1.4360706397956186E-2</v>
      </c>
      <c r="AJ626" s="2">
        <v>1.4805542548526611E-2</v>
      </c>
      <c r="AK626" s="2">
        <v>1.4954053784413312E-2</v>
      </c>
      <c r="AL626" s="2">
        <v>1.4998546496165116E-2</v>
      </c>
      <c r="AM626" s="2">
        <v>1.4818975661488943E-2</v>
      </c>
      <c r="AN626" s="2">
        <v>1.4541409291521404E-2</v>
      </c>
      <c r="AO626" s="2">
        <v>8.831894111919189E-3</v>
      </c>
      <c r="AP626" s="2">
        <v>1.3408196500489182E-3</v>
      </c>
      <c r="AQ626" s="2">
        <v>1.0644864161345798E-3</v>
      </c>
      <c r="AR626" s="2">
        <v>0.1749487066133581</v>
      </c>
    </row>
    <row r="627" spans="1:44" x14ac:dyDescent="0.25">
      <c r="A627" t="s">
        <v>250</v>
      </c>
      <c r="B627" t="s">
        <v>279</v>
      </c>
      <c r="C627" t="s">
        <v>43</v>
      </c>
      <c r="D627" t="s">
        <v>280</v>
      </c>
      <c r="E627" t="s">
        <v>145</v>
      </c>
      <c r="F627" t="s">
        <v>280</v>
      </c>
      <c r="G627" t="s">
        <v>31</v>
      </c>
      <c r="H627" t="s">
        <v>252</v>
      </c>
      <c r="I627" t="s">
        <v>135</v>
      </c>
      <c r="J627" t="s">
        <v>39</v>
      </c>
      <c r="K627" t="s">
        <v>31</v>
      </c>
      <c r="L627">
        <v>555.32000000000005</v>
      </c>
      <c r="M627">
        <v>1</v>
      </c>
      <c r="N627">
        <v>7.4417404184983775</v>
      </c>
      <c r="O627">
        <v>3.994835640102659</v>
      </c>
      <c r="P627">
        <v>-1.3808313679047273</v>
      </c>
      <c r="Q627">
        <v>0.29076811148401677</v>
      </c>
      <c r="R627">
        <v>-1.1299449527495846</v>
      </c>
      <c r="S627" s="2">
        <v>5.4506175828529721E-3</v>
      </c>
      <c r="T627" s="2">
        <v>8.352530671252122E-3</v>
      </c>
      <c r="U627" s="2">
        <v>1.8170159188524545E-2</v>
      </c>
      <c r="V627" s="2">
        <v>3.406364422381819E-2</v>
      </c>
      <c r="W627" s="2">
        <v>5.8074107569009575E-2</v>
      </c>
      <c r="X627" s="2">
        <v>9.2299953216676056E-2</v>
      </c>
      <c r="Y627" s="2">
        <v>0.1386339398530009</v>
      </c>
      <c r="Z627" s="2">
        <v>0.19840541497619985</v>
      </c>
      <c r="AA627" s="2">
        <v>0.27195687612401043</v>
      </c>
      <c r="AB627" s="2">
        <v>0.3582268377639391</v>
      </c>
      <c r="AC627" s="2">
        <v>0.4544573278784233</v>
      </c>
      <c r="AD627" s="2">
        <v>0.55617298679322691</v>
      </c>
      <c r="AE627" s="2">
        <v>0.75065526468262511</v>
      </c>
      <c r="AF627" s="2">
        <v>0.89367290058503213</v>
      </c>
      <c r="AG627" s="2">
        <v>0.99178063084618961</v>
      </c>
      <c r="AH627" s="2">
        <v>1.0694675731653109</v>
      </c>
      <c r="AI627" s="2">
        <v>1.1243972061915219</v>
      </c>
      <c r="AJ627" s="2">
        <v>1.1605191352102469</v>
      </c>
      <c r="AK627" s="2">
        <v>1.1736161718137237</v>
      </c>
      <c r="AL627" s="2">
        <v>1.1787484664572656</v>
      </c>
      <c r="AM627" s="2">
        <v>1.1664569564458842</v>
      </c>
      <c r="AN627" s="2">
        <v>1.1466021086406317</v>
      </c>
      <c r="AO627" s="2">
        <v>0.78514642269973767</v>
      </c>
      <c r="AP627" s="2">
        <v>9.9575259562721744E-2</v>
      </c>
      <c r="AQ627" s="2">
        <v>7.9115977403693499E-2</v>
      </c>
      <c r="AR627" s="2">
        <v>13.814018469545518</v>
      </c>
    </row>
    <row r="628" spans="1:44" x14ac:dyDescent="0.25">
      <c r="A628" t="s">
        <v>250</v>
      </c>
      <c r="B628" t="s">
        <v>279</v>
      </c>
      <c r="C628" t="s">
        <v>43</v>
      </c>
      <c r="D628" t="s">
        <v>280</v>
      </c>
      <c r="E628" t="s">
        <v>145</v>
      </c>
      <c r="F628" t="s">
        <v>280</v>
      </c>
      <c r="G628" t="s">
        <v>31</v>
      </c>
      <c r="H628" t="s">
        <v>274</v>
      </c>
      <c r="I628" t="s">
        <v>135</v>
      </c>
      <c r="J628" t="s">
        <v>39</v>
      </c>
      <c r="K628" t="s">
        <v>31</v>
      </c>
      <c r="L628">
        <v>555.32000000000005</v>
      </c>
      <c r="M628">
        <v>1</v>
      </c>
      <c r="N628">
        <v>7.4417404184983775</v>
      </c>
      <c r="O628">
        <v>3.994835640102659</v>
      </c>
      <c r="P628">
        <v>-1.3808313679047273</v>
      </c>
      <c r="Q628">
        <v>0.29076811148401677</v>
      </c>
      <c r="R628">
        <v>-1.1299449527495846</v>
      </c>
      <c r="S628" s="2">
        <v>1.0993715768777709E-4</v>
      </c>
      <c r="T628" s="2">
        <v>1.6831560282458497E-4</v>
      </c>
      <c r="U628" s="2">
        <v>3.6582428802720885E-4</v>
      </c>
      <c r="V628" s="2">
        <v>6.8519221206571421E-4</v>
      </c>
      <c r="W628" s="2">
        <v>1.1671088458684643E-3</v>
      </c>
      <c r="X628" s="2">
        <v>1.8532661911063574E-3</v>
      </c>
      <c r="Y628" s="2">
        <v>2.7810794366599479E-3</v>
      </c>
      <c r="Z628" s="2">
        <v>3.9765354208637022E-3</v>
      </c>
      <c r="AA628" s="2">
        <v>5.4457648490024652E-3</v>
      </c>
      <c r="AB628" s="2">
        <v>7.1667864820357582E-3</v>
      </c>
      <c r="AC628" s="2">
        <v>9.0837874391500768E-3</v>
      </c>
      <c r="AD628" s="2">
        <v>1.1106858783323882E-2</v>
      </c>
      <c r="AE628" s="2">
        <v>1.4997411293179741E-2</v>
      </c>
      <c r="AF628" s="2">
        <v>1.8018502549671217E-2</v>
      </c>
      <c r="AG628" s="2">
        <v>1.9978951194937526E-2</v>
      </c>
      <c r="AH628" s="2">
        <v>2.1523746658713361E-2</v>
      </c>
      <c r="AI628" s="2">
        <v>2.2606323448274967E-2</v>
      </c>
      <c r="AJ628" s="2">
        <v>2.3306575206274206E-2</v>
      </c>
      <c r="AK628" s="2">
        <v>2.3540358485530936E-2</v>
      </c>
      <c r="AL628" s="2">
        <v>2.3610397981157469E-2</v>
      </c>
      <c r="AM628" s="2">
        <v>2.3327721331550252E-2</v>
      </c>
      <c r="AN628" s="2">
        <v>2.2890782161291728E-2</v>
      </c>
      <c r="AO628" s="2">
        <v>1.390298286325075E-2</v>
      </c>
      <c r="AP628" s="2">
        <v>2.1106902303303365E-3</v>
      </c>
      <c r="AQ628" s="2">
        <v>1.6756922370377457E-3</v>
      </c>
      <c r="AR628" s="2">
        <v>0.27540059234981612</v>
      </c>
    </row>
    <row r="629" spans="1:44" x14ac:dyDescent="0.25">
      <c r="A629" t="s">
        <v>250</v>
      </c>
      <c r="B629" t="s">
        <v>279</v>
      </c>
      <c r="C629" t="s">
        <v>43</v>
      </c>
      <c r="D629" t="s">
        <v>280</v>
      </c>
      <c r="E629" t="s">
        <v>145</v>
      </c>
      <c r="F629" t="s">
        <v>280</v>
      </c>
      <c r="G629" t="s">
        <v>31</v>
      </c>
      <c r="H629" t="s">
        <v>274</v>
      </c>
      <c r="I629" t="s">
        <v>135</v>
      </c>
      <c r="J629" t="s">
        <v>39</v>
      </c>
      <c r="K629" t="s">
        <v>33</v>
      </c>
      <c r="L629">
        <v>555.32000000000005</v>
      </c>
      <c r="M629">
        <v>1</v>
      </c>
      <c r="N629">
        <v>7.4417404184983775</v>
      </c>
      <c r="O629">
        <v>3.994835640102659</v>
      </c>
      <c r="P629">
        <v>-1.3808313679047273</v>
      </c>
      <c r="Q629">
        <v>0.29076811148401677</v>
      </c>
      <c r="R629">
        <v>-1.1299449527495846</v>
      </c>
      <c r="S629" s="2">
        <v>3.537208945565362E-7</v>
      </c>
      <c r="T629" s="2">
        <v>5.4155252738132426E-7</v>
      </c>
      <c r="U629" s="2">
        <v>1.177033290045474E-6</v>
      </c>
      <c r="V629" s="2">
        <v>2.2045940361982176E-6</v>
      </c>
      <c r="W629" s="2">
        <v>3.7551524315180538E-6</v>
      </c>
      <c r="X629" s="2">
        <v>5.9628517669272892E-6</v>
      </c>
      <c r="Y629" s="2">
        <v>8.9480747625105877E-6</v>
      </c>
      <c r="Z629" s="2">
        <v>1.2794433619053319E-5</v>
      </c>
      <c r="AA629" s="2">
        <v>1.7521653774280342E-5</v>
      </c>
      <c r="AB629" s="2">
        <v>2.3059010973532095E-5</v>
      </c>
      <c r="AC629" s="2">
        <v>2.9226928242613936E-5</v>
      </c>
      <c r="AD629" s="2">
        <v>3.5736125138946038E-5</v>
      </c>
      <c r="AE629" s="2">
        <v>4.8253910235898706E-5</v>
      </c>
      <c r="AF629" s="2">
        <v>5.7974218858193542E-5</v>
      </c>
      <c r="AG629" s="2">
        <v>6.428192830894335E-5</v>
      </c>
      <c r="AH629" s="2">
        <v>6.9252280870772556E-5</v>
      </c>
      <c r="AI629" s="2">
        <v>7.2735452879979707E-5</v>
      </c>
      <c r="AJ629" s="2">
        <v>7.4988500743539726E-5</v>
      </c>
      <c r="AK629" s="2">
        <v>7.5740694382253685E-5</v>
      </c>
      <c r="AL629" s="2">
        <v>7.5966045242402975E-5</v>
      </c>
      <c r="AM629" s="2">
        <v>7.5056538034173293E-5</v>
      </c>
      <c r="AN629" s="2">
        <v>7.365069384626392E-5</v>
      </c>
      <c r="AO629" s="2">
        <v>4.4732605779747353E-5</v>
      </c>
      <c r="AP629" s="2">
        <v>6.7911091400464375E-6</v>
      </c>
      <c r="AQ629" s="2">
        <v>5.3915106552944449E-6</v>
      </c>
      <c r="AR629" s="2">
        <v>8.8609662043507306E-4</v>
      </c>
    </row>
    <row r="630" spans="1:44" x14ac:dyDescent="0.25">
      <c r="A630" t="s">
        <v>250</v>
      </c>
      <c r="B630" t="s">
        <v>279</v>
      </c>
      <c r="C630" t="s">
        <v>43</v>
      </c>
      <c r="D630" t="s">
        <v>280</v>
      </c>
      <c r="E630" t="s">
        <v>145</v>
      </c>
      <c r="F630" t="s">
        <v>280</v>
      </c>
      <c r="G630" t="s">
        <v>31</v>
      </c>
      <c r="H630" t="s">
        <v>278</v>
      </c>
      <c r="I630" t="s">
        <v>135</v>
      </c>
      <c r="J630" t="s">
        <v>39</v>
      </c>
      <c r="K630" t="s">
        <v>31</v>
      </c>
      <c r="L630">
        <v>555.32000000000005</v>
      </c>
      <c r="M630">
        <v>1</v>
      </c>
      <c r="N630">
        <v>7.4417404184983775</v>
      </c>
      <c r="O630">
        <v>3.994835640102659</v>
      </c>
      <c r="P630">
        <v>-1.3808313679047273</v>
      </c>
      <c r="Q630">
        <v>0.29076811148401677</v>
      </c>
      <c r="R630">
        <v>-1.1299449527495846</v>
      </c>
      <c r="S630" s="2">
        <v>4.6573046248243893E-4</v>
      </c>
      <c r="T630" s="2">
        <v>7.0988914533174502E-4</v>
      </c>
      <c r="U630" s="2">
        <v>1.5360831062503305E-3</v>
      </c>
      <c r="V630" s="2">
        <v>2.8643798700414684E-3</v>
      </c>
      <c r="W630" s="2">
        <v>4.8574190718938997E-3</v>
      </c>
      <c r="X630" s="2">
        <v>7.6790595247404492E-3</v>
      </c>
      <c r="Y630" s="2">
        <v>1.1472541649299723E-2</v>
      </c>
      <c r="Z630" s="2">
        <v>1.633153938046614E-2</v>
      </c>
      <c r="AA630" s="2">
        <v>2.226676725268115E-2</v>
      </c>
      <c r="AB630" s="2">
        <v>2.9174187459147918E-2</v>
      </c>
      <c r="AC630" s="2">
        <v>3.6814362517956584E-2</v>
      </c>
      <c r="AD630" s="2">
        <v>4.4814400350183824E-2</v>
      </c>
      <c r="AE630" s="2">
        <v>6.0656508512003222E-2</v>
      </c>
      <c r="AF630" s="2">
        <v>7.6311145422204019E-2</v>
      </c>
      <c r="AG630" s="2">
        <v>8.4249090300602014E-2</v>
      </c>
      <c r="AH630" s="2">
        <v>9.0348152594574335E-2</v>
      </c>
      <c r="AI630" s="2">
        <v>9.4423375914157087E-2</v>
      </c>
      <c r="AJ630" s="2">
        <v>9.6819531503261197E-2</v>
      </c>
      <c r="AK630" s="2">
        <v>9.7199401001372615E-2</v>
      </c>
      <c r="AL630" s="2">
        <v>9.6827217310489058E-2</v>
      </c>
      <c r="AM630" s="2">
        <v>9.4938990657057271E-2</v>
      </c>
      <c r="AN630" s="2">
        <v>9.2368501682888834E-2</v>
      </c>
      <c r="AO630" s="2">
        <v>2.2486989206375877E-2</v>
      </c>
      <c r="AP630" s="2">
        <v>1.0947185646027152E-2</v>
      </c>
      <c r="AQ630" s="2">
        <v>8.657545071133187E-3</v>
      </c>
      <c r="AR630" s="2">
        <v>1.1052199946126215</v>
      </c>
    </row>
    <row r="631" spans="1:44" x14ac:dyDescent="0.25">
      <c r="A631" t="s">
        <v>250</v>
      </c>
      <c r="B631" t="s">
        <v>279</v>
      </c>
      <c r="C631" t="s">
        <v>43</v>
      </c>
      <c r="D631" t="s">
        <v>280</v>
      </c>
      <c r="E631" t="s">
        <v>145</v>
      </c>
      <c r="F631" t="s">
        <v>280</v>
      </c>
      <c r="G631" t="s">
        <v>31</v>
      </c>
      <c r="H631" t="s">
        <v>276</v>
      </c>
      <c r="I631" t="s">
        <v>135</v>
      </c>
      <c r="J631" t="s">
        <v>39</v>
      </c>
      <c r="K631" t="s">
        <v>31</v>
      </c>
      <c r="L631">
        <v>555.32000000000005</v>
      </c>
      <c r="M631">
        <v>1</v>
      </c>
      <c r="N631">
        <v>7.4417404184983775</v>
      </c>
      <c r="O631">
        <v>3.994835640102659</v>
      </c>
      <c r="P631">
        <v>-1.3808313679047273</v>
      </c>
      <c r="Q631">
        <v>0.29076811148401677</v>
      </c>
      <c r="R631">
        <v>-1.1299449527495846</v>
      </c>
      <c r="S631" s="2">
        <v>9.1600518929766902E-4</v>
      </c>
      <c r="T631" s="2">
        <v>1.4059413125854163E-3</v>
      </c>
      <c r="U631" s="2">
        <v>3.0634072648680908E-3</v>
      </c>
      <c r="V631" s="2">
        <v>5.7522003772230781E-3</v>
      </c>
      <c r="W631" s="2">
        <v>9.8225067305141682E-3</v>
      </c>
      <c r="X631" s="2">
        <v>1.5636450113004272E-2</v>
      </c>
      <c r="Y631" s="2">
        <v>2.3523565048555593E-2</v>
      </c>
      <c r="Z631" s="2">
        <v>3.3719722218681213E-2</v>
      </c>
      <c r="AA631" s="2">
        <v>4.6294287410566119E-2</v>
      </c>
      <c r="AB631" s="2">
        <v>6.1077657359820535E-2</v>
      </c>
      <c r="AC631" s="2">
        <v>7.7609387296323731E-2</v>
      </c>
      <c r="AD631" s="2">
        <v>9.5132284939723796E-2</v>
      </c>
      <c r="AE631" s="2">
        <v>0.12830011172661382</v>
      </c>
      <c r="AF631" s="2">
        <v>0.15032385058330944</v>
      </c>
      <c r="AG631" s="2">
        <v>0.16708798069659495</v>
      </c>
      <c r="AH631" s="2">
        <v>0.18047623225078099</v>
      </c>
      <c r="AI631" s="2">
        <v>0.19008784332622472</v>
      </c>
      <c r="AJ631" s="2">
        <v>0.19658365617907772</v>
      </c>
      <c r="AK631" s="2">
        <v>0.1992414678743637</v>
      </c>
      <c r="AL631" s="2">
        <v>0.20060865464309965</v>
      </c>
      <c r="AM631" s="2">
        <v>0.19906835220648741</v>
      </c>
      <c r="AN631" s="2">
        <v>0.19628471998112923</v>
      </c>
      <c r="AO631" s="2">
        <v>0.16188526868750031</v>
      </c>
      <c r="AP631" s="2">
        <v>1.5179656865642422E-2</v>
      </c>
      <c r="AQ631" s="2">
        <v>1.2077696930403519E-2</v>
      </c>
      <c r="AR631" s="2">
        <v>2.3711589072123918</v>
      </c>
    </row>
    <row r="632" spans="1:44" x14ac:dyDescent="0.25">
      <c r="A632" t="s">
        <v>250</v>
      </c>
      <c r="B632" t="s">
        <v>279</v>
      </c>
      <c r="C632" t="s">
        <v>43</v>
      </c>
      <c r="D632" t="s">
        <v>280</v>
      </c>
      <c r="E632" t="s">
        <v>145</v>
      </c>
      <c r="F632" t="s">
        <v>280</v>
      </c>
      <c r="G632" t="s">
        <v>31</v>
      </c>
      <c r="H632" t="s">
        <v>275</v>
      </c>
      <c r="I632" t="s">
        <v>135</v>
      </c>
      <c r="J632" t="s">
        <v>39</v>
      </c>
      <c r="K632" t="s">
        <v>31</v>
      </c>
      <c r="L632">
        <v>555.32000000000005</v>
      </c>
      <c r="M632">
        <v>1</v>
      </c>
      <c r="N632">
        <v>7.4417404184983775</v>
      </c>
      <c r="O632">
        <v>3.994835640102659</v>
      </c>
      <c r="P632">
        <v>-1.3808313679047273</v>
      </c>
      <c r="Q632">
        <v>0.29076811148401677</v>
      </c>
      <c r="R632">
        <v>-1.1299449527495846</v>
      </c>
      <c r="S632" s="2">
        <v>1.6794961047920392E-4</v>
      </c>
      <c r="T632" s="2">
        <v>2.5713362548670268E-4</v>
      </c>
      <c r="U632" s="2">
        <v>5.5886515505969639E-4</v>
      </c>
      <c r="V632" s="2">
        <v>1.0467595082514606E-3</v>
      </c>
      <c r="W632" s="2">
        <v>1.7829774770703852E-3</v>
      </c>
      <c r="X632" s="2">
        <v>2.8312114071073198E-3</v>
      </c>
      <c r="Y632" s="2">
        <v>4.2486200109455143E-3</v>
      </c>
      <c r="Z632" s="2">
        <v>6.0749030540478413E-3</v>
      </c>
      <c r="AA632" s="2">
        <v>8.3194263376248113E-3</v>
      </c>
      <c r="AB632" s="2">
        <v>1.0948609399780346E-2</v>
      </c>
      <c r="AC632" s="2">
        <v>1.3877187605794912E-2</v>
      </c>
      <c r="AD632" s="2">
        <v>1.6967808205525098E-2</v>
      </c>
      <c r="AE632" s="2">
        <v>2.291135624989871E-2</v>
      </c>
      <c r="AF632" s="2">
        <v>2.7526639293606853E-2</v>
      </c>
      <c r="AG632" s="2">
        <v>3.0521591985326058E-2</v>
      </c>
      <c r="AH632" s="2">
        <v>3.2881556549336624E-2</v>
      </c>
      <c r="AI632" s="2">
        <v>3.4535395469177145E-2</v>
      </c>
      <c r="AJ632" s="2">
        <v>3.5605161255985694E-2</v>
      </c>
      <c r="AK632" s="2">
        <v>3.5962309025798223E-2</v>
      </c>
      <c r="AL632" s="2">
        <v>3.6069307480697692E-2</v>
      </c>
      <c r="AM632" s="2">
        <v>3.5637465925107116E-2</v>
      </c>
      <c r="AN632" s="2">
        <v>3.4969959460582706E-2</v>
      </c>
      <c r="AO632" s="2">
        <v>2.1239411728411567E-2</v>
      </c>
      <c r="AP632" s="2">
        <v>3.2244748680241393E-3</v>
      </c>
      <c r="AQ632" s="2">
        <v>2.5599339150897899E-3</v>
      </c>
      <c r="AR632" s="2">
        <v>0.4207260146042156</v>
      </c>
    </row>
    <row r="633" spans="1:44" x14ac:dyDescent="0.25">
      <c r="A633" t="s">
        <v>250</v>
      </c>
      <c r="B633" t="s">
        <v>279</v>
      </c>
      <c r="C633" t="s">
        <v>43</v>
      </c>
      <c r="D633" t="s">
        <v>280</v>
      </c>
      <c r="E633" t="s">
        <v>145</v>
      </c>
      <c r="F633" t="s">
        <v>280</v>
      </c>
      <c r="G633" t="s">
        <v>31</v>
      </c>
      <c r="H633" t="s">
        <v>277</v>
      </c>
      <c r="I633" t="s">
        <v>135</v>
      </c>
      <c r="J633" t="s">
        <v>39</v>
      </c>
      <c r="K633" t="s">
        <v>31</v>
      </c>
      <c r="L633">
        <v>555.32000000000005</v>
      </c>
      <c r="M633">
        <v>1</v>
      </c>
      <c r="N633">
        <v>7.4417404184983775</v>
      </c>
      <c r="O633">
        <v>3.994835640102659</v>
      </c>
      <c r="P633">
        <v>-1.3808313679047273</v>
      </c>
      <c r="Q633">
        <v>0.29076811148401677</v>
      </c>
      <c r="R633">
        <v>-1.1299449527495846</v>
      </c>
      <c r="S633" s="2">
        <v>2.225697255765199E-2</v>
      </c>
      <c r="T633" s="2">
        <v>3.4071684323353862E-2</v>
      </c>
      <c r="U633" s="2">
        <v>7.4043920042556735E-2</v>
      </c>
      <c r="V633" s="2">
        <v>0.13866821523713746</v>
      </c>
      <c r="W633" s="2">
        <v>0.23616933633716733</v>
      </c>
      <c r="X633" s="2">
        <v>0.37497092330582998</v>
      </c>
      <c r="Y633" s="2">
        <v>0.56262732897473933</v>
      </c>
      <c r="Z633" s="2">
        <v>0.80437752166453513</v>
      </c>
      <c r="AA633" s="2">
        <v>1.1014419050677255</v>
      </c>
      <c r="AB633" s="2">
        <v>1.4493551487160827</v>
      </c>
      <c r="AC633" s="2">
        <v>1.8368130473351674</v>
      </c>
      <c r="AD633" s="2">
        <v>2.2456231835533127</v>
      </c>
      <c r="AE633" s="2">
        <v>3.0324125916617342</v>
      </c>
      <c r="AF633" s="2">
        <v>3.6477293864493743</v>
      </c>
      <c r="AG633" s="2">
        <v>4.044133735497323</v>
      </c>
      <c r="AH633" s="2">
        <v>4.3562865608299228</v>
      </c>
      <c r="AI633" s="2">
        <v>4.5747759151150937</v>
      </c>
      <c r="AJ633" s="2">
        <v>4.715783038376526</v>
      </c>
      <c r="AK633" s="2">
        <v>4.7622977274645821</v>
      </c>
      <c r="AL633" s="2">
        <v>4.7755800586836124</v>
      </c>
      <c r="AM633" s="2">
        <v>4.7174209457722949</v>
      </c>
      <c r="AN633" s="2">
        <v>4.6279866139210837</v>
      </c>
      <c r="AO633" s="2">
        <v>2.7634460298933563</v>
      </c>
      <c r="AP633" s="2">
        <v>0.43004527334541481</v>
      </c>
      <c r="AQ633" s="2">
        <v>0.34138009660370239</v>
      </c>
      <c r="AR633" s="2">
        <v>55.669697160729278</v>
      </c>
    </row>
    <row r="634" spans="1:44" x14ac:dyDescent="0.25">
      <c r="A634" t="s">
        <v>250</v>
      </c>
      <c r="B634" t="s">
        <v>279</v>
      </c>
      <c r="C634" t="s">
        <v>43</v>
      </c>
      <c r="D634" t="s">
        <v>280</v>
      </c>
      <c r="E634" t="s">
        <v>145</v>
      </c>
      <c r="F634" t="s">
        <v>280</v>
      </c>
      <c r="G634" t="s">
        <v>31</v>
      </c>
      <c r="H634" t="s">
        <v>277</v>
      </c>
      <c r="I634" t="s">
        <v>135</v>
      </c>
      <c r="J634" t="s">
        <v>40</v>
      </c>
      <c r="K634" t="s">
        <v>31</v>
      </c>
      <c r="L634">
        <v>555.32000000000005</v>
      </c>
      <c r="M634">
        <v>1</v>
      </c>
      <c r="N634">
        <v>7.4417404184983775</v>
      </c>
      <c r="O634">
        <v>2.8220930578635581</v>
      </c>
      <c r="P634">
        <v>-1.3808313679047273</v>
      </c>
      <c r="Q634">
        <v>0.4672931329656026</v>
      </c>
      <c r="R634">
        <v>-0.98694495274958449</v>
      </c>
      <c r="S634" s="2">
        <v>3.5109348167978692E-3</v>
      </c>
      <c r="T634" s="2">
        <v>5.3746511322665244E-3</v>
      </c>
      <c r="U634" s="2">
        <v>1.1680087045811362E-2</v>
      </c>
      <c r="V634" s="2">
        <v>2.1874271696125394E-2</v>
      </c>
      <c r="W634" s="2">
        <v>3.7254624071553472E-2</v>
      </c>
      <c r="X634" s="2">
        <v>5.9149934543486112E-2</v>
      </c>
      <c r="Y634" s="2">
        <v>8.8751867445704014E-2</v>
      </c>
      <c r="Z634" s="2">
        <v>0.12688684587925511</v>
      </c>
      <c r="AA634" s="2">
        <v>0.17374738290059749</v>
      </c>
      <c r="AB634" s="2">
        <v>0.22862909321344704</v>
      </c>
      <c r="AC634" s="2">
        <v>0.28974879054790748</v>
      </c>
      <c r="AD634" s="2">
        <v>0.354236704930257</v>
      </c>
      <c r="AE634" s="2">
        <v>0.47834910697686578</v>
      </c>
      <c r="AF634" s="2">
        <v>0.5754124947572351</v>
      </c>
      <c r="AG634" s="2">
        <v>0.6379434534039008</v>
      </c>
      <c r="AH634" s="2">
        <v>0.68718412258221129</v>
      </c>
      <c r="AI634" s="2">
        <v>0.72164981098940473</v>
      </c>
      <c r="AJ634" s="2">
        <v>0.74389303464404544</v>
      </c>
      <c r="AK634" s="2">
        <v>0.75123051241595595</v>
      </c>
      <c r="AL634" s="2">
        <v>0.75332573893449184</v>
      </c>
      <c r="AM634" s="2">
        <v>0.74415140698501092</v>
      </c>
      <c r="AN634" s="2">
        <v>0.73004355342585503</v>
      </c>
      <c r="AO634" s="2">
        <v>0.43592087178805233</v>
      </c>
      <c r="AP634" s="2">
        <v>6.7837659370644454E-2</v>
      </c>
      <c r="AQ634" s="2">
        <v>5.3851136484224363E-2</v>
      </c>
      <c r="AR634" s="2">
        <v>8.7816380909811063</v>
      </c>
    </row>
    <row r="635" spans="1:44" x14ac:dyDescent="0.25">
      <c r="A635" t="s">
        <v>250</v>
      </c>
      <c r="B635" t="s">
        <v>279</v>
      </c>
      <c r="C635" t="s">
        <v>43</v>
      </c>
      <c r="D635" t="s">
        <v>280</v>
      </c>
      <c r="E635" t="s">
        <v>148</v>
      </c>
      <c r="F635" t="s">
        <v>280</v>
      </c>
      <c r="G635" t="s">
        <v>31</v>
      </c>
      <c r="H635" t="s">
        <v>272</v>
      </c>
      <c r="I635" t="s">
        <v>135</v>
      </c>
      <c r="J635" t="s">
        <v>39</v>
      </c>
      <c r="K635" t="s">
        <v>31</v>
      </c>
      <c r="L635">
        <v>555.32000000000005</v>
      </c>
      <c r="M635">
        <v>1</v>
      </c>
      <c r="N635">
        <v>7.4417404184983775</v>
      </c>
      <c r="O635">
        <v>3.994835640102659</v>
      </c>
      <c r="P635">
        <v>-1.3808313679047273</v>
      </c>
      <c r="Q635">
        <v>0.29076811148401677</v>
      </c>
      <c r="R635">
        <v>-1.1299449527495846</v>
      </c>
      <c r="S635" s="2">
        <v>3.1602906717226712E-5</v>
      </c>
      <c r="T635" s="2">
        <v>6.832316080970735E-5</v>
      </c>
      <c r="U635" s="2">
        <v>1.5017491944316986E-4</v>
      </c>
      <c r="V635" s="2">
        <v>2.8447269795137928E-4</v>
      </c>
      <c r="W635" s="2">
        <v>4.9007741635237012E-4</v>
      </c>
      <c r="X635" s="2">
        <v>7.8711464131139657E-4</v>
      </c>
      <c r="Y635" s="2">
        <v>1.1947636244141345E-3</v>
      </c>
      <c r="Z635" s="2">
        <v>1.7280776819937622E-3</v>
      </c>
      <c r="AA635" s="2">
        <v>2.3940231367066203E-3</v>
      </c>
      <c r="AB635" s="2">
        <v>3.187322931660947E-3</v>
      </c>
      <c r="AC635" s="2">
        <v>4.0871600174007903E-3</v>
      </c>
      <c r="AD635" s="2">
        <v>5.0561480504128405E-3</v>
      </c>
      <c r="AE635" s="2">
        <v>6.0429239109850656E-3</v>
      </c>
      <c r="AF635" s="2">
        <v>6.9889810499959969E-3</v>
      </c>
      <c r="AG635" s="2">
        <v>7.8389055680303295E-3</v>
      </c>
      <c r="AH635" s="2">
        <v>8.5514316071320026E-3</v>
      </c>
      <c r="AI635" s="2">
        <v>9.1076155672894944E-3</v>
      </c>
      <c r="AJ635" s="2">
        <v>9.539040024567149E-3</v>
      </c>
      <c r="AK635" s="2">
        <v>9.8100676189938375E-3</v>
      </c>
      <c r="AL635" s="2">
        <v>1.0044706489694528E-2</v>
      </c>
      <c r="AM635" s="2">
        <v>1.0160831236507913E-2</v>
      </c>
      <c r="AN635" s="2">
        <v>1.0237637305022234E-2</v>
      </c>
      <c r="AO635" s="2">
        <v>1.0315475547930103E-2</v>
      </c>
      <c r="AP635" s="2">
        <v>1.0394356754461266E-2</v>
      </c>
      <c r="AQ635" s="2">
        <v>1.0474291838455033E-2</v>
      </c>
      <c r="AR635" s="2">
        <v>0.13896552570423928</v>
      </c>
    </row>
    <row r="636" spans="1:44" x14ac:dyDescent="0.25">
      <c r="A636" t="s">
        <v>250</v>
      </c>
      <c r="B636" t="s">
        <v>279</v>
      </c>
      <c r="C636" t="s">
        <v>43</v>
      </c>
      <c r="D636" t="s">
        <v>280</v>
      </c>
      <c r="E636" t="s">
        <v>148</v>
      </c>
      <c r="F636" t="s">
        <v>280</v>
      </c>
      <c r="G636" t="s">
        <v>31</v>
      </c>
      <c r="H636" t="s">
        <v>272</v>
      </c>
      <c r="I636" t="s">
        <v>135</v>
      </c>
      <c r="J636" t="s">
        <v>40</v>
      </c>
      <c r="K636" t="s">
        <v>31</v>
      </c>
      <c r="L636">
        <v>555.32000000000005</v>
      </c>
      <c r="M636">
        <v>1</v>
      </c>
      <c r="N636">
        <v>7.4417404184983775</v>
      </c>
      <c r="O636">
        <v>2.8220930578635581</v>
      </c>
      <c r="P636">
        <v>-1.3808313679047273</v>
      </c>
      <c r="Q636">
        <v>0.4672931329656026</v>
      </c>
      <c r="R636">
        <v>-0.98694495274958449</v>
      </c>
      <c r="S636" s="2">
        <v>3.1260281194450064E-6</v>
      </c>
      <c r="T636" s="2">
        <v>6.7582429620021597E-6</v>
      </c>
      <c r="U636" s="2">
        <v>1.4854678565337011E-5</v>
      </c>
      <c r="V636" s="2">
        <v>2.8138856370628454E-5</v>
      </c>
      <c r="W636" s="2">
        <v>4.8476420157496815E-5</v>
      </c>
      <c r="X636" s="2">
        <v>7.7858107293183519E-5</v>
      </c>
      <c r="Y636" s="2">
        <v>1.1818104959227435E-4</v>
      </c>
      <c r="Z636" s="2">
        <v>1.7093425851088384E-4</v>
      </c>
      <c r="AA636" s="2">
        <v>2.3680681371842196E-4</v>
      </c>
      <c r="AB636" s="2">
        <v>3.1527673069049614E-4</v>
      </c>
      <c r="AC636" s="2">
        <v>4.0428487345759334E-4</v>
      </c>
      <c r="AD636" s="2">
        <v>5.0013314038142387E-4</v>
      </c>
      <c r="AE636" s="2">
        <v>5.9774090524112352E-4</v>
      </c>
      <c r="AF636" s="2">
        <v>6.9132094348291456E-4</v>
      </c>
      <c r="AG636" s="2">
        <v>7.7539194260189059E-4</v>
      </c>
      <c r="AH636" s="2">
        <v>8.4587205552311248E-4</v>
      </c>
      <c r="AI636" s="2">
        <v>9.0088746010577353E-4</v>
      </c>
      <c r="AJ636" s="2">
        <v>9.4356217344570355E-4</v>
      </c>
      <c r="AK636" s="2">
        <v>9.7037109608387147E-4</v>
      </c>
      <c r="AL636" s="2">
        <v>9.9358059748474981E-4</v>
      </c>
      <c r="AM636" s="2">
        <v>1.00506717456293E-3</v>
      </c>
      <c r="AN636" s="2">
        <v>1.0126645114809576E-3</v>
      </c>
      <c r="AO636" s="2">
        <v>1.0203639467979537E-3</v>
      </c>
      <c r="AP636" s="2">
        <v>1.0281665477396473E-3</v>
      </c>
      <c r="AQ636" s="2">
        <v>1.0360733938576431E-3</v>
      </c>
      <c r="AR636" s="2">
        <v>1.3745891948227455E-2</v>
      </c>
    </row>
    <row r="637" spans="1:44" x14ac:dyDescent="0.25">
      <c r="A637" t="s">
        <v>250</v>
      </c>
      <c r="B637" t="s">
        <v>279</v>
      </c>
      <c r="C637" t="s">
        <v>43</v>
      </c>
      <c r="D637" t="s">
        <v>280</v>
      </c>
      <c r="E637" t="s">
        <v>148</v>
      </c>
      <c r="F637" t="s">
        <v>280</v>
      </c>
      <c r="G637" t="s">
        <v>31</v>
      </c>
      <c r="H637" t="s">
        <v>253</v>
      </c>
      <c r="I637" t="s">
        <v>135</v>
      </c>
      <c r="J637" t="s">
        <v>39</v>
      </c>
      <c r="K637" t="s">
        <v>31</v>
      </c>
      <c r="L637">
        <v>555.32000000000005</v>
      </c>
      <c r="M637">
        <v>1</v>
      </c>
      <c r="N637">
        <v>7.4417404184983775</v>
      </c>
      <c r="O637">
        <v>3.994835640102659</v>
      </c>
      <c r="P637">
        <v>-1.3808313679047273</v>
      </c>
      <c r="Q637">
        <v>0.29076811148401677</v>
      </c>
      <c r="R637">
        <v>-1.1299449527495846</v>
      </c>
      <c r="S637" s="2">
        <v>4.8870430540129899E-5</v>
      </c>
      <c r="T637" s="2">
        <v>1.0234046549668258E-4</v>
      </c>
      <c r="U637" s="2">
        <v>2.2505633462893636E-4</v>
      </c>
      <c r="V637" s="2">
        <v>4.2652687407386899E-4</v>
      </c>
      <c r="W637" s="2">
        <v>7.3515693520458255E-4</v>
      </c>
      <c r="X637" s="2">
        <v>1.1813008427659472E-3</v>
      </c>
      <c r="Y637" s="2">
        <v>1.7939456062998284E-3</v>
      </c>
      <c r="Z637" s="2">
        <v>2.5959295807416781E-3</v>
      </c>
      <c r="AA637" s="2">
        <v>3.5979736268930565E-3</v>
      </c>
      <c r="AB637" s="2">
        <v>4.7924028232958511E-3</v>
      </c>
      <c r="AC637" s="2">
        <v>6.1481456007139853E-3</v>
      </c>
      <c r="AD637" s="2">
        <v>7.6091332423007694E-3</v>
      </c>
      <c r="AE637" s="2">
        <v>9.0981500920969752E-3</v>
      </c>
      <c r="AF637" s="2">
        <v>1.052708354945291E-2</v>
      </c>
      <c r="AG637" s="2">
        <v>1.1812329639290528E-2</v>
      </c>
      <c r="AH637" s="2">
        <v>1.2891473647697748E-2</v>
      </c>
      <c r="AI637" s="2">
        <v>1.3735666871271238E-2</v>
      </c>
      <c r="AJ637" s="2">
        <v>1.4392252488698291E-2</v>
      </c>
      <c r="AK637" s="2">
        <v>1.4807197580094451E-2</v>
      </c>
      <c r="AL637" s="2">
        <v>1.516745235777584E-2</v>
      </c>
      <c r="AM637" s="2">
        <v>1.534888753072387E-2</v>
      </c>
      <c r="AN637" s="2">
        <v>1.547096684976787E-2</v>
      </c>
      <c r="AO637" s="2">
        <v>1.5594620400942626E-2</v>
      </c>
      <c r="AP637" s="2">
        <v>1.5719864996873861E-2</v>
      </c>
      <c r="AQ637" s="2">
        <v>1.5846717642180642E-2</v>
      </c>
      <c r="AR637" s="2">
        <v>0.20966944600982215</v>
      </c>
    </row>
    <row r="638" spans="1:44" x14ac:dyDescent="0.25">
      <c r="A638" t="s">
        <v>250</v>
      </c>
      <c r="B638" t="s">
        <v>279</v>
      </c>
      <c r="C638" t="s">
        <v>43</v>
      </c>
      <c r="D638" t="s">
        <v>280</v>
      </c>
      <c r="E638" t="s">
        <v>148</v>
      </c>
      <c r="F638" t="s">
        <v>280</v>
      </c>
      <c r="G638" t="s">
        <v>31</v>
      </c>
      <c r="H638" t="s">
        <v>253</v>
      </c>
      <c r="I638" t="s">
        <v>135</v>
      </c>
      <c r="J638" t="s">
        <v>40</v>
      </c>
      <c r="K638" t="s">
        <v>31</v>
      </c>
      <c r="L638">
        <v>555.32000000000005</v>
      </c>
      <c r="M638">
        <v>1</v>
      </c>
      <c r="N638">
        <v>7.4417404184983775</v>
      </c>
      <c r="O638">
        <v>2.8220930578635581</v>
      </c>
      <c r="P638">
        <v>-1.3808313679047273</v>
      </c>
      <c r="Q638">
        <v>0.4672931329656026</v>
      </c>
      <c r="R638">
        <v>-0.98694495274958449</v>
      </c>
      <c r="S638" s="2">
        <v>2.5706862184363693E-5</v>
      </c>
      <c r="T638" s="2">
        <v>5.3833211889683023E-5</v>
      </c>
      <c r="U638" s="2">
        <v>1.1838430957290791E-4</v>
      </c>
      <c r="V638" s="2">
        <v>2.2436200067320591E-4</v>
      </c>
      <c r="W638" s="2">
        <v>3.8670782737764109E-4</v>
      </c>
      <c r="X638" s="2">
        <v>6.2138879538457619E-4</v>
      </c>
      <c r="Y638" s="2">
        <v>9.436526741774051E-4</v>
      </c>
      <c r="Z638" s="2">
        <v>1.3655129131232154E-3</v>
      </c>
      <c r="AA638" s="2">
        <v>1.8926089078254511E-3</v>
      </c>
      <c r="AB638" s="2">
        <v>2.5209034900820072E-3</v>
      </c>
      <c r="AC638" s="2">
        <v>3.2340523686848373E-3</v>
      </c>
      <c r="AD638" s="2">
        <v>4.0025622332437389E-3</v>
      </c>
      <c r="AE638" s="2">
        <v>4.7858160438782483E-3</v>
      </c>
      <c r="AF638" s="2">
        <v>5.5374647413194283E-3</v>
      </c>
      <c r="AG638" s="2">
        <v>6.2135308970557475E-3</v>
      </c>
      <c r="AH638" s="2">
        <v>6.7811830743458546E-3</v>
      </c>
      <c r="AI638" s="2">
        <v>7.2252462556095581E-3</v>
      </c>
      <c r="AJ638" s="2">
        <v>7.570623936814307E-3</v>
      </c>
      <c r="AK638" s="2">
        <v>7.7888936790840337E-3</v>
      </c>
      <c r="AL638" s="2">
        <v>7.9783951796592381E-3</v>
      </c>
      <c r="AM638" s="2">
        <v>8.0738338515682663E-3</v>
      </c>
      <c r="AN638" s="2">
        <v>8.1380501106750255E-3</v>
      </c>
      <c r="AO638" s="2">
        <v>8.2030944486013516E-3</v>
      </c>
      <c r="AP638" s="2">
        <v>8.268975709137788E-3</v>
      </c>
      <c r="AQ638" s="2">
        <v>8.3357028370673169E-3</v>
      </c>
      <c r="AR638" s="2">
        <v>0.1102904863590352</v>
      </c>
    </row>
    <row r="639" spans="1:44" x14ac:dyDescent="0.25">
      <c r="A639" t="s">
        <v>250</v>
      </c>
      <c r="B639" t="s">
        <v>279</v>
      </c>
      <c r="C639" t="s">
        <v>43</v>
      </c>
      <c r="D639" t="s">
        <v>280</v>
      </c>
      <c r="E639" t="s">
        <v>148</v>
      </c>
      <c r="F639" t="s">
        <v>280</v>
      </c>
      <c r="G639" t="s">
        <v>31</v>
      </c>
      <c r="H639" t="s">
        <v>253</v>
      </c>
      <c r="I639" t="s">
        <v>256</v>
      </c>
      <c r="J639" t="s">
        <v>39</v>
      </c>
      <c r="K639" t="s">
        <v>31</v>
      </c>
      <c r="L639">
        <v>555.32000000000005</v>
      </c>
      <c r="M639">
        <v>1</v>
      </c>
      <c r="N639">
        <v>4.9300155022114529</v>
      </c>
      <c r="O639">
        <v>2.6465047861031108</v>
      </c>
      <c r="P639">
        <v>-0.65050185742862832</v>
      </c>
      <c r="Q639">
        <v>0.4672931329656026</v>
      </c>
      <c r="R639">
        <v>-0.3996154422734855</v>
      </c>
      <c r="S639" s="2">
        <v>2.5635517618758447E-5</v>
      </c>
      <c r="T639" s="2">
        <v>5.368380792548634E-5</v>
      </c>
      <c r="U639" s="2">
        <v>1.1805575616641411E-4</v>
      </c>
      <c r="V639" s="2">
        <v>2.2373932609854813E-4</v>
      </c>
      <c r="W639" s="2">
        <v>3.8563459246617778E-4</v>
      </c>
      <c r="X639" s="2">
        <v>6.1966424754359133E-4</v>
      </c>
      <c r="Y639" s="2">
        <v>9.4103374349506074E-4</v>
      </c>
      <c r="Z639" s="2">
        <v>1.3617231886163324E-3</v>
      </c>
      <c r="AA639" s="2">
        <v>1.8873563274280263E-3</v>
      </c>
      <c r="AB639" s="2">
        <v>2.513907196129699E-3</v>
      </c>
      <c r="AC639" s="2">
        <v>3.2250768640225912E-3</v>
      </c>
      <c r="AD639" s="2">
        <v>3.9914538738573934E-3</v>
      </c>
      <c r="AE639" s="2">
        <v>4.7725339107160345E-3</v>
      </c>
      <c r="AF639" s="2">
        <v>5.5220965484341659E-3</v>
      </c>
      <c r="AG639" s="2">
        <v>6.196286409589905E-3</v>
      </c>
      <c r="AH639" s="2">
        <v>6.7623631749252925E-3</v>
      </c>
      <c r="AI639" s="2">
        <v>7.2051939422699586E-3</v>
      </c>
      <c r="AJ639" s="2">
        <v>7.5496130926179751E-3</v>
      </c>
      <c r="AK639" s="2">
        <v>7.7672770682314807E-3</v>
      </c>
      <c r="AL639" s="2">
        <v>7.9562526429997026E-3</v>
      </c>
      <c r="AM639" s="2">
        <v>8.0514264428079886E-3</v>
      </c>
      <c r="AN639" s="2">
        <v>8.1154644817540717E-3</v>
      </c>
      <c r="AO639" s="2">
        <v>8.1803283013423163E-3</v>
      </c>
      <c r="AP639" s="2">
        <v>8.2460267208195447E-3</v>
      </c>
      <c r="AQ639" s="2">
        <v>8.3125686601437255E-3</v>
      </c>
      <c r="AR639" s="2">
        <v>0.10998439583802025</v>
      </c>
    </row>
    <row r="640" spans="1:44" x14ac:dyDescent="0.25">
      <c r="A640" t="s">
        <v>250</v>
      </c>
      <c r="B640" t="s">
        <v>279</v>
      </c>
      <c r="C640" t="s">
        <v>43</v>
      </c>
      <c r="D640" t="s">
        <v>280</v>
      </c>
      <c r="E640" t="s">
        <v>148</v>
      </c>
      <c r="F640" t="s">
        <v>280</v>
      </c>
      <c r="G640" t="s">
        <v>31</v>
      </c>
      <c r="H640" t="s">
        <v>273</v>
      </c>
      <c r="I640" t="s">
        <v>135</v>
      </c>
      <c r="J640" t="s">
        <v>39</v>
      </c>
      <c r="K640" t="s">
        <v>31</v>
      </c>
      <c r="L640">
        <v>555.32000000000005</v>
      </c>
      <c r="M640">
        <v>1</v>
      </c>
      <c r="N640">
        <v>7.4417404184983775</v>
      </c>
      <c r="O640">
        <v>3.994835640102659</v>
      </c>
      <c r="P640">
        <v>-1.3808313679047273</v>
      </c>
      <c r="Q640">
        <v>0.29076811148401677</v>
      </c>
      <c r="R640">
        <v>-1.1299449527495846</v>
      </c>
      <c r="S640" s="2">
        <v>9.5047811145613592E-6</v>
      </c>
      <c r="T640" s="2">
        <v>2.0548637957952843E-5</v>
      </c>
      <c r="U640" s="2">
        <v>4.5166090289604217E-5</v>
      </c>
      <c r="V640" s="2">
        <v>8.555702648778055E-5</v>
      </c>
      <c r="W640" s="2">
        <v>1.4739399173937075E-4</v>
      </c>
      <c r="X640" s="2">
        <v>2.3672988199067332E-4</v>
      </c>
      <c r="Y640" s="2">
        <v>3.5933298273181489E-4</v>
      </c>
      <c r="Z640" s="2">
        <v>5.1973067741125745E-4</v>
      </c>
      <c r="AA640" s="2">
        <v>7.2001813317977689E-4</v>
      </c>
      <c r="AB640" s="2">
        <v>9.5860824062571229E-4</v>
      </c>
      <c r="AC640" s="2">
        <v>1.2292401358260415E-3</v>
      </c>
      <c r="AD640" s="2">
        <v>1.5206696311828309E-3</v>
      </c>
      <c r="AE640" s="2">
        <v>1.8174489321437246E-3</v>
      </c>
      <c r="AF640" s="2">
        <v>2.1019818109901879E-3</v>
      </c>
      <c r="AG640" s="2">
        <v>2.3576021746515644E-3</v>
      </c>
      <c r="AH640" s="2">
        <v>2.571899046160407E-3</v>
      </c>
      <c r="AI640" s="2">
        <v>2.7391750137803514E-3</v>
      </c>
      <c r="AJ640" s="2">
        <v>2.8689287440490053E-3</v>
      </c>
      <c r="AK640" s="2">
        <v>2.9504420676201627E-3</v>
      </c>
      <c r="AL640" s="2">
        <v>3.021011244276436E-3</v>
      </c>
      <c r="AM640" s="2">
        <v>3.0559365222048202E-3</v>
      </c>
      <c r="AN640" s="2">
        <v>3.0790364501966272E-3</v>
      </c>
      <c r="AO640" s="2">
        <v>3.102446811395368E-3</v>
      </c>
      <c r="AP640" s="2">
        <v>3.1261708507326329E-3</v>
      </c>
      <c r="AQ640" s="2">
        <v>3.1502118506169987E-3</v>
      </c>
      <c r="AR640" s="2">
        <v>4.179479172935565E-2</v>
      </c>
    </row>
    <row r="641" spans="1:44" x14ac:dyDescent="0.25">
      <c r="A641" t="s">
        <v>250</v>
      </c>
      <c r="B641" t="s">
        <v>279</v>
      </c>
      <c r="C641" t="s">
        <v>43</v>
      </c>
      <c r="D641" t="s">
        <v>280</v>
      </c>
      <c r="E641" t="s">
        <v>148</v>
      </c>
      <c r="F641" t="s">
        <v>280</v>
      </c>
      <c r="G641" t="s">
        <v>31</v>
      </c>
      <c r="H641" t="s">
        <v>252</v>
      </c>
      <c r="I641" t="s">
        <v>135</v>
      </c>
      <c r="J641" t="s">
        <v>39</v>
      </c>
      <c r="K641" t="s">
        <v>31</v>
      </c>
      <c r="L641">
        <v>555.32000000000005</v>
      </c>
      <c r="M641">
        <v>1</v>
      </c>
      <c r="N641">
        <v>7.4417404184983775</v>
      </c>
      <c r="O641">
        <v>3.994835640102659</v>
      </c>
      <c r="P641">
        <v>-1.3808313679047273</v>
      </c>
      <c r="Q641">
        <v>0.29076811148401677</v>
      </c>
      <c r="R641">
        <v>-1.1299449527495846</v>
      </c>
      <c r="S641" s="2">
        <v>7.4181816233092788E-4</v>
      </c>
      <c r="T641" s="2">
        <v>1.5132139890102223E-3</v>
      </c>
      <c r="U641" s="2">
        <v>3.3290136871250804E-3</v>
      </c>
      <c r="V641" s="2">
        <v>6.3116104533902867E-3</v>
      </c>
      <c r="W641" s="2">
        <v>1.0882818053933957E-2</v>
      </c>
      <c r="X641" s="2">
        <v>1.7493931817996244E-2</v>
      </c>
      <c r="Y641" s="2">
        <v>2.6576628363580219E-2</v>
      </c>
      <c r="Z641" s="2">
        <v>3.8472048912391747E-2</v>
      </c>
      <c r="AA641" s="2">
        <v>5.3342122067524013E-2</v>
      </c>
      <c r="AB641" s="2">
        <v>7.1076109838946494E-2</v>
      </c>
      <c r="AC641" s="2">
        <v>9.1215916443963138E-2</v>
      </c>
      <c r="AD641" s="2">
        <v>0.11293172294175008</v>
      </c>
      <c r="AE641" s="2">
        <v>0.13507851905709142</v>
      </c>
      <c r="AF641" s="2">
        <v>0.15634782613515411</v>
      </c>
      <c r="AG641" s="2">
        <v>0.17549634867248165</v>
      </c>
      <c r="AH641" s="2">
        <v>0.19159405011190336</v>
      </c>
      <c r="AI641" s="2">
        <v>0.20420873505423284</v>
      </c>
      <c r="AJ641" s="2">
        <v>0.21404083961494783</v>
      </c>
      <c r="AK641" s="2">
        <v>0.22028365199209782</v>
      </c>
      <c r="AL641" s="2">
        <v>0.22571570425211329</v>
      </c>
      <c r="AM641" s="2">
        <v>0.22848832462777446</v>
      </c>
      <c r="AN641" s="2">
        <v>0.23037788215354912</v>
      </c>
      <c r="AO641" s="2">
        <v>0.23229111906255501</v>
      </c>
      <c r="AP641" s="2">
        <v>0.23422829169243387</v>
      </c>
      <c r="AQ641" s="2">
        <v>0.23618965928953214</v>
      </c>
      <c r="AR641" s="2">
        <v>3.1182279064478093</v>
      </c>
    </row>
    <row r="642" spans="1:44" x14ac:dyDescent="0.25">
      <c r="A642" t="s">
        <v>250</v>
      </c>
      <c r="B642" t="s">
        <v>279</v>
      </c>
      <c r="C642" t="s">
        <v>43</v>
      </c>
      <c r="D642" t="s">
        <v>280</v>
      </c>
      <c r="E642" t="s">
        <v>148</v>
      </c>
      <c r="F642" t="s">
        <v>280</v>
      </c>
      <c r="G642" t="s">
        <v>31</v>
      </c>
      <c r="H642" t="s">
        <v>274</v>
      </c>
      <c r="I642" t="s">
        <v>135</v>
      </c>
      <c r="J642" t="s">
        <v>39</v>
      </c>
      <c r="K642" t="s">
        <v>31</v>
      </c>
      <c r="L642">
        <v>555.32000000000005</v>
      </c>
      <c r="M642">
        <v>1</v>
      </c>
      <c r="N642">
        <v>7.4417404184983775</v>
      </c>
      <c r="O642">
        <v>3.994835640102659</v>
      </c>
      <c r="P642">
        <v>-1.3808313679047273</v>
      </c>
      <c r="Q642">
        <v>0.29076811148401677</v>
      </c>
      <c r="R642">
        <v>-1.1299449527495846</v>
      </c>
      <c r="S642" s="2">
        <v>1.4962227499575451E-5</v>
      </c>
      <c r="T642" s="2">
        <v>3.234723579928466E-5</v>
      </c>
      <c r="U642" s="2">
        <v>7.1099514027116084E-5</v>
      </c>
      <c r="V642" s="2">
        <v>1.346820804254197E-4</v>
      </c>
      <c r="W642" s="2">
        <v>2.3202453690347838E-4</v>
      </c>
      <c r="X642" s="2">
        <v>3.7265522557544288E-4</v>
      </c>
      <c r="Y642" s="2">
        <v>5.6565446073215183E-4</v>
      </c>
      <c r="Z642" s="2">
        <v>8.1814915464201632E-4</v>
      </c>
      <c r="AA642" s="2">
        <v>1.1334374755827856E-3</v>
      </c>
      <c r="AB642" s="2">
        <v>1.5090210291362027E-3</v>
      </c>
      <c r="AC642" s="2">
        <v>1.9350440943517694E-3</v>
      </c>
      <c r="AD642" s="2">
        <v>2.3938063064488473E-3</v>
      </c>
      <c r="AE642" s="2">
        <v>2.8609900705588226E-3</v>
      </c>
      <c r="AF642" s="2">
        <v>3.3088957732884893E-3</v>
      </c>
      <c r="AG642" s="2">
        <v>3.711287999740433E-3</v>
      </c>
      <c r="AH642" s="2">
        <v>4.0486296497285164E-3</v>
      </c>
      <c r="AI642" s="2">
        <v>4.3119519769420876E-3</v>
      </c>
      <c r="AJ642" s="2">
        <v>4.5162075834413451E-3</v>
      </c>
      <c r="AK642" s="2">
        <v>4.6445241513684591E-3</v>
      </c>
      <c r="AL642" s="2">
        <v>4.7556126722782975E-3</v>
      </c>
      <c r="AM642" s="2">
        <v>4.8105913138221795E-3</v>
      </c>
      <c r="AN642" s="2">
        <v>4.8469547369953446E-3</v>
      </c>
      <c r="AO642" s="2">
        <v>4.883806837625653E-3</v>
      </c>
      <c r="AP642" s="2">
        <v>4.9211527238164927E-3</v>
      </c>
      <c r="AQ642" s="2">
        <v>4.9589975626666795E-3</v>
      </c>
      <c r="AR642" s="2">
        <v>6.5792486393396896E-2</v>
      </c>
    </row>
    <row r="643" spans="1:44" x14ac:dyDescent="0.25">
      <c r="A643" t="s">
        <v>250</v>
      </c>
      <c r="B643" t="s">
        <v>279</v>
      </c>
      <c r="C643" t="s">
        <v>43</v>
      </c>
      <c r="D643" t="s">
        <v>280</v>
      </c>
      <c r="E643" t="s">
        <v>148</v>
      </c>
      <c r="F643" t="s">
        <v>280</v>
      </c>
      <c r="G643" t="s">
        <v>31</v>
      </c>
      <c r="H643" t="s">
        <v>274</v>
      </c>
      <c r="I643" t="s">
        <v>135</v>
      </c>
      <c r="J643" t="s">
        <v>39</v>
      </c>
      <c r="K643" t="s">
        <v>33</v>
      </c>
      <c r="L643">
        <v>555.32000000000005</v>
      </c>
      <c r="M643">
        <v>1</v>
      </c>
      <c r="N643">
        <v>7.4417404184983775</v>
      </c>
      <c r="O643">
        <v>3.994835640102659</v>
      </c>
      <c r="P643">
        <v>-1.3808313679047273</v>
      </c>
      <c r="Q643">
        <v>0.29076811148401677</v>
      </c>
      <c r="R643">
        <v>-1.1299449527495846</v>
      </c>
      <c r="S643" s="2">
        <v>4.8140706991341977E-8</v>
      </c>
      <c r="T643" s="2">
        <v>1.0407666910808465E-7</v>
      </c>
      <c r="U643" s="2">
        <v>2.2876145093391593E-7</v>
      </c>
      <c r="V643" s="2">
        <v>4.3333725348905869E-7</v>
      </c>
      <c r="W643" s="2">
        <v>7.4653491575295119E-7</v>
      </c>
      <c r="X643" s="2">
        <v>1.1990117129103341E-6</v>
      </c>
      <c r="Y643" s="2">
        <v>1.819983398409412E-6</v>
      </c>
      <c r="Z643" s="2">
        <v>2.6323806886343021E-6</v>
      </c>
      <c r="AA643" s="2">
        <v>3.6468153827085817E-6</v>
      </c>
      <c r="AB643" s="2">
        <v>4.8552489400044391E-6</v>
      </c>
      <c r="AC643" s="2">
        <v>6.2259707496199238E-6</v>
      </c>
      <c r="AD643" s="2">
        <v>7.7020301954405271E-6</v>
      </c>
      <c r="AE643" s="2">
        <v>9.205185838527007E-6</v>
      </c>
      <c r="AF643" s="2">
        <v>1.0646314654104251E-5</v>
      </c>
      <c r="AG643" s="2">
        <v>1.1941004650614767E-5</v>
      </c>
      <c r="AH643" s="2">
        <v>1.3026395547692951E-5</v>
      </c>
      <c r="AI643" s="2">
        <v>1.3873630559928105E-5</v>
      </c>
      <c r="AJ643" s="2">
        <v>1.4530819424627466E-5</v>
      </c>
      <c r="AK643" s="2">
        <v>1.4943675752262475E-5</v>
      </c>
      <c r="AL643" s="2">
        <v>1.5301101137979439E-5</v>
      </c>
      <c r="AM643" s="2">
        <v>1.5477993961820119E-5</v>
      </c>
      <c r="AN643" s="2">
        <v>1.5594992644017216E-5</v>
      </c>
      <c r="AO643" s="2">
        <v>1.5713563637441035E-5</v>
      </c>
      <c r="AP643" s="2">
        <v>1.5833723377325616E-5</v>
      </c>
      <c r="AQ643" s="2">
        <v>1.5955488488722077E-5</v>
      </c>
      <c r="AR643" s="2">
        <v>2.1168618173906539E-4</v>
      </c>
    </row>
    <row r="644" spans="1:44" x14ac:dyDescent="0.25">
      <c r="A644" t="s">
        <v>250</v>
      </c>
      <c r="B644" t="s">
        <v>279</v>
      </c>
      <c r="C644" t="s">
        <v>43</v>
      </c>
      <c r="D644" t="s">
        <v>280</v>
      </c>
      <c r="E644" t="s">
        <v>148</v>
      </c>
      <c r="F644" t="s">
        <v>280</v>
      </c>
      <c r="G644" t="s">
        <v>31</v>
      </c>
      <c r="H644" t="s">
        <v>278</v>
      </c>
      <c r="I644" t="s">
        <v>135</v>
      </c>
      <c r="J644" t="s">
        <v>39</v>
      </c>
      <c r="K644" t="s">
        <v>31</v>
      </c>
      <c r="L644">
        <v>555.32000000000005</v>
      </c>
      <c r="M644">
        <v>1</v>
      </c>
      <c r="N644">
        <v>7.4417404184983775</v>
      </c>
      <c r="O644">
        <v>3.994835640102659</v>
      </c>
      <c r="P644">
        <v>-1.3808313679047273</v>
      </c>
      <c r="Q644">
        <v>0.29076811148401677</v>
      </c>
      <c r="R644">
        <v>-1.1299449527495846</v>
      </c>
      <c r="S644" s="2">
        <v>6.3384985383513258E-5</v>
      </c>
      <c r="T644" s="2">
        <v>1.7485622802209367E-4</v>
      </c>
      <c r="U644" s="2">
        <v>3.8266312487138785E-4</v>
      </c>
      <c r="V644" s="2">
        <v>7.2175104553182708E-4</v>
      </c>
      <c r="W644" s="2">
        <v>1.2381143380041442E-3</v>
      </c>
      <c r="X644" s="2">
        <v>1.9801811596606815E-3</v>
      </c>
      <c r="Y644" s="2">
        <v>2.9932393988321608E-3</v>
      </c>
      <c r="Z644" s="2">
        <v>4.3115847045688402E-3</v>
      </c>
      <c r="AA644" s="2">
        <v>5.9489166326972499E-3</v>
      </c>
      <c r="AB644" s="2">
        <v>7.8884769954929556E-3</v>
      </c>
      <c r="AC644" s="2">
        <v>1.0075531489230176E-2</v>
      </c>
      <c r="AD644" s="2">
        <v>1.2415579349711008E-2</v>
      </c>
      <c r="AE644" s="2">
        <v>1.4781443714099859E-2</v>
      </c>
      <c r="AF644" s="2">
        <v>1.703051259616857E-2</v>
      </c>
      <c r="AG644" s="2">
        <v>1.9029833692998616E-2</v>
      </c>
      <c r="AH644" s="2">
        <v>2.0682623383782378E-2</v>
      </c>
      <c r="AI644" s="2">
        <v>2.1947255101008499E-2</v>
      </c>
      <c r="AJ644" s="2">
        <v>2.2903948002314545E-2</v>
      </c>
      <c r="AK644" s="2">
        <v>2.3470871186736932E-2</v>
      </c>
      <c r="AL644" s="2">
        <v>2.3947892467219439E-2</v>
      </c>
      <c r="AM644" s="2">
        <v>2.4140894747083419E-2</v>
      </c>
      <c r="AN644" s="2">
        <v>2.4240361894482733E-2</v>
      </c>
      <c r="AO644" s="2">
        <v>2.4342485805236999E-2</v>
      </c>
      <c r="AP644" s="2">
        <v>2.4447282401352705E-2</v>
      </c>
      <c r="AQ644" s="2">
        <v>2.4554767908238406E-2</v>
      </c>
      <c r="AR644" s="2">
        <v>0.33371445235272912</v>
      </c>
    </row>
    <row r="645" spans="1:44" x14ac:dyDescent="0.25">
      <c r="A645" t="s">
        <v>250</v>
      </c>
      <c r="B645" t="s">
        <v>279</v>
      </c>
      <c r="C645" t="s">
        <v>43</v>
      </c>
      <c r="D645" t="s">
        <v>280</v>
      </c>
      <c r="E645" t="s">
        <v>148</v>
      </c>
      <c r="F645" t="s">
        <v>280</v>
      </c>
      <c r="G645" t="s">
        <v>31</v>
      </c>
      <c r="H645" t="s">
        <v>276</v>
      </c>
      <c r="I645" t="s">
        <v>135</v>
      </c>
      <c r="J645" t="s">
        <v>39</v>
      </c>
      <c r="K645" t="s">
        <v>31</v>
      </c>
      <c r="L645">
        <v>555.32000000000005</v>
      </c>
      <c r="M645">
        <v>1</v>
      </c>
      <c r="N645">
        <v>7.4417404184983775</v>
      </c>
      <c r="O645">
        <v>3.994835640102659</v>
      </c>
      <c r="P645">
        <v>-1.3808313679047273</v>
      </c>
      <c r="Q645">
        <v>0.29076811148401677</v>
      </c>
      <c r="R645">
        <v>-1.1299449527495846</v>
      </c>
      <c r="S645" s="2">
        <v>1.2466647602430415E-4</v>
      </c>
      <c r="T645" s="2">
        <v>2.2725275534227611E-4</v>
      </c>
      <c r="U645" s="2">
        <v>5.0073574916910358E-4</v>
      </c>
      <c r="V645" s="2">
        <v>9.5084500104260076E-4</v>
      </c>
      <c r="W645" s="2">
        <v>1.6420251029453932E-3</v>
      </c>
      <c r="X645" s="2">
        <v>2.6435476358079718E-3</v>
      </c>
      <c r="Y645" s="2">
        <v>4.0221043273715382E-3</v>
      </c>
      <c r="Z645" s="2">
        <v>5.8310262486290423E-3</v>
      </c>
      <c r="AA645" s="2">
        <v>8.0967129669827359E-3</v>
      </c>
      <c r="AB645" s="2">
        <v>1.080422123318135E-2</v>
      </c>
      <c r="AC645" s="2">
        <v>1.3885593457601255E-2</v>
      </c>
      <c r="AD645" s="2">
        <v>1.721577037338036E-2</v>
      </c>
      <c r="AE645" s="2">
        <v>2.0620833724328394E-2</v>
      </c>
      <c r="AF645" s="2">
        <v>2.3900885102246857E-2</v>
      </c>
      <c r="AG645" s="2">
        <v>2.6864902217672924E-2</v>
      </c>
      <c r="AH645" s="2">
        <v>2.9368862431311593E-2</v>
      </c>
      <c r="AI645" s="2">
        <v>3.1344423508543662E-2</v>
      </c>
      <c r="AJ645" s="2">
        <v>3.2897013304360408E-2</v>
      </c>
      <c r="AK645" s="2">
        <v>3.3900724990618455E-2</v>
      </c>
      <c r="AL645" s="2">
        <v>3.4781513886180955E-2</v>
      </c>
      <c r="AM645" s="2">
        <v>3.5253630663162665E-2</v>
      </c>
      <c r="AN645" s="2">
        <v>3.5589914930800479E-2</v>
      </c>
      <c r="AO645" s="2">
        <v>3.5930094423543911E-2</v>
      </c>
      <c r="AP645" s="2">
        <v>3.6274212563207425E-2</v>
      </c>
      <c r="AQ645" s="2">
        <v>3.6622313259100196E-2</v>
      </c>
      <c r="AR645" s="2">
        <v>0.47929382633255591</v>
      </c>
    </row>
    <row r="646" spans="1:44" x14ac:dyDescent="0.25">
      <c r="A646" t="s">
        <v>250</v>
      </c>
      <c r="B646" t="s">
        <v>279</v>
      </c>
      <c r="C646" t="s">
        <v>43</v>
      </c>
      <c r="D646" t="s">
        <v>280</v>
      </c>
      <c r="E646" t="s">
        <v>148</v>
      </c>
      <c r="F646" t="s">
        <v>280</v>
      </c>
      <c r="G646" t="s">
        <v>31</v>
      </c>
      <c r="H646" t="s">
        <v>275</v>
      </c>
      <c r="I646" t="s">
        <v>135</v>
      </c>
      <c r="J646" t="s">
        <v>39</v>
      </c>
      <c r="K646" t="s">
        <v>31</v>
      </c>
      <c r="L646">
        <v>555.32000000000005</v>
      </c>
      <c r="M646">
        <v>1</v>
      </c>
      <c r="N646">
        <v>7.4417404184983775</v>
      </c>
      <c r="O646">
        <v>3.994835640102659</v>
      </c>
      <c r="P646">
        <v>-1.3808313679047273</v>
      </c>
      <c r="Q646">
        <v>0.29076811148401677</v>
      </c>
      <c r="R646">
        <v>-1.1299449527495846</v>
      </c>
      <c r="S646" s="2">
        <v>2.285760641176115E-5</v>
      </c>
      <c r="T646" s="2">
        <v>4.9416464522374738E-5</v>
      </c>
      <c r="U646" s="2">
        <v>1.0861783165276874E-4</v>
      </c>
      <c r="V646" s="2">
        <v>2.05752117134215E-4</v>
      </c>
      <c r="W646" s="2">
        <v>3.5446096128142037E-4</v>
      </c>
      <c r="X646" s="2">
        <v>5.6930069227535294E-4</v>
      </c>
      <c r="Y646" s="2">
        <v>8.6414319183687619E-4</v>
      </c>
      <c r="Z646" s="2">
        <v>1.2498761540320747E-3</v>
      </c>
      <c r="AA646" s="2">
        <v>1.731538148978595E-3</v>
      </c>
      <c r="AB646" s="2">
        <v>2.3053124110059488E-3</v>
      </c>
      <c r="AC646" s="2">
        <v>2.9561424794102686E-3</v>
      </c>
      <c r="AD646" s="2">
        <v>3.6569877299588217E-3</v>
      </c>
      <c r="AE646" s="2">
        <v>4.3706984793972555E-3</v>
      </c>
      <c r="AF646" s="2">
        <v>5.0549583773882838E-3</v>
      </c>
      <c r="AG646" s="2">
        <v>5.669687911186049E-3</v>
      </c>
      <c r="AH646" s="2">
        <v>6.1850404990237218E-3</v>
      </c>
      <c r="AI646" s="2">
        <v>6.5873147001777755E-3</v>
      </c>
      <c r="AJ646" s="2">
        <v>6.8993534163976364E-3</v>
      </c>
      <c r="AK646" s="2">
        <v>7.0953810203000329E-3</v>
      </c>
      <c r="AL646" s="2">
        <v>7.2650895538651913E-3</v>
      </c>
      <c r="AM646" s="2">
        <v>7.3490797317648888E-3</v>
      </c>
      <c r="AN646" s="2">
        <v>7.4046316751301133E-3</v>
      </c>
      <c r="AO646" s="2">
        <v>7.4609301648891424E-3</v>
      </c>
      <c r="AP646" s="2">
        <v>7.5179830046264154E-3</v>
      </c>
      <c r="AQ646" s="2">
        <v>7.575798088054456E-3</v>
      </c>
      <c r="AR646" s="2">
        <v>0.10051035241070144</v>
      </c>
    </row>
    <row r="647" spans="1:44" x14ac:dyDescent="0.25">
      <c r="A647" t="s">
        <v>250</v>
      </c>
      <c r="B647" t="s">
        <v>279</v>
      </c>
      <c r="C647" t="s">
        <v>43</v>
      </c>
      <c r="D647" t="s">
        <v>280</v>
      </c>
      <c r="E647" t="s">
        <v>148</v>
      </c>
      <c r="F647" t="s">
        <v>280</v>
      </c>
      <c r="G647" t="s">
        <v>31</v>
      </c>
      <c r="H647" t="s">
        <v>277</v>
      </c>
      <c r="I647" t="s">
        <v>135</v>
      </c>
      <c r="J647" t="s">
        <v>39</v>
      </c>
      <c r="K647" t="s">
        <v>31</v>
      </c>
      <c r="L647">
        <v>555.32000000000005</v>
      </c>
      <c r="M647">
        <v>1</v>
      </c>
      <c r="N647">
        <v>7.4417404184983775</v>
      </c>
      <c r="O647">
        <v>3.994835640102659</v>
      </c>
      <c r="P647">
        <v>-1.3808313679047273</v>
      </c>
      <c r="Q647">
        <v>0.29076811148401677</v>
      </c>
      <c r="R647">
        <v>-1.1299449527495846</v>
      </c>
      <c r="S647" s="2">
        <v>3.0291294941894031E-3</v>
      </c>
      <c r="T647" s="2">
        <v>6.5980511604760905E-3</v>
      </c>
      <c r="U647" s="2">
        <v>1.4500856479697457E-2</v>
      </c>
      <c r="V647" s="2">
        <v>2.7465400599194532E-2</v>
      </c>
      <c r="W647" s="2">
        <v>4.7310737318343302E-2</v>
      </c>
      <c r="X647" s="2">
        <v>7.5977198674361562E-2</v>
      </c>
      <c r="Y647" s="2">
        <v>0.11531295845615672</v>
      </c>
      <c r="Z647" s="2">
        <v>0.16676726132377495</v>
      </c>
      <c r="AA647" s="2">
        <v>0.23100844945277327</v>
      </c>
      <c r="AB647" s="2">
        <v>0.30752338569347759</v>
      </c>
      <c r="AC647" s="2">
        <v>0.39430006547491386</v>
      </c>
      <c r="AD647" s="2">
        <v>0.48772911941306402</v>
      </c>
      <c r="AE647" s="2">
        <v>0.58285468243032978</v>
      </c>
      <c r="AF647" s="2">
        <v>0.67403407139214222</v>
      </c>
      <c r="AG647" s="2">
        <v>0.755925164607954</v>
      </c>
      <c r="AH647" s="2">
        <v>0.82455216811324683</v>
      </c>
      <c r="AI647" s="2">
        <v>0.87809296491331024</v>
      </c>
      <c r="AJ647" s="2">
        <v>0.91959695712122069</v>
      </c>
      <c r="AK647" s="2">
        <v>0.94563263530195307</v>
      </c>
      <c r="AL647" s="2">
        <v>0.96815712221575967</v>
      </c>
      <c r="AM647" s="2">
        <v>0.97925662248285472</v>
      </c>
      <c r="AN647" s="2">
        <v>0.9865662259713549</v>
      </c>
      <c r="AO647" s="2">
        <v>0.99397513389123904</v>
      </c>
      <c r="AP647" s="2">
        <v>1.0014843780652656</v>
      </c>
      <c r="AQ647" s="2">
        <v>1.0090950022735123</v>
      </c>
      <c r="AR647" s="2">
        <v>13.396745742320563</v>
      </c>
    </row>
    <row r="648" spans="1:44" x14ac:dyDescent="0.25">
      <c r="A648" t="s">
        <v>250</v>
      </c>
      <c r="B648" t="s">
        <v>279</v>
      </c>
      <c r="C648" t="s">
        <v>43</v>
      </c>
      <c r="D648" t="s">
        <v>280</v>
      </c>
      <c r="E648" t="s">
        <v>148</v>
      </c>
      <c r="F648" t="s">
        <v>280</v>
      </c>
      <c r="G648" t="s">
        <v>31</v>
      </c>
      <c r="H648" t="s">
        <v>277</v>
      </c>
      <c r="I648" t="s">
        <v>135</v>
      </c>
      <c r="J648" t="s">
        <v>40</v>
      </c>
      <c r="K648" t="s">
        <v>31</v>
      </c>
      <c r="L648">
        <v>555.32000000000005</v>
      </c>
      <c r="M648">
        <v>1</v>
      </c>
      <c r="N648">
        <v>7.4417404184983775</v>
      </c>
      <c r="O648">
        <v>2.8220930578635581</v>
      </c>
      <c r="P648">
        <v>-1.3808313679047273</v>
      </c>
      <c r="Q648">
        <v>0.4672931329656026</v>
      </c>
      <c r="R648">
        <v>-0.98694495274958449</v>
      </c>
      <c r="S648" s="2">
        <v>4.7783121348561559E-4</v>
      </c>
      <c r="T648" s="2">
        <v>1.0408121536891121E-3</v>
      </c>
      <c r="U648" s="2">
        <v>2.2874432610312519E-3</v>
      </c>
      <c r="V648" s="2">
        <v>4.332540329608346E-3</v>
      </c>
      <c r="W648" s="2">
        <v>7.4630507104724401E-3</v>
      </c>
      <c r="X648" s="2">
        <v>1.1985052837605042E-2</v>
      </c>
      <c r="Y648" s="2">
        <v>1.8190087606164407E-2</v>
      </c>
      <c r="Z648" s="2">
        <v>2.6306766680285445E-2</v>
      </c>
      <c r="AA648" s="2">
        <v>3.644051795711982E-2</v>
      </c>
      <c r="AB648" s="2">
        <v>4.8510396416855991E-2</v>
      </c>
      <c r="AC648" s="2">
        <v>6.2199017613723914E-2</v>
      </c>
      <c r="AD648" s="2">
        <v>7.6937020166508441E-2</v>
      </c>
      <c r="AE648" s="2">
        <v>9.1942639205652307E-2</v>
      </c>
      <c r="AF648" s="2">
        <v>0.10632576747932924</v>
      </c>
      <c r="AG648" s="2">
        <v>0.11924370991791648</v>
      </c>
      <c r="AH648" s="2">
        <v>0.13006930335184741</v>
      </c>
      <c r="AI648" s="2">
        <v>0.13851511722511789</v>
      </c>
      <c r="AJ648" s="2">
        <v>0.14506218066339308</v>
      </c>
      <c r="AK648" s="2">
        <v>0.14916918887247621</v>
      </c>
      <c r="AL648" s="2">
        <v>0.15272232284572421</v>
      </c>
      <c r="AM648" s="2">
        <v>0.15447321784439577</v>
      </c>
      <c r="AN648" s="2">
        <v>0.15562627409758995</v>
      </c>
      <c r="AO648" s="2">
        <v>0.1567949951670454</v>
      </c>
      <c r="AP648" s="2">
        <v>0.1579795438180393</v>
      </c>
      <c r="AQ648" s="2">
        <v>0.15918008470207695</v>
      </c>
      <c r="AR648" s="2">
        <v>2.1132748821371545</v>
      </c>
    </row>
    <row r="649" spans="1:44" x14ac:dyDescent="0.25">
      <c r="A649" t="s">
        <v>250</v>
      </c>
      <c r="B649" t="s">
        <v>340</v>
      </c>
      <c r="C649" t="s">
        <v>44</v>
      </c>
      <c r="D649" t="s">
        <v>161</v>
      </c>
      <c r="E649" t="s">
        <v>134</v>
      </c>
      <c r="F649" t="s">
        <v>161</v>
      </c>
      <c r="G649" t="s">
        <v>31</v>
      </c>
      <c r="H649" t="s">
        <v>253</v>
      </c>
      <c r="I649" t="s">
        <v>135</v>
      </c>
      <c r="J649" t="s">
        <v>39</v>
      </c>
      <c r="K649" t="s">
        <v>31</v>
      </c>
      <c r="L649">
        <v>1016.045</v>
      </c>
      <c r="M649">
        <v>1</v>
      </c>
      <c r="N649">
        <v>7.3329103464985135</v>
      </c>
      <c r="O649">
        <v>5.3756602043030259</v>
      </c>
      <c r="P649">
        <v>-2.0071271053248574</v>
      </c>
      <c r="Q649">
        <v>0.39707981493665734</v>
      </c>
      <c r="R649">
        <v>-1.8625523936223545</v>
      </c>
      <c r="S649" s="2">
        <v>0.14231973964163455</v>
      </c>
      <c r="T649" s="2">
        <v>0.28332142444186126</v>
      </c>
      <c r="U649" s="2">
        <v>0.50098751404661623</v>
      </c>
      <c r="V649" s="2">
        <v>0.81158366561858997</v>
      </c>
      <c r="W649" s="2">
        <v>1.226819979008976</v>
      </c>
      <c r="X649" s="2">
        <v>1.7498643737170276</v>
      </c>
      <c r="Y649" s="2">
        <v>2.3705368850580597</v>
      </c>
      <c r="Z649" s="2">
        <v>3.0604723854123579</v>
      </c>
      <c r="AA649" s="2">
        <v>3.7697572391902954</v>
      </c>
      <c r="AB649" s="2">
        <v>4.4272129951849131</v>
      </c>
      <c r="AC649" s="2">
        <v>4.9466803804981323</v>
      </c>
      <c r="AD649" s="2">
        <v>5.2407609932604569</v>
      </c>
      <c r="AE649" s="2">
        <v>5.2410636519842209</v>
      </c>
      <c r="AF649" s="2">
        <v>4.9203299752047212</v>
      </c>
      <c r="AG649" s="2">
        <v>4.308333622846356</v>
      </c>
      <c r="AH649" s="2">
        <v>3.5483362308610435</v>
      </c>
      <c r="AI649" s="2">
        <v>2.7023085105934506</v>
      </c>
      <c r="AJ649" s="2">
        <v>1.0365092320516665</v>
      </c>
      <c r="AK649" s="2">
        <v>0</v>
      </c>
      <c r="AL649" s="2">
        <v>0</v>
      </c>
      <c r="AM649" s="2">
        <v>0</v>
      </c>
      <c r="AN649" s="2">
        <v>0</v>
      </c>
      <c r="AO649" s="2">
        <v>0</v>
      </c>
      <c r="AP649" s="2">
        <v>0</v>
      </c>
      <c r="AQ649" s="2">
        <v>0</v>
      </c>
      <c r="AR649" s="2">
        <v>50.287198798620395</v>
      </c>
    </row>
    <row r="650" spans="1:44" x14ac:dyDescent="0.25">
      <c r="A650" t="s">
        <v>250</v>
      </c>
      <c r="B650" t="s">
        <v>340</v>
      </c>
      <c r="C650" t="s">
        <v>44</v>
      </c>
      <c r="D650" t="s">
        <v>161</v>
      </c>
      <c r="E650" t="s">
        <v>134</v>
      </c>
      <c r="F650" t="s">
        <v>161</v>
      </c>
      <c r="G650" t="s">
        <v>31</v>
      </c>
      <c r="H650" t="s">
        <v>253</v>
      </c>
      <c r="I650" t="s">
        <v>135</v>
      </c>
      <c r="J650" t="s">
        <v>40</v>
      </c>
      <c r="K650" t="s">
        <v>31</v>
      </c>
      <c r="L650">
        <v>1016.045</v>
      </c>
      <c r="M650">
        <v>1</v>
      </c>
      <c r="N650">
        <v>7.3329103464985135</v>
      </c>
      <c r="O650">
        <v>4.1746294160814514</v>
      </c>
      <c r="P650">
        <v>-2.0071271053248574</v>
      </c>
      <c r="Q650">
        <v>0.4672931329656026</v>
      </c>
      <c r="R650">
        <v>-1.7195523936223538</v>
      </c>
      <c r="S650" s="2">
        <v>7.4863141016893037E-2</v>
      </c>
      <c r="T650" s="2">
        <v>0.14903295779282857</v>
      </c>
      <c r="U650" s="2">
        <v>0.26352984488458531</v>
      </c>
      <c r="V650" s="2">
        <v>0.42690987602423403</v>
      </c>
      <c r="W650" s="2">
        <v>0.6453328071155533</v>
      </c>
      <c r="X650" s="2">
        <v>0.92046502965700971</v>
      </c>
      <c r="Y650" s="2">
        <v>1.2469516706446506</v>
      </c>
      <c r="Z650" s="2">
        <v>1.6098720834113029</v>
      </c>
      <c r="AA650" s="2">
        <v>1.9829706582346525</v>
      </c>
      <c r="AB650" s="2">
        <v>2.3288060504109485</v>
      </c>
      <c r="AC650" s="2">
        <v>2.6020566916663626</v>
      </c>
      <c r="AD650" s="2">
        <v>2.7567492061341157</v>
      </c>
      <c r="AE650" s="2">
        <v>2.7569084109132569</v>
      </c>
      <c r="AF650" s="2">
        <v>2.588195830816701</v>
      </c>
      <c r="AG650" s="2">
        <v>2.266273029778739</v>
      </c>
      <c r="AH650" s="2">
        <v>1.8664986058517927</v>
      </c>
      <c r="AI650" s="2">
        <v>1.4214704411989061</v>
      </c>
      <c r="AJ650" s="2">
        <v>0.5452253988082616</v>
      </c>
      <c r="AK650" s="2">
        <v>0</v>
      </c>
      <c r="AL650" s="2">
        <v>0</v>
      </c>
      <c r="AM650" s="2">
        <v>0</v>
      </c>
      <c r="AN650" s="2">
        <v>0</v>
      </c>
      <c r="AO650" s="2">
        <v>0</v>
      </c>
      <c r="AP650" s="2">
        <v>0</v>
      </c>
      <c r="AQ650" s="2">
        <v>0</v>
      </c>
      <c r="AR650" s="2">
        <v>26.452111734360802</v>
      </c>
    </row>
    <row r="651" spans="1:44" x14ac:dyDescent="0.25">
      <c r="A651" t="s">
        <v>250</v>
      </c>
      <c r="B651" t="s">
        <v>340</v>
      </c>
      <c r="C651" t="s">
        <v>44</v>
      </c>
      <c r="D651" t="s">
        <v>161</v>
      </c>
      <c r="E651" t="s">
        <v>134</v>
      </c>
      <c r="F651" t="s">
        <v>161</v>
      </c>
      <c r="G651" t="s">
        <v>31</v>
      </c>
      <c r="H651" t="s">
        <v>253</v>
      </c>
      <c r="I651" t="s">
        <v>256</v>
      </c>
      <c r="J651" t="s">
        <v>39</v>
      </c>
      <c r="K651" t="s">
        <v>31</v>
      </c>
      <c r="L651">
        <v>1016.045</v>
      </c>
      <c r="M651">
        <v>1</v>
      </c>
      <c r="N651">
        <v>3.648671318679285</v>
      </c>
      <c r="O651">
        <v>2.6747929920855813</v>
      </c>
      <c r="P651">
        <v>-0.54419015397598791</v>
      </c>
      <c r="Q651">
        <v>0.4672931329656026</v>
      </c>
      <c r="R651">
        <v>-0.39961544227348456</v>
      </c>
      <c r="S651" s="2">
        <v>7.4655372435983025E-2</v>
      </c>
      <c r="T651" s="2">
        <v>0.1486193448221618</v>
      </c>
      <c r="U651" s="2">
        <v>0.26279846731806361</v>
      </c>
      <c r="V651" s="2">
        <v>0.42572506788082454</v>
      </c>
      <c r="W651" s="2">
        <v>0.64354180716914688</v>
      </c>
      <c r="X651" s="2">
        <v>0.91791045192501242</v>
      </c>
      <c r="Y651" s="2">
        <v>1.243490990588296</v>
      </c>
      <c r="Z651" s="2">
        <v>1.6054041859430206</v>
      </c>
      <c r="AA651" s="2">
        <v>1.9774672957781581</v>
      </c>
      <c r="AB651" s="2">
        <v>2.3223428868068545</v>
      </c>
      <c r="AC651" s="2">
        <v>2.5948351722519831</v>
      </c>
      <c r="AD651" s="2">
        <v>2.7490983667129627</v>
      </c>
      <c r="AE651" s="2">
        <v>2.749257129649155</v>
      </c>
      <c r="AF651" s="2">
        <v>2.5810127796171169</v>
      </c>
      <c r="AG651" s="2">
        <v>2.2599834148232887</v>
      </c>
      <c r="AH651" s="2">
        <v>1.8613184896912793</v>
      </c>
      <c r="AI651" s="2">
        <v>1.4175254170874163</v>
      </c>
      <c r="AJ651" s="2">
        <v>0.54371222816314502</v>
      </c>
      <c r="AK651" s="2">
        <v>0</v>
      </c>
      <c r="AL651" s="2">
        <v>0</v>
      </c>
      <c r="AM651" s="2">
        <v>0</v>
      </c>
      <c r="AN651" s="2">
        <v>0</v>
      </c>
      <c r="AO651" s="2">
        <v>0</v>
      </c>
      <c r="AP651" s="2">
        <v>0</v>
      </c>
      <c r="AQ651" s="2">
        <v>0</v>
      </c>
      <c r="AR651" s="2">
        <v>26.378698868663868</v>
      </c>
    </row>
    <row r="652" spans="1:44" x14ac:dyDescent="0.25">
      <c r="A652" t="s">
        <v>250</v>
      </c>
      <c r="B652" t="s">
        <v>341</v>
      </c>
      <c r="C652" t="s">
        <v>44</v>
      </c>
      <c r="D652" t="s">
        <v>161</v>
      </c>
      <c r="E652" t="s">
        <v>134</v>
      </c>
      <c r="F652" t="s">
        <v>161</v>
      </c>
      <c r="G652" t="s">
        <v>31</v>
      </c>
      <c r="H652" t="s">
        <v>252</v>
      </c>
      <c r="I652" t="s">
        <v>135</v>
      </c>
      <c r="J652" t="s">
        <v>39</v>
      </c>
      <c r="K652" t="s">
        <v>31</v>
      </c>
      <c r="L652">
        <v>514.79499999999996</v>
      </c>
      <c r="M652">
        <v>1</v>
      </c>
      <c r="N652">
        <v>5.8863034085379518</v>
      </c>
      <c r="O652">
        <v>5.4421202420407457</v>
      </c>
      <c r="P652">
        <v>-1.9034258936939177</v>
      </c>
      <c r="Q652">
        <v>0.50078102656759582</v>
      </c>
      <c r="R652">
        <v>-1.8625523936223527</v>
      </c>
      <c r="S652" s="2">
        <v>5.1094092284335695E-4</v>
      </c>
      <c r="T652" s="2">
        <v>1.0175584428338362E-3</v>
      </c>
      <c r="U652" s="2">
        <v>1.8000362266806715E-3</v>
      </c>
      <c r="V652" s="2">
        <v>2.9171720169177719E-3</v>
      </c>
      <c r="W652" s="2">
        <v>4.411476592823785E-3</v>
      </c>
      <c r="X652" s="2">
        <v>6.2947998596121889E-3</v>
      </c>
      <c r="Y652" s="2">
        <v>8.5309746689563211E-3</v>
      </c>
      <c r="Z652" s="2">
        <v>1.1018305211497333E-2</v>
      </c>
      <c r="AA652" s="2">
        <v>1.3577321908564208E-2</v>
      </c>
      <c r="AB652" s="2">
        <v>1.5951647557671578E-2</v>
      </c>
      <c r="AC652" s="2">
        <v>1.783049406437083E-2</v>
      </c>
      <c r="AD652" s="2">
        <v>1.8898105924950896E-2</v>
      </c>
      <c r="AE652" s="2">
        <v>1.8906788108999772E-2</v>
      </c>
      <c r="AF652" s="2">
        <v>1.7756891863018241E-2</v>
      </c>
      <c r="AG652" s="2">
        <v>1.5554513957981643E-2</v>
      </c>
      <c r="AH652" s="2">
        <v>1.2815816557125301E-2</v>
      </c>
      <c r="AI652" s="2">
        <v>9.7640690862488937E-3</v>
      </c>
      <c r="AJ652" s="2">
        <v>4.7270838660138648E-3</v>
      </c>
      <c r="AK652" s="2">
        <v>0</v>
      </c>
      <c r="AL652" s="2">
        <v>0</v>
      </c>
      <c r="AM652" s="2">
        <v>0</v>
      </c>
      <c r="AN652" s="2">
        <v>0</v>
      </c>
      <c r="AO652" s="2">
        <v>0</v>
      </c>
      <c r="AP652" s="2">
        <v>0</v>
      </c>
      <c r="AQ652" s="2">
        <v>0</v>
      </c>
      <c r="AR652" s="2">
        <v>0.1822839968371105</v>
      </c>
    </row>
    <row r="653" spans="1:44" x14ac:dyDescent="0.25">
      <c r="A653" t="s">
        <v>250</v>
      </c>
      <c r="B653" t="s">
        <v>335</v>
      </c>
      <c r="C653" t="s">
        <v>44</v>
      </c>
      <c r="D653" t="s">
        <v>161</v>
      </c>
      <c r="E653" t="s">
        <v>134</v>
      </c>
      <c r="F653" t="s">
        <v>161</v>
      </c>
      <c r="G653" t="s">
        <v>31</v>
      </c>
      <c r="H653" t="s">
        <v>288</v>
      </c>
      <c r="I653" t="s">
        <v>135</v>
      </c>
      <c r="J653" t="s">
        <v>39</v>
      </c>
      <c r="K653" t="s">
        <v>31</v>
      </c>
      <c r="L653">
        <v>514.79499999999996</v>
      </c>
      <c r="M653">
        <v>1</v>
      </c>
      <c r="N653">
        <v>5.9226361540065984</v>
      </c>
      <c r="O653">
        <v>5.4757113018011108</v>
      </c>
      <c r="P653">
        <v>-1.9034258936939177</v>
      </c>
      <c r="Q653">
        <v>0.50078102656759582</v>
      </c>
      <c r="R653">
        <v>-1.8625523936223527</v>
      </c>
      <c r="S653" s="2">
        <v>6.4476846987360477E-3</v>
      </c>
      <c r="T653" s="2">
        <v>1.2849833300533655E-2</v>
      </c>
      <c r="U653" s="2">
        <v>2.2747014538770292E-2</v>
      </c>
      <c r="V653" s="2">
        <v>3.6890133469225435E-2</v>
      </c>
      <c r="W653" s="2">
        <v>5.5826087867023338E-2</v>
      </c>
      <c r="X653" s="2">
        <v>7.9715021953790446E-2</v>
      </c>
      <c r="Y653" s="2">
        <v>0.10810901837163635</v>
      </c>
      <c r="Z653" s="2">
        <v>0.13972788902925617</v>
      </c>
      <c r="AA653" s="2">
        <v>0.17230085895237363</v>
      </c>
      <c r="AB653" s="2">
        <v>0.20257409209447838</v>
      </c>
      <c r="AC653" s="2">
        <v>0.22659314160076124</v>
      </c>
      <c r="AD653" s="2">
        <v>0.24032928281406571</v>
      </c>
      <c r="AE653" s="2">
        <v>0.24060862793757964</v>
      </c>
      <c r="AF653" s="2">
        <v>0.22613376702005775</v>
      </c>
      <c r="AG653" s="2">
        <v>0.19822569102313603</v>
      </c>
      <c r="AH653" s="2">
        <v>0.16343866487427214</v>
      </c>
      <c r="AI653" s="2">
        <v>0.12460756090796712</v>
      </c>
      <c r="AJ653" s="2">
        <v>8.2263953579497881E-2</v>
      </c>
      <c r="AK653" s="2">
        <v>0</v>
      </c>
      <c r="AL653" s="2">
        <v>0</v>
      </c>
      <c r="AM653" s="2">
        <v>0</v>
      </c>
      <c r="AN653" s="2">
        <v>0</v>
      </c>
      <c r="AO653" s="2">
        <v>0</v>
      </c>
      <c r="AP653" s="2">
        <v>0</v>
      </c>
      <c r="AQ653" s="2">
        <v>0</v>
      </c>
      <c r="AR653" s="2">
        <v>2.3393883240331617</v>
      </c>
    </row>
    <row r="654" spans="1:44" x14ac:dyDescent="0.25">
      <c r="A654" t="s">
        <v>250</v>
      </c>
      <c r="B654" t="s">
        <v>335</v>
      </c>
      <c r="C654" t="s">
        <v>44</v>
      </c>
      <c r="D654" t="s">
        <v>161</v>
      </c>
      <c r="E654" t="s">
        <v>134</v>
      </c>
      <c r="F654" t="s">
        <v>161</v>
      </c>
      <c r="G654" t="s">
        <v>31</v>
      </c>
      <c r="H654" t="s">
        <v>288</v>
      </c>
      <c r="I654" t="s">
        <v>135</v>
      </c>
      <c r="J654" t="s">
        <v>39</v>
      </c>
      <c r="K654" t="s">
        <v>33</v>
      </c>
      <c r="L654">
        <v>514.79499999999996</v>
      </c>
      <c r="M654">
        <v>1</v>
      </c>
      <c r="N654">
        <v>5.9226361540065984</v>
      </c>
      <c r="O654">
        <v>5.4757113018011108</v>
      </c>
      <c r="P654">
        <v>-1.9034258936939177</v>
      </c>
      <c r="Q654">
        <v>0.50078102656759582</v>
      </c>
      <c r="R654">
        <v>-1.8625523936223527</v>
      </c>
      <c r="S654" s="2">
        <v>6.0654100969718676E-5</v>
      </c>
      <c r="T654" s="2">
        <v>1.2087983871286513E-4</v>
      </c>
      <c r="U654" s="2">
        <v>2.1398374471764993E-4</v>
      </c>
      <c r="V654" s="2">
        <v>3.470296679779375E-4</v>
      </c>
      <c r="W654" s="2">
        <v>5.25162337869065E-4</v>
      </c>
      <c r="X654" s="2">
        <v>7.4988824924028486E-4</v>
      </c>
      <c r="Y654" s="2">
        <v>1.0169937927231205E-3</v>
      </c>
      <c r="Z654" s="2">
        <v>1.3144360938008549E-3</v>
      </c>
      <c r="AA654" s="2">
        <v>1.6208537148404928E-3</v>
      </c>
      <c r="AB654" s="2">
        <v>1.9056374512476113E-3</v>
      </c>
      <c r="AC654" s="2">
        <v>2.1315873731221008E-3</v>
      </c>
      <c r="AD654" s="2">
        <v>2.260804810855898E-3</v>
      </c>
      <c r="AE654" s="2">
        <v>2.2634326421036534E-3</v>
      </c>
      <c r="AF654" s="2">
        <v>2.1272659843596547E-3</v>
      </c>
      <c r="AG654" s="2">
        <v>1.8647315493678662E-3</v>
      </c>
      <c r="AH654" s="2">
        <v>1.5374860503931636E-3</v>
      </c>
      <c r="AI654" s="2">
        <v>1.1721974528909288E-3</v>
      </c>
      <c r="AJ654" s="2">
        <v>7.7386633802941219E-4</v>
      </c>
      <c r="AK654" s="2">
        <v>0</v>
      </c>
      <c r="AL654" s="2">
        <v>0</v>
      </c>
      <c r="AM654" s="2">
        <v>0</v>
      </c>
      <c r="AN654" s="2">
        <v>0</v>
      </c>
      <c r="AO654" s="2">
        <v>0</v>
      </c>
      <c r="AP654" s="2">
        <v>0</v>
      </c>
      <c r="AQ654" s="2">
        <v>0</v>
      </c>
      <c r="AR654" s="2">
        <v>2.2006891193222276E-2</v>
      </c>
    </row>
    <row r="655" spans="1:44" x14ac:dyDescent="0.25">
      <c r="A655" t="s">
        <v>250</v>
      </c>
      <c r="B655" t="s">
        <v>335</v>
      </c>
      <c r="C655" t="s">
        <v>44</v>
      </c>
      <c r="D655" t="s">
        <v>161</v>
      </c>
      <c r="E655" t="s">
        <v>134</v>
      </c>
      <c r="F655" t="s">
        <v>161</v>
      </c>
      <c r="G655" t="s">
        <v>31</v>
      </c>
      <c r="H655" t="s">
        <v>289</v>
      </c>
      <c r="I655" t="s">
        <v>135</v>
      </c>
      <c r="J655" t="s">
        <v>39</v>
      </c>
      <c r="K655" t="s">
        <v>31</v>
      </c>
      <c r="L655">
        <v>514.79499999999996</v>
      </c>
      <c r="M655">
        <v>1</v>
      </c>
      <c r="N655">
        <v>5.9226361540065984</v>
      </c>
      <c r="O655">
        <v>5.4757113018011108</v>
      </c>
      <c r="P655">
        <v>-1.9034258936939177</v>
      </c>
      <c r="Q655">
        <v>0.50078102656759582</v>
      </c>
      <c r="R655">
        <v>-1.8625523936223527</v>
      </c>
      <c r="S655" s="2">
        <v>6.1282448107106129E-3</v>
      </c>
      <c r="T655" s="2">
        <v>1.2213209535188457E-2</v>
      </c>
      <c r="U655" s="2">
        <v>2.1620051277275492E-2</v>
      </c>
      <c r="V655" s="2">
        <v>3.5062472742117802E-2</v>
      </c>
      <c r="W655" s="2">
        <v>5.3060276557944312E-2</v>
      </c>
      <c r="X655" s="2">
        <v>7.5765672865449385E-2</v>
      </c>
      <c r="Y655" s="2">
        <v>0.10275293563236329</v>
      </c>
      <c r="Z655" s="2">
        <v>0.13280530157173273</v>
      </c>
      <c r="AA655" s="2">
        <v>0.16376449750448485</v>
      </c>
      <c r="AB655" s="2">
        <v>0.19253789331630305</v>
      </c>
      <c r="AC655" s="2">
        <v>0.21536695868979039</v>
      </c>
      <c r="AD655" s="2">
        <v>0.22842256547622691</v>
      </c>
      <c r="AE655" s="2">
        <v>0.22868807090702237</v>
      </c>
      <c r="AF655" s="2">
        <v>0.21493034306388667</v>
      </c>
      <c r="AG655" s="2">
        <v>0.18840492659329228</v>
      </c>
      <c r="AH655" s="2">
        <v>0.15534136619329003</v>
      </c>
      <c r="AI655" s="2">
        <v>0.11843408513124891</v>
      </c>
      <c r="AJ655" s="2">
        <v>7.8188321884121476E-2</v>
      </c>
      <c r="AK655" s="2">
        <v>0</v>
      </c>
      <c r="AL655" s="2">
        <v>0</v>
      </c>
      <c r="AM655" s="2">
        <v>0</v>
      </c>
      <c r="AN655" s="2">
        <v>0</v>
      </c>
      <c r="AO655" s="2">
        <v>0</v>
      </c>
      <c r="AP655" s="2">
        <v>0</v>
      </c>
      <c r="AQ655" s="2">
        <v>0</v>
      </c>
      <c r="AR655" s="2">
        <v>2.2234871937524487</v>
      </c>
    </row>
    <row r="656" spans="1:44" x14ac:dyDescent="0.25">
      <c r="A656" t="s">
        <v>250</v>
      </c>
      <c r="B656" t="s">
        <v>335</v>
      </c>
      <c r="C656" t="s">
        <v>44</v>
      </c>
      <c r="D656" t="s">
        <v>161</v>
      </c>
      <c r="E656" t="s">
        <v>134</v>
      </c>
      <c r="F656" t="s">
        <v>161</v>
      </c>
      <c r="G656" t="s">
        <v>31</v>
      </c>
      <c r="H656" t="s">
        <v>290</v>
      </c>
      <c r="I656" t="s">
        <v>135</v>
      </c>
      <c r="J656" t="s">
        <v>39</v>
      </c>
      <c r="K656" t="s">
        <v>31</v>
      </c>
      <c r="L656">
        <v>514.79499999999996</v>
      </c>
      <c r="M656">
        <v>1</v>
      </c>
      <c r="N656">
        <v>5.9226361540065984</v>
      </c>
      <c r="O656">
        <v>5.4757113018011108</v>
      </c>
      <c r="P656">
        <v>-1.9034258936939177</v>
      </c>
      <c r="Q656">
        <v>0.50078102656759582</v>
      </c>
      <c r="R656">
        <v>-1.8625523936223527</v>
      </c>
      <c r="S656" s="2">
        <v>8.8741158787877736E-3</v>
      </c>
      <c r="T656" s="2">
        <v>1.7685559244917062E-2</v>
      </c>
      <c r="U656" s="2">
        <v>3.130730678457163E-2</v>
      </c>
      <c r="V656" s="2">
        <v>5.0772848624875869E-2</v>
      </c>
      <c r="W656" s="2">
        <v>7.6834894375103172E-2</v>
      </c>
      <c r="X656" s="2">
        <v>0.10971385468596515</v>
      </c>
      <c r="Y656" s="2">
        <v>0.14879324926666535</v>
      </c>
      <c r="Z656" s="2">
        <v>0.19231112200432038</v>
      </c>
      <c r="AA656" s="2">
        <v>0.23714214633630692</v>
      </c>
      <c r="AB656" s="2">
        <v>0.2788079832190038</v>
      </c>
      <c r="AC656" s="2">
        <v>0.31186602476047026</v>
      </c>
      <c r="AD656" s="2">
        <v>0.33077143260061331</v>
      </c>
      <c r="AE656" s="2">
        <v>0.33115590254789901</v>
      </c>
      <c r="AF656" s="2">
        <v>0.31123377559640486</v>
      </c>
      <c r="AG656" s="2">
        <v>0.2728231659089852</v>
      </c>
      <c r="AH656" s="2">
        <v>0.22494487850080061</v>
      </c>
      <c r="AI656" s="2">
        <v>0.17150062177934566</v>
      </c>
      <c r="AJ656" s="2">
        <v>0.11322201547088505</v>
      </c>
      <c r="AK656" s="2">
        <v>0</v>
      </c>
      <c r="AL656" s="2">
        <v>0</v>
      </c>
      <c r="AM656" s="2">
        <v>0</v>
      </c>
      <c r="AN656" s="2">
        <v>0</v>
      </c>
      <c r="AO656" s="2">
        <v>0</v>
      </c>
      <c r="AP656" s="2">
        <v>0</v>
      </c>
      <c r="AQ656" s="2">
        <v>0</v>
      </c>
      <c r="AR656" s="2">
        <v>3.219760897585922</v>
      </c>
    </row>
    <row r="657" spans="1:44" x14ac:dyDescent="0.25">
      <c r="A657" t="s">
        <v>250</v>
      </c>
      <c r="B657" t="s">
        <v>342</v>
      </c>
      <c r="C657" t="s">
        <v>44</v>
      </c>
      <c r="D657" t="s">
        <v>161</v>
      </c>
      <c r="E657" t="s">
        <v>134</v>
      </c>
      <c r="F657" t="s">
        <v>161</v>
      </c>
      <c r="G657" t="s">
        <v>31</v>
      </c>
      <c r="H657" t="s">
        <v>254</v>
      </c>
      <c r="I657" t="s">
        <v>135</v>
      </c>
      <c r="J657" t="s">
        <v>39</v>
      </c>
      <c r="K657" t="s">
        <v>31</v>
      </c>
      <c r="L657">
        <v>514.79499999999996</v>
      </c>
      <c r="M657">
        <v>1</v>
      </c>
      <c r="N657">
        <v>5.8530948632432755</v>
      </c>
      <c r="O657">
        <v>5.4114176288701819</v>
      </c>
      <c r="P657">
        <v>-1.9034258936939203</v>
      </c>
      <c r="Q657">
        <v>0.50078102656759649</v>
      </c>
      <c r="R657">
        <v>-1.8625523936223551</v>
      </c>
      <c r="S657" s="2">
        <v>4.2835856828529778E-2</v>
      </c>
      <c r="T657" s="2">
        <v>8.5241892489655774E-2</v>
      </c>
      <c r="U657" s="2">
        <v>0.1506717794697916</v>
      </c>
      <c r="V657" s="2">
        <v>0.24398867105033972</v>
      </c>
      <c r="W657" s="2">
        <v>0.3686791288180018</v>
      </c>
      <c r="X657" s="2">
        <v>0.52565820851699296</v>
      </c>
      <c r="Y657" s="2">
        <v>0.71183137677484598</v>
      </c>
      <c r="Z657" s="2">
        <v>0.91865030600443831</v>
      </c>
      <c r="AA657" s="2">
        <v>1.131114295999349</v>
      </c>
      <c r="AB657" s="2">
        <v>1.3278679014848487</v>
      </c>
      <c r="AC657" s="2">
        <v>1.4830973373962963</v>
      </c>
      <c r="AD657" s="2">
        <v>1.5706575552134772</v>
      </c>
      <c r="AE657" s="2">
        <v>1.57013840571283</v>
      </c>
      <c r="AF657" s="2">
        <v>1.4734794396583675</v>
      </c>
      <c r="AG657" s="2">
        <v>1.2897054233617253</v>
      </c>
      <c r="AH657" s="2">
        <v>1.0617867812757742</v>
      </c>
      <c r="AI657" s="2">
        <v>0.80831162781897181</v>
      </c>
      <c r="AJ657" s="2">
        <v>0.23147948332584381</v>
      </c>
      <c r="AK657" s="2">
        <v>0</v>
      </c>
      <c r="AL657" s="2">
        <v>0</v>
      </c>
      <c r="AM657" s="2">
        <v>0</v>
      </c>
      <c r="AN657" s="2">
        <v>0</v>
      </c>
      <c r="AO657" s="2">
        <v>0</v>
      </c>
      <c r="AP657" s="2">
        <v>0</v>
      </c>
      <c r="AQ657" s="2">
        <v>0</v>
      </c>
      <c r="AR657" s="2">
        <v>14.995195471200079</v>
      </c>
    </row>
    <row r="658" spans="1:44" x14ac:dyDescent="0.25">
      <c r="A658" t="s">
        <v>250</v>
      </c>
      <c r="B658" t="s">
        <v>342</v>
      </c>
      <c r="C658" t="s">
        <v>44</v>
      </c>
      <c r="D658" t="s">
        <v>161</v>
      </c>
      <c r="E658" t="s">
        <v>134</v>
      </c>
      <c r="F658" t="s">
        <v>161</v>
      </c>
      <c r="G658" t="s">
        <v>31</v>
      </c>
      <c r="H658" t="s">
        <v>255</v>
      </c>
      <c r="I658" t="s">
        <v>135</v>
      </c>
      <c r="J658" t="s">
        <v>39</v>
      </c>
      <c r="K658" t="s">
        <v>31</v>
      </c>
      <c r="L658">
        <v>514.79499999999996</v>
      </c>
      <c r="M658">
        <v>1</v>
      </c>
      <c r="N658">
        <v>5.8530948632432755</v>
      </c>
      <c r="O658">
        <v>5.4114176288701819</v>
      </c>
      <c r="P658">
        <v>-1.9034258936939203</v>
      </c>
      <c r="Q658">
        <v>0.50078102656759649</v>
      </c>
      <c r="R658">
        <v>-1.8625523936223551</v>
      </c>
      <c r="S658" s="2">
        <v>8.9800545538459495E-3</v>
      </c>
      <c r="T658" s="2">
        <v>1.7788985174045754E-2</v>
      </c>
      <c r="U658" s="2">
        <v>3.130088240061845E-2</v>
      </c>
      <c r="V658" s="2">
        <v>5.0456938782103423E-2</v>
      </c>
      <c r="W658" s="2">
        <v>7.5897306364861389E-2</v>
      </c>
      <c r="X658" s="2">
        <v>0.10772284983115807</v>
      </c>
      <c r="Y658" s="2">
        <v>0.14521386487818144</v>
      </c>
      <c r="Z658" s="2">
        <v>0.18655536988072158</v>
      </c>
      <c r="AA658" s="2">
        <v>0.22866020853154123</v>
      </c>
      <c r="AB658" s="2">
        <v>0.26721790208273954</v>
      </c>
      <c r="AC658" s="2">
        <v>0.29710291017055629</v>
      </c>
      <c r="AD658" s="2">
        <v>0.31321700442065431</v>
      </c>
      <c r="AE658" s="2">
        <v>0.31169392223238357</v>
      </c>
      <c r="AF658" s="2">
        <v>0.29117967102202241</v>
      </c>
      <c r="AG658" s="2">
        <v>0.25370794655657158</v>
      </c>
      <c r="AH658" s="2">
        <v>0.20792534551840572</v>
      </c>
      <c r="AI658" s="2">
        <v>2.4160318095265972E-2</v>
      </c>
      <c r="AJ658" s="2">
        <v>0</v>
      </c>
      <c r="AK658" s="2">
        <v>0</v>
      </c>
      <c r="AL658" s="2">
        <v>0</v>
      </c>
      <c r="AM658" s="2">
        <v>0</v>
      </c>
      <c r="AN658" s="2">
        <v>0</v>
      </c>
      <c r="AO658" s="2">
        <v>0</v>
      </c>
      <c r="AP658" s="2">
        <v>0</v>
      </c>
      <c r="AQ658" s="2">
        <v>0</v>
      </c>
      <c r="AR658" s="2">
        <v>2.8187814804956766</v>
      </c>
    </row>
    <row r="659" spans="1:44" x14ac:dyDescent="0.25">
      <c r="A659" t="s">
        <v>250</v>
      </c>
      <c r="B659" t="s">
        <v>336</v>
      </c>
      <c r="C659" t="s">
        <v>44</v>
      </c>
      <c r="D659" t="s">
        <v>161</v>
      </c>
      <c r="E659" t="s">
        <v>134</v>
      </c>
      <c r="F659" t="s">
        <v>161</v>
      </c>
      <c r="G659" t="s">
        <v>31</v>
      </c>
      <c r="H659" t="s">
        <v>278</v>
      </c>
      <c r="I659" t="s">
        <v>135</v>
      </c>
      <c r="J659" t="s">
        <v>39</v>
      </c>
      <c r="K659" t="s">
        <v>31</v>
      </c>
      <c r="L659">
        <v>514.79499999999996</v>
      </c>
      <c r="M659">
        <v>1</v>
      </c>
      <c r="N659">
        <v>5.9117149638022148</v>
      </c>
      <c r="O659">
        <v>5.4656142296399564</v>
      </c>
      <c r="P659">
        <v>-1.9034258936939177</v>
      </c>
      <c r="Q659">
        <v>0.50078102656759582</v>
      </c>
      <c r="R659">
        <v>-1.8625523936223527</v>
      </c>
      <c r="S659" s="2">
        <v>0</v>
      </c>
      <c r="T659" s="2">
        <v>0</v>
      </c>
      <c r="U659" s="2">
        <v>0</v>
      </c>
      <c r="V659" s="2">
        <v>0</v>
      </c>
      <c r="W659" s="2">
        <v>0</v>
      </c>
      <c r="X659" s="2">
        <v>0</v>
      </c>
      <c r="Y659" s="2">
        <v>0</v>
      </c>
      <c r="Z659" s="2">
        <v>0</v>
      </c>
      <c r="AA659" s="2">
        <v>0</v>
      </c>
      <c r="AB659" s="2">
        <v>0</v>
      </c>
      <c r="AC659" s="2">
        <v>0</v>
      </c>
      <c r="AD659" s="2">
        <v>0</v>
      </c>
      <c r="AE659" s="2">
        <v>0</v>
      </c>
      <c r="AF659" s="2">
        <v>0</v>
      </c>
      <c r="AG659" s="2">
        <v>0</v>
      </c>
      <c r="AH659" s="2">
        <v>0</v>
      </c>
      <c r="AI659" s="2">
        <v>0</v>
      </c>
      <c r="AJ659" s="2">
        <v>0</v>
      </c>
      <c r="AK659" s="2">
        <v>0</v>
      </c>
      <c r="AL659" s="2">
        <v>0</v>
      </c>
      <c r="AM659" s="2">
        <v>0</v>
      </c>
      <c r="AN659" s="2">
        <v>0</v>
      </c>
      <c r="AO659" s="2">
        <v>0</v>
      </c>
      <c r="AP659" s="2">
        <v>0</v>
      </c>
      <c r="AQ659" s="2">
        <v>0</v>
      </c>
      <c r="AR659" s="2">
        <v>0</v>
      </c>
    </row>
    <row r="660" spans="1:44" x14ac:dyDescent="0.25">
      <c r="A660" t="s">
        <v>250</v>
      </c>
      <c r="B660" t="s">
        <v>337</v>
      </c>
      <c r="C660" t="s">
        <v>44</v>
      </c>
      <c r="D660" t="s">
        <v>161</v>
      </c>
      <c r="E660" t="s">
        <v>134</v>
      </c>
      <c r="F660" t="s">
        <v>161</v>
      </c>
      <c r="G660" t="s">
        <v>31</v>
      </c>
      <c r="H660" t="s">
        <v>272</v>
      </c>
      <c r="I660" t="s">
        <v>135</v>
      </c>
      <c r="J660" t="s">
        <v>39</v>
      </c>
      <c r="K660" t="s">
        <v>31</v>
      </c>
      <c r="L660">
        <v>211.14</v>
      </c>
      <c r="M660">
        <v>1</v>
      </c>
      <c r="N660">
        <v>4.6734133238817801</v>
      </c>
      <c r="O660">
        <v>5.4674005771508307</v>
      </c>
      <c r="P660">
        <v>-1.7705282647850258</v>
      </c>
      <c r="Q660">
        <v>0.63367865547648627</v>
      </c>
      <c r="R660">
        <v>-1.8625523936223525</v>
      </c>
      <c r="S660" s="2">
        <v>4.3847297934406816E-3</v>
      </c>
      <c r="T660" s="2">
        <v>8.7244692329876607E-3</v>
      </c>
      <c r="U660" s="2">
        <v>1.5419433030204491E-2</v>
      </c>
      <c r="V660" s="2">
        <v>2.496644485159201E-2</v>
      </c>
      <c r="W660" s="2">
        <v>3.7721256514099175E-2</v>
      </c>
      <c r="X660" s="2">
        <v>5.377638498038706E-2</v>
      </c>
      <c r="Y660" s="2">
        <v>7.2814158740052648E-2</v>
      </c>
      <c r="Z660" s="2">
        <v>9.3959238482805879E-2</v>
      </c>
      <c r="AA660" s="2">
        <v>0.11567681194593858</v>
      </c>
      <c r="AB660" s="2">
        <v>0.13578295245234862</v>
      </c>
      <c r="AC660" s="2">
        <v>0.15163888604336428</v>
      </c>
      <c r="AD660" s="2">
        <v>0.16057317443452265</v>
      </c>
      <c r="AE660" s="2">
        <v>0.16050182590858125</v>
      </c>
      <c r="AF660" s="2">
        <v>0.15060405882053682</v>
      </c>
      <c r="AG660" s="2">
        <v>0.13180554388280519</v>
      </c>
      <c r="AH660" s="2">
        <v>0.10850032049585438</v>
      </c>
      <c r="AI660" s="2">
        <v>8.2589167487085557E-2</v>
      </c>
      <c r="AJ660" s="2">
        <v>2.1299045868385977E-2</v>
      </c>
      <c r="AK660" s="2">
        <v>0</v>
      </c>
      <c r="AL660" s="2">
        <v>0</v>
      </c>
      <c r="AM660" s="2">
        <v>0</v>
      </c>
      <c r="AN660" s="2">
        <v>0</v>
      </c>
      <c r="AO660" s="2">
        <v>0</v>
      </c>
      <c r="AP660" s="2">
        <v>0</v>
      </c>
      <c r="AQ660" s="2">
        <v>0</v>
      </c>
      <c r="AR660" s="2">
        <v>1.530737902964993</v>
      </c>
    </row>
    <row r="661" spans="1:44" x14ac:dyDescent="0.25">
      <c r="A661" t="s">
        <v>250</v>
      </c>
      <c r="B661" t="s">
        <v>337</v>
      </c>
      <c r="C661" t="s">
        <v>44</v>
      </c>
      <c r="D661" t="s">
        <v>161</v>
      </c>
      <c r="E661" t="s">
        <v>134</v>
      </c>
      <c r="F661" t="s">
        <v>161</v>
      </c>
      <c r="G661" t="s">
        <v>31</v>
      </c>
      <c r="H661" t="s">
        <v>272</v>
      </c>
      <c r="I661" t="s">
        <v>135</v>
      </c>
      <c r="J661" t="s">
        <v>40</v>
      </c>
      <c r="K661" t="s">
        <v>31</v>
      </c>
      <c r="L661">
        <v>211.14</v>
      </c>
      <c r="M661">
        <v>1</v>
      </c>
      <c r="N661">
        <v>4.6734133238817801</v>
      </c>
      <c r="O661">
        <v>4.1746294160814532</v>
      </c>
      <c r="P661">
        <v>-1.7705282647850258</v>
      </c>
      <c r="Q661">
        <v>0.4672931329656026</v>
      </c>
      <c r="R661">
        <v>-1.7195523936223525</v>
      </c>
      <c r="S661" s="2">
        <v>4.3371923833171694E-4</v>
      </c>
      <c r="T661" s="2">
        <v>8.629882179377441E-4</v>
      </c>
      <c r="U661" s="2">
        <v>1.5252261973751845E-3</v>
      </c>
      <c r="V661" s="2">
        <v>2.4695769078135763E-3</v>
      </c>
      <c r="W661" s="2">
        <v>3.7312298396778585E-3</v>
      </c>
      <c r="X661" s="2">
        <v>5.3193363862051148E-3</v>
      </c>
      <c r="Y661" s="2">
        <v>7.2024738025462101E-3</v>
      </c>
      <c r="Z661" s="2">
        <v>9.2940571640134778E-3</v>
      </c>
      <c r="AA661" s="2">
        <v>1.1442269223724393E-2</v>
      </c>
      <c r="AB661" s="2">
        <v>1.3431085036109437E-2</v>
      </c>
      <c r="AC661" s="2">
        <v>1.4999488053878353E-2</v>
      </c>
      <c r="AD661" s="2">
        <v>1.5883230710460255E-2</v>
      </c>
      <c r="AE661" s="2">
        <v>1.587617321095967E-2</v>
      </c>
      <c r="AF661" s="2">
        <v>1.4897127248074283E-2</v>
      </c>
      <c r="AG661" s="2">
        <v>1.3037656319499115E-2</v>
      </c>
      <c r="AH661" s="2">
        <v>1.0732400531181272E-2</v>
      </c>
      <c r="AI661" s="2">
        <v>8.1693770207995238E-3</v>
      </c>
      <c r="AJ661" s="2">
        <v>2.1068130503840137E-3</v>
      </c>
      <c r="AK661" s="2">
        <v>0</v>
      </c>
      <c r="AL661" s="2">
        <v>0</v>
      </c>
      <c r="AM661" s="2">
        <v>0</v>
      </c>
      <c r="AN661" s="2">
        <v>0</v>
      </c>
      <c r="AO661" s="2">
        <v>0</v>
      </c>
      <c r="AP661" s="2">
        <v>0</v>
      </c>
      <c r="AQ661" s="2">
        <v>0</v>
      </c>
      <c r="AR661" s="2">
        <v>0.15141422815897121</v>
      </c>
    </row>
    <row r="662" spans="1:44" x14ac:dyDescent="0.25">
      <c r="A662" t="s">
        <v>250</v>
      </c>
      <c r="B662" t="s">
        <v>337</v>
      </c>
      <c r="C662" t="s">
        <v>44</v>
      </c>
      <c r="D662" t="s">
        <v>161</v>
      </c>
      <c r="E662" t="s">
        <v>134</v>
      </c>
      <c r="F662" t="s">
        <v>161</v>
      </c>
      <c r="G662" t="s">
        <v>31</v>
      </c>
      <c r="H662" t="s">
        <v>273</v>
      </c>
      <c r="I662" t="s">
        <v>135</v>
      </c>
      <c r="J662" t="s">
        <v>39</v>
      </c>
      <c r="K662" t="s">
        <v>31</v>
      </c>
      <c r="L662">
        <v>211.14</v>
      </c>
      <c r="M662">
        <v>1</v>
      </c>
      <c r="N662">
        <v>4.6734133238817801</v>
      </c>
      <c r="O662">
        <v>5.4674005771508307</v>
      </c>
      <c r="P662">
        <v>-1.7705282647850258</v>
      </c>
      <c r="Q662">
        <v>0.63367865547648627</v>
      </c>
      <c r="R662">
        <v>-1.8625523936223525</v>
      </c>
      <c r="S662" s="2">
        <v>1.3187361943017744E-3</v>
      </c>
      <c r="T662" s="2">
        <v>2.6239412450966382E-3</v>
      </c>
      <c r="U662" s="2">
        <v>4.6374954422417885E-3</v>
      </c>
      <c r="V662" s="2">
        <v>7.50882175637968E-3</v>
      </c>
      <c r="W662" s="2">
        <v>1.1344914875735114E-2</v>
      </c>
      <c r="X662" s="2">
        <v>1.6173599882581248E-2</v>
      </c>
      <c r="Y662" s="2">
        <v>2.189933499021696E-2</v>
      </c>
      <c r="Z662" s="2">
        <v>2.8258856169807098E-2</v>
      </c>
      <c r="AA662" s="2">
        <v>3.4790558584191743E-2</v>
      </c>
      <c r="AB662" s="2">
        <v>4.0837611986019262E-2</v>
      </c>
      <c r="AC662" s="2">
        <v>4.5606387829903096E-2</v>
      </c>
      <c r="AD662" s="2">
        <v>4.8293433560606037E-2</v>
      </c>
      <c r="AE662" s="2">
        <v>4.8271975024276201E-2</v>
      </c>
      <c r="AF662" s="2">
        <v>4.5295156767128635E-2</v>
      </c>
      <c r="AG662" s="2">
        <v>3.9641380316731582E-2</v>
      </c>
      <c r="AH662" s="2">
        <v>3.263218179265473E-2</v>
      </c>
      <c r="AI662" s="2">
        <v>2.4839232872547683E-2</v>
      </c>
      <c r="AJ662" s="2">
        <v>6.4058274999639021E-3</v>
      </c>
      <c r="AK662" s="2">
        <v>0</v>
      </c>
      <c r="AL662" s="2">
        <v>0</v>
      </c>
      <c r="AM662" s="2">
        <v>0</v>
      </c>
      <c r="AN662" s="2">
        <v>0</v>
      </c>
      <c r="AO662" s="2">
        <v>0</v>
      </c>
      <c r="AP662" s="2">
        <v>0</v>
      </c>
      <c r="AQ662" s="2">
        <v>0</v>
      </c>
      <c r="AR662" s="2">
        <v>0.46037944679038317</v>
      </c>
    </row>
    <row r="663" spans="1:44" x14ac:dyDescent="0.25">
      <c r="A663" t="s">
        <v>250</v>
      </c>
      <c r="B663" t="s">
        <v>337</v>
      </c>
      <c r="C663" t="s">
        <v>44</v>
      </c>
      <c r="D663" t="s">
        <v>161</v>
      </c>
      <c r="E663" t="s">
        <v>134</v>
      </c>
      <c r="F663" t="s">
        <v>161</v>
      </c>
      <c r="G663" t="s">
        <v>31</v>
      </c>
      <c r="H663" t="s">
        <v>274</v>
      </c>
      <c r="I663" t="s">
        <v>135</v>
      </c>
      <c r="J663" t="s">
        <v>39</v>
      </c>
      <c r="K663" t="s">
        <v>31</v>
      </c>
      <c r="L663">
        <v>211.14</v>
      </c>
      <c r="M663">
        <v>1</v>
      </c>
      <c r="N663">
        <v>4.6734133238817801</v>
      </c>
      <c r="O663">
        <v>5.4674005771508307</v>
      </c>
      <c r="P663">
        <v>-1.7705282647850258</v>
      </c>
      <c r="Q663">
        <v>0.63367865547648627</v>
      </c>
      <c r="R663">
        <v>-1.8625523936223525</v>
      </c>
      <c r="S663" s="2">
        <v>2.0759269164903923E-3</v>
      </c>
      <c r="T663" s="2">
        <v>4.1305533900732007E-3</v>
      </c>
      <c r="U663" s="2">
        <v>7.3002482643986805E-3</v>
      </c>
      <c r="V663" s="2">
        <v>1.1820230052493884E-2</v>
      </c>
      <c r="W663" s="2">
        <v>1.7858927553209645E-2</v>
      </c>
      <c r="X663" s="2">
        <v>2.5460142428693409E-2</v>
      </c>
      <c r="Y663" s="2">
        <v>3.4473474797968626E-2</v>
      </c>
      <c r="Z663" s="2">
        <v>4.4484499936845515E-2</v>
      </c>
      <c r="AA663" s="2">
        <v>5.4766569171856988E-2</v>
      </c>
      <c r="AB663" s="2">
        <v>6.4285714074795705E-2</v>
      </c>
      <c r="AC663" s="2">
        <v>7.179262119981715E-2</v>
      </c>
      <c r="AD663" s="2">
        <v>7.602251235038214E-2</v>
      </c>
      <c r="AE663" s="2">
        <v>7.5988732771609613E-2</v>
      </c>
      <c r="AF663" s="2">
        <v>7.1302687774729423E-2</v>
      </c>
      <c r="AG663" s="2">
        <v>6.2402631217615648E-2</v>
      </c>
      <c r="AH663" s="2">
        <v>5.1368897600514246E-2</v>
      </c>
      <c r="AI663" s="2">
        <v>3.9101400513539671E-2</v>
      </c>
      <c r="AJ663" s="2">
        <v>1.0083919579237974E-2</v>
      </c>
      <c r="AK663" s="2">
        <v>0</v>
      </c>
      <c r="AL663" s="2">
        <v>0</v>
      </c>
      <c r="AM663" s="2">
        <v>0</v>
      </c>
      <c r="AN663" s="2">
        <v>0</v>
      </c>
      <c r="AO663" s="2">
        <v>0</v>
      </c>
      <c r="AP663" s="2">
        <v>0</v>
      </c>
      <c r="AQ663" s="2">
        <v>0</v>
      </c>
      <c r="AR663" s="2">
        <v>0.7247196895942718</v>
      </c>
    </row>
    <row r="664" spans="1:44" x14ac:dyDescent="0.25">
      <c r="A664" t="s">
        <v>250</v>
      </c>
      <c r="B664" t="s">
        <v>337</v>
      </c>
      <c r="C664" t="s">
        <v>44</v>
      </c>
      <c r="D664" t="s">
        <v>161</v>
      </c>
      <c r="E664" t="s">
        <v>134</v>
      </c>
      <c r="F664" t="s">
        <v>161</v>
      </c>
      <c r="G664" t="s">
        <v>31</v>
      </c>
      <c r="H664" t="s">
        <v>274</v>
      </c>
      <c r="I664" t="s">
        <v>135</v>
      </c>
      <c r="J664" t="s">
        <v>39</v>
      </c>
      <c r="K664" t="s">
        <v>33</v>
      </c>
      <c r="L664">
        <v>211.14</v>
      </c>
      <c r="M664">
        <v>1</v>
      </c>
      <c r="N664">
        <v>4.6734133238817801</v>
      </c>
      <c r="O664">
        <v>5.4674005771508307</v>
      </c>
      <c r="P664">
        <v>-1.7705282647850258</v>
      </c>
      <c r="Q664">
        <v>0.63367865547648627</v>
      </c>
      <c r="R664">
        <v>-1.8625523936223525</v>
      </c>
      <c r="S664" s="2">
        <v>6.6792587818250804E-6</v>
      </c>
      <c r="T664" s="2">
        <v>1.328998375871845E-5</v>
      </c>
      <c r="U664" s="2">
        <v>2.3488421939209367E-5</v>
      </c>
      <c r="V664" s="2">
        <v>3.8031384801728813E-5</v>
      </c>
      <c r="W664" s="2">
        <v>5.746078907990568E-5</v>
      </c>
      <c r="X664" s="2">
        <v>8.1917565860587373E-5</v>
      </c>
      <c r="Y664" s="2">
        <v>1.1091780614012919E-4</v>
      </c>
      <c r="Z664" s="2">
        <v>1.4312810556962963E-4</v>
      </c>
      <c r="AA664" s="2">
        <v>1.7621048466869249E-4</v>
      </c>
      <c r="AB664" s="2">
        <v>2.0683816798613324E-4</v>
      </c>
      <c r="AC664" s="2">
        <v>2.3099151121842458E-4</v>
      </c>
      <c r="AD664" s="2">
        <v>2.4460111249540009E-4</v>
      </c>
      <c r="AE664" s="2">
        <v>2.4449242728766447E-4</v>
      </c>
      <c r="AF664" s="2">
        <v>2.294151589364477E-4</v>
      </c>
      <c r="AG664" s="2">
        <v>2.0077938161421795E-4</v>
      </c>
      <c r="AH664" s="2">
        <v>1.6527853542694596E-4</v>
      </c>
      <c r="AI664" s="2">
        <v>1.2580807671363329E-4</v>
      </c>
      <c r="AJ664" s="2">
        <v>3.2444836024725546E-5</v>
      </c>
      <c r="AK664" s="2">
        <v>0</v>
      </c>
      <c r="AL664" s="2">
        <v>0</v>
      </c>
      <c r="AM664" s="2">
        <v>0</v>
      </c>
      <c r="AN664" s="2">
        <v>0</v>
      </c>
      <c r="AO664" s="2">
        <v>0</v>
      </c>
      <c r="AP664" s="2">
        <v>0</v>
      </c>
      <c r="AQ664" s="2">
        <v>0</v>
      </c>
      <c r="AR664" s="2">
        <v>2.331773008304019E-3</v>
      </c>
    </row>
    <row r="665" spans="1:44" x14ac:dyDescent="0.25">
      <c r="A665" t="s">
        <v>250</v>
      </c>
      <c r="B665" t="s">
        <v>337</v>
      </c>
      <c r="C665" t="s">
        <v>44</v>
      </c>
      <c r="D665" t="s">
        <v>161</v>
      </c>
      <c r="E665" t="s">
        <v>134</v>
      </c>
      <c r="F665" t="s">
        <v>161</v>
      </c>
      <c r="G665" t="s">
        <v>31</v>
      </c>
      <c r="H665" t="s">
        <v>275</v>
      </c>
      <c r="I665" t="s">
        <v>135</v>
      </c>
      <c r="J665" t="s">
        <v>39</v>
      </c>
      <c r="K665" t="s">
        <v>31</v>
      </c>
      <c r="L665">
        <v>211.14</v>
      </c>
      <c r="M665">
        <v>1</v>
      </c>
      <c r="N665">
        <v>4.6734133238817801</v>
      </c>
      <c r="O665">
        <v>5.4674005771508307</v>
      </c>
      <c r="P665">
        <v>-1.7705282647850258</v>
      </c>
      <c r="Q665">
        <v>0.63367865547648627</v>
      </c>
      <c r="R665">
        <v>-1.8625523936223525</v>
      </c>
      <c r="S665" s="2">
        <v>3.1713673915240736E-3</v>
      </c>
      <c r="T665" s="2">
        <v>6.3101943648255568E-3</v>
      </c>
      <c r="U665" s="2">
        <v>1.115249728294148E-2</v>
      </c>
      <c r="V665" s="2">
        <v>1.8057616504229893E-2</v>
      </c>
      <c r="W665" s="2">
        <v>2.7282858582320428E-2</v>
      </c>
      <c r="X665" s="2">
        <v>3.8895138764530046E-2</v>
      </c>
      <c r="Y665" s="2">
        <v>5.2664693047882932E-2</v>
      </c>
      <c r="Z665" s="2">
        <v>6.7958410003408951E-2</v>
      </c>
      <c r="AA665" s="2">
        <v>8.3666197609167436E-2</v>
      </c>
      <c r="AB665" s="2">
        <v>9.820847532644382E-2</v>
      </c>
      <c r="AC665" s="2">
        <v>0.10967668274664608</v>
      </c>
      <c r="AD665" s="2">
        <v>0.11613863415641772</v>
      </c>
      <c r="AE665" s="2">
        <v>0.11608702951958413</v>
      </c>
      <c r="AF665" s="2">
        <v>0.10892821762680083</v>
      </c>
      <c r="AG665" s="2">
        <v>9.5331713374296148E-2</v>
      </c>
      <c r="AH665" s="2">
        <v>7.8475617563757372E-2</v>
      </c>
      <c r="AI665" s="2">
        <v>5.9734716846972513E-2</v>
      </c>
      <c r="AJ665" s="2">
        <v>1.5405076873521755E-2</v>
      </c>
      <c r="AK665" s="2">
        <v>0</v>
      </c>
      <c r="AL665" s="2">
        <v>0</v>
      </c>
      <c r="AM665" s="2">
        <v>0</v>
      </c>
      <c r="AN665" s="2">
        <v>0</v>
      </c>
      <c r="AO665" s="2">
        <v>0</v>
      </c>
      <c r="AP665" s="2">
        <v>0</v>
      </c>
      <c r="AQ665" s="2">
        <v>0</v>
      </c>
      <c r="AR665" s="2">
        <v>1.1071451375852714</v>
      </c>
    </row>
    <row r="666" spans="1:44" x14ac:dyDescent="0.25">
      <c r="A666" t="s">
        <v>250</v>
      </c>
      <c r="B666" t="s">
        <v>339</v>
      </c>
      <c r="C666" t="s">
        <v>44</v>
      </c>
      <c r="D666" t="s">
        <v>161</v>
      </c>
      <c r="E666" t="s">
        <v>134</v>
      </c>
      <c r="F666" t="s">
        <v>161</v>
      </c>
      <c r="G666" t="s">
        <v>31</v>
      </c>
      <c r="H666" t="s">
        <v>276</v>
      </c>
      <c r="I666" t="s">
        <v>135</v>
      </c>
      <c r="J666" t="s">
        <v>39</v>
      </c>
      <c r="K666" t="s">
        <v>31</v>
      </c>
      <c r="L666">
        <v>514.79499999999996</v>
      </c>
      <c r="M666">
        <v>1</v>
      </c>
      <c r="N666">
        <v>5.9099327880011625</v>
      </c>
      <c r="O666">
        <v>5.4639665376457431</v>
      </c>
      <c r="P666">
        <v>-1.9034258936939159</v>
      </c>
      <c r="Q666">
        <v>0.50078102656759549</v>
      </c>
      <c r="R666">
        <v>-1.862552393622352</v>
      </c>
      <c r="S666" s="2">
        <v>0.15540070381718724</v>
      </c>
      <c r="T666" s="2">
        <v>0.30998347869492349</v>
      </c>
      <c r="U666" s="2">
        <v>0.54923388544728846</v>
      </c>
      <c r="V666" s="2">
        <v>0.89152804451608336</v>
      </c>
      <c r="W666" s="2">
        <v>1.3503732982166605</v>
      </c>
      <c r="X666" s="2">
        <v>1.9299616591322661</v>
      </c>
      <c r="Y666" s="2">
        <v>2.61976478234156</v>
      </c>
      <c r="Z666" s="2">
        <v>3.3890294113402062</v>
      </c>
      <c r="AA666" s="2">
        <v>4.1828428341850179</v>
      </c>
      <c r="AB666" s="2">
        <v>4.9222069546622054</v>
      </c>
      <c r="AC666" s="2">
        <v>5.5107992878182506</v>
      </c>
      <c r="AD666" s="2">
        <v>5.8501417283101409</v>
      </c>
      <c r="AE666" s="2">
        <v>5.8622287099208297</v>
      </c>
      <c r="AF666" s="2">
        <v>5.5145343114886556</v>
      </c>
      <c r="AG666" s="2">
        <v>4.8383271522516198</v>
      </c>
      <c r="AH666" s="2">
        <v>3.9928404848205825</v>
      </c>
      <c r="AI666" s="2">
        <v>3.0469365739665855</v>
      </c>
      <c r="AJ666" s="2">
        <v>2.1049878511116384</v>
      </c>
      <c r="AK666" s="2">
        <v>0.5966230634021531</v>
      </c>
      <c r="AL666" s="2">
        <v>0</v>
      </c>
      <c r="AM666" s="2">
        <v>0</v>
      </c>
      <c r="AN666" s="2">
        <v>0</v>
      </c>
      <c r="AO666" s="2">
        <v>0</v>
      </c>
      <c r="AP666" s="2">
        <v>0</v>
      </c>
      <c r="AQ666" s="2">
        <v>0</v>
      </c>
      <c r="AR666" s="2">
        <v>57.617744215443849</v>
      </c>
    </row>
    <row r="667" spans="1:44" x14ac:dyDescent="0.25">
      <c r="A667" t="s">
        <v>250</v>
      </c>
      <c r="B667" t="s">
        <v>338</v>
      </c>
      <c r="C667" t="s">
        <v>44</v>
      </c>
      <c r="D667" t="s">
        <v>161</v>
      </c>
      <c r="E667" t="s">
        <v>134</v>
      </c>
      <c r="F667" t="s">
        <v>161</v>
      </c>
      <c r="G667" t="s">
        <v>31</v>
      </c>
      <c r="H667" t="s">
        <v>277</v>
      </c>
      <c r="I667" t="s">
        <v>135</v>
      </c>
      <c r="J667" t="s">
        <v>39</v>
      </c>
      <c r="K667" t="s">
        <v>31</v>
      </c>
      <c r="L667">
        <v>514.79499999999996</v>
      </c>
      <c r="M667">
        <v>1</v>
      </c>
      <c r="N667">
        <v>5.9142263571638143</v>
      </c>
      <c r="O667">
        <v>5.4679361121017198</v>
      </c>
      <c r="P667">
        <v>-1.9034258936939168</v>
      </c>
      <c r="Q667">
        <v>0.5007810265675956</v>
      </c>
      <c r="R667">
        <v>-1.8625523936223525</v>
      </c>
      <c r="S667" s="2">
        <v>0</v>
      </c>
      <c r="T667" s="2">
        <v>0</v>
      </c>
      <c r="U667" s="2">
        <v>0</v>
      </c>
      <c r="V667" s="2">
        <v>0</v>
      </c>
      <c r="W667" s="2">
        <v>0</v>
      </c>
      <c r="X667" s="2">
        <v>0</v>
      </c>
      <c r="Y667" s="2">
        <v>0</v>
      </c>
      <c r="Z667" s="2">
        <v>0</v>
      </c>
      <c r="AA667" s="2">
        <v>0</v>
      </c>
      <c r="AB667" s="2">
        <v>0</v>
      </c>
      <c r="AC667" s="2">
        <v>0</v>
      </c>
      <c r="AD667" s="2">
        <v>0</v>
      </c>
      <c r="AE667" s="2">
        <v>0</v>
      </c>
      <c r="AF667" s="2">
        <v>0</v>
      </c>
      <c r="AG667" s="2">
        <v>0</v>
      </c>
      <c r="AH667" s="2">
        <v>0</v>
      </c>
      <c r="AI667" s="2">
        <v>0</v>
      </c>
      <c r="AJ667" s="2">
        <v>0</v>
      </c>
      <c r="AK667" s="2">
        <v>0</v>
      </c>
      <c r="AL667" s="2">
        <v>0</v>
      </c>
      <c r="AM667" s="2">
        <v>0</v>
      </c>
      <c r="AN667" s="2">
        <v>0</v>
      </c>
      <c r="AO667" s="2">
        <v>0</v>
      </c>
      <c r="AP667" s="2">
        <v>0</v>
      </c>
      <c r="AQ667" s="2">
        <v>0</v>
      </c>
      <c r="AR667" s="2">
        <v>0</v>
      </c>
    </row>
    <row r="668" spans="1:44" x14ac:dyDescent="0.25">
      <c r="A668" t="s">
        <v>250</v>
      </c>
      <c r="B668" t="s">
        <v>338</v>
      </c>
      <c r="C668" t="s">
        <v>44</v>
      </c>
      <c r="D668" t="s">
        <v>161</v>
      </c>
      <c r="E668" t="s">
        <v>134</v>
      </c>
      <c r="F668" t="s">
        <v>161</v>
      </c>
      <c r="G668" t="s">
        <v>31</v>
      </c>
      <c r="H668" t="s">
        <v>277</v>
      </c>
      <c r="I668" t="s">
        <v>135</v>
      </c>
      <c r="J668" t="s">
        <v>40</v>
      </c>
      <c r="K668" t="s">
        <v>31</v>
      </c>
      <c r="L668">
        <v>514.79499999999996</v>
      </c>
      <c r="M668">
        <v>1</v>
      </c>
      <c r="N668">
        <v>5.9142263571638143</v>
      </c>
      <c r="O668">
        <v>4.1746294160814523</v>
      </c>
      <c r="P668">
        <v>-1.9034258936939168</v>
      </c>
      <c r="Q668">
        <v>0.4672931329656026</v>
      </c>
      <c r="R668">
        <v>-1.719552393622352</v>
      </c>
      <c r="S668" s="2">
        <v>0</v>
      </c>
      <c r="T668" s="2">
        <v>0</v>
      </c>
      <c r="U668" s="2">
        <v>0</v>
      </c>
      <c r="V668" s="2">
        <v>0</v>
      </c>
      <c r="W668" s="2">
        <v>0</v>
      </c>
      <c r="X668" s="2">
        <v>0</v>
      </c>
      <c r="Y668" s="2">
        <v>0</v>
      </c>
      <c r="Z668" s="2">
        <v>0</v>
      </c>
      <c r="AA668" s="2">
        <v>0</v>
      </c>
      <c r="AB668" s="2">
        <v>0</v>
      </c>
      <c r="AC668" s="2">
        <v>0</v>
      </c>
      <c r="AD668" s="2">
        <v>0</v>
      </c>
      <c r="AE668" s="2">
        <v>0</v>
      </c>
      <c r="AF668" s="2">
        <v>0</v>
      </c>
      <c r="AG668" s="2">
        <v>0</v>
      </c>
      <c r="AH668" s="2">
        <v>0</v>
      </c>
      <c r="AI668" s="2">
        <v>0</v>
      </c>
      <c r="AJ668" s="2">
        <v>0</v>
      </c>
      <c r="AK668" s="2">
        <v>0</v>
      </c>
      <c r="AL668" s="2">
        <v>0</v>
      </c>
      <c r="AM668" s="2">
        <v>0</v>
      </c>
      <c r="AN668" s="2">
        <v>0</v>
      </c>
      <c r="AO668" s="2">
        <v>0</v>
      </c>
      <c r="AP668" s="2">
        <v>0</v>
      </c>
      <c r="AQ668" s="2">
        <v>0</v>
      </c>
      <c r="AR668" s="2">
        <v>0</v>
      </c>
    </row>
    <row r="669" spans="1:44" x14ac:dyDescent="0.25">
      <c r="A669" t="s">
        <v>250</v>
      </c>
      <c r="B669" t="s">
        <v>364</v>
      </c>
      <c r="C669" t="s">
        <v>45</v>
      </c>
      <c r="D669" t="s">
        <v>358</v>
      </c>
      <c r="E669" t="s">
        <v>145</v>
      </c>
      <c r="F669" t="s">
        <v>359</v>
      </c>
      <c r="G669" t="s">
        <v>31</v>
      </c>
      <c r="H669" t="s">
        <v>253</v>
      </c>
      <c r="I669" t="s">
        <v>135</v>
      </c>
      <c r="J669" t="s">
        <v>39</v>
      </c>
      <c r="K669" t="s">
        <v>31</v>
      </c>
      <c r="L669">
        <v>0.63</v>
      </c>
      <c r="M669">
        <v>1</v>
      </c>
      <c r="N669">
        <v>2.0844226675851618</v>
      </c>
      <c r="O669">
        <v>3.1590792310146649</v>
      </c>
      <c r="P669">
        <v>-0.39445929554307774</v>
      </c>
      <c r="Q669">
        <v>0.82091295210928661</v>
      </c>
      <c r="R669">
        <v>-0.67371772101320448</v>
      </c>
      <c r="S669" s="2">
        <v>3.4751486291247129E-2</v>
      </c>
      <c r="T669" s="2">
        <v>6.792194773003582E-2</v>
      </c>
      <c r="U669" s="2">
        <v>0.1192511380282081</v>
      </c>
      <c r="V669" s="2">
        <v>0.19071671873227461</v>
      </c>
      <c r="W669" s="2">
        <v>0.28113777621133723</v>
      </c>
      <c r="X669" s="2">
        <v>0.38595235236138936</v>
      </c>
      <c r="Y669" s="2">
        <v>0.49802062885670739</v>
      </c>
      <c r="Z669" s="2">
        <v>0.60916345762572033</v>
      </c>
      <c r="AA669" s="2">
        <v>0.7118718330705498</v>
      </c>
      <c r="AB669" s="2">
        <v>0.80063093464350288</v>
      </c>
      <c r="AC669" s="2">
        <v>0.87253814551100006</v>
      </c>
      <c r="AD669" s="2">
        <v>0.92720192097026866</v>
      </c>
      <c r="AE669" s="2">
        <v>0.96613899847026807</v>
      </c>
      <c r="AF669" s="2">
        <v>0.99197219254229452</v>
      </c>
      <c r="AG669" s="2">
        <v>1.007686577935202</v>
      </c>
      <c r="AH669" s="2">
        <v>1.0160916603699983</v>
      </c>
      <c r="AI669" s="2">
        <v>1.0195253699089866</v>
      </c>
      <c r="AJ669" s="2">
        <v>1.0208055830158598</v>
      </c>
      <c r="AK669" s="2">
        <v>1.0207030924954767</v>
      </c>
      <c r="AL669" s="2">
        <v>1.0165182098162453</v>
      </c>
      <c r="AM669" s="2">
        <v>1.0123504851559988</v>
      </c>
      <c r="AN669" s="2">
        <v>0.36679595125654491</v>
      </c>
      <c r="AO669" s="2">
        <v>0</v>
      </c>
      <c r="AP669" s="2">
        <v>0</v>
      </c>
      <c r="AQ669" s="2">
        <v>0</v>
      </c>
      <c r="AR669" s="2">
        <v>14.937746460999113</v>
      </c>
    </row>
    <row r="670" spans="1:44" x14ac:dyDescent="0.25">
      <c r="A670" t="s">
        <v>250</v>
      </c>
      <c r="B670" t="s">
        <v>364</v>
      </c>
      <c r="C670" t="s">
        <v>45</v>
      </c>
      <c r="D670" t="s">
        <v>358</v>
      </c>
      <c r="E670" t="s">
        <v>145</v>
      </c>
      <c r="F670" t="s">
        <v>359</v>
      </c>
      <c r="G670" t="s">
        <v>31</v>
      </c>
      <c r="H670" t="s">
        <v>253</v>
      </c>
      <c r="I670" t="s">
        <v>135</v>
      </c>
      <c r="J670" t="s">
        <v>40</v>
      </c>
      <c r="K670" t="s">
        <v>31</v>
      </c>
      <c r="L670">
        <v>0.63</v>
      </c>
      <c r="M670">
        <v>1</v>
      </c>
      <c r="N670">
        <v>2.0844226675851618</v>
      </c>
      <c r="O670">
        <v>1.979808521690356</v>
      </c>
      <c r="P670">
        <v>-0.39445929554307774</v>
      </c>
      <c r="Q670">
        <v>0.4672931329656026</v>
      </c>
      <c r="R670">
        <v>-0.53071772101320469</v>
      </c>
      <c r="S670" s="2">
        <v>1.8280004062115218E-2</v>
      </c>
      <c r="T670" s="2">
        <v>3.5728356191906466E-2</v>
      </c>
      <c r="U670" s="2">
        <v>6.2728577111723749E-2</v>
      </c>
      <c r="V670" s="2">
        <v>0.10032095789863703</v>
      </c>
      <c r="W670" s="2">
        <v>0.14788431343875191</v>
      </c>
      <c r="X670" s="2">
        <v>0.20301895895388275</v>
      </c>
      <c r="Y670" s="2">
        <v>0.26196920161111964</v>
      </c>
      <c r="Z670" s="2">
        <v>0.32043263952986722</v>
      </c>
      <c r="AA670" s="2">
        <v>0.37445937969889492</v>
      </c>
      <c r="AB670" s="2">
        <v>0.42114851189039892</v>
      </c>
      <c r="AC670" s="2">
        <v>0.45897319932209318</v>
      </c>
      <c r="AD670" s="2">
        <v>0.4877274813424759</v>
      </c>
      <c r="AE670" s="2">
        <v>0.50820919337348491</v>
      </c>
      <c r="AF670" s="2">
        <v>0.52179799037101093</v>
      </c>
      <c r="AG670" s="2">
        <v>0.53006408369457436</v>
      </c>
      <c r="AH670" s="2">
        <v>0.53448533174603363</v>
      </c>
      <c r="AI670" s="2">
        <v>0.53629153432956578</v>
      </c>
      <c r="AJ670" s="2">
        <v>0.5369649530316577</v>
      </c>
      <c r="AK670" s="2">
        <v>0.53691104088777886</v>
      </c>
      <c r="AL670" s="2">
        <v>0.53470970562013909</v>
      </c>
      <c r="AM670" s="2">
        <v>0.53251739582709645</v>
      </c>
      <c r="AN670" s="2">
        <v>0.19294229382718514</v>
      </c>
      <c r="AO670" s="2">
        <v>0</v>
      </c>
      <c r="AP670" s="2">
        <v>0</v>
      </c>
      <c r="AQ670" s="2">
        <v>0</v>
      </c>
      <c r="AR670" s="2">
        <v>7.8575651037603915</v>
      </c>
    </row>
    <row r="671" spans="1:44" x14ac:dyDescent="0.25">
      <c r="A671" t="s">
        <v>250</v>
      </c>
      <c r="B671" t="s">
        <v>364</v>
      </c>
      <c r="C671" t="s">
        <v>45</v>
      </c>
      <c r="D671" t="s">
        <v>358</v>
      </c>
      <c r="E671" t="s">
        <v>145</v>
      </c>
      <c r="F671" t="s">
        <v>359</v>
      </c>
      <c r="G671" t="s">
        <v>31</v>
      </c>
      <c r="H671" t="s">
        <v>253</v>
      </c>
      <c r="I671" t="s">
        <v>256</v>
      </c>
      <c r="J671" t="s">
        <v>39</v>
      </c>
      <c r="K671" t="s">
        <v>31</v>
      </c>
      <c r="L671">
        <v>0.63</v>
      </c>
      <c r="M671">
        <v>1</v>
      </c>
      <c r="N671">
        <v>1.7505233448428057</v>
      </c>
      <c r="O671">
        <v>2.6530329131883188</v>
      </c>
      <c r="P671">
        <v>-0.12035701680335814</v>
      </c>
      <c r="Q671">
        <v>0.4672931329656026</v>
      </c>
      <c r="R671">
        <v>-0.39961544227348489</v>
      </c>
      <c r="S671" s="2">
        <v>1.8229271345701965E-2</v>
      </c>
      <c r="T671" s="2">
        <v>3.5629198852748532E-2</v>
      </c>
      <c r="U671" s="2">
        <v>6.2554485732815829E-2</v>
      </c>
      <c r="V671" s="2">
        <v>0.10004253593056291</v>
      </c>
      <c r="W671" s="2">
        <v>0.14747388831465666</v>
      </c>
      <c r="X671" s="2">
        <v>0.202455517981106</v>
      </c>
      <c r="Y671" s="2">
        <v>0.26124215531675443</v>
      </c>
      <c r="Z671" s="2">
        <v>0.31954333894899323</v>
      </c>
      <c r="AA671" s="2">
        <v>0.37342013805244922</v>
      </c>
      <c r="AB671" s="2">
        <v>0.41997969333056739</v>
      </c>
      <c r="AC671" s="2">
        <v>0.4576994054496536</v>
      </c>
      <c r="AD671" s="2">
        <v>0.48637388536329462</v>
      </c>
      <c r="AE671" s="2">
        <v>0.50679875425112952</v>
      </c>
      <c r="AF671" s="2">
        <v>0.52034983809595947</v>
      </c>
      <c r="AG671" s="2">
        <v>0.52859299043072416</v>
      </c>
      <c r="AH671" s="2">
        <v>0.53300196813898093</v>
      </c>
      <c r="AI671" s="2">
        <v>0.5348031579466328</v>
      </c>
      <c r="AJ671" s="2">
        <v>0.53547470770165417</v>
      </c>
      <c r="AK671" s="2">
        <v>0.53542094518080041</v>
      </c>
      <c r="AL671" s="2">
        <v>0.53322571930555918</v>
      </c>
      <c r="AM671" s="2">
        <v>0.53103949385640647</v>
      </c>
      <c r="AN671" s="2">
        <v>0.1924068187450314</v>
      </c>
      <c r="AO671" s="2">
        <v>0</v>
      </c>
      <c r="AP671" s="2">
        <v>0</v>
      </c>
      <c r="AQ671" s="2">
        <v>0</v>
      </c>
      <c r="AR671" s="2">
        <v>7.8357579082721829</v>
      </c>
    </row>
    <row r="672" spans="1:44" x14ac:dyDescent="0.25">
      <c r="A672" t="s">
        <v>250</v>
      </c>
      <c r="B672" t="s">
        <v>364</v>
      </c>
      <c r="C672" t="s">
        <v>45</v>
      </c>
      <c r="D672" t="s">
        <v>358</v>
      </c>
      <c r="E672" t="s">
        <v>148</v>
      </c>
      <c r="F672" t="s">
        <v>359</v>
      </c>
      <c r="G672" t="s">
        <v>31</v>
      </c>
      <c r="H672" t="s">
        <v>253</v>
      </c>
      <c r="I672" t="s">
        <v>135</v>
      </c>
      <c r="J672" t="s">
        <v>39</v>
      </c>
      <c r="K672" t="s">
        <v>31</v>
      </c>
      <c r="L672">
        <v>0.63</v>
      </c>
      <c r="M672">
        <v>1</v>
      </c>
      <c r="N672">
        <v>2.0844226675851618</v>
      </c>
      <c r="O672">
        <v>3.1590792310146649</v>
      </c>
      <c r="P672">
        <v>-0.39445929554307774</v>
      </c>
      <c r="Q672">
        <v>0.82091295210928661</v>
      </c>
      <c r="R672">
        <v>-0.67371772101320448</v>
      </c>
      <c r="S672" s="2">
        <v>5.912009810580935E-3</v>
      </c>
      <c r="T672" s="2">
        <v>1.5797019281328595E-2</v>
      </c>
      <c r="U672" s="2">
        <v>2.8048209817141498E-2</v>
      </c>
      <c r="V672" s="2">
        <v>4.5365798739767788E-2</v>
      </c>
      <c r="W672" s="2">
        <v>6.7635642670624788E-2</v>
      </c>
      <c r="X672" s="2">
        <v>9.3913067236988251E-2</v>
      </c>
      <c r="Y672" s="2">
        <v>0.12257297729584758</v>
      </c>
      <c r="Z672" s="2">
        <v>0.15165450823348695</v>
      </c>
      <c r="AA672" s="2">
        <v>0.17927355669308642</v>
      </c>
      <c r="AB672" s="2">
        <v>0.20396631697201206</v>
      </c>
      <c r="AC672" s="2">
        <v>0.22487477685155391</v>
      </c>
      <c r="AD672" s="2">
        <v>0.2417571391730596</v>
      </c>
      <c r="AE672" s="2">
        <v>0.25486578721134312</v>
      </c>
      <c r="AF672" s="2">
        <v>0.26476251697326547</v>
      </c>
      <c r="AG672" s="2">
        <v>0.2721357127406358</v>
      </c>
      <c r="AH672" s="2">
        <v>0.27766034016372537</v>
      </c>
      <c r="AI672" s="2">
        <v>0.28191461562761838</v>
      </c>
      <c r="AJ672" s="2">
        <v>0.2856398025949819</v>
      </c>
      <c r="AK672" s="2">
        <v>0.28903380833622949</v>
      </c>
      <c r="AL672" s="2">
        <v>0.2913098372130174</v>
      </c>
      <c r="AM672" s="2">
        <v>0.29361534786566007</v>
      </c>
      <c r="AN672" s="2">
        <v>0.29595065468555543</v>
      </c>
      <c r="AO672" s="2">
        <v>0.29831607565631485</v>
      </c>
      <c r="AP672" s="2">
        <v>0.3007119323937516</v>
      </c>
      <c r="AQ672" s="2">
        <v>0.3031385501864009</v>
      </c>
      <c r="AR672" s="2">
        <v>5.089826004423978</v>
      </c>
    </row>
    <row r="673" spans="1:44" x14ac:dyDescent="0.25">
      <c r="A673" t="s">
        <v>250</v>
      </c>
      <c r="B673" t="s">
        <v>364</v>
      </c>
      <c r="C673" t="s">
        <v>45</v>
      </c>
      <c r="D673" t="s">
        <v>358</v>
      </c>
      <c r="E673" t="s">
        <v>148</v>
      </c>
      <c r="F673" t="s">
        <v>359</v>
      </c>
      <c r="G673" t="s">
        <v>31</v>
      </c>
      <c r="H673" t="s">
        <v>253</v>
      </c>
      <c r="I673" t="s">
        <v>135</v>
      </c>
      <c r="J673" t="s">
        <v>40</v>
      </c>
      <c r="K673" t="s">
        <v>31</v>
      </c>
      <c r="L673">
        <v>0.63</v>
      </c>
      <c r="M673">
        <v>1</v>
      </c>
      <c r="N673">
        <v>2.0844226675851618</v>
      </c>
      <c r="O673">
        <v>1.979808521690356</v>
      </c>
      <c r="P673">
        <v>-0.39445929554307774</v>
      </c>
      <c r="Q673">
        <v>0.4672931329656026</v>
      </c>
      <c r="R673">
        <v>-0.53071772101320469</v>
      </c>
      <c r="S673" s="2">
        <v>3.1098400352420176E-3</v>
      </c>
      <c r="T673" s="2">
        <v>8.309560466331245E-3</v>
      </c>
      <c r="U673" s="2">
        <v>1.4753941316217578E-2</v>
      </c>
      <c r="V673" s="2">
        <v>2.3863353017304922E-2</v>
      </c>
      <c r="W673" s="2">
        <v>3.5577753780108461E-2</v>
      </c>
      <c r="X673" s="2">
        <v>4.9400225250516565E-2</v>
      </c>
      <c r="Y673" s="2">
        <v>6.4475933607421307E-2</v>
      </c>
      <c r="Z673" s="2">
        <v>7.9773423309507166E-2</v>
      </c>
      <c r="AA673" s="2">
        <v>9.4301616831993298E-2</v>
      </c>
      <c r="AB673" s="2">
        <v>0.10729052195163857</v>
      </c>
      <c r="AC673" s="2">
        <v>0.11828880640851865</v>
      </c>
      <c r="AD673" s="2">
        <v>0.1271692798716916</v>
      </c>
      <c r="AE673" s="2">
        <v>0.13406470118922548</v>
      </c>
      <c r="AF673" s="2">
        <v>0.1392705867370681</v>
      </c>
      <c r="AG673" s="2">
        <v>0.14314904095478559</v>
      </c>
      <c r="AH673" s="2">
        <v>0.14605510980287523</v>
      </c>
      <c r="AI673" s="2">
        <v>0.14829294711750257</v>
      </c>
      <c r="AJ673" s="2">
        <v>0.15025247288640833</v>
      </c>
      <c r="AK673" s="2">
        <v>0.15203779044712948</v>
      </c>
      <c r="AL673" s="2">
        <v>0.1532350289411738</v>
      </c>
      <c r="AM673" s="2">
        <v>0.15444777546206692</v>
      </c>
      <c r="AN673" s="2">
        <v>0.1556761953862158</v>
      </c>
      <c r="AO673" s="2">
        <v>0.15692045597961066</v>
      </c>
      <c r="AP673" s="2">
        <v>0.15818072641885356</v>
      </c>
      <c r="AQ673" s="2">
        <v>0.15945717781247323</v>
      </c>
      <c r="AR673" s="2">
        <v>2.6773542649818807</v>
      </c>
    </row>
    <row r="674" spans="1:44" x14ac:dyDescent="0.25">
      <c r="A674" t="s">
        <v>250</v>
      </c>
      <c r="B674" t="s">
        <v>364</v>
      </c>
      <c r="C674" t="s">
        <v>45</v>
      </c>
      <c r="D674" t="s">
        <v>358</v>
      </c>
      <c r="E674" t="s">
        <v>148</v>
      </c>
      <c r="F674" t="s">
        <v>359</v>
      </c>
      <c r="G674" t="s">
        <v>31</v>
      </c>
      <c r="H674" t="s">
        <v>253</v>
      </c>
      <c r="I674" t="s">
        <v>256</v>
      </c>
      <c r="J674" t="s">
        <v>39</v>
      </c>
      <c r="K674" t="s">
        <v>31</v>
      </c>
      <c r="L674">
        <v>0.63</v>
      </c>
      <c r="M674">
        <v>1</v>
      </c>
      <c r="N674">
        <v>1.7505233448428057</v>
      </c>
      <c r="O674">
        <v>2.6530329131883188</v>
      </c>
      <c r="P674">
        <v>-0.12035701680335814</v>
      </c>
      <c r="Q674">
        <v>0.4672931329656026</v>
      </c>
      <c r="R674">
        <v>-0.39961544227348489</v>
      </c>
      <c r="S674" s="2">
        <v>3.1012092585713785E-3</v>
      </c>
      <c r="T674" s="2">
        <v>8.2864988426453699E-3</v>
      </c>
      <c r="U674" s="2">
        <v>1.4712994524399128E-2</v>
      </c>
      <c r="V674" s="2">
        <v>2.379712476499226E-2</v>
      </c>
      <c r="W674" s="2">
        <v>3.5479014409645779E-2</v>
      </c>
      <c r="X674" s="2">
        <v>4.9263124207767274E-2</v>
      </c>
      <c r="Y674" s="2">
        <v>6.4296992768892489E-2</v>
      </c>
      <c r="Z674" s="2">
        <v>7.9552027162749006E-2</v>
      </c>
      <c r="AA674" s="2">
        <v>9.4039900414000607E-2</v>
      </c>
      <c r="AB674" s="2">
        <v>0.10699275726813386</v>
      </c>
      <c r="AC674" s="2">
        <v>0.11796051805311301</v>
      </c>
      <c r="AD674" s="2">
        <v>0.12681634543085152</v>
      </c>
      <c r="AE674" s="2">
        <v>0.13369262980218885</v>
      </c>
      <c r="AF674" s="2">
        <v>0.13888406739289094</v>
      </c>
      <c r="AG674" s="2">
        <v>0.14275175768970011</v>
      </c>
      <c r="AH674" s="2">
        <v>0.14564976128975979</v>
      </c>
      <c r="AI674" s="2">
        <v>0.14788138790741415</v>
      </c>
      <c r="AJ674" s="2">
        <v>0.14983547538074987</v>
      </c>
      <c r="AK674" s="2">
        <v>0.15161583812804688</v>
      </c>
      <c r="AL674" s="2">
        <v>0.15280975391161583</v>
      </c>
      <c r="AM674" s="2">
        <v>0.15401913468241771</v>
      </c>
      <c r="AN674" s="2">
        <v>0.15524414535789186</v>
      </c>
      <c r="AO674" s="2">
        <v>0.15648495273980639</v>
      </c>
      <c r="AP674" s="2">
        <v>0.15774172553525606</v>
      </c>
      <c r="AQ674" s="2">
        <v>0.15901463437788171</v>
      </c>
      <c r="AR674" s="2">
        <v>2.6699237713013813</v>
      </c>
    </row>
    <row r="675" spans="1:44" x14ac:dyDescent="0.25">
      <c r="A675" t="s">
        <v>250</v>
      </c>
      <c r="B675" t="s">
        <v>373</v>
      </c>
      <c r="C675" t="s">
        <v>45</v>
      </c>
      <c r="D675" t="s">
        <v>358</v>
      </c>
      <c r="E675" t="s">
        <v>145</v>
      </c>
      <c r="F675" t="s">
        <v>368</v>
      </c>
      <c r="G675" t="s">
        <v>31</v>
      </c>
      <c r="H675" t="s">
        <v>253</v>
      </c>
      <c r="I675" t="s">
        <v>135</v>
      </c>
      <c r="J675" t="s">
        <v>39</v>
      </c>
      <c r="K675" t="s">
        <v>31</v>
      </c>
      <c r="L675">
        <v>0.40754716981132122</v>
      </c>
      <c r="M675">
        <v>1</v>
      </c>
      <c r="N675">
        <v>3.8941300308350058</v>
      </c>
      <c r="O675">
        <v>3.1590792310146658</v>
      </c>
      <c r="P675">
        <v>-0.77595970828116723</v>
      </c>
      <c r="Q675">
        <v>0.43941253937119779</v>
      </c>
      <c r="R675">
        <v>-0.67371772101320504</v>
      </c>
      <c r="S675" s="2">
        <v>0</v>
      </c>
      <c r="T675" s="2">
        <v>0</v>
      </c>
      <c r="U675" s="2">
        <v>2.9602460919408279E-3</v>
      </c>
      <c r="V675" s="2">
        <v>5.5473528957275557E-3</v>
      </c>
      <c r="W675" s="2">
        <v>9.4537221291538798E-3</v>
      </c>
      <c r="X675" s="2">
        <v>1.501921974009165E-2</v>
      </c>
      <c r="Y675" s="2">
        <v>2.2549715043703084E-2</v>
      </c>
      <c r="Z675" s="2">
        <v>3.2258978827735096E-2</v>
      </c>
      <c r="AA675" s="2">
        <v>4.4200047953401565E-2</v>
      </c>
      <c r="AB675" s="2">
        <v>5.8197779937588942E-2</v>
      </c>
      <c r="AC675" s="2">
        <v>7.3801809690983586E-2</v>
      </c>
      <c r="AD675" s="2">
        <v>9.0283709395597489E-2</v>
      </c>
      <c r="AE675" s="2">
        <v>0.10669900263085121</v>
      </c>
      <c r="AF675" s="2">
        <v>0.12201978542145853</v>
      </c>
      <c r="AG675" s="2">
        <v>0.13531772374169909</v>
      </c>
      <c r="AH675" s="2">
        <v>0.14594888817860163</v>
      </c>
      <c r="AI675" s="2">
        <v>0.1536771808024783</v>
      </c>
      <c r="AJ675" s="2">
        <v>0.15912274862715978</v>
      </c>
      <c r="AK675" s="2">
        <v>0.16177181088607565</v>
      </c>
      <c r="AL675" s="2">
        <v>0.16373889007713985</v>
      </c>
      <c r="AM675" s="2">
        <v>0.1637224504295417</v>
      </c>
      <c r="AN675" s="2">
        <v>0.1630511883827806</v>
      </c>
      <c r="AO675" s="2">
        <v>0.16238267851041113</v>
      </c>
      <c r="AP675" s="2">
        <v>0.16171690952851853</v>
      </c>
      <c r="AQ675" s="2">
        <v>0</v>
      </c>
      <c r="AR675" s="2">
        <v>2.1534418389226393</v>
      </c>
    </row>
    <row r="676" spans="1:44" x14ac:dyDescent="0.25">
      <c r="A676" t="s">
        <v>250</v>
      </c>
      <c r="B676" t="s">
        <v>373</v>
      </c>
      <c r="C676" t="s">
        <v>45</v>
      </c>
      <c r="D676" t="s">
        <v>358</v>
      </c>
      <c r="E676" t="s">
        <v>145</v>
      </c>
      <c r="F676" t="s">
        <v>368</v>
      </c>
      <c r="G676" t="s">
        <v>31</v>
      </c>
      <c r="H676" t="s">
        <v>253</v>
      </c>
      <c r="I676" t="s">
        <v>135</v>
      </c>
      <c r="J676" t="s">
        <v>40</v>
      </c>
      <c r="K676" t="s">
        <v>31</v>
      </c>
      <c r="L676">
        <v>0.40754716981132122</v>
      </c>
      <c r="M676">
        <v>1</v>
      </c>
      <c r="N676">
        <v>3.8941300308350058</v>
      </c>
      <c r="O676">
        <v>1.9798085216903556</v>
      </c>
      <c r="P676">
        <v>-0.77595970828116723</v>
      </c>
      <c r="Q676">
        <v>0.4672931329656026</v>
      </c>
      <c r="R676">
        <v>-0.53071772101320469</v>
      </c>
      <c r="S676" s="2">
        <v>0</v>
      </c>
      <c r="T676" s="2">
        <v>0</v>
      </c>
      <c r="U676" s="2">
        <v>1.5571509699476812E-3</v>
      </c>
      <c r="V676" s="2">
        <v>2.9180229190205135E-3</v>
      </c>
      <c r="W676" s="2">
        <v>4.9728543255592545E-3</v>
      </c>
      <c r="X676" s="2">
        <v>7.9004217418990729E-3</v>
      </c>
      <c r="Y676" s="2">
        <v>1.1861618784985787E-2</v>
      </c>
      <c r="Z676" s="2">
        <v>1.6968893332174193E-2</v>
      </c>
      <c r="AA676" s="2">
        <v>2.32501438747779E-2</v>
      </c>
      <c r="AB676" s="2">
        <v>3.0613241826527766E-2</v>
      </c>
      <c r="AC676" s="2">
        <v>3.8821285790082344E-2</v>
      </c>
      <c r="AD676" s="2">
        <v>4.7491107593577504E-2</v>
      </c>
      <c r="AE676" s="2">
        <v>5.6125893009844136E-2</v>
      </c>
      <c r="AF676" s="2">
        <v>6.4184943183983781E-2</v>
      </c>
      <c r="AG676" s="2">
        <v>7.1179935124025831E-2</v>
      </c>
      <c r="AH676" s="2">
        <v>7.6772148575354998E-2</v>
      </c>
      <c r="AI676" s="2">
        <v>8.0837391119909507E-2</v>
      </c>
      <c r="AJ676" s="2">
        <v>8.3701872976064656E-2</v>
      </c>
      <c r="AK676" s="2">
        <v>8.5095334782214094E-2</v>
      </c>
      <c r="AL676" s="2">
        <v>8.6130059320376123E-2</v>
      </c>
      <c r="AM676" s="2">
        <v>8.6121411724058808E-2</v>
      </c>
      <c r="AN676" s="2">
        <v>8.5768313935990159E-2</v>
      </c>
      <c r="AO676" s="2">
        <v>8.5416663848852617E-2</v>
      </c>
      <c r="AP676" s="2">
        <v>8.5066455527072316E-2</v>
      </c>
      <c r="AQ676" s="2">
        <v>0</v>
      </c>
      <c r="AR676" s="2">
        <v>1.132755164286299</v>
      </c>
    </row>
    <row r="677" spans="1:44" x14ac:dyDescent="0.25">
      <c r="A677" t="s">
        <v>250</v>
      </c>
      <c r="B677" t="s">
        <v>373</v>
      </c>
      <c r="C677" t="s">
        <v>45</v>
      </c>
      <c r="D677" t="s">
        <v>358</v>
      </c>
      <c r="E677" t="s">
        <v>145</v>
      </c>
      <c r="F677" t="s">
        <v>368</v>
      </c>
      <c r="G677" t="s">
        <v>31</v>
      </c>
      <c r="H677" t="s">
        <v>253</v>
      </c>
      <c r="I677" t="s">
        <v>256</v>
      </c>
      <c r="J677" t="s">
        <v>39</v>
      </c>
      <c r="K677" t="s">
        <v>31</v>
      </c>
      <c r="L677">
        <v>0.40754716981132122</v>
      </c>
      <c r="M677">
        <v>1</v>
      </c>
      <c r="N677">
        <v>3.2703374573869155</v>
      </c>
      <c r="O677">
        <v>2.6530329131883197</v>
      </c>
      <c r="P677">
        <v>-0.5018574295414473</v>
      </c>
      <c r="Q677">
        <v>0.4672931329656026</v>
      </c>
      <c r="R677">
        <v>-0.39961544227348522</v>
      </c>
      <c r="S677" s="2">
        <v>0</v>
      </c>
      <c r="T677" s="2">
        <v>0</v>
      </c>
      <c r="U677" s="2">
        <v>1.5528293900233809E-3</v>
      </c>
      <c r="V677" s="2">
        <v>2.9099244947130036E-3</v>
      </c>
      <c r="W677" s="2">
        <v>4.9590531027911564E-3</v>
      </c>
      <c r="X677" s="2">
        <v>7.8784956058645886E-3</v>
      </c>
      <c r="Y677" s="2">
        <v>1.1828699090877626E-2</v>
      </c>
      <c r="Z677" s="2">
        <v>1.6921799357230715E-2</v>
      </c>
      <c r="AA677" s="2">
        <v>2.3185617469217039E-2</v>
      </c>
      <c r="AB677" s="2">
        <v>3.0528280526147415E-2</v>
      </c>
      <c r="AC677" s="2">
        <v>3.871354460599432E-2</v>
      </c>
      <c r="AD677" s="2">
        <v>4.7359304948156364E-2</v>
      </c>
      <c r="AE677" s="2">
        <v>5.5970126139999167E-2</v>
      </c>
      <c r="AF677" s="2">
        <v>6.4006809934697345E-2</v>
      </c>
      <c r="AG677" s="2">
        <v>7.0982388588987269E-2</v>
      </c>
      <c r="AH677" s="2">
        <v>7.6559081902674006E-2</v>
      </c>
      <c r="AI677" s="2">
        <v>8.061304213041591E-2</v>
      </c>
      <c r="AJ677" s="2">
        <v>8.346957415542304E-2</v>
      </c>
      <c r="AK677" s="2">
        <v>8.4859168670164659E-2</v>
      </c>
      <c r="AL677" s="2">
        <v>8.5891021524798494E-2</v>
      </c>
      <c r="AM677" s="2">
        <v>8.5882397928259857E-2</v>
      </c>
      <c r="AN677" s="2">
        <v>8.5530280096754008E-2</v>
      </c>
      <c r="AO677" s="2">
        <v>8.5179605948357301E-2</v>
      </c>
      <c r="AP677" s="2">
        <v>8.4830369563969041E-2</v>
      </c>
      <c r="AQ677" s="2">
        <v>0</v>
      </c>
      <c r="AR677" s="2">
        <v>1.1296114151755157</v>
      </c>
    </row>
    <row r="678" spans="1:44" x14ac:dyDescent="0.25">
      <c r="A678" t="s">
        <v>250</v>
      </c>
      <c r="B678" t="s">
        <v>373</v>
      </c>
      <c r="C678" t="s">
        <v>45</v>
      </c>
      <c r="D678" t="s">
        <v>358</v>
      </c>
      <c r="E678" t="s">
        <v>148</v>
      </c>
      <c r="F678" t="s">
        <v>368</v>
      </c>
      <c r="G678" t="s">
        <v>31</v>
      </c>
      <c r="H678" t="s">
        <v>253</v>
      </c>
      <c r="I678" t="s">
        <v>135</v>
      </c>
      <c r="J678" t="s">
        <v>39</v>
      </c>
      <c r="K678" t="s">
        <v>31</v>
      </c>
      <c r="L678">
        <v>0.40754716981132122</v>
      </c>
      <c r="M678">
        <v>1</v>
      </c>
      <c r="N678">
        <v>3.8941300308350058</v>
      </c>
      <c r="O678">
        <v>3.1590792310146658</v>
      </c>
      <c r="P678">
        <v>-0.77595970828116723</v>
      </c>
      <c r="Q678">
        <v>0.43941253937119779</v>
      </c>
      <c r="R678">
        <v>-0.67371772101320504</v>
      </c>
      <c r="S678" s="2">
        <v>0</v>
      </c>
      <c r="T678" s="2">
        <v>0</v>
      </c>
      <c r="U678" s="2">
        <v>8.3551004916185528E-4</v>
      </c>
      <c r="V678" s="2">
        <v>1.5834590486594165E-3</v>
      </c>
      <c r="W678" s="2">
        <v>2.7292322523921795E-3</v>
      </c>
      <c r="X678" s="2">
        <v>4.3855185273572695E-3</v>
      </c>
      <c r="Y678" s="2">
        <v>6.6599306532940843E-3</v>
      </c>
      <c r="Z678" s="2">
        <v>9.6372548464464663E-3</v>
      </c>
      <c r="AA678" s="2">
        <v>1.3357291750285025E-2</v>
      </c>
      <c r="AB678" s="2">
        <v>1.7791548614248642E-2</v>
      </c>
      <c r="AC678" s="2">
        <v>2.2824673838113436E-2</v>
      </c>
      <c r="AD678" s="2">
        <v>2.8248515198809318E-2</v>
      </c>
      <c r="AE678" s="2">
        <v>3.3776413551136364E-2</v>
      </c>
      <c r="AF678" s="2">
        <v>3.9081255404056915E-2</v>
      </c>
      <c r="AG678" s="2">
        <v>4.3852665306718872E-2</v>
      </c>
      <c r="AH678" s="2">
        <v>4.7858931848843184E-2</v>
      </c>
      <c r="AI678" s="2">
        <v>5.0992955705105279E-2</v>
      </c>
      <c r="AJ678" s="2">
        <v>5.3430495987630229E-2</v>
      </c>
      <c r="AK678" s="2">
        <v>5.4970958264701809E-2</v>
      </c>
      <c r="AL678" s="2">
        <v>5.6308385569325943E-2</v>
      </c>
      <c r="AM678" s="2">
        <v>5.6981954302769679E-2</v>
      </c>
      <c r="AN678" s="2">
        <v>5.7435167486145591E-2</v>
      </c>
      <c r="AO678" s="2">
        <v>5.7894224925214802E-2</v>
      </c>
      <c r="AP678" s="2">
        <v>5.8359189035984201E-2</v>
      </c>
      <c r="AQ678" s="2">
        <v>0</v>
      </c>
      <c r="AR678" s="2">
        <v>0.71899553216640055</v>
      </c>
    </row>
    <row r="679" spans="1:44" x14ac:dyDescent="0.25">
      <c r="A679" t="s">
        <v>250</v>
      </c>
      <c r="B679" t="s">
        <v>373</v>
      </c>
      <c r="C679" t="s">
        <v>45</v>
      </c>
      <c r="D679" t="s">
        <v>358</v>
      </c>
      <c r="E679" t="s">
        <v>148</v>
      </c>
      <c r="F679" t="s">
        <v>368</v>
      </c>
      <c r="G679" t="s">
        <v>31</v>
      </c>
      <c r="H679" t="s">
        <v>253</v>
      </c>
      <c r="I679" t="s">
        <v>135</v>
      </c>
      <c r="J679" t="s">
        <v>40</v>
      </c>
      <c r="K679" t="s">
        <v>31</v>
      </c>
      <c r="L679">
        <v>0.40754716981132122</v>
      </c>
      <c r="M679">
        <v>1</v>
      </c>
      <c r="N679">
        <v>3.8941300308350058</v>
      </c>
      <c r="O679">
        <v>1.9798085216903556</v>
      </c>
      <c r="P679">
        <v>-0.77595970828116723</v>
      </c>
      <c r="Q679">
        <v>0.4672931329656026</v>
      </c>
      <c r="R679">
        <v>-0.53071772101320469</v>
      </c>
      <c r="S679" s="2">
        <v>0</v>
      </c>
      <c r="T679" s="2">
        <v>0</v>
      </c>
      <c r="U679" s="2">
        <v>4.3949565105258395E-4</v>
      </c>
      <c r="V679" s="2">
        <v>8.3293237011787926E-4</v>
      </c>
      <c r="W679" s="2">
        <v>1.435632888966571E-3</v>
      </c>
      <c r="X679" s="2">
        <v>2.3068738937581587E-3</v>
      </c>
      <c r="Y679" s="2">
        <v>3.5032619432535123E-3</v>
      </c>
      <c r="Z679" s="2">
        <v>5.0693963493886763E-3</v>
      </c>
      <c r="AA679" s="2">
        <v>7.0262130778437322E-3</v>
      </c>
      <c r="AB679" s="2">
        <v>9.3587243496318084E-3</v>
      </c>
      <c r="AC679" s="2">
        <v>1.2006252825573507E-2</v>
      </c>
      <c r="AD679" s="2">
        <v>1.4859306110110659E-2</v>
      </c>
      <c r="AE679" s="2">
        <v>1.7767095534960326E-2</v>
      </c>
      <c r="AF679" s="2">
        <v>2.0557552605128829E-2</v>
      </c>
      <c r="AG679" s="2">
        <v>2.3067413382641438E-2</v>
      </c>
      <c r="AH679" s="2">
        <v>2.5174792849815573E-2</v>
      </c>
      <c r="AI679" s="2">
        <v>2.6823354535583394E-2</v>
      </c>
      <c r="AJ679" s="2">
        <v>2.8105551385890069E-2</v>
      </c>
      <c r="AK679" s="2">
        <v>2.8915866560510695E-2</v>
      </c>
      <c r="AL679" s="2">
        <v>2.961938111975598E-2</v>
      </c>
      <c r="AM679" s="2">
        <v>2.9973692272961809E-2</v>
      </c>
      <c r="AN679" s="2">
        <v>3.0212091826974534E-2</v>
      </c>
      <c r="AO679" s="2">
        <v>3.0453565580948735E-2</v>
      </c>
      <c r="AP679" s="2">
        <v>3.0698146367001269E-2</v>
      </c>
      <c r="AQ679" s="2">
        <v>0</v>
      </c>
      <c r="AR679" s="2">
        <v>0.37820659348186975</v>
      </c>
    </row>
    <row r="680" spans="1:44" x14ac:dyDescent="0.25">
      <c r="A680" t="s">
        <v>250</v>
      </c>
      <c r="B680" t="s">
        <v>373</v>
      </c>
      <c r="C680" t="s">
        <v>45</v>
      </c>
      <c r="D680" t="s">
        <v>358</v>
      </c>
      <c r="E680" t="s">
        <v>148</v>
      </c>
      <c r="F680" t="s">
        <v>368</v>
      </c>
      <c r="G680" t="s">
        <v>31</v>
      </c>
      <c r="H680" t="s">
        <v>253</v>
      </c>
      <c r="I680" t="s">
        <v>256</v>
      </c>
      <c r="J680" t="s">
        <v>39</v>
      </c>
      <c r="K680" t="s">
        <v>31</v>
      </c>
      <c r="L680">
        <v>0.40754716981132122</v>
      </c>
      <c r="M680">
        <v>1</v>
      </c>
      <c r="N680">
        <v>3.2703374573869155</v>
      </c>
      <c r="O680">
        <v>2.6530329131883197</v>
      </c>
      <c r="P680">
        <v>-0.5018574295414473</v>
      </c>
      <c r="Q680">
        <v>0.4672931329656026</v>
      </c>
      <c r="R680">
        <v>-0.39961544227348522</v>
      </c>
      <c r="S680" s="2">
        <v>0</v>
      </c>
      <c r="T680" s="2">
        <v>0</v>
      </c>
      <c r="U680" s="2">
        <v>4.382759134554864E-4</v>
      </c>
      <c r="V680" s="2">
        <v>8.3062072283480288E-4</v>
      </c>
      <c r="W680" s="2">
        <v>1.4316485596424606E-3</v>
      </c>
      <c r="X680" s="2">
        <v>2.3004715987337641E-3</v>
      </c>
      <c r="Y680" s="2">
        <v>3.4935392980022023E-3</v>
      </c>
      <c r="Z680" s="2">
        <v>5.0553271923739389E-3</v>
      </c>
      <c r="AA680" s="2">
        <v>7.0067131436902935E-3</v>
      </c>
      <c r="AB680" s="2">
        <v>9.3327509687283951E-3</v>
      </c>
      <c r="AC680" s="2">
        <v>1.1972931726862956E-2</v>
      </c>
      <c r="AD680" s="2">
        <v>1.4818066898104937E-2</v>
      </c>
      <c r="AE680" s="2">
        <v>1.7717786299787572E-2</v>
      </c>
      <c r="AF680" s="2">
        <v>2.0500498980691801E-2</v>
      </c>
      <c r="AG680" s="2">
        <v>2.3003394111226073E-2</v>
      </c>
      <c r="AH680" s="2">
        <v>2.5104924942671251E-2</v>
      </c>
      <c r="AI680" s="2">
        <v>2.6748911355249011E-2</v>
      </c>
      <c r="AJ680" s="2">
        <v>2.8027549709126097E-2</v>
      </c>
      <c r="AK680" s="2">
        <v>2.8835616006239888E-2</v>
      </c>
      <c r="AL680" s="2">
        <v>2.9537178093018344E-2</v>
      </c>
      <c r="AM680" s="2">
        <v>2.9890505922194308E-2</v>
      </c>
      <c r="AN680" s="2">
        <v>3.0128243843041039E-2</v>
      </c>
      <c r="AO680" s="2">
        <v>3.0369047431984032E-2</v>
      </c>
      <c r="AP680" s="2">
        <v>3.0612949430022775E-2</v>
      </c>
      <c r="AQ680" s="2">
        <v>0</v>
      </c>
      <c r="AR680" s="2">
        <v>0.37715695214768136</v>
      </c>
    </row>
    <row r="681" spans="1:44" x14ac:dyDescent="0.25">
      <c r="A681" t="s">
        <v>250</v>
      </c>
      <c r="B681" t="s">
        <v>365</v>
      </c>
      <c r="C681" t="s">
        <v>45</v>
      </c>
      <c r="D681" t="s">
        <v>358</v>
      </c>
      <c r="E681" t="s">
        <v>145</v>
      </c>
      <c r="F681" t="s">
        <v>359</v>
      </c>
      <c r="G681" t="s">
        <v>31</v>
      </c>
      <c r="H681" t="s">
        <v>252</v>
      </c>
      <c r="I681" t="s">
        <v>135</v>
      </c>
      <c r="J681" t="s">
        <v>39</v>
      </c>
      <c r="K681" t="s">
        <v>31</v>
      </c>
      <c r="L681">
        <v>1.9</v>
      </c>
      <c r="M681">
        <v>1</v>
      </c>
      <c r="N681">
        <v>3.6463650483715906</v>
      </c>
      <c r="O681">
        <v>3.1557944646272507</v>
      </c>
      <c r="P681">
        <v>-0.74659023207454367</v>
      </c>
      <c r="Q681">
        <v>0.4687820155778209</v>
      </c>
      <c r="R681">
        <v>-0.67371772101320515</v>
      </c>
      <c r="S681" s="2">
        <v>0.34852653706792319</v>
      </c>
      <c r="T681" s="2">
        <v>0.68147039980306934</v>
      </c>
      <c r="U681" s="2">
        <v>1.1969438995711745</v>
      </c>
      <c r="V681" s="2">
        <v>1.9150249096986061</v>
      </c>
      <c r="W681" s="2">
        <v>2.8240947569135795</v>
      </c>
      <c r="X681" s="2">
        <v>3.8785388812773407</v>
      </c>
      <c r="Y681" s="2">
        <v>5.006753239559508</v>
      </c>
      <c r="Z681" s="2">
        <v>6.1265657143931014</v>
      </c>
      <c r="AA681" s="2">
        <v>7.1624146602469949</v>
      </c>
      <c r="AB681" s="2">
        <v>8.0586893605653334</v>
      </c>
      <c r="AC681" s="2">
        <v>8.7859933338128453</v>
      </c>
      <c r="AD681" s="2">
        <v>9.3401783173735904</v>
      </c>
      <c r="AE681" s="2">
        <v>9.7363203691209499</v>
      </c>
      <c r="AF681" s="2">
        <v>10.000670966977507</v>
      </c>
      <c r="AG681" s="2">
        <v>10.163177548255947</v>
      </c>
      <c r="AH681" s="2">
        <v>10.252064351531029</v>
      </c>
      <c r="AI681" s="2">
        <v>10.29084108872742</v>
      </c>
      <c r="AJ681" s="2">
        <v>10.307901721460727</v>
      </c>
      <c r="AK681" s="2">
        <v>10.311006511135865</v>
      </c>
      <c r="AL681" s="2">
        <v>10.272855787044662</v>
      </c>
      <c r="AM681" s="2">
        <v>10.234846220632596</v>
      </c>
      <c r="AN681" s="2">
        <v>4.3682581505998508</v>
      </c>
      <c r="AO681" s="2">
        <v>0</v>
      </c>
      <c r="AP681" s="2">
        <v>0</v>
      </c>
      <c r="AQ681" s="2">
        <v>0</v>
      </c>
      <c r="AR681" s="2">
        <v>151.26313672576964</v>
      </c>
    </row>
    <row r="682" spans="1:44" x14ac:dyDescent="0.25">
      <c r="A682" t="s">
        <v>250</v>
      </c>
      <c r="B682" t="s">
        <v>365</v>
      </c>
      <c r="C682" t="s">
        <v>45</v>
      </c>
      <c r="D682" t="s">
        <v>358</v>
      </c>
      <c r="E682" t="s">
        <v>148</v>
      </c>
      <c r="F682" t="s">
        <v>359</v>
      </c>
      <c r="G682" t="s">
        <v>31</v>
      </c>
      <c r="H682" t="s">
        <v>252</v>
      </c>
      <c r="I682" t="s">
        <v>135</v>
      </c>
      <c r="J682" t="s">
        <v>39</v>
      </c>
      <c r="K682" t="s">
        <v>31</v>
      </c>
      <c r="L682">
        <v>1.9</v>
      </c>
      <c r="M682">
        <v>1</v>
      </c>
      <c r="N682">
        <v>3.6463650483715906</v>
      </c>
      <c r="O682">
        <v>3.1557944646272507</v>
      </c>
      <c r="P682">
        <v>-0.74659023207454367</v>
      </c>
      <c r="Q682">
        <v>0.4687820155778209</v>
      </c>
      <c r="R682">
        <v>-0.67371772101320515</v>
      </c>
      <c r="S682" s="2">
        <v>5.929220664476556E-2</v>
      </c>
      <c r="T682" s="2">
        <v>0.15432606336119645</v>
      </c>
      <c r="U682" s="2">
        <v>0.27411995837864128</v>
      </c>
      <c r="V682" s="2">
        <v>0.44354074240921365</v>
      </c>
      <c r="W682" s="2">
        <v>0.66152780242980769</v>
      </c>
      <c r="X682" s="2">
        <v>0.91889123962002239</v>
      </c>
      <c r="Y682" s="2">
        <v>1.1997659113725683</v>
      </c>
      <c r="Z682" s="2">
        <v>1.4849741869279867</v>
      </c>
      <c r="AA682" s="2">
        <v>1.7560614873500331</v>
      </c>
      <c r="AB682" s="2">
        <v>1.9986647766426435</v>
      </c>
      <c r="AC682" s="2">
        <v>2.2043390673103165</v>
      </c>
      <c r="AD682" s="2">
        <v>2.3706707602924455</v>
      </c>
      <c r="AE682" s="2">
        <v>2.5000915037885623</v>
      </c>
      <c r="AF682" s="2">
        <v>2.5980735937519728</v>
      </c>
      <c r="AG682" s="2">
        <v>2.671340423130204</v>
      </c>
      <c r="AH682" s="2">
        <v>2.7264935503127656</v>
      </c>
      <c r="AI682" s="2">
        <v>2.7691936573244371</v>
      </c>
      <c r="AJ682" s="2">
        <v>2.806711481081408</v>
      </c>
      <c r="AK682" s="2">
        <v>2.8409867748819617</v>
      </c>
      <c r="AL682" s="2">
        <v>2.8642799159405246</v>
      </c>
      <c r="AM682" s="2">
        <v>2.8878659698978266</v>
      </c>
      <c r="AN682" s="2">
        <v>2.9117481042945776</v>
      </c>
      <c r="AO682" s="2">
        <v>2.9359295226268776</v>
      </c>
      <c r="AP682" s="2">
        <v>2.9604134647484637</v>
      </c>
      <c r="AQ682" s="2">
        <v>2.9852032072762182</v>
      </c>
      <c r="AR682" s="2">
        <v>49.984505371795443</v>
      </c>
    </row>
    <row r="683" spans="1:44" x14ac:dyDescent="0.25">
      <c r="A683" t="s">
        <v>250</v>
      </c>
      <c r="B683" t="s">
        <v>374</v>
      </c>
      <c r="C683" t="s">
        <v>45</v>
      </c>
      <c r="D683" t="s">
        <v>358</v>
      </c>
      <c r="E683" t="s">
        <v>145</v>
      </c>
      <c r="F683" t="s">
        <v>368</v>
      </c>
      <c r="G683" t="s">
        <v>31</v>
      </c>
      <c r="H683" t="s">
        <v>252</v>
      </c>
      <c r="I683" t="s">
        <v>135</v>
      </c>
      <c r="J683" t="s">
        <v>39</v>
      </c>
      <c r="K683" t="s">
        <v>31</v>
      </c>
      <c r="L683">
        <v>1.2291105121293815</v>
      </c>
      <c r="M683">
        <v>1</v>
      </c>
      <c r="N683">
        <v>5.0188091618005437</v>
      </c>
      <c r="O683">
        <v>3.1557944646272493</v>
      </c>
      <c r="P683">
        <v>-0.87478341436528484</v>
      </c>
      <c r="Q683">
        <v>0.3405888332870794</v>
      </c>
      <c r="R683">
        <v>-0.67371772101320493</v>
      </c>
      <c r="S683" s="2">
        <v>0</v>
      </c>
      <c r="T683" s="2">
        <v>0</v>
      </c>
      <c r="U683" s="2">
        <v>2.97124921368872E-2</v>
      </c>
      <c r="V683" s="2">
        <v>5.5702085526753556E-2</v>
      </c>
      <c r="W683" s="2">
        <v>9.4964851248562743E-2</v>
      </c>
      <c r="X683" s="2">
        <v>0.15093217432665976</v>
      </c>
      <c r="Y683" s="2">
        <v>0.22669916124837589</v>
      </c>
      <c r="Z683" s="2">
        <v>0.3244396084388339</v>
      </c>
      <c r="AA683" s="2">
        <v>0.44471358008301665</v>
      </c>
      <c r="AB683" s="2">
        <v>0.5857852971923968</v>
      </c>
      <c r="AC683" s="2">
        <v>0.74314482559219142</v>
      </c>
      <c r="AD683" s="2">
        <v>0.90947389758035035</v>
      </c>
      <c r="AE683" s="2">
        <v>1.0752652302872716</v>
      </c>
      <c r="AF683" s="2">
        <v>1.230155174343939</v>
      </c>
      <c r="AG683" s="2">
        <v>1.3647676588396238</v>
      </c>
      <c r="AH683" s="2">
        <v>1.4725811184165984</v>
      </c>
      <c r="AI683" s="2">
        <v>1.5511800817110759</v>
      </c>
      <c r="AJ683" s="2">
        <v>1.6067914221742456</v>
      </c>
      <c r="AK683" s="2">
        <v>1.6341972583687052</v>
      </c>
      <c r="AL683" s="2">
        <v>1.6547327812231525</v>
      </c>
      <c r="AM683" s="2">
        <v>1.6552311947114731</v>
      </c>
      <c r="AN683" s="2">
        <v>1.6491068392910406</v>
      </c>
      <c r="AO683" s="2">
        <v>1.6430051439856637</v>
      </c>
      <c r="AP683" s="2">
        <v>1.6369260249529165</v>
      </c>
      <c r="AQ683" s="2">
        <v>0</v>
      </c>
      <c r="AR683" s="2">
        <v>21.739507901679733</v>
      </c>
    </row>
    <row r="684" spans="1:44" x14ac:dyDescent="0.25">
      <c r="A684" t="s">
        <v>250</v>
      </c>
      <c r="B684" t="s">
        <v>374</v>
      </c>
      <c r="C684" t="s">
        <v>45</v>
      </c>
      <c r="D684" t="s">
        <v>358</v>
      </c>
      <c r="E684" t="s">
        <v>148</v>
      </c>
      <c r="F684" t="s">
        <v>368</v>
      </c>
      <c r="G684" t="s">
        <v>31</v>
      </c>
      <c r="H684" t="s">
        <v>252</v>
      </c>
      <c r="I684" t="s">
        <v>135</v>
      </c>
      <c r="J684" t="s">
        <v>39</v>
      </c>
      <c r="K684" t="s">
        <v>31</v>
      </c>
      <c r="L684">
        <v>1.2291105121293815</v>
      </c>
      <c r="M684">
        <v>1</v>
      </c>
      <c r="N684">
        <v>5.0188091618005437</v>
      </c>
      <c r="O684">
        <v>3.1557944646272493</v>
      </c>
      <c r="P684">
        <v>-0.87478341436528484</v>
      </c>
      <c r="Q684">
        <v>0.3405888332870794</v>
      </c>
      <c r="R684">
        <v>-0.67371772101320493</v>
      </c>
      <c r="S684" s="2">
        <v>0</v>
      </c>
      <c r="T684" s="2">
        <v>0</v>
      </c>
      <c r="U684" s="2">
        <v>8.1655828088256135E-3</v>
      </c>
      <c r="V684" s="2">
        <v>1.5481455667644219E-2</v>
      </c>
      <c r="W684" s="2">
        <v>2.6693958140353313E-2</v>
      </c>
      <c r="X684" s="2">
        <v>4.2910051545976227E-2</v>
      </c>
      <c r="Y684" s="2">
        <v>6.5188575379397082E-2</v>
      </c>
      <c r="Z684" s="2">
        <v>9.4366299073591287E-2</v>
      </c>
      <c r="AA684" s="2">
        <v>0.13084040976623537</v>
      </c>
      <c r="AB684" s="2">
        <v>0.17433928339306826</v>
      </c>
      <c r="AC684" s="2">
        <v>0.22373927811913905</v>
      </c>
      <c r="AD684" s="2">
        <v>0.27700496966733068</v>
      </c>
      <c r="AE684" s="2">
        <v>0.33132781559896485</v>
      </c>
      <c r="AF684" s="2">
        <v>0.383498309491481</v>
      </c>
      <c r="AG684" s="2">
        <v>0.43046682964203714</v>
      </c>
      <c r="AH684" s="2">
        <v>0.4699521326444609</v>
      </c>
      <c r="AI684" s="2">
        <v>0.50089410650963651</v>
      </c>
      <c r="AJ684" s="2">
        <v>0.52501081840122532</v>
      </c>
      <c r="AK684" s="2">
        <v>0.54032352246811721</v>
      </c>
      <c r="AL684" s="2">
        <v>0.55364755075991146</v>
      </c>
      <c r="AM684" s="2">
        <v>0.56044838229823102</v>
      </c>
      <c r="AN684" s="2">
        <v>0.56508319005177854</v>
      </c>
      <c r="AO684" s="2">
        <v>0.5697760798628988</v>
      </c>
      <c r="AP684" s="2">
        <v>0.57452768049026859</v>
      </c>
      <c r="AQ684" s="2">
        <v>0</v>
      </c>
      <c r="AR684" s="2">
        <v>7.063686281780571</v>
      </c>
    </row>
    <row r="685" spans="1:44" x14ac:dyDescent="0.25">
      <c r="A685" t="s">
        <v>250</v>
      </c>
      <c r="B685" t="s">
        <v>357</v>
      </c>
      <c r="C685" t="s">
        <v>45</v>
      </c>
      <c r="D685" t="s">
        <v>358</v>
      </c>
      <c r="E685" t="s">
        <v>145</v>
      </c>
      <c r="F685" t="s">
        <v>359</v>
      </c>
      <c r="G685" t="s">
        <v>31</v>
      </c>
      <c r="H685" t="s">
        <v>288</v>
      </c>
      <c r="I685" t="s">
        <v>135</v>
      </c>
      <c r="J685" t="s">
        <v>39</v>
      </c>
      <c r="K685" t="s">
        <v>31</v>
      </c>
      <c r="L685">
        <v>0.94</v>
      </c>
      <c r="M685">
        <v>1</v>
      </c>
      <c r="N685">
        <v>2.6639854114837256</v>
      </c>
      <c r="O685">
        <v>3.1585068309872635</v>
      </c>
      <c r="P685">
        <v>-0.57316921040971502</v>
      </c>
      <c r="Q685">
        <v>0.64220303724264949</v>
      </c>
      <c r="R685">
        <v>-0.67371772101320504</v>
      </c>
      <c r="S685" s="2">
        <v>0.22196153558703799</v>
      </c>
      <c r="T685" s="2">
        <v>0.43430406488172563</v>
      </c>
      <c r="U685" s="2">
        <v>0.7633535350466828</v>
      </c>
      <c r="V685" s="2">
        <v>1.2221693297390757</v>
      </c>
      <c r="W685" s="2">
        <v>1.8036042334083098</v>
      </c>
      <c r="X685" s="2">
        <v>2.4787638793688065</v>
      </c>
      <c r="Y685" s="2">
        <v>3.2020508540373434</v>
      </c>
      <c r="Z685" s="2">
        <v>3.9209757979829529</v>
      </c>
      <c r="AA685" s="2">
        <v>4.5871353402593238</v>
      </c>
      <c r="AB685" s="2">
        <v>5.1647765487171924</v>
      </c>
      <c r="AC685" s="2">
        <v>5.6348585539470948</v>
      </c>
      <c r="AD685" s="2">
        <v>5.9944914495185841</v>
      </c>
      <c r="AE685" s="2">
        <v>6.2531242921950225</v>
      </c>
      <c r="AF685" s="2">
        <v>6.427415446970179</v>
      </c>
      <c r="AG685" s="2">
        <v>6.5364474513417905</v>
      </c>
      <c r="AH685" s="2">
        <v>7.7353746551936249</v>
      </c>
      <c r="AI685" s="2">
        <v>8.0310391808975599</v>
      </c>
      <c r="AJ685" s="2">
        <v>7.9940678377698662</v>
      </c>
      <c r="AK685" s="2">
        <v>7.9156292121381968</v>
      </c>
      <c r="AL685" s="2">
        <v>7.7756120773338138</v>
      </c>
      <c r="AM685" s="2">
        <v>7.6116611879099736</v>
      </c>
      <c r="AN685" s="2">
        <v>4.4076653391312197</v>
      </c>
      <c r="AO685" s="2">
        <v>0.68175968350404292</v>
      </c>
      <c r="AP685" s="2">
        <v>0.52918542833824311</v>
      </c>
      <c r="AQ685" s="2">
        <v>0.39395844333033614</v>
      </c>
      <c r="AR685" s="2">
        <v>107.72138535854801</v>
      </c>
    </row>
    <row r="686" spans="1:44" x14ac:dyDescent="0.25">
      <c r="A686" t="s">
        <v>250</v>
      </c>
      <c r="B686" t="s">
        <v>357</v>
      </c>
      <c r="C686" t="s">
        <v>45</v>
      </c>
      <c r="D686" t="s">
        <v>358</v>
      </c>
      <c r="E686" t="s">
        <v>145</v>
      </c>
      <c r="F686" t="s">
        <v>359</v>
      </c>
      <c r="G686" t="s">
        <v>31</v>
      </c>
      <c r="H686" t="s">
        <v>288</v>
      </c>
      <c r="I686" t="s">
        <v>135</v>
      </c>
      <c r="J686" t="s">
        <v>39</v>
      </c>
      <c r="K686" t="s">
        <v>33</v>
      </c>
      <c r="L686">
        <v>0.94</v>
      </c>
      <c r="M686">
        <v>1</v>
      </c>
      <c r="N686">
        <v>2.6639854114837256</v>
      </c>
      <c r="O686">
        <v>3.1585068309872635</v>
      </c>
      <c r="P686">
        <v>-0.57316921040971502</v>
      </c>
      <c r="Q686">
        <v>0.64220303724264949</v>
      </c>
      <c r="R686">
        <v>-0.67371772101320504</v>
      </c>
      <c r="S686" s="2">
        <v>2.0880173302409099E-3</v>
      </c>
      <c r="T686" s="2">
        <v>4.0855475777311781E-3</v>
      </c>
      <c r="U686" s="2">
        <v>7.1809532496819482E-3</v>
      </c>
      <c r="V686" s="2">
        <v>1.1497085448768775E-2</v>
      </c>
      <c r="W686" s="2">
        <v>1.6966709507988932E-2</v>
      </c>
      <c r="X686" s="2">
        <v>2.3318012844021366E-2</v>
      </c>
      <c r="Y686" s="2">
        <v>3.0122055417664547E-2</v>
      </c>
      <c r="Z686" s="2">
        <v>3.6885063873750255E-2</v>
      </c>
      <c r="AA686" s="2">
        <v>4.3151702214035949E-2</v>
      </c>
      <c r="AB686" s="2">
        <v>4.8585638552291123E-2</v>
      </c>
      <c r="AC686" s="2">
        <v>5.3007753271215229E-2</v>
      </c>
      <c r="AD686" s="2">
        <v>5.6390860693372756E-2</v>
      </c>
      <c r="AE686" s="2">
        <v>5.8823849167027042E-2</v>
      </c>
      <c r="AF686" s="2">
        <v>6.0463425820322998E-2</v>
      </c>
      <c r="AG686" s="2">
        <v>6.1489102246991813E-2</v>
      </c>
      <c r="AH686" s="2">
        <v>7.2767546382454418E-2</v>
      </c>
      <c r="AI686" s="2">
        <v>7.5548896096829396E-2</v>
      </c>
      <c r="AJ686" s="2">
        <v>7.5201102480387319E-2</v>
      </c>
      <c r="AK686" s="2">
        <v>7.4463221436060975E-2</v>
      </c>
      <c r="AL686" s="2">
        <v>7.3146064374460334E-2</v>
      </c>
      <c r="AM686" s="2">
        <v>7.1603759769655717E-2</v>
      </c>
      <c r="AN686" s="2">
        <v>4.1463407565944278E-2</v>
      </c>
      <c r="AO686" s="2">
        <v>6.4133906374863412E-3</v>
      </c>
      <c r="AP686" s="2">
        <v>4.9781073209773739E-3</v>
      </c>
      <c r="AQ686" s="2">
        <v>3.7060117415970897E-3</v>
      </c>
      <c r="AR686" s="2">
        <v>1.0133472850209579</v>
      </c>
    </row>
    <row r="687" spans="1:44" x14ac:dyDescent="0.25">
      <c r="A687" t="s">
        <v>250</v>
      </c>
      <c r="B687" t="s">
        <v>357</v>
      </c>
      <c r="C687" t="s">
        <v>45</v>
      </c>
      <c r="D687" t="s">
        <v>358</v>
      </c>
      <c r="E687" t="s">
        <v>145</v>
      </c>
      <c r="F687" t="s">
        <v>359</v>
      </c>
      <c r="G687" t="s">
        <v>31</v>
      </c>
      <c r="H687" t="s">
        <v>289</v>
      </c>
      <c r="I687" t="s">
        <v>135</v>
      </c>
      <c r="J687" t="s">
        <v>39</v>
      </c>
      <c r="K687" t="s">
        <v>31</v>
      </c>
      <c r="L687">
        <v>0.94</v>
      </c>
      <c r="M687">
        <v>1</v>
      </c>
      <c r="N687">
        <v>2.6639854114837256</v>
      </c>
      <c r="O687">
        <v>3.1585068309872635</v>
      </c>
      <c r="P687">
        <v>-0.57316921040971502</v>
      </c>
      <c r="Q687">
        <v>0.64220303724264949</v>
      </c>
      <c r="R687">
        <v>-0.67371772101320504</v>
      </c>
      <c r="S687" s="2">
        <v>0.21096481794546715</v>
      </c>
      <c r="T687" s="2">
        <v>0.41278718737653275</v>
      </c>
      <c r="U687" s="2">
        <v>0.72553444507056564</v>
      </c>
      <c r="V687" s="2">
        <v>1.1616189690931056</v>
      </c>
      <c r="W687" s="2">
        <v>1.7142476408821439</v>
      </c>
      <c r="X687" s="2">
        <v>2.3559576174214314</v>
      </c>
      <c r="Y687" s="2">
        <v>3.0434105336652948</v>
      </c>
      <c r="Z687" s="2">
        <v>3.726717528793138</v>
      </c>
      <c r="AA687" s="2">
        <v>4.3598732969188365</v>
      </c>
      <c r="AB687" s="2">
        <v>4.9088962258592774</v>
      </c>
      <c r="AC687" s="2">
        <v>5.355688794627925</v>
      </c>
      <c r="AD687" s="2">
        <v>5.6975042724348439</v>
      </c>
      <c r="AE687" s="2">
        <v>5.9433235781341311</v>
      </c>
      <c r="AF687" s="2">
        <v>6.1089797655424558</v>
      </c>
      <c r="AG687" s="2">
        <v>6.2126099593580273</v>
      </c>
      <c r="AH687" s="2">
        <v>7.3521382952993131</v>
      </c>
      <c r="AI687" s="2">
        <v>7.6331546104599255</v>
      </c>
      <c r="AJ687" s="2">
        <v>7.5980149514577562</v>
      </c>
      <c r="AK687" s="2">
        <v>7.5234624379669972</v>
      </c>
      <c r="AL687" s="2">
        <v>7.3903822208242822</v>
      </c>
      <c r="AM687" s="2">
        <v>7.23455400740065</v>
      </c>
      <c r="AN687" s="2">
        <v>4.1892948405456396</v>
      </c>
      <c r="AO687" s="2">
        <v>0.64798302612477221</v>
      </c>
      <c r="AP687" s="2">
        <v>0.50296781040692662</v>
      </c>
      <c r="AQ687" s="2">
        <v>0.37444042300145997</v>
      </c>
      <c r="AR687" s="2">
        <v>102.38450725661089</v>
      </c>
    </row>
    <row r="688" spans="1:44" x14ac:dyDescent="0.25">
      <c r="A688" t="s">
        <v>250</v>
      </c>
      <c r="B688" t="s">
        <v>357</v>
      </c>
      <c r="C688" t="s">
        <v>45</v>
      </c>
      <c r="D688" t="s">
        <v>358</v>
      </c>
      <c r="E688" t="s">
        <v>145</v>
      </c>
      <c r="F688" t="s">
        <v>359</v>
      </c>
      <c r="G688" t="s">
        <v>31</v>
      </c>
      <c r="H688" t="s">
        <v>290</v>
      </c>
      <c r="I688" t="s">
        <v>135</v>
      </c>
      <c r="J688" t="s">
        <v>39</v>
      </c>
      <c r="K688" t="s">
        <v>31</v>
      </c>
      <c r="L688">
        <v>0.94</v>
      </c>
      <c r="M688">
        <v>1</v>
      </c>
      <c r="N688">
        <v>2.6639854114837256</v>
      </c>
      <c r="O688">
        <v>3.1585068309872635</v>
      </c>
      <c r="P688">
        <v>-0.57316921040971502</v>
      </c>
      <c r="Q688">
        <v>0.64220303724264949</v>
      </c>
      <c r="R688">
        <v>-0.67371772101320504</v>
      </c>
      <c r="S688" s="2">
        <v>0.30549142513423105</v>
      </c>
      <c r="T688" s="2">
        <v>0.59774396213023828</v>
      </c>
      <c r="U688" s="2">
        <v>1.0506232923912184</v>
      </c>
      <c r="V688" s="2">
        <v>1.6821033847593443</v>
      </c>
      <c r="W688" s="2">
        <v>2.4823473408796017</v>
      </c>
      <c r="X688" s="2">
        <v>3.4115870935786274</v>
      </c>
      <c r="Y688" s="2">
        <v>4.4070657385075069</v>
      </c>
      <c r="Z688" s="2">
        <v>5.3965408072829693</v>
      </c>
      <c r="AA688" s="2">
        <v>6.3133934835745986</v>
      </c>
      <c r="AB688" s="2">
        <v>7.1084160784640487</v>
      </c>
      <c r="AC688" s="2">
        <v>7.7554021489461888</v>
      </c>
      <c r="AD688" s="2">
        <v>8.2503742417582036</v>
      </c>
      <c r="AE688" s="2">
        <v>8.6063373390884603</v>
      </c>
      <c r="AF688" s="2">
        <v>8.8462187812479467</v>
      </c>
      <c r="AG688" s="2">
        <v>8.9962823601136854</v>
      </c>
      <c r="AH688" s="2">
        <v>10.646397003482932</v>
      </c>
      <c r="AI688" s="2">
        <v>11.053327767770748</v>
      </c>
      <c r="AJ688" s="2">
        <v>11.002443148184147</v>
      </c>
      <c r="AK688" s="2">
        <v>10.894486030900675</v>
      </c>
      <c r="AL688" s="2">
        <v>10.701776812425166</v>
      </c>
      <c r="AM688" s="2">
        <v>10.47612694597581</v>
      </c>
      <c r="AN688" s="2">
        <v>6.0663842606996843</v>
      </c>
      <c r="AO688" s="2">
        <v>0.93832355575429749</v>
      </c>
      <c r="AP688" s="2">
        <v>0.72833164645288151</v>
      </c>
      <c r="AQ688" s="2">
        <v>0.54221523552874673</v>
      </c>
      <c r="AR688" s="2">
        <v>148.25973988503193</v>
      </c>
    </row>
    <row r="689" spans="1:44" x14ac:dyDescent="0.25">
      <c r="A689" t="s">
        <v>250</v>
      </c>
      <c r="B689" t="s">
        <v>357</v>
      </c>
      <c r="C689" t="s">
        <v>45</v>
      </c>
      <c r="D689" t="s">
        <v>358</v>
      </c>
      <c r="E689" t="s">
        <v>148</v>
      </c>
      <c r="F689" t="s">
        <v>359</v>
      </c>
      <c r="G689" t="s">
        <v>31</v>
      </c>
      <c r="H689" t="s">
        <v>288</v>
      </c>
      <c r="I689" t="s">
        <v>135</v>
      </c>
      <c r="J689" t="s">
        <v>39</v>
      </c>
      <c r="K689" t="s">
        <v>31</v>
      </c>
      <c r="L689">
        <v>0.94</v>
      </c>
      <c r="M689">
        <v>1</v>
      </c>
      <c r="N689">
        <v>2.6639854114837256</v>
      </c>
      <c r="O689">
        <v>3.1585068309872635</v>
      </c>
      <c r="P689">
        <v>-0.57316921040971502</v>
      </c>
      <c r="Q689">
        <v>0.64220303724264949</v>
      </c>
      <c r="R689">
        <v>-0.67371772101320504</v>
      </c>
      <c r="S689" s="2">
        <v>3.7760651874411841E-2</v>
      </c>
      <c r="T689" s="2">
        <v>9.3709706366380513E-2</v>
      </c>
      <c r="U689" s="2">
        <v>0.16656569626125761</v>
      </c>
      <c r="V689" s="2">
        <v>0.26969609861940586</v>
      </c>
      <c r="W689" s="2">
        <v>0.40251505584072944</v>
      </c>
      <c r="X689" s="2">
        <v>0.55948401799842451</v>
      </c>
      <c r="Y689" s="2">
        <v>0.73098138548731884</v>
      </c>
      <c r="Z689" s="2">
        <v>0.90533982863392981</v>
      </c>
      <c r="AA689" s="2">
        <v>1.0713024025294124</v>
      </c>
      <c r="AB689" s="2">
        <v>1.2200810768001233</v>
      </c>
      <c r="AC689" s="2">
        <v>1.3464810791523099</v>
      </c>
      <c r="AD689" s="2">
        <v>1.4489820224097207</v>
      </c>
      <c r="AE689" s="2">
        <v>1.5290241549231181</v>
      </c>
      <c r="AF689" s="2">
        <v>1.5899131092503518</v>
      </c>
      <c r="AG689" s="2">
        <v>1.6357295828359584</v>
      </c>
      <c r="AH689" s="2">
        <v>1.6704901898438427</v>
      </c>
      <c r="AI689" s="2">
        <v>1.6976448431258222</v>
      </c>
      <c r="AJ689" s="2">
        <v>1.7216395499600248</v>
      </c>
      <c r="AK689" s="2">
        <v>1.743658921579919</v>
      </c>
      <c r="AL689" s="2">
        <v>1.7589463102531295</v>
      </c>
      <c r="AM689" s="2">
        <v>1.7744179361331516</v>
      </c>
      <c r="AN689" s="2">
        <v>1.7900758269147417</v>
      </c>
      <c r="AO689" s="2">
        <v>1.8059220331471242</v>
      </c>
      <c r="AP689" s="2">
        <v>1.8219586284898055</v>
      </c>
      <c r="AQ689" s="2">
        <v>1.8381877099715169</v>
      </c>
      <c r="AR689" s="2">
        <v>30.630507818401931</v>
      </c>
    </row>
    <row r="690" spans="1:44" x14ac:dyDescent="0.25">
      <c r="A690" t="s">
        <v>250</v>
      </c>
      <c r="B690" t="s">
        <v>357</v>
      </c>
      <c r="C690" t="s">
        <v>45</v>
      </c>
      <c r="D690" t="s">
        <v>358</v>
      </c>
      <c r="E690" t="s">
        <v>148</v>
      </c>
      <c r="F690" t="s">
        <v>359</v>
      </c>
      <c r="G690" t="s">
        <v>31</v>
      </c>
      <c r="H690" t="s">
        <v>288</v>
      </c>
      <c r="I690" t="s">
        <v>135</v>
      </c>
      <c r="J690" t="s">
        <v>39</v>
      </c>
      <c r="K690" t="s">
        <v>33</v>
      </c>
      <c r="L690">
        <v>0.94</v>
      </c>
      <c r="M690">
        <v>1</v>
      </c>
      <c r="N690">
        <v>2.6639854114837256</v>
      </c>
      <c r="O690">
        <v>3.1585068309872635</v>
      </c>
      <c r="P690">
        <v>-0.57316921040971502</v>
      </c>
      <c r="Q690">
        <v>0.64220303724264949</v>
      </c>
      <c r="R690">
        <v>-0.67371772101320504</v>
      </c>
      <c r="S690" s="2">
        <v>3.5521873331088155E-4</v>
      </c>
      <c r="T690" s="2">
        <v>8.8153783216218438E-4</v>
      </c>
      <c r="U690" s="2">
        <v>1.5669023891789202E-3</v>
      </c>
      <c r="V690" s="2">
        <v>2.5370617766106436E-3</v>
      </c>
      <c r="W690" s="2">
        <v>3.7865047655915481E-3</v>
      </c>
      <c r="X690" s="2">
        <v>5.2631295890248836E-3</v>
      </c>
      <c r="Y690" s="2">
        <v>6.8764247685721052E-3</v>
      </c>
      <c r="Z690" s="2">
        <v>8.5166344112073047E-3</v>
      </c>
      <c r="AA690" s="2">
        <v>1.0077863159912163E-2</v>
      </c>
      <c r="AB690" s="2">
        <v>1.1477441016615715E-2</v>
      </c>
      <c r="AC690" s="2">
        <v>1.2666500169390903E-2</v>
      </c>
      <c r="AD690" s="2">
        <v>1.3630738163696816E-2</v>
      </c>
      <c r="AE690" s="2">
        <v>1.4383703579057838E-2</v>
      </c>
      <c r="AF690" s="2">
        <v>1.495649287572237E-2</v>
      </c>
      <c r="AG690" s="2">
        <v>1.5387493637202326E-2</v>
      </c>
      <c r="AH690" s="2">
        <v>1.5714490608322675E-2</v>
      </c>
      <c r="AI690" s="2">
        <v>1.5969937510415127E-2</v>
      </c>
      <c r="AJ690" s="2">
        <v>1.6195658438013957E-2</v>
      </c>
      <c r="AK690" s="2">
        <v>1.6402797163296533E-2</v>
      </c>
      <c r="AL690" s="2">
        <v>1.6546607361759308E-2</v>
      </c>
      <c r="AM690" s="2">
        <v>1.6692150700513834E-2</v>
      </c>
      <c r="AN690" s="2">
        <v>1.6839446254315684E-2</v>
      </c>
      <c r="AO690" s="2">
        <v>1.6988513312913484E-2</v>
      </c>
      <c r="AP690" s="2">
        <v>1.7139371383457197E-2</v>
      </c>
      <c r="AQ690" s="2">
        <v>1.7292040192933782E-2</v>
      </c>
      <c r="AR690" s="2">
        <v>0.2881446597931982</v>
      </c>
    </row>
    <row r="691" spans="1:44" x14ac:dyDescent="0.25">
      <c r="A691" t="s">
        <v>250</v>
      </c>
      <c r="B691" t="s">
        <v>357</v>
      </c>
      <c r="C691" t="s">
        <v>45</v>
      </c>
      <c r="D691" t="s">
        <v>358</v>
      </c>
      <c r="E691" t="s">
        <v>148</v>
      </c>
      <c r="F691" t="s">
        <v>359</v>
      </c>
      <c r="G691" t="s">
        <v>31</v>
      </c>
      <c r="H691" t="s">
        <v>289</v>
      </c>
      <c r="I691" t="s">
        <v>135</v>
      </c>
      <c r="J691" t="s">
        <v>39</v>
      </c>
      <c r="K691" t="s">
        <v>31</v>
      </c>
      <c r="L691">
        <v>0.94</v>
      </c>
      <c r="M691">
        <v>1</v>
      </c>
      <c r="N691">
        <v>2.6639854114837256</v>
      </c>
      <c r="O691">
        <v>3.1585068309872635</v>
      </c>
      <c r="P691">
        <v>-0.57316921040971502</v>
      </c>
      <c r="Q691">
        <v>0.64220303724264949</v>
      </c>
      <c r="R691">
        <v>-0.67371772101320504</v>
      </c>
      <c r="S691" s="2">
        <v>3.5889862750853395E-2</v>
      </c>
      <c r="T691" s="2">
        <v>8.9067013755427069E-2</v>
      </c>
      <c r="U691" s="2">
        <v>0.15831347397548221</v>
      </c>
      <c r="V691" s="2">
        <v>0.25633445090099705</v>
      </c>
      <c r="W691" s="2">
        <v>0.38257311227895213</v>
      </c>
      <c r="X691" s="2">
        <v>0.53176530649002296</v>
      </c>
      <c r="Y691" s="2">
        <v>0.69476612018835782</v>
      </c>
      <c r="Z691" s="2">
        <v>0.86048626227692959</v>
      </c>
      <c r="AA691" s="2">
        <v>1.018226494588</v>
      </c>
      <c r="AB691" s="2">
        <v>1.1596341751966104</v>
      </c>
      <c r="AC691" s="2">
        <v>1.2797718982215063</v>
      </c>
      <c r="AD691" s="2">
        <v>1.3771946015576804</v>
      </c>
      <c r="AE691" s="2">
        <v>1.4532711788303905</v>
      </c>
      <c r="AF691" s="2">
        <v>1.5111434904926737</v>
      </c>
      <c r="AG691" s="2">
        <v>1.5546900625747599</v>
      </c>
      <c r="AH691" s="2">
        <v>1.5877285127264968</v>
      </c>
      <c r="AI691" s="2">
        <v>1.6135378335660013</v>
      </c>
      <c r="AJ691" s="2">
        <v>1.6363437622849546</v>
      </c>
      <c r="AK691" s="2">
        <v>1.6572722205098118</v>
      </c>
      <c r="AL691" s="2">
        <v>1.6718022207631147</v>
      </c>
      <c r="AM691" s="2">
        <v>1.686507330495163</v>
      </c>
      <c r="AN691" s="2">
        <v>1.7013894769418756</v>
      </c>
      <c r="AO691" s="2">
        <v>1.7164506090614762</v>
      </c>
      <c r="AP691" s="2">
        <v>1.731692697777367</v>
      </c>
      <c r="AQ691" s="2">
        <v>1.747117736224471</v>
      </c>
      <c r="AR691" s="2">
        <v>29.112969904429374</v>
      </c>
    </row>
    <row r="692" spans="1:44" x14ac:dyDescent="0.25">
      <c r="A692" t="s">
        <v>250</v>
      </c>
      <c r="B692" t="s">
        <v>357</v>
      </c>
      <c r="C692" t="s">
        <v>45</v>
      </c>
      <c r="D692" t="s">
        <v>358</v>
      </c>
      <c r="E692" t="s">
        <v>148</v>
      </c>
      <c r="F692" t="s">
        <v>359</v>
      </c>
      <c r="G692" t="s">
        <v>31</v>
      </c>
      <c r="H692" t="s">
        <v>290</v>
      </c>
      <c r="I692" t="s">
        <v>135</v>
      </c>
      <c r="J692" t="s">
        <v>39</v>
      </c>
      <c r="K692" t="s">
        <v>31</v>
      </c>
      <c r="L692">
        <v>0.94</v>
      </c>
      <c r="M692">
        <v>1</v>
      </c>
      <c r="N692">
        <v>2.6639854114837256</v>
      </c>
      <c r="O692">
        <v>3.1585068309872635</v>
      </c>
      <c r="P692">
        <v>-0.57316921040971502</v>
      </c>
      <c r="Q692">
        <v>0.64220303724264949</v>
      </c>
      <c r="R692">
        <v>-0.67371772101320504</v>
      </c>
      <c r="S692" s="2">
        <v>5.1970965710805325E-2</v>
      </c>
      <c r="T692" s="2">
        <v>0.1289751022449116</v>
      </c>
      <c r="U692" s="2">
        <v>0.22924869299876391</v>
      </c>
      <c r="V692" s="2">
        <v>0.37118974376565705</v>
      </c>
      <c r="W692" s="2">
        <v>0.55399192351753712</v>
      </c>
      <c r="X692" s="2">
        <v>0.77003238216986203</v>
      </c>
      <c r="Y692" s="2">
        <v>1.006068662340577</v>
      </c>
      <c r="Z692" s="2">
        <v>1.24604271523301</v>
      </c>
      <c r="AA692" s="2">
        <v>1.474461315258379</v>
      </c>
      <c r="AB692" s="2">
        <v>1.6792292680135188</v>
      </c>
      <c r="AC692" s="2">
        <v>1.8531968734971245</v>
      </c>
      <c r="AD692" s="2">
        <v>1.9942715833584082</v>
      </c>
      <c r="AE692" s="2">
        <v>2.1044356488016933</v>
      </c>
      <c r="AF692" s="2">
        <v>2.1882386977541355</v>
      </c>
      <c r="AG692" s="2">
        <v>2.2512971000726596</v>
      </c>
      <c r="AH692" s="2">
        <v>2.2991390261311184</v>
      </c>
      <c r="AI692" s="2">
        <v>2.3365126805717091</v>
      </c>
      <c r="AJ692" s="2">
        <v>2.3695372186615127</v>
      </c>
      <c r="AK692" s="2">
        <v>2.3998430516020104</v>
      </c>
      <c r="AL692" s="2">
        <v>2.4208834816026794</v>
      </c>
      <c r="AM692" s="2">
        <v>2.4421774820551905</v>
      </c>
      <c r="AN692" s="2">
        <v>2.4637278437284964</v>
      </c>
      <c r="AO692" s="2">
        <v>2.485537388846772</v>
      </c>
      <c r="AP692" s="2">
        <v>2.5076089714413889</v>
      </c>
      <c r="AQ692" s="2">
        <v>2.5299454777074604</v>
      </c>
      <c r="AR692" s="2">
        <v>42.157563297085389</v>
      </c>
    </row>
    <row r="693" spans="1:44" x14ac:dyDescent="0.25">
      <c r="A693" t="s">
        <v>250</v>
      </c>
      <c r="B693" t="s">
        <v>367</v>
      </c>
      <c r="C693" t="s">
        <v>45</v>
      </c>
      <c r="D693" t="s">
        <v>358</v>
      </c>
      <c r="E693" t="s">
        <v>145</v>
      </c>
      <c r="F693" t="s">
        <v>368</v>
      </c>
      <c r="G693" t="s">
        <v>31</v>
      </c>
      <c r="H693" t="s">
        <v>288</v>
      </c>
      <c r="I693" t="s">
        <v>135</v>
      </c>
      <c r="J693" t="s">
        <v>39</v>
      </c>
      <c r="K693" t="s">
        <v>31</v>
      </c>
      <c r="L693">
        <v>0.60808625336927302</v>
      </c>
      <c r="M693">
        <v>1</v>
      </c>
      <c r="N693">
        <v>4.3950725886364177</v>
      </c>
      <c r="O693">
        <v>3.1585068309872635</v>
      </c>
      <c r="P693">
        <v>-0.82611371143425327</v>
      </c>
      <c r="Q693">
        <v>0.38925853621811146</v>
      </c>
      <c r="R693">
        <v>-0.67371772101320526</v>
      </c>
      <c r="S693" s="2">
        <v>0</v>
      </c>
      <c r="T693" s="2">
        <v>0</v>
      </c>
      <c r="U693" s="2">
        <v>1.8949205485625113E-2</v>
      </c>
      <c r="V693" s="2">
        <v>3.5549083559448504E-2</v>
      </c>
      <c r="W693" s="2">
        <v>6.0649171674426058E-2</v>
      </c>
      <c r="X693" s="2">
        <v>9.6460351025875885E-2</v>
      </c>
      <c r="Y693" s="2">
        <v>0.14498462539543411</v>
      </c>
      <c r="Z693" s="2">
        <v>0.20763995881202263</v>
      </c>
      <c r="AA693" s="2">
        <v>0.28481475539447509</v>
      </c>
      <c r="AB693" s="2">
        <v>0.37542707382759577</v>
      </c>
      <c r="AC693" s="2">
        <v>0.47661269684715668</v>
      </c>
      <c r="AD693" s="2">
        <v>0.58369693996792749</v>
      </c>
      <c r="AE693" s="2">
        <v>0.69058606097090358</v>
      </c>
      <c r="AF693" s="2">
        <v>0.79061878906492655</v>
      </c>
      <c r="AG693" s="2">
        <v>0.87775029442704189</v>
      </c>
      <c r="AH693" s="2">
        <v>0.94775594438831956</v>
      </c>
      <c r="AI693" s="2">
        <v>0.99904381820693422</v>
      </c>
      <c r="AJ693" s="2">
        <v>1.0355876200242362</v>
      </c>
      <c r="AK693" s="2">
        <v>1.0539908750217506</v>
      </c>
      <c r="AL693" s="2">
        <v>1.0679852926398967</v>
      </c>
      <c r="AM693" s="2">
        <v>1.0690575670300972</v>
      </c>
      <c r="AN693" s="2">
        <v>1.065850394329007</v>
      </c>
      <c r="AO693" s="2">
        <v>1.0626528431460198</v>
      </c>
      <c r="AP693" s="2">
        <v>1.0594648846165817</v>
      </c>
      <c r="AQ693" s="2">
        <v>0</v>
      </c>
      <c r="AR693" s="2">
        <v>14.005128245855701</v>
      </c>
    </row>
    <row r="694" spans="1:44" x14ac:dyDescent="0.25">
      <c r="A694" t="s">
        <v>250</v>
      </c>
      <c r="B694" t="s">
        <v>367</v>
      </c>
      <c r="C694" t="s">
        <v>45</v>
      </c>
      <c r="D694" t="s">
        <v>358</v>
      </c>
      <c r="E694" t="s">
        <v>145</v>
      </c>
      <c r="F694" t="s">
        <v>368</v>
      </c>
      <c r="G694" t="s">
        <v>31</v>
      </c>
      <c r="H694" t="s">
        <v>288</v>
      </c>
      <c r="I694" t="s">
        <v>135</v>
      </c>
      <c r="J694" t="s">
        <v>39</v>
      </c>
      <c r="K694" t="s">
        <v>33</v>
      </c>
      <c r="L694">
        <v>0.60808625336927302</v>
      </c>
      <c r="M694">
        <v>1</v>
      </c>
      <c r="N694">
        <v>4.3950725886364177</v>
      </c>
      <c r="O694">
        <v>3.1585068309872635</v>
      </c>
      <c r="P694">
        <v>-0.82611371143425327</v>
      </c>
      <c r="Q694">
        <v>0.38925853621811146</v>
      </c>
      <c r="R694">
        <v>-0.67371772101320526</v>
      </c>
      <c r="S694" s="2">
        <v>0</v>
      </c>
      <c r="T694" s="2">
        <v>0</v>
      </c>
      <c r="U694" s="2">
        <v>1.7825732437666526E-4</v>
      </c>
      <c r="V694" s="2">
        <v>3.3441425943462152E-4</v>
      </c>
      <c r="W694" s="2">
        <v>5.7053363406426607E-4</v>
      </c>
      <c r="X694" s="2">
        <v>9.0741345832945418E-4</v>
      </c>
      <c r="Y694" s="2">
        <v>1.3638868087819782E-3</v>
      </c>
      <c r="Z694" s="2">
        <v>1.9532926338041183E-3</v>
      </c>
      <c r="AA694" s="2">
        <v>2.6792846949772087E-3</v>
      </c>
      <c r="AB694" s="2">
        <v>3.5316850476836917E-3</v>
      </c>
      <c r="AC694" s="2">
        <v>4.4835496753872538E-3</v>
      </c>
      <c r="AD694" s="2">
        <v>5.4909032911411972E-3</v>
      </c>
      <c r="AE694" s="2">
        <v>6.4964213710110028E-3</v>
      </c>
      <c r="AF694" s="2">
        <v>7.4374405854401252E-3</v>
      </c>
      <c r="AG694" s="2">
        <v>8.2570965349491564E-3</v>
      </c>
      <c r="AH694" s="2">
        <v>8.9156476210521252E-3</v>
      </c>
      <c r="AI694" s="2">
        <v>9.3981184648460631E-3</v>
      </c>
      <c r="AJ694" s="2">
        <v>9.7418901517088777E-3</v>
      </c>
      <c r="AK694" s="2">
        <v>9.9150116579465389E-3</v>
      </c>
      <c r="AL694" s="2">
        <v>1.0046658731102864E-2</v>
      </c>
      <c r="AM694" s="2">
        <v>1.0056745737860999E-2</v>
      </c>
      <c r="AN694" s="2">
        <v>1.0026575500647417E-2</v>
      </c>
      <c r="AO694" s="2">
        <v>9.9964957741454728E-3</v>
      </c>
      <c r="AP694" s="2">
        <v>9.9665062868230375E-3</v>
      </c>
      <c r="AQ694" s="2">
        <v>0</v>
      </c>
      <c r="AR694" s="2">
        <v>0.13174782924551415</v>
      </c>
    </row>
    <row r="695" spans="1:44" x14ac:dyDescent="0.25">
      <c r="A695" t="s">
        <v>250</v>
      </c>
      <c r="B695" t="s">
        <v>367</v>
      </c>
      <c r="C695" t="s">
        <v>45</v>
      </c>
      <c r="D695" t="s">
        <v>358</v>
      </c>
      <c r="E695" t="s">
        <v>145</v>
      </c>
      <c r="F695" t="s">
        <v>368</v>
      </c>
      <c r="G695" t="s">
        <v>31</v>
      </c>
      <c r="H695" t="s">
        <v>289</v>
      </c>
      <c r="I695" t="s">
        <v>135</v>
      </c>
      <c r="J695" t="s">
        <v>39</v>
      </c>
      <c r="K695" t="s">
        <v>31</v>
      </c>
      <c r="L695">
        <v>0.60808625336927302</v>
      </c>
      <c r="M695">
        <v>1</v>
      </c>
      <c r="N695">
        <v>4.3950725886364177</v>
      </c>
      <c r="O695">
        <v>3.1585068309872635</v>
      </c>
      <c r="P695">
        <v>-0.82611371143425327</v>
      </c>
      <c r="Q695">
        <v>0.38925853621811146</v>
      </c>
      <c r="R695">
        <v>-0.67371772101320526</v>
      </c>
      <c r="S695" s="2">
        <v>0</v>
      </c>
      <c r="T695" s="2">
        <v>0</v>
      </c>
      <c r="U695" s="2">
        <v>1.8010398400395648E-2</v>
      </c>
      <c r="V695" s="2">
        <v>3.3787862934956253E-2</v>
      </c>
      <c r="W695" s="2">
        <v>5.76444086449448E-2</v>
      </c>
      <c r="X695" s="2">
        <v>9.1681382268821054E-2</v>
      </c>
      <c r="Y695" s="2">
        <v>0.13780160161779711</v>
      </c>
      <c r="Z695" s="2">
        <v>0.19735278003519424</v>
      </c>
      <c r="AA695" s="2">
        <v>0.27070407879934971</v>
      </c>
      <c r="AB695" s="2">
        <v>0.35682715959036376</v>
      </c>
      <c r="AC695" s="2">
        <v>0.45299970805721135</v>
      </c>
      <c r="AD695" s="2">
        <v>0.55477863923577542</v>
      </c>
      <c r="AE695" s="2">
        <v>0.65637211529956563</v>
      </c>
      <c r="AF695" s="2">
        <v>0.75144888711559343</v>
      </c>
      <c r="AG695" s="2">
        <v>0.83426360596955096</v>
      </c>
      <c r="AH695" s="2">
        <v>0.90080094163978297</v>
      </c>
      <c r="AI695" s="2">
        <v>0.94954784246806367</v>
      </c>
      <c r="AJ695" s="2">
        <v>0.98428114198787764</v>
      </c>
      <c r="AK695" s="2">
        <v>1.0017726381152872</v>
      </c>
      <c r="AL695" s="2">
        <v>1.0150737254287119</v>
      </c>
      <c r="AM695" s="2">
        <v>1.0160928757554475</v>
      </c>
      <c r="AN695" s="2">
        <v>1.013044597128181</v>
      </c>
      <c r="AO695" s="2">
        <v>1.0100054633367967</v>
      </c>
      <c r="AP695" s="2">
        <v>1.006975446946786</v>
      </c>
      <c r="AQ695" s="2">
        <v>0</v>
      </c>
      <c r="AR695" s="2">
        <v>13.311267300776455</v>
      </c>
    </row>
    <row r="696" spans="1:44" x14ac:dyDescent="0.25">
      <c r="A696" t="s">
        <v>250</v>
      </c>
      <c r="B696" t="s">
        <v>367</v>
      </c>
      <c r="C696" t="s">
        <v>45</v>
      </c>
      <c r="D696" t="s">
        <v>358</v>
      </c>
      <c r="E696" t="s">
        <v>145</v>
      </c>
      <c r="F696" t="s">
        <v>368</v>
      </c>
      <c r="G696" t="s">
        <v>31</v>
      </c>
      <c r="H696" t="s">
        <v>290</v>
      </c>
      <c r="I696" t="s">
        <v>135</v>
      </c>
      <c r="J696" t="s">
        <v>39</v>
      </c>
      <c r="K696" t="s">
        <v>31</v>
      </c>
      <c r="L696">
        <v>0.60808625336927302</v>
      </c>
      <c r="M696">
        <v>1</v>
      </c>
      <c r="N696">
        <v>4.3950725886364177</v>
      </c>
      <c r="O696">
        <v>3.1585068309872635</v>
      </c>
      <c r="P696">
        <v>-0.82611371143425327</v>
      </c>
      <c r="Q696">
        <v>0.38925853621811146</v>
      </c>
      <c r="R696">
        <v>-0.67371772101320526</v>
      </c>
      <c r="S696" s="2">
        <v>0</v>
      </c>
      <c r="T696" s="2">
        <v>0</v>
      </c>
      <c r="U696" s="2">
        <v>2.6080283566496741E-2</v>
      </c>
      <c r="V696" s="2">
        <v>4.8927126810821994E-2</v>
      </c>
      <c r="W696" s="2">
        <v>8.3473029860913595E-2</v>
      </c>
      <c r="X696" s="2">
        <v>0.13276088591614457</v>
      </c>
      <c r="Y696" s="2">
        <v>0.19954610476748894</v>
      </c>
      <c r="Z696" s="2">
        <v>0.2857802671284192</v>
      </c>
      <c r="AA696" s="2">
        <v>0.39199794367342955</v>
      </c>
      <c r="AB696" s="2">
        <v>0.51671003047549668</v>
      </c>
      <c r="AC696" s="2">
        <v>0.65597443093833907</v>
      </c>
      <c r="AD696" s="2">
        <v>0.80335725541675784</v>
      </c>
      <c r="AE696" s="2">
        <v>0.95047152825769321</v>
      </c>
      <c r="AF696" s="2">
        <v>1.0881491694971361</v>
      </c>
      <c r="AG696" s="2">
        <v>1.2080705228828263</v>
      </c>
      <c r="AH696" s="2">
        <v>1.3044211167708948</v>
      </c>
      <c r="AI696" s="2">
        <v>1.3750099493067438</v>
      </c>
      <c r="AJ696" s="2">
        <v>1.4253061326858356</v>
      </c>
      <c r="AK696" s="2">
        <v>1.4506350104187733</v>
      </c>
      <c r="AL696" s="2">
        <v>1.4698958907815993</v>
      </c>
      <c r="AM696" s="2">
        <v>1.4713716898687292</v>
      </c>
      <c r="AN696" s="2">
        <v>1.466957574799123</v>
      </c>
      <c r="AO696" s="2">
        <v>1.4625567020747257</v>
      </c>
      <c r="AP696" s="2">
        <v>1.4581690319685019</v>
      </c>
      <c r="AQ696" s="2">
        <v>0</v>
      </c>
      <c r="AR696" s="2">
        <v>19.275621677866891</v>
      </c>
    </row>
    <row r="697" spans="1:44" x14ac:dyDescent="0.25">
      <c r="A697" t="s">
        <v>250</v>
      </c>
      <c r="B697" t="s">
        <v>367</v>
      </c>
      <c r="C697" t="s">
        <v>45</v>
      </c>
      <c r="D697" t="s">
        <v>358</v>
      </c>
      <c r="E697" t="s">
        <v>148</v>
      </c>
      <c r="F697" t="s">
        <v>368</v>
      </c>
      <c r="G697" t="s">
        <v>31</v>
      </c>
      <c r="H697" t="s">
        <v>288</v>
      </c>
      <c r="I697" t="s">
        <v>135</v>
      </c>
      <c r="J697" t="s">
        <v>39</v>
      </c>
      <c r="K697" t="s">
        <v>31</v>
      </c>
      <c r="L697">
        <v>0.60808625336927302</v>
      </c>
      <c r="M697">
        <v>1</v>
      </c>
      <c r="N697">
        <v>4.3950725886364177</v>
      </c>
      <c r="O697">
        <v>3.1585068309872635</v>
      </c>
      <c r="P697">
        <v>-0.82611371143425327</v>
      </c>
      <c r="Q697">
        <v>0.38925853621811146</v>
      </c>
      <c r="R697">
        <v>-0.67371772101320526</v>
      </c>
      <c r="S697" s="2">
        <v>0</v>
      </c>
      <c r="T697" s="2">
        <v>0</v>
      </c>
      <c r="U697" s="2">
        <v>4.9617181980316904E-3</v>
      </c>
      <c r="V697" s="2">
        <v>9.4135392654882358E-3</v>
      </c>
      <c r="W697" s="2">
        <v>1.6242280387927448E-2</v>
      </c>
      <c r="X697" s="2">
        <v>2.6126582794923376E-2</v>
      </c>
      <c r="Y697" s="2">
        <v>3.9717443792232181E-2</v>
      </c>
      <c r="Z697" s="2">
        <v>5.7532022969936245E-2</v>
      </c>
      <c r="AA697" s="2">
        <v>7.9820465479271074E-2</v>
      </c>
      <c r="AB697" s="2">
        <v>0.10642508093232302</v>
      </c>
      <c r="AC697" s="2">
        <v>0.13666713488783225</v>
      </c>
      <c r="AD697" s="2">
        <v>0.16930871544414658</v>
      </c>
      <c r="AE697" s="2">
        <v>0.2026358765193319</v>
      </c>
      <c r="AF697" s="2">
        <v>0.23468503398139798</v>
      </c>
      <c r="AG697" s="2">
        <v>0.26358577198858463</v>
      </c>
      <c r="AH697" s="2">
        <v>0.28793408559088951</v>
      </c>
      <c r="AI697" s="2">
        <v>0.30707144464926645</v>
      </c>
      <c r="AJ697" s="2">
        <v>0.32204214619458171</v>
      </c>
      <c r="AK697" s="2">
        <v>0.3316241873495398</v>
      </c>
      <c r="AL697" s="2">
        <v>0.33999341725302584</v>
      </c>
      <c r="AM697" s="2">
        <v>0.3443614323492914</v>
      </c>
      <c r="AN697" s="2">
        <v>0.34740016047941125</v>
      </c>
      <c r="AO697" s="2">
        <v>0.35047543500429418</v>
      </c>
      <c r="AP697" s="2">
        <v>0.35358765835920808</v>
      </c>
      <c r="AQ697" s="2">
        <v>0</v>
      </c>
      <c r="AR697" s="2">
        <v>4.3316116338709341</v>
      </c>
    </row>
    <row r="698" spans="1:44" x14ac:dyDescent="0.25">
      <c r="A698" t="s">
        <v>250</v>
      </c>
      <c r="B698" t="s">
        <v>367</v>
      </c>
      <c r="C698" t="s">
        <v>45</v>
      </c>
      <c r="D698" t="s">
        <v>358</v>
      </c>
      <c r="E698" t="s">
        <v>148</v>
      </c>
      <c r="F698" t="s">
        <v>368</v>
      </c>
      <c r="G698" t="s">
        <v>31</v>
      </c>
      <c r="H698" t="s">
        <v>288</v>
      </c>
      <c r="I698" t="s">
        <v>135</v>
      </c>
      <c r="J698" t="s">
        <v>39</v>
      </c>
      <c r="K698" t="s">
        <v>33</v>
      </c>
      <c r="L698">
        <v>0.60808625336927302</v>
      </c>
      <c r="M698">
        <v>1</v>
      </c>
      <c r="N698">
        <v>4.3950725886364177</v>
      </c>
      <c r="O698">
        <v>3.1585068309872635</v>
      </c>
      <c r="P698">
        <v>-0.82611371143425327</v>
      </c>
      <c r="Q698">
        <v>0.38925853621811146</v>
      </c>
      <c r="R698">
        <v>-0.67371772101320526</v>
      </c>
      <c r="S698" s="2">
        <v>0</v>
      </c>
      <c r="T698" s="2">
        <v>0</v>
      </c>
      <c r="U698" s="2">
        <v>4.6675445625575072E-5</v>
      </c>
      <c r="V698" s="2">
        <v>8.8554231134047143E-5</v>
      </c>
      <c r="W698" s="2">
        <v>1.5279297308396042E-4</v>
      </c>
      <c r="X698" s="2">
        <v>2.4577572646312284E-4</v>
      </c>
      <c r="Y698" s="2">
        <v>3.7362649673384026E-4</v>
      </c>
      <c r="Z698" s="2">
        <v>5.4121026279320926E-4</v>
      </c>
      <c r="AA698" s="2">
        <v>7.5088016843918273E-4</v>
      </c>
      <c r="AB698" s="2">
        <v>1.0011528023144629E-3</v>
      </c>
      <c r="AC698" s="2">
        <v>1.285643232578302E-3</v>
      </c>
      <c r="AD698" s="2">
        <v>1.5927062816231739E-3</v>
      </c>
      <c r="AE698" s="2">
        <v>1.9062186643370529E-3</v>
      </c>
      <c r="AF698" s="2">
        <v>2.2077087221681222E-3</v>
      </c>
      <c r="AG698" s="2">
        <v>2.4795812412339076E-3</v>
      </c>
      <c r="AH698" s="2">
        <v>2.7086285877901397E-3</v>
      </c>
      <c r="AI698" s="2">
        <v>2.8886558941576134E-3</v>
      </c>
      <c r="AJ698" s="2">
        <v>3.0294869809034692E-3</v>
      </c>
      <c r="AK698" s="2">
        <v>3.1196263284156466E-3</v>
      </c>
      <c r="AL698" s="2">
        <v>3.1983566229824394E-3</v>
      </c>
      <c r="AM698" s="2">
        <v>3.2394470362183225E-3</v>
      </c>
      <c r="AN698" s="2">
        <v>3.2680326962553382E-3</v>
      </c>
      <c r="AO698" s="2">
        <v>3.2969621523713539E-3</v>
      </c>
      <c r="AP698" s="2">
        <v>3.3262391903205388E-3</v>
      </c>
      <c r="AQ698" s="2">
        <v>0</v>
      </c>
      <c r="AR698" s="2">
        <v>4.0747961737942817E-2</v>
      </c>
    </row>
    <row r="699" spans="1:44" x14ac:dyDescent="0.25">
      <c r="A699" t="s">
        <v>250</v>
      </c>
      <c r="B699" t="s">
        <v>367</v>
      </c>
      <c r="C699" t="s">
        <v>45</v>
      </c>
      <c r="D699" t="s">
        <v>358</v>
      </c>
      <c r="E699" t="s">
        <v>148</v>
      </c>
      <c r="F699" t="s">
        <v>368</v>
      </c>
      <c r="G699" t="s">
        <v>31</v>
      </c>
      <c r="H699" t="s">
        <v>289</v>
      </c>
      <c r="I699" t="s">
        <v>135</v>
      </c>
      <c r="J699" t="s">
        <v>39</v>
      </c>
      <c r="K699" t="s">
        <v>31</v>
      </c>
      <c r="L699">
        <v>0.60808625336927302</v>
      </c>
      <c r="M699">
        <v>1</v>
      </c>
      <c r="N699">
        <v>4.3950725886364177</v>
      </c>
      <c r="O699">
        <v>3.1585068309872635</v>
      </c>
      <c r="P699">
        <v>-0.82611371143425327</v>
      </c>
      <c r="Q699">
        <v>0.38925853621811146</v>
      </c>
      <c r="R699">
        <v>-0.67371772101320526</v>
      </c>
      <c r="S699" s="2">
        <v>0</v>
      </c>
      <c r="T699" s="2">
        <v>0</v>
      </c>
      <c r="U699" s="2">
        <v>4.7158980657439941E-3</v>
      </c>
      <c r="V699" s="2">
        <v>8.9471610119920188E-3</v>
      </c>
      <c r="W699" s="2">
        <v>1.5437583435327555E-2</v>
      </c>
      <c r="X699" s="2">
        <v>2.4832184406594633E-2</v>
      </c>
      <c r="Y699" s="2">
        <v>3.7749708645360619E-2</v>
      </c>
      <c r="Z699" s="2">
        <v>5.4681693924070393E-2</v>
      </c>
      <c r="AA699" s="2">
        <v>7.5865892365633181E-2</v>
      </c>
      <c r="AB699" s="2">
        <v>0.10115242609193005</v>
      </c>
      <c r="AC699" s="2">
        <v>0.12989618743845066</v>
      </c>
      <c r="AD699" s="2">
        <v>0.16092059480390952</v>
      </c>
      <c r="AE699" s="2">
        <v>0.1925966167338842</v>
      </c>
      <c r="AF699" s="2">
        <v>0.22305795162872546</v>
      </c>
      <c r="AG699" s="2">
        <v>0.25052685030997929</v>
      </c>
      <c r="AH699" s="2">
        <v>0.27366886693373654</v>
      </c>
      <c r="AI699" s="2">
        <v>0.29185809714890854</v>
      </c>
      <c r="AJ699" s="2">
        <v>0.30608710001498224</v>
      </c>
      <c r="AK699" s="2">
        <v>0.315194414768659</v>
      </c>
      <c r="AL699" s="2">
        <v>0.32314900500098287</v>
      </c>
      <c r="AM699" s="2">
        <v>0.32730061400445259</v>
      </c>
      <c r="AN699" s="2">
        <v>0.3301887933687741</v>
      </c>
      <c r="AO699" s="2">
        <v>0.33311170849710625</v>
      </c>
      <c r="AP699" s="2">
        <v>0.33606974188671324</v>
      </c>
      <c r="AQ699" s="2">
        <v>0</v>
      </c>
      <c r="AR699" s="2">
        <v>4.1170090904859178</v>
      </c>
    </row>
    <row r="700" spans="1:44" x14ac:dyDescent="0.25">
      <c r="A700" t="s">
        <v>250</v>
      </c>
      <c r="B700" t="s">
        <v>367</v>
      </c>
      <c r="C700" t="s">
        <v>45</v>
      </c>
      <c r="D700" t="s">
        <v>358</v>
      </c>
      <c r="E700" t="s">
        <v>148</v>
      </c>
      <c r="F700" t="s">
        <v>368</v>
      </c>
      <c r="G700" t="s">
        <v>31</v>
      </c>
      <c r="H700" t="s">
        <v>290</v>
      </c>
      <c r="I700" t="s">
        <v>135</v>
      </c>
      <c r="J700" t="s">
        <v>39</v>
      </c>
      <c r="K700" t="s">
        <v>31</v>
      </c>
      <c r="L700">
        <v>0.60808625336927302</v>
      </c>
      <c r="M700">
        <v>1</v>
      </c>
      <c r="N700">
        <v>4.3950725886364177</v>
      </c>
      <c r="O700">
        <v>3.1585068309872635</v>
      </c>
      <c r="P700">
        <v>-0.82611371143425327</v>
      </c>
      <c r="Q700">
        <v>0.38925853621811146</v>
      </c>
      <c r="R700">
        <v>-0.67371772101320526</v>
      </c>
      <c r="S700" s="2">
        <v>0</v>
      </c>
      <c r="T700" s="2">
        <v>0</v>
      </c>
      <c r="U700" s="2">
        <v>6.8289415975714123E-3</v>
      </c>
      <c r="V700" s="2">
        <v>1.2956098533763167E-2</v>
      </c>
      <c r="W700" s="2">
        <v>2.235467226343836E-2</v>
      </c>
      <c r="X700" s="2">
        <v>3.5958694333230505E-2</v>
      </c>
      <c r="Y700" s="2">
        <v>5.4664149239585923E-2</v>
      </c>
      <c r="Z700" s="2">
        <v>7.9182817155494592E-2</v>
      </c>
      <c r="AA700" s="2">
        <v>0.10985897934814987</v>
      </c>
      <c r="AB700" s="2">
        <v>0.14647560244190339</v>
      </c>
      <c r="AC700" s="2">
        <v>0.1880985266004552</v>
      </c>
      <c r="AD700" s="2">
        <v>0.23302398152853096</v>
      </c>
      <c r="AE700" s="2">
        <v>0.27889301872729538</v>
      </c>
      <c r="AF700" s="2">
        <v>0.32300310636722651</v>
      </c>
      <c r="AG700" s="2">
        <v>0.3627799425559603</v>
      </c>
      <c r="AH700" s="2">
        <v>0.39629115882283367</v>
      </c>
      <c r="AI700" s="2">
        <v>0.42263040303731469</v>
      </c>
      <c r="AJ700" s="2">
        <v>0.44323496832040821</v>
      </c>
      <c r="AK700" s="2">
        <v>0.45642298038015644</v>
      </c>
      <c r="AL700" s="2">
        <v>0.46794176882127109</v>
      </c>
      <c r="AM700" s="2">
        <v>0.47395358142311034</v>
      </c>
      <c r="AN700" s="2">
        <v>0.47813586185566559</v>
      </c>
      <c r="AO700" s="2">
        <v>0.48236844204034474</v>
      </c>
      <c r="AP700" s="2">
        <v>0.48665187585924602</v>
      </c>
      <c r="AQ700" s="2">
        <v>0</v>
      </c>
      <c r="AR700" s="2">
        <v>5.9617095712529569</v>
      </c>
    </row>
    <row r="701" spans="1:44" x14ac:dyDescent="0.25">
      <c r="A701" t="s">
        <v>250</v>
      </c>
      <c r="B701" t="s">
        <v>366</v>
      </c>
      <c r="C701" t="s">
        <v>45</v>
      </c>
      <c r="D701" t="s">
        <v>358</v>
      </c>
      <c r="E701" t="s">
        <v>145</v>
      </c>
      <c r="F701" t="s">
        <v>359</v>
      </c>
      <c r="G701" t="s">
        <v>31</v>
      </c>
      <c r="H701" t="s">
        <v>254</v>
      </c>
      <c r="I701" t="s">
        <v>135</v>
      </c>
      <c r="J701" t="s">
        <v>39</v>
      </c>
      <c r="K701" t="s">
        <v>31</v>
      </c>
      <c r="L701">
        <v>0.87</v>
      </c>
      <c r="M701">
        <v>1</v>
      </c>
      <c r="N701">
        <v>2.5057109938538344</v>
      </c>
      <c r="O701">
        <v>3.1588853240212438</v>
      </c>
      <c r="P701">
        <v>-0.53252233435948138</v>
      </c>
      <c r="Q701">
        <v>0.68284991329288358</v>
      </c>
      <c r="R701">
        <v>-0.67371772101320504</v>
      </c>
      <c r="S701" s="2">
        <v>0.11502336486798123</v>
      </c>
      <c r="T701" s="2">
        <v>0.2247264361017014</v>
      </c>
      <c r="U701" s="2">
        <v>0.39440091532268018</v>
      </c>
      <c r="V701" s="2">
        <v>0.63051510718743498</v>
      </c>
      <c r="W701" s="2">
        <v>0.92908892805335097</v>
      </c>
      <c r="X701" s="2">
        <v>1.2749792605170551</v>
      </c>
      <c r="Y701" s="2">
        <v>1.6445538892698985</v>
      </c>
      <c r="Z701" s="2">
        <v>2.0107865361282231</v>
      </c>
      <c r="AA701" s="2">
        <v>2.3489040873396632</v>
      </c>
      <c r="AB701" s="2">
        <v>2.6407493968302886</v>
      </c>
      <c r="AC701" s="2">
        <v>2.8768061214525105</v>
      </c>
      <c r="AD701" s="2">
        <v>3.0558486671279912</v>
      </c>
      <c r="AE701" s="2">
        <v>3.1829402198029881</v>
      </c>
      <c r="AF701" s="2">
        <v>3.2667787043895751</v>
      </c>
      <c r="AG701" s="2">
        <v>3.3172411225266214</v>
      </c>
      <c r="AH701" s="2">
        <v>3.3436114377754014</v>
      </c>
      <c r="AI701" s="2">
        <v>3.3536080332394231</v>
      </c>
      <c r="AJ701" s="2">
        <v>3.3565154408153588</v>
      </c>
      <c r="AK701" s="2">
        <v>3.3548753763764072</v>
      </c>
      <c r="AL701" s="2">
        <v>3.339823168854398</v>
      </c>
      <c r="AM701" s="2">
        <v>3.3248384955701384</v>
      </c>
      <c r="AN701" s="2">
        <v>0.9969218668593085</v>
      </c>
      <c r="AO701" s="2">
        <v>0</v>
      </c>
      <c r="AP701" s="2">
        <v>0</v>
      </c>
      <c r="AQ701" s="2">
        <v>0</v>
      </c>
      <c r="AR701" s="2">
        <v>48.983536576408397</v>
      </c>
    </row>
    <row r="702" spans="1:44" x14ac:dyDescent="0.25">
      <c r="A702" t="s">
        <v>250</v>
      </c>
      <c r="B702" t="s">
        <v>366</v>
      </c>
      <c r="C702" t="s">
        <v>45</v>
      </c>
      <c r="D702" t="s">
        <v>358</v>
      </c>
      <c r="E702" t="s">
        <v>145</v>
      </c>
      <c r="F702" t="s">
        <v>359</v>
      </c>
      <c r="G702" t="s">
        <v>31</v>
      </c>
      <c r="H702" t="s">
        <v>255</v>
      </c>
      <c r="I702" t="s">
        <v>135</v>
      </c>
      <c r="J702" t="s">
        <v>39</v>
      </c>
      <c r="K702" t="s">
        <v>31</v>
      </c>
      <c r="L702">
        <v>0.87</v>
      </c>
      <c r="M702">
        <v>1</v>
      </c>
      <c r="N702">
        <v>2.5057109938538344</v>
      </c>
      <c r="O702">
        <v>3.1588853240212438</v>
      </c>
      <c r="P702">
        <v>-0.53252233435948138</v>
      </c>
      <c r="Q702">
        <v>0.68284991329288358</v>
      </c>
      <c r="R702">
        <v>-0.67371772101320504</v>
      </c>
      <c r="S702" s="2">
        <v>2.5332279371014368E-2</v>
      </c>
      <c r="T702" s="2">
        <v>4.9268454432440684E-2</v>
      </c>
      <c r="U702" s="2">
        <v>8.6075442031234212E-2</v>
      </c>
      <c r="V702" s="2">
        <v>0.13698197313063534</v>
      </c>
      <c r="W702" s="2">
        <v>0.2009332361558927</v>
      </c>
      <c r="X702" s="2">
        <v>0.27448852155293552</v>
      </c>
      <c r="Y702" s="2">
        <v>0.35244856786391399</v>
      </c>
      <c r="Z702" s="2">
        <v>0.42898309977104893</v>
      </c>
      <c r="AA702" s="2">
        <v>0.49884551444340869</v>
      </c>
      <c r="AB702" s="2">
        <v>0.55828318886968875</v>
      </c>
      <c r="AC702" s="2">
        <v>0.60543082481672628</v>
      </c>
      <c r="AD702" s="2">
        <v>0.64019510793729784</v>
      </c>
      <c r="AE702" s="2">
        <v>0.663797425091461</v>
      </c>
      <c r="AF702" s="2">
        <v>0.67819310579286574</v>
      </c>
      <c r="AG702" s="2">
        <v>0.68554705371371838</v>
      </c>
      <c r="AH702" s="2">
        <v>0.68786403631219684</v>
      </c>
      <c r="AI702" s="2">
        <v>0.68679270933235725</v>
      </c>
      <c r="AJ702" s="2">
        <v>0.68427172972368755</v>
      </c>
      <c r="AK702" s="2">
        <v>0.68083663067889</v>
      </c>
      <c r="AL702" s="2">
        <v>0.67470910100278003</v>
      </c>
      <c r="AM702" s="2">
        <v>0.37405413738748855</v>
      </c>
      <c r="AN702" s="2">
        <v>0</v>
      </c>
      <c r="AO702" s="2">
        <v>0</v>
      </c>
      <c r="AP702" s="2">
        <v>0</v>
      </c>
      <c r="AQ702" s="2">
        <v>0</v>
      </c>
      <c r="AR702" s="2">
        <v>9.6733321394116842</v>
      </c>
    </row>
    <row r="703" spans="1:44" x14ac:dyDescent="0.25">
      <c r="A703" t="s">
        <v>250</v>
      </c>
      <c r="B703" t="s">
        <v>366</v>
      </c>
      <c r="C703" t="s">
        <v>45</v>
      </c>
      <c r="D703" t="s">
        <v>358</v>
      </c>
      <c r="E703" t="s">
        <v>148</v>
      </c>
      <c r="F703" t="s">
        <v>359</v>
      </c>
      <c r="G703" t="s">
        <v>31</v>
      </c>
      <c r="H703" t="s">
        <v>254</v>
      </c>
      <c r="I703" t="s">
        <v>135</v>
      </c>
      <c r="J703" t="s">
        <v>39</v>
      </c>
      <c r="K703" t="s">
        <v>31</v>
      </c>
      <c r="L703">
        <v>0.87</v>
      </c>
      <c r="M703">
        <v>1</v>
      </c>
      <c r="N703">
        <v>2.5057109938538344</v>
      </c>
      <c r="O703">
        <v>3.1588853240212438</v>
      </c>
      <c r="P703">
        <v>-0.53252233435948138</v>
      </c>
      <c r="Q703">
        <v>0.68284991329288358</v>
      </c>
      <c r="R703">
        <v>-0.67371772101320504</v>
      </c>
      <c r="S703" s="2">
        <v>1.9568062667777528E-2</v>
      </c>
      <c r="T703" s="2">
        <v>5.3595578313244296E-2</v>
      </c>
      <c r="U703" s="2">
        <v>9.5124673212952232E-2</v>
      </c>
      <c r="V703" s="2">
        <v>0.15379870578016502</v>
      </c>
      <c r="W703" s="2">
        <v>0.22921218174958663</v>
      </c>
      <c r="X703" s="2">
        <v>0.31814705954885175</v>
      </c>
      <c r="Y703" s="2">
        <v>0.41508619702329608</v>
      </c>
      <c r="Z703" s="2">
        <v>0.51338407903460115</v>
      </c>
      <c r="AA703" s="2">
        <v>0.60666460829121427</v>
      </c>
      <c r="AB703" s="2">
        <v>0.68998248189154765</v>
      </c>
      <c r="AC703" s="2">
        <v>0.76044772600077704</v>
      </c>
      <c r="AD703" s="2">
        <v>0.81725719612686432</v>
      </c>
      <c r="AE703" s="2">
        <v>0.86127852477277089</v>
      </c>
      <c r="AF703" s="2">
        <v>0.89442310731825425</v>
      </c>
      <c r="AG703" s="2">
        <v>0.91902699657260056</v>
      </c>
      <c r="AH703" s="2">
        <v>0.93737762548140147</v>
      </c>
      <c r="AI703" s="2">
        <v>0.95143274789085897</v>
      </c>
      <c r="AJ703" s="2">
        <v>0.96369756224638281</v>
      </c>
      <c r="AK703" s="2">
        <v>0.97484140008822928</v>
      </c>
      <c r="AL703" s="2">
        <v>0.98221258364278763</v>
      </c>
      <c r="AM703" s="2">
        <v>0.9896824069459349</v>
      </c>
      <c r="AN703" s="2">
        <v>0.99725190449131584</v>
      </c>
      <c r="AO703" s="2">
        <v>1.0049221226952816</v>
      </c>
      <c r="AP703" s="2">
        <v>1.0126941200291582</v>
      </c>
      <c r="AQ703" s="2">
        <v>1.020568967153114</v>
      </c>
      <c r="AR703" s="2">
        <v>17.181678618968967</v>
      </c>
    </row>
    <row r="704" spans="1:44" x14ac:dyDescent="0.25">
      <c r="A704" t="s">
        <v>250</v>
      </c>
      <c r="B704" t="s">
        <v>366</v>
      </c>
      <c r="C704" t="s">
        <v>45</v>
      </c>
      <c r="D704" t="s">
        <v>358</v>
      </c>
      <c r="E704" t="s">
        <v>148</v>
      </c>
      <c r="F704" t="s">
        <v>359</v>
      </c>
      <c r="G704" t="s">
        <v>31</v>
      </c>
      <c r="H704" t="s">
        <v>255</v>
      </c>
      <c r="I704" t="s">
        <v>135</v>
      </c>
      <c r="J704" t="s">
        <v>39</v>
      </c>
      <c r="K704" t="s">
        <v>31</v>
      </c>
      <c r="L704">
        <v>0.87</v>
      </c>
      <c r="M704">
        <v>1</v>
      </c>
      <c r="N704">
        <v>2.5057109938538344</v>
      </c>
      <c r="O704">
        <v>3.1588853240212438</v>
      </c>
      <c r="P704">
        <v>-0.53252233435948138</v>
      </c>
      <c r="Q704">
        <v>0.68284991329288358</v>
      </c>
      <c r="R704">
        <v>-0.67371772101320504</v>
      </c>
      <c r="S704" s="2">
        <v>4.3095907585263583E-3</v>
      </c>
      <c r="T704" s="2">
        <v>1.5169439058173313E-2</v>
      </c>
      <c r="U704" s="2">
        <v>2.6803479486504932E-2</v>
      </c>
      <c r="V704" s="2">
        <v>4.3144976753998684E-2</v>
      </c>
      <c r="W704" s="2">
        <v>6.4020191840577764E-2</v>
      </c>
      <c r="X704" s="2">
        <v>8.8477143127206559E-2</v>
      </c>
      <c r="Y704" s="2">
        <v>0.11494433531394455</v>
      </c>
      <c r="Z704" s="2">
        <v>0.14156633741027294</v>
      </c>
      <c r="AA704" s="2">
        <v>0.16659301866447962</v>
      </c>
      <c r="AB704" s="2">
        <v>0.18869437660156971</v>
      </c>
      <c r="AC704" s="2">
        <v>0.2071215187080894</v>
      </c>
      <c r="AD704" s="2">
        <v>0.22170309933254892</v>
      </c>
      <c r="AE704" s="2">
        <v>0.23272120287353701</v>
      </c>
      <c r="AF704" s="2">
        <v>0.24073365346562653</v>
      </c>
      <c r="AG704" s="2">
        <v>0.24640279463427023</v>
      </c>
      <c r="AH704" s="2">
        <v>0.25036727689588489</v>
      </c>
      <c r="AI704" s="2">
        <v>0.25316794131833203</v>
      </c>
      <c r="AJ704" s="2">
        <v>0.25548238377431837</v>
      </c>
      <c r="AK704" s="2">
        <v>0.25749312589744494</v>
      </c>
      <c r="AL704" s="2">
        <v>0.25850590389475192</v>
      </c>
      <c r="AM704" s="2">
        <v>0.25954691297621785</v>
      </c>
      <c r="AN704" s="2">
        <v>0.2606163178727855</v>
      </c>
      <c r="AO704" s="2">
        <v>0.26171428652949608</v>
      </c>
      <c r="AP704" s="2">
        <v>0.26284099012922663</v>
      </c>
      <c r="AQ704" s="2">
        <v>0.26399660311681983</v>
      </c>
      <c r="AR704" s="2">
        <v>4.5861369004346049</v>
      </c>
    </row>
    <row r="705" spans="1:44" x14ac:dyDescent="0.25">
      <c r="A705" t="s">
        <v>250</v>
      </c>
      <c r="B705" t="s">
        <v>375</v>
      </c>
      <c r="C705" t="s">
        <v>45</v>
      </c>
      <c r="D705" t="s">
        <v>358</v>
      </c>
      <c r="E705" t="s">
        <v>145</v>
      </c>
      <c r="F705" t="s">
        <v>368</v>
      </c>
      <c r="G705" t="s">
        <v>31</v>
      </c>
      <c r="H705" t="s">
        <v>254</v>
      </c>
      <c r="I705" t="s">
        <v>135</v>
      </c>
      <c r="J705" t="s">
        <v>39</v>
      </c>
      <c r="K705" t="s">
        <v>31</v>
      </c>
      <c r="L705">
        <v>0.56280323450134839</v>
      </c>
      <c r="M705">
        <v>1</v>
      </c>
      <c r="N705">
        <v>4.2704524277700431</v>
      </c>
      <c r="O705">
        <v>3.1588853240212429</v>
      </c>
      <c r="P705">
        <v>-0.81470637820874159</v>
      </c>
      <c r="Q705">
        <v>0.40066586944362315</v>
      </c>
      <c r="R705">
        <v>-0.67371772101320482</v>
      </c>
      <c r="S705" s="2">
        <v>0</v>
      </c>
      <c r="T705" s="2">
        <v>0</v>
      </c>
      <c r="U705" s="2">
        <v>9.7904622760554214E-3</v>
      </c>
      <c r="V705" s="2">
        <v>1.8339712579504872E-2</v>
      </c>
      <c r="W705" s="2">
        <v>3.1242149943190828E-2</v>
      </c>
      <c r="X705" s="2">
        <v>4.9615434549378605E-2</v>
      </c>
      <c r="Y705" s="2">
        <v>7.4463223867218403E-2</v>
      </c>
      <c r="Z705" s="2">
        <v>0.10648360384071137</v>
      </c>
      <c r="AA705" s="2">
        <v>0.14584321007692536</v>
      </c>
      <c r="AB705" s="2">
        <v>0.19195580087781852</v>
      </c>
      <c r="AC705" s="2">
        <v>0.24332861432545613</v>
      </c>
      <c r="AD705" s="2">
        <v>0.29755476857856328</v>
      </c>
      <c r="AE705" s="2">
        <v>0.35151934392911538</v>
      </c>
      <c r="AF705" s="2">
        <v>0.40183751069414253</v>
      </c>
      <c r="AG705" s="2">
        <v>0.44545747421032555</v>
      </c>
      <c r="AH705" s="2">
        <v>0.4802680613153319</v>
      </c>
      <c r="AI705" s="2">
        <v>0.50550289701058271</v>
      </c>
      <c r="AJ705" s="2">
        <v>0.52321222732159078</v>
      </c>
      <c r="AK705" s="2">
        <v>0.53171609738795955</v>
      </c>
      <c r="AL705" s="2">
        <v>0.53797259453029411</v>
      </c>
      <c r="AM705" s="2">
        <v>0.5377097297418022</v>
      </c>
      <c r="AN705" s="2">
        <v>0.53529720542102732</v>
      </c>
      <c r="AO705" s="2">
        <v>0.53289550529270502</v>
      </c>
      <c r="AP705" s="2">
        <v>0.53050458079229179</v>
      </c>
      <c r="AQ705" s="2">
        <v>0</v>
      </c>
      <c r="AR705" s="2">
        <v>7.0825102085619909</v>
      </c>
    </row>
    <row r="706" spans="1:44" x14ac:dyDescent="0.25">
      <c r="A706" t="s">
        <v>250</v>
      </c>
      <c r="B706" t="s">
        <v>375</v>
      </c>
      <c r="C706" t="s">
        <v>45</v>
      </c>
      <c r="D706" t="s">
        <v>358</v>
      </c>
      <c r="E706" t="s">
        <v>145</v>
      </c>
      <c r="F706" t="s">
        <v>368</v>
      </c>
      <c r="G706" t="s">
        <v>31</v>
      </c>
      <c r="H706" t="s">
        <v>255</v>
      </c>
      <c r="I706" t="s">
        <v>135</v>
      </c>
      <c r="J706" t="s">
        <v>39</v>
      </c>
      <c r="K706" t="s">
        <v>31</v>
      </c>
      <c r="L706">
        <v>0.56280323450134839</v>
      </c>
      <c r="M706">
        <v>1</v>
      </c>
      <c r="N706">
        <v>4.2704524277700431</v>
      </c>
      <c r="O706">
        <v>3.1588853240212429</v>
      </c>
      <c r="P706">
        <v>-0.81470637820874159</v>
      </c>
      <c r="Q706">
        <v>0.40066586944362315</v>
      </c>
      <c r="R706">
        <v>-0.67371772101320482</v>
      </c>
      <c r="S706" s="2">
        <v>0</v>
      </c>
      <c r="T706" s="2">
        <v>0</v>
      </c>
      <c r="U706" s="2">
        <v>2.1367048994095808E-3</v>
      </c>
      <c r="V706" s="2">
        <v>3.9843771975514291E-3</v>
      </c>
      <c r="W706" s="2">
        <v>6.7567119820337541E-3</v>
      </c>
      <c r="X706" s="2">
        <v>1.0681638280251218E-2</v>
      </c>
      <c r="Y706" s="2">
        <v>1.5958404757525083E-2</v>
      </c>
      <c r="Z706" s="2">
        <v>2.2717312668274134E-2</v>
      </c>
      <c r="AA706" s="2">
        <v>3.0973266022667312E-2</v>
      </c>
      <c r="AB706" s="2">
        <v>4.0581547330744552E-2</v>
      </c>
      <c r="AC706" s="2">
        <v>5.1209096982243012E-2</v>
      </c>
      <c r="AD706" s="2">
        <v>6.2337218867073017E-2</v>
      </c>
      <c r="AE706" s="2">
        <v>7.3308833737514942E-2</v>
      </c>
      <c r="AF706" s="2">
        <v>8.3422678443306947E-2</v>
      </c>
      <c r="AG706" s="2">
        <v>9.2059047780959941E-2</v>
      </c>
      <c r="AH706" s="2">
        <v>9.8803085620497555E-2</v>
      </c>
      <c r="AI706" s="2">
        <v>0.10352304168292996</v>
      </c>
      <c r="AJ706" s="2">
        <v>0.10666399190315025</v>
      </c>
      <c r="AK706" s="2">
        <v>0.10790618297552233</v>
      </c>
      <c r="AL706" s="2">
        <v>0.10868090532594661</v>
      </c>
      <c r="AM706" s="2">
        <v>0.10813531845182037</v>
      </c>
      <c r="AN706" s="2">
        <v>0.10716210058575398</v>
      </c>
      <c r="AO706" s="2">
        <v>0.10619764168048219</v>
      </c>
      <c r="AP706" s="2">
        <v>0.10524186290535782</v>
      </c>
      <c r="AQ706" s="2">
        <v>0</v>
      </c>
      <c r="AR706" s="2">
        <v>1.4484409700810161</v>
      </c>
    </row>
    <row r="707" spans="1:44" x14ac:dyDescent="0.25">
      <c r="A707" t="s">
        <v>250</v>
      </c>
      <c r="B707" t="s">
        <v>375</v>
      </c>
      <c r="C707" t="s">
        <v>45</v>
      </c>
      <c r="D707" t="s">
        <v>358</v>
      </c>
      <c r="E707" t="s">
        <v>148</v>
      </c>
      <c r="F707" t="s">
        <v>368</v>
      </c>
      <c r="G707" t="s">
        <v>31</v>
      </c>
      <c r="H707" t="s">
        <v>254</v>
      </c>
      <c r="I707" t="s">
        <v>135</v>
      </c>
      <c r="J707" t="s">
        <v>39</v>
      </c>
      <c r="K707" t="s">
        <v>31</v>
      </c>
      <c r="L707">
        <v>0.56280323450134839</v>
      </c>
      <c r="M707">
        <v>1</v>
      </c>
      <c r="N707">
        <v>4.2704524277700431</v>
      </c>
      <c r="O707">
        <v>3.1588853240212429</v>
      </c>
      <c r="P707">
        <v>-0.81470637820874159</v>
      </c>
      <c r="Q707">
        <v>0.40066586944362315</v>
      </c>
      <c r="R707">
        <v>-0.67371772101320482</v>
      </c>
      <c r="S707" s="2">
        <v>0</v>
      </c>
      <c r="T707" s="2">
        <v>0</v>
      </c>
      <c r="U707" s="2">
        <v>2.8336075960215795E-3</v>
      </c>
      <c r="V707" s="2">
        <v>5.3682280287115757E-3</v>
      </c>
      <c r="W707" s="2">
        <v>9.2491658890356959E-3</v>
      </c>
      <c r="X707" s="2">
        <v>1.485671659040652E-2</v>
      </c>
      <c r="Y707" s="2">
        <v>2.2553464460949912E-2</v>
      </c>
      <c r="Z707" s="2">
        <v>3.2624240857695649E-2</v>
      </c>
      <c r="AA707" s="2">
        <v>4.5201290792657285E-2</v>
      </c>
      <c r="AB707" s="2">
        <v>6.0185706403856273E-2</v>
      </c>
      <c r="AC707" s="2">
        <v>7.7185051876051972E-2</v>
      </c>
      <c r="AD707" s="2">
        <v>9.5493776957709248E-2</v>
      </c>
      <c r="AE707" s="2">
        <v>0.11414203512264527</v>
      </c>
      <c r="AF707" s="2">
        <v>0.13202464720459098</v>
      </c>
      <c r="AG707" s="2">
        <v>0.14809443010130657</v>
      </c>
      <c r="AH707" s="2">
        <v>0.16157111911658525</v>
      </c>
      <c r="AI707" s="2">
        <v>0.17209596551627726</v>
      </c>
      <c r="AJ707" s="2">
        <v>0.18026492899487456</v>
      </c>
      <c r="AK707" s="2">
        <v>0.18540379835640305</v>
      </c>
      <c r="AL707" s="2">
        <v>0.18985560322962716</v>
      </c>
      <c r="AM707" s="2">
        <v>0.19206774474422478</v>
      </c>
      <c r="AN707" s="2">
        <v>0.19353675774494564</v>
      </c>
      <c r="AO707" s="2">
        <v>0.19502531761202258</v>
      </c>
      <c r="AP707" s="2">
        <v>0.1965336297630714</v>
      </c>
      <c r="AQ707" s="2">
        <v>0</v>
      </c>
      <c r="AR707" s="2">
        <v>2.4261672269596701</v>
      </c>
    </row>
    <row r="708" spans="1:44" x14ac:dyDescent="0.25">
      <c r="A708" t="s">
        <v>250</v>
      </c>
      <c r="B708" t="s">
        <v>375</v>
      </c>
      <c r="C708" t="s">
        <v>45</v>
      </c>
      <c r="D708" t="s">
        <v>358</v>
      </c>
      <c r="E708" t="s">
        <v>148</v>
      </c>
      <c r="F708" t="s">
        <v>368</v>
      </c>
      <c r="G708" t="s">
        <v>31</v>
      </c>
      <c r="H708" t="s">
        <v>255</v>
      </c>
      <c r="I708" t="s">
        <v>135</v>
      </c>
      <c r="J708" t="s">
        <v>39</v>
      </c>
      <c r="K708" t="s">
        <v>31</v>
      </c>
      <c r="L708">
        <v>0.56280323450134839</v>
      </c>
      <c r="M708">
        <v>1</v>
      </c>
      <c r="N708">
        <v>4.2704524277700431</v>
      </c>
      <c r="O708">
        <v>3.1588853240212429</v>
      </c>
      <c r="P708">
        <v>-0.81470637820874159</v>
      </c>
      <c r="Q708">
        <v>0.40066586944362315</v>
      </c>
      <c r="R708">
        <v>-0.67371772101320482</v>
      </c>
      <c r="S708" s="2">
        <v>0</v>
      </c>
      <c r="T708" s="2">
        <v>0</v>
      </c>
      <c r="U708" s="2">
        <v>7.9843157939414079E-4</v>
      </c>
      <c r="V708" s="2">
        <v>1.5059429293246725E-3</v>
      </c>
      <c r="W708" s="2">
        <v>2.5833416446787998E-3</v>
      </c>
      <c r="X708" s="2">
        <v>4.1316737047129666E-3</v>
      </c>
      <c r="Y708" s="2">
        <v>6.2454328765479622E-3</v>
      </c>
      <c r="Z708" s="2">
        <v>8.9961774772981985E-3</v>
      </c>
      <c r="AA708" s="2">
        <v>1.2412491808101377E-2</v>
      </c>
      <c r="AB708" s="2">
        <v>1.6459409692644662E-2</v>
      </c>
      <c r="AC708" s="2">
        <v>2.1022727295412033E-2</v>
      </c>
      <c r="AD708" s="2">
        <v>2.590526754469694E-2</v>
      </c>
      <c r="AE708" s="2">
        <v>3.0841674264644688E-2</v>
      </c>
      <c r="AF708" s="2">
        <v>3.5534385693998666E-2</v>
      </c>
      <c r="AG708" s="2">
        <v>3.970599512617131E-2</v>
      </c>
      <c r="AH708" s="2">
        <v>4.3154562279492673E-2</v>
      </c>
      <c r="AI708" s="2">
        <v>4.5793232780278963E-2</v>
      </c>
      <c r="AJ708" s="2">
        <v>4.7789384942684227E-2</v>
      </c>
      <c r="AK708" s="2">
        <v>4.8972277529174491E-2</v>
      </c>
      <c r="AL708" s="2">
        <v>4.9967588625607733E-2</v>
      </c>
      <c r="AM708" s="2">
        <v>5.0370290388915648E-2</v>
      </c>
      <c r="AN708" s="2">
        <v>5.0577829883667325E-2</v>
      </c>
      <c r="AO708" s="2">
        <v>5.0790912749659668E-2</v>
      </c>
      <c r="AP708" s="2">
        <v>5.1009572208367486E-2</v>
      </c>
      <c r="AQ708" s="2">
        <v>0</v>
      </c>
      <c r="AR708" s="2">
        <v>0.6445686030254747</v>
      </c>
    </row>
    <row r="709" spans="1:44" x14ac:dyDescent="0.25">
      <c r="A709" t="s">
        <v>250</v>
      </c>
      <c r="B709" t="s">
        <v>360</v>
      </c>
      <c r="C709" t="s">
        <v>45</v>
      </c>
      <c r="D709" t="s">
        <v>358</v>
      </c>
      <c r="E709" t="s">
        <v>145</v>
      </c>
      <c r="F709" t="s">
        <v>359</v>
      </c>
      <c r="G709" t="s">
        <v>31</v>
      </c>
      <c r="H709" t="s">
        <v>278</v>
      </c>
      <c r="I709" t="s">
        <v>135</v>
      </c>
      <c r="J709" t="s">
        <v>39</v>
      </c>
      <c r="K709" t="s">
        <v>31</v>
      </c>
      <c r="L709">
        <v>1.84</v>
      </c>
      <c r="M709">
        <v>1</v>
      </c>
      <c r="N709">
        <v>3.6426098018917625</v>
      </c>
      <c r="O709">
        <v>3.1588853240212424</v>
      </c>
      <c r="P709">
        <v>-0.7456473449187514</v>
      </c>
      <c r="Q709">
        <v>0.4697249027336135</v>
      </c>
      <c r="R709">
        <v>-0.67371772101320493</v>
      </c>
      <c r="S709" s="2">
        <v>0.20371691811412843</v>
      </c>
      <c r="T709" s="2">
        <v>0.39620665595167415</v>
      </c>
      <c r="U709" s="2">
        <v>0.69220078932092544</v>
      </c>
      <c r="V709" s="2">
        <v>1.1015805168837423</v>
      </c>
      <c r="W709" s="2">
        <v>1.6158632635014125</v>
      </c>
      <c r="X709" s="2">
        <v>2.2073795590794645</v>
      </c>
      <c r="Y709" s="2">
        <v>2.8343180251331539</v>
      </c>
      <c r="Z709" s="2">
        <v>3.4497928010535897</v>
      </c>
      <c r="AA709" s="2">
        <v>4.0116117988872029</v>
      </c>
      <c r="AB709" s="2">
        <v>4.4895972054372111</v>
      </c>
      <c r="AC709" s="2">
        <v>4.8687486805503157</v>
      </c>
      <c r="AD709" s="2">
        <v>5.1483158096683246</v>
      </c>
      <c r="AE709" s="2">
        <v>5.3381207317038832</v>
      </c>
      <c r="AF709" s="2">
        <v>5.4538877996291157</v>
      </c>
      <c r="AG709" s="2">
        <v>5.5130267181791019</v>
      </c>
      <c r="AH709" s="2">
        <v>6.5753177384473238</v>
      </c>
      <c r="AI709" s="2">
        <v>7.3496780858141255</v>
      </c>
      <c r="AJ709" s="2">
        <v>7.2504894797133534</v>
      </c>
      <c r="AK709" s="2">
        <v>7.103141019375613</v>
      </c>
      <c r="AL709" s="2">
        <v>6.8908716303788413</v>
      </c>
      <c r="AM709" s="2">
        <v>4.2814804810302762</v>
      </c>
      <c r="AN709" s="2">
        <v>1.0658736106621975</v>
      </c>
      <c r="AO709" s="2">
        <v>0.85729938710302511</v>
      </c>
      <c r="AP709" s="2">
        <v>0.66176748403089891</v>
      </c>
      <c r="AQ709" s="2">
        <v>0.48997453291725213</v>
      </c>
      <c r="AR709" s="2">
        <v>89.850260722566148</v>
      </c>
    </row>
    <row r="710" spans="1:44" x14ac:dyDescent="0.25">
      <c r="A710" t="s">
        <v>250</v>
      </c>
      <c r="B710" t="s">
        <v>360</v>
      </c>
      <c r="C710" t="s">
        <v>45</v>
      </c>
      <c r="D710" t="s">
        <v>358</v>
      </c>
      <c r="E710" t="s">
        <v>148</v>
      </c>
      <c r="F710" t="s">
        <v>359</v>
      </c>
      <c r="G710" t="s">
        <v>31</v>
      </c>
      <c r="H710" t="s">
        <v>278</v>
      </c>
      <c r="I710" t="s">
        <v>135</v>
      </c>
      <c r="J710" t="s">
        <v>39</v>
      </c>
      <c r="K710" t="s">
        <v>31</v>
      </c>
      <c r="L710">
        <v>1.84</v>
      </c>
      <c r="M710">
        <v>1</v>
      </c>
      <c r="N710">
        <v>3.6426098018917625</v>
      </c>
      <c r="O710">
        <v>3.1588853240212424</v>
      </c>
      <c r="P710">
        <v>-0.7456473449187514</v>
      </c>
      <c r="Q710">
        <v>0.4697249027336135</v>
      </c>
      <c r="R710">
        <v>-0.67371772101320493</v>
      </c>
      <c r="S710" s="2">
        <v>3.4656831894277484E-2</v>
      </c>
      <c r="T710" s="2">
        <v>0.12198947158253425</v>
      </c>
      <c r="U710" s="2">
        <v>0.2155480032315549</v>
      </c>
      <c r="V710" s="2">
        <v>0.34696292298462711</v>
      </c>
      <c r="W710" s="2">
        <v>0.51483705780383393</v>
      </c>
      <c r="X710" s="2">
        <v>0.7115147696515931</v>
      </c>
      <c r="Y710" s="2">
        <v>0.92435842041228966</v>
      </c>
      <c r="Z710" s="2">
        <v>1.1384470202442281</v>
      </c>
      <c r="AA710" s="2">
        <v>1.339706381909292</v>
      </c>
      <c r="AB710" s="2">
        <v>1.5174409023264743</v>
      </c>
      <c r="AC710" s="2">
        <v>1.6656281437749121</v>
      </c>
      <c r="AD710" s="2">
        <v>1.7828901801886592</v>
      </c>
      <c r="AE710" s="2">
        <v>1.8714954755889888</v>
      </c>
      <c r="AF710" s="2">
        <v>1.9359299355622253</v>
      </c>
      <c r="AG710" s="2">
        <v>1.9815199888817521</v>
      </c>
      <c r="AH710" s="2">
        <v>2.0134015300737604</v>
      </c>
      <c r="AI710" s="2">
        <v>2.0359238904368575</v>
      </c>
      <c r="AJ710" s="2">
        <v>2.054536154946542</v>
      </c>
      <c r="AK710" s="2">
        <v>2.0707061245906555</v>
      </c>
      <c r="AL710" s="2">
        <v>2.0788506744483004</v>
      </c>
      <c r="AM710" s="2">
        <v>2.0872222528088047</v>
      </c>
      <c r="AN710" s="2">
        <v>2.0958221844041462</v>
      </c>
      <c r="AO710" s="2">
        <v>2.1046518198134105</v>
      </c>
      <c r="AP710" s="2">
        <v>2.1137125356536033</v>
      </c>
      <c r="AQ710" s="2">
        <v>2.1230057347738791</v>
      </c>
      <c r="AR710" s="2">
        <v>36.880758407987202</v>
      </c>
    </row>
    <row r="711" spans="1:44" x14ac:dyDescent="0.25">
      <c r="A711" t="s">
        <v>250</v>
      </c>
      <c r="B711" t="s">
        <v>369</v>
      </c>
      <c r="C711" t="s">
        <v>45</v>
      </c>
      <c r="D711" t="s">
        <v>358</v>
      </c>
      <c r="E711" t="s">
        <v>145</v>
      </c>
      <c r="F711" t="s">
        <v>368</v>
      </c>
      <c r="G711" t="s">
        <v>31</v>
      </c>
      <c r="H711" t="s">
        <v>278</v>
      </c>
      <c r="I711" t="s">
        <v>135</v>
      </c>
      <c r="J711" t="s">
        <v>39</v>
      </c>
      <c r="K711" t="s">
        <v>31</v>
      </c>
      <c r="L711">
        <v>1.1902964959568747</v>
      </c>
      <c r="M711">
        <v>1</v>
      </c>
      <c r="N711">
        <v>5.0198246099953074</v>
      </c>
      <c r="O711">
        <v>3.1588853240212424</v>
      </c>
      <c r="P711">
        <v>-0.87451879801526411</v>
      </c>
      <c r="Q711">
        <v>0.34085344963710096</v>
      </c>
      <c r="R711">
        <v>-0.67371772101320515</v>
      </c>
      <c r="S711" s="2">
        <v>0</v>
      </c>
      <c r="T711" s="2">
        <v>0</v>
      </c>
      <c r="U711" s="2">
        <v>1.7182936073456404E-2</v>
      </c>
      <c r="V711" s="2">
        <v>3.204153212592975E-2</v>
      </c>
      <c r="W711" s="2">
        <v>5.433607143697005E-2</v>
      </c>
      <c r="X711" s="2">
        <v>8.5899511804394771E-2</v>
      </c>
      <c r="Y711" s="2">
        <v>0.12833416952367502</v>
      </c>
      <c r="Z711" s="2">
        <v>0.18268790016231912</v>
      </c>
      <c r="AA711" s="2">
        <v>0.24908055866802836</v>
      </c>
      <c r="AB711" s="2">
        <v>0.32634835710762472</v>
      </c>
      <c r="AC711" s="2">
        <v>0.41181289941744098</v>
      </c>
      <c r="AD711" s="2">
        <v>0.50130293944004833</v>
      </c>
      <c r="AE711" s="2">
        <v>0.58953438262786584</v>
      </c>
      <c r="AF711" s="2">
        <v>0.67086781668537654</v>
      </c>
      <c r="AG711" s="2">
        <v>0.74031970134977554</v>
      </c>
      <c r="AH711" s="2">
        <v>0.79455384997075096</v>
      </c>
      <c r="AI711" s="2">
        <v>0.83251075422679033</v>
      </c>
      <c r="AJ711" s="2">
        <v>0.8577696221494816</v>
      </c>
      <c r="AK711" s="2">
        <v>0.86775906420743065</v>
      </c>
      <c r="AL711" s="2">
        <v>0.87398922010106672</v>
      </c>
      <c r="AM711" s="2">
        <v>0.86960172401622204</v>
      </c>
      <c r="AN711" s="2">
        <v>0.86177530850007633</v>
      </c>
      <c r="AO711" s="2">
        <v>0.8540193307235755</v>
      </c>
      <c r="AP711" s="2">
        <v>0.84633315674706333</v>
      </c>
      <c r="AQ711" s="2">
        <v>0</v>
      </c>
      <c r="AR711" s="2">
        <v>11.64806080706536</v>
      </c>
    </row>
    <row r="712" spans="1:44" x14ac:dyDescent="0.25">
      <c r="A712" t="s">
        <v>250</v>
      </c>
      <c r="B712" t="s">
        <v>369</v>
      </c>
      <c r="C712" t="s">
        <v>45</v>
      </c>
      <c r="D712" t="s">
        <v>358</v>
      </c>
      <c r="E712" t="s">
        <v>148</v>
      </c>
      <c r="F712" t="s">
        <v>368</v>
      </c>
      <c r="G712" t="s">
        <v>31</v>
      </c>
      <c r="H712" t="s">
        <v>278</v>
      </c>
      <c r="I712" t="s">
        <v>135</v>
      </c>
      <c r="J712" t="s">
        <v>39</v>
      </c>
      <c r="K712" t="s">
        <v>31</v>
      </c>
      <c r="L712">
        <v>1.1902964959568747</v>
      </c>
      <c r="M712">
        <v>1</v>
      </c>
      <c r="N712">
        <v>5.0198246099953074</v>
      </c>
      <c r="O712">
        <v>3.1588853240212424</v>
      </c>
      <c r="P712">
        <v>-0.87451879801526411</v>
      </c>
      <c r="Q712">
        <v>0.34085344963710096</v>
      </c>
      <c r="R712">
        <v>-0.67371772101320515</v>
      </c>
      <c r="S712" s="2">
        <v>0</v>
      </c>
      <c r="T712" s="2">
        <v>0</v>
      </c>
      <c r="U712" s="2">
        <v>6.4208205782414597E-3</v>
      </c>
      <c r="V712" s="2">
        <v>1.2110479595010883E-2</v>
      </c>
      <c r="W712" s="2">
        <v>2.0774695817227462E-2</v>
      </c>
      <c r="X712" s="2">
        <v>3.322605997865255E-2</v>
      </c>
      <c r="Y712" s="2">
        <v>5.0224471286811637E-2</v>
      </c>
      <c r="Z712" s="2">
        <v>7.2345386833997216E-2</v>
      </c>
      <c r="AA712" s="2">
        <v>9.9818675620503755E-2</v>
      </c>
      <c r="AB712" s="2">
        <v>0.13236314693418411</v>
      </c>
      <c r="AC712" s="2">
        <v>0.16906039729987607</v>
      </c>
      <c r="AD712" s="2">
        <v>0.2083247697467773</v>
      </c>
      <c r="AE712" s="2">
        <v>0.24802232513913886</v>
      </c>
      <c r="AF712" s="2">
        <v>0.28576013372658204</v>
      </c>
      <c r="AG712" s="2">
        <v>0.31930734851335624</v>
      </c>
      <c r="AH712" s="2">
        <v>0.34704000778554622</v>
      </c>
      <c r="AI712" s="2">
        <v>0.36825964674760042</v>
      </c>
      <c r="AJ712" s="2">
        <v>0.38431228696431319</v>
      </c>
      <c r="AK712" s="2">
        <v>0.39382486294101571</v>
      </c>
      <c r="AL712" s="2">
        <v>0.40182894761734955</v>
      </c>
      <c r="AM712" s="2">
        <v>0.40506739138068504</v>
      </c>
      <c r="AN712" s="2">
        <v>0.4067363808008051</v>
      </c>
      <c r="AO712" s="2">
        <v>0.4084499488586677</v>
      </c>
      <c r="AP712" s="2">
        <v>0.41020836271444644</v>
      </c>
      <c r="AQ712" s="2">
        <v>0</v>
      </c>
      <c r="AR712" s="2">
        <v>5.1834865468807889</v>
      </c>
    </row>
    <row r="713" spans="1:44" x14ac:dyDescent="0.25">
      <c r="A713" t="s">
        <v>250</v>
      </c>
      <c r="B713" t="s">
        <v>361</v>
      </c>
      <c r="C713" t="s">
        <v>45</v>
      </c>
      <c r="D713" t="s">
        <v>358</v>
      </c>
      <c r="E713" t="s">
        <v>145</v>
      </c>
      <c r="F713" t="s">
        <v>359</v>
      </c>
      <c r="G713" t="s">
        <v>31</v>
      </c>
      <c r="H713" t="s">
        <v>272</v>
      </c>
      <c r="I713" t="s">
        <v>135</v>
      </c>
      <c r="J713" t="s">
        <v>39</v>
      </c>
      <c r="K713" t="s">
        <v>31</v>
      </c>
      <c r="L713">
        <v>1.1100000000000001</v>
      </c>
      <c r="M713">
        <v>1</v>
      </c>
      <c r="N713">
        <v>2.8805169099386236</v>
      </c>
      <c r="O713">
        <v>3.1588853240212433</v>
      </c>
      <c r="P713">
        <v>-0.62137311888954427</v>
      </c>
      <c r="Q713">
        <v>0.59399912876282102</v>
      </c>
      <c r="R713">
        <v>-0.67371772101320537</v>
      </c>
      <c r="S713" s="2">
        <v>4.4188672251590962E-2</v>
      </c>
      <c r="T713" s="2">
        <v>8.6323611982705079E-2</v>
      </c>
      <c r="U713" s="2">
        <v>0.15148300405176773</v>
      </c>
      <c r="V713" s="2">
        <v>0.2421430714553798</v>
      </c>
      <c r="W713" s="2">
        <v>0.35676676473082958</v>
      </c>
      <c r="X713" s="2">
        <v>0.4895316560587008</v>
      </c>
      <c r="Y713" s="2">
        <v>0.63135892664475102</v>
      </c>
      <c r="Z713" s="2">
        <v>0.77187102785156736</v>
      </c>
      <c r="AA713" s="2">
        <v>0.90155994903579684</v>
      </c>
      <c r="AB713" s="2">
        <v>1.0134610710936882</v>
      </c>
      <c r="AC713" s="2">
        <v>1.1039287183518667</v>
      </c>
      <c r="AD713" s="2">
        <v>1.1724999579364372</v>
      </c>
      <c r="AE713" s="2">
        <v>1.2211247396021965</v>
      </c>
      <c r="AF713" s="2">
        <v>1.2531464239642729</v>
      </c>
      <c r="AG713" s="2">
        <v>1.2723590966918312</v>
      </c>
      <c r="AH713" s="2">
        <v>1.5087098369103356</v>
      </c>
      <c r="AI713" s="2">
        <v>1.5965294157252774</v>
      </c>
      <c r="AJ713" s="2">
        <v>1.5853812289594733</v>
      </c>
      <c r="AK713" s="2">
        <v>1.5653657160594059</v>
      </c>
      <c r="AL713" s="2">
        <v>1.5325730278936476</v>
      </c>
      <c r="AM713" s="2">
        <v>1.4946169588117844</v>
      </c>
      <c r="AN713" s="2">
        <v>0.54383661241332304</v>
      </c>
      <c r="AO713" s="2">
        <v>0.14948653393725581</v>
      </c>
      <c r="AP713" s="2">
        <v>0.11586148884341307</v>
      </c>
      <c r="AQ713" s="2">
        <v>8.6129045003713961E-2</v>
      </c>
      <c r="AR713" s="2">
        <v>20.890236556261012</v>
      </c>
    </row>
    <row r="714" spans="1:44" x14ac:dyDescent="0.25">
      <c r="A714" t="s">
        <v>250</v>
      </c>
      <c r="B714" t="s">
        <v>361</v>
      </c>
      <c r="C714" t="s">
        <v>45</v>
      </c>
      <c r="D714" t="s">
        <v>358</v>
      </c>
      <c r="E714" t="s">
        <v>145</v>
      </c>
      <c r="F714" t="s">
        <v>359</v>
      </c>
      <c r="G714" t="s">
        <v>31</v>
      </c>
      <c r="H714" t="s">
        <v>272</v>
      </c>
      <c r="I714" t="s">
        <v>135</v>
      </c>
      <c r="J714" t="s">
        <v>40</v>
      </c>
      <c r="K714" t="s">
        <v>31</v>
      </c>
      <c r="L714">
        <v>1.1100000000000001</v>
      </c>
      <c r="M714">
        <v>1</v>
      </c>
      <c r="N714">
        <v>2.8805169099386236</v>
      </c>
      <c r="O714">
        <v>1.9798085216903565</v>
      </c>
      <c r="P714">
        <v>-0.62137311888954427</v>
      </c>
      <c r="Q714">
        <v>0.4672931329656026</v>
      </c>
      <c r="R714">
        <v>-0.53071772101320513</v>
      </c>
      <c r="S714" s="2">
        <v>4.3709597112507187E-3</v>
      </c>
      <c r="T714" s="2">
        <v>8.5387727415244703E-3</v>
      </c>
      <c r="U714" s="2">
        <v>1.4984068855467074E-2</v>
      </c>
      <c r="V714" s="2">
        <v>2.3951785735129492E-2</v>
      </c>
      <c r="W714" s="2">
        <v>3.5289884839107721E-2</v>
      </c>
      <c r="X714" s="2">
        <v>4.8422435818659085E-2</v>
      </c>
      <c r="Y714" s="2">
        <v>6.2451399670723225E-2</v>
      </c>
      <c r="Z714" s="2">
        <v>7.6350272436606442E-2</v>
      </c>
      <c r="AA714" s="2">
        <v>8.9178561240224663E-2</v>
      </c>
      <c r="AB714" s="2">
        <v>0.10024735492051411</v>
      </c>
      <c r="AC714" s="2">
        <v>0.10919603839952273</v>
      </c>
      <c r="AD714" s="2">
        <v>0.1159788202823589</v>
      </c>
      <c r="AE714" s="2">
        <v>0.12078858149037407</v>
      </c>
      <c r="AF714" s="2">
        <v>0.12395603335306229</v>
      </c>
      <c r="AG714" s="2">
        <v>0.12585647104803241</v>
      </c>
      <c r="AH714" s="2">
        <v>0.12684252161551335</v>
      </c>
      <c r="AI714" s="2">
        <v>0.12720726685532971</v>
      </c>
      <c r="AJ714" s="2">
        <v>0.1273030547314444</v>
      </c>
      <c r="AK714" s="2">
        <v>0.12722636614425678</v>
      </c>
      <c r="AL714" s="2">
        <v>0.12664112485999318</v>
      </c>
      <c r="AM714" s="2">
        <v>0.12605857568563725</v>
      </c>
      <c r="AN714" s="2">
        <v>3.5485448556506545E-2</v>
      </c>
      <c r="AO714" s="2">
        <v>0</v>
      </c>
      <c r="AP714" s="2">
        <v>0</v>
      </c>
      <c r="AQ714" s="2">
        <v>0</v>
      </c>
      <c r="AR714" s="2">
        <v>1.8563257989912385</v>
      </c>
    </row>
    <row r="715" spans="1:44" x14ac:dyDescent="0.25">
      <c r="A715" t="s">
        <v>250</v>
      </c>
      <c r="B715" t="s">
        <v>361</v>
      </c>
      <c r="C715" t="s">
        <v>45</v>
      </c>
      <c r="D715" t="s">
        <v>358</v>
      </c>
      <c r="E715" t="s">
        <v>145</v>
      </c>
      <c r="F715" t="s">
        <v>359</v>
      </c>
      <c r="G715" t="s">
        <v>31</v>
      </c>
      <c r="H715" t="s">
        <v>273</v>
      </c>
      <c r="I715" t="s">
        <v>135</v>
      </c>
      <c r="J715" t="s">
        <v>39</v>
      </c>
      <c r="K715" t="s">
        <v>31</v>
      </c>
      <c r="L715">
        <v>1.1100000000000001</v>
      </c>
      <c r="M715">
        <v>1</v>
      </c>
      <c r="N715">
        <v>2.8805169099386236</v>
      </c>
      <c r="O715">
        <v>3.1588853240212433</v>
      </c>
      <c r="P715">
        <v>-0.62137311888954427</v>
      </c>
      <c r="Q715">
        <v>0.59399912876282102</v>
      </c>
      <c r="R715">
        <v>-0.67371772101320537</v>
      </c>
      <c r="S715" s="2">
        <v>1.3290032504051912E-2</v>
      </c>
      <c r="T715" s="2">
        <v>2.5962391505800677E-2</v>
      </c>
      <c r="U715" s="2">
        <v>4.5559505300296434E-2</v>
      </c>
      <c r="V715" s="2">
        <v>7.2826114166783959E-2</v>
      </c>
      <c r="W715" s="2">
        <v>0.10729994041555424</v>
      </c>
      <c r="X715" s="2">
        <v>0.14722985075769629</v>
      </c>
      <c r="Y715" s="2">
        <v>0.18988533099746996</v>
      </c>
      <c r="Z715" s="2">
        <v>0.23214526543539565</v>
      </c>
      <c r="AA715" s="2">
        <v>0.27115005761698885</v>
      </c>
      <c r="AB715" s="2">
        <v>0.3048050527461017</v>
      </c>
      <c r="AC715" s="2">
        <v>0.33201378999398312</v>
      </c>
      <c r="AD715" s="2">
        <v>0.35263703926776641</v>
      </c>
      <c r="AE715" s="2">
        <v>0.36726126072346105</v>
      </c>
      <c r="AF715" s="2">
        <v>0.37689199195664852</v>
      </c>
      <c r="AG715" s="2">
        <v>0.38267032907402515</v>
      </c>
      <c r="AH715" s="2">
        <v>0.45375436169615413</v>
      </c>
      <c r="AI715" s="2">
        <v>0.48016667502156113</v>
      </c>
      <c r="AJ715" s="2">
        <v>0.47681378485922998</v>
      </c>
      <c r="AK715" s="2">
        <v>0.47079398830339436</v>
      </c>
      <c r="AL715" s="2">
        <v>0.46093137262811729</v>
      </c>
      <c r="AM715" s="2">
        <v>0.44951583633519709</v>
      </c>
      <c r="AN715" s="2">
        <v>0.163562421941888</v>
      </c>
      <c r="AO715" s="2">
        <v>4.4959053841510881E-2</v>
      </c>
      <c r="AP715" s="2">
        <v>3.4846101370275509E-2</v>
      </c>
      <c r="AQ715" s="2">
        <v>2.5903874212945863E-2</v>
      </c>
      <c r="AR715" s="2">
        <v>6.2828754226722969</v>
      </c>
    </row>
    <row r="716" spans="1:44" x14ac:dyDescent="0.25">
      <c r="A716" t="s">
        <v>250</v>
      </c>
      <c r="B716" t="s">
        <v>361</v>
      </c>
      <c r="C716" t="s">
        <v>45</v>
      </c>
      <c r="D716" t="s">
        <v>358</v>
      </c>
      <c r="E716" t="s">
        <v>145</v>
      </c>
      <c r="F716" t="s">
        <v>359</v>
      </c>
      <c r="G716" t="s">
        <v>31</v>
      </c>
      <c r="H716" t="s">
        <v>274</v>
      </c>
      <c r="I716" t="s">
        <v>135</v>
      </c>
      <c r="J716" t="s">
        <v>39</v>
      </c>
      <c r="K716" t="s">
        <v>31</v>
      </c>
      <c r="L716">
        <v>1.1100000000000001</v>
      </c>
      <c r="M716">
        <v>1</v>
      </c>
      <c r="N716">
        <v>2.8805169099386236</v>
      </c>
      <c r="O716">
        <v>3.1588853240212433</v>
      </c>
      <c r="P716">
        <v>-0.62137311888954427</v>
      </c>
      <c r="Q716">
        <v>0.59399912876282102</v>
      </c>
      <c r="R716">
        <v>-0.67371772101320537</v>
      </c>
      <c r="S716" s="2">
        <v>2.0920891013233377E-2</v>
      </c>
      <c r="T716" s="2">
        <v>4.0869453326781005E-2</v>
      </c>
      <c r="U716" s="2">
        <v>7.171881970294143E-2</v>
      </c>
      <c r="V716" s="2">
        <v>0.11464134470220912</v>
      </c>
      <c r="W716" s="2">
        <v>0.16890932046071672</v>
      </c>
      <c r="X716" s="2">
        <v>0.23176614960552472</v>
      </c>
      <c r="Y716" s="2">
        <v>0.29891351383818238</v>
      </c>
      <c r="Z716" s="2">
        <v>0.36543821814817412</v>
      </c>
      <c r="AA716" s="2">
        <v>0.42683874564696994</v>
      </c>
      <c r="AB716" s="2">
        <v>0.47981773459469484</v>
      </c>
      <c r="AC716" s="2">
        <v>0.52264915930318101</v>
      </c>
      <c r="AD716" s="2">
        <v>0.55511384667426311</v>
      </c>
      <c r="AE716" s="2">
        <v>0.5781349900111733</v>
      </c>
      <c r="AF716" s="2">
        <v>0.59329548555140843</v>
      </c>
      <c r="AG716" s="2">
        <v>0.60239162290348025</v>
      </c>
      <c r="AH716" s="2">
        <v>0.71429061929910864</v>
      </c>
      <c r="AI716" s="2">
        <v>0.75586833013764521</v>
      </c>
      <c r="AJ716" s="2">
        <v>0.75059028061864674</v>
      </c>
      <c r="AK716" s="2">
        <v>0.74111404287219329</v>
      </c>
      <c r="AL716" s="2">
        <v>0.72558851969646398</v>
      </c>
      <c r="AM716" s="2">
        <v>0.70761842138639586</v>
      </c>
      <c r="AN716" s="2">
        <v>0.25747654133001374</v>
      </c>
      <c r="AO716" s="2">
        <v>7.077360158371189E-2</v>
      </c>
      <c r="AP716" s="2">
        <v>5.4854003463223104E-2</v>
      </c>
      <c r="AQ716" s="2">
        <v>4.0777336629110796E-2</v>
      </c>
      <c r="AR716" s="2">
        <v>9.8903709924994487</v>
      </c>
    </row>
    <row r="717" spans="1:44" x14ac:dyDescent="0.25">
      <c r="A717" t="s">
        <v>250</v>
      </c>
      <c r="B717" t="s">
        <v>361</v>
      </c>
      <c r="C717" t="s">
        <v>45</v>
      </c>
      <c r="D717" t="s">
        <v>358</v>
      </c>
      <c r="E717" t="s">
        <v>145</v>
      </c>
      <c r="F717" t="s">
        <v>359</v>
      </c>
      <c r="G717" t="s">
        <v>31</v>
      </c>
      <c r="H717" t="s">
        <v>274</v>
      </c>
      <c r="I717" t="s">
        <v>135</v>
      </c>
      <c r="J717" t="s">
        <v>39</v>
      </c>
      <c r="K717" t="s">
        <v>33</v>
      </c>
      <c r="L717">
        <v>1.1100000000000001</v>
      </c>
      <c r="M717">
        <v>1</v>
      </c>
      <c r="N717">
        <v>2.8805169099386236</v>
      </c>
      <c r="O717">
        <v>3.1588853240212433</v>
      </c>
      <c r="P717">
        <v>-0.62137311888954427</v>
      </c>
      <c r="Q717">
        <v>0.59399912876282102</v>
      </c>
      <c r="R717">
        <v>-0.67371772101320537</v>
      </c>
      <c r="S717" s="2">
        <v>6.7312603306856887E-5</v>
      </c>
      <c r="T717" s="2">
        <v>1.3149675591797534E-4</v>
      </c>
      <c r="U717" s="2">
        <v>2.3075405618462589E-4</v>
      </c>
      <c r="V717" s="2">
        <v>3.6885653453398444E-4</v>
      </c>
      <c r="W717" s="2">
        <v>5.4346280355894712E-4</v>
      </c>
      <c r="X717" s="2">
        <v>7.4570355911161498E-4</v>
      </c>
      <c r="Y717" s="2">
        <v>9.6174903675570343E-4</v>
      </c>
      <c r="Z717" s="2">
        <v>1.1757911169181555E-3</v>
      </c>
      <c r="AA717" s="2">
        <v>1.3733462472299513E-3</v>
      </c>
      <c r="AB717" s="2">
        <v>1.5438052235890755E-3</v>
      </c>
      <c r="AC717" s="2">
        <v>1.6816145883358329E-3</v>
      </c>
      <c r="AD717" s="2">
        <v>1.7860691558352997E-3</v>
      </c>
      <c r="AE717" s="2">
        <v>1.8601392844989177E-3</v>
      </c>
      <c r="AF717" s="2">
        <v>1.9089179154659118E-3</v>
      </c>
      <c r="AG717" s="2">
        <v>1.9381845793387561E-3</v>
      </c>
      <c r="AH717" s="2">
        <v>2.2982176558482554E-3</v>
      </c>
      <c r="AI717" s="2">
        <v>2.4319932180033874E-3</v>
      </c>
      <c r="AJ717" s="2">
        <v>2.4150111853891241E-3</v>
      </c>
      <c r="AK717" s="2">
        <v>2.3845215551021046E-3</v>
      </c>
      <c r="AL717" s="2">
        <v>2.334568454060743E-3</v>
      </c>
      <c r="AM717" s="2">
        <v>2.2767499750023928E-3</v>
      </c>
      <c r="AN717" s="2">
        <v>8.2842629773300497E-4</v>
      </c>
      <c r="AO717" s="2">
        <v>2.2771283331042333E-4</v>
      </c>
      <c r="AP717" s="2">
        <v>1.7649180298187593E-4</v>
      </c>
      <c r="AQ717" s="2">
        <v>1.3120037204387064E-4</v>
      </c>
      <c r="AR717" s="2">
        <v>3.1822096810056787E-2</v>
      </c>
    </row>
    <row r="718" spans="1:44" x14ac:dyDescent="0.25">
      <c r="A718" t="s">
        <v>250</v>
      </c>
      <c r="B718" t="s">
        <v>361</v>
      </c>
      <c r="C718" t="s">
        <v>45</v>
      </c>
      <c r="D718" t="s">
        <v>358</v>
      </c>
      <c r="E718" t="s">
        <v>145</v>
      </c>
      <c r="F718" t="s">
        <v>359</v>
      </c>
      <c r="G718" t="s">
        <v>31</v>
      </c>
      <c r="H718" t="s">
        <v>275</v>
      </c>
      <c r="I718" t="s">
        <v>135</v>
      </c>
      <c r="J718" t="s">
        <v>39</v>
      </c>
      <c r="K718" t="s">
        <v>31</v>
      </c>
      <c r="L718">
        <v>1.1100000000000001</v>
      </c>
      <c r="M718">
        <v>1</v>
      </c>
      <c r="N718">
        <v>2.8805169099386236</v>
      </c>
      <c r="O718">
        <v>3.1588853240212433</v>
      </c>
      <c r="P718">
        <v>-0.62137311888954427</v>
      </c>
      <c r="Q718">
        <v>0.59399912876282102</v>
      </c>
      <c r="R718">
        <v>-0.67371772101320537</v>
      </c>
      <c r="S718" s="2">
        <v>3.1960581576333365E-2</v>
      </c>
      <c r="T718" s="2">
        <v>6.2435748850491003E-2</v>
      </c>
      <c r="U718" s="2">
        <v>0.10956393712984325</v>
      </c>
      <c r="V718" s="2">
        <v>0.17513613770359326</v>
      </c>
      <c r="W718" s="2">
        <v>0.25804064043797292</v>
      </c>
      <c r="X718" s="2">
        <v>0.35406622626228307</v>
      </c>
      <c r="Y718" s="2">
        <v>0.45664640847517951</v>
      </c>
      <c r="Z718" s="2">
        <v>0.55827536097036967</v>
      </c>
      <c r="AA718" s="2">
        <v>0.65207617312095445</v>
      </c>
      <c r="AB718" s="2">
        <v>0.73301150694705086</v>
      </c>
      <c r="AC718" s="2">
        <v>0.79844453475453059</v>
      </c>
      <c r="AD718" s="2">
        <v>0.84804042856313122</v>
      </c>
      <c r="AE718" s="2">
        <v>0.88320953914902245</v>
      </c>
      <c r="AF718" s="2">
        <v>0.90637003714811959</v>
      </c>
      <c r="AG718" s="2">
        <v>0.92026609156026373</v>
      </c>
      <c r="AH718" s="2">
        <v>1.091212778312282</v>
      </c>
      <c r="AI718" s="2">
        <v>1.1547305232387113</v>
      </c>
      <c r="AJ718" s="2">
        <v>1.1466673134973522</v>
      </c>
      <c r="AK718" s="2">
        <v>1.1321905845023654</v>
      </c>
      <c r="AL718" s="2">
        <v>1.1084724383842421</v>
      </c>
      <c r="AM718" s="2">
        <v>1.081019745637537</v>
      </c>
      <c r="AN718" s="2">
        <v>0.39334366772260176</v>
      </c>
      <c r="AO718" s="2">
        <v>0.10811993931980941</v>
      </c>
      <c r="AP718" s="2">
        <v>8.3799769874326316E-2</v>
      </c>
      <c r="AQ718" s="2">
        <v>6.2295023332224107E-2</v>
      </c>
      <c r="AR718" s="2">
        <v>15.109395136470592</v>
      </c>
    </row>
    <row r="719" spans="1:44" x14ac:dyDescent="0.25">
      <c r="A719" t="s">
        <v>250</v>
      </c>
      <c r="B719" t="s">
        <v>361</v>
      </c>
      <c r="C719" t="s">
        <v>45</v>
      </c>
      <c r="D719" t="s">
        <v>358</v>
      </c>
      <c r="E719" t="s">
        <v>148</v>
      </c>
      <c r="F719" t="s">
        <v>359</v>
      </c>
      <c r="G719" t="s">
        <v>31</v>
      </c>
      <c r="H719" t="s">
        <v>272</v>
      </c>
      <c r="I719" t="s">
        <v>135</v>
      </c>
      <c r="J719" t="s">
        <v>39</v>
      </c>
      <c r="K719" t="s">
        <v>31</v>
      </c>
      <c r="L719">
        <v>1.1100000000000001</v>
      </c>
      <c r="M719">
        <v>1</v>
      </c>
      <c r="N719">
        <v>2.8805169099386236</v>
      </c>
      <c r="O719">
        <v>3.1588853240212433</v>
      </c>
      <c r="P719">
        <v>-0.62137311888954427</v>
      </c>
      <c r="Q719">
        <v>0.59399912876282102</v>
      </c>
      <c r="R719">
        <v>-0.67371772101320537</v>
      </c>
      <c r="S719" s="2">
        <v>7.517487501930268E-3</v>
      </c>
      <c r="T719" s="2">
        <v>2.07373097397913E-2</v>
      </c>
      <c r="U719" s="2">
        <v>3.680171165482931E-2</v>
      </c>
      <c r="V719" s="2">
        <v>5.9494861532890145E-2</v>
      </c>
      <c r="W719" s="2">
        <v>8.865780135059477E-2</v>
      </c>
      <c r="X719" s="2">
        <v>0.12304393359027631</v>
      </c>
      <c r="Y719" s="2">
        <v>0.16051815550106263</v>
      </c>
      <c r="Z719" s="2">
        <v>0.19850999742643585</v>
      </c>
      <c r="AA719" s="2">
        <v>0.23455425019610851</v>
      </c>
      <c r="AB719" s="2">
        <v>0.26673985480185225</v>
      </c>
      <c r="AC719" s="2">
        <v>0.29395100355187931</v>
      </c>
      <c r="AD719" s="2">
        <v>0.31587889163511229</v>
      </c>
      <c r="AE719" s="2">
        <v>0.33286050956769136</v>
      </c>
      <c r="AF719" s="2">
        <v>0.34563602252078751</v>
      </c>
      <c r="AG719" s="2">
        <v>0.35510935850244857</v>
      </c>
      <c r="AH719" s="2">
        <v>0.36216528358646927</v>
      </c>
      <c r="AI719" s="2">
        <v>0.3675608422021473</v>
      </c>
      <c r="AJ719" s="2">
        <v>0.3722642493388798</v>
      </c>
      <c r="AK719" s="2">
        <v>0.37653424389771745</v>
      </c>
      <c r="AL719" s="2">
        <v>0.3793468364343206</v>
      </c>
      <c r="AM719" s="2">
        <v>0.38219745617361534</v>
      </c>
      <c r="AN719" s="2">
        <v>0.38508649972936254</v>
      </c>
      <c r="AO719" s="2">
        <v>0.38801436830034347</v>
      </c>
      <c r="AP719" s="2">
        <v>0.39098146772108699</v>
      </c>
      <c r="AQ719" s="2">
        <v>0.39398820851328442</v>
      </c>
      <c r="AR719" s="2">
        <v>6.6381506049709191</v>
      </c>
    </row>
    <row r="720" spans="1:44" x14ac:dyDescent="0.25">
      <c r="A720" t="s">
        <v>250</v>
      </c>
      <c r="B720" t="s">
        <v>361</v>
      </c>
      <c r="C720" t="s">
        <v>45</v>
      </c>
      <c r="D720" t="s">
        <v>358</v>
      </c>
      <c r="E720" t="s">
        <v>148</v>
      </c>
      <c r="F720" t="s">
        <v>359</v>
      </c>
      <c r="G720" t="s">
        <v>31</v>
      </c>
      <c r="H720" t="s">
        <v>272</v>
      </c>
      <c r="I720" t="s">
        <v>135</v>
      </c>
      <c r="J720" t="s">
        <v>40</v>
      </c>
      <c r="K720" t="s">
        <v>31</v>
      </c>
      <c r="L720">
        <v>1.1100000000000001</v>
      </c>
      <c r="M720">
        <v>1</v>
      </c>
      <c r="N720">
        <v>2.8805169099386236</v>
      </c>
      <c r="O720">
        <v>1.9798085216903565</v>
      </c>
      <c r="P720">
        <v>-0.62137311888954427</v>
      </c>
      <c r="Q720">
        <v>0.4672931329656026</v>
      </c>
      <c r="R720">
        <v>-0.53071772101320513</v>
      </c>
      <c r="S720" s="2">
        <v>7.4359860404235101E-4</v>
      </c>
      <c r="T720" s="2">
        <v>2.0512484483869364E-3</v>
      </c>
      <c r="U720" s="2">
        <v>3.6402722859031279E-3</v>
      </c>
      <c r="V720" s="2">
        <v>5.8849843078809475E-3</v>
      </c>
      <c r="W720" s="2">
        <v>8.769661047635692E-3</v>
      </c>
      <c r="X720" s="2">
        <v>1.21709942623937E-2</v>
      </c>
      <c r="Y720" s="2">
        <v>1.5877788466345168E-2</v>
      </c>
      <c r="Z720" s="2">
        <v>1.9635783489742303E-2</v>
      </c>
      <c r="AA720" s="2">
        <v>2.3201131092435538E-2</v>
      </c>
      <c r="AB720" s="2">
        <v>2.6384797264004205E-2</v>
      </c>
      <c r="AC720" s="2">
        <v>2.9076410947394177E-2</v>
      </c>
      <c r="AD720" s="2">
        <v>3.1245426454783665E-2</v>
      </c>
      <c r="AE720" s="2">
        <v>3.2925177486734236E-2</v>
      </c>
      <c r="AF720" s="2">
        <v>3.4188878104182231E-2</v>
      </c>
      <c r="AG720" s="2">
        <v>3.5125941106917975E-2</v>
      </c>
      <c r="AH720" s="2">
        <v>3.5823883875876608E-2</v>
      </c>
      <c r="AI720" s="2">
        <v>3.6357590098017152E-2</v>
      </c>
      <c r="AJ720" s="2">
        <v>3.6822831574004795E-2</v>
      </c>
      <c r="AK720" s="2">
        <v>3.724520168002822E-2</v>
      </c>
      <c r="AL720" s="2">
        <v>3.7523411638265218E-2</v>
      </c>
      <c r="AM720" s="2">
        <v>3.7805383089265281E-2</v>
      </c>
      <c r="AN720" s="2">
        <v>3.8091155264412827E-2</v>
      </c>
      <c r="AO720" s="2">
        <v>3.8380767848623064E-2</v>
      </c>
      <c r="AP720" s="2">
        <v>3.8674260985359601E-2</v>
      </c>
      <c r="AQ720" s="2">
        <v>3.897167528172113E-2</v>
      </c>
      <c r="AR720" s="2">
        <v>0.6566182547043562</v>
      </c>
    </row>
    <row r="721" spans="1:44" x14ac:dyDescent="0.25">
      <c r="A721" t="s">
        <v>250</v>
      </c>
      <c r="B721" t="s">
        <v>361</v>
      </c>
      <c r="C721" t="s">
        <v>45</v>
      </c>
      <c r="D721" t="s">
        <v>358</v>
      </c>
      <c r="E721" t="s">
        <v>148</v>
      </c>
      <c r="F721" t="s">
        <v>359</v>
      </c>
      <c r="G721" t="s">
        <v>31</v>
      </c>
      <c r="H721" t="s">
        <v>273</v>
      </c>
      <c r="I721" t="s">
        <v>135</v>
      </c>
      <c r="J721" t="s">
        <v>39</v>
      </c>
      <c r="K721" t="s">
        <v>31</v>
      </c>
      <c r="L721">
        <v>1.1100000000000001</v>
      </c>
      <c r="M721">
        <v>1</v>
      </c>
      <c r="N721">
        <v>2.8805169099386236</v>
      </c>
      <c r="O721">
        <v>3.1588853240212433</v>
      </c>
      <c r="P721">
        <v>-0.62137311888954427</v>
      </c>
      <c r="Q721">
        <v>0.59399912876282102</v>
      </c>
      <c r="R721">
        <v>-0.67371772101320537</v>
      </c>
      <c r="S721" s="2">
        <v>2.2609335867940722E-3</v>
      </c>
      <c r="T721" s="2">
        <v>6.2368816813339967E-3</v>
      </c>
      <c r="U721" s="2">
        <v>1.1068355738609313E-2</v>
      </c>
      <c r="V721" s="2">
        <v>1.7893469147349642E-2</v>
      </c>
      <c r="W721" s="2">
        <v>2.6664414241248355E-2</v>
      </c>
      <c r="X721" s="2">
        <v>3.7006268654797815E-2</v>
      </c>
      <c r="Y721" s="2">
        <v>4.8276886256132766E-2</v>
      </c>
      <c r="Z721" s="2">
        <v>5.9703181465959633E-2</v>
      </c>
      <c r="AA721" s="2">
        <v>7.0543726485413863E-2</v>
      </c>
      <c r="AB721" s="2">
        <v>8.0223757805147816E-2</v>
      </c>
      <c r="AC721" s="2">
        <v>8.8407688956133268E-2</v>
      </c>
      <c r="AD721" s="2">
        <v>9.5002644869543865E-2</v>
      </c>
      <c r="AE721" s="2">
        <v>0.10010997764954513</v>
      </c>
      <c r="AF721" s="2">
        <v>0.1039522968175892</v>
      </c>
      <c r="AG721" s="2">
        <v>0.1068014646405363</v>
      </c>
      <c r="AH721" s="2">
        <v>0.108923580308075</v>
      </c>
      <c r="AI721" s="2">
        <v>0.11054632988904481</v>
      </c>
      <c r="AJ721" s="2">
        <v>0.11196091038087454</v>
      </c>
      <c r="AK721" s="2">
        <v>0.11324513920214127</v>
      </c>
      <c r="AL721" s="2">
        <v>0.11409104482291625</v>
      </c>
      <c r="AM721" s="2">
        <v>0.11494838737387957</v>
      </c>
      <c r="AN721" s="2">
        <v>0.11581728613922274</v>
      </c>
      <c r="AO721" s="2">
        <v>0.11669786178210084</v>
      </c>
      <c r="AP721" s="2">
        <v>0.11759023635990967</v>
      </c>
      <c r="AQ721" s="2">
        <v>0.11849453333973362</v>
      </c>
      <c r="AR721" s="2">
        <v>1.9964672575940337</v>
      </c>
    </row>
    <row r="722" spans="1:44" x14ac:dyDescent="0.25">
      <c r="A722" t="s">
        <v>250</v>
      </c>
      <c r="B722" t="s">
        <v>361</v>
      </c>
      <c r="C722" t="s">
        <v>45</v>
      </c>
      <c r="D722" t="s">
        <v>358</v>
      </c>
      <c r="E722" t="s">
        <v>148</v>
      </c>
      <c r="F722" t="s">
        <v>359</v>
      </c>
      <c r="G722" t="s">
        <v>31</v>
      </c>
      <c r="H722" t="s">
        <v>274</v>
      </c>
      <c r="I722" t="s">
        <v>135</v>
      </c>
      <c r="J722" t="s">
        <v>39</v>
      </c>
      <c r="K722" t="s">
        <v>31</v>
      </c>
      <c r="L722">
        <v>1.1100000000000001</v>
      </c>
      <c r="M722">
        <v>1</v>
      </c>
      <c r="N722">
        <v>2.8805169099386236</v>
      </c>
      <c r="O722">
        <v>3.1588853240212433</v>
      </c>
      <c r="P722">
        <v>-0.62137311888954427</v>
      </c>
      <c r="Q722">
        <v>0.59399912876282102</v>
      </c>
      <c r="R722">
        <v>-0.67371772101320537</v>
      </c>
      <c r="S722" s="2">
        <v>3.5591143319669387E-3</v>
      </c>
      <c r="T722" s="2">
        <v>9.8179686075139053E-3</v>
      </c>
      <c r="U722" s="2">
        <v>1.7423573947809589E-2</v>
      </c>
      <c r="V722" s="2">
        <v>2.8167524629170011E-2</v>
      </c>
      <c r="W722" s="2">
        <v>4.1974562823890157E-2</v>
      </c>
      <c r="X722" s="2">
        <v>5.825449359114894E-2</v>
      </c>
      <c r="Y722" s="2">
        <v>7.5996463930007072E-2</v>
      </c>
      <c r="Z722" s="2">
        <v>9.3983498701890864E-2</v>
      </c>
      <c r="AA722" s="2">
        <v>0.11104845778358478</v>
      </c>
      <c r="AB722" s="2">
        <v>0.12628656048823303</v>
      </c>
      <c r="AC722" s="2">
        <v>0.13916953361996601</v>
      </c>
      <c r="AD722" s="2">
        <v>0.14955117518927533</v>
      </c>
      <c r="AE722" s="2">
        <v>0.15759103155728427</v>
      </c>
      <c r="AF722" s="2">
        <v>0.16363952997353368</v>
      </c>
      <c r="AG722" s="2">
        <v>0.16812463032856903</v>
      </c>
      <c r="AH722" s="2">
        <v>0.17146522039743908</v>
      </c>
      <c r="AI722" s="2">
        <v>0.17401971882435627</v>
      </c>
      <c r="AJ722" s="2">
        <v>0.17624652182803241</v>
      </c>
      <c r="AK722" s="2">
        <v>0.17826812796011871</v>
      </c>
      <c r="AL722" s="2">
        <v>0.17959973488390102</v>
      </c>
      <c r="AM722" s="2">
        <v>0.18094934558381834</v>
      </c>
      <c r="AN722" s="2">
        <v>0.18231714783454495</v>
      </c>
      <c r="AO722" s="2">
        <v>0.18370333158149577</v>
      </c>
      <c r="AP722" s="2">
        <v>0.18510808896486844</v>
      </c>
      <c r="AQ722" s="2">
        <v>0.18653161434396068</v>
      </c>
      <c r="AR722" s="2">
        <v>3.1427969717063795</v>
      </c>
    </row>
    <row r="723" spans="1:44" x14ac:dyDescent="0.25">
      <c r="A723" t="s">
        <v>250</v>
      </c>
      <c r="B723" t="s">
        <v>361</v>
      </c>
      <c r="C723" t="s">
        <v>45</v>
      </c>
      <c r="D723" t="s">
        <v>358</v>
      </c>
      <c r="E723" t="s">
        <v>148</v>
      </c>
      <c r="F723" t="s">
        <v>359</v>
      </c>
      <c r="G723" t="s">
        <v>31</v>
      </c>
      <c r="H723" t="s">
        <v>274</v>
      </c>
      <c r="I723" t="s">
        <v>135</v>
      </c>
      <c r="J723" t="s">
        <v>39</v>
      </c>
      <c r="K723" t="s">
        <v>33</v>
      </c>
      <c r="L723">
        <v>1.1100000000000001</v>
      </c>
      <c r="M723">
        <v>1</v>
      </c>
      <c r="N723">
        <v>2.8805169099386236</v>
      </c>
      <c r="O723">
        <v>3.1588853240212433</v>
      </c>
      <c r="P723">
        <v>-0.62137311888954427</v>
      </c>
      <c r="Q723">
        <v>0.59399912876282102</v>
      </c>
      <c r="R723">
        <v>-0.67371772101320537</v>
      </c>
      <c r="S723" s="2">
        <v>1.1451388518772885E-5</v>
      </c>
      <c r="T723" s="2">
        <v>3.1589143394453028E-5</v>
      </c>
      <c r="U723" s="2">
        <v>5.6060046419377364E-5</v>
      </c>
      <c r="V723" s="2">
        <v>9.0628521046265365E-5</v>
      </c>
      <c r="W723" s="2">
        <v>1.3505242652217972E-4</v>
      </c>
      <c r="X723" s="2">
        <v>1.8743282088045507E-4</v>
      </c>
      <c r="Y723" s="2">
        <v>2.4451730215546919E-4</v>
      </c>
      <c r="Z723" s="2">
        <v>3.0239027398542656E-4</v>
      </c>
      <c r="AA723" s="2">
        <v>3.5729648330448422E-4</v>
      </c>
      <c r="AB723" s="2">
        <v>4.0632481397444937E-4</v>
      </c>
      <c r="AC723" s="2">
        <v>4.4777555616706317E-4</v>
      </c>
      <c r="AD723" s="2">
        <v>4.8117830752152752E-4</v>
      </c>
      <c r="AE723" s="2">
        <v>5.0704640568243105E-4</v>
      </c>
      <c r="AF723" s="2">
        <v>5.2650734423603481E-4</v>
      </c>
      <c r="AG723" s="2">
        <v>5.4093807669378959E-4</v>
      </c>
      <c r="AH723" s="2">
        <v>5.5168636719319709E-4</v>
      </c>
      <c r="AI723" s="2">
        <v>5.5990542149400916E-4</v>
      </c>
      <c r="AJ723" s="2">
        <v>5.6707012146468188E-4</v>
      </c>
      <c r="AK723" s="2">
        <v>5.7357460406658363E-4</v>
      </c>
      <c r="AL723" s="2">
        <v>5.7785902620541394E-4</v>
      </c>
      <c r="AM723" s="2">
        <v>5.8220137518112387E-4</v>
      </c>
      <c r="AN723" s="2">
        <v>5.8660225515546379E-4</v>
      </c>
      <c r="AO723" s="2">
        <v>5.9106227727449433E-4</v>
      </c>
      <c r="AP723" s="2">
        <v>5.9558205974596815E-4</v>
      </c>
      <c r="AQ723" s="2">
        <v>6.0016222791756514E-4</v>
      </c>
      <c r="AR723" s="2">
        <v>1.011189464620068E-2</v>
      </c>
    </row>
    <row r="724" spans="1:44" x14ac:dyDescent="0.25">
      <c r="A724" t="s">
        <v>250</v>
      </c>
      <c r="B724" t="s">
        <v>361</v>
      </c>
      <c r="C724" t="s">
        <v>45</v>
      </c>
      <c r="D724" t="s">
        <v>358</v>
      </c>
      <c r="E724" t="s">
        <v>148</v>
      </c>
      <c r="F724" t="s">
        <v>359</v>
      </c>
      <c r="G724" t="s">
        <v>31</v>
      </c>
      <c r="H724" t="s">
        <v>275</v>
      </c>
      <c r="I724" t="s">
        <v>135</v>
      </c>
      <c r="J724" t="s">
        <v>39</v>
      </c>
      <c r="K724" t="s">
        <v>31</v>
      </c>
      <c r="L724">
        <v>1.1100000000000001</v>
      </c>
      <c r="M724">
        <v>1</v>
      </c>
      <c r="N724">
        <v>2.8805169099386236</v>
      </c>
      <c r="O724">
        <v>3.1588853240212433</v>
      </c>
      <c r="P724">
        <v>-0.62137311888954427</v>
      </c>
      <c r="Q724">
        <v>0.59399912876282102</v>
      </c>
      <c r="R724">
        <v>-0.67371772101320537</v>
      </c>
      <c r="S724" s="2">
        <v>5.4372141164720882E-3</v>
      </c>
      <c r="T724" s="2">
        <v>1.4998786925271963E-2</v>
      </c>
      <c r="U724" s="2">
        <v>2.6617774365250646E-2</v>
      </c>
      <c r="V724" s="2">
        <v>4.3031172436418914E-2</v>
      </c>
      <c r="W724" s="2">
        <v>6.4124010703716344E-2</v>
      </c>
      <c r="X724" s="2">
        <v>8.8994655793112387E-2</v>
      </c>
      <c r="Y724" s="2">
        <v>0.11609884031284816</v>
      </c>
      <c r="Z724" s="2">
        <v>0.14357740667885455</v>
      </c>
      <c r="AA724" s="2">
        <v>0.16964732963205406</v>
      </c>
      <c r="AB724" s="2">
        <v>0.19292638711829371</v>
      </c>
      <c r="AC724" s="2">
        <v>0.21260754283303071</v>
      </c>
      <c r="AD724" s="2">
        <v>0.2284674458391853</v>
      </c>
      <c r="AE724" s="2">
        <v>0.24074983310219272</v>
      </c>
      <c r="AF724" s="2">
        <v>0.24999004791544269</v>
      </c>
      <c r="AG724" s="2">
        <v>0.25684187921098522</v>
      </c>
      <c r="AH724" s="2">
        <v>0.26194525656435458</v>
      </c>
      <c r="AI724" s="2">
        <v>0.26584773162186848</v>
      </c>
      <c r="AJ724" s="2">
        <v>0.2692495905105971</v>
      </c>
      <c r="AK724" s="2">
        <v>0.27233797272428012</v>
      </c>
      <c r="AL724" s="2">
        <v>0.27437225184213443</v>
      </c>
      <c r="AM724" s="2">
        <v>0.27643403510192993</v>
      </c>
      <c r="AN724" s="2">
        <v>0.27852360936465403</v>
      </c>
      <c r="AO724" s="2">
        <v>0.28064126480754792</v>
      </c>
      <c r="AP724" s="2">
        <v>0.28278729496074245</v>
      </c>
      <c r="AQ724" s="2">
        <v>0.28496199674451661</v>
      </c>
      <c r="AR724" s="2">
        <v>4.8012113312257565</v>
      </c>
    </row>
    <row r="725" spans="1:44" x14ac:dyDescent="0.25">
      <c r="A725" t="s">
        <v>250</v>
      </c>
      <c r="B725" t="s">
        <v>370</v>
      </c>
      <c r="C725" t="s">
        <v>45</v>
      </c>
      <c r="D725" t="s">
        <v>358</v>
      </c>
      <c r="E725" t="s">
        <v>145</v>
      </c>
      <c r="F725" t="s">
        <v>368</v>
      </c>
      <c r="G725" t="s">
        <v>31</v>
      </c>
      <c r="H725" t="s">
        <v>272</v>
      </c>
      <c r="I725" t="s">
        <v>135</v>
      </c>
      <c r="J725" t="s">
        <v>39</v>
      </c>
      <c r="K725" t="s">
        <v>31</v>
      </c>
      <c r="L725">
        <v>0.71805929919137568</v>
      </c>
      <c r="M725">
        <v>1</v>
      </c>
      <c r="N725">
        <v>4.5538628518455466</v>
      </c>
      <c r="O725">
        <v>3.1588853240212424</v>
      </c>
      <c r="P725">
        <v>-0.83964188629624992</v>
      </c>
      <c r="Q725">
        <v>0.37573036135611498</v>
      </c>
      <c r="R725">
        <v>-0.67371772101320493</v>
      </c>
      <c r="S725" s="2">
        <v>0</v>
      </c>
      <c r="T725" s="2">
        <v>0</v>
      </c>
      <c r="U725" s="2">
        <v>3.760357998710499E-3</v>
      </c>
      <c r="V725" s="2">
        <v>7.0431846643922444E-3</v>
      </c>
      <c r="W725" s="2">
        <v>1.1996871797645206E-2</v>
      </c>
      <c r="X725" s="2">
        <v>1.9049977198201243E-2</v>
      </c>
      <c r="Y725" s="2">
        <v>2.8587096720914553E-2</v>
      </c>
      <c r="Z725" s="2">
        <v>4.0875352638937608E-2</v>
      </c>
      <c r="AA725" s="2">
        <v>5.5977763312204672E-2</v>
      </c>
      <c r="AB725" s="2">
        <v>7.366838057173776E-2</v>
      </c>
      <c r="AC725" s="2">
        <v>9.3373496165605516E-2</v>
      </c>
      <c r="AD725" s="2">
        <v>0.11416892380670336</v>
      </c>
      <c r="AE725" s="2">
        <v>0.13485926146207824</v>
      </c>
      <c r="AF725" s="2">
        <v>0.15414611306986722</v>
      </c>
      <c r="AG725" s="2">
        <v>0.17085941255581005</v>
      </c>
      <c r="AH725" s="2">
        <v>0.18419036994386251</v>
      </c>
      <c r="AI725" s="2">
        <v>0.19384625633481034</v>
      </c>
      <c r="AJ725" s="2">
        <v>0.20061444900435804</v>
      </c>
      <c r="AK725" s="2">
        <v>0.20385186467516583</v>
      </c>
      <c r="AL725" s="2">
        <v>0.20622703011558111</v>
      </c>
      <c r="AM725" s="2">
        <v>0.20610279696490899</v>
      </c>
      <c r="AN725" s="2">
        <v>0.20515472409887039</v>
      </c>
      <c r="AO725" s="2">
        <v>0.20421101236801559</v>
      </c>
      <c r="AP725" s="2">
        <v>0.20327164171112269</v>
      </c>
      <c r="AQ725" s="2">
        <v>0</v>
      </c>
      <c r="AR725" s="2">
        <v>2.7158363371795033</v>
      </c>
    </row>
    <row r="726" spans="1:44" x14ac:dyDescent="0.25">
      <c r="A726" t="s">
        <v>250</v>
      </c>
      <c r="B726" t="s">
        <v>370</v>
      </c>
      <c r="C726" t="s">
        <v>45</v>
      </c>
      <c r="D726" t="s">
        <v>358</v>
      </c>
      <c r="E726" t="s">
        <v>145</v>
      </c>
      <c r="F726" t="s">
        <v>368</v>
      </c>
      <c r="G726" t="s">
        <v>31</v>
      </c>
      <c r="H726" t="s">
        <v>272</v>
      </c>
      <c r="I726" t="s">
        <v>135</v>
      </c>
      <c r="J726" t="s">
        <v>40</v>
      </c>
      <c r="K726" t="s">
        <v>31</v>
      </c>
      <c r="L726">
        <v>0.71805929919137568</v>
      </c>
      <c r="M726">
        <v>1</v>
      </c>
      <c r="N726">
        <v>4.5538628518455466</v>
      </c>
      <c r="O726">
        <v>1.9798085216903565</v>
      </c>
      <c r="P726">
        <v>-0.83964188629624992</v>
      </c>
      <c r="Q726">
        <v>0.4672931329656026</v>
      </c>
      <c r="R726">
        <v>-0.53071772101320502</v>
      </c>
      <c r="S726" s="2">
        <v>0</v>
      </c>
      <c r="T726" s="2">
        <v>0</v>
      </c>
      <c r="U726" s="2">
        <v>3.7195897669568926E-4</v>
      </c>
      <c r="V726" s="2">
        <v>6.96682539626409E-4</v>
      </c>
      <c r="W726" s="2">
        <v>1.1866806721412457E-3</v>
      </c>
      <c r="X726" s="2">
        <v>1.8843445297360014E-3</v>
      </c>
      <c r="Y726" s="2">
        <v>2.8277167351242658E-3</v>
      </c>
      <c r="Z726" s="2">
        <v>4.0432199128030916E-3</v>
      </c>
      <c r="AA726" s="2">
        <v>5.5370875768906121E-3</v>
      </c>
      <c r="AB726" s="2">
        <v>7.286969874062188E-3</v>
      </c>
      <c r="AC726" s="2">
        <v>9.2361179696633881E-3</v>
      </c>
      <c r="AD726" s="2">
        <v>1.1293115199178368E-2</v>
      </c>
      <c r="AE726" s="2">
        <v>1.3339717364296858E-2</v>
      </c>
      <c r="AF726" s="2">
        <v>1.5247492525644496E-2</v>
      </c>
      <c r="AG726" s="2">
        <v>1.6900702612591453E-2</v>
      </c>
      <c r="AH726" s="2">
        <v>1.8219345483864419E-2</v>
      </c>
      <c r="AI726" s="2">
        <v>1.9174465613995214E-2</v>
      </c>
      <c r="AJ726" s="2">
        <v>1.9843947088979116E-2</v>
      </c>
      <c r="AK726" s="2">
        <v>2.0164178785127509E-2</v>
      </c>
      <c r="AL726" s="2">
        <v>2.0399120273943937E-2</v>
      </c>
      <c r="AM726" s="2">
        <v>2.0386831647272889E-2</v>
      </c>
      <c r="AN726" s="2">
        <v>2.0293052221695435E-2</v>
      </c>
      <c r="AO726" s="2">
        <v>2.0199704181475632E-2</v>
      </c>
      <c r="AP726" s="2">
        <v>2.0106785542240841E-2</v>
      </c>
      <c r="AQ726" s="2">
        <v>0</v>
      </c>
      <c r="AR726" s="2">
        <v>0.26863923732704909</v>
      </c>
    </row>
    <row r="727" spans="1:44" x14ac:dyDescent="0.25">
      <c r="A727" t="s">
        <v>250</v>
      </c>
      <c r="B727" t="s">
        <v>370</v>
      </c>
      <c r="C727" t="s">
        <v>45</v>
      </c>
      <c r="D727" t="s">
        <v>358</v>
      </c>
      <c r="E727" t="s">
        <v>145</v>
      </c>
      <c r="F727" t="s">
        <v>368</v>
      </c>
      <c r="G727" t="s">
        <v>31</v>
      </c>
      <c r="H727" t="s">
        <v>273</v>
      </c>
      <c r="I727" t="s">
        <v>135</v>
      </c>
      <c r="J727" t="s">
        <v>39</v>
      </c>
      <c r="K727" t="s">
        <v>31</v>
      </c>
      <c r="L727">
        <v>0.71805929919137568</v>
      </c>
      <c r="M727">
        <v>1</v>
      </c>
      <c r="N727">
        <v>4.5538628518455466</v>
      </c>
      <c r="O727">
        <v>3.1588853240212424</v>
      </c>
      <c r="P727">
        <v>-0.83964188629624992</v>
      </c>
      <c r="Q727">
        <v>0.37573036135611498</v>
      </c>
      <c r="R727">
        <v>-0.67371772101320493</v>
      </c>
      <c r="S727" s="2">
        <v>0</v>
      </c>
      <c r="T727" s="2">
        <v>0</v>
      </c>
      <c r="U727" s="2">
        <v>1.130952288975707E-3</v>
      </c>
      <c r="V727" s="2">
        <v>2.1182839029168336E-3</v>
      </c>
      <c r="W727" s="2">
        <v>3.6081377424031572E-3</v>
      </c>
      <c r="X727" s="2">
        <v>5.7294053716770571E-3</v>
      </c>
      <c r="Y727" s="2">
        <v>8.5977565122190656E-3</v>
      </c>
      <c r="Z727" s="2">
        <v>1.2293529936657154E-2</v>
      </c>
      <c r="AA727" s="2">
        <v>1.6835678829352919E-2</v>
      </c>
      <c r="AB727" s="2">
        <v>2.2156247799095426E-2</v>
      </c>
      <c r="AC727" s="2">
        <v>2.8082690332773802E-2</v>
      </c>
      <c r="AD727" s="2">
        <v>3.4337051353451421E-2</v>
      </c>
      <c r="AE727" s="2">
        <v>4.0559805872848465E-2</v>
      </c>
      <c r="AF727" s="2">
        <v>4.6360452774139173E-2</v>
      </c>
      <c r="AG727" s="2">
        <v>5.1387087024507165E-2</v>
      </c>
      <c r="AH727" s="2">
        <v>5.5396459743122191E-2</v>
      </c>
      <c r="AI727" s="2">
        <v>5.8300530796909222E-2</v>
      </c>
      <c r="AJ727" s="2">
        <v>6.033610905687236E-2</v>
      </c>
      <c r="AK727" s="2">
        <v>6.1309783016777641E-2</v>
      </c>
      <c r="AL727" s="2">
        <v>6.2024129574327395E-2</v>
      </c>
      <c r="AM727" s="2">
        <v>6.1986765640848866E-2</v>
      </c>
      <c r="AN727" s="2">
        <v>6.1701626518900966E-2</v>
      </c>
      <c r="AO727" s="2">
        <v>6.1417799036914029E-2</v>
      </c>
      <c r="AP727" s="2">
        <v>6.1135277161344204E-2</v>
      </c>
      <c r="AQ727" s="2">
        <v>0</v>
      </c>
      <c r="AR727" s="2">
        <v>0.8168055602870341</v>
      </c>
    </row>
    <row r="728" spans="1:44" x14ac:dyDescent="0.25">
      <c r="A728" t="s">
        <v>250</v>
      </c>
      <c r="B728" t="s">
        <v>370</v>
      </c>
      <c r="C728" t="s">
        <v>45</v>
      </c>
      <c r="D728" t="s">
        <v>358</v>
      </c>
      <c r="E728" t="s">
        <v>145</v>
      </c>
      <c r="F728" t="s">
        <v>368</v>
      </c>
      <c r="G728" t="s">
        <v>31</v>
      </c>
      <c r="H728" t="s">
        <v>274</v>
      </c>
      <c r="I728" t="s">
        <v>135</v>
      </c>
      <c r="J728" t="s">
        <v>39</v>
      </c>
      <c r="K728" t="s">
        <v>31</v>
      </c>
      <c r="L728">
        <v>0.71805929919137568</v>
      </c>
      <c r="M728">
        <v>1</v>
      </c>
      <c r="N728">
        <v>4.5538628518455466</v>
      </c>
      <c r="O728">
        <v>3.1588853240212424</v>
      </c>
      <c r="P728">
        <v>-0.83964188629624992</v>
      </c>
      <c r="Q728">
        <v>0.37573036135611498</v>
      </c>
      <c r="R728">
        <v>-0.67371772101320493</v>
      </c>
      <c r="S728" s="2">
        <v>0</v>
      </c>
      <c r="T728" s="2">
        <v>0</v>
      </c>
      <c r="U728" s="2">
        <v>1.7803214229622003E-3</v>
      </c>
      <c r="V728" s="2">
        <v>3.3345581852037144E-3</v>
      </c>
      <c r="W728" s="2">
        <v>5.6798549173251557E-3</v>
      </c>
      <c r="X728" s="2">
        <v>9.019110022112059E-3</v>
      </c>
      <c r="Y728" s="2">
        <v>1.3534408354201728E-2</v>
      </c>
      <c r="Z728" s="2">
        <v>1.9352217528009259E-2</v>
      </c>
      <c r="AA728" s="2">
        <v>2.6502373249674731E-2</v>
      </c>
      <c r="AB728" s="2">
        <v>3.4877901564630887E-2</v>
      </c>
      <c r="AC728" s="2">
        <v>4.4207183363262667E-2</v>
      </c>
      <c r="AD728" s="2">
        <v>5.4052667580936228E-2</v>
      </c>
      <c r="AE728" s="2">
        <v>6.3848397505804316E-2</v>
      </c>
      <c r="AF728" s="2">
        <v>7.297965445277968E-2</v>
      </c>
      <c r="AG728" s="2">
        <v>8.0892476884423303E-2</v>
      </c>
      <c r="AH728" s="2">
        <v>8.7203947503626311E-2</v>
      </c>
      <c r="AI728" s="2">
        <v>9.1775475375543925E-2</v>
      </c>
      <c r="AJ728" s="2">
        <v>9.4979840068603327E-2</v>
      </c>
      <c r="AK728" s="2">
        <v>9.6512577237710409E-2</v>
      </c>
      <c r="AL728" s="2">
        <v>9.763708663764005E-2</v>
      </c>
      <c r="AM728" s="2">
        <v>9.7578269115569188E-2</v>
      </c>
      <c r="AN728" s="2">
        <v>9.7129409077637563E-2</v>
      </c>
      <c r="AO728" s="2">
        <v>9.6682613795880445E-2</v>
      </c>
      <c r="AP728" s="2">
        <v>9.623787377241938E-2</v>
      </c>
      <c r="AQ728" s="2">
        <v>0</v>
      </c>
      <c r="AR728" s="2">
        <v>1.2857982176159564</v>
      </c>
    </row>
    <row r="729" spans="1:44" x14ac:dyDescent="0.25">
      <c r="A729" t="s">
        <v>250</v>
      </c>
      <c r="B729" t="s">
        <v>370</v>
      </c>
      <c r="C729" t="s">
        <v>45</v>
      </c>
      <c r="D729" t="s">
        <v>358</v>
      </c>
      <c r="E729" t="s">
        <v>145</v>
      </c>
      <c r="F729" t="s">
        <v>368</v>
      </c>
      <c r="G729" t="s">
        <v>31</v>
      </c>
      <c r="H729" t="s">
        <v>274</v>
      </c>
      <c r="I729" t="s">
        <v>135</v>
      </c>
      <c r="J729" t="s">
        <v>39</v>
      </c>
      <c r="K729" t="s">
        <v>33</v>
      </c>
      <c r="L729">
        <v>0.71805929919137568</v>
      </c>
      <c r="M729">
        <v>1</v>
      </c>
      <c r="N729">
        <v>4.5538628518455466</v>
      </c>
      <c r="O729">
        <v>3.1588853240212424</v>
      </c>
      <c r="P729">
        <v>-0.83964188629624992</v>
      </c>
      <c r="Q729">
        <v>0.37573036135611498</v>
      </c>
      <c r="R729">
        <v>-0.67371772101320493</v>
      </c>
      <c r="S729" s="2">
        <v>0</v>
      </c>
      <c r="T729" s="2">
        <v>0</v>
      </c>
      <c r="U729" s="2">
        <v>5.7281532429355319E-6</v>
      </c>
      <c r="V729" s="2">
        <v>1.072888301852301E-5</v>
      </c>
      <c r="W729" s="2">
        <v>1.8274834501483271E-5</v>
      </c>
      <c r="X729" s="2">
        <v>2.9018829777149995E-5</v>
      </c>
      <c r="Y729" s="2">
        <v>4.3546723701352907E-5</v>
      </c>
      <c r="Z729" s="2">
        <v>6.2265423625930099E-5</v>
      </c>
      <c r="AA729" s="2">
        <v>8.5270925416952286E-5</v>
      </c>
      <c r="AB729" s="2">
        <v>1.122190422344137E-4</v>
      </c>
      <c r="AC729" s="2">
        <v>1.4223584431286994E-4</v>
      </c>
      <c r="AD729" s="2">
        <v>1.7391351870489172E-4</v>
      </c>
      <c r="AE729" s="2">
        <v>2.0543110952435861E-4</v>
      </c>
      <c r="AF729" s="2">
        <v>2.348107700835548E-4</v>
      </c>
      <c r="AG729" s="2">
        <v>2.6027013876158648E-4</v>
      </c>
      <c r="AH729" s="2">
        <v>2.8057718580870133E-4</v>
      </c>
      <c r="AI729" s="2">
        <v>2.9528599730023778E-4</v>
      </c>
      <c r="AJ729" s="2">
        <v>3.0559598502007118E-4</v>
      </c>
      <c r="AK729" s="2">
        <v>3.105275402283325E-4</v>
      </c>
      <c r="AL729" s="2">
        <v>3.1414562968276442E-4</v>
      </c>
      <c r="AM729" s="2">
        <v>3.1395638532753377E-4</v>
      </c>
      <c r="AN729" s="2">
        <v>3.1251218595502713E-4</v>
      </c>
      <c r="AO729" s="2">
        <v>3.1107462989963402E-4</v>
      </c>
      <c r="AP729" s="2">
        <v>3.0964368660209567E-4</v>
      </c>
      <c r="AQ729" s="2">
        <v>0</v>
      </c>
      <c r="AR729" s="2">
        <v>4.1370334227304002E-3</v>
      </c>
    </row>
    <row r="730" spans="1:44" x14ac:dyDescent="0.25">
      <c r="A730" t="s">
        <v>250</v>
      </c>
      <c r="B730" t="s">
        <v>370</v>
      </c>
      <c r="C730" t="s">
        <v>45</v>
      </c>
      <c r="D730" t="s">
        <v>358</v>
      </c>
      <c r="E730" t="s">
        <v>145</v>
      </c>
      <c r="F730" t="s">
        <v>368</v>
      </c>
      <c r="G730" t="s">
        <v>31</v>
      </c>
      <c r="H730" t="s">
        <v>275</v>
      </c>
      <c r="I730" t="s">
        <v>135</v>
      </c>
      <c r="J730" t="s">
        <v>39</v>
      </c>
      <c r="K730" t="s">
        <v>31</v>
      </c>
      <c r="L730">
        <v>0.71805929919137568</v>
      </c>
      <c r="M730">
        <v>1</v>
      </c>
      <c r="N730">
        <v>4.5538628518455466</v>
      </c>
      <c r="O730">
        <v>3.1588853240212424</v>
      </c>
      <c r="P730">
        <v>-0.83964188629624992</v>
      </c>
      <c r="Q730">
        <v>0.37573036135611498</v>
      </c>
      <c r="R730">
        <v>-0.67371772101320493</v>
      </c>
      <c r="S730" s="2">
        <v>0</v>
      </c>
      <c r="T730" s="2">
        <v>0</v>
      </c>
      <c r="U730" s="2">
        <v>2.7197746039920342E-3</v>
      </c>
      <c r="V730" s="2">
        <v>5.0941625206985894E-3</v>
      </c>
      <c r="W730" s="2">
        <v>8.6770427852275647E-3</v>
      </c>
      <c r="X730" s="2">
        <v>1.3778380730787408E-2</v>
      </c>
      <c r="Y730" s="2">
        <v>2.0676345095352495E-2</v>
      </c>
      <c r="Z730" s="2">
        <v>2.9564138859843731E-2</v>
      </c>
      <c r="AA730" s="2">
        <v>4.0487341656570933E-2</v>
      </c>
      <c r="AB730" s="2">
        <v>5.3282530723122751E-2</v>
      </c>
      <c r="AC730" s="2">
        <v>6.7534756968418291E-2</v>
      </c>
      <c r="AD730" s="2">
        <v>8.2575579144606601E-2</v>
      </c>
      <c r="AE730" s="2">
        <v>9.7540392314630839E-2</v>
      </c>
      <c r="AF730" s="2">
        <v>0.11149009848936618</v>
      </c>
      <c r="AG730" s="2">
        <v>0.12357841760854799</v>
      </c>
      <c r="AH730" s="2">
        <v>0.13322037174253165</v>
      </c>
      <c r="AI730" s="2">
        <v>0.14020423726654233</v>
      </c>
      <c r="AJ730" s="2">
        <v>0.14509950482986295</v>
      </c>
      <c r="AK730" s="2">
        <v>0.14744104808905492</v>
      </c>
      <c r="AL730" s="2">
        <v>0.14915894692936105</v>
      </c>
      <c r="AM730" s="2">
        <v>0.14906909214205422</v>
      </c>
      <c r="AN730" s="2">
        <v>0.14838337431820076</v>
      </c>
      <c r="AO730" s="2">
        <v>0.14770081079633704</v>
      </c>
      <c r="AP730" s="2">
        <v>0.14702138706667386</v>
      </c>
      <c r="AQ730" s="2">
        <v>0</v>
      </c>
      <c r="AR730" s="2">
        <v>1.964297734681784</v>
      </c>
    </row>
    <row r="731" spans="1:44" x14ac:dyDescent="0.25">
      <c r="A731" t="s">
        <v>250</v>
      </c>
      <c r="B731" t="s">
        <v>370</v>
      </c>
      <c r="C731" t="s">
        <v>45</v>
      </c>
      <c r="D731" t="s">
        <v>358</v>
      </c>
      <c r="E731" t="s">
        <v>148</v>
      </c>
      <c r="F731" t="s">
        <v>368</v>
      </c>
      <c r="G731" t="s">
        <v>31</v>
      </c>
      <c r="H731" t="s">
        <v>272</v>
      </c>
      <c r="I731" t="s">
        <v>135</v>
      </c>
      <c r="J731" t="s">
        <v>39</v>
      </c>
      <c r="K731" t="s">
        <v>31</v>
      </c>
      <c r="L731">
        <v>0.71805929919137568</v>
      </c>
      <c r="M731">
        <v>1</v>
      </c>
      <c r="N731">
        <v>4.5538628518455466</v>
      </c>
      <c r="O731">
        <v>3.1588853240212424</v>
      </c>
      <c r="P731">
        <v>-0.83964188629624992</v>
      </c>
      <c r="Q731">
        <v>0.37573036135611498</v>
      </c>
      <c r="R731">
        <v>-0.67371772101320493</v>
      </c>
      <c r="S731" s="2">
        <v>0</v>
      </c>
      <c r="T731" s="2">
        <v>0</v>
      </c>
      <c r="U731" s="2">
        <v>1.0962624750181129E-3</v>
      </c>
      <c r="V731" s="2">
        <v>2.0766233475442209E-3</v>
      </c>
      <c r="W731" s="2">
        <v>3.5775180262656455E-3</v>
      </c>
      <c r="X731" s="2">
        <v>5.7458612130873417E-3</v>
      </c>
      <c r="Y731" s="2">
        <v>8.7216596008064026E-3</v>
      </c>
      <c r="Z731" s="2">
        <v>1.2614800951519381E-2</v>
      </c>
      <c r="AA731" s="2">
        <v>1.7476138750917043E-2</v>
      </c>
      <c r="AB731" s="2">
        <v>2.3267150990994159E-2</v>
      </c>
      <c r="AC731" s="2">
        <v>2.9835875211948696E-2</v>
      </c>
      <c r="AD731" s="2">
        <v>3.6909394700232571E-2</v>
      </c>
      <c r="AE731" s="2">
        <v>4.4112763619690548E-2</v>
      </c>
      <c r="AF731" s="2">
        <v>5.1018889786205029E-2</v>
      </c>
      <c r="AG731" s="2">
        <v>5.7223257061204562E-2</v>
      </c>
      <c r="AH731" s="2">
        <v>6.2424628648662273E-2</v>
      </c>
      <c r="AI731" s="2">
        <v>6.6484718089618228E-2</v>
      </c>
      <c r="AJ731" s="2">
        <v>6.9634075153182554E-2</v>
      </c>
      <c r="AK731" s="2">
        <v>7.1612550537528227E-2</v>
      </c>
      <c r="AL731" s="2">
        <v>7.3325391736868015E-2</v>
      </c>
      <c r="AM731" s="2">
        <v>7.4173091225068308E-2</v>
      </c>
      <c r="AN731" s="2">
        <v>7.4733768141547544E-2</v>
      </c>
      <c r="AO731" s="2">
        <v>7.5301979831872687E-2</v>
      </c>
      <c r="AP731" s="2">
        <v>7.5877805056383571E-2</v>
      </c>
      <c r="AQ731" s="2">
        <v>0</v>
      </c>
      <c r="AR731" s="2">
        <v>0.93724420415616505</v>
      </c>
    </row>
    <row r="732" spans="1:44" x14ac:dyDescent="0.25">
      <c r="A732" t="s">
        <v>250</v>
      </c>
      <c r="B732" t="s">
        <v>370</v>
      </c>
      <c r="C732" t="s">
        <v>45</v>
      </c>
      <c r="D732" t="s">
        <v>358</v>
      </c>
      <c r="E732" t="s">
        <v>148</v>
      </c>
      <c r="F732" t="s">
        <v>368</v>
      </c>
      <c r="G732" t="s">
        <v>31</v>
      </c>
      <c r="H732" t="s">
        <v>272</v>
      </c>
      <c r="I732" t="s">
        <v>135</v>
      </c>
      <c r="J732" t="s">
        <v>40</v>
      </c>
      <c r="K732" t="s">
        <v>31</v>
      </c>
      <c r="L732">
        <v>0.71805929919137568</v>
      </c>
      <c r="M732">
        <v>1</v>
      </c>
      <c r="N732">
        <v>4.5538628518455466</v>
      </c>
      <c r="O732">
        <v>1.9798085216903565</v>
      </c>
      <c r="P732">
        <v>-0.83964188629624992</v>
      </c>
      <c r="Q732">
        <v>0.4672931329656026</v>
      </c>
      <c r="R732">
        <v>-0.53071772101320502</v>
      </c>
      <c r="S732" s="2">
        <v>0</v>
      </c>
      <c r="T732" s="2">
        <v>0</v>
      </c>
      <c r="U732" s="2">
        <v>1.0843772548716029E-4</v>
      </c>
      <c r="V732" s="2">
        <v>2.0541094640452186E-4</v>
      </c>
      <c r="W732" s="2">
        <v>3.5387320691712486E-4</v>
      </c>
      <c r="X732" s="2">
        <v>5.6835669842826813E-4</v>
      </c>
      <c r="Y732" s="2">
        <v>8.6271030080554186E-4</v>
      </c>
      <c r="Z732" s="2">
        <v>1.247803654533941E-3</v>
      </c>
      <c r="AA732" s="2">
        <v>1.728666974956167E-3</v>
      </c>
      <c r="AB732" s="2">
        <v>2.3014898252246199E-3</v>
      </c>
      <c r="AC732" s="2">
        <v>2.9512407107148498E-3</v>
      </c>
      <c r="AD732" s="2">
        <v>3.6509238449806769E-3</v>
      </c>
      <c r="AE732" s="2">
        <v>4.3634511450307582E-3</v>
      </c>
      <c r="AF732" s="2">
        <v>5.0465764279716127E-3</v>
      </c>
      <c r="AG732" s="2">
        <v>5.6602866394579723E-3</v>
      </c>
      <c r="AH732" s="2">
        <v>6.1747846882470939E-3</v>
      </c>
      <c r="AI732" s="2">
        <v>6.5763918528491299E-3</v>
      </c>
      <c r="AJ732" s="2">
        <v>6.8879131577393518E-3</v>
      </c>
      <c r="AK732" s="2">
        <v>7.0836157157487716E-3</v>
      </c>
      <c r="AL732" s="2">
        <v>7.2530428447527733E-3</v>
      </c>
      <c r="AM732" s="2">
        <v>7.336893753172786E-3</v>
      </c>
      <c r="AN732" s="2">
        <v>7.392353582311933E-3</v>
      </c>
      <c r="AO732" s="2">
        <v>7.4485587199484221E-3</v>
      </c>
      <c r="AP732" s="2">
        <v>7.5055169567274805E-3</v>
      </c>
      <c r="AQ732" s="2">
        <v>0</v>
      </c>
      <c r="AR732" s="2">
        <v>9.2708299372410971E-2</v>
      </c>
    </row>
    <row r="733" spans="1:44" x14ac:dyDescent="0.25">
      <c r="A733" t="s">
        <v>250</v>
      </c>
      <c r="B733" t="s">
        <v>370</v>
      </c>
      <c r="C733" t="s">
        <v>45</v>
      </c>
      <c r="D733" t="s">
        <v>358</v>
      </c>
      <c r="E733" t="s">
        <v>148</v>
      </c>
      <c r="F733" t="s">
        <v>368</v>
      </c>
      <c r="G733" t="s">
        <v>31</v>
      </c>
      <c r="H733" t="s">
        <v>273</v>
      </c>
      <c r="I733" t="s">
        <v>135</v>
      </c>
      <c r="J733" t="s">
        <v>39</v>
      </c>
      <c r="K733" t="s">
        <v>31</v>
      </c>
      <c r="L733">
        <v>0.71805929919137568</v>
      </c>
      <c r="M733">
        <v>1</v>
      </c>
      <c r="N733">
        <v>4.5538628518455466</v>
      </c>
      <c r="O733">
        <v>3.1588853240212424</v>
      </c>
      <c r="P733">
        <v>-0.83964188629624992</v>
      </c>
      <c r="Q733">
        <v>0.37573036135611498</v>
      </c>
      <c r="R733">
        <v>-0.67371772101320493</v>
      </c>
      <c r="S733" s="2">
        <v>0</v>
      </c>
      <c r="T733" s="2">
        <v>0</v>
      </c>
      <c r="U733" s="2">
        <v>3.2970811711678953E-4</v>
      </c>
      <c r="V733" s="2">
        <v>6.2455806842086087E-4</v>
      </c>
      <c r="W733" s="2">
        <v>1.0759619701221079E-3</v>
      </c>
      <c r="X733" s="2">
        <v>1.7281053807393569E-3</v>
      </c>
      <c r="Y733" s="2">
        <v>2.623096229822125E-3</v>
      </c>
      <c r="Z733" s="2">
        <v>3.7939839813086653E-3</v>
      </c>
      <c r="AA733" s="2">
        <v>5.2560631539828213E-3</v>
      </c>
      <c r="AB733" s="2">
        <v>6.9977480017146603E-3</v>
      </c>
      <c r="AC733" s="2">
        <v>8.973334819748071E-3</v>
      </c>
      <c r="AD733" s="2">
        <v>1.1100742119566962E-2</v>
      </c>
      <c r="AE733" s="2">
        <v>1.3267202485997555E-2</v>
      </c>
      <c r="AF733" s="2">
        <v>1.5344265148290456E-2</v>
      </c>
      <c r="AG733" s="2">
        <v>1.7210269229208219E-2</v>
      </c>
      <c r="AH733" s="2">
        <v>1.8774615790005444E-2</v>
      </c>
      <c r="AI733" s="2">
        <v>1.9995714272721697E-2</v>
      </c>
      <c r="AJ733" s="2">
        <v>2.0942904029936621E-2</v>
      </c>
      <c r="AK733" s="2">
        <v>2.1537943455803499E-2</v>
      </c>
      <c r="AL733" s="2">
        <v>2.2053091661296449E-2</v>
      </c>
      <c r="AM733" s="2">
        <v>2.2308042832666682E-2</v>
      </c>
      <c r="AN733" s="2">
        <v>2.2476670086318193E-2</v>
      </c>
      <c r="AO733" s="2">
        <v>2.2647563472537123E-2</v>
      </c>
      <c r="AP733" s="2">
        <v>2.2820746679012151E-2</v>
      </c>
      <c r="AQ733" s="2">
        <v>0</v>
      </c>
      <c r="AR733" s="2">
        <v>0.28188233098633653</v>
      </c>
    </row>
    <row r="734" spans="1:44" x14ac:dyDescent="0.25">
      <c r="A734" t="s">
        <v>250</v>
      </c>
      <c r="B734" t="s">
        <v>370</v>
      </c>
      <c r="C734" t="s">
        <v>45</v>
      </c>
      <c r="D734" t="s">
        <v>358</v>
      </c>
      <c r="E734" t="s">
        <v>148</v>
      </c>
      <c r="F734" t="s">
        <v>368</v>
      </c>
      <c r="G734" t="s">
        <v>31</v>
      </c>
      <c r="H734" t="s">
        <v>274</v>
      </c>
      <c r="I734" t="s">
        <v>135</v>
      </c>
      <c r="J734" t="s">
        <v>39</v>
      </c>
      <c r="K734" t="s">
        <v>31</v>
      </c>
      <c r="L734">
        <v>0.71805929919137568</v>
      </c>
      <c r="M734">
        <v>1</v>
      </c>
      <c r="N734">
        <v>4.5538628518455466</v>
      </c>
      <c r="O734">
        <v>3.1588853240212424</v>
      </c>
      <c r="P734">
        <v>-0.83964188629624992</v>
      </c>
      <c r="Q734">
        <v>0.37573036135611498</v>
      </c>
      <c r="R734">
        <v>-0.67371772101320493</v>
      </c>
      <c r="S734" s="2">
        <v>0</v>
      </c>
      <c r="T734" s="2">
        <v>0</v>
      </c>
      <c r="U734" s="2">
        <v>5.1901961731664042E-4</v>
      </c>
      <c r="V734" s="2">
        <v>9.8316623957725923E-4</v>
      </c>
      <c r="W734" s="2">
        <v>1.6937568139465198E-3</v>
      </c>
      <c r="X734" s="2">
        <v>2.7203473218599993E-3</v>
      </c>
      <c r="Y734" s="2">
        <v>4.1292231847138046E-3</v>
      </c>
      <c r="Z734" s="2">
        <v>5.9724101769286888E-3</v>
      </c>
      <c r="AA734" s="2">
        <v>8.2739846098660863E-3</v>
      </c>
      <c r="AB734" s="2">
        <v>1.101570844445339E-2</v>
      </c>
      <c r="AC734" s="2">
        <v>1.4125635865221925E-2</v>
      </c>
      <c r="AD734" s="2">
        <v>1.7474555910880058E-2</v>
      </c>
      <c r="AE734" s="2">
        <v>2.0884952476634789E-2</v>
      </c>
      <c r="AF734" s="2">
        <v>2.4154621047590592E-2</v>
      </c>
      <c r="AG734" s="2">
        <v>2.7092045617111933E-2</v>
      </c>
      <c r="AH734" s="2">
        <v>2.9554607232019799E-2</v>
      </c>
      <c r="AI734" s="2">
        <v>3.1476834906447954E-2</v>
      </c>
      <c r="AJ734" s="2">
        <v>3.2967881197982267E-2</v>
      </c>
      <c r="AK734" s="2">
        <v>3.3904579808264133E-2</v>
      </c>
      <c r="AL734" s="2">
        <v>3.4715515331521105E-2</v>
      </c>
      <c r="AM734" s="2">
        <v>3.5116854129474219E-2</v>
      </c>
      <c r="AN734" s="2">
        <v>3.5382303622876692E-2</v>
      </c>
      <c r="AO734" s="2">
        <v>3.5651320414737772E-2</v>
      </c>
      <c r="AP734" s="2">
        <v>3.5923941793721145E-2</v>
      </c>
      <c r="AQ734" s="2">
        <v>0</v>
      </c>
      <c r="AR734" s="2">
        <v>0.44373326576314676</v>
      </c>
    </row>
    <row r="735" spans="1:44" x14ac:dyDescent="0.25">
      <c r="A735" t="s">
        <v>250</v>
      </c>
      <c r="B735" t="s">
        <v>370</v>
      </c>
      <c r="C735" t="s">
        <v>45</v>
      </c>
      <c r="D735" t="s">
        <v>358</v>
      </c>
      <c r="E735" t="s">
        <v>148</v>
      </c>
      <c r="F735" t="s">
        <v>368</v>
      </c>
      <c r="G735" t="s">
        <v>31</v>
      </c>
      <c r="H735" t="s">
        <v>274</v>
      </c>
      <c r="I735" t="s">
        <v>135</v>
      </c>
      <c r="J735" t="s">
        <v>39</v>
      </c>
      <c r="K735" t="s">
        <v>33</v>
      </c>
      <c r="L735">
        <v>0.71805929919137568</v>
      </c>
      <c r="M735">
        <v>1</v>
      </c>
      <c r="N735">
        <v>4.5538628518455466</v>
      </c>
      <c r="O735">
        <v>3.1588853240212424</v>
      </c>
      <c r="P735">
        <v>-0.83964188629624992</v>
      </c>
      <c r="Q735">
        <v>0.37573036135611498</v>
      </c>
      <c r="R735">
        <v>-0.67371772101320493</v>
      </c>
      <c r="S735" s="2">
        <v>0</v>
      </c>
      <c r="T735" s="2">
        <v>0</v>
      </c>
      <c r="U735" s="2">
        <v>1.6699366000622498E-6</v>
      </c>
      <c r="V735" s="2">
        <v>3.1633202920227896E-6</v>
      </c>
      <c r="W735" s="2">
        <v>5.4496331176023853E-6</v>
      </c>
      <c r="X735" s="2">
        <v>8.7526702384428812E-6</v>
      </c>
      <c r="Y735" s="2">
        <v>1.3285703846088672E-5</v>
      </c>
      <c r="Z735" s="2">
        <v>1.921612596572213E-5</v>
      </c>
      <c r="AA735" s="2">
        <v>2.6621401710790556E-5</v>
      </c>
      <c r="AB735" s="2">
        <v>3.544285050748809E-5</v>
      </c>
      <c r="AC735" s="2">
        <v>4.544898794469862E-5</v>
      </c>
      <c r="AD735" s="2">
        <v>5.6224079999677268E-5</v>
      </c>
      <c r="AE735" s="2">
        <v>6.7196971689830769E-5</v>
      </c>
      <c r="AF735" s="2">
        <v>7.771707350205442E-5</v>
      </c>
      <c r="AG735" s="2">
        <v>8.7168186012841675E-5</v>
      </c>
      <c r="AH735" s="2">
        <v>9.5091435218534349E-5</v>
      </c>
      <c r="AI735" s="2">
        <v>1.0127616935975288E-4</v>
      </c>
      <c r="AJ735" s="2">
        <v>1.060735848938581E-4</v>
      </c>
      <c r="AK735" s="2">
        <v>1.0908739639605981E-4</v>
      </c>
      <c r="AL735" s="2">
        <v>1.1169656735105848E-4</v>
      </c>
      <c r="AM735" s="2">
        <v>1.1298786795967918E-4</v>
      </c>
      <c r="AN735" s="2">
        <v>1.1384194709216565E-4</v>
      </c>
      <c r="AO735" s="2">
        <v>1.1470750394545458E-4</v>
      </c>
      <c r="AP735" s="2">
        <v>1.1558465849517454E-4</v>
      </c>
      <c r="AQ735" s="2">
        <v>0</v>
      </c>
      <c r="AR735" s="2">
        <v>1.42770407213906E-3</v>
      </c>
    </row>
    <row r="736" spans="1:44" x14ac:dyDescent="0.25">
      <c r="A736" t="s">
        <v>250</v>
      </c>
      <c r="B736" t="s">
        <v>370</v>
      </c>
      <c r="C736" t="s">
        <v>45</v>
      </c>
      <c r="D736" t="s">
        <v>358</v>
      </c>
      <c r="E736" t="s">
        <v>148</v>
      </c>
      <c r="F736" t="s">
        <v>368</v>
      </c>
      <c r="G736" t="s">
        <v>31</v>
      </c>
      <c r="H736" t="s">
        <v>275</v>
      </c>
      <c r="I736" t="s">
        <v>135</v>
      </c>
      <c r="J736" t="s">
        <v>39</v>
      </c>
      <c r="K736" t="s">
        <v>31</v>
      </c>
      <c r="L736">
        <v>0.71805929919137568</v>
      </c>
      <c r="M736">
        <v>1</v>
      </c>
      <c r="N736">
        <v>4.5538628518455466</v>
      </c>
      <c r="O736">
        <v>3.1588853240212424</v>
      </c>
      <c r="P736">
        <v>-0.83964188629624992</v>
      </c>
      <c r="Q736">
        <v>0.37573036135611498</v>
      </c>
      <c r="R736">
        <v>-0.67371772101320493</v>
      </c>
      <c r="S736" s="2">
        <v>0</v>
      </c>
      <c r="T736" s="2">
        <v>0</v>
      </c>
      <c r="U736" s="2">
        <v>7.9289972919762807E-4</v>
      </c>
      <c r="V736" s="2">
        <v>1.5019706753039309E-3</v>
      </c>
      <c r="W736" s="2">
        <v>2.5875309416011991E-3</v>
      </c>
      <c r="X736" s="2">
        <v>4.1558403244523158E-3</v>
      </c>
      <c r="Y736" s="2">
        <v>6.30816222685999E-3</v>
      </c>
      <c r="Z736" s="2">
        <v>9.12397576882896E-3</v>
      </c>
      <c r="AA736" s="2">
        <v>1.2640062027840095E-2</v>
      </c>
      <c r="AB736" s="2">
        <v>1.6828558981419828E-2</v>
      </c>
      <c r="AC736" s="2">
        <v>2.1579555913867839E-2</v>
      </c>
      <c r="AD736" s="2">
        <v>2.6695658867808794E-2</v>
      </c>
      <c r="AE736" s="2">
        <v>3.1905678726833898E-2</v>
      </c>
      <c r="AF736" s="2">
        <v>3.6900710201521351E-2</v>
      </c>
      <c r="AG736" s="2">
        <v>4.1388176701830634E-2</v>
      </c>
      <c r="AH736" s="2">
        <v>4.5150201050135418E-2</v>
      </c>
      <c r="AI736" s="2">
        <v>4.8086764046328424E-2</v>
      </c>
      <c r="AJ736" s="2">
        <v>5.0364616677200706E-2</v>
      </c>
      <c r="AK736" s="2">
        <v>5.1795599340768807E-2</v>
      </c>
      <c r="AL736" s="2">
        <v>5.3034455321032806E-2</v>
      </c>
      <c r="AM736" s="2">
        <v>5.3647575545388092E-2</v>
      </c>
      <c r="AN736" s="2">
        <v>5.4053099391523224E-2</v>
      </c>
      <c r="AO736" s="2">
        <v>5.4464072954564624E-2</v>
      </c>
      <c r="AP736" s="2">
        <v>5.4880553199928531E-2</v>
      </c>
      <c r="AQ736" s="2">
        <v>0</v>
      </c>
      <c r="AR736" s="2">
        <v>0.67788571861423719</v>
      </c>
    </row>
    <row r="737" spans="1:44" x14ac:dyDescent="0.25">
      <c r="A737" t="s">
        <v>250</v>
      </c>
      <c r="B737" t="s">
        <v>363</v>
      </c>
      <c r="C737" t="s">
        <v>45</v>
      </c>
      <c r="D737" t="s">
        <v>358</v>
      </c>
      <c r="E737" t="s">
        <v>145</v>
      </c>
      <c r="F737" t="s">
        <v>359</v>
      </c>
      <c r="G737" t="s">
        <v>31</v>
      </c>
      <c r="H737" t="s">
        <v>276</v>
      </c>
      <c r="I737" t="s">
        <v>135</v>
      </c>
      <c r="J737" t="s">
        <v>39</v>
      </c>
      <c r="K737" t="s">
        <v>31</v>
      </c>
      <c r="L737">
        <v>0.93</v>
      </c>
      <c r="M737">
        <v>1</v>
      </c>
      <c r="N737">
        <v>2.6259606356853955</v>
      </c>
      <c r="O737">
        <v>3.1597702595673303</v>
      </c>
      <c r="P737">
        <v>-0.56360929242142277</v>
      </c>
      <c r="Q737">
        <v>0.65176295523094208</v>
      </c>
      <c r="R737">
        <v>-0.67371772101320515</v>
      </c>
      <c r="S737" s="2">
        <v>0.17472081364777378</v>
      </c>
      <c r="T737" s="2">
        <v>0.34217847091033654</v>
      </c>
      <c r="U737" s="2">
        <v>0.601972112922599</v>
      </c>
      <c r="V737" s="2">
        <v>0.96465916908970939</v>
      </c>
      <c r="W737" s="2">
        <v>1.4248712576755223</v>
      </c>
      <c r="X737" s="2">
        <v>1.9600240635603281</v>
      </c>
      <c r="Y737" s="2">
        <v>2.5342317848205806</v>
      </c>
      <c r="Z737" s="2">
        <v>3.1060191899454193</v>
      </c>
      <c r="AA737" s="2">
        <v>3.6370007545158942</v>
      </c>
      <c r="AB737" s="2">
        <v>4.0986915682156546</v>
      </c>
      <c r="AC737" s="2">
        <v>4.4757784897829911</v>
      </c>
      <c r="AD737" s="2">
        <v>4.7657337452509339</v>
      </c>
      <c r="AE737" s="2">
        <v>4.9758394120214922</v>
      </c>
      <c r="AF737" s="2">
        <v>5.1191461774509319</v>
      </c>
      <c r="AG737" s="2">
        <v>5.2106847308352702</v>
      </c>
      <c r="AH737" s="2">
        <v>5.2646984454206649</v>
      </c>
      <c r="AI737" s="2">
        <v>5.2930980753982384</v>
      </c>
      <c r="AJ737" s="2">
        <v>5.3103877192144537</v>
      </c>
      <c r="AK737" s="2">
        <v>5.3205179769117503</v>
      </c>
      <c r="AL737" s="2">
        <v>5.3093448891602364</v>
      </c>
      <c r="AM737" s="2">
        <v>5.2981952648929989</v>
      </c>
      <c r="AN737" s="2">
        <v>3.6196621696257369</v>
      </c>
      <c r="AO737" s="2">
        <v>0</v>
      </c>
      <c r="AP737" s="2">
        <v>0</v>
      </c>
      <c r="AQ737" s="2">
        <v>0</v>
      </c>
      <c r="AR737" s="2">
        <v>78.807456281269509</v>
      </c>
    </row>
    <row r="738" spans="1:44" x14ac:dyDescent="0.25">
      <c r="A738" t="s">
        <v>250</v>
      </c>
      <c r="B738" t="s">
        <v>363</v>
      </c>
      <c r="C738" t="s">
        <v>45</v>
      </c>
      <c r="D738" t="s">
        <v>358</v>
      </c>
      <c r="E738" t="s">
        <v>148</v>
      </c>
      <c r="F738" t="s">
        <v>359</v>
      </c>
      <c r="G738" t="s">
        <v>31</v>
      </c>
      <c r="H738" t="s">
        <v>276</v>
      </c>
      <c r="I738" t="s">
        <v>135</v>
      </c>
      <c r="J738" t="s">
        <v>39</v>
      </c>
      <c r="K738" t="s">
        <v>31</v>
      </c>
      <c r="L738">
        <v>0.93</v>
      </c>
      <c r="M738">
        <v>1</v>
      </c>
      <c r="N738">
        <v>2.6259606356853955</v>
      </c>
      <c r="O738">
        <v>3.1597702595673303</v>
      </c>
      <c r="P738">
        <v>-0.56360929242142277</v>
      </c>
      <c r="Q738">
        <v>0.65176295523094208</v>
      </c>
      <c r="R738">
        <v>-0.67371772101320515</v>
      </c>
      <c r="S738" s="2">
        <v>2.9723942042113236E-2</v>
      </c>
      <c r="T738" s="2">
        <v>6.9136065315365494E-2</v>
      </c>
      <c r="U738" s="2">
        <v>0.12299578985141295</v>
      </c>
      <c r="V738" s="2">
        <v>0.19932401700374719</v>
      </c>
      <c r="W738" s="2">
        <v>0.29774405324409853</v>
      </c>
      <c r="X738" s="2">
        <v>0.41420982239460163</v>
      </c>
      <c r="Y738" s="2">
        <v>0.54163477173048791</v>
      </c>
      <c r="Z738" s="2">
        <v>0.67139044428735462</v>
      </c>
      <c r="AA738" s="2">
        <v>0.79512378354736624</v>
      </c>
      <c r="AB738" s="2">
        <v>0.90628824810470443</v>
      </c>
      <c r="AC738" s="2">
        <v>1.0009878102456531</v>
      </c>
      <c r="AD738" s="2">
        <v>1.0780485545849994</v>
      </c>
      <c r="AE738" s="2">
        <v>1.1384983488333462</v>
      </c>
      <c r="AF738" s="2">
        <v>1.1847593830737493</v>
      </c>
      <c r="AG738" s="2">
        <v>1.2198403255845258</v>
      </c>
      <c r="AH738" s="2">
        <v>1.246712037145318</v>
      </c>
      <c r="AI738" s="2">
        <v>1.2679317317984049</v>
      </c>
      <c r="AJ738" s="2">
        <v>1.2868092284928536</v>
      </c>
      <c r="AK738" s="2">
        <v>1.3042249416537968</v>
      </c>
      <c r="AL738" s="2">
        <v>1.3166148027274818</v>
      </c>
      <c r="AM738" s="2">
        <v>1.3291483034454967</v>
      </c>
      <c r="AN738" s="2">
        <v>1.3418270447665503</v>
      </c>
      <c r="AO738" s="2">
        <v>1.3546526456235808</v>
      </c>
      <c r="AP738" s="2">
        <v>1.367626743125445</v>
      </c>
      <c r="AQ738" s="2">
        <v>1.3807509927607462</v>
      </c>
      <c r="AR738" s="2">
        <v>22.866003831383196</v>
      </c>
    </row>
    <row r="739" spans="1:44" x14ac:dyDescent="0.25">
      <c r="A739" t="s">
        <v>250</v>
      </c>
      <c r="B739" t="s">
        <v>372</v>
      </c>
      <c r="C739" t="s">
        <v>45</v>
      </c>
      <c r="D739" t="s">
        <v>358</v>
      </c>
      <c r="E739" t="s">
        <v>145</v>
      </c>
      <c r="F739" t="s">
        <v>368</v>
      </c>
      <c r="G739" t="s">
        <v>31</v>
      </c>
      <c r="H739" t="s">
        <v>276</v>
      </c>
      <c r="I739" t="s">
        <v>135</v>
      </c>
      <c r="J739" t="s">
        <v>39</v>
      </c>
      <c r="K739" t="s">
        <v>31</v>
      </c>
      <c r="L739">
        <v>0.61808625336927292</v>
      </c>
      <c r="M739">
        <v>1</v>
      </c>
      <c r="N739">
        <v>4.3970333984141936</v>
      </c>
      <c r="O739">
        <v>3.1597702595673298</v>
      </c>
      <c r="P739">
        <v>-0.82613165992981141</v>
      </c>
      <c r="Q739">
        <v>0.38924058772255321</v>
      </c>
      <c r="R739">
        <v>-0.67371772101320504</v>
      </c>
      <c r="S739" s="2">
        <v>0</v>
      </c>
      <c r="T739" s="2">
        <v>0</v>
      </c>
      <c r="U739" s="2">
        <v>1.5352194388104692E-2</v>
      </c>
      <c r="V739" s="2">
        <v>2.8827018647897724E-2</v>
      </c>
      <c r="W739" s="2">
        <v>4.9225264441557511E-2</v>
      </c>
      <c r="X739" s="2">
        <v>7.8361706726931019E-2</v>
      </c>
      <c r="Y739" s="2">
        <v>0.11788780011991039</v>
      </c>
      <c r="Z739" s="2">
        <v>0.16898560506494645</v>
      </c>
      <c r="AA739" s="2">
        <v>0.23200274659412687</v>
      </c>
      <c r="AB739" s="2">
        <v>0.30608926188545615</v>
      </c>
      <c r="AC739" s="2">
        <v>0.38893764266311792</v>
      </c>
      <c r="AD739" s="2">
        <v>0.47675323739303482</v>
      </c>
      <c r="AE739" s="2">
        <v>0.56456754275818077</v>
      </c>
      <c r="AF739" s="2">
        <v>0.64692970648902748</v>
      </c>
      <c r="AG739" s="2">
        <v>0.7188740572072907</v>
      </c>
      <c r="AH739" s="2">
        <v>0.77690910028847149</v>
      </c>
      <c r="AI739" s="2">
        <v>0.81969086041296224</v>
      </c>
      <c r="AJ739" s="2">
        <v>0.85044115800167375</v>
      </c>
      <c r="AK739" s="2">
        <v>0.86633554889424236</v>
      </c>
      <c r="AL739" s="2">
        <v>0.8786307951679575</v>
      </c>
      <c r="AM739" s="2">
        <v>0.88030689809046669</v>
      </c>
      <c r="AN739" s="2">
        <v>0.87845825360447671</v>
      </c>
      <c r="AO739" s="2">
        <v>0.87661349127190724</v>
      </c>
      <c r="AP739" s="2">
        <v>0.8747726029402364</v>
      </c>
      <c r="AQ739" s="2">
        <v>0</v>
      </c>
      <c r="AR739" s="2">
        <v>11.494952493051978</v>
      </c>
    </row>
    <row r="740" spans="1:44" x14ac:dyDescent="0.25">
      <c r="A740" t="s">
        <v>250</v>
      </c>
      <c r="B740" t="s">
        <v>372</v>
      </c>
      <c r="C740" t="s">
        <v>45</v>
      </c>
      <c r="D740" t="s">
        <v>358</v>
      </c>
      <c r="E740" t="s">
        <v>148</v>
      </c>
      <c r="F740" t="s">
        <v>368</v>
      </c>
      <c r="G740" t="s">
        <v>31</v>
      </c>
      <c r="H740" t="s">
        <v>276</v>
      </c>
      <c r="I740" t="s">
        <v>135</v>
      </c>
      <c r="J740" t="s">
        <v>39</v>
      </c>
      <c r="K740" t="s">
        <v>31</v>
      </c>
      <c r="L740">
        <v>0.61808625336927292</v>
      </c>
      <c r="M740">
        <v>1</v>
      </c>
      <c r="N740">
        <v>4.3970333984141936</v>
      </c>
      <c r="O740">
        <v>3.1597702595673298</v>
      </c>
      <c r="P740">
        <v>-0.82613165992981141</v>
      </c>
      <c r="Q740">
        <v>0.38924058772255321</v>
      </c>
      <c r="R740">
        <v>-0.67371772101320504</v>
      </c>
      <c r="S740" s="2">
        <v>0</v>
      </c>
      <c r="T740" s="2">
        <v>0</v>
      </c>
      <c r="U740" s="2">
        <v>3.7641383728886902E-3</v>
      </c>
      <c r="V740" s="2">
        <v>7.1477064719921522E-3</v>
      </c>
      <c r="W740" s="2">
        <v>1.2343456023460255E-2</v>
      </c>
      <c r="X740" s="2">
        <v>1.9872116406738749E-2</v>
      </c>
      <c r="Y740" s="2">
        <v>3.0235023689726637E-2</v>
      </c>
      <c r="Z740" s="2">
        <v>4.3833079008651792E-2</v>
      </c>
      <c r="AA740" s="2">
        <v>6.0864733592233912E-2</v>
      </c>
      <c r="AB740" s="2">
        <v>8.1217655820420523E-2</v>
      </c>
      <c r="AC740" s="2">
        <v>0.10438099386915917</v>
      </c>
      <c r="AD740" s="2">
        <v>0.12941465031967744</v>
      </c>
      <c r="AE740" s="2">
        <v>0.15501124421713444</v>
      </c>
      <c r="AF740" s="2">
        <v>0.17966809621373467</v>
      </c>
      <c r="AG740" s="2">
        <v>0.20194925065614752</v>
      </c>
      <c r="AH740" s="2">
        <v>0.2207720583745573</v>
      </c>
      <c r="AI740" s="2">
        <v>0.23562277608571316</v>
      </c>
      <c r="AJ740" s="2">
        <v>0.24729392766114344</v>
      </c>
      <c r="AK740" s="2">
        <v>0.25483904438154931</v>
      </c>
      <c r="AL740" s="2">
        <v>0.26146012403424523</v>
      </c>
      <c r="AM740" s="2">
        <v>0.26500912743508148</v>
      </c>
      <c r="AN740" s="2">
        <v>0.26753704863526478</v>
      </c>
      <c r="AO740" s="2">
        <v>0.27009425108072649</v>
      </c>
      <c r="AP740" s="2">
        <v>0.27268106118258945</v>
      </c>
      <c r="AQ740" s="2">
        <v>0</v>
      </c>
      <c r="AR740" s="2">
        <v>3.3250115635328368</v>
      </c>
    </row>
    <row r="741" spans="1:44" x14ac:dyDescent="0.25">
      <c r="A741" t="s">
        <v>250</v>
      </c>
      <c r="B741" t="s">
        <v>362</v>
      </c>
      <c r="C741" t="s">
        <v>45</v>
      </c>
      <c r="D741" t="s">
        <v>358</v>
      </c>
      <c r="E741" t="s">
        <v>145</v>
      </c>
      <c r="F741" t="s">
        <v>359</v>
      </c>
      <c r="G741" t="s">
        <v>31</v>
      </c>
      <c r="H741" t="s">
        <v>277</v>
      </c>
      <c r="I741" t="s">
        <v>135</v>
      </c>
      <c r="J741" t="s">
        <v>39</v>
      </c>
      <c r="K741" t="s">
        <v>31</v>
      </c>
      <c r="L741">
        <v>1.1100000000000001</v>
      </c>
      <c r="M741">
        <v>1</v>
      </c>
      <c r="N741">
        <v>2.8805169099386236</v>
      </c>
      <c r="O741">
        <v>3.1588853240212433</v>
      </c>
      <c r="P741">
        <v>-0.62137311888954427</v>
      </c>
      <c r="Q741">
        <v>0.59399912876282102</v>
      </c>
      <c r="R741">
        <v>-0.67371772101320537</v>
      </c>
      <c r="S741" s="2">
        <v>0.26243544443182942</v>
      </c>
      <c r="T741" s="2">
        <v>0.51261201646003962</v>
      </c>
      <c r="U741" s="2">
        <v>0.89943695681991487</v>
      </c>
      <c r="V741" s="2">
        <v>1.4375617436406534</v>
      </c>
      <c r="W741" s="2">
        <v>2.1178075423430061</v>
      </c>
      <c r="X741" s="2">
        <v>2.9055645113612116</v>
      </c>
      <c r="Y741" s="2">
        <v>3.7469138444868526</v>
      </c>
      <c r="Z741" s="2">
        <v>4.5802561085793769</v>
      </c>
      <c r="AA741" s="2">
        <v>5.3491807566730385</v>
      </c>
      <c r="AB741" s="2">
        <v>6.0123932038348205</v>
      </c>
      <c r="AC741" s="2">
        <v>6.5483061578843378</v>
      </c>
      <c r="AD741" s="2">
        <v>6.9542199261851554</v>
      </c>
      <c r="AE741" s="2">
        <v>7.2417454630988427</v>
      </c>
      <c r="AF741" s="2">
        <v>7.4307506083895083</v>
      </c>
      <c r="AG741" s="2">
        <v>7.5437659622436408</v>
      </c>
      <c r="AH741" s="2">
        <v>7.6019527171880599</v>
      </c>
      <c r="AI741" s="2">
        <v>7.6228936203951765</v>
      </c>
      <c r="AJ741" s="2">
        <v>7.6277140409705195</v>
      </c>
      <c r="AK741" s="2">
        <v>7.6222000308204221</v>
      </c>
      <c r="AL741" s="2">
        <v>7.5862232466749493</v>
      </c>
      <c r="AM741" s="2">
        <v>7.5504162729506454</v>
      </c>
      <c r="AN741" s="2">
        <v>1.978707456580663</v>
      </c>
      <c r="AO741" s="2">
        <v>0</v>
      </c>
      <c r="AP741" s="2">
        <v>0</v>
      </c>
      <c r="AQ741" s="2">
        <v>0</v>
      </c>
      <c r="AR741" s="2">
        <v>111.13305763201267</v>
      </c>
    </row>
    <row r="742" spans="1:44" x14ac:dyDescent="0.25">
      <c r="A742" t="s">
        <v>250</v>
      </c>
      <c r="B742" t="s">
        <v>362</v>
      </c>
      <c r="C742" t="s">
        <v>45</v>
      </c>
      <c r="D742" t="s">
        <v>358</v>
      </c>
      <c r="E742" t="s">
        <v>145</v>
      </c>
      <c r="F742" t="s">
        <v>359</v>
      </c>
      <c r="G742" t="s">
        <v>31</v>
      </c>
      <c r="H742" t="s">
        <v>277</v>
      </c>
      <c r="I742" t="s">
        <v>135</v>
      </c>
      <c r="J742" t="s">
        <v>40</v>
      </c>
      <c r="K742" t="s">
        <v>31</v>
      </c>
      <c r="L742">
        <v>1.1100000000000001</v>
      </c>
      <c r="M742">
        <v>1</v>
      </c>
      <c r="N742">
        <v>2.8805169099386236</v>
      </c>
      <c r="O742">
        <v>1.9798085216903565</v>
      </c>
      <c r="P742">
        <v>-0.62137311888954427</v>
      </c>
      <c r="Q742">
        <v>0.4672931329656026</v>
      </c>
      <c r="R742">
        <v>-0.53071772101320513</v>
      </c>
      <c r="S742" s="2">
        <v>4.1397981537284842E-2</v>
      </c>
      <c r="T742" s="2">
        <v>8.0862182466040697E-2</v>
      </c>
      <c r="U742" s="2">
        <v>0.14188203355303508</v>
      </c>
      <c r="V742" s="2">
        <v>0.2267687379301454</v>
      </c>
      <c r="W742" s="2">
        <v>0.33407437675672796</v>
      </c>
      <c r="X742" s="2">
        <v>0.45833940707642007</v>
      </c>
      <c r="Y742" s="2">
        <v>0.5910583857743974</v>
      </c>
      <c r="Z742" s="2">
        <v>0.72251428624481939</v>
      </c>
      <c r="AA742" s="2">
        <v>0.84380860475526442</v>
      </c>
      <c r="AB742" s="2">
        <v>0.94842731089971199</v>
      </c>
      <c r="AC742" s="2">
        <v>1.0329651088536642</v>
      </c>
      <c r="AD742" s="2">
        <v>1.0969961345492492</v>
      </c>
      <c r="AE742" s="2">
        <v>1.1423519625107534</v>
      </c>
      <c r="AF742" s="2">
        <v>1.172166652870642</v>
      </c>
      <c r="AG742" s="2">
        <v>1.1899943039427459</v>
      </c>
      <c r="AH742" s="2">
        <v>1.1991729962955209</v>
      </c>
      <c r="AI742" s="2">
        <v>1.2024763272393237</v>
      </c>
      <c r="AJ742" s="2">
        <v>1.2032367263630477</v>
      </c>
      <c r="AK742" s="2">
        <v>1.2023669166813395</v>
      </c>
      <c r="AL742" s="2">
        <v>1.1966917448346039</v>
      </c>
      <c r="AM742" s="2">
        <v>1.1910433597989842</v>
      </c>
      <c r="AN742" s="2">
        <v>0.31213197947616916</v>
      </c>
      <c r="AO742" s="2">
        <v>0</v>
      </c>
      <c r="AP742" s="2">
        <v>0</v>
      </c>
      <c r="AQ742" s="2">
        <v>0</v>
      </c>
      <c r="AR742" s="2">
        <v>17.53072752040989</v>
      </c>
    </row>
    <row r="743" spans="1:44" x14ac:dyDescent="0.25">
      <c r="A743" t="s">
        <v>250</v>
      </c>
      <c r="B743" t="s">
        <v>362</v>
      </c>
      <c r="C743" t="s">
        <v>45</v>
      </c>
      <c r="D743" t="s">
        <v>358</v>
      </c>
      <c r="E743" t="s">
        <v>148</v>
      </c>
      <c r="F743" t="s">
        <v>359</v>
      </c>
      <c r="G743" t="s">
        <v>31</v>
      </c>
      <c r="H743" t="s">
        <v>277</v>
      </c>
      <c r="I743" t="s">
        <v>135</v>
      </c>
      <c r="J743" t="s">
        <v>39</v>
      </c>
      <c r="K743" t="s">
        <v>31</v>
      </c>
      <c r="L743">
        <v>1.1100000000000001</v>
      </c>
      <c r="M743">
        <v>1</v>
      </c>
      <c r="N743">
        <v>2.8805169099386236</v>
      </c>
      <c r="O743">
        <v>3.1588853240212433</v>
      </c>
      <c r="P743">
        <v>-0.62137311888954427</v>
      </c>
      <c r="Q743">
        <v>0.59399912876282102</v>
      </c>
      <c r="R743">
        <v>-0.67371772101320537</v>
      </c>
      <c r="S743" s="2">
        <v>4.4646174529689851E-2</v>
      </c>
      <c r="T743" s="2">
        <v>0.12408545311332957</v>
      </c>
      <c r="U743" s="2">
        <v>0.22018361223793231</v>
      </c>
      <c r="V743" s="2">
        <v>0.35591437723892461</v>
      </c>
      <c r="W743" s="2">
        <v>0.53031353413908411</v>
      </c>
      <c r="X743" s="2">
        <v>0.73591256821536866</v>
      </c>
      <c r="Y743" s="2">
        <v>0.95993319697839841</v>
      </c>
      <c r="Z743" s="2">
        <v>1.1869998023574666</v>
      </c>
      <c r="AA743" s="2">
        <v>1.4023730470442624</v>
      </c>
      <c r="AB743" s="2">
        <v>1.5946328922569803</v>
      </c>
      <c r="AC743" s="2">
        <v>1.7571178178350235</v>
      </c>
      <c r="AD743" s="2">
        <v>1.8879923764837556</v>
      </c>
      <c r="AE743" s="2">
        <v>1.9892811394404815</v>
      </c>
      <c r="AF743" s="2">
        <v>2.0654168385486398</v>
      </c>
      <c r="AG743" s="2">
        <v>2.1218086507580156</v>
      </c>
      <c r="AH743" s="2">
        <v>2.1637488806193441</v>
      </c>
      <c r="AI743" s="2">
        <v>2.1957645660005287</v>
      </c>
      <c r="AJ743" s="2">
        <v>2.2236422256981507</v>
      </c>
      <c r="AK743" s="2">
        <v>2.2489285499810401</v>
      </c>
      <c r="AL743" s="2">
        <v>2.2655089789475249</v>
      </c>
      <c r="AM743" s="2">
        <v>2.282316125700707</v>
      </c>
      <c r="AN743" s="2">
        <v>2.2993523402447393</v>
      </c>
      <c r="AO743" s="2">
        <v>2.3166199998460706</v>
      </c>
      <c r="AP743" s="2">
        <v>2.3341215093347185</v>
      </c>
      <c r="AQ743" s="2">
        <v>2.3518593014091689</v>
      </c>
      <c r="AR743" s="2">
        <v>39.658473958959348</v>
      </c>
    </row>
    <row r="744" spans="1:44" x14ac:dyDescent="0.25">
      <c r="A744" t="s">
        <v>250</v>
      </c>
      <c r="B744" t="s">
        <v>362</v>
      </c>
      <c r="C744" t="s">
        <v>45</v>
      </c>
      <c r="D744" t="s">
        <v>358</v>
      </c>
      <c r="E744" t="s">
        <v>148</v>
      </c>
      <c r="F744" t="s">
        <v>359</v>
      </c>
      <c r="G744" t="s">
        <v>31</v>
      </c>
      <c r="H744" t="s">
        <v>277</v>
      </c>
      <c r="I744" t="s">
        <v>135</v>
      </c>
      <c r="J744" t="s">
        <v>40</v>
      </c>
      <c r="K744" t="s">
        <v>31</v>
      </c>
      <c r="L744">
        <v>1.1100000000000001</v>
      </c>
      <c r="M744">
        <v>1</v>
      </c>
      <c r="N744">
        <v>2.8805169099386236</v>
      </c>
      <c r="O744">
        <v>1.9798085216903565</v>
      </c>
      <c r="P744">
        <v>-0.62137311888954427</v>
      </c>
      <c r="Q744">
        <v>0.4672931329656026</v>
      </c>
      <c r="R744">
        <v>-0.53071772101320513</v>
      </c>
      <c r="S744" s="2">
        <v>7.0427282141403156E-3</v>
      </c>
      <c r="T744" s="2">
        <v>1.9573908197319124E-2</v>
      </c>
      <c r="U744" s="2">
        <v>3.473294978874826E-2</v>
      </c>
      <c r="V744" s="2">
        <v>5.6143852251705435E-2</v>
      </c>
      <c r="W744" s="2">
        <v>8.3654515276288921E-2</v>
      </c>
      <c r="X744" s="2">
        <v>0.11608681509463313</v>
      </c>
      <c r="Y744" s="2">
        <v>0.15142503655165093</v>
      </c>
      <c r="Z744" s="2">
        <v>0.18724374677796013</v>
      </c>
      <c r="AA744" s="2">
        <v>0.22121788326121239</v>
      </c>
      <c r="AB744" s="2">
        <v>0.25154598752970347</v>
      </c>
      <c r="AC744" s="2">
        <v>0.27717723548758089</v>
      </c>
      <c r="AD744" s="2">
        <v>0.29782209378547536</v>
      </c>
      <c r="AE744" s="2">
        <v>0.31379992920284666</v>
      </c>
      <c r="AF744" s="2">
        <v>0.32580998475320405</v>
      </c>
      <c r="AG744" s="2">
        <v>0.33470553316416513</v>
      </c>
      <c r="AH744" s="2">
        <v>0.34132141108122621</v>
      </c>
      <c r="AI744" s="2">
        <v>0.34637173785847403</v>
      </c>
      <c r="AJ744" s="2">
        <v>0.35076931016035756</v>
      </c>
      <c r="AK744" s="2">
        <v>0.35475811124655782</v>
      </c>
      <c r="AL744" s="2">
        <v>0.35737359748059988</v>
      </c>
      <c r="AM744" s="2">
        <v>0.3600248474003202</v>
      </c>
      <c r="AN744" s="2">
        <v>0.36271223170805422</v>
      </c>
      <c r="AO744" s="2">
        <v>0.36543612540662462</v>
      </c>
      <c r="AP744" s="2">
        <v>0.36819690784686565</v>
      </c>
      <c r="AQ744" s="2">
        <v>0.37099496277577182</v>
      </c>
      <c r="AR744" s="2">
        <v>6.255941442301487</v>
      </c>
    </row>
    <row r="745" spans="1:44" x14ac:dyDescent="0.25">
      <c r="A745" t="s">
        <v>250</v>
      </c>
      <c r="B745" t="s">
        <v>371</v>
      </c>
      <c r="C745" t="s">
        <v>45</v>
      </c>
      <c r="D745" t="s">
        <v>358</v>
      </c>
      <c r="E745" t="s">
        <v>145</v>
      </c>
      <c r="F745" t="s">
        <v>368</v>
      </c>
      <c r="G745" t="s">
        <v>31</v>
      </c>
      <c r="H745" t="s">
        <v>277</v>
      </c>
      <c r="I745" t="s">
        <v>135</v>
      </c>
      <c r="J745" t="s">
        <v>39</v>
      </c>
      <c r="K745" t="s">
        <v>31</v>
      </c>
      <c r="L745">
        <v>0.71805929919137568</v>
      </c>
      <c r="M745">
        <v>1</v>
      </c>
      <c r="N745">
        <v>4.5538628518455466</v>
      </c>
      <c r="O745">
        <v>3.1588853240212424</v>
      </c>
      <c r="P745">
        <v>-0.83964188629624992</v>
      </c>
      <c r="Q745">
        <v>0.37573036135611498</v>
      </c>
      <c r="R745">
        <v>-0.67371772101320493</v>
      </c>
      <c r="S745" s="2">
        <v>0</v>
      </c>
      <c r="T745" s="2">
        <v>0</v>
      </c>
      <c r="U745" s="2">
        <v>2.232728995628951E-2</v>
      </c>
      <c r="V745" s="2">
        <v>4.1814175256270271E-2</v>
      </c>
      <c r="W745" s="2">
        <v>7.1214776961480791E-2</v>
      </c>
      <c r="X745" s="2">
        <v>0.11306916928513516</v>
      </c>
      <c r="Y745" s="2">
        <v>0.16965530058554057</v>
      </c>
      <c r="Z745" s="2">
        <v>0.24255293547671916</v>
      </c>
      <c r="AA745" s="2">
        <v>0.33213007591063032</v>
      </c>
      <c r="AB745" s="2">
        <v>0.43704024093303112</v>
      </c>
      <c r="AC745" s="2">
        <v>0.55387474730912312</v>
      </c>
      <c r="AD745" s="2">
        <v>0.6771478322993103</v>
      </c>
      <c r="AE745" s="2">
        <v>0.79976796241800518</v>
      </c>
      <c r="AF745" s="2">
        <v>0.91403630219947063</v>
      </c>
      <c r="AG745" s="2">
        <v>1.0130185920929871</v>
      </c>
      <c r="AH745" s="2">
        <v>1.0919256503452519</v>
      </c>
      <c r="AI745" s="2">
        <v>1.1490295736771174</v>
      </c>
      <c r="AJ745" s="2">
        <v>1.1890048841184211</v>
      </c>
      <c r="AK745" s="2">
        <v>1.2080467973375777</v>
      </c>
      <c r="AL745" s="2">
        <v>1.2219749359064569</v>
      </c>
      <c r="AM745" s="2">
        <v>1.2210915805311029</v>
      </c>
      <c r="AN745" s="2">
        <v>1.2153280282709962</v>
      </c>
      <c r="AO745" s="2">
        <v>1.209591679977557</v>
      </c>
      <c r="AP745" s="2">
        <v>1.2038824072480632</v>
      </c>
      <c r="AQ745" s="2">
        <v>0</v>
      </c>
      <c r="AR745" s="2">
        <v>16.097524938096537</v>
      </c>
    </row>
    <row r="746" spans="1:44" x14ac:dyDescent="0.25">
      <c r="A746" t="s">
        <v>250</v>
      </c>
      <c r="B746" t="s">
        <v>371</v>
      </c>
      <c r="C746" t="s">
        <v>45</v>
      </c>
      <c r="D746" t="s">
        <v>358</v>
      </c>
      <c r="E746" t="s">
        <v>145</v>
      </c>
      <c r="F746" t="s">
        <v>368</v>
      </c>
      <c r="G746" t="s">
        <v>31</v>
      </c>
      <c r="H746" t="s">
        <v>277</v>
      </c>
      <c r="I746" t="s">
        <v>135</v>
      </c>
      <c r="J746" t="s">
        <v>40</v>
      </c>
      <c r="K746" t="s">
        <v>31</v>
      </c>
      <c r="L746">
        <v>0.71805929919137568</v>
      </c>
      <c r="M746">
        <v>1</v>
      </c>
      <c r="N746">
        <v>4.5538628518455466</v>
      </c>
      <c r="O746">
        <v>1.9798085216903565</v>
      </c>
      <c r="P746">
        <v>-0.83964188629624992</v>
      </c>
      <c r="Q746">
        <v>0.4672931329656026</v>
      </c>
      <c r="R746">
        <v>-0.53071772101320502</v>
      </c>
      <c r="S746" s="2">
        <v>0</v>
      </c>
      <c r="T746" s="2">
        <v>0</v>
      </c>
      <c r="U746" s="2">
        <v>3.5220270622712195E-3</v>
      </c>
      <c r="V746" s="2">
        <v>6.5959933842149954E-3</v>
      </c>
      <c r="W746" s="2">
        <v>1.1233802767061266E-2</v>
      </c>
      <c r="X746" s="2">
        <v>1.7836140208256281E-2</v>
      </c>
      <c r="Y746" s="2">
        <v>2.676234156002933E-2</v>
      </c>
      <c r="Z746" s="2">
        <v>3.8261607407561064E-2</v>
      </c>
      <c r="AA746" s="2">
        <v>5.2391988362291801E-2</v>
      </c>
      <c r="AB746" s="2">
        <v>6.8941083260938438E-2</v>
      </c>
      <c r="AC746" s="2">
        <v>8.7371188037168937E-2</v>
      </c>
      <c r="AD746" s="2">
        <v>0.10681694890806209</v>
      </c>
      <c r="AE746" s="2">
        <v>0.12615970915808544</v>
      </c>
      <c r="AF746" s="2">
        <v>0.14418501298398725</v>
      </c>
      <c r="AG746" s="2">
        <v>0.15979901290843107</v>
      </c>
      <c r="AH746" s="2">
        <v>0.1722462375878599</v>
      </c>
      <c r="AI746" s="2">
        <v>0.18125411824558543</v>
      </c>
      <c r="AJ746" s="2">
        <v>0.18756003918236727</v>
      </c>
      <c r="AK746" s="2">
        <v>0.19056381320987292</v>
      </c>
      <c r="AL746" s="2">
        <v>0.19276091286069005</v>
      </c>
      <c r="AM746" s="2">
        <v>0.19262156762247748</v>
      </c>
      <c r="AN746" s="2">
        <v>0.19171239382329941</v>
      </c>
      <c r="AO746" s="2">
        <v>0.19080751132445348</v>
      </c>
      <c r="AP746" s="2">
        <v>0.18990689987100207</v>
      </c>
      <c r="AQ746" s="2">
        <v>0</v>
      </c>
      <c r="AR746" s="2">
        <v>2.5393103497359677</v>
      </c>
    </row>
    <row r="747" spans="1:44" x14ac:dyDescent="0.25">
      <c r="A747" t="s">
        <v>250</v>
      </c>
      <c r="B747" t="s">
        <v>371</v>
      </c>
      <c r="C747" t="s">
        <v>45</v>
      </c>
      <c r="D747" t="s">
        <v>358</v>
      </c>
      <c r="E747" t="s">
        <v>148</v>
      </c>
      <c r="F747" t="s">
        <v>368</v>
      </c>
      <c r="G747" t="s">
        <v>31</v>
      </c>
      <c r="H747" t="s">
        <v>277</v>
      </c>
      <c r="I747" t="s">
        <v>135</v>
      </c>
      <c r="J747" t="s">
        <v>39</v>
      </c>
      <c r="K747" t="s">
        <v>31</v>
      </c>
      <c r="L747">
        <v>0.71805929919137568</v>
      </c>
      <c r="M747">
        <v>1</v>
      </c>
      <c r="N747">
        <v>4.5538628518455466</v>
      </c>
      <c r="O747">
        <v>3.1588853240212424</v>
      </c>
      <c r="P747">
        <v>-0.83964188629624992</v>
      </c>
      <c r="Q747">
        <v>0.37573036135611498</v>
      </c>
      <c r="R747">
        <v>-0.67371772101320493</v>
      </c>
      <c r="S747" s="2">
        <v>0</v>
      </c>
      <c r="T747" s="2">
        <v>0</v>
      </c>
      <c r="U747" s="2">
        <v>6.5589077479419142E-3</v>
      </c>
      <c r="V747" s="2">
        <v>1.242292336611996E-2</v>
      </c>
      <c r="W747" s="2">
        <v>2.1399202315572522E-2</v>
      </c>
      <c r="X747" s="2">
        <v>3.4365379572571929E-2</v>
      </c>
      <c r="Y747" s="2">
        <v>5.2157405854965776E-2</v>
      </c>
      <c r="Z747" s="2">
        <v>7.5430791548830131E-2</v>
      </c>
      <c r="AA747" s="2">
        <v>0.10448783567213504</v>
      </c>
      <c r="AB747" s="2">
        <v>0.13909644026353143</v>
      </c>
      <c r="AC747" s="2">
        <v>0.17834655201768979</v>
      </c>
      <c r="AD747" s="2">
        <v>0.22060561075782581</v>
      </c>
      <c r="AE747" s="2">
        <v>0.26363202048574952</v>
      </c>
      <c r="AF747" s="2">
        <v>0.30487352932707557</v>
      </c>
      <c r="AG747" s="2">
        <v>0.34191383287967142</v>
      </c>
      <c r="AH747" s="2">
        <v>0.3729546328240822</v>
      </c>
      <c r="AI747" s="2">
        <v>0.39717176423660178</v>
      </c>
      <c r="AJ747" s="2">
        <v>0.41594450751863621</v>
      </c>
      <c r="AK747" s="2">
        <v>0.4277207506379041</v>
      </c>
      <c r="AL747" s="2">
        <v>0.4379088406961863</v>
      </c>
      <c r="AM747" s="2">
        <v>0.44292927506860152</v>
      </c>
      <c r="AN747" s="2">
        <v>0.44623549460275314</v>
      </c>
      <c r="AO747" s="2">
        <v>0.44958663069789034</v>
      </c>
      <c r="AP747" s="2">
        <v>0.45298315005956868</v>
      </c>
      <c r="AQ747" s="2">
        <v>0</v>
      </c>
      <c r="AR747" s="2">
        <v>5.5987254781519047</v>
      </c>
    </row>
    <row r="748" spans="1:44" x14ac:dyDescent="0.25">
      <c r="A748" t="s">
        <v>250</v>
      </c>
      <c r="B748" t="s">
        <v>371</v>
      </c>
      <c r="C748" t="s">
        <v>45</v>
      </c>
      <c r="D748" t="s">
        <v>358</v>
      </c>
      <c r="E748" t="s">
        <v>148</v>
      </c>
      <c r="F748" t="s">
        <v>368</v>
      </c>
      <c r="G748" t="s">
        <v>31</v>
      </c>
      <c r="H748" t="s">
        <v>277</v>
      </c>
      <c r="I748" t="s">
        <v>135</v>
      </c>
      <c r="J748" t="s">
        <v>40</v>
      </c>
      <c r="K748" t="s">
        <v>31</v>
      </c>
      <c r="L748">
        <v>0.71805929919137568</v>
      </c>
      <c r="M748">
        <v>1</v>
      </c>
      <c r="N748">
        <v>4.5538628518455466</v>
      </c>
      <c r="O748">
        <v>1.9798085216903565</v>
      </c>
      <c r="P748">
        <v>-0.83964188629624992</v>
      </c>
      <c r="Q748">
        <v>0.4672931329656026</v>
      </c>
      <c r="R748">
        <v>-0.53071772101320502</v>
      </c>
      <c r="S748" s="2">
        <v>0</v>
      </c>
      <c r="T748" s="2">
        <v>0</v>
      </c>
      <c r="U748" s="2">
        <v>1.0346374608121369E-3</v>
      </c>
      <c r="V748" s="2">
        <v>1.959658891592028E-3</v>
      </c>
      <c r="W748" s="2">
        <v>3.375625515412478E-3</v>
      </c>
      <c r="X748" s="2">
        <v>5.420980203901791E-3</v>
      </c>
      <c r="Y748" s="2">
        <v>8.2275903290853838E-3</v>
      </c>
      <c r="Z748" s="2">
        <v>1.1898859632477676E-2</v>
      </c>
      <c r="AA748" s="2">
        <v>1.6482474390571746E-2</v>
      </c>
      <c r="AB748" s="2">
        <v>2.1941822219930612E-2</v>
      </c>
      <c r="AC748" s="2">
        <v>2.8133346406966235E-2</v>
      </c>
      <c r="AD748" s="2">
        <v>3.4799518109857465E-2</v>
      </c>
      <c r="AE748" s="2">
        <v>4.1586735893600311E-2</v>
      </c>
      <c r="AF748" s="2">
        <v>4.8092393790838552E-2</v>
      </c>
      <c r="AG748" s="2">
        <v>5.3935330921244896E-2</v>
      </c>
      <c r="AH748" s="2">
        <v>5.883187401504706E-2</v>
      </c>
      <c r="AI748" s="2">
        <v>6.2652014854908997E-2</v>
      </c>
      <c r="AJ748" s="2">
        <v>6.5613328565702025E-2</v>
      </c>
      <c r="AK748" s="2">
        <v>6.7470976629534093E-2</v>
      </c>
      <c r="AL748" s="2">
        <v>6.9078100869349887E-2</v>
      </c>
      <c r="AM748" s="2">
        <v>6.9870051247501591E-2</v>
      </c>
      <c r="AN748" s="2">
        <v>7.0391592137412237E-2</v>
      </c>
      <c r="AO748" s="2">
        <v>7.092021840775474E-2</v>
      </c>
      <c r="AP748" s="2">
        <v>7.1456003679176164E-2</v>
      </c>
      <c r="AQ748" s="2">
        <v>0</v>
      </c>
      <c r="AR748" s="2">
        <v>0.88317313417267818</v>
      </c>
    </row>
    <row r="749" spans="1:44" x14ac:dyDescent="0.25">
      <c r="A749" t="s">
        <v>250</v>
      </c>
      <c r="B749" t="s">
        <v>382</v>
      </c>
      <c r="C749" t="s">
        <v>45</v>
      </c>
      <c r="D749" t="s">
        <v>377</v>
      </c>
      <c r="E749" t="s">
        <v>145</v>
      </c>
      <c r="F749" t="s">
        <v>377</v>
      </c>
      <c r="G749" t="s">
        <v>31</v>
      </c>
      <c r="H749" t="s">
        <v>253</v>
      </c>
      <c r="I749" t="s">
        <v>135</v>
      </c>
      <c r="J749" t="s">
        <v>39</v>
      </c>
      <c r="K749" t="s">
        <v>31</v>
      </c>
      <c r="L749">
        <v>0.34632732967893509</v>
      </c>
      <c r="M749">
        <v>1</v>
      </c>
      <c r="N749">
        <v>2.6703026842173858</v>
      </c>
      <c r="O749">
        <v>3.1590792310146663</v>
      </c>
      <c r="P749">
        <v>-0.57457239540926608</v>
      </c>
      <c r="Q749">
        <v>0.64079985224309877</v>
      </c>
      <c r="R749">
        <v>-0.67371772101320482</v>
      </c>
      <c r="S749" s="2">
        <v>1.0145307755669701E-2</v>
      </c>
      <c r="T749" s="2">
        <v>1.9011798549343893E-2</v>
      </c>
      <c r="U749" s="2">
        <v>3.2399644305912766E-2</v>
      </c>
      <c r="V749" s="2">
        <v>5.1473628131152402E-2</v>
      </c>
      <c r="W749" s="2">
        <v>7.7282020418455041E-2</v>
      </c>
      <c r="X749" s="2">
        <v>0.11055745297055106</v>
      </c>
      <c r="Y749" s="2">
        <v>0.15148169286446653</v>
      </c>
      <c r="Z749" s="2">
        <v>0.19945449460131637</v>
      </c>
      <c r="AA749" s="2">
        <v>0.25293237419646325</v>
      </c>
      <c r="AB749" s="2">
        <v>0.30941887555748998</v>
      </c>
      <c r="AC749" s="2">
        <v>0.36567710429887962</v>
      </c>
      <c r="AD749" s="2">
        <v>0.41818424446254493</v>
      </c>
      <c r="AE749" s="2">
        <v>0.46375872461878814</v>
      </c>
      <c r="AF749" s="2">
        <v>0.50019368024870792</v>
      </c>
      <c r="AG749" s="2">
        <v>0.52667996032811026</v>
      </c>
      <c r="AH749" s="2">
        <v>0.54534292272038387</v>
      </c>
      <c r="AI749" s="2">
        <v>0.55442174625258933</v>
      </c>
      <c r="AJ749" s="2">
        <v>0.56116328839243035</v>
      </c>
      <c r="AK749" s="2">
        <v>0.56110694669680861</v>
      </c>
      <c r="AL749" s="2">
        <v>0.55880640821535177</v>
      </c>
      <c r="AM749" s="2">
        <v>0.55651530194166876</v>
      </c>
      <c r="AN749" s="2">
        <v>0.55423358920370802</v>
      </c>
      <c r="AO749" s="2">
        <v>0.55196123148797271</v>
      </c>
      <c r="AP749" s="2">
        <v>0.27946397965232317</v>
      </c>
      <c r="AQ749" s="2">
        <v>0</v>
      </c>
      <c r="AR749" s="2">
        <v>8.2116664178710899</v>
      </c>
    </row>
    <row r="750" spans="1:44" x14ac:dyDescent="0.25">
      <c r="A750" t="s">
        <v>250</v>
      </c>
      <c r="B750" t="s">
        <v>382</v>
      </c>
      <c r="C750" t="s">
        <v>45</v>
      </c>
      <c r="D750" t="s">
        <v>377</v>
      </c>
      <c r="E750" t="s">
        <v>145</v>
      </c>
      <c r="F750" t="s">
        <v>377</v>
      </c>
      <c r="G750" t="s">
        <v>31</v>
      </c>
      <c r="H750" t="s">
        <v>253</v>
      </c>
      <c r="I750" t="s">
        <v>135</v>
      </c>
      <c r="J750" t="s">
        <v>40</v>
      </c>
      <c r="K750" t="s">
        <v>31</v>
      </c>
      <c r="L750">
        <v>0.34632732967893509</v>
      </c>
      <c r="M750">
        <v>1</v>
      </c>
      <c r="N750">
        <v>2.6703026842173858</v>
      </c>
      <c r="O750">
        <v>1.979808521690356</v>
      </c>
      <c r="P750">
        <v>-0.57457239540926608</v>
      </c>
      <c r="Q750">
        <v>0.4672931329656026</v>
      </c>
      <c r="R750">
        <v>-0.53071772101320491</v>
      </c>
      <c r="S750" s="2">
        <v>5.336642738982998E-3</v>
      </c>
      <c r="T750" s="2">
        <v>1.000060117709718E-2</v>
      </c>
      <c r="U750" s="2">
        <v>1.7042886297278965E-2</v>
      </c>
      <c r="V750" s="2">
        <v>2.7076198221952549E-2</v>
      </c>
      <c r="W750" s="2">
        <v>4.0651948965234615E-2</v>
      </c>
      <c r="X750" s="2">
        <v>5.8155518082339201E-2</v>
      </c>
      <c r="Y750" s="2">
        <v>7.9682518833618585E-2</v>
      </c>
      <c r="Z750" s="2">
        <v>0.10491720961119083</v>
      </c>
      <c r="AA750" s="2">
        <v>0.13304768575945319</v>
      </c>
      <c r="AB750" s="2">
        <v>0.16276075948759236</v>
      </c>
      <c r="AC750" s="2">
        <v>0.19235375707339733</v>
      </c>
      <c r="AD750" s="2">
        <v>0.21997360410490707</v>
      </c>
      <c r="AE750" s="2">
        <v>0.24394672788450067</v>
      </c>
      <c r="AF750" s="2">
        <v>0.26311227180788888</v>
      </c>
      <c r="AG750" s="2">
        <v>0.2770446056189968</v>
      </c>
      <c r="AH750" s="2">
        <v>0.28686171172728414</v>
      </c>
      <c r="AI750" s="2">
        <v>0.2916373615989773</v>
      </c>
      <c r="AJ750" s="2">
        <v>0.29518355288036308</v>
      </c>
      <c r="AK750" s="2">
        <v>0.29515391597746343</v>
      </c>
      <c r="AL750" s="2">
        <v>0.29394378492195589</v>
      </c>
      <c r="AM750" s="2">
        <v>0.29273861540377588</v>
      </c>
      <c r="AN750" s="2">
        <v>0.29153838708062041</v>
      </c>
      <c r="AO750" s="2">
        <v>0.29034307969358991</v>
      </c>
      <c r="AP750" s="2">
        <v>0.14700386166062032</v>
      </c>
      <c r="AQ750" s="2">
        <v>0</v>
      </c>
      <c r="AR750" s="2">
        <v>4.3195072066090807</v>
      </c>
    </row>
    <row r="751" spans="1:44" x14ac:dyDescent="0.25">
      <c r="A751" t="s">
        <v>250</v>
      </c>
      <c r="B751" t="s">
        <v>382</v>
      </c>
      <c r="C751" t="s">
        <v>45</v>
      </c>
      <c r="D751" t="s">
        <v>377</v>
      </c>
      <c r="E751" t="s">
        <v>145</v>
      </c>
      <c r="F751" t="s">
        <v>377</v>
      </c>
      <c r="G751" t="s">
        <v>31</v>
      </c>
      <c r="H751" t="s">
        <v>253</v>
      </c>
      <c r="I751" t="s">
        <v>256</v>
      </c>
      <c r="J751" t="s">
        <v>39</v>
      </c>
      <c r="K751" t="s">
        <v>31</v>
      </c>
      <c r="L751">
        <v>0.34632732967893509</v>
      </c>
      <c r="M751">
        <v>1</v>
      </c>
      <c r="N751">
        <v>2.2425524627086975</v>
      </c>
      <c r="O751">
        <v>2.6530329131883188</v>
      </c>
      <c r="P751">
        <v>-0.30047011666954615</v>
      </c>
      <c r="Q751">
        <v>0.4672931329656026</v>
      </c>
      <c r="R751">
        <v>-0.39961544227348494</v>
      </c>
      <c r="S751" s="2">
        <v>5.3218318898302476E-3</v>
      </c>
      <c r="T751" s="2">
        <v>9.9728463876695775E-3</v>
      </c>
      <c r="U751" s="2">
        <v>1.6995586968764315E-2</v>
      </c>
      <c r="V751" s="2">
        <v>2.7001053321476842E-2</v>
      </c>
      <c r="W751" s="2">
        <v>4.0539127119490433E-2</v>
      </c>
      <c r="X751" s="2">
        <v>5.7994118369477453E-2</v>
      </c>
      <c r="Y751" s="2">
        <v>7.9461374975152085E-2</v>
      </c>
      <c r="Z751" s="2">
        <v>0.10462603161013639</v>
      </c>
      <c r="AA751" s="2">
        <v>0.13267843690764011</v>
      </c>
      <c r="AB751" s="2">
        <v>0.16230904758281209</v>
      </c>
      <c r="AC751" s="2">
        <v>0.1918199153644202</v>
      </c>
      <c r="AD751" s="2">
        <v>0.2193631087003364</v>
      </c>
      <c r="AE751" s="2">
        <v>0.24326969957949307</v>
      </c>
      <c r="AF751" s="2">
        <v>0.26238205313697832</v>
      </c>
      <c r="AG751" s="2">
        <v>0.27627572037351583</v>
      </c>
      <c r="AH751" s="2">
        <v>0.28606558094845985</v>
      </c>
      <c r="AI751" s="2">
        <v>0.29082797690129147</v>
      </c>
      <c r="AJ751" s="2">
        <v>0.29436432639511456</v>
      </c>
      <c r="AK751" s="2">
        <v>0.29433477174386991</v>
      </c>
      <c r="AL751" s="2">
        <v>0.2931279991797201</v>
      </c>
      <c r="AM751" s="2">
        <v>0.29192617438308327</v>
      </c>
      <c r="AN751" s="2">
        <v>0.29072927706811258</v>
      </c>
      <c r="AO751" s="2">
        <v>0.28953728703213333</v>
      </c>
      <c r="AP751" s="2">
        <v>0.14659588006499463</v>
      </c>
      <c r="AQ751" s="2">
        <v>0</v>
      </c>
      <c r="AR751" s="2">
        <v>4.3075192260039739</v>
      </c>
    </row>
    <row r="752" spans="1:44" x14ac:dyDescent="0.25">
      <c r="A752" t="s">
        <v>250</v>
      </c>
      <c r="B752" t="s">
        <v>382</v>
      </c>
      <c r="C752" t="s">
        <v>45</v>
      </c>
      <c r="D752" t="s">
        <v>377</v>
      </c>
      <c r="E752" t="s">
        <v>148</v>
      </c>
      <c r="F752" t="s">
        <v>377</v>
      </c>
      <c r="G752" t="s">
        <v>31</v>
      </c>
      <c r="H752" t="s">
        <v>253</v>
      </c>
      <c r="I752" t="s">
        <v>135</v>
      </c>
      <c r="J752" t="s">
        <v>39</v>
      </c>
      <c r="K752" t="s">
        <v>31</v>
      </c>
      <c r="L752">
        <v>0.34632732967893509</v>
      </c>
      <c r="M752">
        <v>1</v>
      </c>
      <c r="N752">
        <v>2.6703026842173858</v>
      </c>
      <c r="O752">
        <v>3.1590792310146663</v>
      </c>
      <c r="P752">
        <v>-0.57457239540926608</v>
      </c>
      <c r="Q752">
        <v>0.64079985224309877</v>
      </c>
      <c r="R752">
        <v>-0.67371772101320482</v>
      </c>
      <c r="S752" s="2">
        <v>1.725945143186268E-3</v>
      </c>
      <c r="T752" s="2">
        <v>4.4216892815032074E-3</v>
      </c>
      <c r="U752" s="2">
        <v>7.6204893011422303E-3</v>
      </c>
      <c r="V752" s="2">
        <v>1.2244035393045683E-2</v>
      </c>
      <c r="W752" s="2">
        <v>1.8592375554529868E-2</v>
      </c>
      <c r="X752" s="2">
        <v>2.6901739167666808E-2</v>
      </c>
      <c r="Y752" s="2">
        <v>3.7282716868250777E-2</v>
      </c>
      <c r="Z752" s="2">
        <v>4.9655265618881353E-2</v>
      </c>
      <c r="AA752" s="2">
        <v>6.3696980577868711E-2</v>
      </c>
      <c r="AB752" s="2">
        <v>7.8826617506584415E-2</v>
      </c>
      <c r="AC752" s="2">
        <v>9.4244082796832052E-2</v>
      </c>
      <c r="AD752" s="2">
        <v>0.10903668802014276</v>
      </c>
      <c r="AE752" s="2">
        <v>0.12233874485269866</v>
      </c>
      <c r="AF752" s="2">
        <v>0.13350428444708856</v>
      </c>
      <c r="AG752" s="2">
        <v>0.14223512501653729</v>
      </c>
      <c r="AH752" s="2">
        <v>0.14902208859118482</v>
      </c>
      <c r="AI752" s="2">
        <v>0.15330623258972417</v>
      </c>
      <c r="AJ752" s="2">
        <v>0.15702360330593371</v>
      </c>
      <c r="AK752" s="2">
        <v>0.15888937623495156</v>
      </c>
      <c r="AL752" s="2">
        <v>0.16014056830347553</v>
      </c>
      <c r="AM752" s="2">
        <v>0.16140796726835821</v>
      </c>
      <c r="AN752" s="2">
        <v>0.16269174595870003</v>
      </c>
      <c r="AO752" s="2">
        <v>0.16399207917833442</v>
      </c>
      <c r="AP752" s="2">
        <v>0.16530914372781025</v>
      </c>
      <c r="AQ752" s="2">
        <v>0.16664311842666679</v>
      </c>
      <c r="AR752" s="2">
        <v>2.5007527031310985</v>
      </c>
    </row>
    <row r="753" spans="1:44" x14ac:dyDescent="0.25">
      <c r="A753" t="s">
        <v>250</v>
      </c>
      <c r="B753" t="s">
        <v>382</v>
      </c>
      <c r="C753" t="s">
        <v>45</v>
      </c>
      <c r="D753" t="s">
        <v>377</v>
      </c>
      <c r="E753" t="s">
        <v>148</v>
      </c>
      <c r="F753" t="s">
        <v>377</v>
      </c>
      <c r="G753" t="s">
        <v>31</v>
      </c>
      <c r="H753" t="s">
        <v>253</v>
      </c>
      <c r="I753" t="s">
        <v>135</v>
      </c>
      <c r="J753" t="s">
        <v>40</v>
      </c>
      <c r="K753" t="s">
        <v>31</v>
      </c>
      <c r="L753">
        <v>0.34632732967893509</v>
      </c>
      <c r="M753">
        <v>1</v>
      </c>
      <c r="N753">
        <v>2.6703026842173858</v>
      </c>
      <c r="O753">
        <v>1.979808521690356</v>
      </c>
      <c r="P753">
        <v>-0.57457239540926608</v>
      </c>
      <c r="Q753">
        <v>0.4672931329656026</v>
      </c>
      <c r="R753">
        <v>-0.53071772101320491</v>
      </c>
      <c r="S753" s="2">
        <v>9.0788301726189987E-4</v>
      </c>
      <c r="T753" s="2">
        <v>2.325900462209823E-3</v>
      </c>
      <c r="U753" s="2">
        <v>4.0085357562179985E-3</v>
      </c>
      <c r="V753" s="2">
        <v>6.4406170960789443E-3</v>
      </c>
      <c r="W753" s="2">
        <v>9.7799759645613594E-3</v>
      </c>
      <c r="X753" s="2">
        <v>1.4150873926413173E-2</v>
      </c>
      <c r="Y753" s="2">
        <v>1.9611483954571921E-2</v>
      </c>
      <c r="Z753" s="2">
        <v>2.6119701747754378E-2</v>
      </c>
      <c r="AA753" s="2">
        <v>3.3505935658388941E-2</v>
      </c>
      <c r="AB753" s="2">
        <v>4.1464439136409542E-2</v>
      </c>
      <c r="AC753" s="2">
        <v>4.9574346314802502E-2</v>
      </c>
      <c r="AD753" s="2">
        <v>5.7355564110931706E-2</v>
      </c>
      <c r="AE753" s="2">
        <v>6.4352722474050397E-2</v>
      </c>
      <c r="AF753" s="2">
        <v>7.022602836464166E-2</v>
      </c>
      <c r="AG753" s="2">
        <v>7.4818631965465787E-2</v>
      </c>
      <c r="AH753" s="2">
        <v>7.8388715865597092E-2</v>
      </c>
      <c r="AI753" s="2">
        <v>8.0642264650234441E-2</v>
      </c>
      <c r="AJ753" s="2">
        <v>8.2597678908581565E-2</v>
      </c>
      <c r="AK753" s="2">
        <v>8.3579114247364861E-2</v>
      </c>
      <c r="AL753" s="2">
        <v>8.4237267280112785E-2</v>
      </c>
      <c r="AM753" s="2">
        <v>8.4903945477189519E-2</v>
      </c>
      <c r="AN753" s="2">
        <v>8.5579239750292496E-2</v>
      </c>
      <c r="AO753" s="2">
        <v>8.6263242049872138E-2</v>
      </c>
      <c r="AP753" s="2">
        <v>8.6956045376691646E-2</v>
      </c>
      <c r="AQ753" s="2">
        <v>8.7657743793544435E-2</v>
      </c>
      <c r="AR753" s="2">
        <v>1.3154478973492412</v>
      </c>
    </row>
    <row r="754" spans="1:44" x14ac:dyDescent="0.25">
      <c r="A754" t="s">
        <v>250</v>
      </c>
      <c r="B754" t="s">
        <v>382</v>
      </c>
      <c r="C754" t="s">
        <v>45</v>
      </c>
      <c r="D754" t="s">
        <v>377</v>
      </c>
      <c r="E754" t="s">
        <v>148</v>
      </c>
      <c r="F754" t="s">
        <v>377</v>
      </c>
      <c r="G754" t="s">
        <v>31</v>
      </c>
      <c r="H754" t="s">
        <v>253</v>
      </c>
      <c r="I754" t="s">
        <v>256</v>
      </c>
      <c r="J754" t="s">
        <v>39</v>
      </c>
      <c r="K754" t="s">
        <v>31</v>
      </c>
      <c r="L754">
        <v>0.34632732967893509</v>
      </c>
      <c r="M754">
        <v>1</v>
      </c>
      <c r="N754">
        <v>2.2425524627086975</v>
      </c>
      <c r="O754">
        <v>2.6530329131883188</v>
      </c>
      <c r="P754">
        <v>-0.30047011666954615</v>
      </c>
      <c r="Q754">
        <v>0.4672931329656026</v>
      </c>
      <c r="R754">
        <v>-0.39961544227348494</v>
      </c>
      <c r="S754" s="2">
        <v>9.0536335854111158E-4</v>
      </c>
      <c r="T754" s="2">
        <v>2.3194453625198183E-3</v>
      </c>
      <c r="U754" s="2">
        <v>3.9974108184411185E-3</v>
      </c>
      <c r="V754" s="2">
        <v>6.422742373537689E-3</v>
      </c>
      <c r="W754" s="2">
        <v>9.7528334789550621E-3</v>
      </c>
      <c r="X754" s="2">
        <v>1.4111600834817203E-2</v>
      </c>
      <c r="Y754" s="2">
        <v>1.9557055965905748E-2</v>
      </c>
      <c r="Z754" s="2">
        <v>2.6047211423514575E-2</v>
      </c>
      <c r="AA754" s="2">
        <v>3.3412946229823465E-2</v>
      </c>
      <c r="AB754" s="2">
        <v>4.1349362376863923E-2</v>
      </c>
      <c r="AC754" s="2">
        <v>4.9436762031757238E-2</v>
      </c>
      <c r="AD754" s="2">
        <v>5.719638452000389E-2</v>
      </c>
      <c r="AE754" s="2">
        <v>6.4174123584871443E-2</v>
      </c>
      <c r="AF754" s="2">
        <v>7.0031129218572061E-2</v>
      </c>
      <c r="AG754" s="2">
        <v>7.4610986911065061E-2</v>
      </c>
      <c r="AH754" s="2">
        <v>7.8171162714159734E-2</v>
      </c>
      <c r="AI754" s="2">
        <v>8.0418457197592108E-2</v>
      </c>
      <c r="AJ754" s="2">
        <v>8.2368444571093519E-2</v>
      </c>
      <c r="AK754" s="2">
        <v>8.3347156120508165E-2</v>
      </c>
      <c r="AL754" s="2">
        <v>8.4003482573182728E-2</v>
      </c>
      <c r="AM754" s="2">
        <v>8.4668310530193622E-2</v>
      </c>
      <c r="AN754" s="2">
        <v>8.5341730650931952E-2</v>
      </c>
      <c r="AO754" s="2">
        <v>8.602383463065319E-2</v>
      </c>
      <c r="AP754" s="2">
        <v>8.6714715212020205E-2</v>
      </c>
      <c r="AQ754" s="2">
        <v>8.7414466196768209E-2</v>
      </c>
      <c r="AR754" s="2">
        <v>1.3117971188862927</v>
      </c>
    </row>
    <row r="755" spans="1:44" x14ac:dyDescent="0.25">
      <c r="A755" t="s">
        <v>250</v>
      </c>
      <c r="B755" t="s">
        <v>376</v>
      </c>
      <c r="C755" t="s">
        <v>45</v>
      </c>
      <c r="D755" t="s">
        <v>377</v>
      </c>
      <c r="E755" t="s">
        <v>145</v>
      </c>
      <c r="F755" t="s">
        <v>377</v>
      </c>
      <c r="G755" t="s">
        <v>31</v>
      </c>
      <c r="H755" t="s">
        <v>288</v>
      </c>
      <c r="I755" t="s">
        <v>135</v>
      </c>
      <c r="J755" t="s">
        <v>39</v>
      </c>
      <c r="K755" t="s">
        <v>31</v>
      </c>
      <c r="L755">
        <v>0.44</v>
      </c>
      <c r="M755">
        <v>1</v>
      </c>
      <c r="N755">
        <v>2.9514343843691035</v>
      </c>
      <c r="O755">
        <v>3.1585068309872639</v>
      </c>
      <c r="P755">
        <v>-0.63571527425478014</v>
      </c>
      <c r="Q755">
        <v>0.57965697339758471</v>
      </c>
      <c r="R755">
        <v>-0.67371772101320537</v>
      </c>
      <c r="S755" s="2">
        <v>5.5175740547318289E-2</v>
      </c>
      <c r="T755" s="2">
        <v>0.10351077846820669</v>
      </c>
      <c r="U755" s="2">
        <v>0.17659647858357178</v>
      </c>
      <c r="V755" s="2">
        <v>0.28087041988881561</v>
      </c>
      <c r="W755" s="2">
        <v>0.42216197825482099</v>
      </c>
      <c r="X755" s="2">
        <v>0.6045999397367382</v>
      </c>
      <c r="Y755" s="2">
        <v>0.82931524805168155</v>
      </c>
      <c r="Z755" s="2">
        <v>1.0931575382231375</v>
      </c>
      <c r="AA755" s="2">
        <v>1.387786866459686</v>
      </c>
      <c r="AB755" s="2">
        <v>1.6995916236364323</v>
      </c>
      <c r="AC755" s="2">
        <v>2.0108282299556319</v>
      </c>
      <c r="AD755" s="2">
        <v>2.3021005925749112</v>
      </c>
      <c r="AE755" s="2">
        <v>2.5558075533762166</v>
      </c>
      <c r="AF755" s="2">
        <v>2.7596479509084508</v>
      </c>
      <c r="AG755" s="2">
        <v>2.9089864770638729</v>
      </c>
      <c r="AH755" s="2">
        <v>3.0153936469694225</v>
      </c>
      <c r="AI755" s="2">
        <v>3.0689797049041077</v>
      </c>
      <c r="AJ755" s="2">
        <v>3.1097282395165693</v>
      </c>
      <c r="AK755" s="2">
        <v>3.1128504566245185</v>
      </c>
      <c r="AL755" s="2">
        <v>3.1035119052546452</v>
      </c>
      <c r="AM755" s="2">
        <v>3.0942013695388804</v>
      </c>
      <c r="AN755" s="2">
        <v>3.0849187654302641</v>
      </c>
      <c r="AO755" s="2">
        <v>3.0756640091339733</v>
      </c>
      <c r="AP755" s="2">
        <v>2.0031800777269053</v>
      </c>
      <c r="AQ755" s="2">
        <v>0</v>
      </c>
      <c r="AR755" s="2">
        <v>45.858565590828789</v>
      </c>
    </row>
    <row r="756" spans="1:44" x14ac:dyDescent="0.25">
      <c r="A756" t="s">
        <v>250</v>
      </c>
      <c r="B756" t="s">
        <v>376</v>
      </c>
      <c r="C756" t="s">
        <v>45</v>
      </c>
      <c r="D756" t="s">
        <v>377</v>
      </c>
      <c r="E756" t="s">
        <v>145</v>
      </c>
      <c r="F756" t="s">
        <v>377</v>
      </c>
      <c r="G756" t="s">
        <v>31</v>
      </c>
      <c r="H756" t="s">
        <v>288</v>
      </c>
      <c r="I756" t="s">
        <v>135</v>
      </c>
      <c r="J756" t="s">
        <v>39</v>
      </c>
      <c r="K756" t="s">
        <v>33</v>
      </c>
      <c r="L756">
        <v>0.44</v>
      </c>
      <c r="M756">
        <v>1</v>
      </c>
      <c r="N756">
        <v>2.9514343843691035</v>
      </c>
      <c r="O756">
        <v>3.1585068309872639</v>
      </c>
      <c r="P756">
        <v>-0.63571527425478014</v>
      </c>
      <c r="Q756">
        <v>0.57965697339758471</v>
      </c>
      <c r="R756">
        <v>-0.67371772101320537</v>
      </c>
      <c r="S756" s="2">
        <v>5.1904444689922441E-4</v>
      </c>
      <c r="T756" s="2">
        <v>9.7373762862435701E-4</v>
      </c>
      <c r="U756" s="2">
        <v>1.6612630957286859E-3</v>
      </c>
      <c r="V756" s="2">
        <v>2.6421798836849283E-3</v>
      </c>
      <c r="W756" s="2">
        <v>3.9713255922181889E-3</v>
      </c>
      <c r="X756" s="2">
        <v>5.6875401798519593E-3</v>
      </c>
      <c r="Y756" s="2">
        <v>7.8014625623543093E-3</v>
      </c>
      <c r="Z756" s="2">
        <v>1.0283456899217343E-2</v>
      </c>
      <c r="AA756" s="2">
        <v>1.3055068393650872E-2</v>
      </c>
      <c r="AB756" s="2">
        <v>1.5988251095395634E-2</v>
      </c>
      <c r="AC756" s="2">
        <v>1.891608913760914E-2</v>
      </c>
      <c r="AD756" s="2">
        <v>2.1656121275883764E-2</v>
      </c>
      <c r="AE756" s="2">
        <v>2.4042771420264959E-2</v>
      </c>
      <c r="AF756" s="2">
        <v>2.5960321150333397E-2</v>
      </c>
      <c r="AG756" s="2">
        <v>2.7365165597189746E-2</v>
      </c>
      <c r="AH756" s="2">
        <v>2.836614990844467E-2</v>
      </c>
      <c r="AI756" s="2">
        <v>2.8870240030775995E-2</v>
      </c>
      <c r="AJ756" s="2">
        <v>2.9253566115756042E-2</v>
      </c>
      <c r="AK756" s="2">
        <v>2.9282937166073074E-2</v>
      </c>
      <c r="AL756" s="2">
        <v>2.919508835457486E-2</v>
      </c>
      <c r="AM756" s="2">
        <v>2.9107503089511124E-2</v>
      </c>
      <c r="AN756" s="2">
        <v>2.9020180580242597E-2</v>
      </c>
      <c r="AO756" s="2">
        <v>2.8933120038501872E-2</v>
      </c>
      <c r="AP756" s="2">
        <v>1.8844142102481275E-2</v>
      </c>
      <c r="AQ756" s="2">
        <v>0</v>
      </c>
      <c r="AR756" s="2">
        <v>0.43139672574526799</v>
      </c>
    </row>
    <row r="757" spans="1:44" x14ac:dyDescent="0.25">
      <c r="A757" t="s">
        <v>250</v>
      </c>
      <c r="B757" t="s">
        <v>376</v>
      </c>
      <c r="C757" t="s">
        <v>45</v>
      </c>
      <c r="D757" t="s">
        <v>377</v>
      </c>
      <c r="E757" t="s">
        <v>145</v>
      </c>
      <c r="F757" t="s">
        <v>377</v>
      </c>
      <c r="G757" t="s">
        <v>31</v>
      </c>
      <c r="H757" t="s">
        <v>289</v>
      </c>
      <c r="I757" t="s">
        <v>135</v>
      </c>
      <c r="J757" t="s">
        <v>39</v>
      </c>
      <c r="K757" t="s">
        <v>31</v>
      </c>
      <c r="L757">
        <v>0.44</v>
      </c>
      <c r="M757">
        <v>1</v>
      </c>
      <c r="N757">
        <v>2.9514343843691035</v>
      </c>
      <c r="O757">
        <v>3.1585068309872639</v>
      </c>
      <c r="P757">
        <v>-0.63571527425478014</v>
      </c>
      <c r="Q757">
        <v>0.57965697339758471</v>
      </c>
      <c r="R757">
        <v>-0.67371772101320537</v>
      </c>
      <c r="S757" s="2">
        <v>5.2442149621941464E-2</v>
      </c>
      <c r="T757" s="2">
        <v>9.8382507929513696E-2</v>
      </c>
      <c r="U757" s="2">
        <v>0.16784729775661836</v>
      </c>
      <c r="V757" s="2">
        <v>0.26695515888101101</v>
      </c>
      <c r="W757" s="2">
        <v>0.40124666037509393</v>
      </c>
      <c r="X757" s="2">
        <v>0.57464603440890039</v>
      </c>
      <c r="Y757" s="2">
        <v>0.78822819396118804</v>
      </c>
      <c r="Z757" s="2">
        <v>1.0389988536843895</v>
      </c>
      <c r="AA757" s="2">
        <v>1.3190312585261974</v>
      </c>
      <c r="AB757" s="2">
        <v>1.6153881640519678</v>
      </c>
      <c r="AC757" s="2">
        <v>1.9112050668159501</v>
      </c>
      <c r="AD757" s="2">
        <v>2.1880468213569149</v>
      </c>
      <c r="AE757" s="2">
        <v>2.4291842898619338</v>
      </c>
      <c r="AF757" s="2">
        <v>2.6229257516047797</v>
      </c>
      <c r="AG757" s="2">
        <v>2.7648655471612438</v>
      </c>
      <c r="AH757" s="2">
        <v>2.8660009495986363</v>
      </c>
      <c r="AI757" s="2">
        <v>2.9169321748071289</v>
      </c>
      <c r="AJ757" s="2">
        <v>2.9556618905812009</v>
      </c>
      <c r="AK757" s="2">
        <v>2.9586294225998566</v>
      </c>
      <c r="AL757" s="2">
        <v>2.9497535343320571</v>
      </c>
      <c r="AM757" s="2">
        <v>2.9409042737290605</v>
      </c>
      <c r="AN757" s="2">
        <v>2.9320815609078736</v>
      </c>
      <c r="AO757" s="2">
        <v>2.9232853162251504</v>
      </c>
      <c r="AP757" s="2">
        <v>1.9039358296560653</v>
      </c>
      <c r="AQ757" s="2">
        <v>0</v>
      </c>
      <c r="AR757" s="2">
        <v>43.586578708434672</v>
      </c>
    </row>
    <row r="758" spans="1:44" x14ac:dyDescent="0.25">
      <c r="A758" t="s">
        <v>250</v>
      </c>
      <c r="B758" t="s">
        <v>376</v>
      </c>
      <c r="C758" t="s">
        <v>45</v>
      </c>
      <c r="D758" t="s">
        <v>377</v>
      </c>
      <c r="E758" t="s">
        <v>145</v>
      </c>
      <c r="F758" t="s">
        <v>377</v>
      </c>
      <c r="G758" t="s">
        <v>31</v>
      </c>
      <c r="H758" t="s">
        <v>290</v>
      </c>
      <c r="I758" t="s">
        <v>135</v>
      </c>
      <c r="J758" t="s">
        <v>39</v>
      </c>
      <c r="K758" t="s">
        <v>31</v>
      </c>
      <c r="L758">
        <v>0.44</v>
      </c>
      <c r="M758">
        <v>1</v>
      </c>
      <c r="N758">
        <v>2.9514343843691035</v>
      </c>
      <c r="O758">
        <v>3.1585068309872639</v>
      </c>
      <c r="P758">
        <v>-0.63571527425478014</v>
      </c>
      <c r="Q758">
        <v>0.57965697339758471</v>
      </c>
      <c r="R758">
        <v>-0.67371772101320537</v>
      </c>
      <c r="S758" s="2">
        <v>7.5939804471334596E-2</v>
      </c>
      <c r="T758" s="2">
        <v>0.14246457228444576</v>
      </c>
      <c r="U758" s="2">
        <v>0.2430543191796721</v>
      </c>
      <c r="V758" s="2">
        <v>0.3865692522938865</v>
      </c>
      <c r="W758" s="2">
        <v>0.58103249301039206</v>
      </c>
      <c r="X758" s="2">
        <v>0.83212659678964851</v>
      </c>
      <c r="Y758" s="2">
        <v>1.1414081108368921</v>
      </c>
      <c r="Z758" s="2">
        <v>1.5045411060289851</v>
      </c>
      <c r="AA758" s="2">
        <v>1.9100471011613258</v>
      </c>
      <c r="AB758" s="2">
        <v>2.3391920851407924</v>
      </c>
      <c r="AC758" s="2">
        <v>2.7675551083417647</v>
      </c>
      <c r="AD758" s="2">
        <v>3.1684408245242692</v>
      </c>
      <c r="AE758" s="2">
        <v>3.5176243027187284</v>
      </c>
      <c r="AF758" s="2">
        <v>3.7981751349940436</v>
      </c>
      <c r="AG758" s="2">
        <v>4.0037136264358448</v>
      </c>
      <c r="AH758" s="2">
        <v>4.1501645774665006</v>
      </c>
      <c r="AI758" s="2">
        <v>4.2239164604785628</v>
      </c>
      <c r="AJ758" s="2">
        <v>4.2799997267885086</v>
      </c>
      <c r="AK758" s="2">
        <v>4.2842969152692199</v>
      </c>
      <c r="AL758" s="2">
        <v>4.2714440245234115</v>
      </c>
      <c r="AM758" s="2">
        <v>4.2586296924498424</v>
      </c>
      <c r="AN758" s="2">
        <v>4.2458538033724924</v>
      </c>
      <c r="AO758" s="2">
        <v>4.2331162419623745</v>
      </c>
      <c r="AP758" s="2">
        <v>2.7570287578287185</v>
      </c>
      <c r="AQ758" s="2">
        <v>0</v>
      </c>
      <c r="AR758" s="2">
        <v>63.116334638351653</v>
      </c>
    </row>
    <row r="759" spans="1:44" x14ac:dyDescent="0.25">
      <c r="A759" t="s">
        <v>250</v>
      </c>
      <c r="B759" t="s">
        <v>376</v>
      </c>
      <c r="C759" t="s">
        <v>45</v>
      </c>
      <c r="D759" t="s">
        <v>377</v>
      </c>
      <c r="E759" t="s">
        <v>148</v>
      </c>
      <c r="F759" t="s">
        <v>377</v>
      </c>
      <c r="G759" t="s">
        <v>31</v>
      </c>
      <c r="H759" t="s">
        <v>288</v>
      </c>
      <c r="I759" t="s">
        <v>135</v>
      </c>
      <c r="J759" t="s">
        <v>39</v>
      </c>
      <c r="K759" t="s">
        <v>31</v>
      </c>
      <c r="L759">
        <v>0.44</v>
      </c>
      <c r="M759">
        <v>1</v>
      </c>
      <c r="N759">
        <v>2.9514343843691035</v>
      </c>
      <c r="O759">
        <v>3.1585068309872639</v>
      </c>
      <c r="P759">
        <v>-0.63571527425478014</v>
      </c>
      <c r="Q759">
        <v>0.57965697339758471</v>
      </c>
      <c r="R759">
        <v>-0.67371772101320537</v>
      </c>
      <c r="S759" s="2">
        <v>9.3866350546271179E-3</v>
      </c>
      <c r="T759" s="2">
        <v>2.2334501194808551E-2</v>
      </c>
      <c r="U759" s="2">
        <v>3.8533803882574588E-2</v>
      </c>
      <c r="V759" s="2">
        <v>6.1979673862197111E-2</v>
      </c>
      <c r="W759" s="2">
        <v>9.4214988578707318E-2</v>
      </c>
      <c r="X759" s="2">
        <v>0.13646479456189722</v>
      </c>
      <c r="Y759" s="2">
        <v>0.18932054382029123</v>
      </c>
      <c r="Z759" s="2">
        <v>0.25240631651792889</v>
      </c>
      <c r="AA759" s="2">
        <v>0.32411064726792582</v>
      </c>
      <c r="AB759" s="2">
        <v>0.40149647496402363</v>
      </c>
      <c r="AC759" s="2">
        <v>0.48049869205040036</v>
      </c>
      <c r="AD759" s="2">
        <v>0.55646127791002209</v>
      </c>
      <c r="AE759" s="2">
        <v>0.62495023316982756</v>
      </c>
      <c r="AF759" s="2">
        <v>0.68263837778426006</v>
      </c>
      <c r="AG759" s="2">
        <v>0.72796657083602123</v>
      </c>
      <c r="AH759" s="2">
        <v>0.76341261479950884</v>
      </c>
      <c r="AI759" s="2">
        <v>0.78608166329445817</v>
      </c>
      <c r="AJ759" s="2">
        <v>0.80587383189618178</v>
      </c>
      <c r="AK759" s="2">
        <v>0.81618077180336635</v>
      </c>
      <c r="AL759" s="2">
        <v>0.82333657075678413</v>
      </c>
      <c r="AM759" s="2">
        <v>0.83057860840275199</v>
      </c>
      <c r="AN759" s="2">
        <v>0.83790783387498557</v>
      </c>
      <c r="AO759" s="2">
        <v>0.84532520700503688</v>
      </c>
      <c r="AP759" s="2">
        <v>0.85283169844203666</v>
      </c>
      <c r="AQ759" s="2">
        <v>0.86042828977390151</v>
      </c>
      <c r="AR759" s="2">
        <v>12.824720621504524</v>
      </c>
    </row>
    <row r="760" spans="1:44" x14ac:dyDescent="0.25">
      <c r="A760" t="s">
        <v>250</v>
      </c>
      <c r="B760" t="s">
        <v>376</v>
      </c>
      <c r="C760" t="s">
        <v>45</v>
      </c>
      <c r="D760" t="s">
        <v>377</v>
      </c>
      <c r="E760" t="s">
        <v>148</v>
      </c>
      <c r="F760" t="s">
        <v>377</v>
      </c>
      <c r="G760" t="s">
        <v>31</v>
      </c>
      <c r="H760" t="s">
        <v>288</v>
      </c>
      <c r="I760" t="s">
        <v>135</v>
      </c>
      <c r="J760" t="s">
        <v>39</v>
      </c>
      <c r="K760" t="s">
        <v>33</v>
      </c>
      <c r="L760">
        <v>0.44</v>
      </c>
      <c r="M760">
        <v>1</v>
      </c>
      <c r="N760">
        <v>2.9514343843691035</v>
      </c>
      <c r="O760">
        <v>3.1585068309872639</v>
      </c>
      <c r="P760">
        <v>-0.63571527425478014</v>
      </c>
      <c r="Q760">
        <v>0.57965697339758471</v>
      </c>
      <c r="R760">
        <v>-0.67371772101320537</v>
      </c>
      <c r="S760" s="2">
        <v>8.8301140172202018E-5</v>
      </c>
      <c r="T760" s="2">
        <v>2.101031849221417E-4</v>
      </c>
      <c r="U760" s="2">
        <v>3.6249186190807448E-4</v>
      </c>
      <c r="V760" s="2">
        <v>5.8304981899081677E-4</v>
      </c>
      <c r="W760" s="2">
        <v>8.8629107922012383E-4</v>
      </c>
      <c r="X760" s="2">
        <v>1.2837397941918439E-3</v>
      </c>
      <c r="Y760" s="2">
        <v>1.7809598200062185E-3</v>
      </c>
      <c r="Z760" s="2">
        <v>2.3744148361464373E-3</v>
      </c>
      <c r="AA760" s="2">
        <v>3.0489456050174757E-3</v>
      </c>
      <c r="AB760" s="2">
        <v>3.7769228598023962E-3</v>
      </c>
      <c r="AC760" s="2">
        <v>4.5201056728403129E-3</v>
      </c>
      <c r="AD760" s="2">
        <v>5.2346943303088651E-3</v>
      </c>
      <c r="AE760" s="2">
        <v>5.8789776973993367E-3</v>
      </c>
      <c r="AF760" s="2">
        <v>6.4216566142026102E-3</v>
      </c>
      <c r="AG760" s="2">
        <v>6.8480640653416835E-3</v>
      </c>
      <c r="AH760" s="2">
        <v>7.1815090196150075E-3</v>
      </c>
      <c r="AI760" s="2">
        <v>7.3947593289188686E-3</v>
      </c>
      <c r="AJ760" s="2">
        <v>7.5809465029001502E-3</v>
      </c>
      <c r="AK760" s="2">
        <v>7.6779050551600793E-3</v>
      </c>
      <c r="AL760" s="2">
        <v>7.7452204672064841E-3</v>
      </c>
      <c r="AM760" s="2">
        <v>7.8133471364107299E-3</v>
      </c>
      <c r="AN760" s="2">
        <v>7.8822939913818085E-3</v>
      </c>
      <c r="AO760" s="2">
        <v>7.9520700613637599E-3</v>
      </c>
      <c r="AP760" s="2">
        <v>8.0226844773629447E-3</v>
      </c>
      <c r="AQ760" s="2">
        <v>8.0941464732881534E-3</v>
      </c>
      <c r="AR760" s="2">
        <v>0.12064360089407852</v>
      </c>
    </row>
    <row r="761" spans="1:44" x14ac:dyDescent="0.25">
      <c r="A761" t="s">
        <v>250</v>
      </c>
      <c r="B761" t="s">
        <v>376</v>
      </c>
      <c r="C761" t="s">
        <v>45</v>
      </c>
      <c r="D761" t="s">
        <v>377</v>
      </c>
      <c r="E761" t="s">
        <v>148</v>
      </c>
      <c r="F761" t="s">
        <v>377</v>
      </c>
      <c r="G761" t="s">
        <v>31</v>
      </c>
      <c r="H761" t="s">
        <v>289</v>
      </c>
      <c r="I761" t="s">
        <v>135</v>
      </c>
      <c r="J761" t="s">
        <v>39</v>
      </c>
      <c r="K761" t="s">
        <v>31</v>
      </c>
      <c r="L761">
        <v>0.44</v>
      </c>
      <c r="M761">
        <v>1</v>
      </c>
      <c r="N761">
        <v>2.9514343843691035</v>
      </c>
      <c r="O761">
        <v>3.1585068309872639</v>
      </c>
      <c r="P761">
        <v>-0.63571527425478014</v>
      </c>
      <c r="Q761">
        <v>0.57965697339758471</v>
      </c>
      <c r="R761">
        <v>-0.67371772101320537</v>
      </c>
      <c r="S761" s="2">
        <v>8.9215897258173044E-3</v>
      </c>
      <c r="T761" s="2">
        <v>2.1227975225544933E-2</v>
      </c>
      <c r="U761" s="2">
        <v>3.6624710219875171E-2</v>
      </c>
      <c r="V761" s="2">
        <v>5.8908993299564165E-2</v>
      </c>
      <c r="W761" s="2">
        <v>8.9547262595176633E-2</v>
      </c>
      <c r="X761" s="2">
        <v>0.12970387172973663</v>
      </c>
      <c r="Y761" s="2">
        <v>0.17994097019896765</v>
      </c>
      <c r="Z761" s="2">
        <v>0.23990126249424179</v>
      </c>
      <c r="AA761" s="2">
        <v>0.3080531206194202</v>
      </c>
      <c r="AB761" s="2">
        <v>0.38160499530927972</v>
      </c>
      <c r="AC761" s="2">
        <v>0.45669317804705151</v>
      </c>
      <c r="AD761" s="2">
        <v>0.52889232306629141</v>
      </c>
      <c r="AE761" s="2">
        <v>0.59398810616874109</v>
      </c>
      <c r="AF761" s="2">
        <v>0.64881818694830973</v>
      </c>
      <c r="AG761" s="2">
        <v>0.69190066954904939</v>
      </c>
      <c r="AH761" s="2">
        <v>0.7255905978146312</v>
      </c>
      <c r="AI761" s="2">
        <v>0.74713654574692012</v>
      </c>
      <c r="AJ761" s="2">
        <v>0.76594814404827671</v>
      </c>
      <c r="AK761" s="2">
        <v>0.77574444364289052</v>
      </c>
      <c r="AL761" s="2">
        <v>0.7825457203572026</v>
      </c>
      <c r="AM761" s="2">
        <v>0.78942896321050182</v>
      </c>
      <c r="AN761" s="2">
        <v>0.79639507431321843</v>
      </c>
      <c r="AO761" s="2">
        <v>0.80344496594366976</v>
      </c>
      <c r="AP761" s="2">
        <v>0.8105795606617463</v>
      </c>
      <c r="AQ761" s="2">
        <v>0.81779979142422055</v>
      </c>
      <c r="AR761" s="2">
        <v>12.189341022360344</v>
      </c>
    </row>
    <row r="762" spans="1:44" x14ac:dyDescent="0.25">
      <c r="A762" t="s">
        <v>250</v>
      </c>
      <c r="B762" t="s">
        <v>376</v>
      </c>
      <c r="C762" t="s">
        <v>45</v>
      </c>
      <c r="D762" t="s">
        <v>377</v>
      </c>
      <c r="E762" t="s">
        <v>148</v>
      </c>
      <c r="F762" t="s">
        <v>377</v>
      </c>
      <c r="G762" t="s">
        <v>31</v>
      </c>
      <c r="H762" t="s">
        <v>290</v>
      </c>
      <c r="I762" t="s">
        <v>135</v>
      </c>
      <c r="J762" t="s">
        <v>39</v>
      </c>
      <c r="K762" t="s">
        <v>31</v>
      </c>
      <c r="L762">
        <v>0.44</v>
      </c>
      <c r="M762">
        <v>1</v>
      </c>
      <c r="N762">
        <v>2.9514343843691035</v>
      </c>
      <c r="O762">
        <v>3.1585068309872639</v>
      </c>
      <c r="P762">
        <v>-0.63571527425478014</v>
      </c>
      <c r="Q762">
        <v>0.57965697339758471</v>
      </c>
      <c r="R762">
        <v>-0.67371772101320537</v>
      </c>
      <c r="S762" s="2">
        <v>1.2919069569729661E-2</v>
      </c>
      <c r="T762" s="2">
        <v>3.07395539574861E-2</v>
      </c>
      <c r="U762" s="2">
        <v>5.3035074896184517E-2</v>
      </c>
      <c r="V762" s="2">
        <v>8.5304234571276574E-2</v>
      </c>
      <c r="W762" s="2">
        <v>0.12967053527447073</v>
      </c>
      <c r="X762" s="2">
        <v>0.18782004035567365</v>
      </c>
      <c r="Y762" s="2">
        <v>0.2605667805725202</v>
      </c>
      <c r="Z762" s="2">
        <v>0.34739336769324114</v>
      </c>
      <c r="AA762" s="2">
        <v>0.44608190006069753</v>
      </c>
      <c r="AB762" s="2">
        <v>0.5525900242072973</v>
      </c>
      <c r="AC762" s="2">
        <v>0.6613228270447411</v>
      </c>
      <c r="AD762" s="2">
        <v>0.76587210649427162</v>
      </c>
      <c r="AE762" s="2">
        <v>0.86013523408048753</v>
      </c>
      <c r="AF762" s="2">
        <v>0.9395329255093342</v>
      </c>
      <c r="AG762" s="2">
        <v>1.001919294649896</v>
      </c>
      <c r="AH762" s="2">
        <v>1.05070460538917</v>
      </c>
      <c r="AI762" s="2">
        <v>1.081904605483065</v>
      </c>
      <c r="AJ762" s="2">
        <v>1.1091450810756018</v>
      </c>
      <c r="AK762" s="2">
        <v>1.1233307901115792</v>
      </c>
      <c r="AL762" s="2">
        <v>1.1331795020267863</v>
      </c>
      <c r="AM762" s="2">
        <v>1.143146906493919</v>
      </c>
      <c r="AN762" s="2">
        <v>1.1532343098303601</v>
      </c>
      <c r="AO762" s="2">
        <v>1.1634430330772125</v>
      </c>
      <c r="AP762" s="2">
        <v>1.1737744121640545</v>
      </c>
      <c r="AQ762" s="2">
        <v>1.1842297980758325</v>
      </c>
      <c r="AR762" s="2">
        <v>17.650996012664891</v>
      </c>
    </row>
    <row r="763" spans="1:44" x14ac:dyDescent="0.25">
      <c r="A763" t="s">
        <v>250</v>
      </c>
      <c r="B763" t="s">
        <v>378</v>
      </c>
      <c r="C763" t="s">
        <v>45</v>
      </c>
      <c r="D763" t="s">
        <v>377</v>
      </c>
      <c r="E763" t="s">
        <v>145</v>
      </c>
      <c r="F763" t="s">
        <v>377</v>
      </c>
      <c r="G763" t="s">
        <v>31</v>
      </c>
      <c r="H763" t="s">
        <v>278</v>
      </c>
      <c r="I763" t="s">
        <v>135</v>
      </c>
      <c r="J763" t="s">
        <v>39</v>
      </c>
      <c r="K763" t="s">
        <v>31</v>
      </c>
      <c r="L763">
        <v>0.15</v>
      </c>
      <c r="M763">
        <v>1</v>
      </c>
      <c r="N763">
        <v>1.4949741446569866</v>
      </c>
      <c r="O763">
        <v>3.1588853240212433</v>
      </c>
      <c r="P763">
        <v>-7.0854437090028394E-2</v>
      </c>
      <c r="Q763">
        <v>1.1445178105623359</v>
      </c>
      <c r="R763">
        <v>-0.6737177210132046</v>
      </c>
      <c r="S763" s="2">
        <v>8.8195445979832171E-3</v>
      </c>
      <c r="T763" s="2">
        <v>1.6446067212511323E-2</v>
      </c>
      <c r="U763" s="2">
        <v>2.7889261955518805E-2</v>
      </c>
      <c r="V763" s="2">
        <v>4.4089937369559962E-2</v>
      </c>
      <c r="W763" s="2">
        <v>6.5870519841345995E-2</v>
      </c>
      <c r="X763" s="2">
        <v>9.376884579594294E-2</v>
      </c>
      <c r="Y763" s="2">
        <v>0.12784643359389292</v>
      </c>
      <c r="Z763" s="2">
        <v>0.1675059418067357</v>
      </c>
      <c r="AA763" s="2">
        <v>0.21137262089029624</v>
      </c>
      <c r="AB763" s="2">
        <v>0.25730548100690431</v>
      </c>
      <c r="AC763" s="2">
        <v>0.30259233680458453</v>
      </c>
      <c r="AD763" s="2">
        <v>0.34433862777085533</v>
      </c>
      <c r="AE763" s="2">
        <v>0.37998643508347607</v>
      </c>
      <c r="AF763" s="2">
        <v>0.40782338276526575</v>
      </c>
      <c r="AG763" s="2">
        <v>0.42730565334209969</v>
      </c>
      <c r="AH763" s="2">
        <v>0.44027035920996782</v>
      </c>
      <c r="AI763" s="2">
        <v>0.445397674434934</v>
      </c>
      <c r="AJ763" s="2">
        <v>0.44859544794240758</v>
      </c>
      <c r="AK763" s="2">
        <v>0.44634346276197373</v>
      </c>
      <c r="AL763" s="2">
        <v>0.44232637159711591</v>
      </c>
      <c r="AM763" s="2">
        <v>0.43834543425274186</v>
      </c>
      <c r="AN763" s="2">
        <v>0.43440032534446726</v>
      </c>
      <c r="AO763" s="2">
        <v>0.36301122204024089</v>
      </c>
      <c r="AP763" s="2">
        <v>0</v>
      </c>
      <c r="AQ763" s="2">
        <v>0</v>
      </c>
      <c r="AR763" s="2">
        <v>6.3416513874208214</v>
      </c>
    </row>
    <row r="764" spans="1:44" x14ac:dyDescent="0.25">
      <c r="A764" t="s">
        <v>250</v>
      </c>
      <c r="B764" t="s">
        <v>378</v>
      </c>
      <c r="C764" t="s">
        <v>45</v>
      </c>
      <c r="D764" t="s">
        <v>377</v>
      </c>
      <c r="E764" t="s">
        <v>148</v>
      </c>
      <c r="F764" t="s">
        <v>377</v>
      </c>
      <c r="G764" t="s">
        <v>31</v>
      </c>
      <c r="H764" t="s">
        <v>278</v>
      </c>
      <c r="I764" t="s">
        <v>135</v>
      </c>
      <c r="J764" t="s">
        <v>39</v>
      </c>
      <c r="K764" t="s">
        <v>31</v>
      </c>
      <c r="L764">
        <v>0.15</v>
      </c>
      <c r="M764">
        <v>1</v>
      </c>
      <c r="N764">
        <v>1.4949741446569866</v>
      </c>
      <c r="O764">
        <v>3.1588853240212433</v>
      </c>
      <c r="P764">
        <v>-7.0854437090028394E-2</v>
      </c>
      <c r="Q764">
        <v>1.1445178105623359</v>
      </c>
      <c r="R764">
        <v>-0.6737177210132046</v>
      </c>
      <c r="S764" s="2">
        <v>1.5004029971882301E-3</v>
      </c>
      <c r="T764" s="2">
        <v>5.0636379241185761E-3</v>
      </c>
      <c r="U764" s="2">
        <v>8.6845823045237046E-3</v>
      </c>
      <c r="V764" s="2">
        <v>1.3886931830663567E-2</v>
      </c>
      <c r="W764" s="2">
        <v>2.0987286113332691E-2</v>
      </c>
      <c r="X764" s="2">
        <v>3.0224941806029602E-2</v>
      </c>
      <c r="Y764" s="2">
        <v>4.1694660360720719E-2</v>
      </c>
      <c r="Z764" s="2">
        <v>5.5277708349568508E-2</v>
      </c>
      <c r="AA764" s="2">
        <v>7.0589394827828278E-2</v>
      </c>
      <c r="AB764" s="2">
        <v>8.6966790873757568E-2</v>
      </c>
      <c r="AC764" s="2">
        <v>0.10351865445134562</v>
      </c>
      <c r="AD764" s="2">
        <v>0.11924636731868378</v>
      </c>
      <c r="AE764" s="2">
        <v>0.13321970966679947</v>
      </c>
      <c r="AF764" s="2">
        <v>0.14476232810862369</v>
      </c>
      <c r="AG764" s="2">
        <v>0.15358436240976689</v>
      </c>
      <c r="AH764" s="2">
        <v>0.16024866123883758</v>
      </c>
      <c r="AI764" s="2">
        <v>0.1641840554980277</v>
      </c>
      <c r="AJ764" s="2">
        <v>0.16748936045759852</v>
      </c>
      <c r="AK764" s="2">
        <v>0.16880756450467296</v>
      </c>
      <c r="AL764" s="2">
        <v>0.16947152237350271</v>
      </c>
      <c r="AM764" s="2">
        <v>0.17015398800071777</v>
      </c>
      <c r="AN764" s="2">
        <v>0.1708550693807728</v>
      </c>
      <c r="AO764" s="2">
        <v>0.17157487661522364</v>
      </c>
      <c r="AP764" s="2">
        <v>0.17231352192828286</v>
      </c>
      <c r="AQ764" s="2">
        <v>0.17307111968265318</v>
      </c>
      <c r="AR764" s="2">
        <v>2.6773774990232404</v>
      </c>
    </row>
    <row r="765" spans="1:44" x14ac:dyDescent="0.25">
      <c r="A765" t="s">
        <v>250</v>
      </c>
      <c r="B765" t="s">
        <v>379</v>
      </c>
      <c r="C765" t="s">
        <v>45</v>
      </c>
      <c r="D765" t="s">
        <v>377</v>
      </c>
      <c r="E765" t="s">
        <v>145</v>
      </c>
      <c r="F765" t="s">
        <v>377</v>
      </c>
      <c r="G765" t="s">
        <v>31</v>
      </c>
      <c r="H765" t="s">
        <v>272</v>
      </c>
      <c r="I765" t="s">
        <v>135</v>
      </c>
      <c r="J765" t="s">
        <v>39</v>
      </c>
      <c r="K765" t="s">
        <v>31</v>
      </c>
      <c r="L765">
        <v>0.9</v>
      </c>
      <c r="M765">
        <v>1</v>
      </c>
      <c r="N765">
        <v>3.925396992140191</v>
      </c>
      <c r="O765">
        <v>3.1588853240212433</v>
      </c>
      <c r="P765">
        <v>-0.77948651728774332</v>
      </c>
      <c r="Q765">
        <v>0.43588573036462142</v>
      </c>
      <c r="R765">
        <v>-0.67371772101320515</v>
      </c>
      <c r="S765" s="2">
        <v>1.9027253760086932E-2</v>
      </c>
      <c r="T765" s="2">
        <v>3.5638219003217113E-2</v>
      </c>
      <c r="U765" s="2">
        <v>6.0703668134603969E-2</v>
      </c>
      <c r="V765" s="2">
        <v>9.6392085646723677E-2</v>
      </c>
      <c r="W765" s="2">
        <v>0.144649510434782</v>
      </c>
      <c r="X765" s="2">
        <v>0.20682756999753993</v>
      </c>
      <c r="Y765" s="2">
        <v>0.28324513459320838</v>
      </c>
      <c r="Z765" s="2">
        <v>0.3727589159632636</v>
      </c>
      <c r="AA765" s="2">
        <v>0.47246597441486293</v>
      </c>
      <c r="AB765" s="2">
        <v>0.57768996609660728</v>
      </c>
      <c r="AC765" s="2">
        <v>0.68238220685817885</v>
      </c>
      <c r="AD765" s="2">
        <v>0.77997286708265345</v>
      </c>
      <c r="AE765" s="2">
        <v>0.86454146150808164</v>
      </c>
      <c r="AF765" s="2">
        <v>0.93199554677718766</v>
      </c>
      <c r="AG765" s="2">
        <v>0.98085392693730411</v>
      </c>
      <c r="AH765" s="2">
        <v>1.0151006979800625</v>
      </c>
      <c r="AI765" s="2">
        <v>1.031481885493716</v>
      </c>
      <c r="AJ765" s="2">
        <v>1.0435001230052685</v>
      </c>
      <c r="AK765" s="2">
        <v>1.0428715084733371</v>
      </c>
      <c r="AL765" s="2">
        <v>1.0380742995343601</v>
      </c>
      <c r="AM765" s="2">
        <v>1.0332991577565021</v>
      </c>
      <c r="AN765" s="2">
        <v>1.028545981630822</v>
      </c>
      <c r="AO765" s="2">
        <v>1.0238146701153199</v>
      </c>
      <c r="AP765" s="2">
        <v>0.45042595483249076</v>
      </c>
      <c r="AQ765" s="2">
        <v>0</v>
      </c>
      <c r="AR765" s="2">
        <v>15.216258586030179</v>
      </c>
    </row>
    <row r="766" spans="1:44" x14ac:dyDescent="0.25">
      <c r="A766" t="s">
        <v>250</v>
      </c>
      <c r="B766" t="s">
        <v>379</v>
      </c>
      <c r="C766" t="s">
        <v>45</v>
      </c>
      <c r="D766" t="s">
        <v>377</v>
      </c>
      <c r="E766" t="s">
        <v>145</v>
      </c>
      <c r="F766" t="s">
        <v>377</v>
      </c>
      <c r="G766" t="s">
        <v>31</v>
      </c>
      <c r="H766" t="s">
        <v>272</v>
      </c>
      <c r="I766" t="s">
        <v>135</v>
      </c>
      <c r="J766" t="s">
        <v>40</v>
      </c>
      <c r="K766" t="s">
        <v>31</v>
      </c>
      <c r="L766">
        <v>0.9</v>
      </c>
      <c r="M766">
        <v>1</v>
      </c>
      <c r="N766">
        <v>3.925396992140191</v>
      </c>
      <c r="O766">
        <v>1.9798085216903567</v>
      </c>
      <c r="P766">
        <v>-0.77948651728774332</v>
      </c>
      <c r="Q766">
        <v>0.4672931329656026</v>
      </c>
      <c r="R766">
        <v>-0.53071772101320502</v>
      </c>
      <c r="S766" s="2">
        <v>1.8820968217276403E-3</v>
      </c>
      <c r="T766" s="2">
        <v>3.5251844309077038E-3</v>
      </c>
      <c r="U766" s="2">
        <v>6.0045544303932987E-3</v>
      </c>
      <c r="V766" s="2">
        <v>9.5347042890633251E-3</v>
      </c>
      <c r="W766" s="2">
        <v>1.4308128082300749E-2</v>
      </c>
      <c r="X766" s="2">
        <v>2.0458523181867864E-2</v>
      </c>
      <c r="Y766" s="2">
        <v>2.8017430907762261E-2</v>
      </c>
      <c r="Z766" s="2">
        <v>3.6871761939537701E-2</v>
      </c>
      <c r="AA766" s="2">
        <v>4.6734369553948905E-2</v>
      </c>
      <c r="AB766" s="2">
        <v>5.7142689262657191E-2</v>
      </c>
      <c r="AC766" s="2">
        <v>6.7498410381499202E-2</v>
      </c>
      <c r="AD766" s="2">
        <v>7.7151672683811942E-2</v>
      </c>
      <c r="AE766" s="2">
        <v>8.5516846386385473E-2</v>
      </c>
      <c r="AF766" s="2">
        <v>9.2189124009751197E-2</v>
      </c>
      <c r="AG766" s="2">
        <v>9.7021991809465469E-2</v>
      </c>
      <c r="AH766" s="2">
        <v>0.10040953999412346</v>
      </c>
      <c r="AI766" s="2">
        <v>0.10202989894577866</v>
      </c>
      <c r="AJ766" s="2">
        <v>0.10321869302549547</v>
      </c>
      <c r="AK766" s="2">
        <v>0.10315651308993794</v>
      </c>
      <c r="AL766" s="2">
        <v>0.10268199312972419</v>
      </c>
      <c r="AM766" s="2">
        <v>0.10220965596132747</v>
      </c>
      <c r="AN766" s="2">
        <v>0.10173949154390534</v>
      </c>
      <c r="AO766" s="2">
        <v>0.10127148988280336</v>
      </c>
      <c r="AP766" s="2">
        <v>4.455426246493658E-2</v>
      </c>
      <c r="AQ766" s="2">
        <v>0</v>
      </c>
      <c r="AR766" s="2">
        <v>1.5051290262091126</v>
      </c>
    </row>
    <row r="767" spans="1:44" x14ac:dyDescent="0.25">
      <c r="A767" t="s">
        <v>250</v>
      </c>
      <c r="B767" t="s">
        <v>379</v>
      </c>
      <c r="C767" t="s">
        <v>45</v>
      </c>
      <c r="D767" t="s">
        <v>377</v>
      </c>
      <c r="E767" t="s">
        <v>145</v>
      </c>
      <c r="F767" t="s">
        <v>377</v>
      </c>
      <c r="G767" t="s">
        <v>31</v>
      </c>
      <c r="H767" t="s">
        <v>273</v>
      </c>
      <c r="I767" t="s">
        <v>135</v>
      </c>
      <c r="J767" t="s">
        <v>39</v>
      </c>
      <c r="K767" t="s">
        <v>31</v>
      </c>
      <c r="L767">
        <v>0.9</v>
      </c>
      <c r="M767">
        <v>1</v>
      </c>
      <c r="N767">
        <v>3.925396992140191</v>
      </c>
      <c r="O767">
        <v>3.1588853240212433</v>
      </c>
      <c r="P767">
        <v>-0.77948651728774332</v>
      </c>
      <c r="Q767">
        <v>0.43588573036462142</v>
      </c>
      <c r="R767">
        <v>-0.67371772101320515</v>
      </c>
      <c r="S767" s="2">
        <v>5.7225711488829564E-3</v>
      </c>
      <c r="T767" s="2">
        <v>1.0718427705693806E-2</v>
      </c>
      <c r="U767" s="2">
        <v>1.825702564745019E-2</v>
      </c>
      <c r="V767" s="2">
        <v>2.8990550883370124E-2</v>
      </c>
      <c r="W767" s="2">
        <v>4.3504287352834757E-2</v>
      </c>
      <c r="X767" s="2">
        <v>6.2204745875848545E-2</v>
      </c>
      <c r="Y767" s="2">
        <v>8.518782877036471E-2</v>
      </c>
      <c r="Z767" s="2">
        <v>0.11210968460697675</v>
      </c>
      <c r="AA767" s="2">
        <v>0.14209723526612675</v>
      </c>
      <c r="AB767" s="2">
        <v>0.17374403971624508</v>
      </c>
      <c r="AC767" s="2">
        <v>0.20523091659549364</v>
      </c>
      <c r="AD767" s="2">
        <v>0.23458194663076368</v>
      </c>
      <c r="AE767" s="2">
        <v>0.26001650511527358</v>
      </c>
      <c r="AF767" s="2">
        <v>0.28030376291413689</v>
      </c>
      <c r="AG767" s="2">
        <v>0.29499824064649049</v>
      </c>
      <c r="AH767" s="2">
        <v>0.30529818126760055</v>
      </c>
      <c r="AI767" s="2">
        <v>0.31022493066780654</v>
      </c>
      <c r="AJ767" s="2">
        <v>0.31383949428855873</v>
      </c>
      <c r="AK767" s="2">
        <v>0.31365043435224038</v>
      </c>
      <c r="AL767" s="2">
        <v>0.31220764235422011</v>
      </c>
      <c r="AM767" s="2">
        <v>0.31077148719939057</v>
      </c>
      <c r="AN767" s="2">
        <v>0.30934193835827334</v>
      </c>
      <c r="AO767" s="2">
        <v>0.30791896544182529</v>
      </c>
      <c r="AP767" s="2">
        <v>0.13546855507017191</v>
      </c>
      <c r="AQ767" s="2">
        <v>0</v>
      </c>
      <c r="AR767" s="2">
        <v>4.5763893978760395</v>
      </c>
    </row>
    <row r="768" spans="1:44" x14ac:dyDescent="0.25">
      <c r="A768" t="s">
        <v>250</v>
      </c>
      <c r="B768" t="s">
        <v>379</v>
      </c>
      <c r="C768" t="s">
        <v>45</v>
      </c>
      <c r="D768" t="s">
        <v>377</v>
      </c>
      <c r="E768" t="s">
        <v>145</v>
      </c>
      <c r="F768" t="s">
        <v>377</v>
      </c>
      <c r="G768" t="s">
        <v>31</v>
      </c>
      <c r="H768" t="s">
        <v>274</v>
      </c>
      <c r="I768" t="s">
        <v>135</v>
      </c>
      <c r="J768" t="s">
        <v>39</v>
      </c>
      <c r="K768" t="s">
        <v>31</v>
      </c>
      <c r="L768">
        <v>0.9</v>
      </c>
      <c r="M768">
        <v>1</v>
      </c>
      <c r="N768">
        <v>3.925396992140191</v>
      </c>
      <c r="O768">
        <v>3.1588853240212433</v>
      </c>
      <c r="P768">
        <v>-0.77948651728774332</v>
      </c>
      <c r="Q768">
        <v>0.43588573036462142</v>
      </c>
      <c r="R768">
        <v>-0.67371772101320515</v>
      </c>
      <c r="S768" s="2">
        <v>9.0083517316269183E-3</v>
      </c>
      <c r="T768" s="2">
        <v>1.6872724562236738E-2</v>
      </c>
      <c r="U768" s="2">
        <v>2.8739827662547915E-2</v>
      </c>
      <c r="V768" s="2">
        <v>4.5636318440881819E-2</v>
      </c>
      <c r="W768" s="2">
        <v>6.8483538624871984E-2</v>
      </c>
      <c r="X768" s="2">
        <v>9.7921409039273447E-2</v>
      </c>
      <c r="Y768" s="2">
        <v>0.13410089710581383</v>
      </c>
      <c r="Z768" s="2">
        <v>0.17648071910098373</v>
      </c>
      <c r="AA768" s="2">
        <v>0.22368649372212324</v>
      </c>
      <c r="AB768" s="2">
        <v>0.27350423093353921</v>
      </c>
      <c r="AC768" s="2">
        <v>0.32307021351010717</v>
      </c>
      <c r="AD768" s="2">
        <v>0.36927399068723682</v>
      </c>
      <c r="AE768" s="2">
        <v>0.4093125403192191</v>
      </c>
      <c r="AF768" s="2">
        <v>0.44124831694263877</v>
      </c>
      <c r="AG768" s="2">
        <v>0.46438005623983192</v>
      </c>
      <c r="AH768" s="2">
        <v>0.48059400719227136</v>
      </c>
      <c r="AI768" s="2">
        <v>0.48834959298333647</v>
      </c>
      <c r="AJ768" s="2">
        <v>0.49403956338386801</v>
      </c>
      <c r="AK768" s="2">
        <v>0.49374194918905845</v>
      </c>
      <c r="AL768" s="2">
        <v>0.49147073622278864</v>
      </c>
      <c r="AM768" s="2">
        <v>0.48920997083616385</v>
      </c>
      <c r="AN768" s="2">
        <v>0.48695960497031743</v>
      </c>
      <c r="AO768" s="2">
        <v>0.48471959078745391</v>
      </c>
      <c r="AP768" s="2">
        <v>0.21325176409306648</v>
      </c>
      <c r="AQ768" s="2">
        <v>0</v>
      </c>
      <c r="AR768" s="2">
        <v>7.2040564082812582</v>
      </c>
    </row>
    <row r="769" spans="1:44" x14ac:dyDescent="0.25">
      <c r="A769" t="s">
        <v>250</v>
      </c>
      <c r="B769" t="s">
        <v>379</v>
      </c>
      <c r="C769" t="s">
        <v>45</v>
      </c>
      <c r="D769" t="s">
        <v>377</v>
      </c>
      <c r="E769" t="s">
        <v>145</v>
      </c>
      <c r="F769" t="s">
        <v>377</v>
      </c>
      <c r="G769" t="s">
        <v>31</v>
      </c>
      <c r="H769" t="s">
        <v>274</v>
      </c>
      <c r="I769" t="s">
        <v>135</v>
      </c>
      <c r="J769" t="s">
        <v>39</v>
      </c>
      <c r="K769" t="s">
        <v>33</v>
      </c>
      <c r="L769">
        <v>0.9</v>
      </c>
      <c r="M769">
        <v>1</v>
      </c>
      <c r="N769">
        <v>3.925396992140191</v>
      </c>
      <c r="O769">
        <v>3.1588853240212433</v>
      </c>
      <c r="P769">
        <v>-0.77948651728774332</v>
      </c>
      <c r="Q769">
        <v>0.43588573036462142</v>
      </c>
      <c r="R769">
        <v>-0.67371772101320515</v>
      </c>
      <c r="S769" s="2">
        <v>2.8984215164453609E-5</v>
      </c>
      <c r="T769" s="2">
        <v>5.4287698093034982E-5</v>
      </c>
      <c r="U769" s="2">
        <v>9.2469896111634575E-5</v>
      </c>
      <c r="V769" s="2">
        <v>1.4683406159199267E-4</v>
      </c>
      <c r="W769" s="2">
        <v>2.2034459553323601E-4</v>
      </c>
      <c r="X769" s="2">
        <v>3.1506043206954093E-4</v>
      </c>
      <c r="Y769" s="2">
        <v>4.3146730625705731E-4</v>
      </c>
      <c r="Z769" s="2">
        <v>5.678236471209153E-4</v>
      </c>
      <c r="AA769" s="2">
        <v>7.1970740670150482E-4</v>
      </c>
      <c r="AB769" s="2">
        <v>8.7999511052999602E-4</v>
      </c>
      <c r="AC769" s="2">
        <v>1.0394727981954336E-3</v>
      </c>
      <c r="AD769" s="2">
        <v>1.1881326484109557E-3</v>
      </c>
      <c r="AE769" s="2">
        <v>1.3169559861289694E-3</v>
      </c>
      <c r="AF769" s="2">
        <v>1.4197087924883579E-3</v>
      </c>
      <c r="AG769" s="2">
        <v>1.4941347617324359E-3</v>
      </c>
      <c r="AH769" s="2">
        <v>1.5463028671830121E-3</v>
      </c>
      <c r="AI769" s="2">
        <v>1.5712563297021781E-3</v>
      </c>
      <c r="AJ769" s="2">
        <v>1.5895637105951081E-3</v>
      </c>
      <c r="AK769" s="2">
        <v>1.5886061420947494E-3</v>
      </c>
      <c r="AL769" s="2">
        <v>1.5812985538411137E-3</v>
      </c>
      <c r="AM769" s="2">
        <v>1.5740245804934444E-3</v>
      </c>
      <c r="AN769" s="2">
        <v>1.5667840674231744E-3</v>
      </c>
      <c r="AO769" s="2">
        <v>1.5595768607130276E-3</v>
      </c>
      <c r="AP769" s="2">
        <v>6.8613384543727912E-4</v>
      </c>
      <c r="AQ769" s="2">
        <v>0</v>
      </c>
      <c r="AR769" s="2">
        <v>2.3178926313612607E-2</v>
      </c>
    </row>
    <row r="770" spans="1:44" x14ac:dyDescent="0.25">
      <c r="A770" t="s">
        <v>250</v>
      </c>
      <c r="B770" t="s">
        <v>379</v>
      </c>
      <c r="C770" t="s">
        <v>45</v>
      </c>
      <c r="D770" t="s">
        <v>377</v>
      </c>
      <c r="E770" t="s">
        <v>145</v>
      </c>
      <c r="F770" t="s">
        <v>377</v>
      </c>
      <c r="G770" t="s">
        <v>31</v>
      </c>
      <c r="H770" t="s">
        <v>275</v>
      </c>
      <c r="I770" t="s">
        <v>135</v>
      </c>
      <c r="J770" t="s">
        <v>39</v>
      </c>
      <c r="K770" t="s">
        <v>31</v>
      </c>
      <c r="L770">
        <v>0.9</v>
      </c>
      <c r="M770">
        <v>1</v>
      </c>
      <c r="N770">
        <v>3.925396992140191</v>
      </c>
      <c r="O770">
        <v>3.1588853240212433</v>
      </c>
      <c r="P770">
        <v>-0.77948651728774332</v>
      </c>
      <c r="Q770">
        <v>0.43588573036462142</v>
      </c>
      <c r="R770">
        <v>-0.67371772101320515</v>
      </c>
      <c r="S770" s="2">
        <v>1.3761945425978701E-2</v>
      </c>
      <c r="T770" s="2">
        <v>2.5776248700175534E-2</v>
      </c>
      <c r="U770" s="2">
        <v>4.3905472568907665E-2</v>
      </c>
      <c r="V770" s="2">
        <v>6.9718028617936245E-2</v>
      </c>
      <c r="W770" s="2">
        <v>0.10462143899472078</v>
      </c>
      <c r="X770" s="2">
        <v>0.14959330267958382</v>
      </c>
      <c r="Y770" s="2">
        <v>0.20486425070035519</v>
      </c>
      <c r="Z770" s="2">
        <v>0.26960737073335678</v>
      </c>
      <c r="AA770" s="2">
        <v>0.34172303778112262</v>
      </c>
      <c r="AB770" s="2">
        <v>0.41782896716465906</v>
      </c>
      <c r="AC770" s="2">
        <v>0.4935502941649032</v>
      </c>
      <c r="AD770" s="2">
        <v>0.5641352223436461</v>
      </c>
      <c r="AE770" s="2">
        <v>0.62530161008982776</v>
      </c>
      <c r="AF770" s="2">
        <v>0.67408949361403969</v>
      </c>
      <c r="AG770" s="2">
        <v>0.70942756025483344</v>
      </c>
      <c r="AH770" s="2">
        <v>0.73419740881254147</v>
      </c>
      <c r="AI770" s="2">
        <v>0.74604551949725384</v>
      </c>
      <c r="AJ770" s="2">
        <v>0.75473801557871012</v>
      </c>
      <c r="AK770" s="2">
        <v>0.75428335412354242</v>
      </c>
      <c r="AL770" s="2">
        <v>0.75081365069457395</v>
      </c>
      <c r="AM770" s="2">
        <v>0.74735990790137896</v>
      </c>
      <c r="AN770" s="2">
        <v>0.7439220523250325</v>
      </c>
      <c r="AO770" s="2">
        <v>0.74050001088433737</v>
      </c>
      <c r="AP770" s="2">
        <v>0.32578203281505952</v>
      </c>
      <c r="AQ770" s="2">
        <v>0</v>
      </c>
      <c r="AR770" s="2">
        <v>11.005546196466478</v>
      </c>
    </row>
    <row r="771" spans="1:44" x14ac:dyDescent="0.25">
      <c r="A771" t="s">
        <v>250</v>
      </c>
      <c r="B771" t="s">
        <v>379</v>
      </c>
      <c r="C771" t="s">
        <v>45</v>
      </c>
      <c r="D771" t="s">
        <v>377</v>
      </c>
      <c r="E771" t="s">
        <v>148</v>
      </c>
      <c r="F771" t="s">
        <v>377</v>
      </c>
      <c r="G771" t="s">
        <v>31</v>
      </c>
      <c r="H771" t="s">
        <v>272</v>
      </c>
      <c r="I771" t="s">
        <v>135</v>
      </c>
      <c r="J771" t="s">
        <v>39</v>
      </c>
      <c r="K771" t="s">
        <v>31</v>
      </c>
      <c r="L771">
        <v>0.9</v>
      </c>
      <c r="M771">
        <v>1</v>
      </c>
      <c r="N771">
        <v>3.925396992140191</v>
      </c>
      <c r="O771">
        <v>3.1588853240212433</v>
      </c>
      <c r="P771">
        <v>-0.77948651728774332</v>
      </c>
      <c r="Q771">
        <v>0.43588573036462142</v>
      </c>
      <c r="R771">
        <v>-0.67371772101320515</v>
      </c>
      <c r="S771" s="2">
        <v>3.2369640237913991E-3</v>
      </c>
      <c r="T771" s="2">
        <v>8.5612820069704259E-3</v>
      </c>
      <c r="U771" s="2">
        <v>1.4747521710862686E-2</v>
      </c>
      <c r="V771" s="2">
        <v>2.3683658400587695E-2</v>
      </c>
      <c r="W771" s="2">
        <v>3.5945914332191964E-2</v>
      </c>
      <c r="X771" s="2">
        <v>5.1986173871386765E-2</v>
      </c>
      <c r="Y771" s="2">
        <v>7.2012898908665537E-2</v>
      </c>
      <c r="Z771" s="2">
        <v>9.5866237724339304E-2</v>
      </c>
      <c r="AA771" s="2">
        <v>0.1229190610015129</v>
      </c>
      <c r="AB771" s="2">
        <v>0.15204623253146249</v>
      </c>
      <c r="AC771" s="2">
        <v>0.18170279582125395</v>
      </c>
      <c r="AD771" s="2">
        <v>0.21012961500923633</v>
      </c>
      <c r="AE771" s="2">
        <v>0.23566119175811928</v>
      </c>
      <c r="AF771" s="2">
        <v>0.25705793643499852</v>
      </c>
      <c r="AG771" s="2">
        <v>0.27375165524019934</v>
      </c>
      <c r="AH771" s="2">
        <v>0.28669289338939702</v>
      </c>
      <c r="AI771" s="2">
        <v>0.2948117392456901</v>
      </c>
      <c r="AJ771" s="2">
        <v>0.30183587784233495</v>
      </c>
      <c r="AK771" s="2">
        <v>0.30529803559274382</v>
      </c>
      <c r="AL771" s="2">
        <v>0.30757851602782749</v>
      </c>
      <c r="AM771" s="2">
        <v>0.30988982932995834</v>
      </c>
      <c r="AN771" s="2">
        <v>0.31223229707786154</v>
      </c>
      <c r="AO771" s="2">
        <v>0.31460624456784603</v>
      </c>
      <c r="AP771" s="2">
        <v>0.31701200085493536</v>
      </c>
      <c r="AQ771" s="2">
        <v>0.31944989879455493</v>
      </c>
      <c r="AR771" s="2">
        <v>4.8087164714987285</v>
      </c>
    </row>
    <row r="772" spans="1:44" x14ac:dyDescent="0.25">
      <c r="A772" t="s">
        <v>250</v>
      </c>
      <c r="B772" t="s">
        <v>379</v>
      </c>
      <c r="C772" t="s">
        <v>45</v>
      </c>
      <c r="D772" t="s">
        <v>377</v>
      </c>
      <c r="E772" t="s">
        <v>148</v>
      </c>
      <c r="F772" t="s">
        <v>377</v>
      </c>
      <c r="G772" t="s">
        <v>31</v>
      </c>
      <c r="H772" t="s">
        <v>272</v>
      </c>
      <c r="I772" t="s">
        <v>135</v>
      </c>
      <c r="J772" t="s">
        <v>40</v>
      </c>
      <c r="K772" t="s">
        <v>31</v>
      </c>
      <c r="L772">
        <v>0.9</v>
      </c>
      <c r="M772">
        <v>1</v>
      </c>
      <c r="N772">
        <v>3.925396992140191</v>
      </c>
      <c r="O772">
        <v>1.9798085216903567</v>
      </c>
      <c r="P772">
        <v>-0.77948651728774332</v>
      </c>
      <c r="Q772">
        <v>0.4672931329656026</v>
      </c>
      <c r="R772">
        <v>-0.53071772101320502</v>
      </c>
      <c r="S772" s="2">
        <v>3.2018702110359998E-4</v>
      </c>
      <c r="T772" s="2">
        <v>8.4684641611462079E-4</v>
      </c>
      <c r="U772" s="2">
        <v>1.4587635236461428E-3</v>
      </c>
      <c r="V772" s="2">
        <v>2.3426890062366143E-3</v>
      </c>
      <c r="W772" s="2">
        <v>3.5556203733734799E-3</v>
      </c>
      <c r="X772" s="2">
        <v>5.1422561474615547E-3</v>
      </c>
      <c r="Y772" s="2">
        <v>7.1232165118700281E-3</v>
      </c>
      <c r="Z772" s="2">
        <v>9.4826895991919919E-3</v>
      </c>
      <c r="AA772" s="2">
        <v>1.2158642385165768E-2</v>
      </c>
      <c r="AB772" s="2">
        <v>1.5039781074629353E-2</v>
      </c>
      <c r="AC772" s="2">
        <v>1.797328499562954E-2</v>
      </c>
      <c r="AD772" s="2">
        <v>2.0785147743671791E-2</v>
      </c>
      <c r="AE772" s="2">
        <v>2.3310625148801136E-2</v>
      </c>
      <c r="AF772" s="2">
        <v>2.5427102159064515E-2</v>
      </c>
      <c r="AG772" s="2">
        <v>2.7078375406493986E-2</v>
      </c>
      <c r="AH772" s="2">
        <v>2.8358468871212759E-2</v>
      </c>
      <c r="AI772" s="2">
        <v>2.9161551343065511E-2</v>
      </c>
      <c r="AJ772" s="2">
        <v>2.9856349924868752E-2</v>
      </c>
      <c r="AK772" s="2">
        <v>3.0198812172995852E-2</v>
      </c>
      <c r="AL772" s="2">
        <v>3.0424387814809634E-2</v>
      </c>
      <c r="AM772" s="2">
        <v>3.0653013315620495E-2</v>
      </c>
      <c r="AN772" s="2">
        <v>3.0884720484659046E-2</v>
      </c>
      <c r="AO772" s="2">
        <v>3.1119541498883563E-2</v>
      </c>
      <c r="AP772" s="2">
        <v>3.1357508907048325E-2</v>
      </c>
      <c r="AQ772" s="2">
        <v>3.1598655633827945E-2</v>
      </c>
      <c r="AR772" s="2">
        <v>0.47565823747944597</v>
      </c>
    </row>
    <row r="773" spans="1:44" x14ac:dyDescent="0.25">
      <c r="A773" t="s">
        <v>250</v>
      </c>
      <c r="B773" t="s">
        <v>379</v>
      </c>
      <c r="C773" t="s">
        <v>45</v>
      </c>
      <c r="D773" t="s">
        <v>377</v>
      </c>
      <c r="E773" t="s">
        <v>148</v>
      </c>
      <c r="F773" t="s">
        <v>377</v>
      </c>
      <c r="G773" t="s">
        <v>31</v>
      </c>
      <c r="H773" t="s">
        <v>273</v>
      </c>
      <c r="I773" t="s">
        <v>135</v>
      </c>
      <c r="J773" t="s">
        <v>39</v>
      </c>
      <c r="K773" t="s">
        <v>31</v>
      </c>
      <c r="L773">
        <v>0.9</v>
      </c>
      <c r="M773">
        <v>1</v>
      </c>
      <c r="N773">
        <v>3.925396992140191</v>
      </c>
      <c r="O773">
        <v>3.1588853240212433</v>
      </c>
      <c r="P773">
        <v>-0.77948651728774332</v>
      </c>
      <c r="Q773">
        <v>0.43588573036462142</v>
      </c>
      <c r="R773">
        <v>-0.67371772101320515</v>
      </c>
      <c r="S773" s="2">
        <v>9.7353812410793782E-4</v>
      </c>
      <c r="T773" s="2">
        <v>2.5748616184070928E-3</v>
      </c>
      <c r="U773" s="2">
        <v>4.4354137136247158E-3</v>
      </c>
      <c r="V773" s="2">
        <v>7.1230153322233902E-3</v>
      </c>
      <c r="W773" s="2">
        <v>1.0810969090511546E-2</v>
      </c>
      <c r="X773" s="2">
        <v>1.5635182170180562E-2</v>
      </c>
      <c r="Y773" s="2">
        <v>2.1658350849695744E-2</v>
      </c>
      <c r="Z773" s="2">
        <v>2.8832398677734523E-2</v>
      </c>
      <c r="AA773" s="2">
        <v>3.6968712406126716E-2</v>
      </c>
      <c r="AB773" s="2">
        <v>4.5728899953290873E-2</v>
      </c>
      <c r="AC773" s="2">
        <v>5.4648305538409554E-2</v>
      </c>
      <c r="AD773" s="2">
        <v>6.3197857533185756E-2</v>
      </c>
      <c r="AE773" s="2">
        <v>7.0876646407863383E-2</v>
      </c>
      <c r="AF773" s="2">
        <v>7.7311857464164677E-2</v>
      </c>
      <c r="AG773" s="2">
        <v>8.233260269659394E-2</v>
      </c>
      <c r="AH773" s="2">
        <v>8.6224764802445744E-2</v>
      </c>
      <c r="AI773" s="2">
        <v>8.8666560851695428E-2</v>
      </c>
      <c r="AJ773" s="2">
        <v>9.0779116525033399E-2</v>
      </c>
      <c r="AK773" s="2">
        <v>9.1820383136871297E-2</v>
      </c>
      <c r="AL773" s="2">
        <v>9.2506252559121274E-2</v>
      </c>
      <c r="AM773" s="2">
        <v>9.3201395168010445E-2</v>
      </c>
      <c r="AN773" s="2">
        <v>9.3905907680450873E-2</v>
      </c>
      <c r="AO773" s="2">
        <v>9.4619887931433125E-2</v>
      </c>
      <c r="AP773" s="2">
        <v>9.5343434886413253E-2</v>
      </c>
      <c r="AQ773" s="2">
        <v>9.6076648653838054E-2</v>
      </c>
      <c r="AR773" s="2">
        <v>1.4462529637714336</v>
      </c>
    </row>
    <row r="774" spans="1:44" x14ac:dyDescent="0.25">
      <c r="A774" t="s">
        <v>250</v>
      </c>
      <c r="B774" t="s">
        <v>379</v>
      </c>
      <c r="C774" t="s">
        <v>45</v>
      </c>
      <c r="D774" t="s">
        <v>377</v>
      </c>
      <c r="E774" t="s">
        <v>148</v>
      </c>
      <c r="F774" t="s">
        <v>377</v>
      </c>
      <c r="G774" t="s">
        <v>31</v>
      </c>
      <c r="H774" t="s">
        <v>274</v>
      </c>
      <c r="I774" t="s">
        <v>135</v>
      </c>
      <c r="J774" t="s">
        <v>39</v>
      </c>
      <c r="K774" t="s">
        <v>31</v>
      </c>
      <c r="L774">
        <v>0.9</v>
      </c>
      <c r="M774">
        <v>1</v>
      </c>
      <c r="N774">
        <v>3.925396992140191</v>
      </c>
      <c r="O774">
        <v>3.1588853240212433</v>
      </c>
      <c r="P774">
        <v>-0.77948651728774332</v>
      </c>
      <c r="Q774">
        <v>0.43588573036462142</v>
      </c>
      <c r="R774">
        <v>-0.67371772101320515</v>
      </c>
      <c r="S774" s="2">
        <v>1.532523339237898E-3</v>
      </c>
      <c r="T774" s="2">
        <v>4.0532932689539515E-3</v>
      </c>
      <c r="U774" s="2">
        <v>6.9821354366930511E-3</v>
      </c>
      <c r="V774" s="2">
        <v>1.1212901654348909E-2</v>
      </c>
      <c r="W774" s="2">
        <v>1.7018401273365701E-2</v>
      </c>
      <c r="X774" s="2">
        <v>2.4612576534682407E-2</v>
      </c>
      <c r="Y774" s="2">
        <v>3.4094122607653668E-2</v>
      </c>
      <c r="Z774" s="2">
        <v>4.538735854882818E-2</v>
      </c>
      <c r="AA774" s="2">
        <v>5.8195373330527093E-2</v>
      </c>
      <c r="AB774" s="2">
        <v>7.1985477220328567E-2</v>
      </c>
      <c r="AC774" s="2">
        <v>8.6026218813111954E-2</v>
      </c>
      <c r="AD774" s="2">
        <v>9.9484744624854654E-2</v>
      </c>
      <c r="AE774" s="2">
        <v>0.1115725333576361</v>
      </c>
      <c r="AF774" s="2">
        <v>0.12170270791627266</v>
      </c>
      <c r="AG774" s="2">
        <v>0.12960625997913555</v>
      </c>
      <c r="AH774" s="2">
        <v>0.13573322010489094</v>
      </c>
      <c r="AI774" s="2">
        <v>0.13957704433988455</v>
      </c>
      <c r="AJ774" s="2">
        <v>0.14290258526597219</v>
      </c>
      <c r="AK774" s="2">
        <v>0.1445417253730692</v>
      </c>
      <c r="AL774" s="2">
        <v>0.14562140666262244</v>
      </c>
      <c r="AM774" s="2">
        <v>0.14671568560850134</v>
      </c>
      <c r="AN774" s="2">
        <v>0.14782471446044182</v>
      </c>
      <c r="AO774" s="2">
        <v>0.14894864722823978</v>
      </c>
      <c r="AP774" s="2">
        <v>0.15008763970124467</v>
      </c>
      <c r="AQ774" s="2">
        <v>0.1512418494680762</v>
      </c>
      <c r="AR774" s="2">
        <v>2.2766611461185731</v>
      </c>
    </row>
    <row r="775" spans="1:44" x14ac:dyDescent="0.25">
      <c r="A775" t="s">
        <v>250</v>
      </c>
      <c r="B775" t="s">
        <v>379</v>
      </c>
      <c r="C775" t="s">
        <v>45</v>
      </c>
      <c r="D775" t="s">
        <v>377</v>
      </c>
      <c r="E775" t="s">
        <v>148</v>
      </c>
      <c r="F775" t="s">
        <v>377</v>
      </c>
      <c r="G775" t="s">
        <v>31</v>
      </c>
      <c r="H775" t="s">
        <v>274</v>
      </c>
      <c r="I775" t="s">
        <v>135</v>
      </c>
      <c r="J775" t="s">
        <v>39</v>
      </c>
      <c r="K775" t="s">
        <v>33</v>
      </c>
      <c r="L775">
        <v>0.9</v>
      </c>
      <c r="M775">
        <v>1</v>
      </c>
      <c r="N775">
        <v>3.925396992140191</v>
      </c>
      <c r="O775">
        <v>3.1588853240212433</v>
      </c>
      <c r="P775">
        <v>-0.77948651728774332</v>
      </c>
      <c r="Q775">
        <v>0.43588573036462142</v>
      </c>
      <c r="R775">
        <v>-0.67371772101320515</v>
      </c>
      <c r="S775" s="2">
        <v>4.9308672143728626E-6</v>
      </c>
      <c r="T775" s="2">
        <v>1.3041400661514214E-5</v>
      </c>
      <c r="U775" s="2">
        <v>2.2464899443698771E-5</v>
      </c>
      <c r="V775" s="2">
        <v>3.6077316233833628E-5</v>
      </c>
      <c r="W775" s="2">
        <v>5.4756410379765823E-5</v>
      </c>
      <c r="X775" s="2">
        <v>7.9190537324189163E-5</v>
      </c>
      <c r="Y775" s="2">
        <v>1.0969724705953814E-4</v>
      </c>
      <c r="Z775" s="2">
        <v>1.4603303746531858E-4</v>
      </c>
      <c r="AA775" s="2">
        <v>1.8724260246919447E-4</v>
      </c>
      <c r="AB775" s="2">
        <v>2.3161202211329006E-4</v>
      </c>
      <c r="AC775" s="2">
        <v>2.7678786421157005E-4</v>
      </c>
      <c r="AD775" s="2">
        <v>3.200904371511204E-4</v>
      </c>
      <c r="AE775" s="2">
        <v>3.5898268735748737E-4</v>
      </c>
      <c r="AF775" s="2">
        <v>3.9157634797468653E-4</v>
      </c>
      <c r="AG775" s="2">
        <v>4.1700588940224675E-4</v>
      </c>
      <c r="AH775" s="2">
        <v>4.3671927714280839E-4</v>
      </c>
      <c r="AI775" s="2">
        <v>4.4908671482736008E-4</v>
      </c>
      <c r="AJ775" s="2">
        <v>4.5978658497136367E-4</v>
      </c>
      <c r="AK775" s="2">
        <v>4.6506048978371646E-4</v>
      </c>
      <c r="AL775" s="2">
        <v>4.6853434557195722E-4</v>
      </c>
      <c r="AM775" s="2">
        <v>4.7205516906577606E-4</v>
      </c>
      <c r="AN775" s="2">
        <v>4.7562345012605166E-4</v>
      </c>
      <c r="AO775" s="2">
        <v>4.7923968427661699E-4</v>
      </c>
      <c r="AP775" s="2">
        <v>4.8290437276700111E-4</v>
      </c>
      <c r="AQ775" s="2">
        <v>4.8661802263586358E-4</v>
      </c>
      <c r="AR775" s="2">
        <v>7.3251176776303441E-3</v>
      </c>
    </row>
    <row r="776" spans="1:44" x14ac:dyDescent="0.25">
      <c r="A776" t="s">
        <v>250</v>
      </c>
      <c r="B776" t="s">
        <v>379</v>
      </c>
      <c r="C776" t="s">
        <v>45</v>
      </c>
      <c r="D776" t="s">
        <v>377</v>
      </c>
      <c r="E776" t="s">
        <v>148</v>
      </c>
      <c r="F776" t="s">
        <v>377</v>
      </c>
      <c r="G776" t="s">
        <v>31</v>
      </c>
      <c r="H776" t="s">
        <v>275</v>
      </c>
      <c r="I776" t="s">
        <v>135</v>
      </c>
      <c r="J776" t="s">
        <v>39</v>
      </c>
      <c r="K776" t="s">
        <v>31</v>
      </c>
      <c r="L776">
        <v>0.9</v>
      </c>
      <c r="M776">
        <v>1</v>
      </c>
      <c r="N776">
        <v>3.925396992140191</v>
      </c>
      <c r="O776">
        <v>3.1588853240212433</v>
      </c>
      <c r="P776">
        <v>-0.77948651728774332</v>
      </c>
      <c r="Q776">
        <v>0.43588573036462142</v>
      </c>
      <c r="R776">
        <v>-0.67371772101320515</v>
      </c>
      <c r="S776" s="2">
        <v>2.3412165939952294E-3</v>
      </c>
      <c r="T776" s="2">
        <v>6.1921650513479991E-3</v>
      </c>
      <c r="U776" s="2">
        <v>1.0666520324601973E-2</v>
      </c>
      <c r="V776" s="2">
        <v>1.7129808563341706E-2</v>
      </c>
      <c r="W776" s="2">
        <v>2.5998797176091774E-2</v>
      </c>
      <c r="X776" s="2">
        <v>3.7600323028445286E-2</v>
      </c>
      <c r="Y776" s="2">
        <v>5.2085161486963953E-2</v>
      </c>
      <c r="Z776" s="2">
        <v>6.9337695727994655E-2</v>
      </c>
      <c r="AA776" s="2">
        <v>8.8904338515935322E-2</v>
      </c>
      <c r="AB776" s="2">
        <v>0.10997130645899766</v>
      </c>
      <c r="AC776" s="2">
        <v>0.13142117046261639</v>
      </c>
      <c r="AD776" s="2">
        <v>0.15198159075405321</v>
      </c>
      <c r="AE776" s="2">
        <v>0.17044795328264434</v>
      </c>
      <c r="AF776" s="2">
        <v>0.18592369330533307</v>
      </c>
      <c r="AG776" s="2">
        <v>0.197997850198943</v>
      </c>
      <c r="AH776" s="2">
        <v>0.20735792997710858</v>
      </c>
      <c r="AI776" s="2">
        <v>0.21323009182479952</v>
      </c>
      <c r="AJ776" s="2">
        <v>0.21831047879237603</v>
      </c>
      <c r="AK776" s="2">
        <v>0.22081457247914602</v>
      </c>
      <c r="AL776" s="2">
        <v>0.22246398798010894</v>
      </c>
      <c r="AM776" s="2">
        <v>0.22413570413669992</v>
      </c>
      <c r="AN776" s="2">
        <v>0.22582995353890864</v>
      </c>
      <c r="AO776" s="2">
        <v>0.22754697146557937</v>
      </c>
      <c r="AP776" s="2">
        <v>0.22928699591411544</v>
      </c>
      <c r="AQ776" s="2">
        <v>0.23105026763068909</v>
      </c>
      <c r="AR776" s="2">
        <v>3.4780265446708372</v>
      </c>
    </row>
    <row r="777" spans="1:44" x14ac:dyDescent="0.25">
      <c r="A777" t="s">
        <v>250</v>
      </c>
      <c r="B777" t="s">
        <v>381</v>
      </c>
      <c r="C777" t="s">
        <v>45</v>
      </c>
      <c r="D777" t="s">
        <v>377</v>
      </c>
      <c r="E777" t="s">
        <v>145</v>
      </c>
      <c r="F777" t="s">
        <v>377</v>
      </c>
      <c r="G777" t="s">
        <v>31</v>
      </c>
      <c r="H777" t="s">
        <v>276</v>
      </c>
      <c r="I777" t="s">
        <v>135</v>
      </c>
      <c r="J777" t="s">
        <v>39</v>
      </c>
      <c r="K777" t="s">
        <v>31</v>
      </c>
      <c r="L777">
        <v>0.28000000000000003</v>
      </c>
      <c r="M777">
        <v>1</v>
      </c>
      <c r="N777">
        <v>2.2977958968393288</v>
      </c>
      <c r="O777">
        <v>3.1597702595673303</v>
      </c>
      <c r="P777">
        <v>-0.47052634267505622</v>
      </c>
      <c r="Q777">
        <v>0.74484590497730885</v>
      </c>
      <c r="R777">
        <v>-0.67371772101320537</v>
      </c>
      <c r="S777" s="2">
        <v>2.7936072779903977E-2</v>
      </c>
      <c r="T777" s="2">
        <v>5.2455933700220725E-2</v>
      </c>
      <c r="U777" s="2">
        <v>8.9574202572296979E-2</v>
      </c>
      <c r="V777" s="2">
        <v>0.14259318810978749</v>
      </c>
      <c r="W777" s="2">
        <v>0.21451800835484128</v>
      </c>
      <c r="X777" s="2">
        <v>0.30749963441762163</v>
      </c>
      <c r="Y777" s="2">
        <v>0.42217063242848213</v>
      </c>
      <c r="Z777" s="2">
        <v>0.55698434249925188</v>
      </c>
      <c r="AA777" s="2">
        <v>0.70774183921876077</v>
      </c>
      <c r="AB777" s="2">
        <v>0.86753807313606557</v>
      </c>
      <c r="AC777" s="2">
        <v>1.0273319608227813</v>
      </c>
      <c r="AD777" s="2">
        <v>1.1772046983695439</v>
      </c>
      <c r="AE777" s="2">
        <v>1.3081203555687271</v>
      </c>
      <c r="AF777" s="2">
        <v>1.413725531370627</v>
      </c>
      <c r="AG777" s="2">
        <v>1.4915746214926364</v>
      </c>
      <c r="AH777" s="2">
        <v>1.547530306375545</v>
      </c>
      <c r="AI777" s="2">
        <v>1.5764530029974098</v>
      </c>
      <c r="AJ777" s="2">
        <v>1.5988264100860723</v>
      </c>
      <c r="AK777" s="2">
        <v>1.6018763801454732</v>
      </c>
      <c r="AL777" s="2">
        <v>1.5985124397471679</v>
      </c>
      <c r="AM777" s="2">
        <v>1.5951555636236987</v>
      </c>
      <c r="AN777" s="2">
        <v>1.5918057369400889</v>
      </c>
      <c r="AO777" s="2">
        <v>1.5884629448925147</v>
      </c>
      <c r="AP777" s="2">
        <v>1.2213842050337826</v>
      </c>
      <c r="AQ777" s="2">
        <v>0</v>
      </c>
      <c r="AR777" s="2">
        <v>23.726976084683301</v>
      </c>
    </row>
    <row r="778" spans="1:44" x14ac:dyDescent="0.25">
      <c r="A778" t="s">
        <v>250</v>
      </c>
      <c r="B778" t="s">
        <v>381</v>
      </c>
      <c r="C778" t="s">
        <v>45</v>
      </c>
      <c r="D778" t="s">
        <v>377</v>
      </c>
      <c r="E778" t="s">
        <v>148</v>
      </c>
      <c r="F778" t="s">
        <v>377</v>
      </c>
      <c r="G778" t="s">
        <v>31</v>
      </c>
      <c r="H778" t="s">
        <v>276</v>
      </c>
      <c r="I778" t="s">
        <v>135</v>
      </c>
      <c r="J778" t="s">
        <v>39</v>
      </c>
      <c r="K778" t="s">
        <v>31</v>
      </c>
      <c r="L778">
        <v>0.28000000000000003</v>
      </c>
      <c r="M778">
        <v>1</v>
      </c>
      <c r="N778">
        <v>2.2977958968393288</v>
      </c>
      <c r="O778">
        <v>3.1597702595673303</v>
      </c>
      <c r="P778">
        <v>-0.47052634267505622</v>
      </c>
      <c r="Q778">
        <v>0.74484590497730885</v>
      </c>
      <c r="R778">
        <v>-0.67371772101320537</v>
      </c>
      <c r="S778" s="2">
        <v>4.7525546090238409E-3</v>
      </c>
      <c r="T778" s="2">
        <v>1.0598553581786406E-2</v>
      </c>
      <c r="U778" s="2">
        <v>1.8301927214204219E-2</v>
      </c>
      <c r="V778" s="2">
        <v>2.9463512048752055E-2</v>
      </c>
      <c r="W778" s="2">
        <v>4.4826127944793535E-2</v>
      </c>
      <c r="X778" s="2">
        <v>6.4983574093047169E-2</v>
      </c>
      <c r="Y778" s="2">
        <v>9.0229431852424449E-2</v>
      </c>
      <c r="Z778" s="2">
        <v>0.12039654049215455</v>
      </c>
      <c r="AA778" s="2">
        <v>0.15472704213098162</v>
      </c>
      <c r="AB778" s="2">
        <v>0.19182696413746045</v>
      </c>
      <c r="AC778" s="2">
        <v>0.22975819116312624</v>
      </c>
      <c r="AD778" s="2">
        <v>0.26629347994788888</v>
      </c>
      <c r="AE778" s="2">
        <v>0.29930484920638611</v>
      </c>
      <c r="AF778" s="2">
        <v>0.3271882713097865</v>
      </c>
      <c r="AG778" s="2">
        <v>0.34918306631526547</v>
      </c>
      <c r="AH778" s="2">
        <v>0.36646441972070359</v>
      </c>
      <c r="AI778" s="2">
        <v>0.37763040807418158</v>
      </c>
      <c r="AJ778" s="2">
        <v>0.38742643438494517</v>
      </c>
      <c r="AK778" s="2">
        <v>0.39266987490651944</v>
      </c>
      <c r="AL778" s="2">
        <v>0.39640015565988701</v>
      </c>
      <c r="AM778" s="2">
        <v>0.40017368275778398</v>
      </c>
      <c r="AN778" s="2">
        <v>0.403990938209284</v>
      </c>
      <c r="AO778" s="2">
        <v>0.40785240943505657</v>
      </c>
      <c r="AP778" s="2">
        <v>0.41175858932809095</v>
      </c>
      <c r="AQ778" s="2">
        <v>0.4157099763150634</v>
      </c>
      <c r="AR778" s="2">
        <v>6.1619109748385963</v>
      </c>
    </row>
    <row r="779" spans="1:44" x14ac:dyDescent="0.25">
      <c r="A779" t="s">
        <v>250</v>
      </c>
      <c r="B779" t="s">
        <v>380</v>
      </c>
      <c r="C779" t="s">
        <v>45</v>
      </c>
      <c r="D779" t="s">
        <v>377</v>
      </c>
      <c r="E779" t="s">
        <v>145</v>
      </c>
      <c r="F779" t="s">
        <v>377</v>
      </c>
      <c r="G779" t="s">
        <v>31</v>
      </c>
      <c r="H779" t="s">
        <v>277</v>
      </c>
      <c r="I779" t="s">
        <v>135</v>
      </c>
      <c r="J779" t="s">
        <v>39</v>
      </c>
      <c r="K779" t="s">
        <v>31</v>
      </c>
      <c r="L779">
        <v>0.9</v>
      </c>
      <c r="M779">
        <v>1</v>
      </c>
      <c r="N779">
        <v>3.925396992140191</v>
      </c>
      <c r="O779">
        <v>3.1588853240212433</v>
      </c>
      <c r="P779">
        <v>-0.77948651728774332</v>
      </c>
      <c r="Q779">
        <v>0.43588573036462142</v>
      </c>
      <c r="R779">
        <v>-0.67371772101320515</v>
      </c>
      <c r="S779" s="2">
        <v>0.1130023950123514</v>
      </c>
      <c r="T779" s="2">
        <v>0.21162899566741644</v>
      </c>
      <c r="U779" s="2">
        <v>0.36043068248194721</v>
      </c>
      <c r="V779" s="2">
        <v>0.57226322389735529</v>
      </c>
      <c r="W779" s="2">
        <v>0.85865572267116719</v>
      </c>
      <c r="X779" s="2">
        <v>1.2276036491578137</v>
      </c>
      <c r="Y779" s="2">
        <v>1.6809695268441132</v>
      </c>
      <c r="Z779" s="2">
        <v>2.2119385755679493</v>
      </c>
      <c r="AA779" s="2">
        <v>2.8032588417727204</v>
      </c>
      <c r="AB779" s="2">
        <v>3.4271659022231198</v>
      </c>
      <c r="AC779" s="2">
        <v>4.0477682416590977</v>
      </c>
      <c r="AD779" s="2">
        <v>4.6261006812283414</v>
      </c>
      <c r="AE779" s="2">
        <v>5.1270676970942031</v>
      </c>
      <c r="AF779" s="2">
        <v>5.5264303865805431</v>
      </c>
      <c r="AG779" s="2">
        <v>5.8154435231383319</v>
      </c>
      <c r="AH779" s="2">
        <v>6.0177656961415584</v>
      </c>
      <c r="AI779" s="2">
        <v>6.114140213765265</v>
      </c>
      <c r="AJ779" s="2">
        <v>6.1846330061923132</v>
      </c>
      <c r="AK779" s="2">
        <v>6.1801621871516925</v>
      </c>
      <c r="AL779" s="2">
        <v>6.1509918216283372</v>
      </c>
      <c r="AM779" s="2">
        <v>6.1219591402302518</v>
      </c>
      <c r="AN779" s="2">
        <v>6.0930634930883638</v>
      </c>
      <c r="AO779" s="2">
        <v>6.0643042334009873</v>
      </c>
      <c r="AP779" s="2">
        <v>2.5711367299015389</v>
      </c>
      <c r="AQ779" s="2">
        <v>0</v>
      </c>
      <c r="AR779" s="2">
        <v>90.107884566496764</v>
      </c>
    </row>
    <row r="780" spans="1:44" x14ac:dyDescent="0.25">
      <c r="A780" t="s">
        <v>250</v>
      </c>
      <c r="B780" t="s">
        <v>380</v>
      </c>
      <c r="C780" t="s">
        <v>45</v>
      </c>
      <c r="D780" t="s">
        <v>377</v>
      </c>
      <c r="E780" t="s">
        <v>145</v>
      </c>
      <c r="F780" t="s">
        <v>377</v>
      </c>
      <c r="G780" t="s">
        <v>31</v>
      </c>
      <c r="H780" t="s">
        <v>277</v>
      </c>
      <c r="I780" t="s">
        <v>135</v>
      </c>
      <c r="J780" t="s">
        <v>40</v>
      </c>
      <c r="K780" t="s">
        <v>31</v>
      </c>
      <c r="L780">
        <v>0.9</v>
      </c>
      <c r="M780">
        <v>1</v>
      </c>
      <c r="N780">
        <v>3.925396992140191</v>
      </c>
      <c r="O780">
        <v>1.9798085216903567</v>
      </c>
      <c r="P780">
        <v>-0.77948651728774332</v>
      </c>
      <c r="Q780">
        <v>0.4672931329656026</v>
      </c>
      <c r="R780">
        <v>-0.53071772101320502</v>
      </c>
      <c r="S780" s="2">
        <v>1.7825606874552619E-2</v>
      </c>
      <c r="T780" s="2">
        <v>3.3383498461350608E-2</v>
      </c>
      <c r="U780" s="2">
        <v>5.6856278583720624E-2</v>
      </c>
      <c r="V780" s="2">
        <v>9.0271885448475281E-2</v>
      </c>
      <c r="W780" s="2">
        <v>0.13544898186669513</v>
      </c>
      <c r="X780" s="2">
        <v>0.19364881642784276</v>
      </c>
      <c r="Y780" s="2">
        <v>0.2651651936257699</v>
      </c>
      <c r="Z780" s="2">
        <v>0.34892311330589493</v>
      </c>
      <c r="AA780" s="2">
        <v>0.44220115932580384</v>
      </c>
      <c r="AB780" s="2">
        <v>0.54061962191353008</v>
      </c>
      <c r="AC780" s="2">
        <v>0.63851677999592493</v>
      </c>
      <c r="AD780" s="2">
        <v>0.72974605623768474</v>
      </c>
      <c r="AE780" s="2">
        <v>0.8087712935432001</v>
      </c>
      <c r="AF780" s="2">
        <v>0.87176891675613633</v>
      </c>
      <c r="AG780" s="2">
        <v>0.91735940670369409</v>
      </c>
      <c r="AH780" s="2">
        <v>0.94927479679402393</v>
      </c>
      <c r="AI780" s="2">
        <v>0.96447743266468022</v>
      </c>
      <c r="AJ780" s="2">
        <v>0.97559734569976819</v>
      </c>
      <c r="AK780" s="2">
        <v>0.97489209460649151</v>
      </c>
      <c r="AL780" s="2">
        <v>0.97029060391994904</v>
      </c>
      <c r="AM780" s="2">
        <v>0.96571083226944654</v>
      </c>
      <c r="AN780" s="2">
        <v>0.96115267714113517</v>
      </c>
      <c r="AO780" s="2">
        <v>0.95661603650502902</v>
      </c>
      <c r="AP780" s="2">
        <v>0.40558496625613782</v>
      </c>
      <c r="AQ780" s="2">
        <v>0</v>
      </c>
      <c r="AR780" s="2">
        <v>14.214103394926937</v>
      </c>
    </row>
    <row r="781" spans="1:44" x14ac:dyDescent="0.25">
      <c r="A781" t="s">
        <v>250</v>
      </c>
      <c r="B781" t="s">
        <v>380</v>
      </c>
      <c r="C781" t="s">
        <v>45</v>
      </c>
      <c r="D781" t="s">
        <v>377</v>
      </c>
      <c r="E781" t="s">
        <v>148</v>
      </c>
      <c r="F781" t="s">
        <v>377</v>
      </c>
      <c r="G781" t="s">
        <v>31</v>
      </c>
      <c r="H781" t="s">
        <v>277</v>
      </c>
      <c r="I781" t="s">
        <v>135</v>
      </c>
      <c r="J781" t="s">
        <v>39</v>
      </c>
      <c r="K781" t="s">
        <v>31</v>
      </c>
      <c r="L781">
        <v>0.9</v>
      </c>
      <c r="M781">
        <v>1</v>
      </c>
      <c r="N781">
        <v>3.925396992140191</v>
      </c>
      <c r="O781">
        <v>3.1588853240212433</v>
      </c>
      <c r="P781">
        <v>-0.77948651728774332</v>
      </c>
      <c r="Q781">
        <v>0.43588573036462142</v>
      </c>
      <c r="R781">
        <v>-0.67371772101320515</v>
      </c>
      <c r="S781" s="2">
        <v>1.9224250218628228E-2</v>
      </c>
      <c r="T781" s="2">
        <v>5.1227983301396753E-2</v>
      </c>
      <c r="U781" s="2">
        <v>8.8234010208842265E-2</v>
      </c>
      <c r="V781" s="2">
        <v>0.14168205981494136</v>
      </c>
      <c r="W781" s="2">
        <v>0.21501328227149413</v>
      </c>
      <c r="X781" s="2">
        <v>0.31092372950929664</v>
      </c>
      <c r="Y781" s="2">
        <v>0.43065267014372038</v>
      </c>
      <c r="Z781" s="2">
        <v>0.57323664655083351</v>
      </c>
      <c r="AA781" s="2">
        <v>0.73491901328749021</v>
      </c>
      <c r="AB781" s="2">
        <v>0.90896774206664133</v>
      </c>
      <c r="AC781" s="2">
        <v>1.0861443445680095</v>
      </c>
      <c r="AD781" s="2">
        <v>1.2559342257955612</v>
      </c>
      <c r="AE781" s="2">
        <v>1.408386848507055</v>
      </c>
      <c r="AF781" s="2">
        <v>1.5361008569744203</v>
      </c>
      <c r="AG781" s="2">
        <v>1.6356894470410746</v>
      </c>
      <c r="AH781" s="2">
        <v>1.7128406704523931</v>
      </c>
      <c r="AI781" s="2">
        <v>1.7611701148531429</v>
      </c>
      <c r="AJ781" s="2">
        <v>1.8029531559714738</v>
      </c>
      <c r="AK781" s="2">
        <v>1.8234555810657083</v>
      </c>
      <c r="AL781" s="2">
        <v>1.8368991721196146</v>
      </c>
      <c r="AM781" s="2">
        <v>1.8505265884059783</v>
      </c>
      <c r="AN781" s="2">
        <v>1.8643397353335722</v>
      </c>
      <c r="AO781" s="2">
        <v>1.878340540415733</v>
      </c>
      <c r="AP781" s="2">
        <v>1.8925309535146364</v>
      </c>
      <c r="AQ781" s="2">
        <v>1.9069129470885153</v>
      </c>
      <c r="AR781" s="2">
        <v>28.726306569480172</v>
      </c>
    </row>
    <row r="782" spans="1:44" x14ac:dyDescent="0.25">
      <c r="A782" t="s">
        <v>250</v>
      </c>
      <c r="B782" t="s">
        <v>380</v>
      </c>
      <c r="C782" t="s">
        <v>45</v>
      </c>
      <c r="D782" t="s">
        <v>377</v>
      </c>
      <c r="E782" t="s">
        <v>148</v>
      </c>
      <c r="F782" t="s">
        <v>377</v>
      </c>
      <c r="G782" t="s">
        <v>31</v>
      </c>
      <c r="H782" t="s">
        <v>277</v>
      </c>
      <c r="I782" t="s">
        <v>135</v>
      </c>
      <c r="J782" t="s">
        <v>40</v>
      </c>
      <c r="K782" t="s">
        <v>31</v>
      </c>
      <c r="L782">
        <v>0.9</v>
      </c>
      <c r="M782">
        <v>1</v>
      </c>
      <c r="N782">
        <v>3.925396992140191</v>
      </c>
      <c r="O782">
        <v>1.9798085216903567</v>
      </c>
      <c r="P782">
        <v>-0.77948651728774332</v>
      </c>
      <c r="Q782">
        <v>0.4672931329656026</v>
      </c>
      <c r="R782">
        <v>-0.53071772101320502</v>
      </c>
      <c r="S782" s="2">
        <v>3.0325368486025734E-3</v>
      </c>
      <c r="T782" s="2">
        <v>8.0809782058781972E-3</v>
      </c>
      <c r="U782" s="2">
        <v>1.3918508353527943E-2</v>
      </c>
      <c r="V782" s="2">
        <v>2.234969178451442E-2</v>
      </c>
      <c r="W782" s="2">
        <v>3.3917354071654443E-2</v>
      </c>
      <c r="X782" s="2">
        <v>4.9046784978288759E-2</v>
      </c>
      <c r="Y782" s="2">
        <v>6.7933473415490594E-2</v>
      </c>
      <c r="Z782" s="2">
        <v>9.0425438384603193E-2</v>
      </c>
      <c r="AA782" s="2">
        <v>0.11593008638502882</v>
      </c>
      <c r="AB782" s="2">
        <v>0.1433854709889873</v>
      </c>
      <c r="AC782" s="2">
        <v>0.17133426325319839</v>
      </c>
      <c r="AD782" s="2">
        <v>0.19811783428909008</v>
      </c>
      <c r="AE782" s="2">
        <v>0.22216653271846754</v>
      </c>
      <c r="AF782" s="2">
        <v>0.24231282879532576</v>
      </c>
      <c r="AG782" s="2">
        <v>0.25802246977704435</v>
      </c>
      <c r="AH782" s="2">
        <v>0.27019271960468072</v>
      </c>
      <c r="AI782" s="2">
        <v>0.27781646666118237</v>
      </c>
      <c r="AJ782" s="2">
        <v>0.28440754877866831</v>
      </c>
      <c r="AK782" s="2">
        <v>0.28764171182153336</v>
      </c>
      <c r="AL782" s="2">
        <v>0.28976237633562152</v>
      </c>
      <c r="AM782" s="2">
        <v>0.29191203843269203</v>
      </c>
      <c r="AN782" s="2">
        <v>0.29409099868220612</v>
      </c>
      <c r="AO782" s="2">
        <v>0.29629956114050643</v>
      </c>
      <c r="AP782" s="2">
        <v>0.29853803338935048</v>
      </c>
      <c r="AQ782" s="2">
        <v>0.30080672657495006</v>
      </c>
      <c r="AR782" s="2">
        <v>4.5314424336710957</v>
      </c>
    </row>
    <row r="783" spans="1:44" x14ac:dyDescent="0.25">
      <c r="A783" t="s">
        <v>250</v>
      </c>
      <c r="B783" t="s">
        <v>343</v>
      </c>
      <c r="C783" t="s">
        <v>44</v>
      </c>
      <c r="D783" t="s">
        <v>163</v>
      </c>
      <c r="E783" t="s">
        <v>134</v>
      </c>
      <c r="F783" t="s">
        <v>163</v>
      </c>
      <c r="G783" t="s">
        <v>31</v>
      </c>
      <c r="H783" t="s">
        <v>254</v>
      </c>
      <c r="I783" t="s">
        <v>135</v>
      </c>
      <c r="J783" t="s">
        <v>39</v>
      </c>
      <c r="K783" t="s">
        <v>31</v>
      </c>
      <c r="L783">
        <v>47.918798887095448</v>
      </c>
      <c r="M783">
        <v>1</v>
      </c>
      <c r="N783">
        <v>1.7886448088486833</v>
      </c>
      <c r="O783">
        <v>6.0587378786000636</v>
      </c>
      <c r="P783">
        <v>-0.92006591684998851</v>
      </c>
      <c r="Q783">
        <v>1.8347649468629108</v>
      </c>
      <c r="R783">
        <v>-2.2131763370737381</v>
      </c>
      <c r="S783" s="2">
        <v>0.68487410924994352</v>
      </c>
      <c r="T783" s="2">
        <v>1.3628760928799704</v>
      </c>
      <c r="U783" s="2">
        <v>2.4089911675292899</v>
      </c>
      <c r="V783" s="2">
        <v>3.9009730661296111</v>
      </c>
      <c r="W783" s="2">
        <v>5.8945661098601736</v>
      </c>
      <c r="X783" s="2">
        <v>8.4044005182177379</v>
      </c>
      <c r="Y783" s="2">
        <v>11.380999849176266</v>
      </c>
      <c r="Z783" s="2">
        <v>14.687690561565729</v>
      </c>
      <c r="AA783" s="2">
        <v>18.084636407143847</v>
      </c>
      <c r="AB783" s="2">
        <v>21.23039933276948</v>
      </c>
      <c r="AC783" s="2">
        <v>23.712259846842738</v>
      </c>
      <c r="AD783" s="2">
        <v>25.112202106042119</v>
      </c>
      <c r="AE783" s="2">
        <v>25.103901768937934</v>
      </c>
      <c r="AF783" s="2">
        <v>23.558485657791522</v>
      </c>
      <c r="AG783" s="2">
        <v>20.620244776600142</v>
      </c>
      <c r="AH783" s="2">
        <v>16.976204747123983</v>
      </c>
      <c r="AI783" s="2">
        <v>12.923558604533014</v>
      </c>
      <c r="AJ783" s="2">
        <v>3.700971958773525</v>
      </c>
      <c r="AK783" s="2">
        <v>0</v>
      </c>
      <c r="AL783" s="2">
        <v>0</v>
      </c>
      <c r="AM783" s="2">
        <v>0</v>
      </c>
      <c r="AN783" s="2">
        <v>0</v>
      </c>
      <c r="AO783" s="2">
        <v>0</v>
      </c>
      <c r="AP783" s="2">
        <v>0</v>
      </c>
      <c r="AQ783" s="2">
        <v>0</v>
      </c>
      <c r="AR783" s="2">
        <v>239.74823668116701</v>
      </c>
    </row>
    <row r="784" spans="1:44" x14ac:dyDescent="0.25">
      <c r="A784" t="s">
        <v>250</v>
      </c>
      <c r="B784" t="s">
        <v>343</v>
      </c>
      <c r="C784" t="s">
        <v>44</v>
      </c>
      <c r="D784" t="s">
        <v>163</v>
      </c>
      <c r="E784" t="s">
        <v>134</v>
      </c>
      <c r="F784" t="s">
        <v>163</v>
      </c>
      <c r="G784" t="s">
        <v>31</v>
      </c>
      <c r="H784" t="s">
        <v>272</v>
      </c>
      <c r="I784" t="s">
        <v>135</v>
      </c>
      <c r="J784" t="s">
        <v>39</v>
      </c>
      <c r="K784" t="s">
        <v>31</v>
      </c>
      <c r="L784">
        <v>47.918798887095448</v>
      </c>
      <c r="M784">
        <v>1</v>
      </c>
      <c r="N784">
        <v>1.7886448088486833</v>
      </c>
      <c r="O784">
        <v>6.0587378786000636</v>
      </c>
      <c r="P784">
        <v>-0.92006591684998851</v>
      </c>
      <c r="Q784">
        <v>1.8347649468629108</v>
      </c>
      <c r="R784">
        <v>-2.2131763370737381</v>
      </c>
      <c r="S784" s="2">
        <v>0.83456198554376715</v>
      </c>
      <c r="T784" s="2">
        <v>1.6605607891254408</v>
      </c>
      <c r="U784" s="2">
        <v>2.9348382344784723</v>
      </c>
      <c r="V784" s="2">
        <v>4.7519566242105018</v>
      </c>
      <c r="W784" s="2">
        <v>7.1796275293190979</v>
      </c>
      <c r="X784" s="2">
        <v>10.235460048583951</v>
      </c>
      <c r="Y784" s="2">
        <v>13.858990577869342</v>
      </c>
      <c r="Z784" s="2">
        <v>17.883612519452193</v>
      </c>
      <c r="AA784" s="2">
        <v>22.017199327400569</v>
      </c>
      <c r="AB784" s="2">
        <v>25.844076086774262</v>
      </c>
      <c r="AC784" s="2">
        <v>28.861995102026622</v>
      </c>
      <c r="AD784" s="2">
        <v>30.562491554578813</v>
      </c>
      <c r="AE784" s="2">
        <v>30.548911523361294</v>
      </c>
      <c r="AF784" s="2">
        <v>28.665032574696067</v>
      </c>
      <c r="AG784" s="2">
        <v>25.087041069911294</v>
      </c>
      <c r="AH784" s="2">
        <v>20.651270926799995</v>
      </c>
      <c r="AI784" s="2">
        <v>15.719504473351606</v>
      </c>
      <c r="AJ784" s="2">
        <v>4.0539268888813398</v>
      </c>
      <c r="AK784" s="2">
        <v>0</v>
      </c>
      <c r="AL784" s="2">
        <v>0</v>
      </c>
      <c r="AM784" s="2">
        <v>0</v>
      </c>
      <c r="AN784" s="2">
        <v>0</v>
      </c>
      <c r="AO784" s="2">
        <v>0</v>
      </c>
      <c r="AP784" s="2">
        <v>0</v>
      </c>
      <c r="AQ784" s="2">
        <v>0</v>
      </c>
      <c r="AR784" s="2">
        <v>291.35105783636459</v>
      </c>
    </row>
    <row r="785" spans="1:44" x14ac:dyDescent="0.25">
      <c r="A785" t="s">
        <v>250</v>
      </c>
      <c r="B785" t="s">
        <v>343</v>
      </c>
      <c r="C785" t="s">
        <v>44</v>
      </c>
      <c r="D785" t="s">
        <v>163</v>
      </c>
      <c r="E785" t="s">
        <v>134</v>
      </c>
      <c r="F785" t="s">
        <v>163</v>
      </c>
      <c r="G785" t="s">
        <v>31</v>
      </c>
      <c r="H785" t="s">
        <v>272</v>
      </c>
      <c r="I785" t="s">
        <v>135</v>
      </c>
      <c r="J785" t="s">
        <v>40</v>
      </c>
      <c r="K785" t="s">
        <v>31</v>
      </c>
      <c r="L785">
        <v>47.918798887095448</v>
      </c>
      <c r="M785">
        <v>1</v>
      </c>
      <c r="N785">
        <v>1.7886448088486833</v>
      </c>
      <c r="O785">
        <v>4.8219496658113297</v>
      </c>
      <c r="P785">
        <v>-0.92006591684998851</v>
      </c>
      <c r="Q785">
        <v>0.4672931329656026</v>
      </c>
      <c r="R785">
        <v>-2.0701763370737374</v>
      </c>
      <c r="S785" s="2">
        <v>8.2551401286375475E-2</v>
      </c>
      <c r="T785" s="2">
        <v>0.16425576822097609</v>
      </c>
      <c r="U785" s="2">
        <v>0.29030199434158677</v>
      </c>
      <c r="V785" s="2">
        <v>0.47004378940775365</v>
      </c>
      <c r="W785" s="2">
        <v>0.71017890046041043</v>
      </c>
      <c r="X785" s="2">
        <v>1.0124491463276766</v>
      </c>
      <c r="Y785" s="2">
        <v>1.370873718711682</v>
      </c>
      <c r="Z785" s="2">
        <v>1.7689725857587886</v>
      </c>
      <c r="AA785" s="2">
        <v>2.1778498042828041</v>
      </c>
      <c r="AB785" s="2">
        <v>2.5563885401811617</v>
      </c>
      <c r="AC785" s="2">
        <v>2.8549085398856238</v>
      </c>
      <c r="AD785" s="2">
        <v>3.0231145778700026</v>
      </c>
      <c r="AE785" s="2">
        <v>3.0217712976512323</v>
      </c>
      <c r="AF785" s="2">
        <v>2.8354258257029863</v>
      </c>
      <c r="AG785" s="2">
        <v>2.4815057842595936</v>
      </c>
      <c r="AH785" s="2">
        <v>2.0427378467773756</v>
      </c>
      <c r="AI785" s="2">
        <v>1.554908016756976</v>
      </c>
      <c r="AJ785" s="2">
        <v>0.40099759057633649</v>
      </c>
      <c r="AK785" s="2">
        <v>0</v>
      </c>
      <c r="AL785" s="2">
        <v>0</v>
      </c>
      <c r="AM785" s="2">
        <v>0</v>
      </c>
      <c r="AN785" s="2">
        <v>0</v>
      </c>
      <c r="AO785" s="2">
        <v>0</v>
      </c>
      <c r="AP785" s="2">
        <v>0</v>
      </c>
      <c r="AQ785" s="2">
        <v>0</v>
      </c>
      <c r="AR785" s="2">
        <v>28.819235128459344</v>
      </c>
    </row>
    <row r="786" spans="1:44" x14ac:dyDescent="0.25">
      <c r="A786" t="s">
        <v>250</v>
      </c>
      <c r="B786" t="s">
        <v>343</v>
      </c>
      <c r="C786" t="s">
        <v>44</v>
      </c>
      <c r="D786" t="s">
        <v>163</v>
      </c>
      <c r="E786" t="s">
        <v>134</v>
      </c>
      <c r="F786" t="s">
        <v>163</v>
      </c>
      <c r="G786" t="s">
        <v>31</v>
      </c>
      <c r="H786" t="s">
        <v>253</v>
      </c>
      <c r="I786" t="s">
        <v>135</v>
      </c>
      <c r="J786" t="s">
        <v>39</v>
      </c>
      <c r="K786" t="s">
        <v>31</v>
      </c>
      <c r="L786">
        <v>47.918798887095448</v>
      </c>
      <c r="M786">
        <v>1</v>
      </c>
      <c r="N786">
        <v>1.7886448088486833</v>
      </c>
      <c r="O786">
        <v>6.0587378786000636</v>
      </c>
      <c r="P786">
        <v>-0.92006591684998851</v>
      </c>
      <c r="Q786">
        <v>1.8347649468629108</v>
      </c>
      <c r="R786">
        <v>-2.2131763370737381</v>
      </c>
      <c r="S786" s="2">
        <v>4.7785385773814811E-2</v>
      </c>
      <c r="T786" s="2">
        <v>9.5128220435420519E-2</v>
      </c>
      <c r="U786" s="2">
        <v>0.16821195490424154</v>
      </c>
      <c r="V786" s="2">
        <v>0.27249795880012784</v>
      </c>
      <c r="W786" s="2">
        <v>0.41191802429926105</v>
      </c>
      <c r="X786" s="2">
        <v>0.5875358145010352</v>
      </c>
      <c r="Y786" s="2">
        <v>0.7959332965953404</v>
      </c>
      <c r="Z786" s="2">
        <v>1.0275865734106058</v>
      </c>
      <c r="AA786" s="2">
        <v>1.2657366040855307</v>
      </c>
      <c r="AB786" s="2">
        <v>1.4864844568326356</v>
      </c>
      <c r="AC786" s="2">
        <v>1.6609012275955111</v>
      </c>
      <c r="AD786" s="2">
        <v>1.759641961416643</v>
      </c>
      <c r="AE786" s="2">
        <v>1.7597435823436436</v>
      </c>
      <c r="AF786" s="2">
        <v>1.652053795149298</v>
      </c>
      <c r="AG786" s="2">
        <v>1.4465694269003784</v>
      </c>
      <c r="AH786" s="2">
        <v>1.1913921152037852</v>
      </c>
      <c r="AI786" s="2">
        <v>0.90732919399463774</v>
      </c>
      <c r="AJ786" s="2">
        <v>0.34801914081930641</v>
      </c>
      <c r="AK786" s="2">
        <v>0</v>
      </c>
      <c r="AL786" s="2">
        <v>0</v>
      </c>
      <c r="AM786" s="2">
        <v>0</v>
      </c>
      <c r="AN786" s="2">
        <v>0</v>
      </c>
      <c r="AO786" s="2">
        <v>0</v>
      </c>
      <c r="AP786" s="2">
        <v>0</v>
      </c>
      <c r="AQ786" s="2">
        <v>0</v>
      </c>
      <c r="AR786" s="2">
        <v>16.884468733061219</v>
      </c>
    </row>
    <row r="787" spans="1:44" x14ac:dyDescent="0.25">
      <c r="A787" t="s">
        <v>250</v>
      </c>
      <c r="B787" t="s">
        <v>343</v>
      </c>
      <c r="C787" t="s">
        <v>44</v>
      </c>
      <c r="D787" t="s">
        <v>163</v>
      </c>
      <c r="E787" t="s">
        <v>134</v>
      </c>
      <c r="F787" t="s">
        <v>163</v>
      </c>
      <c r="G787" t="s">
        <v>31</v>
      </c>
      <c r="H787" t="s">
        <v>253</v>
      </c>
      <c r="I787" t="s">
        <v>135</v>
      </c>
      <c r="J787" t="s">
        <v>40</v>
      </c>
      <c r="K787" t="s">
        <v>31</v>
      </c>
      <c r="L787">
        <v>47.918798887095448</v>
      </c>
      <c r="M787">
        <v>1</v>
      </c>
      <c r="N787">
        <v>1.7886448088486833</v>
      </c>
      <c r="O787">
        <v>4.8219496658113297</v>
      </c>
      <c r="P787">
        <v>-0.92006591684998851</v>
      </c>
      <c r="Q787">
        <v>0.4672931329656026</v>
      </c>
      <c r="R787">
        <v>-2.0701763370737374</v>
      </c>
      <c r="S787" s="2">
        <v>2.5136106085773102E-2</v>
      </c>
      <c r="T787" s="2">
        <v>5.0039421088567002E-2</v>
      </c>
      <c r="U787" s="2">
        <v>8.8482984387357175E-2</v>
      </c>
      <c r="V787" s="2">
        <v>0.14333958991098097</v>
      </c>
      <c r="W787" s="2">
        <v>0.21667744206225542</v>
      </c>
      <c r="X787" s="2">
        <v>0.30905604973857542</v>
      </c>
      <c r="Y787" s="2">
        <v>0.41867745664162298</v>
      </c>
      <c r="Z787" s="2">
        <v>0.54053189491501352</v>
      </c>
      <c r="AA787" s="2">
        <v>0.66580376074674841</v>
      </c>
      <c r="AB787" s="2">
        <v>0.78192171930257159</v>
      </c>
      <c r="AC787" s="2">
        <v>0.87366856579211094</v>
      </c>
      <c r="AD787" s="2">
        <v>0.9256082440038359</v>
      </c>
      <c r="AE787" s="2">
        <v>0.92566169872352166</v>
      </c>
      <c r="AF787" s="2">
        <v>0.86901463244086885</v>
      </c>
      <c r="AG787" s="2">
        <v>0.76092558396648724</v>
      </c>
      <c r="AH787" s="2">
        <v>0.62669701442331205</v>
      </c>
      <c r="AI787" s="2">
        <v>0.47727401391966429</v>
      </c>
      <c r="AJ787" s="2">
        <v>0.18306530128103543</v>
      </c>
      <c r="AK787" s="2">
        <v>0</v>
      </c>
      <c r="AL787" s="2">
        <v>0</v>
      </c>
      <c r="AM787" s="2">
        <v>0</v>
      </c>
      <c r="AN787" s="2">
        <v>0</v>
      </c>
      <c r="AO787" s="2">
        <v>0</v>
      </c>
      <c r="AP787" s="2">
        <v>0</v>
      </c>
      <c r="AQ787" s="2">
        <v>0</v>
      </c>
      <c r="AR787" s="2">
        <v>8.8815814794303023</v>
      </c>
    </row>
    <row r="788" spans="1:44" x14ac:dyDescent="0.25">
      <c r="A788" t="s">
        <v>250</v>
      </c>
      <c r="B788" t="s">
        <v>343</v>
      </c>
      <c r="C788" t="s">
        <v>44</v>
      </c>
      <c r="D788" t="s">
        <v>163</v>
      </c>
      <c r="E788" t="s">
        <v>134</v>
      </c>
      <c r="F788" t="s">
        <v>163</v>
      </c>
      <c r="G788" t="s">
        <v>31</v>
      </c>
      <c r="H788" t="s">
        <v>253</v>
      </c>
      <c r="I788" t="s">
        <v>256</v>
      </c>
      <c r="J788" t="s">
        <v>39</v>
      </c>
      <c r="K788" t="s">
        <v>31</v>
      </c>
      <c r="L788">
        <v>47.918798887095448</v>
      </c>
      <c r="M788">
        <v>0</v>
      </c>
      <c r="N788">
        <v>0.99130182829403091</v>
      </c>
      <c r="O788">
        <v>3.357870666382619</v>
      </c>
      <c r="P788">
        <v>0.54287103449888297</v>
      </c>
      <c r="Q788">
        <v>0.4672931329656026</v>
      </c>
      <c r="R788">
        <v>-0.75023938572486626</v>
      </c>
      <c r="S788" s="2">
        <v>2.5066345546472905E-2</v>
      </c>
      <c r="T788" s="2">
        <v>4.9900546077875356E-2</v>
      </c>
      <c r="U788" s="2">
        <v>8.8237416490377044E-2</v>
      </c>
      <c r="V788" s="2">
        <v>0.14294177781307144</v>
      </c>
      <c r="W788" s="2">
        <v>0.21607609453607657</v>
      </c>
      <c r="X788" s="2">
        <v>0.30819832274497588</v>
      </c>
      <c r="Y788" s="2">
        <v>0.41751549603131638</v>
      </c>
      <c r="Z788" s="2">
        <v>0.53903175020805083</v>
      </c>
      <c r="AA788" s="2">
        <v>0.66395594751508502</v>
      </c>
      <c r="AB788" s="2">
        <v>0.77975164249580797</v>
      </c>
      <c r="AC788" s="2">
        <v>0.87124386285239075</v>
      </c>
      <c r="AD788" s="2">
        <v>0.92303939224684184</v>
      </c>
      <c r="AE788" s="2">
        <v>0.9230926986129977</v>
      </c>
      <c r="AF788" s="2">
        <v>0.86660284561867873</v>
      </c>
      <c r="AG788" s="2">
        <v>0.75881377798811922</v>
      </c>
      <c r="AH788" s="2">
        <v>0.6249577346178079</v>
      </c>
      <c r="AI788" s="2">
        <v>0.47594942957508057</v>
      </c>
      <c r="AJ788" s="2">
        <v>0.1825572379357826</v>
      </c>
      <c r="AK788" s="2">
        <v>0</v>
      </c>
      <c r="AL788" s="2">
        <v>0</v>
      </c>
      <c r="AM788" s="2">
        <v>0</v>
      </c>
      <c r="AN788" s="2">
        <v>0</v>
      </c>
      <c r="AO788" s="2">
        <v>0</v>
      </c>
      <c r="AP788" s="2">
        <v>0</v>
      </c>
      <c r="AQ788" s="2">
        <v>0</v>
      </c>
      <c r="AR788" s="2">
        <v>8.8569323189068072</v>
      </c>
    </row>
    <row r="789" spans="1:44" x14ac:dyDescent="0.25">
      <c r="A789" t="s">
        <v>250</v>
      </c>
      <c r="B789" t="s">
        <v>343</v>
      </c>
      <c r="C789" t="s">
        <v>44</v>
      </c>
      <c r="D789" t="s">
        <v>163</v>
      </c>
      <c r="E789" t="s">
        <v>134</v>
      </c>
      <c r="F789" t="s">
        <v>163</v>
      </c>
      <c r="G789" t="s">
        <v>31</v>
      </c>
      <c r="H789" t="s">
        <v>288</v>
      </c>
      <c r="I789" t="s">
        <v>135</v>
      </c>
      <c r="J789" t="s">
        <v>39</v>
      </c>
      <c r="K789" t="s">
        <v>31</v>
      </c>
      <c r="L789">
        <v>47.918798887095448</v>
      </c>
      <c r="M789">
        <v>1</v>
      </c>
      <c r="N789">
        <v>1.7886448088486833</v>
      </c>
      <c r="O789">
        <v>6.0587378786000636</v>
      </c>
      <c r="P789">
        <v>-0.92006591684998851</v>
      </c>
      <c r="Q789">
        <v>1.8347649468629108</v>
      </c>
      <c r="R789">
        <v>-2.2131763370737381</v>
      </c>
      <c r="S789" s="2">
        <v>1.553363409765296</v>
      </c>
      <c r="T789" s="2">
        <v>3.0957563533690613</v>
      </c>
      <c r="U789" s="2">
        <v>5.480165627958149</v>
      </c>
      <c r="V789" s="2">
        <v>8.8874977902821879</v>
      </c>
      <c r="W789" s="2">
        <v>13.449510367648088</v>
      </c>
      <c r="X789" s="2">
        <v>19.204784988312049</v>
      </c>
      <c r="Y789" s="2">
        <v>26.045410290776815</v>
      </c>
      <c r="Z789" s="2">
        <v>33.662965899114234</v>
      </c>
      <c r="AA789" s="2">
        <v>41.510381210206432</v>
      </c>
      <c r="AB789" s="2">
        <v>48.803748497142486</v>
      </c>
      <c r="AC789" s="2">
        <v>54.590370266615025</v>
      </c>
      <c r="AD789" s="2">
        <v>57.899654164492183</v>
      </c>
      <c r="AE789" s="2">
        <v>57.966953437617001</v>
      </c>
      <c r="AF789" s="2">
        <v>54.479698653721016</v>
      </c>
      <c r="AG789" s="2">
        <v>47.756140335327203</v>
      </c>
      <c r="AH789" s="2">
        <v>39.375318989521219</v>
      </c>
      <c r="AI789" s="2">
        <v>30.020206436657901</v>
      </c>
      <c r="AJ789" s="2">
        <v>19.818868540217796</v>
      </c>
      <c r="AK789" s="2">
        <v>0</v>
      </c>
      <c r="AL789" s="2">
        <v>0</v>
      </c>
      <c r="AM789" s="2">
        <v>0</v>
      </c>
      <c r="AN789" s="2">
        <v>0</v>
      </c>
      <c r="AO789" s="2">
        <v>0</v>
      </c>
      <c r="AP789" s="2">
        <v>0</v>
      </c>
      <c r="AQ789" s="2">
        <v>0</v>
      </c>
      <c r="AR789" s="2">
        <v>563.60079525874414</v>
      </c>
    </row>
    <row r="790" spans="1:44" x14ac:dyDescent="0.25">
      <c r="A790" t="s">
        <v>250</v>
      </c>
      <c r="B790" t="s">
        <v>343</v>
      </c>
      <c r="C790" t="s">
        <v>44</v>
      </c>
      <c r="D790" t="s">
        <v>163</v>
      </c>
      <c r="E790" t="s">
        <v>134</v>
      </c>
      <c r="F790" t="s">
        <v>163</v>
      </c>
      <c r="G790" t="s">
        <v>31</v>
      </c>
      <c r="H790" t="s">
        <v>288</v>
      </c>
      <c r="I790" t="s">
        <v>135</v>
      </c>
      <c r="J790" t="s">
        <v>39</v>
      </c>
      <c r="K790" t="s">
        <v>33</v>
      </c>
      <c r="L790">
        <v>47.918798887095448</v>
      </c>
      <c r="M790">
        <v>1</v>
      </c>
      <c r="N790">
        <v>1.7886448088486833</v>
      </c>
      <c r="O790">
        <v>6.0587378786000636</v>
      </c>
      <c r="P790">
        <v>-0.92006591684998851</v>
      </c>
      <c r="Q790">
        <v>1.8347649468629108</v>
      </c>
      <c r="R790">
        <v>-2.2131763370737381</v>
      </c>
      <c r="S790" s="2">
        <v>1.4612665708830406E-2</v>
      </c>
      <c r="T790" s="2">
        <v>2.9122130998698523E-2</v>
      </c>
      <c r="U790" s="2">
        <v>5.1552539378067794E-2</v>
      </c>
      <c r="V790" s="2">
        <v>8.3605699336631811E-2</v>
      </c>
      <c r="W790" s="2">
        <v>0.12652106887182646</v>
      </c>
      <c r="X790" s="2">
        <v>0.18066158973486474</v>
      </c>
      <c r="Y790" s="2">
        <v>0.24501212751365006</v>
      </c>
      <c r="Z790" s="2">
        <v>0.31667133676454889</v>
      </c>
      <c r="AA790" s="2">
        <v>0.39049286229969321</v>
      </c>
      <c r="AB790" s="2">
        <v>0.4591023952561949</v>
      </c>
      <c r="AC790" s="2">
        <v>0.51353780230207036</v>
      </c>
      <c r="AD790" s="2">
        <v>0.54466861112072329</v>
      </c>
      <c r="AE790" s="2">
        <v>0.54530170301308922</v>
      </c>
      <c r="AF790" s="2">
        <v>0.51249670189214014</v>
      </c>
      <c r="AG790" s="2">
        <v>0.44924742650502419</v>
      </c>
      <c r="AH790" s="2">
        <v>0.37040808992621488</v>
      </c>
      <c r="AI790" s="2">
        <v>0.28240348550198058</v>
      </c>
      <c r="AJ790" s="2">
        <v>0.1864383433295986</v>
      </c>
      <c r="AK790" s="2">
        <v>0</v>
      </c>
      <c r="AL790" s="2">
        <v>0</v>
      </c>
      <c r="AM790" s="2">
        <v>0</v>
      </c>
      <c r="AN790" s="2">
        <v>0</v>
      </c>
      <c r="AO790" s="2">
        <v>0</v>
      </c>
      <c r="AP790" s="2">
        <v>0</v>
      </c>
      <c r="AQ790" s="2">
        <v>0</v>
      </c>
      <c r="AR790" s="2">
        <v>5.3018565794538484</v>
      </c>
    </row>
    <row r="791" spans="1:44" x14ac:dyDescent="0.25">
      <c r="A791" t="s">
        <v>250</v>
      </c>
      <c r="B791" t="s">
        <v>343</v>
      </c>
      <c r="C791" t="s">
        <v>44</v>
      </c>
      <c r="D791" t="s">
        <v>163</v>
      </c>
      <c r="E791" t="s">
        <v>134</v>
      </c>
      <c r="F791" t="s">
        <v>163</v>
      </c>
      <c r="G791" t="s">
        <v>31</v>
      </c>
      <c r="H791" t="s">
        <v>273</v>
      </c>
      <c r="I791" t="s">
        <v>135</v>
      </c>
      <c r="J791" t="s">
        <v>39</v>
      </c>
      <c r="K791" t="s">
        <v>31</v>
      </c>
      <c r="L791">
        <v>47.918798887095448</v>
      </c>
      <c r="M791">
        <v>1</v>
      </c>
      <c r="N791">
        <v>1.7886448088486833</v>
      </c>
      <c r="O791">
        <v>6.0587378786000636</v>
      </c>
      <c r="P791">
        <v>-0.92006591684998851</v>
      </c>
      <c r="Q791">
        <v>1.8347649468629108</v>
      </c>
      <c r="R791">
        <v>-2.2131763370737381</v>
      </c>
      <c r="S791" s="2">
        <v>0.25099998142902868</v>
      </c>
      <c r="T791" s="2">
        <v>0.49942452981570706</v>
      </c>
      <c r="U791" s="2">
        <v>0.88267181480993506</v>
      </c>
      <c r="V791" s="2">
        <v>1.4291820680656131</v>
      </c>
      <c r="W791" s="2">
        <v>2.1593199879003229</v>
      </c>
      <c r="X791" s="2">
        <v>3.0783816260672507</v>
      </c>
      <c r="Y791" s="2">
        <v>4.1681821577384301</v>
      </c>
      <c r="Z791" s="2">
        <v>5.378613557795509</v>
      </c>
      <c r="AA791" s="2">
        <v>6.6218168548571503</v>
      </c>
      <c r="AB791" s="2">
        <v>7.7727750966324738</v>
      </c>
      <c r="AC791" s="2">
        <v>8.6804340002297877</v>
      </c>
      <c r="AD791" s="2">
        <v>9.1918694422989908</v>
      </c>
      <c r="AE791" s="2">
        <v>9.1877851589953607</v>
      </c>
      <c r="AF791" s="2">
        <v>8.6211962305271914</v>
      </c>
      <c r="AG791" s="2">
        <v>7.5450918586403617</v>
      </c>
      <c r="AH791" s="2">
        <v>6.2110049449895532</v>
      </c>
      <c r="AI791" s="2">
        <v>4.7277438934796363</v>
      </c>
      <c r="AJ791" s="2">
        <v>1.2192450548305553</v>
      </c>
      <c r="AK791" s="2">
        <v>0</v>
      </c>
      <c r="AL791" s="2">
        <v>0</v>
      </c>
      <c r="AM791" s="2">
        <v>0</v>
      </c>
      <c r="AN791" s="2">
        <v>0</v>
      </c>
      <c r="AO791" s="2">
        <v>0</v>
      </c>
      <c r="AP791" s="2">
        <v>0</v>
      </c>
      <c r="AQ791" s="2">
        <v>0</v>
      </c>
      <c r="AR791" s="2">
        <v>87.625738259102832</v>
      </c>
    </row>
    <row r="792" spans="1:44" x14ac:dyDescent="0.25">
      <c r="A792" t="s">
        <v>250</v>
      </c>
      <c r="B792" t="s">
        <v>343</v>
      </c>
      <c r="C792" t="s">
        <v>44</v>
      </c>
      <c r="D792" t="s">
        <v>163</v>
      </c>
      <c r="E792" t="s">
        <v>134</v>
      </c>
      <c r="F792" t="s">
        <v>163</v>
      </c>
      <c r="G792" t="s">
        <v>31</v>
      </c>
      <c r="H792" t="s">
        <v>252</v>
      </c>
      <c r="I792" t="s">
        <v>135</v>
      </c>
      <c r="J792" t="s">
        <v>39</v>
      </c>
      <c r="K792" t="s">
        <v>31</v>
      </c>
      <c r="L792">
        <v>47.918798887095448</v>
      </c>
      <c r="M792">
        <v>1</v>
      </c>
      <c r="N792">
        <v>1.7886448088486833</v>
      </c>
      <c r="O792">
        <v>6.0587378786000636</v>
      </c>
      <c r="P792">
        <v>-0.92006591684998851</v>
      </c>
      <c r="Q792">
        <v>1.8347649468629108</v>
      </c>
      <c r="R792">
        <v>-2.2131763370737381</v>
      </c>
      <c r="S792" s="2">
        <v>0</v>
      </c>
      <c r="T792" s="2">
        <v>0</v>
      </c>
      <c r="U792" s="2">
        <v>0</v>
      </c>
      <c r="V792" s="2">
        <v>0</v>
      </c>
      <c r="W792" s="2">
        <v>0</v>
      </c>
      <c r="X792" s="2">
        <v>0</v>
      </c>
      <c r="Y792" s="2">
        <v>0</v>
      </c>
      <c r="Z792" s="2">
        <v>0</v>
      </c>
      <c r="AA792" s="2">
        <v>0</v>
      </c>
      <c r="AB792" s="2">
        <v>0</v>
      </c>
      <c r="AC792" s="2">
        <v>0</v>
      </c>
      <c r="AD792" s="2">
        <v>0</v>
      </c>
      <c r="AE792" s="2">
        <v>0</v>
      </c>
      <c r="AF792" s="2">
        <v>0</v>
      </c>
      <c r="AG792" s="2">
        <v>0</v>
      </c>
      <c r="AH792" s="2">
        <v>0</v>
      </c>
      <c r="AI792" s="2">
        <v>0</v>
      </c>
      <c r="AJ792" s="2">
        <v>0</v>
      </c>
      <c r="AK792" s="2">
        <v>0</v>
      </c>
      <c r="AL792" s="2">
        <v>0</v>
      </c>
      <c r="AM792" s="2">
        <v>0</v>
      </c>
      <c r="AN792" s="2">
        <v>0</v>
      </c>
      <c r="AO792" s="2">
        <v>0</v>
      </c>
      <c r="AP792" s="2">
        <v>0</v>
      </c>
      <c r="AQ792" s="2">
        <v>0</v>
      </c>
      <c r="AR792" s="2">
        <v>0</v>
      </c>
    </row>
    <row r="793" spans="1:44" x14ac:dyDescent="0.25">
      <c r="A793" t="s">
        <v>250</v>
      </c>
      <c r="B793" t="s">
        <v>343</v>
      </c>
      <c r="C793" t="s">
        <v>44</v>
      </c>
      <c r="D793" t="s">
        <v>163</v>
      </c>
      <c r="E793" t="s">
        <v>134</v>
      </c>
      <c r="F793" t="s">
        <v>163</v>
      </c>
      <c r="G793" t="s">
        <v>31</v>
      </c>
      <c r="H793" t="s">
        <v>289</v>
      </c>
      <c r="I793" t="s">
        <v>135</v>
      </c>
      <c r="J793" t="s">
        <v>39</v>
      </c>
      <c r="K793" t="s">
        <v>31</v>
      </c>
      <c r="L793">
        <v>47.918798887095448</v>
      </c>
      <c r="M793">
        <v>1</v>
      </c>
      <c r="N793">
        <v>1.7886448088486833</v>
      </c>
      <c r="O793">
        <v>6.0587378786000636</v>
      </c>
      <c r="P793">
        <v>-0.92006591684998851</v>
      </c>
      <c r="Q793">
        <v>1.8347649468629108</v>
      </c>
      <c r="R793">
        <v>-2.2131763370737381</v>
      </c>
      <c r="S793" s="2">
        <v>1.4764045854953209</v>
      </c>
      <c r="T793" s="2">
        <v>2.9423822184539192</v>
      </c>
      <c r="U793" s="2">
        <v>5.20865987413322</v>
      </c>
      <c r="V793" s="2">
        <v>8.4471813927526078</v>
      </c>
      <c r="W793" s="2">
        <v>12.783176592567452</v>
      </c>
      <c r="X793" s="2">
        <v>18.253315638791662</v>
      </c>
      <c r="Y793" s="2">
        <v>24.75503346008389</v>
      </c>
      <c r="Z793" s="2">
        <v>31.99518985858839</v>
      </c>
      <c r="AA793" s="2">
        <v>39.453817940560064</v>
      </c>
      <c r="AB793" s="2">
        <v>46.385847392548335</v>
      </c>
      <c r="AC793" s="2">
        <v>51.885780544873043</v>
      </c>
      <c r="AD793" s="2">
        <v>55.031111438350123</v>
      </c>
      <c r="AE793" s="2">
        <v>55.095076480153821</v>
      </c>
      <c r="AF793" s="2">
        <v>51.780591974231001</v>
      </c>
      <c r="AG793" s="2">
        <v>45.390141246656754</v>
      </c>
      <c r="AH793" s="2">
        <v>37.424533850873821</v>
      </c>
      <c r="AI793" s="2">
        <v>28.532904896539744</v>
      </c>
      <c r="AJ793" s="2">
        <v>18.836975435469718</v>
      </c>
      <c r="AK793" s="2">
        <v>0</v>
      </c>
      <c r="AL793" s="2">
        <v>0</v>
      </c>
      <c r="AM793" s="2">
        <v>0</v>
      </c>
      <c r="AN793" s="2">
        <v>0</v>
      </c>
      <c r="AO793" s="2">
        <v>0</v>
      </c>
      <c r="AP793" s="2">
        <v>0</v>
      </c>
      <c r="AQ793" s="2">
        <v>0</v>
      </c>
      <c r="AR793" s="2">
        <v>535.67812482112288</v>
      </c>
    </row>
    <row r="794" spans="1:44" x14ac:dyDescent="0.25">
      <c r="A794" t="s">
        <v>250</v>
      </c>
      <c r="B794" t="s">
        <v>343</v>
      </c>
      <c r="C794" t="s">
        <v>44</v>
      </c>
      <c r="D794" t="s">
        <v>163</v>
      </c>
      <c r="E794" t="s">
        <v>134</v>
      </c>
      <c r="F794" t="s">
        <v>163</v>
      </c>
      <c r="G794" t="s">
        <v>31</v>
      </c>
      <c r="H794" t="s">
        <v>274</v>
      </c>
      <c r="I794" t="s">
        <v>135</v>
      </c>
      <c r="J794" t="s">
        <v>39</v>
      </c>
      <c r="K794" t="s">
        <v>31</v>
      </c>
      <c r="L794">
        <v>47.918798887095448</v>
      </c>
      <c r="M794">
        <v>1</v>
      </c>
      <c r="N794">
        <v>1.7886448088486833</v>
      </c>
      <c r="O794">
        <v>6.0587378786000636</v>
      </c>
      <c r="P794">
        <v>-0.92006591684998851</v>
      </c>
      <c r="Q794">
        <v>1.8347649468629108</v>
      </c>
      <c r="R794">
        <v>-2.2131763370737381</v>
      </c>
      <c r="S794" s="2">
        <v>0.39511891744428196</v>
      </c>
      <c r="T794" s="2">
        <v>0.78618364209599834</v>
      </c>
      <c r="U794" s="2">
        <v>1.3894834969336234</v>
      </c>
      <c r="V794" s="2">
        <v>2.2497884993849522</v>
      </c>
      <c r="W794" s="2">
        <v>3.3991563313171729</v>
      </c>
      <c r="X794" s="2">
        <v>4.8459239265560763</v>
      </c>
      <c r="Y794" s="2">
        <v>6.5614651144580112</v>
      </c>
      <c r="Z794" s="2">
        <v>8.4669008906210088</v>
      </c>
      <c r="AA794" s="2">
        <v>10.423925501146931</v>
      </c>
      <c r="AB794" s="2">
        <v>12.23573987629033</v>
      </c>
      <c r="AC794" s="2">
        <v>13.664557525424064</v>
      </c>
      <c r="AD794" s="2">
        <v>14.469648494206304</v>
      </c>
      <c r="AE794" s="2">
        <v>14.463219100912012</v>
      </c>
      <c r="AF794" s="2">
        <v>13.57130666817919</v>
      </c>
      <c r="AG794" s="2">
        <v>11.877325688355063</v>
      </c>
      <c r="AH794" s="2">
        <v>9.7772339907493535</v>
      </c>
      <c r="AI794" s="2">
        <v>7.4423154874761641</v>
      </c>
      <c r="AJ794" s="2">
        <v>1.9193100470414537</v>
      </c>
      <c r="AK794" s="2">
        <v>0</v>
      </c>
      <c r="AL794" s="2">
        <v>0</v>
      </c>
      <c r="AM794" s="2">
        <v>0</v>
      </c>
      <c r="AN794" s="2">
        <v>0</v>
      </c>
      <c r="AO794" s="2">
        <v>0</v>
      </c>
      <c r="AP794" s="2">
        <v>0</v>
      </c>
      <c r="AQ794" s="2">
        <v>0</v>
      </c>
      <c r="AR794" s="2">
        <v>137.93860319859198</v>
      </c>
    </row>
    <row r="795" spans="1:44" x14ac:dyDescent="0.25">
      <c r="A795" t="s">
        <v>250</v>
      </c>
      <c r="B795" t="s">
        <v>343</v>
      </c>
      <c r="C795" t="s">
        <v>44</v>
      </c>
      <c r="D795" t="s">
        <v>163</v>
      </c>
      <c r="E795" t="s">
        <v>134</v>
      </c>
      <c r="F795" t="s">
        <v>163</v>
      </c>
      <c r="G795" t="s">
        <v>31</v>
      </c>
      <c r="H795" t="s">
        <v>274</v>
      </c>
      <c r="I795" t="s">
        <v>135</v>
      </c>
      <c r="J795" t="s">
        <v>39</v>
      </c>
      <c r="K795" t="s">
        <v>33</v>
      </c>
      <c r="L795">
        <v>47.918798887095448</v>
      </c>
      <c r="M795">
        <v>1</v>
      </c>
      <c r="N795">
        <v>1.7886448088486833</v>
      </c>
      <c r="O795">
        <v>6.0587378786000636</v>
      </c>
      <c r="P795">
        <v>-0.92006591684998851</v>
      </c>
      <c r="Q795">
        <v>1.8347649468629108</v>
      </c>
      <c r="R795">
        <v>-2.2131763370737381</v>
      </c>
      <c r="S795" s="2">
        <v>1.2712882511618773E-3</v>
      </c>
      <c r="T795" s="2">
        <v>2.5295322074606495E-3</v>
      </c>
      <c r="U795" s="2">
        <v>4.4706390072657828E-3</v>
      </c>
      <c r="V795" s="2">
        <v>7.2386554037127899E-3</v>
      </c>
      <c r="W795" s="2">
        <v>1.0936726431164624E-2</v>
      </c>
      <c r="X795" s="2">
        <v>1.5591676029340478E-2</v>
      </c>
      <c r="Y795" s="2">
        <v>2.111139999161209E-2</v>
      </c>
      <c r="Z795" s="2">
        <v>2.7242106491943401E-2</v>
      </c>
      <c r="AA795" s="2">
        <v>3.3538799170413018E-2</v>
      </c>
      <c r="AB795" s="2">
        <v>3.9368280439759762E-2</v>
      </c>
      <c r="AC795" s="2">
        <v>4.3965476398246335E-2</v>
      </c>
      <c r="AD795" s="2">
        <v>4.6555842600780099E-2</v>
      </c>
      <c r="AE795" s="2">
        <v>4.6535156139574943E-2</v>
      </c>
      <c r="AF795" s="2">
        <v>4.3665443385418237E-2</v>
      </c>
      <c r="AG795" s="2">
        <v>3.821508901799979E-2</v>
      </c>
      <c r="AH795" s="2">
        <v>3.1458080472831294E-2</v>
      </c>
      <c r="AI795" s="2">
        <v>2.3945520760854787E-2</v>
      </c>
      <c r="AJ795" s="2">
        <v>6.1753467257988906E-3</v>
      </c>
      <c r="AK795" s="2">
        <v>0</v>
      </c>
      <c r="AL795" s="2">
        <v>0</v>
      </c>
      <c r="AM795" s="2">
        <v>0</v>
      </c>
      <c r="AN795" s="2">
        <v>0</v>
      </c>
      <c r="AO795" s="2">
        <v>0</v>
      </c>
      <c r="AP795" s="2">
        <v>0</v>
      </c>
      <c r="AQ795" s="2">
        <v>0</v>
      </c>
      <c r="AR795" s="2">
        <v>0.44381505892533885</v>
      </c>
    </row>
    <row r="796" spans="1:44" x14ac:dyDescent="0.25">
      <c r="A796" t="s">
        <v>250</v>
      </c>
      <c r="B796" t="s">
        <v>343</v>
      </c>
      <c r="C796" t="s">
        <v>44</v>
      </c>
      <c r="D796" t="s">
        <v>163</v>
      </c>
      <c r="E796" t="s">
        <v>134</v>
      </c>
      <c r="F796" t="s">
        <v>163</v>
      </c>
      <c r="G796" t="s">
        <v>31</v>
      </c>
      <c r="H796" t="s">
        <v>255</v>
      </c>
      <c r="I796" t="s">
        <v>135</v>
      </c>
      <c r="J796" t="s">
        <v>39</v>
      </c>
      <c r="K796" t="s">
        <v>31</v>
      </c>
      <c r="L796">
        <v>47.918798887095448</v>
      </c>
      <c r="M796">
        <v>1</v>
      </c>
      <c r="N796">
        <v>1.7886448088486833</v>
      </c>
      <c r="O796">
        <v>6.0587378786000636</v>
      </c>
      <c r="P796">
        <v>-0.92006591684998851</v>
      </c>
      <c r="Q796">
        <v>1.8347649468629108</v>
      </c>
      <c r="R796">
        <v>-2.2131763370737381</v>
      </c>
      <c r="S796" s="2">
        <v>0.14357613735147579</v>
      </c>
      <c r="T796" s="2">
        <v>0.28441628760465698</v>
      </c>
      <c r="U796" s="2">
        <v>0.50044905226649028</v>
      </c>
      <c r="V796" s="2">
        <v>0.8067225348660797</v>
      </c>
      <c r="W796" s="2">
        <v>1.2134717019710559</v>
      </c>
      <c r="X796" s="2">
        <v>1.7223092121001469</v>
      </c>
      <c r="Y796" s="2">
        <v>2.3217281904105107</v>
      </c>
      <c r="Z796" s="2">
        <v>2.9827100992586395</v>
      </c>
      <c r="AA796" s="2">
        <v>3.6558964436225243</v>
      </c>
      <c r="AB796" s="2">
        <v>4.272369837193617</v>
      </c>
      <c r="AC796" s="2">
        <v>4.7501814139761551</v>
      </c>
      <c r="AD796" s="2">
        <v>5.0078189812619609</v>
      </c>
      <c r="AE796" s="2">
        <v>4.983467430149493</v>
      </c>
      <c r="AF796" s="2">
        <v>4.6554786710856542</v>
      </c>
      <c r="AG796" s="2">
        <v>4.0563681170919637</v>
      </c>
      <c r="AH796" s="2">
        <v>3.3243804687376075</v>
      </c>
      <c r="AI796" s="2">
        <v>0.38628330468388944</v>
      </c>
      <c r="AJ796" s="2">
        <v>0</v>
      </c>
      <c r="AK796" s="2">
        <v>0</v>
      </c>
      <c r="AL796" s="2">
        <v>0</v>
      </c>
      <c r="AM796" s="2">
        <v>0</v>
      </c>
      <c r="AN796" s="2">
        <v>0</v>
      </c>
      <c r="AO796" s="2">
        <v>0</v>
      </c>
      <c r="AP796" s="2">
        <v>0</v>
      </c>
      <c r="AQ796" s="2">
        <v>0</v>
      </c>
      <c r="AR796" s="2">
        <v>45.067627883631921</v>
      </c>
    </row>
    <row r="797" spans="1:44" x14ac:dyDescent="0.25">
      <c r="A797" t="s">
        <v>250</v>
      </c>
      <c r="B797" t="s">
        <v>343</v>
      </c>
      <c r="C797" t="s">
        <v>44</v>
      </c>
      <c r="D797" t="s">
        <v>163</v>
      </c>
      <c r="E797" t="s">
        <v>134</v>
      </c>
      <c r="F797" t="s">
        <v>163</v>
      </c>
      <c r="G797" t="s">
        <v>31</v>
      </c>
      <c r="H797" t="s">
        <v>278</v>
      </c>
      <c r="I797" t="s">
        <v>135</v>
      </c>
      <c r="J797" t="s">
        <v>39</v>
      </c>
      <c r="K797" t="s">
        <v>31</v>
      </c>
      <c r="L797">
        <v>47.918798887095448</v>
      </c>
      <c r="M797">
        <v>1</v>
      </c>
      <c r="N797">
        <v>1.7886448088486833</v>
      </c>
      <c r="O797">
        <v>6.0587378786000636</v>
      </c>
      <c r="P797">
        <v>-0.92006591684998851</v>
      </c>
      <c r="Q797">
        <v>1.8347649468629108</v>
      </c>
      <c r="R797">
        <v>-2.2131763370737381</v>
      </c>
      <c r="S797" s="2">
        <v>0.62220989299613993</v>
      </c>
      <c r="T797" s="2">
        <v>1.232562953296598</v>
      </c>
      <c r="U797" s="2">
        <v>2.1687750973442093</v>
      </c>
      <c r="V797" s="2">
        <v>3.4960596611386587</v>
      </c>
      <c r="W797" s="2">
        <v>5.2587714906198038</v>
      </c>
      <c r="X797" s="2">
        <v>7.463899296466777</v>
      </c>
      <c r="Y797" s="2">
        <v>10.061576217119173</v>
      </c>
      <c r="Z797" s="2">
        <v>12.926045831383744</v>
      </c>
      <c r="AA797" s="2">
        <v>15.843405296680777</v>
      </c>
      <c r="AB797" s="2">
        <v>18.514990222453225</v>
      </c>
      <c r="AC797" s="2">
        <v>20.585662240425041</v>
      </c>
      <c r="AD797" s="2">
        <v>21.702175375057301</v>
      </c>
      <c r="AE797" s="2">
        <v>21.596644077924779</v>
      </c>
      <c r="AF797" s="2">
        <v>20.175252930024875</v>
      </c>
      <c r="AG797" s="2">
        <v>17.578912614915811</v>
      </c>
      <c r="AH797" s="2">
        <v>14.406728401308545</v>
      </c>
      <c r="AI797" s="2">
        <v>1.6740197786849322</v>
      </c>
      <c r="AJ797" s="2">
        <v>0</v>
      </c>
      <c r="AK797" s="2">
        <v>0</v>
      </c>
      <c r="AL797" s="2">
        <v>0</v>
      </c>
      <c r="AM797" s="2">
        <v>0</v>
      </c>
      <c r="AN797" s="2">
        <v>0</v>
      </c>
      <c r="AO797" s="2">
        <v>0</v>
      </c>
      <c r="AP797" s="2">
        <v>0</v>
      </c>
      <c r="AQ797" s="2">
        <v>0</v>
      </c>
      <c r="AR797" s="2">
        <v>195.30769137784043</v>
      </c>
    </row>
    <row r="798" spans="1:44" x14ac:dyDescent="0.25">
      <c r="A798" t="s">
        <v>250</v>
      </c>
      <c r="B798" t="s">
        <v>343</v>
      </c>
      <c r="C798" t="s">
        <v>44</v>
      </c>
      <c r="D798" t="s">
        <v>163</v>
      </c>
      <c r="E798" t="s">
        <v>134</v>
      </c>
      <c r="F798" t="s">
        <v>163</v>
      </c>
      <c r="G798" t="s">
        <v>31</v>
      </c>
      <c r="H798" t="s">
        <v>276</v>
      </c>
      <c r="I798" t="s">
        <v>135</v>
      </c>
      <c r="J798" t="s">
        <v>39</v>
      </c>
      <c r="K798" t="s">
        <v>31</v>
      </c>
      <c r="L798">
        <v>47.918798887095448</v>
      </c>
      <c r="M798">
        <v>1</v>
      </c>
      <c r="N798">
        <v>1.7886448088486833</v>
      </c>
      <c r="O798">
        <v>6.0587378786000636</v>
      </c>
      <c r="P798">
        <v>-0.92006591684998851</v>
      </c>
      <c r="Q798">
        <v>1.8347649468629108</v>
      </c>
      <c r="R798">
        <v>-2.2131763370737381</v>
      </c>
      <c r="S798" s="2">
        <v>0.85304728328751434</v>
      </c>
      <c r="T798" s="2">
        <v>1.7016046766158321</v>
      </c>
      <c r="U798" s="2">
        <v>3.0149314794701518</v>
      </c>
      <c r="V798" s="2">
        <v>4.8939004629203122</v>
      </c>
      <c r="W798" s="2">
        <v>7.4126580200231977</v>
      </c>
      <c r="X798" s="2">
        <v>10.594215532695404</v>
      </c>
      <c r="Y798" s="2">
        <v>14.38077933712426</v>
      </c>
      <c r="Z798" s="2">
        <v>18.603534355457029</v>
      </c>
      <c r="AA798" s="2">
        <v>22.961046047241506</v>
      </c>
      <c r="AB798" s="2">
        <v>27.019667011244959</v>
      </c>
      <c r="AC798" s="2">
        <v>30.250650387956622</v>
      </c>
      <c r="AD798" s="2">
        <v>32.113416384861623</v>
      </c>
      <c r="AE798" s="2">
        <v>32.179765935236077</v>
      </c>
      <c r="AF798" s="2">
        <v>30.271153202402058</v>
      </c>
      <c r="AG798" s="2">
        <v>26.559222265426957</v>
      </c>
      <c r="AH798" s="2">
        <v>21.918058570593729</v>
      </c>
      <c r="AI798" s="2">
        <v>16.725670495220072</v>
      </c>
      <c r="AJ798" s="2">
        <v>11.554993791124691</v>
      </c>
      <c r="AK798" s="2">
        <v>3.2750667846433728</v>
      </c>
      <c r="AL798" s="2">
        <v>0</v>
      </c>
      <c r="AM798" s="2">
        <v>0</v>
      </c>
      <c r="AN798" s="2">
        <v>0</v>
      </c>
      <c r="AO798" s="2">
        <v>0</v>
      </c>
      <c r="AP798" s="2">
        <v>0</v>
      </c>
      <c r="AQ798" s="2">
        <v>0</v>
      </c>
      <c r="AR798" s="2">
        <v>316.28338202354536</v>
      </c>
    </row>
    <row r="799" spans="1:44" x14ac:dyDescent="0.25">
      <c r="A799" t="s">
        <v>250</v>
      </c>
      <c r="B799" t="s">
        <v>343</v>
      </c>
      <c r="C799" t="s">
        <v>44</v>
      </c>
      <c r="D799" t="s">
        <v>163</v>
      </c>
      <c r="E799" t="s">
        <v>134</v>
      </c>
      <c r="F799" t="s">
        <v>163</v>
      </c>
      <c r="G799" t="s">
        <v>31</v>
      </c>
      <c r="H799" t="s">
        <v>290</v>
      </c>
      <c r="I799" t="s">
        <v>135</v>
      </c>
      <c r="J799" t="s">
        <v>39</v>
      </c>
      <c r="K799" t="s">
        <v>31</v>
      </c>
      <c r="L799">
        <v>47.918798887095448</v>
      </c>
      <c r="M799">
        <v>1</v>
      </c>
      <c r="N799">
        <v>1.7886448088486833</v>
      </c>
      <c r="O799">
        <v>6.0587378786000636</v>
      </c>
      <c r="P799">
        <v>-0.92006591684998851</v>
      </c>
      <c r="Q799">
        <v>1.8347649468629108</v>
      </c>
      <c r="R799">
        <v>-2.2131763370737381</v>
      </c>
      <c r="S799" s="2">
        <v>2.1379343972617613</v>
      </c>
      <c r="T799" s="2">
        <v>4.2607698570738002</v>
      </c>
      <c r="U799" s="2">
        <v>7.542494257975072</v>
      </c>
      <c r="V799" s="2">
        <v>12.232093991645586</v>
      </c>
      <c r="W799" s="2">
        <v>18.510910364283717</v>
      </c>
      <c r="X799" s="2">
        <v>26.43204427271294</v>
      </c>
      <c r="Y799" s="2">
        <v>35.846974507955359</v>
      </c>
      <c r="Z799" s="2">
        <v>46.331214097826681</v>
      </c>
      <c r="AA799" s="2">
        <v>57.131815565397972</v>
      </c>
      <c r="AB799" s="2">
        <v>67.169866350281751</v>
      </c>
      <c r="AC799" s="2">
        <v>75.134144153611942</v>
      </c>
      <c r="AD799" s="2">
        <v>79.688797514891405</v>
      </c>
      <c r="AE799" s="2">
        <v>79.781423252062609</v>
      </c>
      <c r="AF799" s="2">
        <v>74.9818239389609</v>
      </c>
      <c r="AG799" s="2">
        <v>65.728016033789828</v>
      </c>
      <c r="AH799" s="2">
        <v>54.1932739896139</v>
      </c>
      <c r="AI799" s="2">
        <v>41.317589657610931</v>
      </c>
      <c r="AJ799" s="2">
        <v>27.277223411192843</v>
      </c>
      <c r="AK799" s="2">
        <v>0</v>
      </c>
      <c r="AL799" s="2">
        <v>0</v>
      </c>
      <c r="AM799" s="2">
        <v>0</v>
      </c>
      <c r="AN799" s="2">
        <v>0</v>
      </c>
      <c r="AO799" s="2">
        <v>0</v>
      </c>
      <c r="AP799" s="2">
        <v>0</v>
      </c>
      <c r="AQ799" s="2">
        <v>0</v>
      </c>
      <c r="AR799" s="2">
        <v>775.69840961414911</v>
      </c>
    </row>
    <row r="800" spans="1:44" x14ac:dyDescent="0.25">
      <c r="A800" t="s">
        <v>250</v>
      </c>
      <c r="B800" t="s">
        <v>343</v>
      </c>
      <c r="C800" t="s">
        <v>44</v>
      </c>
      <c r="D800" t="s">
        <v>163</v>
      </c>
      <c r="E800" t="s">
        <v>134</v>
      </c>
      <c r="F800" t="s">
        <v>163</v>
      </c>
      <c r="G800" t="s">
        <v>31</v>
      </c>
      <c r="H800" t="s">
        <v>275</v>
      </c>
      <c r="I800" t="s">
        <v>135</v>
      </c>
      <c r="J800" t="s">
        <v>39</v>
      </c>
      <c r="K800" t="s">
        <v>31</v>
      </c>
      <c r="L800">
        <v>47.918798887095448</v>
      </c>
      <c r="M800">
        <v>1</v>
      </c>
      <c r="N800">
        <v>1.7886448088486833</v>
      </c>
      <c r="O800">
        <v>6.0587378786000636</v>
      </c>
      <c r="P800">
        <v>-0.92006591684998851</v>
      </c>
      <c r="Q800">
        <v>1.8347649468629108</v>
      </c>
      <c r="R800">
        <v>-2.2131763370737381</v>
      </c>
      <c r="S800" s="2">
        <v>0.60361819127792382</v>
      </c>
      <c r="T800" s="2">
        <v>1.2010428433136129</v>
      </c>
      <c r="U800" s="2">
        <v>2.1226964293550199</v>
      </c>
      <c r="V800" s="2">
        <v>3.4369735408786655</v>
      </c>
      <c r="W800" s="2">
        <v>5.1928482945135386</v>
      </c>
      <c r="X800" s="2">
        <v>7.4030569190114175</v>
      </c>
      <c r="Y800" s="2">
        <v>10.023867574198974</v>
      </c>
      <c r="Z800" s="2">
        <v>12.934777799007293</v>
      </c>
      <c r="AA800" s="2">
        <v>15.924499635999878</v>
      </c>
      <c r="AB800" s="2">
        <v>18.692385626195783</v>
      </c>
      <c r="AC800" s="2">
        <v>20.875172344216438</v>
      </c>
      <c r="AD800" s="2">
        <v>22.105099672257008</v>
      </c>
      <c r="AE800" s="2">
        <v>22.095277569138243</v>
      </c>
      <c r="AF800" s="2">
        <v>20.732714184659443</v>
      </c>
      <c r="AG800" s="2">
        <v>18.144840787671725</v>
      </c>
      <c r="AH800" s="2">
        <v>14.936557164538693</v>
      </c>
      <c r="AI800" s="2">
        <v>11.369531589444914</v>
      </c>
      <c r="AJ800" s="2">
        <v>2.9321057735993987</v>
      </c>
      <c r="AK800" s="2">
        <v>0</v>
      </c>
      <c r="AL800" s="2">
        <v>0</v>
      </c>
      <c r="AM800" s="2">
        <v>0</v>
      </c>
      <c r="AN800" s="2">
        <v>0</v>
      </c>
      <c r="AO800" s="2">
        <v>0</v>
      </c>
      <c r="AP800" s="2">
        <v>0</v>
      </c>
      <c r="AQ800" s="2">
        <v>0</v>
      </c>
      <c r="AR800" s="2">
        <v>210.72706593927796</v>
      </c>
    </row>
    <row r="801" spans="1:44" x14ac:dyDescent="0.25">
      <c r="A801" t="s">
        <v>250</v>
      </c>
      <c r="B801" t="s">
        <v>343</v>
      </c>
      <c r="C801" t="s">
        <v>44</v>
      </c>
      <c r="D801" t="s">
        <v>163</v>
      </c>
      <c r="E801" t="s">
        <v>134</v>
      </c>
      <c r="F801" t="s">
        <v>163</v>
      </c>
      <c r="G801" t="s">
        <v>31</v>
      </c>
      <c r="H801" t="s">
        <v>277</v>
      </c>
      <c r="I801" t="s">
        <v>135</v>
      </c>
      <c r="J801" t="s">
        <v>39</v>
      </c>
      <c r="K801" t="s">
        <v>31</v>
      </c>
      <c r="L801">
        <v>47.918798887095448</v>
      </c>
      <c r="M801">
        <v>1</v>
      </c>
      <c r="N801">
        <v>1.7886448088486833</v>
      </c>
      <c r="O801">
        <v>6.0587378786000636</v>
      </c>
      <c r="P801">
        <v>-0.92006591684998851</v>
      </c>
      <c r="Q801">
        <v>1.8347649468629108</v>
      </c>
      <c r="R801">
        <v>-2.2131763370737381</v>
      </c>
      <c r="S801" s="2">
        <v>1.9907980040155553</v>
      </c>
      <c r="T801" s="2">
        <v>3.9606915095634396</v>
      </c>
      <c r="U801" s="2">
        <v>6.9991942653319503</v>
      </c>
      <c r="V801" s="2">
        <v>11.331410888066525</v>
      </c>
      <c r="W801" s="2">
        <v>17.118317408609261</v>
      </c>
      <c r="X801" s="2">
        <v>24.401367674283176</v>
      </c>
      <c r="Y801" s="2">
        <v>33.035892294428777</v>
      </c>
      <c r="Z801" s="2">
        <v>42.624307300582259</v>
      </c>
      <c r="AA801" s="2">
        <v>52.47008860407815</v>
      </c>
      <c r="AB801" s="2">
        <v>61.582650231400734</v>
      </c>
      <c r="AC801" s="2">
        <v>68.765618470774299</v>
      </c>
      <c r="AD801" s="2">
        <v>72.808385665050892</v>
      </c>
      <c r="AE801" s="2">
        <v>72.76726075802614</v>
      </c>
      <c r="AF801" s="2">
        <v>68.271644852972216</v>
      </c>
      <c r="AG801" s="2">
        <v>59.742722288885254</v>
      </c>
      <c r="AH801" s="2">
        <v>49.173372208097291</v>
      </c>
      <c r="AI801" s="2">
        <v>37.425680034504467</v>
      </c>
      <c r="AJ801" s="2">
        <v>8.5231595698655767</v>
      </c>
      <c r="AK801" s="2">
        <v>0</v>
      </c>
      <c r="AL801" s="2">
        <v>0</v>
      </c>
      <c r="AM801" s="2">
        <v>0</v>
      </c>
      <c r="AN801" s="2">
        <v>0</v>
      </c>
      <c r="AO801" s="2">
        <v>0</v>
      </c>
      <c r="AP801" s="2">
        <v>0</v>
      </c>
      <c r="AQ801" s="2">
        <v>0</v>
      </c>
      <c r="AR801" s="2">
        <v>692.99256202853599</v>
      </c>
    </row>
    <row r="802" spans="1:44" x14ac:dyDescent="0.25">
      <c r="A802" t="s">
        <v>250</v>
      </c>
      <c r="B802" t="s">
        <v>343</v>
      </c>
      <c r="C802" t="s">
        <v>44</v>
      </c>
      <c r="D802" t="s">
        <v>163</v>
      </c>
      <c r="E802" t="s">
        <v>134</v>
      </c>
      <c r="F802" t="s">
        <v>163</v>
      </c>
      <c r="G802" t="s">
        <v>31</v>
      </c>
      <c r="H802" t="s">
        <v>277</v>
      </c>
      <c r="I802" t="s">
        <v>135</v>
      </c>
      <c r="J802" t="s">
        <v>40</v>
      </c>
      <c r="K802" t="s">
        <v>31</v>
      </c>
      <c r="L802">
        <v>47.918798887095448</v>
      </c>
      <c r="M802">
        <v>1</v>
      </c>
      <c r="N802">
        <v>1.7886448088486833</v>
      </c>
      <c r="O802">
        <v>4.8219496658113297</v>
      </c>
      <c r="P802">
        <v>-0.92006591684998851</v>
      </c>
      <c r="Q802">
        <v>0.4672931329656026</v>
      </c>
      <c r="R802">
        <v>-2.0701763370737374</v>
      </c>
      <c r="S802" s="2">
        <v>0.31403920759685222</v>
      </c>
      <c r="T802" s="2">
        <v>0.62478082692972436</v>
      </c>
      <c r="U802" s="2">
        <v>1.1040906292189068</v>
      </c>
      <c r="V802" s="2">
        <v>1.7874778300284804</v>
      </c>
      <c r="W802" s="2">
        <v>2.7003356561276961</v>
      </c>
      <c r="X802" s="2">
        <v>3.8492032608304032</v>
      </c>
      <c r="Y802" s="2">
        <v>5.2112597146828907</v>
      </c>
      <c r="Z802" s="2">
        <v>6.723787979513661</v>
      </c>
      <c r="AA802" s="2">
        <v>8.2769145912970181</v>
      </c>
      <c r="AB802" s="2">
        <v>9.7143791792912033</v>
      </c>
      <c r="AC802" s="2">
        <v>10.847459305721046</v>
      </c>
      <c r="AD802" s="2">
        <v>11.485187193547103</v>
      </c>
      <c r="AE802" s="2">
        <v>11.478699929048901</v>
      </c>
      <c r="AF802" s="2">
        <v>10.769537244720677</v>
      </c>
      <c r="AG802" s="2">
        <v>9.4241390283882041</v>
      </c>
      <c r="AH802" s="2">
        <v>7.7568727776237472</v>
      </c>
      <c r="AI802" s="2">
        <v>5.9037284938513936</v>
      </c>
      <c r="AJ802" s="2">
        <v>1.3444891305613769</v>
      </c>
      <c r="AK802" s="2">
        <v>0</v>
      </c>
      <c r="AL802" s="2">
        <v>0</v>
      </c>
      <c r="AM802" s="2">
        <v>0</v>
      </c>
      <c r="AN802" s="2">
        <v>0</v>
      </c>
      <c r="AO802" s="2">
        <v>0</v>
      </c>
      <c r="AP802" s="2">
        <v>0</v>
      </c>
      <c r="AQ802" s="2">
        <v>0</v>
      </c>
      <c r="AR802" s="2">
        <v>109.31638197897928</v>
      </c>
    </row>
    <row r="803" spans="1:44" x14ac:dyDescent="0.25">
      <c r="A803" t="s">
        <v>250</v>
      </c>
      <c r="B803" t="s">
        <v>383</v>
      </c>
      <c r="C803" t="s">
        <v>45</v>
      </c>
      <c r="D803" t="s">
        <v>189</v>
      </c>
      <c r="E803" t="s">
        <v>134</v>
      </c>
      <c r="F803" t="s">
        <v>189</v>
      </c>
      <c r="G803" t="s">
        <v>31</v>
      </c>
      <c r="H803" t="s">
        <v>254</v>
      </c>
      <c r="I803" t="s">
        <v>135</v>
      </c>
      <c r="J803" t="s">
        <v>39</v>
      </c>
      <c r="K803" t="s">
        <v>31</v>
      </c>
      <c r="L803">
        <v>2.9543406024031427</v>
      </c>
      <c r="M803">
        <v>1</v>
      </c>
      <c r="N803">
        <v>2.1184513426101939</v>
      </c>
      <c r="O803">
        <v>3.1588853240212438</v>
      </c>
      <c r="P803">
        <v>-1.6498768461339095</v>
      </c>
      <c r="Q803">
        <v>-0.22061295249342769</v>
      </c>
      <c r="R803">
        <v>-0.67371772101320548</v>
      </c>
      <c r="S803" s="2">
        <v>1.7307598504951558E-3</v>
      </c>
      <c r="T803" s="2">
        <v>3.4441530069514066E-3</v>
      </c>
      <c r="U803" s="2">
        <v>6.0878125434225393E-3</v>
      </c>
      <c r="V803" s="2">
        <v>9.8582315633370162E-3</v>
      </c>
      <c r="W803" s="2">
        <v>1.4896282720058523E-2</v>
      </c>
      <c r="X803" s="2">
        <v>2.1238938350790264E-2</v>
      </c>
      <c r="Y803" s="2">
        <v>2.8761165492178119E-2</v>
      </c>
      <c r="Z803" s="2">
        <v>3.7117573546903225E-2</v>
      </c>
      <c r="AA803" s="2">
        <v>4.5702067258122342E-2</v>
      </c>
      <c r="AB803" s="2">
        <v>5.3651791298372241E-2</v>
      </c>
      <c r="AC803" s="2">
        <v>5.9923753509050048E-2</v>
      </c>
      <c r="AD803" s="2">
        <v>6.3461577209068906E-2</v>
      </c>
      <c r="AE803" s="2">
        <v>6.3440601251573275E-2</v>
      </c>
      <c r="AF803" s="2">
        <v>5.953514750269398E-2</v>
      </c>
      <c r="AG803" s="2">
        <v>5.2109856811213565E-2</v>
      </c>
      <c r="AH803" s="2">
        <v>4.290092616040863E-2</v>
      </c>
      <c r="AI803" s="2">
        <v>3.2659398356791935E-2</v>
      </c>
      <c r="AJ803" s="2">
        <v>9.3528045337684367E-3</v>
      </c>
      <c r="AK803" s="2">
        <v>0</v>
      </c>
      <c r="AL803" s="2">
        <v>0</v>
      </c>
      <c r="AM803" s="2">
        <v>0</v>
      </c>
      <c r="AN803" s="2">
        <v>0</v>
      </c>
      <c r="AO803" s="2">
        <v>0</v>
      </c>
      <c r="AP803" s="2">
        <v>0</v>
      </c>
      <c r="AQ803" s="2">
        <v>0</v>
      </c>
      <c r="AR803" s="2">
        <v>0.60587284096519967</v>
      </c>
    </row>
    <row r="804" spans="1:44" x14ac:dyDescent="0.25">
      <c r="A804" t="s">
        <v>250</v>
      </c>
      <c r="B804" t="s">
        <v>383</v>
      </c>
      <c r="C804" t="s">
        <v>45</v>
      </c>
      <c r="D804" t="s">
        <v>189</v>
      </c>
      <c r="E804" t="s">
        <v>134</v>
      </c>
      <c r="F804" t="s">
        <v>189</v>
      </c>
      <c r="G804" t="s">
        <v>31</v>
      </c>
      <c r="H804" t="s">
        <v>253</v>
      </c>
      <c r="I804" t="s">
        <v>135</v>
      </c>
      <c r="J804" t="s">
        <v>39</v>
      </c>
      <c r="K804" t="s">
        <v>31</v>
      </c>
      <c r="L804">
        <v>2.9543406024031427</v>
      </c>
      <c r="M804">
        <v>1</v>
      </c>
      <c r="N804">
        <v>2.1184513426101939</v>
      </c>
      <c r="O804">
        <v>3.1588853240212438</v>
      </c>
      <c r="P804">
        <v>-1.6498768461339095</v>
      </c>
      <c r="Q804">
        <v>-0.22061295249342769</v>
      </c>
      <c r="R804">
        <v>-0.67371772101320548</v>
      </c>
      <c r="S804" s="2">
        <v>7.1446773128919176E-3</v>
      </c>
      <c r="T804" s="2">
        <v>1.4223186176162821E-2</v>
      </c>
      <c r="U804" s="2">
        <v>2.5150370107927433E-2</v>
      </c>
      <c r="V804" s="2">
        <v>4.0742790970947594E-2</v>
      </c>
      <c r="W804" s="2">
        <v>6.1588314404587126E-2</v>
      </c>
      <c r="X804" s="2">
        <v>8.7845975006803939E-2</v>
      </c>
      <c r="Y804" s="2">
        <v>0.11900472235752384</v>
      </c>
      <c r="Z804" s="2">
        <v>0.15364058193085064</v>
      </c>
      <c r="AA804" s="2">
        <v>0.18924780982436348</v>
      </c>
      <c r="AB804" s="2">
        <v>0.22225313456647525</v>
      </c>
      <c r="AC804" s="2">
        <v>0.24833122360725146</v>
      </c>
      <c r="AD804" s="2">
        <v>0.26309453815135475</v>
      </c>
      <c r="AE804" s="2">
        <v>0.26310973210071603</v>
      </c>
      <c r="AF804" s="2">
        <v>0.24700839134688207</v>
      </c>
      <c r="AG804" s="2">
        <v>0.21628520097794551</v>
      </c>
      <c r="AH804" s="2">
        <v>0.17813212299981515</v>
      </c>
      <c r="AI804" s="2">
        <v>0.13566018569657098</v>
      </c>
      <c r="AJ804" s="2">
        <v>5.2034412186882595E-2</v>
      </c>
      <c r="AK804" s="2">
        <v>0</v>
      </c>
      <c r="AL804" s="2">
        <v>0</v>
      </c>
      <c r="AM804" s="2">
        <v>0</v>
      </c>
      <c r="AN804" s="2">
        <v>0</v>
      </c>
      <c r="AO804" s="2">
        <v>0</v>
      </c>
      <c r="AP804" s="2">
        <v>0</v>
      </c>
      <c r="AQ804" s="2">
        <v>0</v>
      </c>
      <c r="AR804" s="2">
        <v>2.5244973697259527</v>
      </c>
    </row>
    <row r="805" spans="1:44" x14ac:dyDescent="0.25">
      <c r="A805" t="s">
        <v>250</v>
      </c>
      <c r="B805" t="s">
        <v>383</v>
      </c>
      <c r="C805" t="s">
        <v>45</v>
      </c>
      <c r="D805" t="s">
        <v>189</v>
      </c>
      <c r="E805" t="s">
        <v>134</v>
      </c>
      <c r="F805" t="s">
        <v>189</v>
      </c>
      <c r="G805" t="s">
        <v>31</v>
      </c>
      <c r="H805" t="s">
        <v>253</v>
      </c>
      <c r="I805" t="s">
        <v>135</v>
      </c>
      <c r="J805" t="s">
        <v>40</v>
      </c>
      <c r="K805" t="s">
        <v>31</v>
      </c>
      <c r="L805">
        <v>2.9543406024031427</v>
      </c>
      <c r="M805">
        <v>1</v>
      </c>
      <c r="N805">
        <v>2.1184513426101939</v>
      </c>
      <c r="O805">
        <v>1.9798085216903567</v>
      </c>
      <c r="P805">
        <v>-1.6498768461339095</v>
      </c>
      <c r="Q805">
        <v>0.4672931329656026</v>
      </c>
      <c r="R805">
        <v>-0.53071772101320525</v>
      </c>
      <c r="S805" s="2">
        <v>3.7582487611490197E-3</v>
      </c>
      <c r="T805" s="2">
        <v>7.4816915425560829E-3</v>
      </c>
      <c r="U805" s="2">
        <v>1.3229617400635081E-2</v>
      </c>
      <c r="V805" s="2">
        <v>2.1431554846574163E-2</v>
      </c>
      <c r="W805" s="2">
        <v>3.2396733424844788E-2</v>
      </c>
      <c r="X805" s="2">
        <v>4.6208808639338884E-2</v>
      </c>
      <c r="Y805" s="2">
        <v>6.2598957347454506E-2</v>
      </c>
      <c r="Z805" s="2">
        <v>8.0818139352764468E-2</v>
      </c>
      <c r="AA805" s="2">
        <v>9.9548281283356341E-2</v>
      </c>
      <c r="AB805" s="2">
        <v>0.11690976807850381</v>
      </c>
      <c r="AC805" s="2">
        <v>0.13062738491947504</v>
      </c>
      <c r="AD805" s="2">
        <v>0.13839319520956514</v>
      </c>
      <c r="AE805" s="2">
        <v>0.13840118754271938</v>
      </c>
      <c r="AF805" s="2">
        <v>0.12993154765685005</v>
      </c>
      <c r="AG805" s="2">
        <v>0.11377051097374415</v>
      </c>
      <c r="AH805" s="2">
        <v>9.3701198985839729E-2</v>
      </c>
      <c r="AI805" s="2">
        <v>7.1360077229998278E-2</v>
      </c>
      <c r="AJ805" s="2">
        <v>2.7371182290571568E-2</v>
      </c>
      <c r="AK805" s="2">
        <v>0</v>
      </c>
      <c r="AL805" s="2">
        <v>0</v>
      </c>
      <c r="AM805" s="2">
        <v>0</v>
      </c>
      <c r="AN805" s="2">
        <v>0</v>
      </c>
      <c r="AO805" s="2">
        <v>0</v>
      </c>
      <c r="AP805" s="2">
        <v>0</v>
      </c>
      <c r="AQ805" s="2">
        <v>0</v>
      </c>
      <c r="AR805" s="2">
        <v>1.3279380854859408</v>
      </c>
    </row>
    <row r="806" spans="1:44" x14ac:dyDescent="0.25">
      <c r="A806" t="s">
        <v>250</v>
      </c>
      <c r="B806" t="s">
        <v>383</v>
      </c>
      <c r="C806" t="s">
        <v>45</v>
      </c>
      <c r="D806" t="s">
        <v>189</v>
      </c>
      <c r="E806" t="s">
        <v>134</v>
      </c>
      <c r="F806" t="s">
        <v>189</v>
      </c>
      <c r="G806" t="s">
        <v>31</v>
      </c>
      <c r="H806" t="s">
        <v>253</v>
      </c>
      <c r="I806" t="s">
        <v>256</v>
      </c>
      <c r="J806" t="s">
        <v>39</v>
      </c>
      <c r="K806" t="s">
        <v>31</v>
      </c>
      <c r="L806">
        <v>2.9543406024031427</v>
      </c>
      <c r="M806">
        <v>1</v>
      </c>
      <c r="N806">
        <v>1.9755634848316397</v>
      </c>
      <c r="O806">
        <v>2.6528390061948972</v>
      </c>
      <c r="P806">
        <v>-1.3757745673941897</v>
      </c>
      <c r="Q806">
        <v>0.4672931329656026</v>
      </c>
      <c r="R806">
        <v>-0.39961544227348567</v>
      </c>
      <c r="S806" s="2">
        <v>3.7478184478973412E-3</v>
      </c>
      <c r="T806" s="2">
        <v>7.4609275135093635E-3</v>
      </c>
      <c r="U806" s="2">
        <v>1.319290108341975E-2</v>
      </c>
      <c r="V806" s="2">
        <v>2.1372075593143389E-2</v>
      </c>
      <c r="W806" s="2">
        <v>3.2306822378656105E-2</v>
      </c>
      <c r="X806" s="2">
        <v>4.6080564773717872E-2</v>
      </c>
      <c r="Y806" s="2">
        <v>6.2425225703846433E-2</v>
      </c>
      <c r="Z806" s="2">
        <v>8.059384379293319E-2</v>
      </c>
      <c r="AA806" s="2">
        <v>9.9272003734039937E-2</v>
      </c>
      <c r="AB806" s="2">
        <v>0.11658530698485679</v>
      </c>
      <c r="AC806" s="2">
        <v>0.1302648531578624</v>
      </c>
      <c r="AD806" s="2">
        <v>0.13800911090070869</v>
      </c>
      <c r="AE806" s="2">
        <v>0.13801708105264401</v>
      </c>
      <c r="AF806" s="2">
        <v>0.12957094706081018</v>
      </c>
      <c r="AG806" s="2">
        <v>0.11345476229831664</v>
      </c>
      <c r="AH806" s="2">
        <v>9.3441148914757785E-2</v>
      </c>
      <c r="AI806" s="2">
        <v>7.1162030744393798E-2</v>
      </c>
      <c r="AJ806" s="2">
        <v>2.7295218717240544E-2</v>
      </c>
      <c r="AK806" s="2">
        <v>0</v>
      </c>
      <c r="AL806" s="2">
        <v>0</v>
      </c>
      <c r="AM806" s="2">
        <v>0</v>
      </c>
      <c r="AN806" s="2">
        <v>0</v>
      </c>
      <c r="AO806" s="2">
        <v>0</v>
      </c>
      <c r="AP806" s="2">
        <v>0</v>
      </c>
      <c r="AQ806" s="2">
        <v>0</v>
      </c>
      <c r="AR806" s="2">
        <v>1.3242526428527541</v>
      </c>
    </row>
    <row r="807" spans="1:44" x14ac:dyDescent="0.25">
      <c r="A807" t="s">
        <v>250</v>
      </c>
      <c r="B807" t="s">
        <v>383</v>
      </c>
      <c r="C807" t="s">
        <v>45</v>
      </c>
      <c r="D807" t="s">
        <v>189</v>
      </c>
      <c r="E807" t="s">
        <v>134</v>
      </c>
      <c r="F807" t="s">
        <v>189</v>
      </c>
      <c r="G807" t="s">
        <v>31</v>
      </c>
      <c r="H807" t="s">
        <v>288</v>
      </c>
      <c r="I807" t="s">
        <v>135</v>
      </c>
      <c r="J807" t="s">
        <v>39</v>
      </c>
      <c r="K807" t="s">
        <v>31</v>
      </c>
      <c r="L807">
        <v>2.9543406024031427</v>
      </c>
      <c r="M807">
        <v>1</v>
      </c>
      <c r="N807">
        <v>2.1184513426101939</v>
      </c>
      <c r="O807">
        <v>3.1588853240212438</v>
      </c>
      <c r="P807">
        <v>-1.6498768461339095</v>
      </c>
      <c r="Q807">
        <v>-0.22061295249342769</v>
      </c>
      <c r="R807">
        <v>-0.67371772101320548</v>
      </c>
      <c r="S807" s="2">
        <v>6.7907039430885269E-3</v>
      </c>
      <c r="T807" s="2">
        <v>1.3533449251801933E-2</v>
      </c>
      <c r="U807" s="2">
        <v>2.3957164244120095E-2</v>
      </c>
      <c r="V807" s="2">
        <v>3.8852702406437345E-2</v>
      </c>
      <c r="W807" s="2">
        <v>5.8796056680643437E-2</v>
      </c>
      <c r="X807" s="2">
        <v>8.3955891021021786E-2</v>
      </c>
      <c r="Y807" s="2">
        <v>0.11386045869823865</v>
      </c>
      <c r="Z807" s="2">
        <v>0.14716146513436226</v>
      </c>
      <c r="AA807" s="2">
        <v>0.18146732927476888</v>
      </c>
      <c r="AB807" s="2">
        <v>0.21335110977483415</v>
      </c>
      <c r="AC807" s="2">
        <v>0.23864798172384985</v>
      </c>
      <c r="AD807" s="2">
        <v>0.25311489080181582</v>
      </c>
      <c r="AE807" s="2">
        <v>0.25340909719067678</v>
      </c>
      <c r="AF807" s="2">
        <v>0.23816416824315195</v>
      </c>
      <c r="AG807" s="2">
        <v>0.20877137213551011</v>
      </c>
      <c r="AH807" s="2">
        <v>0.17213366314770526</v>
      </c>
      <c r="AI807" s="2">
        <v>0.13123672988572985</v>
      </c>
      <c r="AJ807" s="2">
        <v>8.6640426765263331E-2</v>
      </c>
      <c r="AK807" s="2">
        <v>0</v>
      </c>
      <c r="AL807" s="2">
        <v>0</v>
      </c>
      <c r="AM807" s="2">
        <v>0</v>
      </c>
      <c r="AN807" s="2">
        <v>0</v>
      </c>
      <c r="AO807" s="2">
        <v>0</v>
      </c>
      <c r="AP807" s="2">
        <v>0</v>
      </c>
      <c r="AQ807" s="2">
        <v>0</v>
      </c>
      <c r="AR807" s="2">
        <v>2.4638446603230202</v>
      </c>
    </row>
    <row r="808" spans="1:44" x14ac:dyDescent="0.25">
      <c r="A808" t="s">
        <v>250</v>
      </c>
      <c r="B808" t="s">
        <v>383</v>
      </c>
      <c r="C808" t="s">
        <v>45</v>
      </c>
      <c r="D808" t="s">
        <v>189</v>
      </c>
      <c r="E808" t="s">
        <v>134</v>
      </c>
      <c r="F808" t="s">
        <v>189</v>
      </c>
      <c r="G808" t="s">
        <v>31</v>
      </c>
      <c r="H808" t="s">
        <v>288</v>
      </c>
      <c r="I808" t="s">
        <v>135</v>
      </c>
      <c r="J808" t="s">
        <v>39</v>
      </c>
      <c r="K808" t="s">
        <v>33</v>
      </c>
      <c r="L808">
        <v>2.9543406024031427</v>
      </c>
      <c r="M808">
        <v>1</v>
      </c>
      <c r="N808">
        <v>2.1184513426101939</v>
      </c>
      <c r="O808">
        <v>3.1588853240212438</v>
      </c>
      <c r="P808">
        <v>-1.6498768461339095</v>
      </c>
      <c r="Q808">
        <v>-0.22061295249342769</v>
      </c>
      <c r="R808">
        <v>-0.67371772101320548</v>
      </c>
      <c r="S808" s="2">
        <v>6.388092189127994E-5</v>
      </c>
      <c r="T808" s="2">
        <v>1.273106914716647E-4</v>
      </c>
      <c r="U808" s="2">
        <v>2.2536776019705933E-4</v>
      </c>
      <c r="V808" s="2">
        <v>3.6549177647729057E-4</v>
      </c>
      <c r="W808" s="2">
        <v>5.5310117122013471E-4</v>
      </c>
      <c r="X808" s="2">
        <v>7.8978258536587605E-4</v>
      </c>
      <c r="Y808" s="2">
        <v>1.0710982439472059E-3</v>
      </c>
      <c r="Z808" s="2">
        <v>1.3843645870061101E-3</v>
      </c>
      <c r="AA808" s="2">
        <v>1.70708374041533E-3</v>
      </c>
      <c r="AB808" s="2">
        <v>2.0070180784152025E-3</v>
      </c>
      <c r="AC808" s="2">
        <v>2.2449886208820852E-3</v>
      </c>
      <c r="AD808" s="2">
        <v>2.3810804747698396E-3</v>
      </c>
      <c r="AE808" s="2">
        <v>2.3838481076256151E-3</v>
      </c>
      <c r="AF808" s="2">
        <v>2.2404373326166227E-3</v>
      </c>
      <c r="AG808" s="2">
        <v>1.9639359672125821E-3</v>
      </c>
      <c r="AH808" s="2">
        <v>1.6192808849500898E-3</v>
      </c>
      <c r="AI808" s="2">
        <v>1.2345587970493007E-3</v>
      </c>
      <c r="AJ808" s="2">
        <v>8.1503631747222016E-4</v>
      </c>
      <c r="AK808" s="2">
        <v>0</v>
      </c>
      <c r="AL808" s="2">
        <v>0</v>
      </c>
      <c r="AM808" s="2">
        <v>0</v>
      </c>
      <c r="AN808" s="2">
        <v>0</v>
      </c>
      <c r="AO808" s="2">
        <v>0</v>
      </c>
      <c r="AP808" s="2">
        <v>0</v>
      </c>
      <c r="AQ808" s="2">
        <v>0</v>
      </c>
      <c r="AR808" s="2">
        <v>2.3177666058985514E-2</v>
      </c>
    </row>
    <row r="809" spans="1:44" x14ac:dyDescent="0.25">
      <c r="A809" t="s">
        <v>250</v>
      </c>
      <c r="B809" t="s">
        <v>383</v>
      </c>
      <c r="C809" t="s">
        <v>45</v>
      </c>
      <c r="D809" t="s">
        <v>189</v>
      </c>
      <c r="E809" t="s">
        <v>134</v>
      </c>
      <c r="F809" t="s">
        <v>189</v>
      </c>
      <c r="G809" t="s">
        <v>31</v>
      </c>
      <c r="H809" t="s">
        <v>252</v>
      </c>
      <c r="I809" t="s">
        <v>135</v>
      </c>
      <c r="J809" t="s">
        <v>39</v>
      </c>
      <c r="K809" t="s">
        <v>31</v>
      </c>
      <c r="L809">
        <v>2.9543406024031427</v>
      </c>
      <c r="M809">
        <v>1</v>
      </c>
      <c r="N809">
        <v>2.1184513426101939</v>
      </c>
      <c r="O809">
        <v>3.1588853240212438</v>
      </c>
      <c r="P809">
        <v>-1.6498768461339095</v>
      </c>
      <c r="Q809">
        <v>-0.22061295249342769</v>
      </c>
      <c r="R809">
        <v>-0.67371772101320548</v>
      </c>
      <c r="S809" s="2">
        <v>8.0091150137599473E-2</v>
      </c>
      <c r="T809" s="2">
        <v>0.15950459705841968</v>
      </c>
      <c r="U809" s="2">
        <v>0.28215976689030664</v>
      </c>
      <c r="V809" s="2">
        <v>0.45727333932066727</v>
      </c>
      <c r="W809" s="2">
        <v>0.69150897555464708</v>
      </c>
      <c r="X809" s="2">
        <v>0.98672417514872557</v>
      </c>
      <c r="Y809" s="2">
        <v>1.3372496554575446</v>
      </c>
      <c r="Z809" s="2">
        <v>1.7271443673860376</v>
      </c>
      <c r="AA809" s="2">
        <v>2.1282760468546673</v>
      </c>
      <c r="AB809" s="2">
        <v>2.5004569850734502</v>
      </c>
      <c r="AC809" s="2">
        <v>2.7949704423556496</v>
      </c>
      <c r="AD809" s="2">
        <v>2.9623210263303328</v>
      </c>
      <c r="AE809" s="2">
        <v>2.9636819783995292</v>
      </c>
      <c r="AF809" s="2">
        <v>2.7834331301235751</v>
      </c>
      <c r="AG809" s="2">
        <v>2.4382053913266661</v>
      </c>
      <c r="AH809" s="2">
        <v>2.0089083534366607</v>
      </c>
      <c r="AI809" s="2">
        <v>1.5305400060515462</v>
      </c>
      <c r="AJ809" s="2">
        <v>0.74098113245473518</v>
      </c>
      <c r="AK809" s="2">
        <v>0</v>
      </c>
      <c r="AL809" s="2">
        <v>0</v>
      </c>
      <c r="AM809" s="2">
        <v>0</v>
      </c>
      <c r="AN809" s="2">
        <v>0</v>
      </c>
      <c r="AO809" s="2">
        <v>0</v>
      </c>
      <c r="AP809" s="2">
        <v>0</v>
      </c>
      <c r="AQ809" s="2">
        <v>0</v>
      </c>
      <c r="AR809" s="2">
        <v>28.573430519360763</v>
      </c>
    </row>
    <row r="810" spans="1:44" x14ac:dyDescent="0.25">
      <c r="A810" t="s">
        <v>250</v>
      </c>
      <c r="B810" t="s">
        <v>383</v>
      </c>
      <c r="C810" t="s">
        <v>45</v>
      </c>
      <c r="D810" t="s">
        <v>189</v>
      </c>
      <c r="E810" t="s">
        <v>134</v>
      </c>
      <c r="F810" t="s">
        <v>189</v>
      </c>
      <c r="G810" t="s">
        <v>31</v>
      </c>
      <c r="H810" t="s">
        <v>289</v>
      </c>
      <c r="I810" t="s">
        <v>135</v>
      </c>
      <c r="J810" t="s">
        <v>39</v>
      </c>
      <c r="K810" t="s">
        <v>31</v>
      </c>
      <c r="L810">
        <v>2.9543406024031427</v>
      </c>
      <c r="M810">
        <v>1</v>
      </c>
      <c r="N810">
        <v>2.1184513426101939</v>
      </c>
      <c r="O810">
        <v>3.1588853240212438</v>
      </c>
      <c r="P810">
        <v>-1.6498768461339095</v>
      </c>
      <c r="Q810">
        <v>-0.22061295249342769</v>
      </c>
      <c r="R810">
        <v>-0.67371772101320548</v>
      </c>
      <c r="S810" s="2">
        <v>6.4542697332055105E-3</v>
      </c>
      <c r="T810" s="2">
        <v>1.2862956863357292E-2</v>
      </c>
      <c r="U810" s="2">
        <v>2.2770246114415509E-2</v>
      </c>
      <c r="V810" s="2">
        <v>3.6927809443133647E-2</v>
      </c>
      <c r="W810" s="2">
        <v>5.5883103172528543E-2</v>
      </c>
      <c r="X810" s="2">
        <v>7.9796435079870068E-2</v>
      </c>
      <c r="Y810" s="2">
        <v>0.10821943034829154</v>
      </c>
      <c r="Z810" s="2">
        <v>0.13987059342759364</v>
      </c>
      <c r="AA810" s="2">
        <v>0.17247683019605767</v>
      </c>
      <c r="AB810" s="2">
        <v>0.20278098145731027</v>
      </c>
      <c r="AC810" s="2">
        <v>0.22682456167132969</v>
      </c>
      <c r="AD810" s="2">
        <v>0.24057473163566548</v>
      </c>
      <c r="AE810" s="2">
        <v>0.24085436205496435</v>
      </c>
      <c r="AF810" s="2">
        <v>0.22636471793036331</v>
      </c>
      <c r="AG810" s="2">
        <v>0.19842813935445355</v>
      </c>
      <c r="AH810" s="2">
        <v>0.16360558513978252</v>
      </c>
      <c r="AI810" s="2">
        <v>0.12473482288216003</v>
      </c>
      <c r="AJ810" s="2">
        <v>8.2347969935016307E-2</v>
      </c>
      <c r="AK810" s="2">
        <v>0</v>
      </c>
      <c r="AL810" s="2">
        <v>0</v>
      </c>
      <c r="AM810" s="2">
        <v>0</v>
      </c>
      <c r="AN810" s="2">
        <v>0</v>
      </c>
      <c r="AO810" s="2">
        <v>0</v>
      </c>
      <c r="AP810" s="2">
        <v>0</v>
      </c>
      <c r="AQ810" s="2">
        <v>0</v>
      </c>
      <c r="AR810" s="2">
        <v>2.341777546439499</v>
      </c>
    </row>
    <row r="811" spans="1:44" x14ac:dyDescent="0.25">
      <c r="A811" t="s">
        <v>250</v>
      </c>
      <c r="B811" t="s">
        <v>383</v>
      </c>
      <c r="C811" t="s">
        <v>45</v>
      </c>
      <c r="D811" t="s">
        <v>189</v>
      </c>
      <c r="E811" t="s">
        <v>134</v>
      </c>
      <c r="F811" t="s">
        <v>189</v>
      </c>
      <c r="G811" t="s">
        <v>31</v>
      </c>
      <c r="H811" t="s">
        <v>255</v>
      </c>
      <c r="I811" t="s">
        <v>135</v>
      </c>
      <c r="J811" t="s">
        <v>39</v>
      </c>
      <c r="K811" t="s">
        <v>31</v>
      </c>
      <c r="L811">
        <v>2.9543406024031427</v>
      </c>
      <c r="M811">
        <v>1</v>
      </c>
      <c r="N811">
        <v>2.1184513426101939</v>
      </c>
      <c r="O811">
        <v>3.1588853240212438</v>
      </c>
      <c r="P811">
        <v>-1.6498768461339095</v>
      </c>
      <c r="Q811">
        <v>-0.22061295249342769</v>
      </c>
      <c r="R811">
        <v>-0.67371772101320548</v>
      </c>
      <c r="S811" s="2">
        <v>3.8117552992125286E-4</v>
      </c>
      <c r="T811" s="2">
        <v>7.5508737834718072E-4</v>
      </c>
      <c r="U811" s="2">
        <v>1.3286256073966416E-3</v>
      </c>
      <c r="V811" s="2">
        <v>2.1417409285376171E-3</v>
      </c>
      <c r="W811" s="2">
        <v>3.2216058153935806E-3</v>
      </c>
      <c r="X811" s="2">
        <v>4.5725016616334022E-3</v>
      </c>
      <c r="Y811" s="2">
        <v>6.1638792464961166E-3</v>
      </c>
      <c r="Z811" s="2">
        <v>7.91869821586824E-3</v>
      </c>
      <c r="AA811" s="2">
        <v>9.7059183367194483E-3</v>
      </c>
      <c r="AB811" s="2">
        <v>1.1342573123590962E-2</v>
      </c>
      <c r="AC811" s="2">
        <v>1.2611099247376675E-2</v>
      </c>
      <c r="AD811" s="2">
        <v>1.3295092688413347E-2</v>
      </c>
      <c r="AE811" s="2">
        <v>1.3230442562209043E-2</v>
      </c>
      <c r="AF811" s="2">
        <v>1.2359676073079171E-2</v>
      </c>
      <c r="AG811" s="2">
        <v>1.0769117313715717E-2</v>
      </c>
      <c r="AH811" s="2">
        <v>8.8257875591740542E-3</v>
      </c>
      <c r="AI811" s="2">
        <v>1.0255307468132453E-3</v>
      </c>
      <c r="AJ811" s="2">
        <v>0</v>
      </c>
      <c r="AK811" s="2">
        <v>0</v>
      </c>
      <c r="AL811" s="2">
        <v>0</v>
      </c>
      <c r="AM811" s="2">
        <v>0</v>
      </c>
      <c r="AN811" s="2">
        <v>0</v>
      </c>
      <c r="AO811" s="2">
        <v>0</v>
      </c>
      <c r="AP811" s="2">
        <v>0</v>
      </c>
      <c r="AQ811" s="2">
        <v>0</v>
      </c>
      <c r="AR811" s="2">
        <v>0.11964855203468568</v>
      </c>
    </row>
    <row r="812" spans="1:44" x14ac:dyDescent="0.25">
      <c r="A812" t="s">
        <v>250</v>
      </c>
      <c r="B812" t="s">
        <v>383</v>
      </c>
      <c r="C812" t="s">
        <v>45</v>
      </c>
      <c r="D812" t="s">
        <v>189</v>
      </c>
      <c r="E812" t="s">
        <v>134</v>
      </c>
      <c r="F812" t="s">
        <v>189</v>
      </c>
      <c r="G812" t="s">
        <v>31</v>
      </c>
      <c r="H812" t="s">
        <v>276</v>
      </c>
      <c r="I812" t="s">
        <v>135</v>
      </c>
      <c r="J812" t="s">
        <v>39</v>
      </c>
      <c r="K812" t="s">
        <v>31</v>
      </c>
      <c r="L812">
        <v>2.9543406024031427</v>
      </c>
      <c r="M812">
        <v>1</v>
      </c>
      <c r="N812">
        <v>2.1184513426101939</v>
      </c>
      <c r="O812">
        <v>3.1588853240212438</v>
      </c>
      <c r="P812">
        <v>-1.6498768461339095</v>
      </c>
      <c r="Q812">
        <v>-0.22061295249342769</v>
      </c>
      <c r="R812">
        <v>-0.67371772101320548</v>
      </c>
      <c r="S812" s="2">
        <v>4.8293527445310621E-3</v>
      </c>
      <c r="T812" s="2">
        <v>9.6332868952492181E-3</v>
      </c>
      <c r="U812" s="2">
        <v>1.7068418011765545E-2</v>
      </c>
      <c r="V812" s="2">
        <v>2.7705816658817283E-2</v>
      </c>
      <c r="W812" s="2">
        <v>4.1965247477616804E-2</v>
      </c>
      <c r="X812" s="2">
        <v>5.9976984701013238E-2</v>
      </c>
      <c r="Y812" s="2">
        <v>8.1413841320246011E-2</v>
      </c>
      <c r="Z812" s="2">
        <v>0.1053201052950582</v>
      </c>
      <c r="AA812" s="2">
        <v>0.12998926661861968</v>
      </c>
      <c r="AB812" s="2">
        <v>0.15296631921057441</v>
      </c>
      <c r="AC812" s="2">
        <v>0.1712578708555465</v>
      </c>
      <c r="AD812" s="2">
        <v>0.18180353960781456</v>
      </c>
      <c r="AE812" s="2">
        <v>0.18217916401864964</v>
      </c>
      <c r="AF812" s="2">
        <v>0.17137394334666456</v>
      </c>
      <c r="AG812" s="2">
        <v>0.15035960544395713</v>
      </c>
      <c r="AH812" s="2">
        <v>0.12408460631251235</v>
      </c>
      <c r="AI812" s="2">
        <v>9.468896307707815E-2</v>
      </c>
      <c r="AJ812" s="2">
        <v>6.5416234330118964E-2</v>
      </c>
      <c r="AK812" s="2">
        <v>1.8541120843836346E-2</v>
      </c>
      <c r="AL812" s="2">
        <v>0</v>
      </c>
      <c r="AM812" s="2">
        <v>0</v>
      </c>
      <c r="AN812" s="2">
        <v>0</v>
      </c>
      <c r="AO812" s="2">
        <v>0</v>
      </c>
      <c r="AP812" s="2">
        <v>0</v>
      </c>
      <c r="AQ812" s="2">
        <v>0</v>
      </c>
      <c r="AR812" s="2">
        <v>1.7905736867696698</v>
      </c>
    </row>
    <row r="813" spans="1:44" x14ac:dyDescent="0.25">
      <c r="A813" t="s">
        <v>250</v>
      </c>
      <c r="B813" t="s">
        <v>383</v>
      </c>
      <c r="C813" t="s">
        <v>45</v>
      </c>
      <c r="D813" t="s">
        <v>189</v>
      </c>
      <c r="E813" t="s">
        <v>134</v>
      </c>
      <c r="F813" t="s">
        <v>189</v>
      </c>
      <c r="G813" t="s">
        <v>31</v>
      </c>
      <c r="H813" t="s">
        <v>290</v>
      </c>
      <c r="I813" t="s">
        <v>135</v>
      </c>
      <c r="J813" t="s">
        <v>39</v>
      </c>
      <c r="K813" t="s">
        <v>31</v>
      </c>
      <c r="L813">
        <v>2.9543406024031427</v>
      </c>
      <c r="M813">
        <v>1</v>
      </c>
      <c r="N813">
        <v>2.1184513426101939</v>
      </c>
      <c r="O813">
        <v>3.1588853240212438</v>
      </c>
      <c r="P813">
        <v>-1.6498768461339095</v>
      </c>
      <c r="Q813">
        <v>-0.22061295249342769</v>
      </c>
      <c r="R813">
        <v>-0.67371772101320548</v>
      </c>
      <c r="S813" s="2">
        <v>9.3462221720180903E-3</v>
      </c>
      <c r="T813" s="2">
        <v>1.8626437630197237E-2</v>
      </c>
      <c r="U813" s="2">
        <v>3.2972867248168773E-2</v>
      </c>
      <c r="V813" s="2">
        <v>5.347398321545873E-2</v>
      </c>
      <c r="W813" s="2">
        <v>8.0922539574878077E-2</v>
      </c>
      <c r="X813" s="2">
        <v>0.1155506729064273</v>
      </c>
      <c r="Y813" s="2">
        <v>0.15670910593661189</v>
      </c>
      <c r="Z813" s="2">
        <v>0.20254214582647331</v>
      </c>
      <c r="AA813" s="2">
        <v>0.24975819746801797</v>
      </c>
      <c r="AB813" s="2">
        <v>0.29364067250078102</v>
      </c>
      <c r="AC813" s="2">
        <v>0.32845741425157221</v>
      </c>
      <c r="AD813" s="2">
        <v>0.34836859687979904</v>
      </c>
      <c r="AE813" s="2">
        <v>0.34877352077248608</v>
      </c>
      <c r="AF813" s="2">
        <v>0.32779152919483628</v>
      </c>
      <c r="AG813" s="2">
        <v>0.2873374606651008</v>
      </c>
      <c r="AH813" s="2">
        <v>0.23691203040874528</v>
      </c>
      <c r="AI813" s="2">
        <v>0.18062451918398517</v>
      </c>
      <c r="AJ813" s="2">
        <v>0.11924546916093648</v>
      </c>
      <c r="AK813" s="2">
        <v>0</v>
      </c>
      <c r="AL813" s="2">
        <v>0</v>
      </c>
      <c r="AM813" s="2">
        <v>0</v>
      </c>
      <c r="AN813" s="2">
        <v>0</v>
      </c>
      <c r="AO813" s="2">
        <v>0</v>
      </c>
      <c r="AP813" s="2">
        <v>0</v>
      </c>
      <c r="AQ813" s="2">
        <v>0</v>
      </c>
      <c r="AR813" s="2">
        <v>3.3910533849964941</v>
      </c>
    </row>
    <row r="814" spans="1:44" x14ac:dyDescent="0.25">
      <c r="A814" t="s">
        <v>250</v>
      </c>
      <c r="B814" t="s">
        <v>268</v>
      </c>
      <c r="C814" t="s">
        <v>43</v>
      </c>
      <c r="D814" t="s">
        <v>269</v>
      </c>
      <c r="E814" t="s">
        <v>134</v>
      </c>
      <c r="F814" t="s">
        <v>269</v>
      </c>
      <c r="G814" t="s">
        <v>31</v>
      </c>
      <c r="H814" t="s">
        <v>254</v>
      </c>
      <c r="I814" t="s">
        <v>135</v>
      </c>
      <c r="J814" t="s">
        <v>39</v>
      </c>
      <c r="K814" t="s">
        <v>31</v>
      </c>
      <c r="L814">
        <v>351.82</v>
      </c>
      <c r="M814">
        <v>1</v>
      </c>
      <c r="N814">
        <v>2.8100909379967898</v>
      </c>
      <c r="O814">
        <v>3.1014175434194655</v>
      </c>
      <c r="P814">
        <v>-0.58986680859649776</v>
      </c>
      <c r="Q814">
        <v>0.59780871454245266</v>
      </c>
      <c r="R814">
        <v>-0.64602099649979083</v>
      </c>
      <c r="S814" s="2">
        <v>9.2698683344401969E-2</v>
      </c>
      <c r="T814" s="2">
        <v>0.10712576159670072</v>
      </c>
      <c r="U814" s="2">
        <v>0.1216422687221843</v>
      </c>
      <c r="V814" s="2">
        <v>0.14157636512710273</v>
      </c>
      <c r="W814" s="2">
        <v>0.15461464035513656</v>
      </c>
      <c r="X814" s="2">
        <v>0.1572411086312743</v>
      </c>
      <c r="Y814" s="2">
        <v>0.14751603604871019</v>
      </c>
      <c r="Z814" s="2">
        <v>0.12623360734953898</v>
      </c>
      <c r="AA814" s="2">
        <v>9.7246615420912993E-2</v>
      </c>
      <c r="AB814" s="2">
        <v>2.4173831423201179E-2</v>
      </c>
      <c r="AC814" s="2">
        <v>0</v>
      </c>
      <c r="AD814" s="2">
        <v>0</v>
      </c>
      <c r="AE814" s="2">
        <v>0</v>
      </c>
      <c r="AF814" s="2">
        <v>0</v>
      </c>
      <c r="AG814" s="2">
        <v>0</v>
      </c>
      <c r="AH814" s="2">
        <v>0</v>
      </c>
      <c r="AI814" s="2">
        <v>0</v>
      </c>
      <c r="AJ814" s="2">
        <v>0</v>
      </c>
      <c r="AK814" s="2">
        <v>0</v>
      </c>
      <c r="AL814" s="2">
        <v>0</v>
      </c>
      <c r="AM814" s="2">
        <v>0</v>
      </c>
      <c r="AN814" s="2">
        <v>0</v>
      </c>
      <c r="AO814" s="2">
        <v>0</v>
      </c>
      <c r="AP814" s="2">
        <v>0</v>
      </c>
      <c r="AQ814" s="2">
        <v>0</v>
      </c>
      <c r="AR814" s="2">
        <v>1.1700689180191641</v>
      </c>
    </row>
    <row r="815" spans="1:44" x14ac:dyDescent="0.25">
      <c r="A815" t="s">
        <v>250</v>
      </c>
      <c r="B815" t="s">
        <v>268</v>
      </c>
      <c r="C815" t="s">
        <v>43</v>
      </c>
      <c r="D815" t="s">
        <v>269</v>
      </c>
      <c r="E815" t="s">
        <v>134</v>
      </c>
      <c r="F815" t="s">
        <v>269</v>
      </c>
      <c r="G815" t="s">
        <v>31</v>
      </c>
      <c r="H815" t="s">
        <v>253</v>
      </c>
      <c r="I815" t="s">
        <v>135</v>
      </c>
      <c r="J815" t="s">
        <v>39</v>
      </c>
      <c r="K815" t="s">
        <v>31</v>
      </c>
      <c r="L815">
        <v>351.82</v>
      </c>
      <c r="M815">
        <v>1</v>
      </c>
      <c r="N815">
        <v>2.8100909379967898</v>
      </c>
      <c r="O815">
        <v>3.1014175434194655</v>
      </c>
      <c r="P815">
        <v>-0.58986680859649776</v>
      </c>
      <c r="Q815">
        <v>0.59780871454245266</v>
      </c>
      <c r="R815">
        <v>-0.64602099649979083</v>
      </c>
      <c r="S815" s="2">
        <v>0.2439037989009652</v>
      </c>
      <c r="T815" s="2">
        <v>0.28197303108536564</v>
      </c>
      <c r="U815" s="2">
        <v>0.32030728263515357</v>
      </c>
      <c r="V815" s="2">
        <v>0.37294235662547698</v>
      </c>
      <c r="W815" s="2">
        <v>0.40744615024644598</v>
      </c>
      <c r="X815" s="2">
        <v>0.41452845963403406</v>
      </c>
      <c r="Y815" s="2">
        <v>0.38904168763736513</v>
      </c>
      <c r="Z815" s="2">
        <v>0.33304318493528207</v>
      </c>
      <c r="AA815" s="2">
        <v>0.25666621387504213</v>
      </c>
      <c r="AB815" s="2">
        <v>8.7597284168555778E-2</v>
      </c>
      <c r="AC815" s="2">
        <v>0</v>
      </c>
      <c r="AD815" s="2">
        <v>0</v>
      </c>
      <c r="AE815" s="2">
        <v>0</v>
      </c>
      <c r="AF815" s="2">
        <v>0</v>
      </c>
      <c r="AG815" s="2">
        <v>0</v>
      </c>
      <c r="AH815" s="2">
        <v>0</v>
      </c>
      <c r="AI815" s="2">
        <v>0</v>
      </c>
      <c r="AJ815" s="2">
        <v>0</v>
      </c>
      <c r="AK815" s="2">
        <v>0</v>
      </c>
      <c r="AL815" s="2">
        <v>0</v>
      </c>
      <c r="AM815" s="2">
        <v>0</v>
      </c>
      <c r="AN815" s="2">
        <v>0</v>
      </c>
      <c r="AO815" s="2">
        <v>0</v>
      </c>
      <c r="AP815" s="2">
        <v>0</v>
      </c>
      <c r="AQ815" s="2">
        <v>0</v>
      </c>
      <c r="AR815" s="2">
        <v>3.1074494497436866</v>
      </c>
    </row>
    <row r="816" spans="1:44" x14ac:dyDescent="0.25">
      <c r="A816" t="s">
        <v>250</v>
      </c>
      <c r="B816" t="s">
        <v>268</v>
      </c>
      <c r="C816" t="s">
        <v>43</v>
      </c>
      <c r="D816" t="s">
        <v>269</v>
      </c>
      <c r="E816" t="s">
        <v>134</v>
      </c>
      <c r="F816" t="s">
        <v>269</v>
      </c>
      <c r="G816" t="s">
        <v>31</v>
      </c>
      <c r="H816" t="s">
        <v>253</v>
      </c>
      <c r="I816" t="s">
        <v>135</v>
      </c>
      <c r="J816" t="s">
        <v>40</v>
      </c>
      <c r="K816" t="s">
        <v>31</v>
      </c>
      <c r="L816">
        <v>351.82</v>
      </c>
      <c r="M816">
        <v>1</v>
      </c>
      <c r="N816">
        <v>2.8100909379967898</v>
      </c>
      <c r="O816">
        <v>1.9286749611803653</v>
      </c>
      <c r="P816">
        <v>-0.58986680859649776</v>
      </c>
      <c r="Q816">
        <v>0.4672931329656026</v>
      </c>
      <c r="R816">
        <v>-0.50302099649979048</v>
      </c>
      <c r="S816" s="2">
        <v>0.12829846750462456</v>
      </c>
      <c r="T816" s="2">
        <v>0.14832367486238082</v>
      </c>
      <c r="U816" s="2">
        <v>0.16848828791447831</v>
      </c>
      <c r="V816" s="2">
        <v>0.19617543079777972</v>
      </c>
      <c r="W816" s="2">
        <v>0.21432514336729816</v>
      </c>
      <c r="X816" s="2">
        <v>0.21805058530348592</v>
      </c>
      <c r="Y816" s="2">
        <v>0.20464401351761505</v>
      </c>
      <c r="Z816" s="2">
        <v>0.17518763722661665</v>
      </c>
      <c r="AA816" s="2">
        <v>0.13501176303429768</v>
      </c>
      <c r="AB816" s="2">
        <v>4.6077992089644533E-2</v>
      </c>
      <c r="AC816" s="2">
        <v>0</v>
      </c>
      <c r="AD816" s="2">
        <v>0</v>
      </c>
      <c r="AE816" s="2">
        <v>0</v>
      </c>
      <c r="AF816" s="2">
        <v>0</v>
      </c>
      <c r="AG816" s="2">
        <v>0</v>
      </c>
      <c r="AH816" s="2">
        <v>0</v>
      </c>
      <c r="AI816" s="2">
        <v>0</v>
      </c>
      <c r="AJ816" s="2">
        <v>0</v>
      </c>
      <c r="AK816" s="2">
        <v>0</v>
      </c>
      <c r="AL816" s="2">
        <v>0</v>
      </c>
      <c r="AM816" s="2">
        <v>0</v>
      </c>
      <c r="AN816" s="2">
        <v>0</v>
      </c>
      <c r="AO816" s="2">
        <v>0</v>
      </c>
      <c r="AP816" s="2">
        <v>0</v>
      </c>
      <c r="AQ816" s="2">
        <v>0</v>
      </c>
      <c r="AR816" s="2">
        <v>1.6345829956182212</v>
      </c>
    </row>
    <row r="817" spans="1:44" x14ac:dyDescent="0.25">
      <c r="A817" t="s">
        <v>250</v>
      </c>
      <c r="B817" t="s">
        <v>268</v>
      </c>
      <c r="C817" t="s">
        <v>43</v>
      </c>
      <c r="D817" t="s">
        <v>269</v>
      </c>
      <c r="E817" t="s">
        <v>134</v>
      </c>
      <c r="F817" t="s">
        <v>269</v>
      </c>
      <c r="G817" t="s">
        <v>31</v>
      </c>
      <c r="H817" t="s">
        <v>253</v>
      </c>
      <c r="I817" t="s">
        <v>256</v>
      </c>
      <c r="J817" t="s">
        <v>39</v>
      </c>
      <c r="K817" t="s">
        <v>31</v>
      </c>
      <c r="L817">
        <v>351.82</v>
      </c>
      <c r="M817">
        <v>1</v>
      </c>
      <c r="N817">
        <v>2.3979096695873836</v>
      </c>
      <c r="O817">
        <v>2.6465047861031112</v>
      </c>
      <c r="P817">
        <v>-0.3434612543701927</v>
      </c>
      <c r="Q817">
        <v>0.4672931329656026</v>
      </c>
      <c r="R817">
        <v>-0.39961544227348578</v>
      </c>
      <c r="S817" s="2">
        <v>0.12794239921568715</v>
      </c>
      <c r="T817" s="2">
        <v>0.14791203037321141</v>
      </c>
      <c r="U817" s="2">
        <v>0.168020680330767</v>
      </c>
      <c r="V817" s="2">
        <v>0.19563098275148316</v>
      </c>
      <c r="W817" s="2">
        <v>0.21373032420414403</v>
      </c>
      <c r="X817" s="2">
        <v>0.21744542687625829</v>
      </c>
      <c r="Y817" s="2">
        <v>0.20407606251124874</v>
      </c>
      <c r="Z817" s="2">
        <v>0.17470143685771494</v>
      </c>
      <c r="AA817" s="2">
        <v>0.13463706325506364</v>
      </c>
      <c r="AB817" s="2">
        <v>4.5950111280775599E-2</v>
      </c>
      <c r="AC817" s="2">
        <v>0</v>
      </c>
      <c r="AD817" s="2">
        <v>0</v>
      </c>
      <c r="AE817" s="2">
        <v>0</v>
      </c>
      <c r="AF817" s="2">
        <v>0</v>
      </c>
      <c r="AG817" s="2">
        <v>0</v>
      </c>
      <c r="AH817" s="2">
        <v>0</v>
      </c>
      <c r="AI817" s="2">
        <v>0</v>
      </c>
      <c r="AJ817" s="2">
        <v>0</v>
      </c>
      <c r="AK817" s="2">
        <v>0</v>
      </c>
      <c r="AL817" s="2">
        <v>0</v>
      </c>
      <c r="AM817" s="2">
        <v>0</v>
      </c>
      <c r="AN817" s="2">
        <v>0</v>
      </c>
      <c r="AO817" s="2">
        <v>0</v>
      </c>
      <c r="AP817" s="2">
        <v>0</v>
      </c>
      <c r="AQ817" s="2">
        <v>0</v>
      </c>
      <c r="AR817" s="2">
        <v>1.6300465176563541</v>
      </c>
    </row>
    <row r="818" spans="1:44" x14ac:dyDescent="0.25">
      <c r="A818" t="s">
        <v>250</v>
      </c>
      <c r="B818" t="s">
        <v>268</v>
      </c>
      <c r="C818" t="s">
        <v>43</v>
      </c>
      <c r="D818" t="s">
        <v>269</v>
      </c>
      <c r="E818" t="s">
        <v>134</v>
      </c>
      <c r="F818" t="s">
        <v>269</v>
      </c>
      <c r="G818" t="s">
        <v>31</v>
      </c>
      <c r="H818" t="s">
        <v>252</v>
      </c>
      <c r="I818" t="s">
        <v>135</v>
      </c>
      <c r="J818" t="s">
        <v>39</v>
      </c>
      <c r="K818" t="s">
        <v>31</v>
      </c>
      <c r="L818">
        <v>351.82</v>
      </c>
      <c r="M818">
        <v>1</v>
      </c>
      <c r="N818">
        <v>2.8100909379967898</v>
      </c>
      <c r="O818">
        <v>3.1014175434194655</v>
      </c>
      <c r="P818">
        <v>-0.58986680859649776</v>
      </c>
      <c r="Q818">
        <v>0.59780871454245266</v>
      </c>
      <c r="R818">
        <v>-0.64602099649979083</v>
      </c>
      <c r="S818" s="2">
        <v>3.8826026280695589</v>
      </c>
      <c r="T818" s="2">
        <v>4.4904136590349291</v>
      </c>
      <c r="U818" s="2">
        <v>5.1029344363769402</v>
      </c>
      <c r="V818" s="2">
        <v>5.9438697516842112</v>
      </c>
      <c r="W818" s="2">
        <v>6.4963915085052513</v>
      </c>
      <c r="X818" s="2">
        <v>6.6119676768058486</v>
      </c>
      <c r="Y818" s="2">
        <v>6.2079313788879258</v>
      </c>
      <c r="Z818" s="2">
        <v>5.3164987516250175</v>
      </c>
      <c r="AA818" s="2">
        <v>4.0989089125460421</v>
      </c>
      <c r="AB818" s="2">
        <v>1.7937096080661596</v>
      </c>
      <c r="AC818" s="2">
        <v>0</v>
      </c>
      <c r="AD818" s="2">
        <v>0</v>
      </c>
      <c r="AE818" s="2">
        <v>0</v>
      </c>
      <c r="AF818" s="2">
        <v>0</v>
      </c>
      <c r="AG818" s="2">
        <v>0</v>
      </c>
      <c r="AH818" s="2">
        <v>0</v>
      </c>
      <c r="AI818" s="2">
        <v>0</v>
      </c>
      <c r="AJ818" s="2">
        <v>0</v>
      </c>
      <c r="AK818" s="2">
        <v>0</v>
      </c>
      <c r="AL818" s="2">
        <v>0</v>
      </c>
      <c r="AM818" s="2">
        <v>0</v>
      </c>
      <c r="AN818" s="2">
        <v>0</v>
      </c>
      <c r="AO818" s="2">
        <v>0</v>
      </c>
      <c r="AP818" s="2">
        <v>0</v>
      </c>
      <c r="AQ818" s="2">
        <v>0</v>
      </c>
      <c r="AR818" s="2">
        <v>49.94522831160188</v>
      </c>
    </row>
    <row r="819" spans="1:44" x14ac:dyDescent="0.25">
      <c r="A819" t="s">
        <v>250</v>
      </c>
      <c r="B819" t="s">
        <v>268</v>
      </c>
      <c r="C819" t="s">
        <v>43</v>
      </c>
      <c r="D819" t="s">
        <v>269</v>
      </c>
      <c r="E819" t="s">
        <v>134</v>
      </c>
      <c r="F819" t="s">
        <v>269</v>
      </c>
      <c r="G819" t="s">
        <v>31</v>
      </c>
      <c r="H819" t="s">
        <v>255</v>
      </c>
      <c r="I819" t="s">
        <v>135</v>
      </c>
      <c r="J819" t="s">
        <v>39</v>
      </c>
      <c r="K819" t="s">
        <v>31</v>
      </c>
      <c r="L819">
        <v>351.82</v>
      </c>
      <c r="M819">
        <v>1</v>
      </c>
      <c r="N819">
        <v>2.8100909379967898</v>
      </c>
      <c r="O819">
        <v>3.1014175434194655</v>
      </c>
      <c r="P819">
        <v>-0.58986680859649776</v>
      </c>
      <c r="Q819">
        <v>0.59780871454245266</v>
      </c>
      <c r="R819">
        <v>-0.64602099649979083</v>
      </c>
      <c r="S819" s="2">
        <v>2.3866102966731865E-2</v>
      </c>
      <c r="T819" s="2">
        <v>2.745544203274479E-2</v>
      </c>
      <c r="U819" s="2">
        <v>3.1034560726013464E-2</v>
      </c>
      <c r="V819" s="2">
        <v>3.5956583744867474E-2</v>
      </c>
      <c r="W819" s="2">
        <v>3.9089926379367784E-2</v>
      </c>
      <c r="X819" s="2">
        <v>3.9573722900714751E-2</v>
      </c>
      <c r="Y819" s="2">
        <v>3.6957843194764264E-2</v>
      </c>
      <c r="Z819" s="2">
        <v>3.1482481093766147E-2</v>
      </c>
      <c r="AA819" s="2">
        <v>4.7035904261099534E-3</v>
      </c>
      <c r="AB819" s="2">
        <v>0</v>
      </c>
      <c r="AC819" s="2">
        <v>0</v>
      </c>
      <c r="AD819" s="2">
        <v>0</v>
      </c>
      <c r="AE819" s="2">
        <v>0</v>
      </c>
      <c r="AF819" s="2">
        <v>0</v>
      </c>
      <c r="AG819" s="2">
        <v>0</v>
      </c>
      <c r="AH819" s="2">
        <v>0</v>
      </c>
      <c r="AI819" s="2">
        <v>0</v>
      </c>
      <c r="AJ819" s="2">
        <v>0</v>
      </c>
      <c r="AK819" s="2">
        <v>0</v>
      </c>
      <c r="AL819" s="2">
        <v>0</v>
      </c>
      <c r="AM819" s="2">
        <v>0</v>
      </c>
      <c r="AN819" s="2">
        <v>0</v>
      </c>
      <c r="AO819" s="2">
        <v>0</v>
      </c>
      <c r="AP819" s="2">
        <v>0</v>
      </c>
      <c r="AQ819" s="2">
        <v>0</v>
      </c>
      <c r="AR819" s="2">
        <v>0.27012025346508051</v>
      </c>
    </row>
    <row r="820" spans="1:44" x14ac:dyDescent="0.25">
      <c r="A820" t="s">
        <v>250</v>
      </c>
      <c r="B820" t="s">
        <v>388</v>
      </c>
      <c r="C820" t="s">
        <v>44</v>
      </c>
      <c r="D820" t="s">
        <v>212</v>
      </c>
      <c r="E820" t="s">
        <v>134</v>
      </c>
      <c r="F820" t="s">
        <v>212</v>
      </c>
      <c r="G820" t="s">
        <v>31</v>
      </c>
      <c r="H820" t="s">
        <v>254</v>
      </c>
      <c r="I820" t="s">
        <v>135</v>
      </c>
      <c r="J820" t="s">
        <v>39</v>
      </c>
      <c r="K820" t="s">
        <v>31</v>
      </c>
      <c r="L820">
        <v>0.19</v>
      </c>
      <c r="M820">
        <v>1</v>
      </c>
      <c r="N820">
        <v>4.850758436844905</v>
      </c>
      <c r="O820">
        <v>6.9281219368152529</v>
      </c>
      <c r="P820">
        <v>-2.4521156710348886</v>
      </c>
      <c r="Q820">
        <v>0.77362100319819394</v>
      </c>
      <c r="R820">
        <v>-2.6840821475939207</v>
      </c>
      <c r="S820" s="2">
        <v>2.5197599175598242E-2</v>
      </c>
      <c r="T820" s="2">
        <v>5.0142362005777208E-2</v>
      </c>
      <c r="U820" s="2">
        <v>8.8630586318173749E-2</v>
      </c>
      <c r="V820" s="2">
        <v>0.14352295463875658</v>
      </c>
      <c r="W820" s="2">
        <v>0.21687038850539567</v>
      </c>
      <c r="X820" s="2">
        <v>0.30921115677911459</v>
      </c>
      <c r="Y820" s="2">
        <v>0.41872494308648178</v>
      </c>
      <c r="Z820" s="2">
        <v>0.54038331218399904</v>
      </c>
      <c r="AA820" s="2">
        <v>0.66536231004950841</v>
      </c>
      <c r="AB820" s="2">
        <v>0.78109989193617313</v>
      </c>
      <c r="AC820" s="2">
        <v>0.87241145649779894</v>
      </c>
      <c r="AD820" s="2">
        <v>0.92391754125098047</v>
      </c>
      <c r="AE820" s="2">
        <v>0.92361215875141067</v>
      </c>
      <c r="AF820" s="2">
        <v>0.86675386143480482</v>
      </c>
      <c r="AG820" s="2">
        <v>0.75865134302204107</v>
      </c>
      <c r="AH820" s="2">
        <v>0.62458136022894706</v>
      </c>
      <c r="AI820" s="2">
        <v>0.47547811377482491</v>
      </c>
      <c r="AJ820" s="2">
        <v>0.13616459830761291</v>
      </c>
      <c r="AK820" s="2">
        <v>0</v>
      </c>
      <c r="AL820" s="2">
        <v>0</v>
      </c>
      <c r="AM820" s="2">
        <v>0</v>
      </c>
      <c r="AN820" s="2">
        <v>0</v>
      </c>
      <c r="AO820" s="2">
        <v>0</v>
      </c>
      <c r="AP820" s="2">
        <v>0</v>
      </c>
      <c r="AQ820" s="2">
        <v>0</v>
      </c>
      <c r="AR820" s="2">
        <v>8.8207159379473996</v>
      </c>
    </row>
    <row r="821" spans="1:44" x14ac:dyDescent="0.25">
      <c r="A821" t="s">
        <v>250</v>
      </c>
      <c r="B821" t="s">
        <v>388</v>
      </c>
      <c r="C821" t="s">
        <v>44</v>
      </c>
      <c r="D821" t="s">
        <v>212</v>
      </c>
      <c r="E821" t="s">
        <v>134</v>
      </c>
      <c r="F821" t="s">
        <v>212</v>
      </c>
      <c r="G821" t="s">
        <v>31</v>
      </c>
      <c r="H821" t="s">
        <v>272</v>
      </c>
      <c r="I821" t="s">
        <v>135</v>
      </c>
      <c r="J821" t="s">
        <v>39</v>
      </c>
      <c r="K821" t="s">
        <v>31</v>
      </c>
      <c r="L821">
        <v>0.19</v>
      </c>
      <c r="M821">
        <v>1</v>
      </c>
      <c r="N821">
        <v>4.850758436844905</v>
      </c>
      <c r="O821">
        <v>6.9281219368152529</v>
      </c>
      <c r="P821">
        <v>-2.4521156710348886</v>
      </c>
      <c r="Q821">
        <v>0.77362100319819394</v>
      </c>
      <c r="R821">
        <v>-2.6840821475939207</v>
      </c>
      <c r="S821" s="2">
        <v>2.4378348213726746E-2</v>
      </c>
      <c r="T821" s="2">
        <v>4.8506557749553619E-2</v>
      </c>
      <c r="U821" s="2">
        <v>8.5729412159191956E-2</v>
      </c>
      <c r="V821" s="2">
        <v>0.1388091661113095</v>
      </c>
      <c r="W821" s="2">
        <v>0.20972373890305912</v>
      </c>
      <c r="X821" s="2">
        <v>0.29898750903384175</v>
      </c>
      <c r="Y821" s="2">
        <v>0.4048342772022156</v>
      </c>
      <c r="Z821" s="2">
        <v>0.5223973064559202</v>
      </c>
      <c r="AA821" s="2">
        <v>0.64314330294433597</v>
      </c>
      <c r="AB821" s="2">
        <v>0.75493000761941664</v>
      </c>
      <c r="AC821" s="2">
        <v>0.84308628829006405</v>
      </c>
      <c r="AD821" s="2">
        <v>0.89275940469676662</v>
      </c>
      <c r="AE821" s="2">
        <v>0.89236271908741882</v>
      </c>
      <c r="AF821" s="2">
        <v>0.83733282580376189</v>
      </c>
      <c r="AG821" s="2">
        <v>0.73281629579123475</v>
      </c>
      <c r="AH821" s="2">
        <v>0.60324323708743821</v>
      </c>
      <c r="AI821" s="2">
        <v>0.45918165509169806</v>
      </c>
      <c r="AJ821" s="2">
        <v>0.11841905459633882</v>
      </c>
      <c r="AK821" s="2">
        <v>0</v>
      </c>
      <c r="AL821" s="2">
        <v>0</v>
      </c>
      <c r="AM821" s="2">
        <v>0</v>
      </c>
      <c r="AN821" s="2">
        <v>0</v>
      </c>
      <c r="AO821" s="2">
        <v>0</v>
      </c>
      <c r="AP821" s="2">
        <v>0</v>
      </c>
      <c r="AQ821" s="2">
        <v>0</v>
      </c>
      <c r="AR821" s="2">
        <v>8.5106411068372925</v>
      </c>
    </row>
    <row r="822" spans="1:44" x14ac:dyDescent="0.25">
      <c r="A822" t="s">
        <v>250</v>
      </c>
      <c r="B822" t="s">
        <v>388</v>
      </c>
      <c r="C822" t="s">
        <v>44</v>
      </c>
      <c r="D822" t="s">
        <v>212</v>
      </c>
      <c r="E822" t="s">
        <v>134</v>
      </c>
      <c r="F822" t="s">
        <v>212</v>
      </c>
      <c r="G822" t="s">
        <v>31</v>
      </c>
      <c r="H822" t="s">
        <v>272</v>
      </c>
      <c r="I822" t="s">
        <v>135</v>
      </c>
      <c r="J822" t="s">
        <v>40</v>
      </c>
      <c r="K822" t="s">
        <v>31</v>
      </c>
      <c r="L822">
        <v>0.19</v>
      </c>
      <c r="M822">
        <v>1</v>
      </c>
      <c r="N822">
        <v>4.850758436844905</v>
      </c>
      <c r="O822">
        <v>5.6913337240265207</v>
      </c>
      <c r="P822">
        <v>-2.4521156710348886</v>
      </c>
      <c r="Q822">
        <v>0.4672931329656026</v>
      </c>
      <c r="R822">
        <v>-2.5410821475939209</v>
      </c>
      <c r="S822" s="2">
        <v>2.4114048338531847E-3</v>
      </c>
      <c r="T822" s="2">
        <v>4.7980669898295396E-3</v>
      </c>
      <c r="U822" s="2">
        <v>8.4799969658184114E-3</v>
      </c>
      <c r="V822" s="2">
        <v>1.3730425507478284E-2</v>
      </c>
      <c r="W822" s="2">
        <v>2.0745000166985821E-2</v>
      </c>
      <c r="X822" s="2">
        <v>2.9574601126583538E-2</v>
      </c>
      <c r="Y822" s="2">
        <v>4.0044523295684233E-2</v>
      </c>
      <c r="Z822" s="2">
        <v>5.1673369292115634E-2</v>
      </c>
      <c r="AA822" s="2">
        <v>6.3617061171807349E-2</v>
      </c>
      <c r="AB822" s="2">
        <v>7.4674537160366108E-2</v>
      </c>
      <c r="AC822" s="2">
        <v>8.3394589867793564E-2</v>
      </c>
      <c r="AD822" s="2">
        <v>8.8308047989137023E-2</v>
      </c>
      <c r="AE822" s="2">
        <v>8.826880949818125E-2</v>
      </c>
      <c r="AF822" s="2">
        <v>8.2825481283026942E-2</v>
      </c>
      <c r="AG822" s="2">
        <v>7.2487140740829833E-2</v>
      </c>
      <c r="AH822" s="2">
        <v>5.9670312571990076E-2</v>
      </c>
      <c r="AI822" s="2">
        <v>4.5420339926121517E-2</v>
      </c>
      <c r="AJ822" s="2">
        <v>1.1713520463750838E-2</v>
      </c>
      <c r="AK822" s="2">
        <v>0</v>
      </c>
      <c r="AL822" s="2">
        <v>0</v>
      </c>
      <c r="AM822" s="2">
        <v>0</v>
      </c>
      <c r="AN822" s="2">
        <v>0</v>
      </c>
      <c r="AO822" s="2">
        <v>0</v>
      </c>
      <c r="AP822" s="2">
        <v>0</v>
      </c>
      <c r="AQ822" s="2">
        <v>0</v>
      </c>
      <c r="AR822" s="2">
        <v>0.84183722885135304</v>
      </c>
    </row>
    <row r="823" spans="1:44" x14ac:dyDescent="0.25">
      <c r="A823" t="s">
        <v>250</v>
      </c>
      <c r="B823" t="s">
        <v>388</v>
      </c>
      <c r="C823" t="s">
        <v>44</v>
      </c>
      <c r="D823" t="s">
        <v>212</v>
      </c>
      <c r="E823" t="s">
        <v>134</v>
      </c>
      <c r="F823" t="s">
        <v>212</v>
      </c>
      <c r="G823" t="s">
        <v>31</v>
      </c>
      <c r="H823" t="s">
        <v>253</v>
      </c>
      <c r="I823" t="s">
        <v>135</v>
      </c>
      <c r="J823" t="s">
        <v>39</v>
      </c>
      <c r="K823" t="s">
        <v>31</v>
      </c>
      <c r="L823">
        <v>0.19</v>
      </c>
      <c r="M823">
        <v>1</v>
      </c>
      <c r="N823">
        <v>4.850758436844905</v>
      </c>
      <c r="O823">
        <v>6.9281219368152529</v>
      </c>
      <c r="P823">
        <v>-2.4521156710348886</v>
      </c>
      <c r="Q823">
        <v>0.77362100319819394</v>
      </c>
      <c r="R823">
        <v>-2.6840821475939207</v>
      </c>
      <c r="S823" s="2">
        <v>3.9306299039604418E-3</v>
      </c>
      <c r="T823" s="2">
        <v>7.8248573679800659E-3</v>
      </c>
      <c r="U823" s="2">
        <v>1.3836425707220438E-2</v>
      </c>
      <c r="V823" s="2">
        <v>2.2414564793885004E-2</v>
      </c>
      <c r="W823" s="2">
        <v>3.3882687731239446E-2</v>
      </c>
      <c r="X823" s="2">
        <v>4.832828708460505E-2</v>
      </c>
      <c r="Y823" s="2">
        <v>6.5470209489651349E-2</v>
      </c>
      <c r="Z823" s="2">
        <v>8.4525058214958981E-2</v>
      </c>
      <c r="AA823" s="2">
        <v>0.10411430327475096</v>
      </c>
      <c r="AB823" s="2">
        <v>0.12227211653066682</v>
      </c>
      <c r="AC823" s="2">
        <v>0.13661892494941236</v>
      </c>
      <c r="AD823" s="2">
        <v>0.144740932856462</v>
      </c>
      <c r="AE823" s="2">
        <v>0.14474929177725068</v>
      </c>
      <c r="AF823" s="2">
        <v>0.13589117143265805</v>
      </c>
      <c r="AG823" s="2">
        <v>0.11898886982817437</v>
      </c>
      <c r="AH823" s="2">
        <v>9.7999030446852736E-2</v>
      </c>
      <c r="AI823" s="2">
        <v>7.463317926389812E-2</v>
      </c>
      <c r="AJ823" s="2">
        <v>2.8626627574587352E-2</v>
      </c>
      <c r="AK823" s="2">
        <v>0</v>
      </c>
      <c r="AL823" s="2">
        <v>0</v>
      </c>
      <c r="AM823" s="2">
        <v>0</v>
      </c>
      <c r="AN823" s="2">
        <v>0</v>
      </c>
      <c r="AO823" s="2">
        <v>0</v>
      </c>
      <c r="AP823" s="2">
        <v>0</v>
      </c>
      <c r="AQ823" s="2">
        <v>0</v>
      </c>
      <c r="AR823" s="2">
        <v>1.3888471682282144</v>
      </c>
    </row>
    <row r="824" spans="1:44" x14ac:dyDescent="0.25">
      <c r="A824" t="s">
        <v>250</v>
      </c>
      <c r="B824" t="s">
        <v>388</v>
      </c>
      <c r="C824" t="s">
        <v>44</v>
      </c>
      <c r="D824" t="s">
        <v>212</v>
      </c>
      <c r="E824" t="s">
        <v>134</v>
      </c>
      <c r="F824" t="s">
        <v>212</v>
      </c>
      <c r="G824" t="s">
        <v>31</v>
      </c>
      <c r="H824" t="s">
        <v>253</v>
      </c>
      <c r="I824" t="s">
        <v>135</v>
      </c>
      <c r="J824" t="s">
        <v>40</v>
      </c>
      <c r="K824" t="s">
        <v>31</v>
      </c>
      <c r="L824">
        <v>0.19</v>
      </c>
      <c r="M824">
        <v>1</v>
      </c>
      <c r="N824">
        <v>4.850758436844905</v>
      </c>
      <c r="O824">
        <v>5.6913337240265207</v>
      </c>
      <c r="P824">
        <v>-2.4521156710348886</v>
      </c>
      <c r="Q824">
        <v>0.4672931329656026</v>
      </c>
      <c r="R824">
        <v>-2.5410821475939209</v>
      </c>
      <c r="S824" s="2">
        <v>2.0675930234720866E-3</v>
      </c>
      <c r="T824" s="2">
        <v>4.1160376069490565E-3</v>
      </c>
      <c r="U824" s="2">
        <v>7.2782474974847503E-3</v>
      </c>
      <c r="V824" s="2">
        <v>1.1790526944626354E-2</v>
      </c>
      <c r="W824" s="2">
        <v>1.7822997962491201E-2</v>
      </c>
      <c r="X824" s="2">
        <v>2.54216834588788E-2</v>
      </c>
      <c r="Y824" s="2">
        <v>3.4438690920675752E-2</v>
      </c>
      <c r="Z824" s="2">
        <v>4.4461937385082272E-2</v>
      </c>
      <c r="AA824" s="2">
        <v>5.476628742829065E-2</v>
      </c>
      <c r="AB824" s="2">
        <v>6.4317674591862772E-2</v>
      </c>
      <c r="AC824" s="2">
        <v>7.1864394003375076E-2</v>
      </c>
      <c r="AD824" s="2">
        <v>7.6136738969834694E-2</v>
      </c>
      <c r="AE824" s="2">
        <v>7.6141135935900842E-2</v>
      </c>
      <c r="AF824" s="2">
        <v>7.1481580527974528E-2</v>
      </c>
      <c r="AG824" s="2">
        <v>6.2590618587538616E-2</v>
      </c>
      <c r="AH824" s="2">
        <v>5.1549526821332729E-2</v>
      </c>
      <c r="AI824" s="2">
        <v>3.9258603464573431E-2</v>
      </c>
      <c r="AJ824" s="2">
        <v>1.505820107843673E-2</v>
      </c>
      <c r="AK824" s="2">
        <v>0</v>
      </c>
      <c r="AL824" s="2">
        <v>0</v>
      </c>
      <c r="AM824" s="2">
        <v>0</v>
      </c>
      <c r="AN824" s="2">
        <v>0</v>
      </c>
      <c r="AO824" s="2">
        <v>0</v>
      </c>
      <c r="AP824" s="2">
        <v>0</v>
      </c>
      <c r="AQ824" s="2">
        <v>0</v>
      </c>
      <c r="AR824" s="2">
        <v>0.73056247620878023</v>
      </c>
    </row>
    <row r="825" spans="1:44" x14ac:dyDescent="0.25">
      <c r="A825" t="s">
        <v>250</v>
      </c>
      <c r="B825" t="s">
        <v>388</v>
      </c>
      <c r="C825" t="s">
        <v>44</v>
      </c>
      <c r="D825" t="s">
        <v>212</v>
      </c>
      <c r="E825" t="s">
        <v>134</v>
      </c>
      <c r="F825" t="s">
        <v>212</v>
      </c>
      <c r="G825" t="s">
        <v>31</v>
      </c>
      <c r="H825" t="s">
        <v>253</v>
      </c>
      <c r="I825" t="s">
        <v>256</v>
      </c>
      <c r="J825" t="s">
        <v>39</v>
      </c>
      <c r="K825" t="s">
        <v>31</v>
      </c>
      <c r="L825">
        <v>0.19</v>
      </c>
      <c r="M825">
        <v>1</v>
      </c>
      <c r="N825">
        <v>2.9597330571033966</v>
      </c>
      <c r="O825">
        <v>4.2272547245978105</v>
      </c>
      <c r="P825">
        <v>-0.98917871968601667</v>
      </c>
      <c r="Q825">
        <v>0.4672931329656026</v>
      </c>
      <c r="R825">
        <v>-1.2211451962450488</v>
      </c>
      <c r="S825" s="2">
        <v>2.0618548075416422E-3</v>
      </c>
      <c r="T825" s="2">
        <v>4.104614317985332E-3</v>
      </c>
      <c r="U825" s="2">
        <v>7.2580480891574527E-3</v>
      </c>
      <c r="V825" s="2">
        <v>1.1757804552562768E-2</v>
      </c>
      <c r="W825" s="2">
        <v>1.7773533580634805E-2</v>
      </c>
      <c r="X825" s="2">
        <v>2.5351130353240294E-2</v>
      </c>
      <c r="Y825" s="2">
        <v>3.434311280514659E-2</v>
      </c>
      <c r="Z825" s="2">
        <v>4.4338541632385708E-2</v>
      </c>
      <c r="AA825" s="2">
        <v>5.4614293888263818E-2</v>
      </c>
      <c r="AB825" s="2">
        <v>6.4139172971494393E-2</v>
      </c>
      <c r="AC825" s="2">
        <v>7.1664947881328558E-2</v>
      </c>
      <c r="AD825" s="2">
        <v>7.5925435757118687E-2</v>
      </c>
      <c r="AE825" s="2">
        <v>7.5929820520231714E-2</v>
      </c>
      <c r="AF825" s="2">
        <v>7.1283196832797296E-2</v>
      </c>
      <c r="AG825" s="2">
        <v>6.2416910086591788E-2</v>
      </c>
      <c r="AH825" s="2">
        <v>5.1406460795932661E-2</v>
      </c>
      <c r="AI825" s="2">
        <v>3.9149648587453012E-2</v>
      </c>
      <c r="AJ825" s="2">
        <v>1.5016409870818783E-2</v>
      </c>
      <c r="AK825" s="2">
        <v>0</v>
      </c>
      <c r="AL825" s="2">
        <v>0</v>
      </c>
      <c r="AM825" s="2">
        <v>0</v>
      </c>
      <c r="AN825" s="2">
        <v>0</v>
      </c>
      <c r="AO825" s="2">
        <v>0</v>
      </c>
      <c r="AP825" s="2">
        <v>0</v>
      </c>
      <c r="AQ825" s="2">
        <v>0</v>
      </c>
      <c r="AR825" s="2">
        <v>0.72853493733068531</v>
      </c>
    </row>
    <row r="826" spans="1:44" x14ac:dyDescent="0.25">
      <c r="A826" t="s">
        <v>250</v>
      </c>
      <c r="B826" t="s">
        <v>388</v>
      </c>
      <c r="C826" t="s">
        <v>44</v>
      </c>
      <c r="D826" t="s">
        <v>212</v>
      </c>
      <c r="E826" t="s">
        <v>134</v>
      </c>
      <c r="F826" t="s">
        <v>212</v>
      </c>
      <c r="G826" t="s">
        <v>31</v>
      </c>
      <c r="H826" t="s">
        <v>288</v>
      </c>
      <c r="I826" t="s">
        <v>135</v>
      </c>
      <c r="J826" t="s">
        <v>39</v>
      </c>
      <c r="K826" t="s">
        <v>31</v>
      </c>
      <c r="L826">
        <v>0.19</v>
      </c>
      <c r="M826">
        <v>1</v>
      </c>
      <c r="N826">
        <v>4.850758436844905</v>
      </c>
      <c r="O826">
        <v>6.9281219368152529</v>
      </c>
      <c r="P826">
        <v>-2.4521156710348886</v>
      </c>
      <c r="Q826">
        <v>0.77362100319819394</v>
      </c>
      <c r="R826">
        <v>-2.6840821475939207</v>
      </c>
      <c r="S826" s="2">
        <v>4.36727108545132E-2</v>
      </c>
      <c r="T826" s="2">
        <v>8.7036987769099794E-2</v>
      </c>
      <c r="U826" s="2">
        <v>0.15407449885846089</v>
      </c>
      <c r="V826" s="2">
        <v>0.24987142015516176</v>
      </c>
      <c r="W826" s="2">
        <v>0.37813210593767083</v>
      </c>
      <c r="X826" s="2">
        <v>0.53994127616561693</v>
      </c>
      <c r="Y826" s="2">
        <v>0.73226500995547728</v>
      </c>
      <c r="Z826" s="2">
        <v>0.94643208857319849</v>
      </c>
      <c r="AA826" s="2">
        <v>1.1670616577275228</v>
      </c>
      <c r="AB826" s="2">
        <v>1.3721142028536182</v>
      </c>
      <c r="AC826" s="2">
        <v>1.5348046961238244</v>
      </c>
      <c r="AD826" s="2">
        <v>1.6278449968666637</v>
      </c>
      <c r="AE826" s="2">
        <v>1.6297371115369477</v>
      </c>
      <c r="AF826" s="2">
        <v>1.5316931709524853</v>
      </c>
      <c r="AG826" s="2">
        <v>1.3426607677770832</v>
      </c>
      <c r="AH826" s="2">
        <v>1.1070345227800935</v>
      </c>
      <c r="AI826" s="2">
        <v>0.8440161441031051</v>
      </c>
      <c r="AJ826" s="2">
        <v>0.55720619513711733</v>
      </c>
      <c r="AK826" s="2">
        <v>0</v>
      </c>
      <c r="AL826" s="2">
        <v>0</v>
      </c>
      <c r="AM826" s="2">
        <v>0</v>
      </c>
      <c r="AN826" s="2">
        <v>0</v>
      </c>
      <c r="AO826" s="2">
        <v>0</v>
      </c>
      <c r="AP826" s="2">
        <v>0</v>
      </c>
      <c r="AQ826" s="2">
        <v>0</v>
      </c>
      <c r="AR826" s="2">
        <v>15.84559956412766</v>
      </c>
    </row>
    <row r="827" spans="1:44" x14ac:dyDescent="0.25">
      <c r="A827" t="s">
        <v>250</v>
      </c>
      <c r="B827" t="s">
        <v>388</v>
      </c>
      <c r="C827" t="s">
        <v>44</v>
      </c>
      <c r="D827" t="s">
        <v>212</v>
      </c>
      <c r="E827" t="s">
        <v>134</v>
      </c>
      <c r="F827" t="s">
        <v>212</v>
      </c>
      <c r="G827" t="s">
        <v>31</v>
      </c>
      <c r="H827" t="s">
        <v>288</v>
      </c>
      <c r="I827" t="s">
        <v>135</v>
      </c>
      <c r="J827" t="s">
        <v>39</v>
      </c>
      <c r="K827" t="s">
        <v>33</v>
      </c>
      <c r="L827">
        <v>0.19</v>
      </c>
      <c r="M827">
        <v>1</v>
      </c>
      <c r="N827">
        <v>4.850758436844905</v>
      </c>
      <c r="O827">
        <v>6.9281219368152529</v>
      </c>
      <c r="P827">
        <v>-2.4521156710348886</v>
      </c>
      <c r="Q827">
        <v>0.77362100319819394</v>
      </c>
      <c r="R827">
        <v>-2.6840821475939207</v>
      </c>
      <c r="S827" s="2">
        <v>4.1083414241863402E-4</v>
      </c>
      <c r="T827" s="2">
        <v>8.1876681179556313E-4</v>
      </c>
      <c r="U827" s="2">
        <v>1.4493962790165377E-3</v>
      </c>
      <c r="V827" s="2">
        <v>2.3505687786670448E-3</v>
      </c>
      <c r="W827" s="2">
        <v>3.5571315914272117E-3</v>
      </c>
      <c r="X827" s="2">
        <v>5.0792888009378104E-3</v>
      </c>
      <c r="Y827" s="2">
        <v>6.8884999694756007E-3</v>
      </c>
      <c r="Z827" s="2">
        <v>8.9031939593066205E-3</v>
      </c>
      <c r="AA827" s="2">
        <v>1.0978681330302793E-2</v>
      </c>
      <c r="AB827" s="2">
        <v>1.2907633870214381E-2</v>
      </c>
      <c r="AC827" s="2">
        <v>1.4438081785503855E-2</v>
      </c>
      <c r="AD827" s="2">
        <v>1.5313322443071285E-2</v>
      </c>
      <c r="AE827" s="2">
        <v>1.5331121780293867E-2</v>
      </c>
      <c r="AF827" s="2">
        <v>1.4408811315446714E-2</v>
      </c>
      <c r="AG827" s="2">
        <v>1.2630562067154998E-2</v>
      </c>
      <c r="AH827" s="2">
        <v>1.0413999266253037E-2</v>
      </c>
      <c r="AI827" s="2">
        <v>7.9397555582297417E-3</v>
      </c>
      <c r="AJ827" s="2">
        <v>5.2417018511194766E-3</v>
      </c>
      <c r="AK827" s="2">
        <v>0</v>
      </c>
      <c r="AL827" s="2">
        <v>0</v>
      </c>
      <c r="AM827" s="2">
        <v>0</v>
      </c>
      <c r="AN827" s="2">
        <v>0</v>
      </c>
      <c r="AO827" s="2">
        <v>0</v>
      </c>
      <c r="AP827" s="2">
        <v>0</v>
      </c>
      <c r="AQ827" s="2">
        <v>0</v>
      </c>
      <c r="AR827" s="2">
        <v>0.14906135160063519</v>
      </c>
    </row>
    <row r="828" spans="1:44" x14ac:dyDescent="0.25">
      <c r="A828" t="s">
        <v>250</v>
      </c>
      <c r="B828" t="s">
        <v>388</v>
      </c>
      <c r="C828" t="s">
        <v>44</v>
      </c>
      <c r="D828" t="s">
        <v>212</v>
      </c>
      <c r="E828" t="s">
        <v>134</v>
      </c>
      <c r="F828" t="s">
        <v>212</v>
      </c>
      <c r="G828" t="s">
        <v>31</v>
      </c>
      <c r="H828" t="s">
        <v>273</v>
      </c>
      <c r="I828" t="s">
        <v>135</v>
      </c>
      <c r="J828" t="s">
        <v>39</v>
      </c>
      <c r="K828" t="s">
        <v>31</v>
      </c>
      <c r="L828">
        <v>0.19</v>
      </c>
      <c r="M828">
        <v>1</v>
      </c>
      <c r="N828">
        <v>4.850758436844905</v>
      </c>
      <c r="O828">
        <v>6.9281219368152529</v>
      </c>
      <c r="P828">
        <v>-2.4521156710348886</v>
      </c>
      <c r="Q828">
        <v>0.77362100319819394</v>
      </c>
      <c r="R828">
        <v>-2.6840821475939207</v>
      </c>
      <c r="S828" s="2">
        <v>7.3319478419915513E-3</v>
      </c>
      <c r="T828" s="2">
        <v>1.4588664838827071E-2</v>
      </c>
      <c r="U828" s="2">
        <v>2.5783682018368479E-2</v>
      </c>
      <c r="V828" s="2">
        <v>4.174776555802092E-2</v>
      </c>
      <c r="W828" s="2">
        <v>6.3075787636787395E-2</v>
      </c>
      <c r="X828" s="2">
        <v>8.9922450956244918E-2</v>
      </c>
      <c r="Y828" s="2">
        <v>0.12175655951233288</v>
      </c>
      <c r="Z828" s="2">
        <v>0.1571144103018027</v>
      </c>
      <c r="AA828" s="2">
        <v>0.19342955932752176</v>
      </c>
      <c r="AB828" s="2">
        <v>0.22705014267960885</v>
      </c>
      <c r="AC828" s="2">
        <v>0.25356372129266724</v>
      </c>
      <c r="AD828" s="2">
        <v>0.26850323628564976</v>
      </c>
      <c r="AE828" s="2">
        <v>0.26838393049134784</v>
      </c>
      <c r="AF828" s="2">
        <v>0.25183332977923933</v>
      </c>
      <c r="AG828" s="2">
        <v>0.22039929905822814</v>
      </c>
      <c r="AH828" s="2">
        <v>0.1814293532762323</v>
      </c>
      <c r="AI828" s="2">
        <v>0.13810188925088837</v>
      </c>
      <c r="AJ828" s="2">
        <v>3.5615306016073781E-2</v>
      </c>
      <c r="AK828" s="2">
        <v>0</v>
      </c>
      <c r="AL828" s="2">
        <v>0</v>
      </c>
      <c r="AM828" s="2">
        <v>0</v>
      </c>
      <c r="AN828" s="2">
        <v>0</v>
      </c>
      <c r="AO828" s="2">
        <v>0</v>
      </c>
      <c r="AP828" s="2">
        <v>0</v>
      </c>
      <c r="AQ828" s="2">
        <v>0</v>
      </c>
      <c r="AR828" s="2">
        <v>2.5596310361218326</v>
      </c>
    </row>
    <row r="829" spans="1:44" x14ac:dyDescent="0.25">
      <c r="A829" t="s">
        <v>250</v>
      </c>
      <c r="B829" t="s">
        <v>388</v>
      </c>
      <c r="C829" t="s">
        <v>44</v>
      </c>
      <c r="D829" t="s">
        <v>212</v>
      </c>
      <c r="E829" t="s">
        <v>134</v>
      </c>
      <c r="F829" t="s">
        <v>212</v>
      </c>
      <c r="G829" t="s">
        <v>31</v>
      </c>
      <c r="H829" t="s">
        <v>252</v>
      </c>
      <c r="I829" t="s">
        <v>135</v>
      </c>
      <c r="J829" t="s">
        <v>39</v>
      </c>
      <c r="K829" t="s">
        <v>31</v>
      </c>
      <c r="L829">
        <v>0.19</v>
      </c>
      <c r="M829">
        <v>1</v>
      </c>
      <c r="N829">
        <v>4.850758436844905</v>
      </c>
      <c r="O829">
        <v>6.9281219368152529</v>
      </c>
      <c r="P829">
        <v>-2.4521156710348886</v>
      </c>
      <c r="Q829">
        <v>0.77362100319819394</v>
      </c>
      <c r="R829">
        <v>-2.6840821475939207</v>
      </c>
      <c r="S829" s="2">
        <v>2.9721776272201542E-3</v>
      </c>
      <c r="T829" s="2">
        <v>5.9192057299879046E-3</v>
      </c>
      <c r="U829" s="2">
        <v>1.0470931495080649E-2</v>
      </c>
      <c r="V829" s="2">
        <v>1.6969385335560274E-2</v>
      </c>
      <c r="W829" s="2">
        <v>2.5661855306540009E-2</v>
      </c>
      <c r="X829" s="2">
        <v>3.6617273101657112E-2</v>
      </c>
      <c r="Y829" s="2">
        <v>4.9625251992640437E-2</v>
      </c>
      <c r="Z829" s="2">
        <v>6.4094220633674939E-2</v>
      </c>
      <c r="AA829" s="2">
        <v>7.8980192445012462E-2</v>
      </c>
      <c r="AB829" s="2">
        <v>9.279180403944208E-2</v>
      </c>
      <c r="AC829" s="2">
        <v>0.10372118022077467</v>
      </c>
      <c r="AD829" s="2">
        <v>0.10993155003987752</v>
      </c>
      <c r="AE829" s="2">
        <v>0.10998205488697778</v>
      </c>
      <c r="AF829" s="2">
        <v>0.10329303127753295</v>
      </c>
      <c r="AG829" s="2">
        <v>9.0481651246341777E-2</v>
      </c>
      <c r="AH829" s="2">
        <v>7.4550464726277674E-2</v>
      </c>
      <c r="AI829" s="2">
        <v>5.6798244946369175E-2</v>
      </c>
      <c r="AJ829" s="2">
        <v>2.7497763988786859E-2</v>
      </c>
      <c r="AK829" s="2">
        <v>0</v>
      </c>
      <c r="AL829" s="2">
        <v>0</v>
      </c>
      <c r="AM829" s="2">
        <v>0</v>
      </c>
      <c r="AN829" s="2">
        <v>0</v>
      </c>
      <c r="AO829" s="2">
        <v>0</v>
      </c>
      <c r="AP829" s="2">
        <v>0</v>
      </c>
      <c r="AQ829" s="2">
        <v>0</v>
      </c>
      <c r="AR829" s="2">
        <v>1.0603582390397543</v>
      </c>
    </row>
    <row r="830" spans="1:44" x14ac:dyDescent="0.25">
      <c r="A830" t="s">
        <v>250</v>
      </c>
      <c r="B830" t="s">
        <v>388</v>
      </c>
      <c r="C830" t="s">
        <v>44</v>
      </c>
      <c r="D830" t="s">
        <v>212</v>
      </c>
      <c r="E830" t="s">
        <v>134</v>
      </c>
      <c r="F830" t="s">
        <v>212</v>
      </c>
      <c r="G830" t="s">
        <v>31</v>
      </c>
      <c r="H830" t="s">
        <v>289</v>
      </c>
      <c r="I830" t="s">
        <v>135</v>
      </c>
      <c r="J830" t="s">
        <v>39</v>
      </c>
      <c r="K830" t="s">
        <v>31</v>
      </c>
      <c r="L830">
        <v>0.19</v>
      </c>
      <c r="M830">
        <v>1</v>
      </c>
      <c r="N830">
        <v>4.850758436844905</v>
      </c>
      <c r="O830">
        <v>6.9281219368152529</v>
      </c>
      <c r="P830">
        <v>-2.4521156710348886</v>
      </c>
      <c r="Q830">
        <v>0.77362100319819394</v>
      </c>
      <c r="R830">
        <v>-2.6840821475939207</v>
      </c>
      <c r="S830" s="2">
        <v>4.150901853440523E-2</v>
      </c>
      <c r="T830" s="2">
        <v>8.2724883978962133E-2</v>
      </c>
      <c r="U830" s="2">
        <v>0.1464411323148751</v>
      </c>
      <c r="V830" s="2">
        <v>0.23749195338459089</v>
      </c>
      <c r="W830" s="2">
        <v>0.35939817535275398</v>
      </c>
      <c r="X830" s="2">
        <v>0.5131907775203487</v>
      </c>
      <c r="Y830" s="2">
        <v>0.69598614960255434</v>
      </c>
      <c r="Z830" s="2">
        <v>0.89954267407425947</v>
      </c>
      <c r="AA830" s="2">
        <v>1.1092415156637614</v>
      </c>
      <c r="AB830" s="2">
        <v>1.3041350711501725</v>
      </c>
      <c r="AC830" s="2">
        <v>1.45876533266568</v>
      </c>
      <c r="AD830" s="2">
        <v>1.547196105393452</v>
      </c>
      <c r="AE830" s="2">
        <v>1.5489944783678176</v>
      </c>
      <c r="AF830" s="2">
        <v>1.4558079628692946</v>
      </c>
      <c r="AG830" s="2">
        <v>1.2761408578629192</v>
      </c>
      <c r="AH830" s="2">
        <v>1.0521883259636631</v>
      </c>
      <c r="AI830" s="2">
        <v>0.80220075840088456</v>
      </c>
      <c r="AJ830" s="2">
        <v>0.52960033459983746</v>
      </c>
      <c r="AK830" s="2">
        <v>0</v>
      </c>
      <c r="AL830" s="2">
        <v>0</v>
      </c>
      <c r="AM830" s="2">
        <v>0</v>
      </c>
      <c r="AN830" s="2">
        <v>0</v>
      </c>
      <c r="AO830" s="2">
        <v>0</v>
      </c>
      <c r="AP830" s="2">
        <v>0</v>
      </c>
      <c r="AQ830" s="2">
        <v>0</v>
      </c>
      <c r="AR830" s="2">
        <v>15.060555507700231</v>
      </c>
    </row>
    <row r="831" spans="1:44" x14ac:dyDescent="0.25">
      <c r="A831" t="s">
        <v>250</v>
      </c>
      <c r="B831" t="s">
        <v>388</v>
      </c>
      <c r="C831" t="s">
        <v>44</v>
      </c>
      <c r="D831" t="s">
        <v>212</v>
      </c>
      <c r="E831" t="s">
        <v>134</v>
      </c>
      <c r="F831" t="s">
        <v>212</v>
      </c>
      <c r="G831" t="s">
        <v>31</v>
      </c>
      <c r="H831" t="s">
        <v>274</v>
      </c>
      <c r="I831" t="s">
        <v>135</v>
      </c>
      <c r="J831" t="s">
        <v>39</v>
      </c>
      <c r="K831" t="s">
        <v>31</v>
      </c>
      <c r="L831">
        <v>0.19</v>
      </c>
      <c r="M831">
        <v>1</v>
      </c>
      <c r="N831">
        <v>4.850758436844905</v>
      </c>
      <c r="O831">
        <v>6.9281219368152529</v>
      </c>
      <c r="P831">
        <v>-2.4521156710348886</v>
      </c>
      <c r="Q831">
        <v>0.77362100319819394</v>
      </c>
      <c r="R831">
        <v>-2.6840821475939207</v>
      </c>
      <c r="S831" s="2">
        <v>1.1541798838358789E-2</v>
      </c>
      <c r="T831" s="2">
        <v>2.2965170854822081E-2</v>
      </c>
      <c r="U831" s="2">
        <v>4.0588132591977688E-2</v>
      </c>
      <c r="V831" s="2">
        <v>6.5718458778719221E-2</v>
      </c>
      <c r="W831" s="2">
        <v>9.929258474881518E-2</v>
      </c>
      <c r="X831" s="2">
        <v>0.14155404025722737</v>
      </c>
      <c r="Y831" s="2">
        <v>0.19166662767206655</v>
      </c>
      <c r="Z831" s="2">
        <v>0.24732621636029131</v>
      </c>
      <c r="AA831" s="2">
        <v>0.30449276389618052</v>
      </c>
      <c r="AB831" s="2">
        <v>0.35741758254473516</v>
      </c>
      <c r="AC831" s="2">
        <v>0.39915470307965301</v>
      </c>
      <c r="AD831" s="2">
        <v>0.42267217490400422</v>
      </c>
      <c r="AE831" s="2">
        <v>0.42248436621963298</v>
      </c>
      <c r="AF831" s="2">
        <v>0.3964307569755624</v>
      </c>
      <c r="AG831" s="2">
        <v>0.34694796371524461</v>
      </c>
      <c r="AH831" s="2">
        <v>0.28560229068937504</v>
      </c>
      <c r="AI831" s="2">
        <v>0.21739710364580284</v>
      </c>
      <c r="AJ831" s="2">
        <v>5.6064869317518584E-2</v>
      </c>
      <c r="AK831" s="2">
        <v>0</v>
      </c>
      <c r="AL831" s="2">
        <v>0</v>
      </c>
      <c r="AM831" s="2">
        <v>0</v>
      </c>
      <c r="AN831" s="2">
        <v>0</v>
      </c>
      <c r="AO831" s="2">
        <v>0</v>
      </c>
      <c r="AP831" s="2">
        <v>0</v>
      </c>
      <c r="AQ831" s="2">
        <v>0</v>
      </c>
      <c r="AR831" s="2">
        <v>4.0293176050899877</v>
      </c>
    </row>
    <row r="832" spans="1:44" x14ac:dyDescent="0.25">
      <c r="A832" t="s">
        <v>250</v>
      </c>
      <c r="B832" t="s">
        <v>388</v>
      </c>
      <c r="C832" t="s">
        <v>44</v>
      </c>
      <c r="D832" t="s">
        <v>212</v>
      </c>
      <c r="E832" t="s">
        <v>134</v>
      </c>
      <c r="F832" t="s">
        <v>212</v>
      </c>
      <c r="G832" t="s">
        <v>31</v>
      </c>
      <c r="H832" t="s">
        <v>274</v>
      </c>
      <c r="I832" t="s">
        <v>135</v>
      </c>
      <c r="J832" t="s">
        <v>39</v>
      </c>
      <c r="K832" t="s">
        <v>33</v>
      </c>
      <c r="L832">
        <v>0.19</v>
      </c>
      <c r="M832">
        <v>1</v>
      </c>
      <c r="N832">
        <v>4.850758436844905</v>
      </c>
      <c r="O832">
        <v>6.9281219368152529</v>
      </c>
      <c r="P832">
        <v>-2.4521156710348886</v>
      </c>
      <c r="Q832">
        <v>0.77362100319819394</v>
      </c>
      <c r="R832">
        <v>-2.6840821475939207</v>
      </c>
      <c r="S832" s="2">
        <v>3.7135537208360691E-5</v>
      </c>
      <c r="T832" s="2">
        <v>7.3890038175095666E-5</v>
      </c>
      <c r="U832" s="2">
        <v>1.3059161134206646E-4</v>
      </c>
      <c r="V832" s="2">
        <v>2.1144799917516811E-4</v>
      </c>
      <c r="W832" s="2">
        <v>3.1947216608899543E-4</v>
      </c>
      <c r="X832" s="2">
        <v>4.5544766483848547E-4</v>
      </c>
      <c r="Y832" s="2">
        <v>6.1668404407307727E-4</v>
      </c>
      <c r="Z832" s="2">
        <v>7.9576780351828475E-4</v>
      </c>
      <c r="AA832" s="2">
        <v>9.7970017687044474E-4</v>
      </c>
      <c r="AB832" s="2">
        <v>1.1499848612332693E-3</v>
      </c>
      <c r="AC832" s="2">
        <v>1.2842733213165565E-3</v>
      </c>
      <c r="AD832" s="2">
        <v>1.3599403782641503E-3</v>
      </c>
      <c r="AE832" s="2">
        <v>1.3593361070856108E-3</v>
      </c>
      <c r="AF832" s="2">
        <v>1.2755090720588205E-3</v>
      </c>
      <c r="AG832" s="2">
        <v>1.116299044572893E-3</v>
      </c>
      <c r="AH832" s="2">
        <v>9.1892040757456789E-4</v>
      </c>
      <c r="AI832" s="2">
        <v>6.994714034174364E-4</v>
      </c>
      <c r="AJ832" s="2">
        <v>1.8038774282767679E-4</v>
      </c>
      <c r="AK832" s="2">
        <v>0</v>
      </c>
      <c r="AL832" s="2">
        <v>0</v>
      </c>
      <c r="AM832" s="2">
        <v>0</v>
      </c>
      <c r="AN832" s="2">
        <v>0</v>
      </c>
      <c r="AO832" s="2">
        <v>0</v>
      </c>
      <c r="AP832" s="2">
        <v>0</v>
      </c>
      <c r="AQ832" s="2">
        <v>0</v>
      </c>
      <c r="AR832" s="2">
        <v>1.2964259379640958E-2</v>
      </c>
    </row>
    <row r="833" spans="1:44" x14ac:dyDescent="0.25">
      <c r="A833" t="s">
        <v>250</v>
      </c>
      <c r="B833" t="s">
        <v>388</v>
      </c>
      <c r="C833" t="s">
        <v>44</v>
      </c>
      <c r="D833" t="s">
        <v>212</v>
      </c>
      <c r="E833" t="s">
        <v>134</v>
      </c>
      <c r="F833" t="s">
        <v>212</v>
      </c>
      <c r="G833" t="s">
        <v>31</v>
      </c>
      <c r="H833" t="s">
        <v>255</v>
      </c>
      <c r="I833" t="s">
        <v>135</v>
      </c>
      <c r="J833" t="s">
        <v>39</v>
      </c>
      <c r="K833" t="s">
        <v>31</v>
      </c>
      <c r="L833">
        <v>0.19</v>
      </c>
      <c r="M833">
        <v>1</v>
      </c>
      <c r="N833">
        <v>4.850758436844905</v>
      </c>
      <c r="O833">
        <v>6.9281219368152529</v>
      </c>
      <c r="P833">
        <v>-2.4521156710348886</v>
      </c>
      <c r="Q833">
        <v>0.77362100319819394</v>
      </c>
      <c r="R833">
        <v>-2.6840821475939207</v>
      </c>
      <c r="S833" s="2">
        <v>5.2823926489573673E-3</v>
      </c>
      <c r="T833" s="2">
        <v>1.0464124015320863E-2</v>
      </c>
      <c r="U833" s="2">
        <v>1.8412310315875872E-2</v>
      </c>
      <c r="V833" s="2">
        <v>2.9680595024595358E-2</v>
      </c>
      <c r="W833" s="2">
        <v>4.4645538711755875E-2</v>
      </c>
      <c r="X833" s="2">
        <v>6.3366473628953979E-2</v>
      </c>
      <c r="Y833" s="2">
        <v>8.5420043693462011E-2</v>
      </c>
      <c r="Z833" s="2">
        <v>0.10973861111560805</v>
      </c>
      <c r="AA833" s="2">
        <v>0.13450619897835336</v>
      </c>
      <c r="AB833" s="2">
        <v>0.1571872278912981</v>
      </c>
      <c r="AC833" s="2">
        <v>0.17476666976334163</v>
      </c>
      <c r="AD833" s="2">
        <v>0.18424556240268183</v>
      </c>
      <c r="AE833" s="2">
        <v>0.18334963041175276</v>
      </c>
      <c r="AF833" s="2">
        <v>0.17128240641631867</v>
      </c>
      <c r="AG833" s="2">
        <v>0.14924018376909881</v>
      </c>
      <c r="AH833" s="2">
        <v>0.12230920314709573</v>
      </c>
      <c r="AI833" s="2">
        <v>1.4211972314605472E-2</v>
      </c>
      <c r="AJ833" s="2">
        <v>0</v>
      </c>
      <c r="AK833" s="2">
        <v>0</v>
      </c>
      <c r="AL833" s="2">
        <v>0</v>
      </c>
      <c r="AM833" s="2">
        <v>0</v>
      </c>
      <c r="AN833" s="2">
        <v>0</v>
      </c>
      <c r="AO833" s="2">
        <v>0</v>
      </c>
      <c r="AP833" s="2">
        <v>0</v>
      </c>
      <c r="AQ833" s="2">
        <v>0</v>
      </c>
      <c r="AR833" s="2">
        <v>1.6581091442490759</v>
      </c>
    </row>
    <row r="834" spans="1:44" x14ac:dyDescent="0.25">
      <c r="A834" t="s">
        <v>250</v>
      </c>
      <c r="B834" t="s">
        <v>388</v>
      </c>
      <c r="C834" t="s">
        <v>44</v>
      </c>
      <c r="D834" t="s">
        <v>212</v>
      </c>
      <c r="E834" t="s">
        <v>134</v>
      </c>
      <c r="F834" t="s">
        <v>212</v>
      </c>
      <c r="G834" t="s">
        <v>31</v>
      </c>
      <c r="H834" t="s">
        <v>278</v>
      </c>
      <c r="I834" t="s">
        <v>135</v>
      </c>
      <c r="J834" t="s">
        <v>39</v>
      </c>
      <c r="K834" t="s">
        <v>31</v>
      </c>
      <c r="L834">
        <v>0.19</v>
      </c>
      <c r="M834">
        <v>1</v>
      </c>
      <c r="N834">
        <v>4.850758436844905</v>
      </c>
      <c r="O834">
        <v>6.9281219368152529</v>
      </c>
      <c r="P834">
        <v>-2.4521156710348886</v>
      </c>
      <c r="Q834">
        <v>0.77362100319819394</v>
      </c>
      <c r="R834">
        <v>-2.6840821475939207</v>
      </c>
      <c r="S834" s="2">
        <v>1.3003214255871625E-2</v>
      </c>
      <c r="T834" s="2">
        <v>2.5758639240512665E-2</v>
      </c>
      <c r="U834" s="2">
        <v>4.5324009761028586E-2</v>
      </c>
      <c r="V834" s="2">
        <v>7.3062182612030513E-2</v>
      </c>
      <c r="W834" s="2">
        <v>0.10990010474748749</v>
      </c>
      <c r="X834" s="2">
        <v>0.15598382929730936</v>
      </c>
      <c r="Y834" s="2">
        <v>0.2102712167962823</v>
      </c>
      <c r="Z834" s="2">
        <v>0.27013415459747742</v>
      </c>
      <c r="AA834" s="2">
        <v>0.33110240761895066</v>
      </c>
      <c r="AB834" s="2">
        <v>0.38693435690747074</v>
      </c>
      <c r="AC834" s="2">
        <v>0.43020816564373382</v>
      </c>
      <c r="AD834" s="2">
        <v>0.45354154505885041</v>
      </c>
      <c r="AE834" s="2">
        <v>0.45133610589312684</v>
      </c>
      <c r="AF834" s="2">
        <v>0.42163125252195693</v>
      </c>
      <c r="AG834" s="2">
        <v>0.36737179798973874</v>
      </c>
      <c r="AH834" s="2">
        <v>0.30107810601707702</v>
      </c>
      <c r="AI834" s="2">
        <v>3.498439689859114E-2</v>
      </c>
      <c r="AJ834" s="2">
        <v>0</v>
      </c>
      <c r="AK834" s="2">
        <v>0</v>
      </c>
      <c r="AL834" s="2">
        <v>0</v>
      </c>
      <c r="AM834" s="2">
        <v>0</v>
      </c>
      <c r="AN834" s="2">
        <v>0</v>
      </c>
      <c r="AO834" s="2">
        <v>0</v>
      </c>
      <c r="AP834" s="2">
        <v>0</v>
      </c>
      <c r="AQ834" s="2">
        <v>0</v>
      </c>
      <c r="AR834" s="2">
        <v>4.0816254858574963</v>
      </c>
    </row>
    <row r="835" spans="1:44" x14ac:dyDescent="0.25">
      <c r="A835" t="s">
        <v>250</v>
      </c>
      <c r="B835" t="s">
        <v>388</v>
      </c>
      <c r="C835" t="s">
        <v>44</v>
      </c>
      <c r="D835" t="s">
        <v>212</v>
      </c>
      <c r="E835" t="s">
        <v>134</v>
      </c>
      <c r="F835" t="s">
        <v>212</v>
      </c>
      <c r="G835" t="s">
        <v>31</v>
      </c>
      <c r="H835" t="s">
        <v>276</v>
      </c>
      <c r="I835" t="s">
        <v>135</v>
      </c>
      <c r="J835" t="s">
        <v>39</v>
      </c>
      <c r="K835" t="s">
        <v>31</v>
      </c>
      <c r="L835">
        <v>0.19</v>
      </c>
      <c r="M835">
        <v>1</v>
      </c>
      <c r="N835">
        <v>4.850758436844905</v>
      </c>
      <c r="O835">
        <v>6.9281219368152529</v>
      </c>
      <c r="P835">
        <v>-2.4521156710348886</v>
      </c>
      <c r="Q835">
        <v>0.77362100319819394</v>
      </c>
      <c r="R835">
        <v>-2.6840821475939207</v>
      </c>
      <c r="S835" s="2">
        <v>8.4006739419690737E-2</v>
      </c>
      <c r="T835" s="2">
        <v>0.16757132161877389</v>
      </c>
      <c r="U835" s="2">
        <v>0.29690565590689205</v>
      </c>
      <c r="V835" s="2">
        <v>0.48194353230931625</v>
      </c>
      <c r="W835" s="2">
        <v>0.72998676966126408</v>
      </c>
      <c r="X835" s="2">
        <v>1.043301492247082</v>
      </c>
      <c r="Y835" s="2">
        <v>1.4161962719933949</v>
      </c>
      <c r="Z835" s="2">
        <v>1.8320464685864359</v>
      </c>
      <c r="AA835" s="2">
        <v>2.2611672880083726</v>
      </c>
      <c r="AB835" s="2">
        <v>2.6608538240376025</v>
      </c>
      <c r="AC835" s="2">
        <v>2.9790359270867328</v>
      </c>
      <c r="AD835" s="2">
        <v>3.162478159150107</v>
      </c>
      <c r="AE835" s="2">
        <v>3.1690121573212755</v>
      </c>
      <c r="AF835" s="2">
        <v>2.9810550116371815</v>
      </c>
      <c r="AG835" s="2">
        <v>2.6155099579508008</v>
      </c>
      <c r="AH835" s="2">
        <v>2.1584555405058365</v>
      </c>
      <c r="AI835" s="2">
        <v>1.6471174229600039</v>
      </c>
      <c r="AJ835" s="2">
        <v>1.1379174067189302</v>
      </c>
      <c r="AK835" s="2">
        <v>0.32252336693380051</v>
      </c>
      <c r="AL835" s="2">
        <v>0</v>
      </c>
      <c r="AM835" s="2">
        <v>0</v>
      </c>
      <c r="AN835" s="2">
        <v>0</v>
      </c>
      <c r="AO835" s="2">
        <v>0</v>
      </c>
      <c r="AP835" s="2">
        <v>0</v>
      </c>
      <c r="AQ835" s="2">
        <v>0</v>
      </c>
      <c r="AR835" s="2">
        <v>31.14708431405349</v>
      </c>
    </row>
    <row r="836" spans="1:44" x14ac:dyDescent="0.25">
      <c r="A836" t="s">
        <v>250</v>
      </c>
      <c r="B836" t="s">
        <v>388</v>
      </c>
      <c r="C836" t="s">
        <v>44</v>
      </c>
      <c r="D836" t="s">
        <v>212</v>
      </c>
      <c r="E836" t="s">
        <v>134</v>
      </c>
      <c r="F836" t="s">
        <v>212</v>
      </c>
      <c r="G836" t="s">
        <v>31</v>
      </c>
      <c r="H836" t="s">
        <v>290</v>
      </c>
      <c r="I836" t="s">
        <v>135</v>
      </c>
      <c r="J836" t="s">
        <v>39</v>
      </c>
      <c r="K836" t="s">
        <v>31</v>
      </c>
      <c r="L836">
        <v>0.19</v>
      </c>
      <c r="M836">
        <v>1</v>
      </c>
      <c r="N836">
        <v>4.850758436844905</v>
      </c>
      <c r="O836">
        <v>6.9281219368152529</v>
      </c>
      <c r="P836">
        <v>-2.4521156710348886</v>
      </c>
      <c r="Q836">
        <v>0.77362100319819394</v>
      </c>
      <c r="R836">
        <v>-2.6840821475939207</v>
      </c>
      <c r="S836" s="2">
        <v>6.0107886004369331E-2</v>
      </c>
      <c r="T836" s="2">
        <v>0.11979126636807105</v>
      </c>
      <c r="U836" s="2">
        <v>0.21205673365264993</v>
      </c>
      <c r="V836" s="2">
        <v>0.34390452400515958</v>
      </c>
      <c r="W836" s="2">
        <v>0.52043303641053451</v>
      </c>
      <c r="X836" s="2">
        <v>0.74313519911628467</v>
      </c>
      <c r="Y836" s="2">
        <v>1.0078353480281754</v>
      </c>
      <c r="Z836" s="2">
        <v>1.3025990596357973</v>
      </c>
      <c r="AA836" s="2">
        <v>1.6062572647813285</v>
      </c>
      <c r="AB836" s="2">
        <v>1.8884764072660787</v>
      </c>
      <c r="AC836" s="2">
        <v>2.1123915577603278</v>
      </c>
      <c r="AD836" s="2">
        <v>2.2404453396630122</v>
      </c>
      <c r="AE836" s="2">
        <v>2.2430495062165261</v>
      </c>
      <c r="AF836" s="2">
        <v>2.1081090848696098</v>
      </c>
      <c r="AG836" s="2">
        <v>1.8479388797488348</v>
      </c>
      <c r="AH836" s="2">
        <v>1.5236403602202937</v>
      </c>
      <c r="AI836" s="2">
        <v>1.1616413358126605</v>
      </c>
      <c r="AJ836" s="2">
        <v>0.76689735541728721</v>
      </c>
      <c r="AK836" s="2">
        <v>0</v>
      </c>
      <c r="AL836" s="2">
        <v>0</v>
      </c>
      <c r="AM836" s="2">
        <v>0</v>
      </c>
      <c r="AN836" s="2">
        <v>0</v>
      </c>
      <c r="AO836" s="2">
        <v>0</v>
      </c>
      <c r="AP836" s="2">
        <v>0</v>
      </c>
      <c r="AQ836" s="2">
        <v>0</v>
      </c>
      <c r="AR836" s="2">
        <v>21.808710144976999</v>
      </c>
    </row>
    <row r="837" spans="1:44" x14ac:dyDescent="0.25">
      <c r="A837" t="s">
        <v>250</v>
      </c>
      <c r="B837" t="s">
        <v>388</v>
      </c>
      <c r="C837" t="s">
        <v>44</v>
      </c>
      <c r="D837" t="s">
        <v>212</v>
      </c>
      <c r="E837" t="s">
        <v>134</v>
      </c>
      <c r="F837" t="s">
        <v>212</v>
      </c>
      <c r="G837" t="s">
        <v>31</v>
      </c>
      <c r="H837" t="s">
        <v>275</v>
      </c>
      <c r="I837" t="s">
        <v>135</v>
      </c>
      <c r="J837" t="s">
        <v>39</v>
      </c>
      <c r="K837" t="s">
        <v>31</v>
      </c>
      <c r="L837">
        <v>0.19</v>
      </c>
      <c r="M837">
        <v>1</v>
      </c>
      <c r="N837">
        <v>4.850758436844905</v>
      </c>
      <c r="O837">
        <v>6.9281219368152529</v>
      </c>
      <c r="P837">
        <v>-2.4521156710348886</v>
      </c>
      <c r="Q837">
        <v>0.77362100319819394</v>
      </c>
      <c r="R837">
        <v>-2.6840821475939207</v>
      </c>
      <c r="S837" s="2">
        <v>1.7632260646913242E-2</v>
      </c>
      <c r="T837" s="2">
        <v>3.5083602130315569E-2</v>
      </c>
      <c r="U837" s="2">
        <v>6.2005978708860404E-2</v>
      </c>
      <c r="V837" s="2">
        <v>0.10039726135658189</v>
      </c>
      <c r="W837" s="2">
        <v>0.15168803053283714</v>
      </c>
      <c r="X837" s="2">
        <v>0.21625032357555757</v>
      </c>
      <c r="Y837" s="2">
        <v>0.29280669189944991</v>
      </c>
      <c r="Z837" s="2">
        <v>0.37783714417081488</v>
      </c>
      <c r="AA837" s="2">
        <v>0.46516975848453712</v>
      </c>
      <c r="AB837" s="2">
        <v>0.54602233702719216</v>
      </c>
      <c r="AC837" s="2">
        <v>0.60978361013806126</v>
      </c>
      <c r="AD837" s="2">
        <v>0.64571095549997037</v>
      </c>
      <c r="AE837" s="2">
        <v>0.64542404253943764</v>
      </c>
      <c r="AF837" s="2">
        <v>0.6056222719993436</v>
      </c>
      <c r="AG837" s="2">
        <v>0.53002803226926443</v>
      </c>
      <c r="AH837" s="2">
        <v>0.43631102060574656</v>
      </c>
      <c r="AI837" s="2">
        <v>0.3321148158142635</v>
      </c>
      <c r="AJ837" s="2">
        <v>8.5649594381788749E-2</v>
      </c>
      <c r="AK837" s="2">
        <v>0</v>
      </c>
      <c r="AL837" s="2">
        <v>0</v>
      </c>
      <c r="AM837" s="2">
        <v>0</v>
      </c>
      <c r="AN837" s="2">
        <v>0</v>
      </c>
      <c r="AO837" s="2">
        <v>0</v>
      </c>
      <c r="AP837" s="2">
        <v>0</v>
      </c>
      <c r="AQ837" s="2">
        <v>0</v>
      </c>
      <c r="AR837" s="2">
        <v>6.1555377317809361</v>
      </c>
    </row>
    <row r="838" spans="1:44" x14ac:dyDescent="0.25">
      <c r="A838" t="s">
        <v>250</v>
      </c>
      <c r="B838" t="s">
        <v>388</v>
      </c>
      <c r="C838" t="s">
        <v>44</v>
      </c>
      <c r="D838" t="s">
        <v>212</v>
      </c>
      <c r="E838" t="s">
        <v>134</v>
      </c>
      <c r="F838" t="s">
        <v>212</v>
      </c>
      <c r="G838" t="s">
        <v>31</v>
      </c>
      <c r="H838" t="s">
        <v>277</v>
      </c>
      <c r="I838" t="s">
        <v>135</v>
      </c>
      <c r="J838" t="s">
        <v>39</v>
      </c>
      <c r="K838" t="s">
        <v>31</v>
      </c>
      <c r="L838">
        <v>0.19</v>
      </c>
      <c r="M838">
        <v>1</v>
      </c>
      <c r="N838">
        <v>4.850758436844905</v>
      </c>
      <c r="O838">
        <v>6.9281219368152529</v>
      </c>
      <c r="P838">
        <v>-2.4521156710348886</v>
      </c>
      <c r="Q838">
        <v>0.77362100319819394</v>
      </c>
      <c r="R838">
        <v>-2.6840821475939207</v>
      </c>
      <c r="S838" s="2">
        <v>4.8460786345850909E-2</v>
      </c>
      <c r="T838" s="2">
        <v>9.6412707185575333E-2</v>
      </c>
      <c r="U838" s="2">
        <v>0.17037713379318131</v>
      </c>
      <c r="V838" s="2">
        <v>0.27583365109670355</v>
      </c>
      <c r="W838" s="2">
        <v>0.41670080081745536</v>
      </c>
      <c r="X838" s="2">
        <v>0.59398766877644016</v>
      </c>
      <c r="Y838" s="2">
        <v>0.80417265588756659</v>
      </c>
      <c r="Z838" s="2">
        <v>1.0375776171499869</v>
      </c>
      <c r="AA838" s="2">
        <v>1.2772474898313342</v>
      </c>
      <c r="AB838" s="2">
        <v>1.4990690413872136</v>
      </c>
      <c r="AC838" s="2">
        <v>1.6739196733826212</v>
      </c>
      <c r="AD838" s="2">
        <v>1.7723302990978766</v>
      </c>
      <c r="AE838" s="2">
        <v>1.7713292204707136</v>
      </c>
      <c r="AF838" s="2">
        <v>1.6618951737073613</v>
      </c>
      <c r="AG838" s="2">
        <v>1.4542807932906445</v>
      </c>
      <c r="AH838" s="2">
        <v>1.196997525452103</v>
      </c>
      <c r="AI838" s="2">
        <v>0.91103059192444702</v>
      </c>
      <c r="AJ838" s="2">
        <v>0.20747409534956368</v>
      </c>
      <c r="AK838" s="2">
        <v>0</v>
      </c>
      <c r="AL838" s="2">
        <v>0</v>
      </c>
      <c r="AM838" s="2">
        <v>0</v>
      </c>
      <c r="AN838" s="2">
        <v>0</v>
      </c>
      <c r="AO838" s="2">
        <v>0</v>
      </c>
      <c r="AP838" s="2">
        <v>0</v>
      </c>
      <c r="AQ838" s="2">
        <v>0</v>
      </c>
      <c r="AR838" s="2">
        <v>16.869096924946636</v>
      </c>
    </row>
    <row r="839" spans="1:44" x14ac:dyDescent="0.25">
      <c r="A839" t="s">
        <v>250</v>
      </c>
      <c r="B839" t="s">
        <v>388</v>
      </c>
      <c r="C839" t="s">
        <v>44</v>
      </c>
      <c r="D839" t="s">
        <v>212</v>
      </c>
      <c r="E839" t="s">
        <v>134</v>
      </c>
      <c r="F839" t="s">
        <v>212</v>
      </c>
      <c r="G839" t="s">
        <v>31</v>
      </c>
      <c r="H839" t="s">
        <v>277</v>
      </c>
      <c r="I839" t="s">
        <v>135</v>
      </c>
      <c r="J839" t="s">
        <v>40</v>
      </c>
      <c r="K839" t="s">
        <v>31</v>
      </c>
      <c r="L839">
        <v>0.19</v>
      </c>
      <c r="M839">
        <v>1</v>
      </c>
      <c r="N839">
        <v>4.850758436844905</v>
      </c>
      <c r="O839">
        <v>5.6913337240265207</v>
      </c>
      <c r="P839">
        <v>-2.4521156710348886</v>
      </c>
      <c r="Q839">
        <v>0.4672931329656026</v>
      </c>
      <c r="R839">
        <v>-2.5410821475939209</v>
      </c>
      <c r="S839" s="2">
        <v>7.6444656428600989E-3</v>
      </c>
      <c r="T839" s="2">
        <v>1.5208660097987948E-2</v>
      </c>
      <c r="U839" s="2">
        <v>2.687620742089887E-2</v>
      </c>
      <c r="V839" s="2">
        <v>4.3511486873219998E-2</v>
      </c>
      <c r="W839" s="2">
        <v>6.5732630347094173E-2</v>
      </c>
      <c r="X839" s="2">
        <v>9.3698816478920546E-2</v>
      </c>
      <c r="Y839" s="2">
        <v>0.12685452924736523</v>
      </c>
      <c r="Z839" s="2">
        <v>0.16367308589458793</v>
      </c>
      <c r="AA839" s="2">
        <v>0.20147990343703731</v>
      </c>
      <c r="AB839" s="2">
        <v>0.23647123060232642</v>
      </c>
      <c r="AC839" s="2">
        <v>0.2640531117418945</v>
      </c>
      <c r="AD839" s="2">
        <v>0.27957693427757735</v>
      </c>
      <c r="AE839" s="2">
        <v>0.27941901873909375</v>
      </c>
      <c r="AF839" s="2">
        <v>0.26215630235081083</v>
      </c>
      <c r="AG839" s="2">
        <v>0.22940609093796699</v>
      </c>
      <c r="AH839" s="2">
        <v>0.18882084150684844</v>
      </c>
      <c r="AI839" s="2">
        <v>0.14371087604436292</v>
      </c>
      <c r="AJ839" s="2">
        <v>3.2728082090213155E-2</v>
      </c>
      <c r="AK839" s="2">
        <v>0</v>
      </c>
      <c r="AL839" s="2">
        <v>0</v>
      </c>
      <c r="AM839" s="2">
        <v>0</v>
      </c>
      <c r="AN839" s="2">
        <v>0</v>
      </c>
      <c r="AO839" s="2">
        <v>0</v>
      </c>
      <c r="AP839" s="2">
        <v>0</v>
      </c>
      <c r="AQ839" s="2">
        <v>0</v>
      </c>
      <c r="AR839" s="2">
        <v>2.6610222737310658</v>
      </c>
    </row>
    <row r="840" spans="1:44" x14ac:dyDescent="0.25">
      <c r="A840" t="s">
        <v>250</v>
      </c>
      <c r="B840" t="s">
        <v>404</v>
      </c>
      <c r="C840" t="s">
        <v>44</v>
      </c>
      <c r="D840" t="s">
        <v>219</v>
      </c>
      <c r="E840" t="s">
        <v>134</v>
      </c>
      <c r="F840" t="s">
        <v>399</v>
      </c>
      <c r="G840" t="s">
        <v>31</v>
      </c>
      <c r="H840" t="s">
        <v>253</v>
      </c>
      <c r="I840" t="s">
        <v>135</v>
      </c>
      <c r="J840" t="s">
        <v>39</v>
      </c>
      <c r="K840" t="s">
        <v>31</v>
      </c>
      <c r="L840">
        <v>0.47068074581430608</v>
      </c>
      <c r="M840">
        <v>0</v>
      </c>
      <c r="N840">
        <v>0.58605863060095531</v>
      </c>
      <c r="O840">
        <v>6.0314982584435839</v>
      </c>
      <c r="P840">
        <v>2.8150631036590616</v>
      </c>
      <c r="Q840">
        <v>5.5745076746880287</v>
      </c>
      <c r="R840">
        <v>-2.217790044389806</v>
      </c>
      <c r="S840" s="2">
        <v>0.30659873997493969</v>
      </c>
      <c r="T840" s="2">
        <v>0.49668010137224522</v>
      </c>
      <c r="U840" s="2">
        <v>0.75080006825326717</v>
      </c>
      <c r="V840" s="2">
        <v>1.0708973718230361</v>
      </c>
      <c r="W840" s="2">
        <v>1.4507419878637775</v>
      </c>
      <c r="X840" s="2">
        <v>1.8729747763897691</v>
      </c>
      <c r="Y840" s="2">
        <v>2.3070491522062286</v>
      </c>
      <c r="Z840" s="2">
        <v>2.7094047014474514</v>
      </c>
      <c r="AA840" s="2">
        <v>3.0273129153840768</v>
      </c>
      <c r="AB840" s="2">
        <v>3.2072869522531815</v>
      </c>
      <c r="AC840" s="2">
        <v>3.2074721759977791</v>
      </c>
      <c r="AD840" s="2">
        <v>3.0111867628667572</v>
      </c>
      <c r="AE840" s="2">
        <v>2.6366518588194783</v>
      </c>
      <c r="AF840" s="2">
        <v>2.1715419783659398</v>
      </c>
      <c r="AG840" s="2">
        <v>1.6537825018417827</v>
      </c>
      <c r="AH840" s="2">
        <v>0.41990254639170299</v>
      </c>
      <c r="AI840" s="2">
        <v>0</v>
      </c>
      <c r="AJ840" s="2">
        <v>0</v>
      </c>
      <c r="AK840" s="2">
        <v>0</v>
      </c>
      <c r="AL840" s="2">
        <v>0</v>
      </c>
      <c r="AM840" s="2">
        <v>0</v>
      </c>
      <c r="AN840" s="2">
        <v>0</v>
      </c>
      <c r="AO840" s="2">
        <v>0</v>
      </c>
      <c r="AP840" s="2">
        <v>0</v>
      </c>
      <c r="AQ840" s="2">
        <v>0</v>
      </c>
      <c r="AR840" s="2">
        <v>30.300284591251415</v>
      </c>
    </row>
    <row r="841" spans="1:44" x14ac:dyDescent="0.25">
      <c r="A841" t="s">
        <v>250</v>
      </c>
      <c r="B841" t="s">
        <v>404</v>
      </c>
      <c r="C841" t="s">
        <v>44</v>
      </c>
      <c r="D841" t="s">
        <v>219</v>
      </c>
      <c r="E841" t="s">
        <v>134</v>
      </c>
      <c r="F841" t="s">
        <v>399</v>
      </c>
      <c r="G841" t="s">
        <v>31</v>
      </c>
      <c r="H841" t="s">
        <v>253</v>
      </c>
      <c r="I841" t="s">
        <v>135</v>
      </c>
      <c r="J841" t="s">
        <v>40</v>
      </c>
      <c r="K841" t="s">
        <v>31</v>
      </c>
      <c r="L841">
        <v>0.47068074581430608</v>
      </c>
      <c r="M841">
        <v>0</v>
      </c>
      <c r="N841">
        <v>0.58605863060095531</v>
      </c>
      <c r="O841">
        <v>4.8304674702220103</v>
      </c>
      <c r="P841">
        <v>2.8150631036590616</v>
      </c>
      <c r="Q841">
        <v>0.4672931329656026</v>
      </c>
      <c r="R841">
        <v>-2.0747900443898062</v>
      </c>
      <c r="S841" s="2">
        <v>0.16127730955763311</v>
      </c>
      <c r="T841" s="2">
        <v>0.26126405629284555</v>
      </c>
      <c r="U841" s="2">
        <v>0.39493644048723536</v>
      </c>
      <c r="V841" s="2">
        <v>0.56331427504912868</v>
      </c>
      <c r="W841" s="2">
        <v>0.76312043775550509</v>
      </c>
      <c r="X841" s="2">
        <v>0.9852236601824953</v>
      </c>
      <c r="Y841" s="2">
        <v>1.2135558036391501</v>
      </c>
      <c r="Z841" s="2">
        <v>1.4252031850749385</v>
      </c>
      <c r="AA841" s="2">
        <v>1.5924295129918831</v>
      </c>
      <c r="AB841" s="2">
        <v>1.6870995969552021</v>
      </c>
      <c r="AC841" s="2">
        <v>1.6871970284945403</v>
      </c>
      <c r="AD841" s="2">
        <v>1.5839468216027344</v>
      </c>
      <c r="AE841" s="2">
        <v>1.3869336777616712</v>
      </c>
      <c r="AF841" s="2">
        <v>1.1422762138257456</v>
      </c>
      <c r="AG841" s="2">
        <v>0.86992396809045769</v>
      </c>
      <c r="AH841" s="2">
        <v>0.22087746663274394</v>
      </c>
      <c r="AI841" s="2">
        <v>0</v>
      </c>
      <c r="AJ841" s="2">
        <v>0</v>
      </c>
      <c r="AK841" s="2">
        <v>0</v>
      </c>
      <c r="AL841" s="2">
        <v>0</v>
      </c>
      <c r="AM841" s="2">
        <v>0</v>
      </c>
      <c r="AN841" s="2">
        <v>0</v>
      </c>
      <c r="AO841" s="2">
        <v>0</v>
      </c>
      <c r="AP841" s="2">
        <v>0</v>
      </c>
      <c r="AQ841" s="2">
        <v>0</v>
      </c>
      <c r="AR841" s="2">
        <v>15.938579454393912</v>
      </c>
    </row>
    <row r="842" spans="1:44" x14ac:dyDescent="0.25">
      <c r="A842" t="s">
        <v>250</v>
      </c>
      <c r="B842" t="s">
        <v>404</v>
      </c>
      <c r="C842" t="s">
        <v>44</v>
      </c>
      <c r="D842" t="s">
        <v>219</v>
      </c>
      <c r="E842" t="s">
        <v>134</v>
      </c>
      <c r="F842" t="s">
        <v>399</v>
      </c>
      <c r="G842" t="s">
        <v>31</v>
      </c>
      <c r="H842" t="s">
        <v>253</v>
      </c>
      <c r="I842" t="s">
        <v>256</v>
      </c>
      <c r="J842" t="s">
        <v>39</v>
      </c>
      <c r="K842" t="s">
        <v>31</v>
      </c>
      <c r="L842">
        <v>0.47068074581430608</v>
      </c>
      <c r="M842">
        <v>0</v>
      </c>
      <c r="N842">
        <v>0.32362523975792612</v>
      </c>
      <c r="O842">
        <v>3.3306310462261401</v>
      </c>
      <c r="P842">
        <v>4.2780000550079311</v>
      </c>
      <c r="Q842">
        <v>0.4672931329656026</v>
      </c>
      <c r="R842">
        <v>-0.75485309304093695</v>
      </c>
      <c r="S842" s="2">
        <v>0.16082971468938922</v>
      </c>
      <c r="T842" s="2">
        <v>0.2605389669968125</v>
      </c>
      <c r="U842" s="2">
        <v>0.39384036860626581</v>
      </c>
      <c r="V842" s="2">
        <v>0.5617509021269731</v>
      </c>
      <c r="W842" s="2">
        <v>0.76100254037286497</v>
      </c>
      <c r="X842" s="2">
        <v>0.98248935703979234</v>
      </c>
      <c r="Y842" s="2">
        <v>1.2101878075364976</v>
      </c>
      <c r="Z842" s="2">
        <v>1.421247801434214</v>
      </c>
      <c r="AA842" s="2">
        <v>1.5880100241002948</v>
      </c>
      <c r="AB842" s="2">
        <v>1.6824173690343336</v>
      </c>
      <c r="AC842" s="2">
        <v>1.6825145301707418</v>
      </c>
      <c r="AD842" s="2">
        <v>1.5795508748271758</v>
      </c>
      <c r="AE842" s="2">
        <v>1.3830845039475532</v>
      </c>
      <c r="AF842" s="2">
        <v>1.1391060408309963</v>
      </c>
      <c r="AG842" s="2">
        <v>0.86750965757803844</v>
      </c>
      <c r="AH842" s="2">
        <v>0.2202644627275524</v>
      </c>
      <c r="AI842" s="2">
        <v>0</v>
      </c>
      <c r="AJ842" s="2">
        <v>0</v>
      </c>
      <c r="AK842" s="2">
        <v>0</v>
      </c>
      <c r="AL842" s="2">
        <v>0</v>
      </c>
      <c r="AM842" s="2">
        <v>0</v>
      </c>
      <c r="AN842" s="2">
        <v>0</v>
      </c>
      <c r="AO842" s="2">
        <v>0</v>
      </c>
      <c r="AP842" s="2">
        <v>0</v>
      </c>
      <c r="AQ842" s="2">
        <v>0</v>
      </c>
      <c r="AR842" s="2">
        <v>15.894344922019494</v>
      </c>
    </row>
    <row r="843" spans="1:44" x14ac:dyDescent="0.25">
      <c r="A843" t="s">
        <v>250</v>
      </c>
      <c r="B843" t="s">
        <v>413</v>
      </c>
      <c r="C843" t="s">
        <v>44</v>
      </c>
      <c r="D843" t="s">
        <v>219</v>
      </c>
      <c r="E843" t="s">
        <v>134</v>
      </c>
      <c r="F843" t="s">
        <v>408</v>
      </c>
      <c r="G843" t="s">
        <v>31</v>
      </c>
      <c r="H843" t="s">
        <v>253</v>
      </c>
      <c r="I843" t="s">
        <v>135</v>
      </c>
      <c r="J843" t="s">
        <v>39</v>
      </c>
      <c r="K843" t="s">
        <v>31</v>
      </c>
      <c r="L843">
        <v>0.31387313296220043</v>
      </c>
      <c r="M843">
        <v>0</v>
      </c>
      <c r="N843">
        <v>0.58446794376671085</v>
      </c>
      <c r="O843">
        <v>6.0314982584435723</v>
      </c>
      <c r="P843">
        <v>2.830234673049798</v>
      </c>
      <c r="Q843">
        <v>5.5896792440787584</v>
      </c>
      <c r="R843">
        <v>-2.2177900443898002</v>
      </c>
      <c r="S843" s="2">
        <v>0</v>
      </c>
      <c r="T843" s="2">
        <v>0</v>
      </c>
      <c r="U843" s="2">
        <v>0.23518338489829252</v>
      </c>
      <c r="V843" s="2">
        <v>0.33545184588218241</v>
      </c>
      <c r="W843" s="2">
        <v>0.45443577557692372</v>
      </c>
      <c r="X843" s="2">
        <v>0.5866975328935069</v>
      </c>
      <c r="Y843" s="2">
        <v>0.72266859272523254</v>
      </c>
      <c r="Z843" s="2">
        <v>0.84870393023300916</v>
      </c>
      <c r="AA843" s="2">
        <v>0.94828667269936295</v>
      </c>
      <c r="AB843" s="2">
        <v>1.0046624043680608</v>
      </c>
      <c r="AC843" s="2">
        <v>1.0047204245375572</v>
      </c>
      <c r="AD843" s="2">
        <v>0.94323525715643053</v>
      </c>
      <c r="AE843" s="2">
        <v>0.82591456124690021</v>
      </c>
      <c r="AF843" s="2">
        <v>0.68022182537756315</v>
      </c>
      <c r="AG843" s="2">
        <v>0.51803693568327613</v>
      </c>
      <c r="AH843" s="2">
        <v>0.35717052755559786</v>
      </c>
      <c r="AI843" s="2">
        <v>2.5983325616378655E-2</v>
      </c>
      <c r="AJ843" s="2">
        <v>0</v>
      </c>
      <c r="AK843" s="2">
        <v>0</v>
      </c>
      <c r="AL843" s="2">
        <v>0</v>
      </c>
      <c r="AM843" s="2">
        <v>0</v>
      </c>
      <c r="AN843" s="2">
        <v>0</v>
      </c>
      <c r="AO843" s="2">
        <v>0</v>
      </c>
      <c r="AP843" s="2">
        <v>0</v>
      </c>
      <c r="AQ843" s="2">
        <v>0</v>
      </c>
      <c r="AR843" s="2">
        <v>9.4913729964502771</v>
      </c>
    </row>
    <row r="844" spans="1:44" x14ac:dyDescent="0.25">
      <c r="A844" t="s">
        <v>250</v>
      </c>
      <c r="B844" t="s">
        <v>413</v>
      </c>
      <c r="C844" t="s">
        <v>44</v>
      </c>
      <c r="D844" t="s">
        <v>219</v>
      </c>
      <c r="E844" t="s">
        <v>134</v>
      </c>
      <c r="F844" t="s">
        <v>408</v>
      </c>
      <c r="G844" t="s">
        <v>31</v>
      </c>
      <c r="H844" t="s">
        <v>253</v>
      </c>
      <c r="I844" t="s">
        <v>135</v>
      </c>
      <c r="J844" t="s">
        <v>40</v>
      </c>
      <c r="K844" t="s">
        <v>31</v>
      </c>
      <c r="L844">
        <v>0.31387313296220043</v>
      </c>
      <c r="M844">
        <v>0</v>
      </c>
      <c r="N844">
        <v>0.58446794376671085</v>
      </c>
      <c r="O844">
        <v>4.8304674702219987</v>
      </c>
      <c r="P844">
        <v>2.830234673049798</v>
      </c>
      <c r="Q844">
        <v>0.4672931329656026</v>
      </c>
      <c r="R844">
        <v>-2.0747900443897995</v>
      </c>
      <c r="S844" s="2">
        <v>0</v>
      </c>
      <c r="T844" s="2">
        <v>0</v>
      </c>
      <c r="U844" s="2">
        <v>0.12371134849462889</v>
      </c>
      <c r="V844" s="2">
        <v>0.17645464294615867</v>
      </c>
      <c r="W844" s="2">
        <v>0.23904266292083606</v>
      </c>
      <c r="X844" s="2">
        <v>0.30861509619021815</v>
      </c>
      <c r="Y844" s="2">
        <v>0.38013869967649805</v>
      </c>
      <c r="Z844" s="2">
        <v>0.44643590671689187</v>
      </c>
      <c r="AA844" s="2">
        <v>0.49881849897626307</v>
      </c>
      <c r="AB844" s="2">
        <v>0.52847330554400618</v>
      </c>
      <c r="AC844" s="2">
        <v>0.52850382535904938</v>
      </c>
      <c r="AD844" s="2">
        <v>0.49616134941234641</v>
      </c>
      <c r="AE844" s="2">
        <v>0.43444822497724683</v>
      </c>
      <c r="AF844" s="2">
        <v>0.35781081784042001</v>
      </c>
      <c r="AG844" s="2">
        <v>0.27249819501968026</v>
      </c>
      <c r="AH844" s="2">
        <v>0.18787912090622277</v>
      </c>
      <c r="AI844" s="2">
        <v>1.3667769310182784E-2</v>
      </c>
      <c r="AJ844" s="2">
        <v>0</v>
      </c>
      <c r="AK844" s="2">
        <v>0</v>
      </c>
      <c r="AL844" s="2">
        <v>0</v>
      </c>
      <c r="AM844" s="2">
        <v>0</v>
      </c>
      <c r="AN844" s="2">
        <v>0</v>
      </c>
      <c r="AO844" s="2">
        <v>0</v>
      </c>
      <c r="AP844" s="2">
        <v>0</v>
      </c>
      <c r="AQ844" s="2">
        <v>0</v>
      </c>
      <c r="AR844" s="2">
        <v>4.9926594642906501</v>
      </c>
    </row>
    <row r="845" spans="1:44" x14ac:dyDescent="0.25">
      <c r="A845" t="s">
        <v>250</v>
      </c>
      <c r="B845" t="s">
        <v>413</v>
      </c>
      <c r="C845" t="s">
        <v>44</v>
      </c>
      <c r="D845" t="s">
        <v>219</v>
      </c>
      <c r="E845" t="s">
        <v>134</v>
      </c>
      <c r="F845" t="s">
        <v>408</v>
      </c>
      <c r="G845" t="s">
        <v>31</v>
      </c>
      <c r="H845" t="s">
        <v>253</v>
      </c>
      <c r="I845" t="s">
        <v>256</v>
      </c>
      <c r="J845" t="s">
        <v>39</v>
      </c>
      <c r="K845" t="s">
        <v>31</v>
      </c>
      <c r="L845">
        <v>0.31387313296220043</v>
      </c>
      <c r="M845">
        <v>0</v>
      </c>
      <c r="N845">
        <v>0.32274685254334923</v>
      </c>
      <c r="O845">
        <v>3.3306310462261299</v>
      </c>
      <c r="P845">
        <v>4.2931716243986662</v>
      </c>
      <c r="Q845">
        <v>0.4672931329656026</v>
      </c>
      <c r="R845">
        <v>-0.7548530930409314</v>
      </c>
      <c r="S845" s="2">
        <v>0</v>
      </c>
      <c r="T845" s="2">
        <v>0</v>
      </c>
      <c r="U845" s="2">
        <v>0.12336801089257195</v>
      </c>
      <c r="V845" s="2">
        <v>0.17596492624095614</v>
      </c>
      <c r="W845" s="2">
        <v>0.23837924492664847</v>
      </c>
      <c r="X845" s="2">
        <v>0.30775859298033564</v>
      </c>
      <c r="Y845" s="2">
        <v>0.3790836961446139</v>
      </c>
      <c r="Z845" s="2">
        <v>0.44519690774428788</v>
      </c>
      <c r="AA845" s="2">
        <v>0.49743412196167075</v>
      </c>
      <c r="AB845" s="2">
        <v>0.52700662718600166</v>
      </c>
      <c r="AC845" s="2">
        <v>0.52703706229903302</v>
      </c>
      <c r="AD845" s="2">
        <v>0.49478434681708344</v>
      </c>
      <c r="AE845" s="2">
        <v>0.43324249556279393</v>
      </c>
      <c r="AF845" s="2">
        <v>0.35681778114910362</v>
      </c>
      <c r="AG845" s="2">
        <v>0.27174192748253517</v>
      </c>
      <c r="AH845" s="2">
        <v>0.18735769770913166</v>
      </c>
      <c r="AI845" s="2">
        <v>1.3629836984669843E-2</v>
      </c>
      <c r="AJ845" s="2">
        <v>0</v>
      </c>
      <c r="AK845" s="2">
        <v>0</v>
      </c>
      <c r="AL845" s="2">
        <v>0</v>
      </c>
      <c r="AM845" s="2">
        <v>0</v>
      </c>
      <c r="AN845" s="2">
        <v>0</v>
      </c>
      <c r="AO845" s="2">
        <v>0</v>
      </c>
      <c r="AP845" s="2">
        <v>0</v>
      </c>
      <c r="AQ845" s="2">
        <v>0</v>
      </c>
      <c r="AR845" s="2">
        <v>4.9788032760814369</v>
      </c>
    </row>
    <row r="846" spans="1:44" x14ac:dyDescent="0.25">
      <c r="A846" t="s">
        <v>250</v>
      </c>
      <c r="B846" t="s">
        <v>405</v>
      </c>
      <c r="C846" t="s">
        <v>44</v>
      </c>
      <c r="D846" t="s">
        <v>219</v>
      </c>
      <c r="E846" t="s">
        <v>134</v>
      </c>
      <c r="F846" t="s">
        <v>399</v>
      </c>
      <c r="G846" t="s">
        <v>31</v>
      </c>
      <c r="H846" t="s">
        <v>252</v>
      </c>
      <c r="I846" t="s">
        <v>135</v>
      </c>
      <c r="J846" t="s">
        <v>39</v>
      </c>
      <c r="K846" t="s">
        <v>31</v>
      </c>
      <c r="L846">
        <v>0.5338193843886696</v>
      </c>
      <c r="M846">
        <v>0</v>
      </c>
      <c r="N846">
        <v>0.79194349609584402</v>
      </c>
      <c r="O846">
        <v>7.236633810211182</v>
      </c>
      <c r="P846">
        <v>1.5733259870010581</v>
      </c>
      <c r="Q846">
        <v>4.9495393045774785</v>
      </c>
      <c r="R846">
        <v>-2.8345587909372605</v>
      </c>
      <c r="S846" s="2">
        <v>0.25868285136727931</v>
      </c>
      <c r="T846" s="2">
        <v>0.41922621560604695</v>
      </c>
      <c r="U846" s="2">
        <v>0.63397243169712758</v>
      </c>
      <c r="V846" s="2">
        <v>0.9046244471832523</v>
      </c>
      <c r="W846" s="2">
        <v>1.2259846883065786</v>
      </c>
      <c r="X846" s="2">
        <v>1.5834384703473638</v>
      </c>
      <c r="Y846" s="2">
        <v>1.951194255526443</v>
      </c>
      <c r="Z846" s="2">
        <v>2.2924081266040051</v>
      </c>
      <c r="AA846" s="2">
        <v>2.5624167877800428</v>
      </c>
      <c r="AB846" s="2">
        <v>2.715843077848465</v>
      </c>
      <c r="AC846" s="2">
        <v>2.7170907928069576</v>
      </c>
      <c r="AD846" s="2">
        <v>2.5518394299299136</v>
      </c>
      <c r="AE846" s="2">
        <v>2.2353361352635948</v>
      </c>
      <c r="AF846" s="2">
        <v>1.8417584715561885</v>
      </c>
      <c r="AG846" s="2">
        <v>1.4031924439852113</v>
      </c>
      <c r="AH846" s="2">
        <v>0.51545945539739779</v>
      </c>
      <c r="AI846" s="2">
        <v>0</v>
      </c>
      <c r="AJ846" s="2">
        <v>0</v>
      </c>
      <c r="AK846" s="2">
        <v>0</v>
      </c>
      <c r="AL846" s="2">
        <v>0</v>
      </c>
      <c r="AM846" s="2">
        <v>0</v>
      </c>
      <c r="AN846" s="2">
        <v>0</v>
      </c>
      <c r="AO846" s="2">
        <v>0</v>
      </c>
      <c r="AP846" s="2">
        <v>0</v>
      </c>
      <c r="AQ846" s="2">
        <v>0</v>
      </c>
      <c r="AR846" s="2">
        <v>25.812468081205864</v>
      </c>
    </row>
    <row r="847" spans="1:44" x14ac:dyDescent="0.25">
      <c r="A847" t="s">
        <v>250</v>
      </c>
      <c r="B847" t="s">
        <v>414</v>
      </c>
      <c r="C847" t="s">
        <v>44</v>
      </c>
      <c r="D847" t="s">
        <v>219</v>
      </c>
      <c r="E847" t="s">
        <v>134</v>
      </c>
      <c r="F847" t="s">
        <v>408</v>
      </c>
      <c r="G847" t="s">
        <v>31</v>
      </c>
      <c r="H847" t="s">
        <v>252</v>
      </c>
      <c r="I847" t="s">
        <v>135</v>
      </c>
      <c r="J847" t="s">
        <v>39</v>
      </c>
      <c r="K847" t="s">
        <v>31</v>
      </c>
      <c r="L847">
        <v>0.35597709084986917</v>
      </c>
      <c r="M847">
        <v>0</v>
      </c>
      <c r="N847">
        <v>0.7898088797270012</v>
      </c>
      <c r="O847">
        <v>7.236633810211182</v>
      </c>
      <c r="P847">
        <v>1.5867031063130539</v>
      </c>
      <c r="Q847">
        <v>4.9629164238894754</v>
      </c>
      <c r="R847">
        <v>-2.8345587909372609</v>
      </c>
      <c r="S847" s="2">
        <v>0</v>
      </c>
      <c r="T847" s="2">
        <v>0</v>
      </c>
      <c r="U847" s="2">
        <v>0.19858786476353241</v>
      </c>
      <c r="V847" s="2">
        <v>0.28336790118475896</v>
      </c>
      <c r="W847" s="2">
        <v>0.38403196938995754</v>
      </c>
      <c r="X847" s="2">
        <v>0.49600211158857183</v>
      </c>
      <c r="Y847" s="2">
        <v>0.61119929127924921</v>
      </c>
      <c r="Z847" s="2">
        <v>0.71808238381940592</v>
      </c>
      <c r="AA847" s="2">
        <v>0.80266089356164949</v>
      </c>
      <c r="AB847" s="2">
        <v>0.85072071102360869</v>
      </c>
      <c r="AC847" s="2">
        <v>0.85111154986304771</v>
      </c>
      <c r="AD847" s="2">
        <v>0.79934760294320173</v>
      </c>
      <c r="AE847" s="2">
        <v>0.70020494257522659</v>
      </c>
      <c r="AF847" s="2">
        <v>0.57691922233492865</v>
      </c>
      <c r="AG847" s="2">
        <v>0.43954118092704469</v>
      </c>
      <c r="AH847" s="2">
        <v>0.30317183900142552</v>
      </c>
      <c r="AI847" s="2">
        <v>7.0643322170806086E-2</v>
      </c>
      <c r="AJ847" s="2">
        <v>0</v>
      </c>
      <c r="AK847" s="2">
        <v>0</v>
      </c>
      <c r="AL847" s="2">
        <v>0</v>
      </c>
      <c r="AM847" s="2">
        <v>0</v>
      </c>
      <c r="AN847" s="2">
        <v>0</v>
      </c>
      <c r="AO847" s="2">
        <v>0</v>
      </c>
      <c r="AP847" s="2">
        <v>0</v>
      </c>
      <c r="AQ847" s="2">
        <v>0</v>
      </c>
      <c r="AR847" s="2">
        <v>8.0855927864264139</v>
      </c>
    </row>
    <row r="848" spans="1:44" x14ac:dyDescent="0.25">
      <c r="A848" t="s">
        <v>250</v>
      </c>
      <c r="B848" t="s">
        <v>398</v>
      </c>
      <c r="C848" t="s">
        <v>44</v>
      </c>
      <c r="D848" t="s">
        <v>219</v>
      </c>
      <c r="E848" t="s">
        <v>134</v>
      </c>
      <c r="F848" t="s">
        <v>399</v>
      </c>
      <c r="G848" t="s">
        <v>31</v>
      </c>
      <c r="H848" t="s">
        <v>288</v>
      </c>
      <c r="I848" t="s">
        <v>135</v>
      </c>
      <c r="J848" t="s">
        <v>39</v>
      </c>
      <c r="K848" t="s">
        <v>31</v>
      </c>
      <c r="L848">
        <v>0.10766666351552968</v>
      </c>
      <c r="M848">
        <v>0</v>
      </c>
      <c r="N848">
        <v>0.18208355552246425</v>
      </c>
      <c r="O848">
        <v>7.8628457168505888</v>
      </c>
      <c r="P848">
        <v>19.6928546862563</v>
      </c>
      <c r="Q848">
        <v>23.390063768125486</v>
      </c>
      <c r="R848">
        <v>-3.1555545552300264</v>
      </c>
      <c r="S848" s="2">
        <v>0.7146643730150718</v>
      </c>
      <c r="T848" s="2">
        <v>1.1590120567818281</v>
      </c>
      <c r="U848" s="2">
        <v>1.7539407650779728</v>
      </c>
      <c r="V848" s="2">
        <v>2.50448189969672</v>
      </c>
      <c r="W848" s="2">
        <v>3.3965628192725963</v>
      </c>
      <c r="X848" s="2">
        <v>4.3899626491912915</v>
      </c>
      <c r="Y848" s="2">
        <v>5.4133383140578593</v>
      </c>
      <c r="Z848" s="2">
        <v>6.3644609831785077</v>
      </c>
      <c r="AA848" s="2">
        <v>7.1190900764412035</v>
      </c>
      <c r="AB848" s="2">
        <v>7.5506513580819625</v>
      </c>
      <c r="AC848" s="2">
        <v>7.559427806842332</v>
      </c>
      <c r="AD848" s="2">
        <v>7.1046574727191665</v>
      </c>
      <c r="AE848" s="2">
        <v>6.2278431725215437</v>
      </c>
      <c r="AF848" s="2">
        <v>5.1349064185856275</v>
      </c>
      <c r="AG848" s="2">
        <v>3.9149130641934291</v>
      </c>
      <c r="AH848" s="2">
        <v>2.2165790140461468</v>
      </c>
      <c r="AI848" s="2">
        <v>0</v>
      </c>
      <c r="AJ848" s="2">
        <v>0</v>
      </c>
      <c r="AK848" s="2">
        <v>0</v>
      </c>
      <c r="AL848" s="2">
        <v>0</v>
      </c>
      <c r="AM848" s="2">
        <v>0</v>
      </c>
      <c r="AN848" s="2">
        <v>0</v>
      </c>
      <c r="AO848" s="2">
        <v>0</v>
      </c>
      <c r="AP848" s="2">
        <v>0</v>
      </c>
      <c r="AQ848" s="2">
        <v>0</v>
      </c>
      <c r="AR848" s="2">
        <v>72.524492243703264</v>
      </c>
    </row>
    <row r="849" spans="1:44" x14ac:dyDescent="0.25">
      <c r="A849" t="s">
        <v>250</v>
      </c>
      <c r="B849" t="s">
        <v>398</v>
      </c>
      <c r="C849" t="s">
        <v>44</v>
      </c>
      <c r="D849" t="s">
        <v>219</v>
      </c>
      <c r="E849" t="s">
        <v>134</v>
      </c>
      <c r="F849" t="s">
        <v>399</v>
      </c>
      <c r="G849" t="s">
        <v>31</v>
      </c>
      <c r="H849" t="s">
        <v>288</v>
      </c>
      <c r="I849" t="s">
        <v>135</v>
      </c>
      <c r="J849" t="s">
        <v>39</v>
      </c>
      <c r="K849" t="s">
        <v>33</v>
      </c>
      <c r="L849">
        <v>0.10766666351552968</v>
      </c>
      <c r="M849">
        <v>0</v>
      </c>
      <c r="N849">
        <v>0.18208355552246425</v>
      </c>
      <c r="O849">
        <v>7.8628457168505888</v>
      </c>
      <c r="P849">
        <v>19.6928546862563</v>
      </c>
      <c r="Q849">
        <v>23.390063768125486</v>
      </c>
      <c r="R849">
        <v>-3.1555545552300264</v>
      </c>
      <c r="S849" s="2">
        <v>6.7229287822982882E-3</v>
      </c>
      <c r="T849" s="2">
        <v>1.0902957821580073E-2</v>
      </c>
      <c r="U849" s="2">
        <v>1.6499519630790816E-2</v>
      </c>
      <c r="V849" s="2">
        <v>2.3559945177036391E-2</v>
      </c>
      <c r="W849" s="2">
        <v>3.195185152750072E-2</v>
      </c>
      <c r="X849" s="2">
        <v>4.1296876354630009E-2</v>
      </c>
      <c r="Y849" s="2">
        <v>5.092388725963562E-2</v>
      </c>
      <c r="Z849" s="2">
        <v>5.9871206041948455E-2</v>
      </c>
      <c r="AA849" s="2">
        <v>6.6970087478631535E-2</v>
      </c>
      <c r="AB849" s="2">
        <v>7.1029833383450841E-2</v>
      </c>
      <c r="AC849" s="2">
        <v>7.111239443197287E-2</v>
      </c>
      <c r="AD849" s="2">
        <v>6.6834318339116364E-2</v>
      </c>
      <c r="AE849" s="2">
        <v>5.8586026808002067E-2</v>
      </c>
      <c r="AF849" s="2">
        <v>4.8304646851606119E-2</v>
      </c>
      <c r="AG849" s="2">
        <v>3.6828031049627452E-2</v>
      </c>
      <c r="AH849" s="2">
        <v>2.0851610090622034E-2</v>
      </c>
      <c r="AI849" s="2">
        <v>0</v>
      </c>
      <c r="AJ849" s="2">
        <v>0</v>
      </c>
      <c r="AK849" s="2">
        <v>0</v>
      </c>
      <c r="AL849" s="2">
        <v>0</v>
      </c>
      <c r="AM849" s="2">
        <v>0</v>
      </c>
      <c r="AN849" s="2">
        <v>0</v>
      </c>
      <c r="AO849" s="2">
        <v>0</v>
      </c>
      <c r="AP849" s="2">
        <v>0</v>
      </c>
      <c r="AQ849" s="2">
        <v>0</v>
      </c>
      <c r="AR849" s="2">
        <v>0.68224612102844973</v>
      </c>
    </row>
    <row r="850" spans="1:44" x14ac:dyDescent="0.25">
      <c r="A850" t="s">
        <v>250</v>
      </c>
      <c r="B850" t="s">
        <v>398</v>
      </c>
      <c r="C850" t="s">
        <v>44</v>
      </c>
      <c r="D850" t="s">
        <v>219</v>
      </c>
      <c r="E850" t="s">
        <v>134</v>
      </c>
      <c r="F850" t="s">
        <v>399</v>
      </c>
      <c r="G850" t="s">
        <v>31</v>
      </c>
      <c r="H850" t="s">
        <v>289</v>
      </c>
      <c r="I850" t="s">
        <v>135</v>
      </c>
      <c r="J850" t="s">
        <v>39</v>
      </c>
      <c r="K850" t="s">
        <v>31</v>
      </c>
      <c r="L850">
        <v>0.10766666351552968</v>
      </c>
      <c r="M850">
        <v>0</v>
      </c>
      <c r="N850">
        <v>0.18208355552246425</v>
      </c>
      <c r="O850">
        <v>7.8628457168505888</v>
      </c>
      <c r="P850">
        <v>19.6928546862563</v>
      </c>
      <c r="Q850">
        <v>23.390063768125486</v>
      </c>
      <c r="R850">
        <v>-3.1555545552300264</v>
      </c>
      <c r="S850" s="2">
        <v>0.67925750714638933</v>
      </c>
      <c r="T850" s="2">
        <v>1.1015907189004812</v>
      </c>
      <c r="U850" s="2">
        <v>1.66704466705544</v>
      </c>
      <c r="V850" s="2">
        <v>2.3804014809135743</v>
      </c>
      <c r="W850" s="2">
        <v>3.2282857248804824</v>
      </c>
      <c r="X850" s="2">
        <v>4.1724692011372309</v>
      </c>
      <c r="Y850" s="2">
        <v>5.1451434091138522</v>
      </c>
      <c r="Z850" s="2">
        <v>6.0491442766703019</v>
      </c>
      <c r="AA850" s="2">
        <v>6.7663865180139187</v>
      </c>
      <c r="AB850" s="2">
        <v>7.1765668088145924</v>
      </c>
      <c r="AC850" s="2">
        <v>7.1849084429181866</v>
      </c>
      <c r="AD850" s="2">
        <v>6.7526689538033144</v>
      </c>
      <c r="AE850" s="2">
        <v>5.9192949697751764</v>
      </c>
      <c r="AF850" s="2">
        <v>4.8805059619851932</v>
      </c>
      <c r="AG850" s="2">
        <v>3.7209551631347093</v>
      </c>
      <c r="AH850" s="2">
        <v>2.1067622681706486</v>
      </c>
      <c r="AI850" s="2">
        <v>0</v>
      </c>
      <c r="AJ850" s="2">
        <v>0</v>
      </c>
      <c r="AK850" s="2">
        <v>0</v>
      </c>
      <c r="AL850" s="2">
        <v>0</v>
      </c>
      <c r="AM850" s="2">
        <v>0</v>
      </c>
      <c r="AN850" s="2">
        <v>0</v>
      </c>
      <c r="AO850" s="2">
        <v>0</v>
      </c>
      <c r="AP850" s="2">
        <v>0</v>
      </c>
      <c r="AQ850" s="2">
        <v>0</v>
      </c>
      <c r="AR850" s="2">
        <v>68.931386072433511</v>
      </c>
    </row>
    <row r="851" spans="1:44" x14ac:dyDescent="0.25">
      <c r="A851" t="s">
        <v>250</v>
      </c>
      <c r="B851" t="s">
        <v>398</v>
      </c>
      <c r="C851" t="s">
        <v>44</v>
      </c>
      <c r="D851" t="s">
        <v>219</v>
      </c>
      <c r="E851" t="s">
        <v>134</v>
      </c>
      <c r="F851" t="s">
        <v>399</v>
      </c>
      <c r="G851" t="s">
        <v>31</v>
      </c>
      <c r="H851" t="s">
        <v>290</v>
      </c>
      <c r="I851" t="s">
        <v>135</v>
      </c>
      <c r="J851" t="s">
        <v>39</v>
      </c>
      <c r="K851" t="s">
        <v>31</v>
      </c>
      <c r="L851">
        <v>0.10766666351552968</v>
      </c>
      <c r="M851">
        <v>0</v>
      </c>
      <c r="N851">
        <v>0.18208355552246425</v>
      </c>
      <c r="O851">
        <v>7.8628457168505888</v>
      </c>
      <c r="P851">
        <v>19.6928546862563</v>
      </c>
      <c r="Q851">
        <v>23.390063768125486</v>
      </c>
      <c r="R851">
        <v>-3.1555545552300264</v>
      </c>
      <c r="S851" s="2">
        <v>0.98361113436892977</v>
      </c>
      <c r="T851" s="2">
        <v>1.5951783899746725</v>
      </c>
      <c r="U851" s="2">
        <v>2.4139942197984325</v>
      </c>
      <c r="V851" s="2">
        <v>3.4469834727793134</v>
      </c>
      <c r="W851" s="2">
        <v>4.6747776071797995</v>
      </c>
      <c r="X851" s="2">
        <v>6.0420195888472179</v>
      </c>
      <c r="Y851" s="2">
        <v>7.4505180905400312</v>
      </c>
      <c r="Z851" s="2">
        <v>8.7595729179842365</v>
      </c>
      <c r="AA851" s="2">
        <v>9.7981885345993689</v>
      </c>
      <c r="AB851" s="2">
        <v>10.392157532932838</v>
      </c>
      <c r="AC851" s="2">
        <v>10.404236787260988</v>
      </c>
      <c r="AD851" s="2">
        <v>9.7783245673233186</v>
      </c>
      <c r="AE851" s="2">
        <v>8.5715422776035339</v>
      </c>
      <c r="AF851" s="2">
        <v>7.067305042722186</v>
      </c>
      <c r="AG851" s="2">
        <v>5.3881965093366011</v>
      </c>
      <c r="AH851" s="2">
        <v>3.0507352552444811</v>
      </c>
      <c r="AI851" s="2">
        <v>0</v>
      </c>
      <c r="AJ851" s="2">
        <v>0</v>
      </c>
      <c r="AK851" s="2">
        <v>0</v>
      </c>
      <c r="AL851" s="2">
        <v>0</v>
      </c>
      <c r="AM851" s="2">
        <v>0</v>
      </c>
      <c r="AN851" s="2">
        <v>0</v>
      </c>
      <c r="AO851" s="2">
        <v>0</v>
      </c>
      <c r="AP851" s="2">
        <v>0</v>
      </c>
      <c r="AQ851" s="2">
        <v>0</v>
      </c>
      <c r="AR851" s="2">
        <v>99.817341928495949</v>
      </c>
    </row>
    <row r="852" spans="1:44" x14ac:dyDescent="0.25">
      <c r="A852" t="s">
        <v>250</v>
      </c>
      <c r="B852" t="s">
        <v>407</v>
      </c>
      <c r="C852" t="s">
        <v>44</v>
      </c>
      <c r="D852" t="s">
        <v>219</v>
      </c>
      <c r="E852" t="s">
        <v>134</v>
      </c>
      <c r="F852" t="s">
        <v>408</v>
      </c>
      <c r="G852" t="s">
        <v>31</v>
      </c>
      <c r="H852" t="s">
        <v>288</v>
      </c>
      <c r="I852" t="s">
        <v>135</v>
      </c>
      <c r="J852" t="s">
        <v>39</v>
      </c>
      <c r="K852" t="s">
        <v>31</v>
      </c>
      <c r="L852">
        <v>7.1797440821041114E-2</v>
      </c>
      <c r="M852">
        <v>0</v>
      </c>
      <c r="N852">
        <v>0.18156870013161905</v>
      </c>
      <c r="O852">
        <v>7.8628457168505852</v>
      </c>
      <c r="P852">
        <v>19.75917944605521</v>
      </c>
      <c r="Q852">
        <v>23.4563885279244</v>
      </c>
      <c r="R852">
        <v>-3.1555545552300255</v>
      </c>
      <c r="S852" s="2">
        <v>0</v>
      </c>
      <c r="T852" s="2">
        <v>0</v>
      </c>
      <c r="U852" s="2">
        <v>0.54941087978562675</v>
      </c>
      <c r="V852" s="2">
        <v>0.78451315535640798</v>
      </c>
      <c r="W852" s="2">
        <v>1.0639518756500004</v>
      </c>
      <c r="X852" s="2">
        <v>1.375128105430063</v>
      </c>
      <c r="Y852" s="2">
        <v>1.6956940764026038</v>
      </c>
      <c r="Z852" s="2">
        <v>1.9936272522715155</v>
      </c>
      <c r="AA852" s="2">
        <v>2.2300100550983006</v>
      </c>
      <c r="AB852" s="2">
        <v>2.3651939040335423</v>
      </c>
      <c r="AC852" s="2">
        <v>2.3679430712408021</v>
      </c>
      <c r="AD852" s="2">
        <v>2.2254891330316022</v>
      </c>
      <c r="AE852" s="2">
        <v>1.9508325849475636</v>
      </c>
      <c r="AF852" s="2">
        <v>1.6084770416557217</v>
      </c>
      <c r="AG852" s="2">
        <v>1.2263218198176356</v>
      </c>
      <c r="AH852" s="2">
        <v>0.84644505301720341</v>
      </c>
      <c r="AI852" s="2">
        <v>0.4348016610643024</v>
      </c>
      <c r="AJ852" s="2">
        <v>0</v>
      </c>
      <c r="AK852" s="2">
        <v>0</v>
      </c>
      <c r="AL852" s="2">
        <v>0</v>
      </c>
      <c r="AM852" s="2">
        <v>0</v>
      </c>
      <c r="AN852" s="2">
        <v>0</v>
      </c>
      <c r="AO852" s="2">
        <v>0</v>
      </c>
      <c r="AP852" s="2">
        <v>0</v>
      </c>
      <c r="AQ852" s="2">
        <v>0</v>
      </c>
      <c r="AR852" s="2">
        <v>22.717839668802895</v>
      </c>
    </row>
    <row r="853" spans="1:44" x14ac:dyDescent="0.25">
      <c r="A853" t="s">
        <v>250</v>
      </c>
      <c r="B853" t="s">
        <v>407</v>
      </c>
      <c r="C853" t="s">
        <v>44</v>
      </c>
      <c r="D853" t="s">
        <v>219</v>
      </c>
      <c r="E853" t="s">
        <v>134</v>
      </c>
      <c r="F853" t="s">
        <v>408</v>
      </c>
      <c r="G853" t="s">
        <v>31</v>
      </c>
      <c r="H853" t="s">
        <v>288</v>
      </c>
      <c r="I853" t="s">
        <v>135</v>
      </c>
      <c r="J853" t="s">
        <v>39</v>
      </c>
      <c r="K853" t="s">
        <v>33</v>
      </c>
      <c r="L853">
        <v>7.1797440821041114E-2</v>
      </c>
      <c r="M853">
        <v>0</v>
      </c>
      <c r="N853">
        <v>0.18156870013161905</v>
      </c>
      <c r="O853">
        <v>7.8628457168505852</v>
      </c>
      <c r="P853">
        <v>19.75917944605521</v>
      </c>
      <c r="Q853">
        <v>23.4563885279244</v>
      </c>
      <c r="R853">
        <v>-3.1555545552300255</v>
      </c>
      <c r="S853" s="2">
        <v>0</v>
      </c>
      <c r="T853" s="2">
        <v>0</v>
      </c>
      <c r="U853" s="2">
        <v>5.16837043581116E-3</v>
      </c>
      <c r="V853" s="2">
        <v>7.3800041969155428E-3</v>
      </c>
      <c r="W853" s="2">
        <v>1.000871592018872E-2</v>
      </c>
      <c r="X853" s="2">
        <v>1.2935985993453353E-2</v>
      </c>
      <c r="Y853" s="2">
        <v>1.5951586426681107E-2</v>
      </c>
      <c r="Z853" s="2">
        <v>1.8754277590367255E-2</v>
      </c>
      <c r="AA853" s="2">
        <v>2.0977957416549134E-2</v>
      </c>
      <c r="AB853" s="2">
        <v>2.2249647210003318E-2</v>
      </c>
      <c r="AC853" s="2">
        <v>2.2275508937609892E-2</v>
      </c>
      <c r="AD853" s="2">
        <v>2.0935428590106445E-2</v>
      </c>
      <c r="AE853" s="2">
        <v>1.8351703302989138E-2</v>
      </c>
      <c r="AF853" s="2">
        <v>1.513112589255265E-2</v>
      </c>
      <c r="AG853" s="2">
        <v>1.153614839372793E-2</v>
      </c>
      <c r="AH853" s="2">
        <v>7.9626045797631349E-3</v>
      </c>
      <c r="AI853" s="2">
        <v>4.0902285214358116E-3</v>
      </c>
      <c r="AJ853" s="2">
        <v>0</v>
      </c>
      <c r="AK853" s="2">
        <v>0</v>
      </c>
      <c r="AL853" s="2">
        <v>0</v>
      </c>
      <c r="AM853" s="2">
        <v>0</v>
      </c>
      <c r="AN853" s="2">
        <v>0</v>
      </c>
      <c r="AO853" s="2">
        <v>0</v>
      </c>
      <c r="AP853" s="2">
        <v>0</v>
      </c>
      <c r="AQ853" s="2">
        <v>0</v>
      </c>
      <c r="AR853" s="2">
        <v>0.21370929340815459</v>
      </c>
    </row>
    <row r="854" spans="1:44" x14ac:dyDescent="0.25">
      <c r="A854" t="s">
        <v>250</v>
      </c>
      <c r="B854" t="s">
        <v>407</v>
      </c>
      <c r="C854" t="s">
        <v>44</v>
      </c>
      <c r="D854" t="s">
        <v>219</v>
      </c>
      <c r="E854" t="s">
        <v>134</v>
      </c>
      <c r="F854" t="s">
        <v>408</v>
      </c>
      <c r="G854" t="s">
        <v>31</v>
      </c>
      <c r="H854" t="s">
        <v>289</v>
      </c>
      <c r="I854" t="s">
        <v>135</v>
      </c>
      <c r="J854" t="s">
        <v>39</v>
      </c>
      <c r="K854" t="s">
        <v>31</v>
      </c>
      <c r="L854">
        <v>7.1797440821041114E-2</v>
      </c>
      <c r="M854">
        <v>0</v>
      </c>
      <c r="N854">
        <v>0.18156870013161905</v>
      </c>
      <c r="O854">
        <v>7.8628457168505852</v>
      </c>
      <c r="P854">
        <v>19.75917944605521</v>
      </c>
      <c r="Q854">
        <v>23.4563885279244</v>
      </c>
      <c r="R854">
        <v>-3.1555545552300255</v>
      </c>
      <c r="S854" s="2">
        <v>0</v>
      </c>
      <c r="T854" s="2">
        <v>0</v>
      </c>
      <c r="U854" s="2">
        <v>0.52219122527102535</v>
      </c>
      <c r="V854" s="2">
        <v>0.74564574694379437</v>
      </c>
      <c r="W854" s="2">
        <v>1.0112401374211266</v>
      </c>
      <c r="X854" s="2">
        <v>1.3069996549018725</v>
      </c>
      <c r="Y854" s="2">
        <v>1.611683714357818</v>
      </c>
      <c r="Z854" s="2">
        <v>1.8948562831583837</v>
      </c>
      <c r="AA854" s="2">
        <v>2.1195278904794512</v>
      </c>
      <c r="AB854" s="2">
        <v>2.24801427891772</v>
      </c>
      <c r="AC854" s="2">
        <v>2.2506272431768068</v>
      </c>
      <c r="AD854" s="2">
        <v>2.1152309500288262</v>
      </c>
      <c r="AE854" s="2">
        <v>1.8541818069381824</v>
      </c>
      <c r="AF854" s="2">
        <v>1.5287877035311832</v>
      </c>
      <c r="AG854" s="2">
        <v>1.1655657309098624</v>
      </c>
      <c r="AH854" s="2">
        <v>0.80450933103493827</v>
      </c>
      <c r="AI854" s="2">
        <v>0.4132601309781847</v>
      </c>
      <c r="AJ854" s="2">
        <v>0</v>
      </c>
      <c r="AK854" s="2">
        <v>0</v>
      </c>
      <c r="AL854" s="2">
        <v>0</v>
      </c>
      <c r="AM854" s="2">
        <v>0</v>
      </c>
      <c r="AN854" s="2">
        <v>0</v>
      </c>
      <c r="AO854" s="2">
        <v>0</v>
      </c>
      <c r="AP854" s="2">
        <v>0</v>
      </c>
      <c r="AQ854" s="2">
        <v>0</v>
      </c>
      <c r="AR854" s="2">
        <v>21.59232182804918</v>
      </c>
    </row>
    <row r="855" spans="1:44" x14ac:dyDescent="0.25">
      <c r="A855" t="s">
        <v>250</v>
      </c>
      <c r="B855" t="s">
        <v>407</v>
      </c>
      <c r="C855" t="s">
        <v>44</v>
      </c>
      <c r="D855" t="s">
        <v>219</v>
      </c>
      <c r="E855" t="s">
        <v>134</v>
      </c>
      <c r="F855" t="s">
        <v>408</v>
      </c>
      <c r="G855" t="s">
        <v>31</v>
      </c>
      <c r="H855" t="s">
        <v>290</v>
      </c>
      <c r="I855" t="s">
        <v>135</v>
      </c>
      <c r="J855" t="s">
        <v>39</v>
      </c>
      <c r="K855" t="s">
        <v>31</v>
      </c>
      <c r="L855">
        <v>7.1797440821041114E-2</v>
      </c>
      <c r="M855">
        <v>0</v>
      </c>
      <c r="N855">
        <v>0.18156870013161905</v>
      </c>
      <c r="O855">
        <v>7.8628457168505852</v>
      </c>
      <c r="P855">
        <v>19.75917944605521</v>
      </c>
      <c r="Q855">
        <v>23.4563885279244</v>
      </c>
      <c r="R855">
        <v>-3.1555545552300255</v>
      </c>
      <c r="S855" s="2">
        <v>0</v>
      </c>
      <c r="T855" s="2">
        <v>0</v>
      </c>
      <c r="U855" s="2">
        <v>0.7561684604770067</v>
      </c>
      <c r="V855" s="2">
        <v>1.0797458272782701</v>
      </c>
      <c r="W855" s="2">
        <v>1.4643445942421098</v>
      </c>
      <c r="X855" s="2">
        <v>1.8926245196444631</v>
      </c>
      <c r="Y855" s="2">
        <v>2.3338277896747281</v>
      </c>
      <c r="Z855" s="2">
        <v>2.7438809560949569</v>
      </c>
      <c r="AA855" s="2">
        <v>3.0692207458102865</v>
      </c>
      <c r="AB855" s="2">
        <v>3.2552777874374992</v>
      </c>
      <c r="AC855" s="2">
        <v>3.2590615376528547</v>
      </c>
      <c r="AD855" s="2">
        <v>3.0629984833744821</v>
      </c>
      <c r="AE855" s="2">
        <v>2.6849815442019764</v>
      </c>
      <c r="AF855" s="2">
        <v>2.2137887199758293</v>
      </c>
      <c r="AG855" s="2">
        <v>1.6878185646827477</v>
      </c>
      <c r="AH855" s="2">
        <v>1.1649843062229459</v>
      </c>
      <c r="AI855" s="2">
        <v>0.59842881667745096</v>
      </c>
      <c r="AJ855" s="2">
        <v>0</v>
      </c>
      <c r="AK855" s="2">
        <v>0</v>
      </c>
      <c r="AL855" s="2">
        <v>0</v>
      </c>
      <c r="AM855" s="2">
        <v>0</v>
      </c>
      <c r="AN855" s="2">
        <v>0</v>
      </c>
      <c r="AO855" s="2">
        <v>0</v>
      </c>
      <c r="AP855" s="2">
        <v>0</v>
      </c>
      <c r="AQ855" s="2">
        <v>0</v>
      </c>
      <c r="AR855" s="2">
        <v>31.267152653447603</v>
      </c>
    </row>
    <row r="856" spans="1:44" x14ac:dyDescent="0.25">
      <c r="A856" t="s">
        <v>250</v>
      </c>
      <c r="B856" t="s">
        <v>406</v>
      </c>
      <c r="C856" t="s">
        <v>44</v>
      </c>
      <c r="D856" t="s">
        <v>219</v>
      </c>
      <c r="E856" t="s">
        <v>134</v>
      </c>
      <c r="F856" t="s">
        <v>399</v>
      </c>
      <c r="G856" t="s">
        <v>31</v>
      </c>
      <c r="H856" t="s">
        <v>254</v>
      </c>
      <c r="I856" t="s">
        <v>135</v>
      </c>
      <c r="J856" t="s">
        <v>39</v>
      </c>
      <c r="K856" t="s">
        <v>31</v>
      </c>
      <c r="L856">
        <v>0.34049656601539446</v>
      </c>
      <c r="M856">
        <v>0</v>
      </c>
      <c r="N856">
        <v>0.45525969255882226</v>
      </c>
      <c r="O856">
        <v>6.3833710076388037</v>
      </c>
      <c r="P856">
        <v>4.6640762916573406</v>
      </c>
      <c r="Q856">
        <v>7.594746159211109</v>
      </c>
      <c r="R856">
        <v>-2.3890153409146069</v>
      </c>
      <c r="S856" s="2">
        <v>0.84810761614571828</v>
      </c>
      <c r="T856" s="2">
        <v>1.3733736397037299</v>
      </c>
      <c r="U856" s="2">
        <v>2.0752365052355763</v>
      </c>
      <c r="V856" s="2">
        <v>2.9588469167987608</v>
      </c>
      <c r="W856" s="2">
        <v>4.0067862354760182</v>
      </c>
      <c r="X856" s="2">
        <v>5.1709372772966056</v>
      </c>
      <c r="Y856" s="2">
        <v>6.3668634733333258</v>
      </c>
      <c r="Z856" s="2">
        <v>7.4743583997461256</v>
      </c>
      <c r="AA856" s="2">
        <v>8.3481203431556867</v>
      </c>
      <c r="AB856" s="2">
        <v>8.8409829605844408</v>
      </c>
      <c r="AC856" s="2">
        <v>8.8380607501548134</v>
      </c>
      <c r="AD856" s="2">
        <v>8.293982717970982</v>
      </c>
      <c r="AE856" s="2">
        <v>7.2595478462296663</v>
      </c>
      <c r="AF856" s="2">
        <v>5.9766298579049888</v>
      </c>
      <c r="AG856" s="2">
        <v>4.5498583091325147</v>
      </c>
      <c r="AH856" s="2">
        <v>0.65684136477066779</v>
      </c>
      <c r="AI856" s="2">
        <v>0</v>
      </c>
      <c r="AJ856" s="2">
        <v>0</v>
      </c>
      <c r="AK856" s="2">
        <v>0</v>
      </c>
      <c r="AL856" s="2">
        <v>0</v>
      </c>
      <c r="AM856" s="2">
        <v>0</v>
      </c>
      <c r="AN856" s="2">
        <v>0</v>
      </c>
      <c r="AO856" s="2">
        <v>0</v>
      </c>
      <c r="AP856" s="2">
        <v>0</v>
      </c>
      <c r="AQ856" s="2">
        <v>0</v>
      </c>
      <c r="AR856" s="2">
        <v>83.038534213639636</v>
      </c>
    </row>
    <row r="857" spans="1:44" x14ac:dyDescent="0.25">
      <c r="A857" t="s">
        <v>250</v>
      </c>
      <c r="B857" t="s">
        <v>406</v>
      </c>
      <c r="C857" t="s">
        <v>44</v>
      </c>
      <c r="D857" t="s">
        <v>219</v>
      </c>
      <c r="E857" t="s">
        <v>134</v>
      </c>
      <c r="F857" t="s">
        <v>399</v>
      </c>
      <c r="G857" t="s">
        <v>31</v>
      </c>
      <c r="H857" t="s">
        <v>255</v>
      </c>
      <c r="I857" t="s">
        <v>135</v>
      </c>
      <c r="J857" t="s">
        <v>39</v>
      </c>
      <c r="K857" t="s">
        <v>31</v>
      </c>
      <c r="L857">
        <v>0.34049656601539446</v>
      </c>
      <c r="M857">
        <v>0</v>
      </c>
      <c r="N857">
        <v>0.45525969255882226</v>
      </c>
      <c r="O857">
        <v>6.3833710076388037</v>
      </c>
      <c r="P857">
        <v>4.6640762916573406</v>
      </c>
      <c r="Q857">
        <v>7.594746159211109</v>
      </c>
      <c r="R857">
        <v>-2.3890153409146069</v>
      </c>
      <c r="S857" s="2">
        <v>0.1777962021632378</v>
      </c>
      <c r="T857" s="2">
        <v>0.2866070027490254</v>
      </c>
      <c r="U857" s="2">
        <v>0.43111413452757708</v>
      </c>
      <c r="V857" s="2">
        <v>0.61189053206379451</v>
      </c>
      <c r="W857" s="2">
        <v>0.82484810959438382</v>
      </c>
      <c r="X857" s="2">
        <v>1.0596773545686058</v>
      </c>
      <c r="Y857" s="2">
        <v>1.2988425100104763</v>
      </c>
      <c r="Z857" s="2">
        <v>1.5178590664715681</v>
      </c>
      <c r="AA857" s="2">
        <v>1.6876127772975114</v>
      </c>
      <c r="AB857" s="2">
        <v>1.7791445342077028</v>
      </c>
      <c r="AC857" s="2">
        <v>1.7704930775110179</v>
      </c>
      <c r="AD857" s="2">
        <v>1.6539674183061908</v>
      </c>
      <c r="AE857" s="2">
        <v>1.4411194157101745</v>
      </c>
      <c r="AF857" s="2">
        <v>1.0685264444448821</v>
      </c>
      <c r="AG857" s="2">
        <v>0</v>
      </c>
      <c r="AH857" s="2">
        <v>0</v>
      </c>
      <c r="AI857" s="2">
        <v>0</v>
      </c>
      <c r="AJ857" s="2">
        <v>0</v>
      </c>
      <c r="AK857" s="2">
        <v>0</v>
      </c>
      <c r="AL857" s="2">
        <v>0</v>
      </c>
      <c r="AM857" s="2">
        <v>0</v>
      </c>
      <c r="AN857" s="2">
        <v>0</v>
      </c>
      <c r="AO857" s="2">
        <v>0</v>
      </c>
      <c r="AP857" s="2">
        <v>0</v>
      </c>
      <c r="AQ857" s="2">
        <v>0</v>
      </c>
      <c r="AR857" s="2">
        <v>15.609498579626148</v>
      </c>
    </row>
    <row r="858" spans="1:44" x14ac:dyDescent="0.25">
      <c r="A858" t="s">
        <v>250</v>
      </c>
      <c r="B858" t="s">
        <v>415</v>
      </c>
      <c r="C858" t="s">
        <v>44</v>
      </c>
      <c r="D858" t="s">
        <v>219</v>
      </c>
      <c r="E858" t="s">
        <v>134</v>
      </c>
      <c r="F858" t="s">
        <v>408</v>
      </c>
      <c r="G858" t="s">
        <v>31</v>
      </c>
      <c r="H858" t="s">
        <v>254</v>
      </c>
      <c r="I858" t="s">
        <v>135</v>
      </c>
      <c r="J858" t="s">
        <v>39</v>
      </c>
      <c r="K858" t="s">
        <v>31</v>
      </c>
      <c r="L858">
        <v>0.2270599018305397</v>
      </c>
      <c r="M858">
        <v>0</v>
      </c>
      <c r="N858">
        <v>0.45400599572292305</v>
      </c>
      <c r="O858">
        <v>6.3833710076388037</v>
      </c>
      <c r="P858">
        <v>4.6850485019782608</v>
      </c>
      <c r="Q858">
        <v>7.615718369532031</v>
      </c>
      <c r="R858">
        <v>-2.3890153409146082</v>
      </c>
      <c r="S858" s="2">
        <v>0</v>
      </c>
      <c r="T858" s="2">
        <v>0</v>
      </c>
      <c r="U858" s="2">
        <v>0.65005474347021996</v>
      </c>
      <c r="V858" s="2">
        <v>0.92684013056571057</v>
      </c>
      <c r="W858" s="2">
        <v>1.2551005111326823</v>
      </c>
      <c r="X858" s="2">
        <v>1.6197634808433872</v>
      </c>
      <c r="Y858" s="2">
        <v>1.9943798171562048</v>
      </c>
      <c r="Z858" s="2">
        <v>2.3412956161350391</v>
      </c>
      <c r="AA858" s="2">
        <v>2.6149960327112525</v>
      </c>
      <c r="AB858" s="2">
        <v>2.769382138357722</v>
      </c>
      <c r="AC858" s="2">
        <v>2.7684667743756388</v>
      </c>
      <c r="AD858" s="2">
        <v>2.5980377631536657</v>
      </c>
      <c r="AE858" s="2">
        <v>2.274007565395499</v>
      </c>
      <c r="AF858" s="2">
        <v>1.8721415989431305</v>
      </c>
      <c r="AG858" s="2">
        <v>1.4252144121921373</v>
      </c>
      <c r="AH858" s="2">
        <v>0.90161640278168853</v>
      </c>
      <c r="AI858" s="2">
        <v>0</v>
      </c>
      <c r="AJ858" s="2">
        <v>0</v>
      </c>
      <c r="AK858" s="2">
        <v>0</v>
      </c>
      <c r="AL858" s="2">
        <v>0</v>
      </c>
      <c r="AM858" s="2">
        <v>0</v>
      </c>
      <c r="AN858" s="2">
        <v>0</v>
      </c>
      <c r="AO858" s="2">
        <v>0</v>
      </c>
      <c r="AP858" s="2">
        <v>0</v>
      </c>
      <c r="AQ858" s="2">
        <v>0</v>
      </c>
      <c r="AR858" s="2">
        <v>26.011296987213974</v>
      </c>
    </row>
    <row r="859" spans="1:44" x14ac:dyDescent="0.25">
      <c r="A859" t="s">
        <v>250</v>
      </c>
      <c r="B859" t="s">
        <v>415</v>
      </c>
      <c r="C859" t="s">
        <v>44</v>
      </c>
      <c r="D859" t="s">
        <v>219</v>
      </c>
      <c r="E859" t="s">
        <v>134</v>
      </c>
      <c r="F859" t="s">
        <v>408</v>
      </c>
      <c r="G859" t="s">
        <v>31</v>
      </c>
      <c r="H859" t="s">
        <v>255</v>
      </c>
      <c r="I859" t="s">
        <v>135</v>
      </c>
      <c r="J859" t="s">
        <v>39</v>
      </c>
      <c r="K859" t="s">
        <v>31</v>
      </c>
      <c r="L859">
        <v>0.2270599018305397</v>
      </c>
      <c r="M859">
        <v>0</v>
      </c>
      <c r="N859">
        <v>0.45400599572292305</v>
      </c>
      <c r="O859">
        <v>6.3833710076388037</v>
      </c>
      <c r="P859">
        <v>4.6850485019782608</v>
      </c>
      <c r="Q859">
        <v>7.615718369532031</v>
      </c>
      <c r="R859">
        <v>-2.3890153409146082</v>
      </c>
      <c r="S859" s="2">
        <v>0</v>
      </c>
      <c r="T859" s="2">
        <v>0</v>
      </c>
      <c r="U859" s="2">
        <v>0.13504378292289965</v>
      </c>
      <c r="V859" s="2">
        <v>0.19167084900881379</v>
      </c>
      <c r="W859" s="2">
        <v>0.25837846671042691</v>
      </c>
      <c r="X859" s="2">
        <v>0.33193724625960153</v>
      </c>
      <c r="Y859" s="2">
        <v>0.40685422240933078</v>
      </c>
      <c r="Z859" s="2">
        <v>0.47545977703737247</v>
      </c>
      <c r="AA859" s="2">
        <v>0.52863405604879043</v>
      </c>
      <c r="AB859" s="2">
        <v>0.55730580146552744</v>
      </c>
      <c r="AC859" s="2">
        <v>0.5545957872336944</v>
      </c>
      <c r="AD859" s="2">
        <v>0.51809485959918677</v>
      </c>
      <c r="AE859" s="2">
        <v>0.45142156555456642</v>
      </c>
      <c r="AF859" s="2">
        <v>0.36996076104957004</v>
      </c>
      <c r="AG859" s="2">
        <v>0.11021978100273436</v>
      </c>
      <c r="AH859" s="2">
        <v>0</v>
      </c>
      <c r="AI859" s="2">
        <v>0</v>
      </c>
      <c r="AJ859" s="2">
        <v>0</v>
      </c>
      <c r="AK859" s="2">
        <v>0</v>
      </c>
      <c r="AL859" s="2">
        <v>0</v>
      </c>
      <c r="AM859" s="2">
        <v>0</v>
      </c>
      <c r="AN859" s="2">
        <v>0</v>
      </c>
      <c r="AO859" s="2">
        <v>0</v>
      </c>
      <c r="AP859" s="2">
        <v>0</v>
      </c>
      <c r="AQ859" s="2">
        <v>0</v>
      </c>
      <c r="AR859" s="2">
        <v>4.8895769563025144</v>
      </c>
    </row>
    <row r="860" spans="1:44" x14ac:dyDescent="0.25">
      <c r="A860" t="s">
        <v>250</v>
      </c>
      <c r="B860" t="s">
        <v>400</v>
      </c>
      <c r="C860" t="s">
        <v>44</v>
      </c>
      <c r="D860" t="s">
        <v>219</v>
      </c>
      <c r="E860" t="s">
        <v>134</v>
      </c>
      <c r="F860" t="s">
        <v>399</v>
      </c>
      <c r="G860" t="s">
        <v>31</v>
      </c>
      <c r="H860" t="s">
        <v>278</v>
      </c>
      <c r="I860" t="s">
        <v>135</v>
      </c>
      <c r="J860" t="s">
        <v>39</v>
      </c>
      <c r="K860" t="s">
        <v>31</v>
      </c>
      <c r="L860">
        <v>7.2585339506172852E-2</v>
      </c>
      <c r="M860">
        <v>0</v>
      </c>
      <c r="N860">
        <v>0.20247185081751548</v>
      </c>
      <c r="O860">
        <v>12.916489671181214</v>
      </c>
      <c r="P860">
        <v>28.114302665753623</v>
      </c>
      <c r="Q860">
        <v>34.554309996350511</v>
      </c>
      <c r="R860">
        <v>-5.8983528039577262</v>
      </c>
      <c r="S860" s="2">
        <v>0.14410067578967797</v>
      </c>
      <c r="T860" s="2">
        <v>0.23228990428192711</v>
      </c>
      <c r="U860" s="2">
        <v>0.34941037756739607</v>
      </c>
      <c r="V860" s="2">
        <v>0.49592644897299021</v>
      </c>
      <c r="W860" s="2">
        <v>0.66852479732531367</v>
      </c>
      <c r="X860" s="2">
        <v>0.85884974512648748</v>
      </c>
      <c r="Y860" s="2">
        <v>1.0526888716387355</v>
      </c>
      <c r="Z860" s="2">
        <v>1.2301979152019673</v>
      </c>
      <c r="AA860" s="2">
        <v>1.3677802940728359</v>
      </c>
      <c r="AB860" s="2">
        <v>1.4419651634147881</v>
      </c>
      <c r="AC860" s="2">
        <v>1.4349533108476964</v>
      </c>
      <c r="AD860" s="2">
        <v>1.3405113259573951</v>
      </c>
      <c r="AE860" s="2">
        <v>1.16800178615064</v>
      </c>
      <c r="AF860" s="2">
        <v>0.866021775888557</v>
      </c>
      <c r="AG860" s="2">
        <v>0</v>
      </c>
      <c r="AH860" s="2">
        <v>0</v>
      </c>
      <c r="AI860" s="2">
        <v>0</v>
      </c>
      <c r="AJ860" s="2">
        <v>0</v>
      </c>
      <c r="AK860" s="2">
        <v>0</v>
      </c>
      <c r="AL860" s="2">
        <v>0</v>
      </c>
      <c r="AM860" s="2">
        <v>0</v>
      </c>
      <c r="AN860" s="2">
        <v>0</v>
      </c>
      <c r="AO860" s="2">
        <v>0</v>
      </c>
      <c r="AP860" s="2">
        <v>0</v>
      </c>
      <c r="AQ860" s="2">
        <v>0</v>
      </c>
      <c r="AR860" s="2">
        <v>12.651222392236408</v>
      </c>
    </row>
    <row r="861" spans="1:44" x14ac:dyDescent="0.25">
      <c r="A861" t="s">
        <v>250</v>
      </c>
      <c r="B861" t="s">
        <v>409</v>
      </c>
      <c r="C861" t="s">
        <v>44</v>
      </c>
      <c r="D861" t="s">
        <v>219</v>
      </c>
      <c r="E861" t="s">
        <v>134</v>
      </c>
      <c r="F861" t="s">
        <v>408</v>
      </c>
      <c r="G861" t="s">
        <v>31</v>
      </c>
      <c r="H861" t="s">
        <v>278</v>
      </c>
      <c r="I861" t="s">
        <v>135</v>
      </c>
      <c r="J861" t="s">
        <v>39</v>
      </c>
      <c r="K861" t="s">
        <v>31</v>
      </c>
      <c r="L861">
        <v>4.8403483933705527E-2</v>
      </c>
      <c r="M861">
        <v>0</v>
      </c>
      <c r="N861">
        <v>0.20189702571664056</v>
      </c>
      <c r="O861">
        <v>12.9164896711812</v>
      </c>
      <c r="P861">
        <v>28.212682939850325</v>
      </c>
      <c r="Q861">
        <v>34.652690270447202</v>
      </c>
      <c r="R861">
        <v>-5.8983528039577227</v>
      </c>
      <c r="S861" s="2">
        <v>0</v>
      </c>
      <c r="T861" s="2">
        <v>0</v>
      </c>
      <c r="U861" s="2">
        <v>0.10945059648978325</v>
      </c>
      <c r="V861" s="2">
        <v>0.15534583154927656</v>
      </c>
      <c r="W861" s="2">
        <v>0.20941117532021084</v>
      </c>
      <c r="X861" s="2">
        <v>0.26902926453883264</v>
      </c>
      <c r="Y861" s="2">
        <v>0.32974814806922204</v>
      </c>
      <c r="Z861" s="2">
        <v>0.38535173613546148</v>
      </c>
      <c r="AA861" s="2">
        <v>0.42844854836736296</v>
      </c>
      <c r="AB861" s="2">
        <v>0.45168649068757105</v>
      </c>
      <c r="AC861" s="2">
        <v>0.44949007210576009</v>
      </c>
      <c r="AD861" s="2">
        <v>0.4199067161336591</v>
      </c>
      <c r="AE861" s="2">
        <v>0.36586919107936822</v>
      </c>
      <c r="AF861" s="2">
        <v>0.29984665045859898</v>
      </c>
      <c r="AG861" s="2">
        <v>8.9331182188595912E-2</v>
      </c>
      <c r="AH861" s="2">
        <v>0</v>
      </c>
      <c r="AI861" s="2">
        <v>0</v>
      </c>
      <c r="AJ861" s="2">
        <v>0</v>
      </c>
      <c r="AK861" s="2">
        <v>0</v>
      </c>
      <c r="AL861" s="2">
        <v>0</v>
      </c>
      <c r="AM861" s="2">
        <v>0</v>
      </c>
      <c r="AN861" s="2">
        <v>0</v>
      </c>
      <c r="AO861" s="2">
        <v>0</v>
      </c>
      <c r="AP861" s="2">
        <v>0</v>
      </c>
      <c r="AQ861" s="2">
        <v>0</v>
      </c>
      <c r="AR861" s="2">
        <v>3.9629156031237032</v>
      </c>
    </row>
    <row r="862" spans="1:44" x14ac:dyDescent="0.25">
      <c r="A862" t="s">
        <v>250</v>
      </c>
      <c r="B862" t="s">
        <v>401</v>
      </c>
      <c r="C862" t="s">
        <v>44</v>
      </c>
      <c r="D862" t="s">
        <v>219</v>
      </c>
      <c r="E862" t="s">
        <v>134</v>
      </c>
      <c r="F862" t="s">
        <v>399</v>
      </c>
      <c r="G862" t="s">
        <v>31</v>
      </c>
      <c r="H862" t="s">
        <v>272</v>
      </c>
      <c r="I862" t="s">
        <v>135</v>
      </c>
      <c r="J862" t="s">
        <v>39</v>
      </c>
      <c r="K862" t="s">
        <v>31</v>
      </c>
      <c r="L862">
        <v>0.1335515021459226</v>
      </c>
      <c r="M862">
        <v>0</v>
      </c>
      <c r="N862">
        <v>0.3139909125706512</v>
      </c>
      <c r="O862">
        <v>10.9636146902543</v>
      </c>
      <c r="P862">
        <v>13.531684575414111</v>
      </c>
      <c r="Q862">
        <v>18.912940749416155</v>
      </c>
      <c r="R862">
        <v>-4.8396016473628842</v>
      </c>
      <c r="S862" s="2">
        <v>0.35970017524936393</v>
      </c>
      <c r="T862" s="2">
        <v>0.58241016844651972</v>
      </c>
      <c r="U862" s="2">
        <v>0.87995080961597083</v>
      </c>
      <c r="V862" s="2">
        <v>1.2544803083116962</v>
      </c>
      <c r="W862" s="2">
        <v>1.6985881133325049</v>
      </c>
      <c r="X862" s="2">
        <v>2.1918545566726224</v>
      </c>
      <c r="Y862" s="2">
        <v>2.6984759716998488</v>
      </c>
      <c r="Z862" s="2">
        <v>3.1675063342026215</v>
      </c>
      <c r="AA862" s="2">
        <v>3.5373890711527096</v>
      </c>
      <c r="AB862" s="2">
        <v>3.7458056253627703</v>
      </c>
      <c r="AC862" s="2">
        <v>3.7441412271170869</v>
      </c>
      <c r="AD862" s="2">
        <v>3.5132489142043486</v>
      </c>
      <c r="AE862" s="2">
        <v>3.0747224713523713</v>
      </c>
      <c r="AF862" s="2">
        <v>2.5310648076697406</v>
      </c>
      <c r="AG862" s="2">
        <v>1.9266167543651751</v>
      </c>
      <c r="AH862" s="2">
        <v>0.21632366659160598</v>
      </c>
      <c r="AI862" s="2">
        <v>0</v>
      </c>
      <c r="AJ862" s="2">
        <v>0</v>
      </c>
      <c r="AK862" s="2">
        <v>0</v>
      </c>
      <c r="AL862" s="2">
        <v>0</v>
      </c>
      <c r="AM862" s="2">
        <v>0</v>
      </c>
      <c r="AN862" s="2">
        <v>0</v>
      </c>
      <c r="AO862" s="2">
        <v>0</v>
      </c>
      <c r="AP862" s="2">
        <v>0</v>
      </c>
      <c r="AQ862" s="2">
        <v>0</v>
      </c>
      <c r="AR862" s="2">
        <v>35.122278975346958</v>
      </c>
    </row>
    <row r="863" spans="1:44" x14ac:dyDescent="0.25">
      <c r="A863" t="s">
        <v>250</v>
      </c>
      <c r="B863" t="s">
        <v>401</v>
      </c>
      <c r="C863" t="s">
        <v>44</v>
      </c>
      <c r="D863" t="s">
        <v>219</v>
      </c>
      <c r="E863" t="s">
        <v>134</v>
      </c>
      <c r="F863" t="s">
        <v>399</v>
      </c>
      <c r="G863" t="s">
        <v>31</v>
      </c>
      <c r="H863" t="s">
        <v>272</v>
      </c>
      <c r="I863" t="s">
        <v>135</v>
      </c>
      <c r="J863" t="s">
        <v>40</v>
      </c>
      <c r="K863" t="s">
        <v>31</v>
      </c>
      <c r="L863">
        <v>0.1335515021459226</v>
      </c>
      <c r="M863">
        <v>0</v>
      </c>
      <c r="N863">
        <v>0.3139909125706512</v>
      </c>
      <c r="O863">
        <v>9.6708435291849266</v>
      </c>
      <c r="P863">
        <v>13.531684575414111</v>
      </c>
      <c r="Q863">
        <v>0.4672931329656026</v>
      </c>
      <c r="R863">
        <v>-4.6966016473628844</v>
      </c>
      <c r="S863" s="2">
        <v>3.5580045609724914E-2</v>
      </c>
      <c r="T863" s="2">
        <v>5.7609592051293797E-2</v>
      </c>
      <c r="U863" s="2">
        <v>8.7041075025180908E-2</v>
      </c>
      <c r="V863" s="2">
        <v>0.12408797564607492</v>
      </c>
      <c r="W863" s="2">
        <v>0.16801727300413372</v>
      </c>
      <c r="X863" s="2">
        <v>0.21680913845046343</v>
      </c>
      <c r="Y863" s="2">
        <v>0.26692202216267114</v>
      </c>
      <c r="Z863" s="2">
        <v>0.31331655527243496</v>
      </c>
      <c r="AA863" s="2">
        <v>0.34990381754388222</v>
      </c>
      <c r="AB863" s="2">
        <v>0.37051951643664721</v>
      </c>
      <c r="AC863" s="2">
        <v>0.3703548810831806</v>
      </c>
      <c r="AD863" s="2">
        <v>0.34751597359953851</v>
      </c>
      <c r="AE863" s="2">
        <v>0.30413876137847939</v>
      </c>
      <c r="AF863" s="2">
        <v>0.25036240595553688</v>
      </c>
      <c r="AG863" s="2">
        <v>0.19057291797328457</v>
      </c>
      <c r="AH863" s="2">
        <v>2.1397837569737982E-2</v>
      </c>
      <c r="AI863" s="2">
        <v>0</v>
      </c>
      <c r="AJ863" s="2">
        <v>0</v>
      </c>
      <c r="AK863" s="2">
        <v>0</v>
      </c>
      <c r="AL863" s="2">
        <v>0</v>
      </c>
      <c r="AM863" s="2">
        <v>0</v>
      </c>
      <c r="AN863" s="2">
        <v>0</v>
      </c>
      <c r="AO863" s="2">
        <v>0</v>
      </c>
      <c r="AP863" s="2">
        <v>0</v>
      </c>
      <c r="AQ863" s="2">
        <v>0</v>
      </c>
      <c r="AR863" s="2">
        <v>3.474149788762265</v>
      </c>
    </row>
    <row r="864" spans="1:44" x14ac:dyDescent="0.25">
      <c r="A864" t="s">
        <v>250</v>
      </c>
      <c r="B864" t="s">
        <v>401</v>
      </c>
      <c r="C864" t="s">
        <v>44</v>
      </c>
      <c r="D864" t="s">
        <v>219</v>
      </c>
      <c r="E864" t="s">
        <v>134</v>
      </c>
      <c r="F864" t="s">
        <v>399</v>
      </c>
      <c r="G864" t="s">
        <v>31</v>
      </c>
      <c r="H864" t="s">
        <v>273</v>
      </c>
      <c r="I864" t="s">
        <v>135</v>
      </c>
      <c r="J864" t="s">
        <v>39</v>
      </c>
      <c r="K864" t="s">
        <v>31</v>
      </c>
      <c r="L864">
        <v>0.1335515021459226</v>
      </c>
      <c r="M864">
        <v>0</v>
      </c>
      <c r="N864">
        <v>0.3139909125706512</v>
      </c>
      <c r="O864">
        <v>10.9636146902543</v>
      </c>
      <c r="P864">
        <v>13.531684575414111</v>
      </c>
      <c r="Q864">
        <v>18.912940749416155</v>
      </c>
      <c r="R864">
        <v>-4.8396016473628842</v>
      </c>
      <c r="S864" s="2">
        <v>0.10818218283544608</v>
      </c>
      <c r="T864" s="2">
        <v>0.17516367147840506</v>
      </c>
      <c r="U864" s="2">
        <v>0.26465096745109817</v>
      </c>
      <c r="V864" s="2">
        <v>0.37729316640771554</v>
      </c>
      <c r="W864" s="2">
        <v>0.51086149655407298</v>
      </c>
      <c r="X864" s="2">
        <v>0.65921460904009499</v>
      </c>
      <c r="Y864" s="2">
        <v>0.81158431670240694</v>
      </c>
      <c r="Z864" s="2">
        <v>0.95264826919137691</v>
      </c>
      <c r="AA864" s="2">
        <v>1.0638929241284203</v>
      </c>
      <c r="AB864" s="2">
        <v>1.1265755674100251</v>
      </c>
      <c r="AC864" s="2">
        <v>1.1260749887400234</v>
      </c>
      <c r="AD864" s="2">
        <v>1.0566326138690398</v>
      </c>
      <c r="AE864" s="2">
        <v>0.92474291493880789</v>
      </c>
      <c r="AF864" s="2">
        <v>0.76123431299933764</v>
      </c>
      <c r="AG864" s="2">
        <v>0.57944260335729558</v>
      </c>
      <c r="AH864" s="2">
        <v>6.5060759102001528E-2</v>
      </c>
      <c r="AI864" s="2">
        <v>0</v>
      </c>
      <c r="AJ864" s="2">
        <v>0</v>
      </c>
      <c r="AK864" s="2">
        <v>0</v>
      </c>
      <c r="AL864" s="2">
        <v>0</v>
      </c>
      <c r="AM864" s="2">
        <v>0</v>
      </c>
      <c r="AN864" s="2">
        <v>0</v>
      </c>
      <c r="AO864" s="2">
        <v>0</v>
      </c>
      <c r="AP864" s="2">
        <v>0</v>
      </c>
      <c r="AQ864" s="2">
        <v>0</v>
      </c>
      <c r="AR864" s="2">
        <v>10.563255364205567</v>
      </c>
    </row>
    <row r="865" spans="1:44" x14ac:dyDescent="0.25">
      <c r="A865" t="s">
        <v>250</v>
      </c>
      <c r="B865" t="s">
        <v>401</v>
      </c>
      <c r="C865" t="s">
        <v>44</v>
      </c>
      <c r="D865" t="s">
        <v>219</v>
      </c>
      <c r="E865" t="s">
        <v>134</v>
      </c>
      <c r="F865" t="s">
        <v>399</v>
      </c>
      <c r="G865" t="s">
        <v>31</v>
      </c>
      <c r="H865" t="s">
        <v>274</v>
      </c>
      <c r="I865" t="s">
        <v>135</v>
      </c>
      <c r="J865" t="s">
        <v>39</v>
      </c>
      <c r="K865" t="s">
        <v>31</v>
      </c>
      <c r="L865">
        <v>0.1335515021459226</v>
      </c>
      <c r="M865">
        <v>0</v>
      </c>
      <c r="N865">
        <v>0.3139909125706512</v>
      </c>
      <c r="O865">
        <v>10.9636146902543</v>
      </c>
      <c r="P865">
        <v>13.531684575414111</v>
      </c>
      <c r="Q865">
        <v>18.912940749416155</v>
      </c>
      <c r="R865">
        <v>-4.8396016473628842</v>
      </c>
      <c r="S865" s="2">
        <v>0.17029812801315727</v>
      </c>
      <c r="T865" s="2">
        <v>0.2757389855412512</v>
      </c>
      <c r="U865" s="2">
        <v>0.41660801393097724</v>
      </c>
      <c r="V865" s="2">
        <v>0.59392700597586978</v>
      </c>
      <c r="W865" s="2">
        <v>0.80418747576475558</v>
      </c>
      <c r="X865" s="2">
        <v>1.0377218404736277</v>
      </c>
      <c r="Y865" s="2">
        <v>1.277579045243411</v>
      </c>
      <c r="Z865" s="2">
        <v>1.4996389668438967</v>
      </c>
      <c r="AA865" s="2">
        <v>1.6747579743431695</v>
      </c>
      <c r="AB865" s="2">
        <v>1.7734316794763973</v>
      </c>
      <c r="AC865" s="2">
        <v>1.7726436790109772</v>
      </c>
      <c r="AD865" s="2">
        <v>1.6633289458880141</v>
      </c>
      <c r="AE865" s="2">
        <v>1.4557109422265249</v>
      </c>
      <c r="AF865" s="2">
        <v>1.1983191232178891</v>
      </c>
      <c r="AG865" s="2">
        <v>0.91214641872141922</v>
      </c>
      <c r="AH865" s="2">
        <v>0.10241728528476131</v>
      </c>
      <c r="AI865" s="2">
        <v>0</v>
      </c>
      <c r="AJ865" s="2">
        <v>0</v>
      </c>
      <c r="AK865" s="2">
        <v>0</v>
      </c>
      <c r="AL865" s="2">
        <v>0</v>
      </c>
      <c r="AM865" s="2">
        <v>0</v>
      </c>
      <c r="AN865" s="2">
        <v>0</v>
      </c>
      <c r="AO865" s="2">
        <v>0</v>
      </c>
      <c r="AP865" s="2">
        <v>0</v>
      </c>
      <c r="AQ865" s="2">
        <v>0</v>
      </c>
      <c r="AR865" s="2">
        <v>16.628455509956098</v>
      </c>
    </row>
    <row r="866" spans="1:44" x14ac:dyDescent="0.25">
      <c r="A866" t="s">
        <v>250</v>
      </c>
      <c r="B866" t="s">
        <v>401</v>
      </c>
      <c r="C866" t="s">
        <v>44</v>
      </c>
      <c r="D866" t="s">
        <v>219</v>
      </c>
      <c r="E866" t="s">
        <v>134</v>
      </c>
      <c r="F866" t="s">
        <v>399</v>
      </c>
      <c r="G866" t="s">
        <v>31</v>
      </c>
      <c r="H866" t="s">
        <v>274</v>
      </c>
      <c r="I866" t="s">
        <v>135</v>
      </c>
      <c r="J866" t="s">
        <v>39</v>
      </c>
      <c r="K866" t="s">
        <v>33</v>
      </c>
      <c r="L866">
        <v>0.1335515021459226</v>
      </c>
      <c r="M866">
        <v>0</v>
      </c>
      <c r="N866">
        <v>0.3139909125706512</v>
      </c>
      <c r="O866">
        <v>10.9636146902543</v>
      </c>
      <c r="P866">
        <v>13.531684575414111</v>
      </c>
      <c r="Q866">
        <v>18.912940749416155</v>
      </c>
      <c r="R866">
        <v>-4.8396016473628842</v>
      </c>
      <c r="S866" s="2">
        <v>5.4793126772655185E-4</v>
      </c>
      <c r="T866" s="2">
        <v>8.8718539464848498E-4</v>
      </c>
      <c r="U866" s="2">
        <v>1.3404290457062745E-3</v>
      </c>
      <c r="V866" s="2">
        <v>1.9109498214581121E-3</v>
      </c>
      <c r="W866" s="2">
        <v>2.5874592294493947E-3</v>
      </c>
      <c r="X866" s="2">
        <v>3.3388519899309474E-3</v>
      </c>
      <c r="Y866" s="2">
        <v>4.1105883784407528E-3</v>
      </c>
      <c r="Z866" s="2">
        <v>4.8250623176047357E-3</v>
      </c>
      <c r="AA866" s="2">
        <v>5.3885046813086906E-3</v>
      </c>
      <c r="AB866" s="2">
        <v>5.7059856129883877E-3</v>
      </c>
      <c r="AC866" s="2">
        <v>5.7034502351834514E-3</v>
      </c>
      <c r="AD866" s="2">
        <v>5.3517319808487496E-3</v>
      </c>
      <c r="AE866" s="2">
        <v>4.6837246617060166E-3</v>
      </c>
      <c r="AF866" s="2">
        <v>3.8555709565698767E-3</v>
      </c>
      <c r="AG866" s="2">
        <v>2.934815252482677E-3</v>
      </c>
      <c r="AH866" s="2">
        <v>3.2952583576759782E-4</v>
      </c>
      <c r="AI866" s="2">
        <v>0</v>
      </c>
      <c r="AJ866" s="2">
        <v>0</v>
      </c>
      <c r="AK866" s="2">
        <v>0</v>
      </c>
      <c r="AL866" s="2">
        <v>0</v>
      </c>
      <c r="AM866" s="2">
        <v>0</v>
      </c>
      <c r="AN866" s="2">
        <v>0</v>
      </c>
      <c r="AO866" s="2">
        <v>0</v>
      </c>
      <c r="AP866" s="2">
        <v>0</v>
      </c>
      <c r="AQ866" s="2">
        <v>0</v>
      </c>
      <c r="AR866" s="2">
        <v>5.3501766661820695E-2</v>
      </c>
    </row>
    <row r="867" spans="1:44" x14ac:dyDescent="0.25">
      <c r="A867" t="s">
        <v>250</v>
      </c>
      <c r="B867" t="s">
        <v>401</v>
      </c>
      <c r="C867" t="s">
        <v>44</v>
      </c>
      <c r="D867" t="s">
        <v>219</v>
      </c>
      <c r="E867" t="s">
        <v>134</v>
      </c>
      <c r="F867" t="s">
        <v>399</v>
      </c>
      <c r="G867" t="s">
        <v>31</v>
      </c>
      <c r="H867" t="s">
        <v>275</v>
      </c>
      <c r="I867" t="s">
        <v>135</v>
      </c>
      <c r="J867" t="s">
        <v>39</v>
      </c>
      <c r="K867" t="s">
        <v>31</v>
      </c>
      <c r="L867">
        <v>0.1335515021459226</v>
      </c>
      <c r="M867">
        <v>0</v>
      </c>
      <c r="N867">
        <v>0.3139909125706512</v>
      </c>
      <c r="O867">
        <v>10.9636146902543</v>
      </c>
      <c r="P867">
        <v>13.531684575414111</v>
      </c>
      <c r="Q867">
        <v>18.912940749416155</v>
      </c>
      <c r="R867">
        <v>-4.8396016473628842</v>
      </c>
      <c r="S867" s="2">
        <v>0.26016230423544334</v>
      </c>
      <c r="T867" s="2">
        <v>0.42124297361867136</v>
      </c>
      <c r="U867" s="2">
        <v>0.63644681319609597</v>
      </c>
      <c r="V867" s="2">
        <v>0.90733480294276725</v>
      </c>
      <c r="W867" s="2">
        <v>1.2285470731426904</v>
      </c>
      <c r="X867" s="2">
        <v>1.5853145793370422</v>
      </c>
      <c r="Y867" s="2">
        <v>1.9517414086182079</v>
      </c>
      <c r="Z867" s="2">
        <v>2.2909795526655747</v>
      </c>
      <c r="AA867" s="2">
        <v>2.5585066537439536</v>
      </c>
      <c r="AB867" s="2">
        <v>2.7092492296865736</v>
      </c>
      <c r="AC867" s="2">
        <v>2.7080454113051604</v>
      </c>
      <c r="AD867" s="2">
        <v>2.541046670990438</v>
      </c>
      <c r="AE867" s="2">
        <v>2.2238712629955693</v>
      </c>
      <c r="AF867" s="2">
        <v>1.8306570244957463</v>
      </c>
      <c r="AG867" s="2">
        <v>1.3934745899046974</v>
      </c>
      <c r="AH867" s="2">
        <v>0.15646159616718869</v>
      </c>
      <c r="AI867" s="2">
        <v>0</v>
      </c>
      <c r="AJ867" s="2">
        <v>0</v>
      </c>
      <c r="AK867" s="2">
        <v>0</v>
      </c>
      <c r="AL867" s="2">
        <v>0</v>
      </c>
      <c r="AM867" s="2">
        <v>0</v>
      </c>
      <c r="AN867" s="2">
        <v>0</v>
      </c>
      <c r="AO867" s="2">
        <v>0</v>
      </c>
      <c r="AP867" s="2">
        <v>0</v>
      </c>
      <c r="AQ867" s="2">
        <v>0</v>
      </c>
      <c r="AR867" s="2">
        <v>25.403081947045813</v>
      </c>
    </row>
    <row r="868" spans="1:44" x14ac:dyDescent="0.25">
      <c r="A868" t="s">
        <v>250</v>
      </c>
      <c r="B868" t="s">
        <v>410</v>
      </c>
      <c r="C868" t="s">
        <v>44</v>
      </c>
      <c r="D868" t="s">
        <v>219</v>
      </c>
      <c r="E868" t="s">
        <v>134</v>
      </c>
      <c r="F868" t="s">
        <v>408</v>
      </c>
      <c r="G868" t="s">
        <v>31</v>
      </c>
      <c r="H868" t="s">
        <v>272</v>
      </c>
      <c r="I868" t="s">
        <v>135</v>
      </c>
      <c r="J868" t="s">
        <v>39</v>
      </c>
      <c r="K868" t="s">
        <v>31</v>
      </c>
      <c r="L868">
        <v>8.9058727732376886E-2</v>
      </c>
      <c r="M868">
        <v>0</v>
      </c>
      <c r="N868">
        <v>0.31310571523809327</v>
      </c>
      <c r="O868">
        <v>10.963614690254312</v>
      </c>
      <c r="P868">
        <v>13.585154326643281</v>
      </c>
      <c r="Q868">
        <v>18.966410500645331</v>
      </c>
      <c r="R868">
        <v>-4.8396016473628896</v>
      </c>
      <c r="S868" s="2">
        <v>0</v>
      </c>
      <c r="T868" s="2">
        <v>0</v>
      </c>
      <c r="U868" s="2">
        <v>0.27563903987241622</v>
      </c>
      <c r="V868" s="2">
        <v>0.39295804258967171</v>
      </c>
      <c r="W868" s="2">
        <v>0.53207201082297062</v>
      </c>
      <c r="X868" s="2">
        <v>0.6865846123886068</v>
      </c>
      <c r="Y868" s="2">
        <v>0.84528057458432715</v>
      </c>
      <c r="Z868" s="2">
        <v>0.99220137672291209</v>
      </c>
      <c r="AA868" s="2">
        <v>1.1080648106378133</v>
      </c>
      <c r="AB868" s="2">
        <v>1.1733499814316779</v>
      </c>
      <c r="AC868" s="2">
        <v>1.1728286191812065</v>
      </c>
      <c r="AD868" s="2">
        <v>1.1005030587638425</v>
      </c>
      <c r="AE868" s="2">
        <v>0.96313741701946198</v>
      </c>
      <c r="AF868" s="2">
        <v>0.79284008357856139</v>
      </c>
      <c r="AG868" s="2">
        <v>0.60350054408960585</v>
      </c>
      <c r="AH868" s="2">
        <v>0.36287214564931314</v>
      </c>
      <c r="AI868" s="2">
        <v>0</v>
      </c>
      <c r="AJ868" s="2">
        <v>0</v>
      </c>
      <c r="AK868" s="2">
        <v>0</v>
      </c>
      <c r="AL868" s="2">
        <v>0</v>
      </c>
      <c r="AM868" s="2">
        <v>0</v>
      </c>
      <c r="AN868" s="2">
        <v>0</v>
      </c>
      <c r="AO868" s="2">
        <v>0</v>
      </c>
      <c r="AP868" s="2">
        <v>0</v>
      </c>
      <c r="AQ868" s="2">
        <v>0</v>
      </c>
      <c r="AR868" s="2">
        <v>11.001832317332386</v>
      </c>
    </row>
    <row r="869" spans="1:44" x14ac:dyDescent="0.25">
      <c r="A869" t="s">
        <v>250</v>
      </c>
      <c r="B869" t="s">
        <v>410</v>
      </c>
      <c r="C869" t="s">
        <v>44</v>
      </c>
      <c r="D869" t="s">
        <v>219</v>
      </c>
      <c r="E869" t="s">
        <v>134</v>
      </c>
      <c r="F869" t="s">
        <v>408</v>
      </c>
      <c r="G869" t="s">
        <v>31</v>
      </c>
      <c r="H869" t="s">
        <v>272</v>
      </c>
      <c r="I869" t="s">
        <v>135</v>
      </c>
      <c r="J869" t="s">
        <v>40</v>
      </c>
      <c r="K869" t="s">
        <v>31</v>
      </c>
      <c r="L869">
        <v>8.9058727732376886E-2</v>
      </c>
      <c r="M869">
        <v>0</v>
      </c>
      <c r="N869">
        <v>0.31310571523809327</v>
      </c>
      <c r="O869">
        <v>9.6708435291849373</v>
      </c>
      <c r="P869">
        <v>13.585154326643281</v>
      </c>
      <c r="Q869">
        <v>0.4672931329656026</v>
      </c>
      <c r="R869">
        <v>-4.6966016473628898</v>
      </c>
      <c r="S869" s="2">
        <v>0</v>
      </c>
      <c r="T869" s="2">
        <v>0</v>
      </c>
      <c r="U869" s="2">
        <v>2.7265067646081716E-2</v>
      </c>
      <c r="V869" s="2">
        <v>3.8869775552252725E-2</v>
      </c>
      <c r="W869" s="2">
        <v>5.2630350818192506E-2</v>
      </c>
      <c r="X869" s="2">
        <v>6.7914094861884947E-2</v>
      </c>
      <c r="Y869" s="2">
        <v>8.3611639543614696E-2</v>
      </c>
      <c r="Z869" s="2">
        <v>9.8144434356639915E-2</v>
      </c>
      <c r="AA869" s="2">
        <v>0.10960516344951191</v>
      </c>
      <c r="AB869" s="2">
        <v>0.11606290107189164</v>
      </c>
      <c r="AC869" s="2">
        <v>0.11601133008603347</v>
      </c>
      <c r="AD869" s="2">
        <v>0.10885718639784997</v>
      </c>
      <c r="AE869" s="2">
        <v>9.5269548318202307E-2</v>
      </c>
      <c r="AF869" s="2">
        <v>7.8424444234388019E-2</v>
      </c>
      <c r="AG869" s="2">
        <v>5.9695764310695745E-2</v>
      </c>
      <c r="AH869" s="2">
        <v>3.5893803731818004E-2</v>
      </c>
      <c r="AI869" s="2">
        <v>0</v>
      </c>
      <c r="AJ869" s="2">
        <v>0</v>
      </c>
      <c r="AK869" s="2">
        <v>0</v>
      </c>
      <c r="AL869" s="2">
        <v>0</v>
      </c>
      <c r="AM869" s="2">
        <v>0</v>
      </c>
      <c r="AN869" s="2">
        <v>0</v>
      </c>
      <c r="AO869" s="2">
        <v>0</v>
      </c>
      <c r="AP869" s="2">
        <v>0</v>
      </c>
      <c r="AQ869" s="2">
        <v>0</v>
      </c>
      <c r="AR869" s="2">
        <v>1.0882555043790576</v>
      </c>
    </row>
    <row r="870" spans="1:44" x14ac:dyDescent="0.25">
      <c r="A870" t="s">
        <v>250</v>
      </c>
      <c r="B870" t="s">
        <v>410</v>
      </c>
      <c r="C870" t="s">
        <v>44</v>
      </c>
      <c r="D870" t="s">
        <v>219</v>
      </c>
      <c r="E870" t="s">
        <v>134</v>
      </c>
      <c r="F870" t="s">
        <v>408</v>
      </c>
      <c r="G870" t="s">
        <v>31</v>
      </c>
      <c r="H870" t="s">
        <v>273</v>
      </c>
      <c r="I870" t="s">
        <v>135</v>
      </c>
      <c r="J870" t="s">
        <v>39</v>
      </c>
      <c r="K870" t="s">
        <v>31</v>
      </c>
      <c r="L870">
        <v>8.9058727732376886E-2</v>
      </c>
      <c r="M870">
        <v>0</v>
      </c>
      <c r="N870">
        <v>0.31310571523809327</v>
      </c>
      <c r="O870">
        <v>10.963614690254312</v>
      </c>
      <c r="P870">
        <v>13.585154326643281</v>
      </c>
      <c r="Q870">
        <v>18.966410500645331</v>
      </c>
      <c r="R870">
        <v>-4.8396016473628896</v>
      </c>
      <c r="S870" s="2">
        <v>0</v>
      </c>
      <c r="T870" s="2">
        <v>0</v>
      </c>
      <c r="U870" s="2">
        <v>8.2900245982344051E-2</v>
      </c>
      <c r="V870" s="2">
        <v>0.11818470419321829</v>
      </c>
      <c r="W870" s="2">
        <v>0.16002414098511289</v>
      </c>
      <c r="X870" s="2">
        <v>0.20649481757393012</v>
      </c>
      <c r="Y870" s="2">
        <v>0.25422366726270945</v>
      </c>
      <c r="Z870" s="2">
        <v>0.29841106046669685</v>
      </c>
      <c r="AA870" s="2">
        <v>0.33325774682995735</v>
      </c>
      <c r="AB870" s="2">
        <v>0.35289268939947094</v>
      </c>
      <c r="AC870" s="2">
        <v>0.35273588628903352</v>
      </c>
      <c r="AD870" s="2">
        <v>0.33098350044345209</v>
      </c>
      <c r="AE870" s="2">
        <v>0.28966988429022994</v>
      </c>
      <c r="AF870" s="2">
        <v>0.23845184623973273</v>
      </c>
      <c r="AG870" s="2">
        <v>0.18150674004184639</v>
      </c>
      <c r="AH870" s="2">
        <v>0.10913617370163786</v>
      </c>
      <c r="AI870" s="2">
        <v>0</v>
      </c>
      <c r="AJ870" s="2">
        <v>0</v>
      </c>
      <c r="AK870" s="2">
        <v>0</v>
      </c>
      <c r="AL870" s="2">
        <v>0</v>
      </c>
      <c r="AM870" s="2">
        <v>0</v>
      </c>
      <c r="AN870" s="2">
        <v>0</v>
      </c>
      <c r="AO870" s="2">
        <v>0</v>
      </c>
      <c r="AP870" s="2">
        <v>0</v>
      </c>
      <c r="AQ870" s="2">
        <v>0</v>
      </c>
      <c r="AR870" s="2">
        <v>3.3088731036993724</v>
      </c>
    </row>
    <row r="871" spans="1:44" x14ac:dyDescent="0.25">
      <c r="A871" t="s">
        <v>250</v>
      </c>
      <c r="B871" t="s">
        <v>410</v>
      </c>
      <c r="C871" t="s">
        <v>44</v>
      </c>
      <c r="D871" t="s">
        <v>219</v>
      </c>
      <c r="E871" t="s">
        <v>134</v>
      </c>
      <c r="F871" t="s">
        <v>408</v>
      </c>
      <c r="G871" t="s">
        <v>31</v>
      </c>
      <c r="H871" t="s">
        <v>274</v>
      </c>
      <c r="I871" t="s">
        <v>135</v>
      </c>
      <c r="J871" t="s">
        <v>39</v>
      </c>
      <c r="K871" t="s">
        <v>31</v>
      </c>
      <c r="L871">
        <v>8.9058727732376886E-2</v>
      </c>
      <c r="M871">
        <v>0</v>
      </c>
      <c r="N871">
        <v>0.31310571523809327</v>
      </c>
      <c r="O871">
        <v>10.963614690254312</v>
      </c>
      <c r="P871">
        <v>13.585154326643281</v>
      </c>
      <c r="Q871">
        <v>18.966410500645331</v>
      </c>
      <c r="R871">
        <v>-4.8396016473628896</v>
      </c>
      <c r="S871" s="2">
        <v>0</v>
      </c>
      <c r="T871" s="2">
        <v>0</v>
      </c>
      <c r="U871" s="2">
        <v>0.13049983215903233</v>
      </c>
      <c r="V871" s="2">
        <v>0.18604388778610687</v>
      </c>
      <c r="W871" s="2">
        <v>0.25190665350255054</v>
      </c>
      <c r="X871" s="2">
        <v>0.32505981997745975</v>
      </c>
      <c r="Y871" s="2">
        <v>0.40019357621330909</v>
      </c>
      <c r="Z871" s="2">
        <v>0.46975244577195469</v>
      </c>
      <c r="AA871" s="2">
        <v>0.52460737011889169</v>
      </c>
      <c r="AB871" s="2">
        <v>0.55551628576094514</v>
      </c>
      <c r="AC871" s="2">
        <v>0.55526944958631597</v>
      </c>
      <c r="AD871" s="2">
        <v>0.52102729905625067</v>
      </c>
      <c r="AE871" s="2">
        <v>0.45599226918400598</v>
      </c>
      <c r="AF871" s="2">
        <v>0.37536590565634698</v>
      </c>
      <c r="AG871" s="2">
        <v>0.2857241113161329</v>
      </c>
      <c r="AH871" s="2">
        <v>0.17179988046809941</v>
      </c>
      <c r="AI871" s="2">
        <v>0</v>
      </c>
      <c r="AJ871" s="2">
        <v>0</v>
      </c>
      <c r="AK871" s="2">
        <v>0</v>
      </c>
      <c r="AL871" s="2">
        <v>0</v>
      </c>
      <c r="AM871" s="2">
        <v>0</v>
      </c>
      <c r="AN871" s="2">
        <v>0</v>
      </c>
      <c r="AO871" s="2">
        <v>0</v>
      </c>
      <c r="AP871" s="2">
        <v>0</v>
      </c>
      <c r="AQ871" s="2">
        <v>0</v>
      </c>
      <c r="AR871" s="2">
        <v>5.2087587865574019</v>
      </c>
    </row>
    <row r="872" spans="1:44" x14ac:dyDescent="0.25">
      <c r="A872" t="s">
        <v>250</v>
      </c>
      <c r="B872" t="s">
        <v>410</v>
      </c>
      <c r="C872" t="s">
        <v>44</v>
      </c>
      <c r="D872" t="s">
        <v>219</v>
      </c>
      <c r="E872" t="s">
        <v>134</v>
      </c>
      <c r="F872" t="s">
        <v>408</v>
      </c>
      <c r="G872" t="s">
        <v>31</v>
      </c>
      <c r="H872" t="s">
        <v>274</v>
      </c>
      <c r="I872" t="s">
        <v>135</v>
      </c>
      <c r="J872" t="s">
        <v>39</v>
      </c>
      <c r="K872" t="s">
        <v>33</v>
      </c>
      <c r="L872">
        <v>8.9058727732376886E-2</v>
      </c>
      <c r="M872">
        <v>0</v>
      </c>
      <c r="N872">
        <v>0.31310571523809327</v>
      </c>
      <c r="O872">
        <v>10.963614690254312</v>
      </c>
      <c r="P872">
        <v>13.585154326643281</v>
      </c>
      <c r="Q872">
        <v>18.966410500645331</v>
      </c>
      <c r="R872">
        <v>-4.8396016473628896</v>
      </c>
      <c r="S872" s="2">
        <v>0</v>
      </c>
      <c r="T872" s="2">
        <v>0</v>
      </c>
      <c r="U872" s="2">
        <v>4.1988094236406593E-4</v>
      </c>
      <c r="V872" s="2">
        <v>5.9859297619256266E-4</v>
      </c>
      <c r="W872" s="2">
        <v>8.1050528043233544E-4</v>
      </c>
      <c r="X872" s="2">
        <v>1.0458743224320899E-3</v>
      </c>
      <c r="Y872" s="2">
        <v>1.2876158775722969E-3</v>
      </c>
      <c r="Z872" s="2">
        <v>1.5114203316996485E-3</v>
      </c>
      <c r="AA872" s="2">
        <v>1.6879150976088723E-3</v>
      </c>
      <c r="AB872" s="2">
        <v>1.7873639966037871E-3</v>
      </c>
      <c r="AC872" s="2">
        <v>1.7865698055010229E-3</v>
      </c>
      <c r="AD872" s="2">
        <v>1.6763962811733066E-3</v>
      </c>
      <c r="AE872" s="2">
        <v>1.467147202629237E-3</v>
      </c>
      <c r="AF872" s="2">
        <v>1.2077332789689674E-3</v>
      </c>
      <c r="AG872" s="2">
        <v>9.1931236332436661E-4</v>
      </c>
      <c r="AH872" s="2">
        <v>5.5276313015539368E-4</v>
      </c>
      <c r="AI872" s="2">
        <v>0</v>
      </c>
      <c r="AJ872" s="2">
        <v>0</v>
      </c>
      <c r="AK872" s="2">
        <v>0</v>
      </c>
      <c r="AL872" s="2">
        <v>0</v>
      </c>
      <c r="AM872" s="2">
        <v>0</v>
      </c>
      <c r="AN872" s="2">
        <v>0</v>
      </c>
      <c r="AO872" s="2">
        <v>0</v>
      </c>
      <c r="AP872" s="2">
        <v>0</v>
      </c>
      <c r="AQ872" s="2">
        <v>0</v>
      </c>
      <c r="AR872" s="2">
        <v>1.6759090886657956E-2</v>
      </c>
    </row>
    <row r="873" spans="1:44" x14ac:dyDescent="0.25">
      <c r="A873" t="s">
        <v>250</v>
      </c>
      <c r="B873" t="s">
        <v>410</v>
      </c>
      <c r="C873" t="s">
        <v>44</v>
      </c>
      <c r="D873" t="s">
        <v>219</v>
      </c>
      <c r="E873" t="s">
        <v>134</v>
      </c>
      <c r="F873" t="s">
        <v>408</v>
      </c>
      <c r="G873" t="s">
        <v>31</v>
      </c>
      <c r="H873" t="s">
        <v>275</v>
      </c>
      <c r="I873" t="s">
        <v>135</v>
      </c>
      <c r="J873" t="s">
        <v>39</v>
      </c>
      <c r="K873" t="s">
        <v>31</v>
      </c>
      <c r="L873">
        <v>8.9058727732376886E-2</v>
      </c>
      <c r="M873">
        <v>0</v>
      </c>
      <c r="N873">
        <v>0.31310571523809327</v>
      </c>
      <c r="O873">
        <v>10.963614690254312</v>
      </c>
      <c r="P873">
        <v>13.585154326643281</v>
      </c>
      <c r="Q873">
        <v>18.966410500645331</v>
      </c>
      <c r="R873">
        <v>-4.8396016473628896</v>
      </c>
      <c r="S873" s="2">
        <v>0</v>
      </c>
      <c r="T873" s="2">
        <v>0</v>
      </c>
      <c r="U873" s="2">
        <v>0.19936294915825142</v>
      </c>
      <c r="V873" s="2">
        <v>0.28421690302793168</v>
      </c>
      <c r="W873" s="2">
        <v>0.38483462027486059</v>
      </c>
      <c r="X873" s="2">
        <v>0.4965897908940054</v>
      </c>
      <c r="Y873" s="2">
        <v>0.61137068353348556</v>
      </c>
      <c r="Z873" s="2">
        <v>0.71763489204546482</v>
      </c>
      <c r="AA873" s="2">
        <v>0.8014360687422365</v>
      </c>
      <c r="AB873" s="2">
        <v>0.84865522968471241</v>
      </c>
      <c r="AC873" s="2">
        <v>0.84827814117111888</v>
      </c>
      <c r="AD873" s="2">
        <v>0.79596683929238965</v>
      </c>
      <c r="AE873" s="2">
        <v>0.69661364366432721</v>
      </c>
      <c r="AF873" s="2">
        <v>0.57344176407760838</v>
      </c>
      <c r="AG873" s="2">
        <v>0.4364971244421802</v>
      </c>
      <c r="AH873" s="2">
        <v>0.26245651253724889</v>
      </c>
      <c r="AI873" s="2">
        <v>0</v>
      </c>
      <c r="AJ873" s="2">
        <v>0</v>
      </c>
      <c r="AK873" s="2">
        <v>0</v>
      </c>
      <c r="AL873" s="2">
        <v>0</v>
      </c>
      <c r="AM873" s="2">
        <v>0</v>
      </c>
      <c r="AN873" s="2">
        <v>0</v>
      </c>
      <c r="AO873" s="2">
        <v>0</v>
      </c>
      <c r="AP873" s="2">
        <v>0</v>
      </c>
      <c r="AQ873" s="2">
        <v>0</v>
      </c>
      <c r="AR873" s="2">
        <v>7.9573551625458219</v>
      </c>
    </row>
    <row r="874" spans="1:44" x14ac:dyDescent="0.25">
      <c r="A874" t="s">
        <v>250</v>
      </c>
      <c r="B874" t="s">
        <v>403</v>
      </c>
      <c r="C874" t="s">
        <v>44</v>
      </c>
      <c r="D874" t="s">
        <v>219</v>
      </c>
      <c r="E874" t="s">
        <v>134</v>
      </c>
      <c r="F874" t="s">
        <v>399</v>
      </c>
      <c r="G874" t="s">
        <v>31</v>
      </c>
      <c r="H874" t="s">
        <v>276</v>
      </c>
      <c r="I874" t="s">
        <v>135</v>
      </c>
      <c r="J874" t="s">
        <v>39</v>
      </c>
      <c r="K874" t="s">
        <v>31</v>
      </c>
      <c r="L874">
        <v>0.26223026548672568</v>
      </c>
      <c r="M874">
        <v>0</v>
      </c>
      <c r="N874">
        <v>0.36041011491017527</v>
      </c>
      <c r="O874">
        <v>6.504014493684382</v>
      </c>
      <c r="P874">
        <v>6.8072244786385783</v>
      </c>
      <c r="Q874">
        <v>9.7747780822102239</v>
      </c>
      <c r="R874">
        <v>-2.4258990769324864</v>
      </c>
      <c r="S874" s="2">
        <v>1.5606902140956631</v>
      </c>
      <c r="T874" s="2">
        <v>2.5333453225213116</v>
      </c>
      <c r="U874" s="2">
        <v>3.8371893063125491</v>
      </c>
      <c r="V874" s="2">
        <v>5.4841340907700324</v>
      </c>
      <c r="W874" s="2">
        <v>7.4442625762305168</v>
      </c>
      <c r="X874" s="2">
        <v>9.630187025430109</v>
      </c>
      <c r="Y874" s="2">
        <v>11.885868755341477</v>
      </c>
      <c r="Z874" s="2">
        <v>13.986828616079967</v>
      </c>
      <c r="AA874" s="2">
        <v>15.659358878301987</v>
      </c>
      <c r="AB874" s="2">
        <v>16.62362645198187</v>
      </c>
      <c r="AC874" s="2">
        <v>16.657972537352034</v>
      </c>
      <c r="AD874" s="2">
        <v>15.669972234553795</v>
      </c>
      <c r="AE874" s="2">
        <v>13.748477723589291</v>
      </c>
      <c r="AF874" s="2">
        <v>11.345962505626444</v>
      </c>
      <c r="AG874" s="2">
        <v>8.6581039880435409</v>
      </c>
      <c r="AH874" s="2">
        <v>5.9814844405398331</v>
      </c>
      <c r="AI874" s="2">
        <v>1.1392973915998441</v>
      </c>
      <c r="AJ874" s="2">
        <v>0</v>
      </c>
      <c r="AK874" s="2">
        <v>0</v>
      </c>
      <c r="AL874" s="2">
        <v>0</v>
      </c>
      <c r="AM874" s="2">
        <v>0</v>
      </c>
      <c r="AN874" s="2">
        <v>0</v>
      </c>
      <c r="AO874" s="2">
        <v>0</v>
      </c>
      <c r="AP874" s="2">
        <v>0</v>
      </c>
      <c r="AQ874" s="2">
        <v>0</v>
      </c>
      <c r="AR874" s="2">
        <v>161.84676205837025</v>
      </c>
    </row>
    <row r="875" spans="1:44" x14ac:dyDescent="0.25">
      <c r="A875" t="s">
        <v>250</v>
      </c>
      <c r="B875" t="s">
        <v>412</v>
      </c>
      <c r="C875" t="s">
        <v>44</v>
      </c>
      <c r="D875" t="s">
        <v>219</v>
      </c>
      <c r="E875" t="s">
        <v>134</v>
      </c>
      <c r="F875" t="s">
        <v>408</v>
      </c>
      <c r="G875" t="s">
        <v>31</v>
      </c>
      <c r="H875" t="s">
        <v>276</v>
      </c>
      <c r="I875" t="s">
        <v>135</v>
      </c>
      <c r="J875" t="s">
        <v>39</v>
      </c>
      <c r="K875" t="s">
        <v>31</v>
      </c>
      <c r="L875">
        <v>0.17486807293005224</v>
      </c>
      <c r="M875">
        <v>0</v>
      </c>
      <c r="N875">
        <v>0.35940883392867401</v>
      </c>
      <c r="O875">
        <v>6.504014493684382</v>
      </c>
      <c r="P875">
        <v>6.8344561392661927</v>
      </c>
      <c r="Q875">
        <v>9.8020097428378392</v>
      </c>
      <c r="R875">
        <v>-2.4258990769324864</v>
      </c>
      <c r="S875" s="2">
        <v>0</v>
      </c>
      <c r="T875" s="2">
        <v>0</v>
      </c>
      <c r="U875" s="2">
        <v>1.201975342987966</v>
      </c>
      <c r="V875" s="2">
        <v>1.7178704068368902</v>
      </c>
      <c r="W875" s="2">
        <v>2.3318682892806768</v>
      </c>
      <c r="X875" s="2">
        <v>3.0165953329139126</v>
      </c>
      <c r="Y875" s="2">
        <v>3.7231734046607494</v>
      </c>
      <c r="Z875" s="2">
        <v>4.3812858269644206</v>
      </c>
      <c r="AA875" s="2">
        <v>4.9051953803150612</v>
      </c>
      <c r="AB875" s="2">
        <v>5.2072461146114755</v>
      </c>
      <c r="AC875" s="2">
        <v>5.2180048091786624</v>
      </c>
      <c r="AD875" s="2">
        <v>4.908519947205737</v>
      </c>
      <c r="AE875" s="2">
        <v>4.3066239135473117</v>
      </c>
      <c r="AF875" s="2">
        <v>3.554051177979106</v>
      </c>
      <c r="AG875" s="2">
        <v>2.712096453915855</v>
      </c>
      <c r="AH875" s="2">
        <v>1.8736622663279761</v>
      </c>
      <c r="AI875" s="2">
        <v>1.194548173279995</v>
      </c>
      <c r="AJ875" s="2">
        <v>0.44476035158621169</v>
      </c>
      <c r="AK875" s="2">
        <v>0</v>
      </c>
      <c r="AL875" s="2">
        <v>0</v>
      </c>
      <c r="AM875" s="2">
        <v>0</v>
      </c>
      <c r="AN875" s="2">
        <v>0</v>
      </c>
      <c r="AO875" s="2">
        <v>0</v>
      </c>
      <c r="AP875" s="2">
        <v>0</v>
      </c>
      <c r="AQ875" s="2">
        <v>0</v>
      </c>
      <c r="AR875" s="2">
        <v>50.697477191592014</v>
      </c>
    </row>
    <row r="876" spans="1:44" x14ac:dyDescent="0.25">
      <c r="A876" t="s">
        <v>250</v>
      </c>
      <c r="B876" t="s">
        <v>402</v>
      </c>
      <c r="C876" t="s">
        <v>44</v>
      </c>
      <c r="D876" t="s">
        <v>219</v>
      </c>
      <c r="E876" t="s">
        <v>134</v>
      </c>
      <c r="F876" t="s">
        <v>399</v>
      </c>
      <c r="G876" t="s">
        <v>31</v>
      </c>
      <c r="H876" t="s">
        <v>277</v>
      </c>
      <c r="I876" t="s">
        <v>135</v>
      </c>
      <c r="J876" t="s">
        <v>39</v>
      </c>
      <c r="K876" t="s">
        <v>31</v>
      </c>
      <c r="L876">
        <v>3.1195595054096081E-2</v>
      </c>
      <c r="M876">
        <v>0</v>
      </c>
      <c r="N876">
        <v>5.9157197014019343E-2</v>
      </c>
      <c r="O876">
        <v>8.738875658880076</v>
      </c>
      <c r="P876">
        <v>75.838878444344346</v>
      </c>
      <c r="Q876">
        <v>80.014804576481396</v>
      </c>
      <c r="R876">
        <v>-3.6342716054978919</v>
      </c>
      <c r="S876" s="2">
        <v>0.12896731924497434</v>
      </c>
      <c r="T876" s="2">
        <v>0.20879284530445097</v>
      </c>
      <c r="U876" s="2">
        <v>0.31542252186198017</v>
      </c>
      <c r="V876" s="2">
        <v>0.44962017848979147</v>
      </c>
      <c r="W876" s="2">
        <v>0.60872013357042054</v>
      </c>
      <c r="X876" s="2">
        <v>0.7853964954878091</v>
      </c>
      <c r="Y876" s="2">
        <v>0.96681509489339845</v>
      </c>
      <c r="Z876" s="2">
        <v>1.134723371186209</v>
      </c>
      <c r="AA876" s="2">
        <v>1.2670769140278819</v>
      </c>
      <c r="AB876" s="2">
        <v>1.3415690380656262</v>
      </c>
      <c r="AC876" s="2">
        <v>1.3408112695551209</v>
      </c>
      <c r="AD876" s="2">
        <v>1.2579749444510093</v>
      </c>
      <c r="AE876" s="2">
        <v>1.1008208153555363</v>
      </c>
      <c r="AF876" s="2">
        <v>0.90606972052844792</v>
      </c>
      <c r="AG876" s="2">
        <v>0.68960646640107026</v>
      </c>
      <c r="AH876" s="2">
        <v>5.4011283676923434E-2</v>
      </c>
      <c r="AI876" s="2">
        <v>0</v>
      </c>
      <c r="AJ876" s="2">
        <v>0</v>
      </c>
      <c r="AK876" s="2">
        <v>0</v>
      </c>
      <c r="AL876" s="2">
        <v>0</v>
      </c>
      <c r="AM876" s="2">
        <v>0</v>
      </c>
      <c r="AN876" s="2">
        <v>0</v>
      </c>
      <c r="AO876" s="2">
        <v>0</v>
      </c>
      <c r="AP876" s="2">
        <v>0</v>
      </c>
      <c r="AQ876" s="2">
        <v>0</v>
      </c>
      <c r="AR876" s="2">
        <v>12.55639841210065</v>
      </c>
    </row>
    <row r="877" spans="1:44" x14ac:dyDescent="0.25">
      <c r="A877" t="s">
        <v>250</v>
      </c>
      <c r="B877" t="s">
        <v>402</v>
      </c>
      <c r="C877" t="s">
        <v>44</v>
      </c>
      <c r="D877" t="s">
        <v>219</v>
      </c>
      <c r="E877" t="s">
        <v>134</v>
      </c>
      <c r="F877" t="s">
        <v>399</v>
      </c>
      <c r="G877" t="s">
        <v>31</v>
      </c>
      <c r="H877" t="s">
        <v>277</v>
      </c>
      <c r="I877" t="s">
        <v>135</v>
      </c>
      <c r="J877" t="s">
        <v>40</v>
      </c>
      <c r="K877" t="s">
        <v>31</v>
      </c>
      <c r="L877">
        <v>3.1195595054096081E-2</v>
      </c>
      <c r="M877">
        <v>0</v>
      </c>
      <c r="N877">
        <v>5.9157197014019343E-2</v>
      </c>
      <c r="O877">
        <v>7.4455689628598076</v>
      </c>
      <c r="P877">
        <v>75.838878444344346</v>
      </c>
      <c r="Q877">
        <v>0.4672931329656026</v>
      </c>
      <c r="R877">
        <v>-3.4912716054978921</v>
      </c>
      <c r="S877" s="2">
        <v>2.0344000074286578E-2</v>
      </c>
      <c r="T877" s="2">
        <v>3.2936108816185854E-2</v>
      </c>
      <c r="U877" s="2">
        <v>4.9756448732587284E-2</v>
      </c>
      <c r="V877" s="2">
        <v>7.0925510417271909E-2</v>
      </c>
      <c r="W877" s="2">
        <v>9.602279488382047E-2</v>
      </c>
      <c r="X877" s="2">
        <v>0.12389267650200497</v>
      </c>
      <c r="Y877" s="2">
        <v>0.15251062422233874</v>
      </c>
      <c r="Z877" s="2">
        <v>0.17899738075393493</v>
      </c>
      <c r="AA877" s="2">
        <v>0.19987554199018165</v>
      </c>
      <c r="AB877" s="2">
        <v>0.21162633115002297</v>
      </c>
      <c r="AC877" s="2">
        <v>0.2115067966607875</v>
      </c>
      <c r="AD877" s="2">
        <v>0.19843974824931673</v>
      </c>
      <c r="AE877" s="2">
        <v>0.17364940886171001</v>
      </c>
      <c r="AF877" s="2">
        <v>0.14292832145115603</v>
      </c>
      <c r="AG877" s="2">
        <v>0.1087822410035756</v>
      </c>
      <c r="AH877" s="2">
        <v>8.5200310091617174E-3</v>
      </c>
      <c r="AI877" s="2">
        <v>0</v>
      </c>
      <c r="AJ877" s="2">
        <v>0</v>
      </c>
      <c r="AK877" s="2">
        <v>0</v>
      </c>
      <c r="AL877" s="2">
        <v>0</v>
      </c>
      <c r="AM877" s="2">
        <v>0</v>
      </c>
      <c r="AN877" s="2">
        <v>0</v>
      </c>
      <c r="AO877" s="2">
        <v>0</v>
      </c>
      <c r="AP877" s="2">
        <v>0</v>
      </c>
      <c r="AQ877" s="2">
        <v>0</v>
      </c>
      <c r="AR877" s="2">
        <v>1.9807139647783427</v>
      </c>
    </row>
    <row r="878" spans="1:44" x14ac:dyDescent="0.25">
      <c r="A878" t="s">
        <v>250</v>
      </c>
      <c r="B878" t="s">
        <v>411</v>
      </c>
      <c r="C878" t="s">
        <v>44</v>
      </c>
      <c r="D878" t="s">
        <v>219</v>
      </c>
      <c r="E878" t="s">
        <v>134</v>
      </c>
      <c r="F878" t="s">
        <v>408</v>
      </c>
      <c r="G878" t="s">
        <v>31</v>
      </c>
      <c r="H878" t="s">
        <v>277</v>
      </c>
      <c r="I878" t="s">
        <v>135</v>
      </c>
      <c r="J878" t="s">
        <v>39</v>
      </c>
      <c r="K878" t="s">
        <v>31</v>
      </c>
      <c r="L878">
        <v>2.0802761194977929E-2</v>
      </c>
      <c r="M878">
        <v>0</v>
      </c>
      <c r="N878">
        <v>5.8988440621383323E-2</v>
      </c>
      <c r="O878">
        <v>8.7388756588801648</v>
      </c>
      <c r="P878">
        <v>76.067787865166579</v>
      </c>
      <c r="Q878">
        <v>80.243713997303686</v>
      </c>
      <c r="R878">
        <v>-3.6342716054979398</v>
      </c>
      <c r="S878" s="2">
        <v>0</v>
      </c>
      <c r="T878" s="2">
        <v>0</v>
      </c>
      <c r="U878" s="2">
        <v>9.8804115105156395E-2</v>
      </c>
      <c r="V878" s="2">
        <v>0.1408406844472099</v>
      </c>
      <c r="W878" s="2">
        <v>0.19067774168147483</v>
      </c>
      <c r="X878" s="2">
        <v>0.24602049747519186</v>
      </c>
      <c r="Y878" s="2">
        <v>0.30284872924530465</v>
      </c>
      <c r="Z878" s="2">
        <v>0.35544493753128942</v>
      </c>
      <c r="AA878" s="2">
        <v>0.39690384986357374</v>
      </c>
      <c r="AB878" s="2">
        <v>0.4202380377788979</v>
      </c>
      <c r="AC878" s="2">
        <v>0.42000067157342502</v>
      </c>
      <c r="AD878" s="2">
        <v>0.39405271531411862</v>
      </c>
      <c r="AE878" s="2">
        <v>0.34482517579430561</v>
      </c>
      <c r="AF878" s="2">
        <v>0.28382062394251772</v>
      </c>
      <c r="AG878" s="2">
        <v>0.21601487516280099</v>
      </c>
      <c r="AH878" s="2">
        <v>0.12271993463551133</v>
      </c>
      <c r="AI878" s="2">
        <v>0</v>
      </c>
      <c r="AJ878" s="2">
        <v>0</v>
      </c>
      <c r="AK878" s="2">
        <v>0</v>
      </c>
      <c r="AL878" s="2">
        <v>0</v>
      </c>
      <c r="AM878" s="2">
        <v>0</v>
      </c>
      <c r="AN878" s="2">
        <v>0</v>
      </c>
      <c r="AO878" s="2">
        <v>0</v>
      </c>
      <c r="AP878" s="2">
        <v>0</v>
      </c>
      <c r="AQ878" s="2">
        <v>0</v>
      </c>
      <c r="AR878" s="2">
        <v>3.9332125895507781</v>
      </c>
    </row>
    <row r="879" spans="1:44" x14ac:dyDescent="0.25">
      <c r="A879" t="s">
        <v>250</v>
      </c>
      <c r="B879" t="s">
        <v>411</v>
      </c>
      <c r="C879" t="s">
        <v>44</v>
      </c>
      <c r="D879" t="s">
        <v>219</v>
      </c>
      <c r="E879" t="s">
        <v>134</v>
      </c>
      <c r="F879" t="s">
        <v>408</v>
      </c>
      <c r="G879" t="s">
        <v>31</v>
      </c>
      <c r="H879" t="s">
        <v>277</v>
      </c>
      <c r="I879" t="s">
        <v>135</v>
      </c>
      <c r="J879" t="s">
        <v>40</v>
      </c>
      <c r="K879" t="s">
        <v>31</v>
      </c>
      <c r="L879">
        <v>2.0802761194977929E-2</v>
      </c>
      <c r="M879">
        <v>0</v>
      </c>
      <c r="N879">
        <v>5.8988440621383323E-2</v>
      </c>
      <c r="O879">
        <v>7.4455689628598973</v>
      </c>
      <c r="P879">
        <v>76.067787865166579</v>
      </c>
      <c r="Q879">
        <v>0.4672931329656026</v>
      </c>
      <c r="R879">
        <v>-3.4912716054979405</v>
      </c>
      <c r="S879" s="2">
        <v>0</v>
      </c>
      <c r="T879" s="2">
        <v>0</v>
      </c>
      <c r="U879" s="2">
        <v>1.5585893672962038E-2</v>
      </c>
      <c r="V879" s="2">
        <v>2.2216968698977317E-2</v>
      </c>
      <c r="W879" s="2">
        <v>3.0078534729905099E-2</v>
      </c>
      <c r="X879" s="2">
        <v>3.8808599327432802E-2</v>
      </c>
      <c r="Y879" s="2">
        <v>4.7772990912224172E-2</v>
      </c>
      <c r="Z879" s="2">
        <v>5.6069800301932905E-2</v>
      </c>
      <c r="AA879" s="2">
        <v>6.2609752597643648E-2</v>
      </c>
      <c r="AB879" s="2">
        <v>6.6290613171174351E-2</v>
      </c>
      <c r="AC879" s="2">
        <v>6.6253169746514171E-2</v>
      </c>
      <c r="AD879" s="2">
        <v>6.2159999266136939E-2</v>
      </c>
      <c r="AE879" s="2">
        <v>5.4394581844800199E-2</v>
      </c>
      <c r="AF879" s="2">
        <v>4.4771395019871651E-2</v>
      </c>
      <c r="AG879" s="2">
        <v>3.4075350732936008E-2</v>
      </c>
      <c r="AH879" s="2">
        <v>1.935850395245441E-2</v>
      </c>
      <c r="AI879" s="2">
        <v>0</v>
      </c>
      <c r="AJ879" s="2">
        <v>0</v>
      </c>
      <c r="AK879" s="2">
        <v>0</v>
      </c>
      <c r="AL879" s="2">
        <v>0</v>
      </c>
      <c r="AM879" s="2">
        <v>0</v>
      </c>
      <c r="AN879" s="2">
        <v>0</v>
      </c>
      <c r="AO879" s="2">
        <v>0</v>
      </c>
      <c r="AP879" s="2">
        <v>0</v>
      </c>
      <c r="AQ879" s="2">
        <v>0</v>
      </c>
      <c r="AR879" s="2">
        <v>0.62044615397496583</v>
      </c>
    </row>
    <row r="880" spans="1:44" x14ac:dyDescent="0.25">
      <c r="A880" t="s">
        <v>435</v>
      </c>
      <c r="B880" t="s">
        <v>479</v>
      </c>
      <c r="C880" t="s">
        <v>44</v>
      </c>
      <c r="D880" t="s">
        <v>191</v>
      </c>
      <c r="E880" t="s">
        <v>134</v>
      </c>
      <c r="F880" t="s">
        <v>191</v>
      </c>
      <c r="G880" t="s">
        <v>33</v>
      </c>
      <c r="H880" t="s">
        <v>450</v>
      </c>
      <c r="I880" t="s">
        <v>135</v>
      </c>
      <c r="J880" t="s">
        <v>39</v>
      </c>
      <c r="K880" t="s">
        <v>31</v>
      </c>
      <c r="L880">
        <v>9.2342432105322225E-2</v>
      </c>
      <c r="M880">
        <v>1</v>
      </c>
      <c r="N880">
        <v>4.0443999858966739</v>
      </c>
      <c r="O880">
        <v>5.3471683850504288</v>
      </c>
      <c r="P880">
        <v>-1.6880764755566879</v>
      </c>
      <c r="Q880">
        <v>0.71613044470482479</v>
      </c>
      <c r="R880">
        <v>-1.8625523936223527</v>
      </c>
      <c r="S880" s="2">
        <v>0.17449545262585386</v>
      </c>
      <c r="T880" s="2">
        <v>0.34611617750179191</v>
      </c>
      <c r="U880" s="2">
        <v>0.60980768524919837</v>
      </c>
      <c r="V880" s="2">
        <v>0.98428937652827275</v>
      </c>
      <c r="W880" s="2">
        <v>1.4824970885898234</v>
      </c>
      <c r="X880" s="2">
        <v>2.1068853701244818</v>
      </c>
      <c r="Y880" s="2">
        <v>2.8438503855242279</v>
      </c>
      <c r="Z880" s="2">
        <v>3.6582383777360596</v>
      </c>
      <c r="AA880" s="2">
        <v>4.4897321159670751</v>
      </c>
      <c r="AB880" s="2">
        <v>5.2536479963467073</v>
      </c>
      <c r="AC880" s="2">
        <v>5.8488153893620103</v>
      </c>
      <c r="AD880" s="2">
        <v>6.174075364061709</v>
      </c>
      <c r="AE880" s="2">
        <v>6.1520593370620871</v>
      </c>
      <c r="AF880" s="2">
        <v>5.7546487380208822</v>
      </c>
      <c r="AG880" s="2">
        <v>5.0206208546172331</v>
      </c>
      <c r="AH880" s="2">
        <v>4.1199920139834463</v>
      </c>
      <c r="AI880" s="2">
        <v>1.4922226223369108</v>
      </c>
      <c r="AJ880" s="2">
        <v>0</v>
      </c>
      <c r="AK880" s="2">
        <v>0</v>
      </c>
      <c r="AL880" s="2">
        <v>0</v>
      </c>
      <c r="AM880" s="2">
        <v>0</v>
      </c>
      <c r="AN880" s="2">
        <v>0</v>
      </c>
      <c r="AO880" s="2">
        <v>0</v>
      </c>
      <c r="AP880" s="2">
        <v>0</v>
      </c>
      <c r="AQ880" s="2">
        <v>0</v>
      </c>
      <c r="AR880" s="2">
        <v>56.51199434563776</v>
      </c>
    </row>
    <row r="881" spans="1:44" x14ac:dyDescent="0.25">
      <c r="A881" t="s">
        <v>435</v>
      </c>
      <c r="B881" t="s">
        <v>479</v>
      </c>
      <c r="C881" t="s">
        <v>44</v>
      </c>
      <c r="D881" t="s">
        <v>191</v>
      </c>
      <c r="E881" t="s">
        <v>134</v>
      </c>
      <c r="F881" t="s">
        <v>191</v>
      </c>
      <c r="G881" t="s">
        <v>33</v>
      </c>
      <c r="H881" t="s">
        <v>450</v>
      </c>
      <c r="I881" t="s">
        <v>135</v>
      </c>
      <c r="J881" t="s">
        <v>39</v>
      </c>
      <c r="K881" t="s">
        <v>33</v>
      </c>
      <c r="L881">
        <v>9.2342432105322225E-2</v>
      </c>
      <c r="M881">
        <v>1</v>
      </c>
      <c r="N881">
        <v>4.0443999858966739</v>
      </c>
      <c r="O881">
        <v>5.3471683850504288</v>
      </c>
      <c r="P881">
        <v>-1.6880764755566879</v>
      </c>
      <c r="Q881">
        <v>0.71613044470482479</v>
      </c>
      <c r="R881">
        <v>-1.8625523936223527</v>
      </c>
      <c r="S881" s="2">
        <v>0.10750319791988108</v>
      </c>
      <c r="T881" s="2">
        <v>0.21308669266171301</v>
      </c>
      <c r="U881" s="2">
        <v>0.37516687304348967</v>
      </c>
      <c r="V881" s="2">
        <v>0.60513399059549999</v>
      </c>
      <c r="W881" s="2">
        <v>0.91079315832939878</v>
      </c>
      <c r="X881" s="2">
        <v>1.2934926882971511</v>
      </c>
      <c r="Y881" s="2">
        <v>1.7447249648349148</v>
      </c>
      <c r="Z881" s="2">
        <v>2.24279403571059</v>
      </c>
      <c r="AA881" s="2">
        <v>2.7506477656778188</v>
      </c>
      <c r="AB881" s="2">
        <v>3.216419469132096</v>
      </c>
      <c r="AC881" s="2">
        <v>3.5783003020773556</v>
      </c>
      <c r="AD881" s="2">
        <v>3.7746610354119974</v>
      </c>
      <c r="AE881" s="2">
        <v>3.7585792121250896</v>
      </c>
      <c r="AF881" s="2">
        <v>3.5133318400586373</v>
      </c>
      <c r="AG881" s="2">
        <v>3.063056007492249</v>
      </c>
      <c r="AH881" s="2">
        <v>2.5118346467615575</v>
      </c>
      <c r="AI881" s="2">
        <v>0.57858136418127515</v>
      </c>
      <c r="AJ881" s="2">
        <v>0</v>
      </c>
      <c r="AK881" s="2">
        <v>0</v>
      </c>
      <c r="AL881" s="2">
        <v>0</v>
      </c>
      <c r="AM881" s="2">
        <v>0</v>
      </c>
      <c r="AN881" s="2">
        <v>0</v>
      </c>
      <c r="AO881" s="2">
        <v>0</v>
      </c>
      <c r="AP881" s="2">
        <v>0</v>
      </c>
      <c r="AQ881" s="2">
        <v>0</v>
      </c>
      <c r="AR881" s="2">
        <v>34.238107244310712</v>
      </c>
    </row>
    <row r="882" spans="1:44" x14ac:dyDescent="0.25">
      <c r="A882" t="s">
        <v>435</v>
      </c>
      <c r="B882" t="s">
        <v>479</v>
      </c>
      <c r="C882" t="s">
        <v>44</v>
      </c>
      <c r="D882" t="s">
        <v>191</v>
      </c>
      <c r="E882" t="s">
        <v>134</v>
      </c>
      <c r="F882" t="s">
        <v>191</v>
      </c>
      <c r="G882" t="s">
        <v>33</v>
      </c>
      <c r="H882" t="s">
        <v>450</v>
      </c>
      <c r="I882" t="s">
        <v>256</v>
      </c>
      <c r="J882" t="s">
        <v>40</v>
      </c>
      <c r="K882" t="s">
        <v>33</v>
      </c>
      <c r="L882">
        <v>9.2342432105322225E-2</v>
      </c>
      <c r="M882">
        <v>1</v>
      </c>
      <c r="N882">
        <v>2.0015641280358047</v>
      </c>
      <c r="O882">
        <v>1.4737622038640092</v>
      </c>
      <c r="P882">
        <v>-0.22513952420782057</v>
      </c>
      <c r="Q882">
        <v>1.3498045353129324</v>
      </c>
      <c r="R882">
        <v>-0.25661544227348515</v>
      </c>
      <c r="S882" s="2">
        <v>2.8081990023557939</v>
      </c>
      <c r="T882" s="2">
        <v>5.5701342913719216</v>
      </c>
      <c r="U882" s="2">
        <v>9.8137877381680845</v>
      </c>
      <c r="V882" s="2">
        <v>15.840415343789688</v>
      </c>
      <c r="W882" s="2">
        <v>23.858196775475662</v>
      </c>
      <c r="X882" s="2">
        <v>33.90663369977684</v>
      </c>
      <c r="Y882" s="2">
        <v>45.766796184664749</v>
      </c>
      <c r="Z882" s="2">
        <v>58.872946017482576</v>
      </c>
      <c r="AA882" s="2">
        <v>72.254382903245101</v>
      </c>
      <c r="AB882" s="2">
        <v>84.548272405142555</v>
      </c>
      <c r="AC882" s="2">
        <v>94.126450255335072</v>
      </c>
      <c r="AD882" s="2">
        <v>99.360940453864359</v>
      </c>
      <c r="AE882" s="2">
        <v>99.006631019860151</v>
      </c>
      <c r="AF882" s="2">
        <v>92.611002761592445</v>
      </c>
      <c r="AG882" s="2">
        <v>80.798108277200257</v>
      </c>
      <c r="AH882" s="2">
        <v>66.304062881166089</v>
      </c>
      <c r="AI882" s="2">
        <v>24.014712224760899</v>
      </c>
      <c r="AJ882" s="2">
        <v>0</v>
      </c>
      <c r="AK882" s="2">
        <v>0</v>
      </c>
      <c r="AL882" s="2">
        <v>0</v>
      </c>
      <c r="AM882" s="2">
        <v>0</v>
      </c>
      <c r="AN882" s="2">
        <v>0</v>
      </c>
      <c r="AO882" s="2">
        <v>0</v>
      </c>
      <c r="AP882" s="2">
        <v>0</v>
      </c>
      <c r="AQ882" s="2">
        <v>0</v>
      </c>
      <c r="AR882" s="2">
        <v>909.46167223525242</v>
      </c>
    </row>
    <row r="883" spans="1:44" x14ac:dyDescent="0.25">
      <c r="A883" t="s">
        <v>435</v>
      </c>
      <c r="B883" t="s">
        <v>479</v>
      </c>
      <c r="C883" t="s">
        <v>44</v>
      </c>
      <c r="D883" t="s">
        <v>191</v>
      </c>
      <c r="E883" t="s">
        <v>134</v>
      </c>
      <c r="F883" t="s">
        <v>191</v>
      </c>
      <c r="G883" t="s">
        <v>33</v>
      </c>
      <c r="H883" t="s">
        <v>451</v>
      </c>
      <c r="I883" t="s">
        <v>135</v>
      </c>
      <c r="J883" t="s">
        <v>39</v>
      </c>
      <c r="K883" t="s">
        <v>31</v>
      </c>
      <c r="L883">
        <v>9.2342432105322225E-2</v>
      </c>
      <c r="M883">
        <v>1</v>
      </c>
      <c r="N883">
        <v>4.0443999858966739</v>
      </c>
      <c r="O883">
        <v>5.3471683850504288</v>
      </c>
      <c r="P883">
        <v>-1.6880764755566879</v>
      </c>
      <c r="Q883">
        <v>0.71613044470482479</v>
      </c>
      <c r="R883">
        <v>-1.8625523936223527</v>
      </c>
      <c r="S883" s="2">
        <v>4.5645011312949346E-2</v>
      </c>
      <c r="T883" s="2">
        <v>9.0538043255135925E-2</v>
      </c>
      <c r="U883" s="2">
        <v>0.15951520955451551</v>
      </c>
      <c r="V883" s="2">
        <v>0.25747318368909861</v>
      </c>
      <c r="W883" s="2">
        <v>0.38779575835244984</v>
      </c>
      <c r="X883" s="2">
        <v>0.55112500129513831</v>
      </c>
      <c r="Y883" s="2">
        <v>0.74390238293439637</v>
      </c>
      <c r="Z883" s="2">
        <v>0.95693228462096613</v>
      </c>
      <c r="AA883" s="2">
        <v>1.1744367554657154</v>
      </c>
      <c r="AB883" s="2">
        <v>1.3742640201729195</v>
      </c>
      <c r="AC883" s="2">
        <v>1.5299495809051593</v>
      </c>
      <c r="AD883" s="2">
        <v>1.6150319999676817</v>
      </c>
      <c r="AE883" s="2">
        <v>1.6092729856991628</v>
      </c>
      <c r="AF883" s="2">
        <v>1.5053172033784832</v>
      </c>
      <c r="AG883" s="2">
        <v>1.3133081249882324</v>
      </c>
      <c r="AH883" s="2">
        <v>1.0777190995960213</v>
      </c>
      <c r="AI883" s="2">
        <v>0.3903397908256736</v>
      </c>
      <c r="AJ883" s="2">
        <v>0</v>
      </c>
      <c r="AK883" s="2">
        <v>0</v>
      </c>
      <c r="AL883" s="2">
        <v>0</v>
      </c>
      <c r="AM883" s="2">
        <v>0</v>
      </c>
      <c r="AN883" s="2">
        <v>0</v>
      </c>
      <c r="AO883" s="2">
        <v>0</v>
      </c>
      <c r="AP883" s="2">
        <v>0</v>
      </c>
      <c r="AQ883" s="2">
        <v>0</v>
      </c>
      <c r="AR883" s="2">
        <v>14.782566436013699</v>
      </c>
    </row>
    <row r="884" spans="1:44" x14ac:dyDescent="0.25">
      <c r="A884" t="s">
        <v>435</v>
      </c>
      <c r="B884" t="s">
        <v>479</v>
      </c>
      <c r="C884" t="s">
        <v>44</v>
      </c>
      <c r="D884" t="s">
        <v>191</v>
      </c>
      <c r="E884" t="s">
        <v>134</v>
      </c>
      <c r="F884" t="s">
        <v>191</v>
      </c>
      <c r="G884" t="s">
        <v>33</v>
      </c>
      <c r="H884" t="s">
        <v>451</v>
      </c>
      <c r="I884" t="s">
        <v>135</v>
      </c>
      <c r="J884" t="s">
        <v>39</v>
      </c>
      <c r="K884" t="s">
        <v>33</v>
      </c>
      <c r="L884">
        <v>9.2342432105322225E-2</v>
      </c>
      <c r="M884">
        <v>1</v>
      </c>
      <c r="N884">
        <v>4.0443999858966739</v>
      </c>
      <c r="O884">
        <v>5.3471683850504288</v>
      </c>
      <c r="P884">
        <v>-1.6880764755566879</v>
      </c>
      <c r="Q884">
        <v>0.71613044470482479</v>
      </c>
      <c r="R884">
        <v>-1.8625523936223527</v>
      </c>
      <c r="S884" s="2">
        <v>0.20562222357905041</v>
      </c>
      <c r="T884" s="2">
        <v>0.40785692098921261</v>
      </c>
      <c r="U884" s="2">
        <v>0.71858613109758263</v>
      </c>
      <c r="V884" s="2">
        <v>1.1598684504457599</v>
      </c>
      <c r="W884" s="2">
        <v>1.7469472311059102</v>
      </c>
      <c r="X884" s="2">
        <v>2.4827148679918021</v>
      </c>
      <c r="Y884" s="2">
        <v>3.3511408520853996</v>
      </c>
      <c r="Z884" s="2">
        <v>4.3108006443306914</v>
      </c>
      <c r="AA884" s="2">
        <v>5.2906175322453199</v>
      </c>
      <c r="AB884" s="2">
        <v>6.1908019186419567</v>
      </c>
      <c r="AC884" s="2">
        <v>6.8921361993464192</v>
      </c>
      <c r="AD884" s="2">
        <v>7.2754165555538739</v>
      </c>
      <c r="AE884" s="2">
        <v>7.2494732753255589</v>
      </c>
      <c r="AF884" s="2">
        <v>6.7811719538925725</v>
      </c>
      <c r="AG884" s="2">
        <v>5.9162070319807896</v>
      </c>
      <c r="AH884" s="2">
        <v>4.8549226142852948</v>
      </c>
      <c r="AI884" s="2">
        <v>1.7584076207291177</v>
      </c>
      <c r="AJ884" s="2">
        <v>0</v>
      </c>
      <c r="AK884" s="2">
        <v>0</v>
      </c>
      <c r="AL884" s="2">
        <v>0</v>
      </c>
      <c r="AM884" s="2">
        <v>0</v>
      </c>
      <c r="AN884" s="2">
        <v>0</v>
      </c>
      <c r="AO884" s="2">
        <v>0</v>
      </c>
      <c r="AP884" s="2">
        <v>0</v>
      </c>
      <c r="AQ884" s="2">
        <v>0</v>
      </c>
      <c r="AR884" s="2">
        <v>66.592692023626313</v>
      </c>
    </row>
    <row r="885" spans="1:44" x14ac:dyDescent="0.25">
      <c r="A885" t="s">
        <v>435</v>
      </c>
      <c r="B885" t="s">
        <v>479</v>
      </c>
      <c r="C885" t="s">
        <v>44</v>
      </c>
      <c r="D885" t="s">
        <v>191</v>
      </c>
      <c r="E885" t="s">
        <v>134</v>
      </c>
      <c r="F885" t="s">
        <v>191</v>
      </c>
      <c r="G885" t="s">
        <v>33</v>
      </c>
      <c r="H885" t="s">
        <v>452</v>
      </c>
      <c r="I885" t="s">
        <v>135</v>
      </c>
      <c r="J885" t="s">
        <v>39</v>
      </c>
      <c r="K885" t="s">
        <v>31</v>
      </c>
      <c r="L885">
        <v>9.2342432105322225E-2</v>
      </c>
      <c r="M885">
        <v>1</v>
      </c>
      <c r="N885">
        <v>4.0443999858966739</v>
      </c>
      <c r="O885">
        <v>5.3471683850504288</v>
      </c>
      <c r="P885">
        <v>-1.6880764755566879</v>
      </c>
      <c r="Q885">
        <v>0.71613044470482479</v>
      </c>
      <c r="R885">
        <v>-1.8625523936223527</v>
      </c>
      <c r="S885" s="2">
        <v>1.0338282968992896</v>
      </c>
      <c r="T885" s="2">
        <v>2.0506247752094904</v>
      </c>
      <c r="U885" s="2">
        <v>3.6129104294140726</v>
      </c>
      <c r="V885" s="2">
        <v>5.8315915657364172</v>
      </c>
      <c r="W885" s="2">
        <v>8.783308775049937</v>
      </c>
      <c r="X885" s="2">
        <v>12.482604452897354</v>
      </c>
      <c r="Y885" s="2">
        <v>16.848880337339473</v>
      </c>
      <c r="Z885" s="2">
        <v>21.673861953386723</v>
      </c>
      <c r="AA885" s="2">
        <v>26.60018950142296</v>
      </c>
      <c r="AB885" s="2">
        <v>31.126140417064089</v>
      </c>
      <c r="AC885" s="2">
        <v>34.652311919139294</v>
      </c>
      <c r="AD885" s="2">
        <v>36.579370536616835</v>
      </c>
      <c r="AE885" s="2">
        <v>36.448932801105698</v>
      </c>
      <c r="AF885" s="2">
        <v>34.094405410312127</v>
      </c>
      <c r="AG885" s="2">
        <v>29.745531069140032</v>
      </c>
      <c r="AH885" s="2">
        <v>24.409600725744628</v>
      </c>
      <c r="AI885" s="2">
        <v>8.8409293711107662</v>
      </c>
      <c r="AJ885" s="2">
        <v>0</v>
      </c>
      <c r="AK885" s="2">
        <v>0</v>
      </c>
      <c r="AL885" s="2">
        <v>0</v>
      </c>
      <c r="AM885" s="2">
        <v>0</v>
      </c>
      <c r="AN885" s="2">
        <v>0</v>
      </c>
      <c r="AO885" s="2">
        <v>0</v>
      </c>
      <c r="AP885" s="2">
        <v>0</v>
      </c>
      <c r="AQ885" s="2">
        <v>0</v>
      </c>
      <c r="AR885" s="2">
        <v>334.8150223375892</v>
      </c>
    </row>
    <row r="886" spans="1:44" x14ac:dyDescent="0.25">
      <c r="A886" t="s">
        <v>435</v>
      </c>
      <c r="B886" t="s">
        <v>479</v>
      </c>
      <c r="C886" t="s">
        <v>44</v>
      </c>
      <c r="D886" t="s">
        <v>191</v>
      </c>
      <c r="E886" t="s">
        <v>134</v>
      </c>
      <c r="F886" t="s">
        <v>191</v>
      </c>
      <c r="G886" t="s">
        <v>33</v>
      </c>
      <c r="H886" t="s">
        <v>452</v>
      </c>
      <c r="I886" t="s">
        <v>135</v>
      </c>
      <c r="J886" t="s">
        <v>39</v>
      </c>
      <c r="K886" t="s">
        <v>33</v>
      </c>
      <c r="L886">
        <v>9.2342432105322225E-2</v>
      </c>
      <c r="M886">
        <v>1</v>
      </c>
      <c r="N886">
        <v>4.0443999858966739</v>
      </c>
      <c r="O886">
        <v>5.3471683850504288</v>
      </c>
      <c r="P886">
        <v>-1.6880764755566879</v>
      </c>
      <c r="Q886">
        <v>0.71613044470482479</v>
      </c>
      <c r="R886">
        <v>-1.8625523936223527</v>
      </c>
      <c r="S886" s="2">
        <v>2.0443611604971186</v>
      </c>
      <c r="T886" s="2">
        <v>4.0550424647544761</v>
      </c>
      <c r="U886" s="2">
        <v>7.1444105180733093</v>
      </c>
      <c r="V886" s="2">
        <v>11.531778861761495</v>
      </c>
      <c r="W886" s="2">
        <v>17.368701721766499</v>
      </c>
      <c r="X886" s="2">
        <v>24.683936202838986</v>
      </c>
      <c r="Y886" s="2">
        <v>33.318101915792205</v>
      </c>
      <c r="Z886" s="2">
        <v>42.859342995712595</v>
      </c>
      <c r="AA886" s="2">
        <v>52.600992294051913</v>
      </c>
      <c r="AB886" s="2">
        <v>61.550910084079689</v>
      </c>
      <c r="AC886" s="2">
        <v>68.523797250851246</v>
      </c>
      <c r="AD886" s="2">
        <v>72.334491737922491</v>
      </c>
      <c r="AE886" s="2">
        <v>72.076555443141274</v>
      </c>
      <c r="AF886" s="2">
        <v>67.420555637852601</v>
      </c>
      <c r="AG886" s="2">
        <v>58.820800899430317</v>
      </c>
      <c r="AH886" s="2">
        <v>48.269175661590374</v>
      </c>
      <c r="AI886" s="2">
        <v>17.48264453894868</v>
      </c>
      <c r="AJ886" s="2">
        <v>0</v>
      </c>
      <c r="AK886" s="2">
        <v>0</v>
      </c>
      <c r="AL886" s="2">
        <v>0</v>
      </c>
      <c r="AM886" s="2">
        <v>0</v>
      </c>
      <c r="AN886" s="2">
        <v>0</v>
      </c>
      <c r="AO886" s="2">
        <v>0</v>
      </c>
      <c r="AP886" s="2">
        <v>0</v>
      </c>
      <c r="AQ886" s="2">
        <v>0</v>
      </c>
      <c r="AR886" s="2">
        <v>662.08559938906524</v>
      </c>
    </row>
    <row r="887" spans="1:44" x14ac:dyDescent="0.25">
      <c r="A887" t="s">
        <v>435</v>
      </c>
      <c r="B887" t="s">
        <v>479</v>
      </c>
      <c r="C887" t="s">
        <v>44</v>
      </c>
      <c r="D887" t="s">
        <v>191</v>
      </c>
      <c r="E887" t="s">
        <v>134</v>
      </c>
      <c r="F887" t="s">
        <v>191</v>
      </c>
      <c r="G887" t="s">
        <v>33</v>
      </c>
      <c r="H887" t="s">
        <v>452</v>
      </c>
      <c r="I887" t="s">
        <v>135</v>
      </c>
      <c r="J887" t="s">
        <v>40</v>
      </c>
      <c r="K887" t="s">
        <v>33</v>
      </c>
      <c r="L887">
        <v>9.2342432105322225E-2</v>
      </c>
      <c r="M887">
        <v>1</v>
      </c>
      <c r="N887">
        <v>4.0443999858966739</v>
      </c>
      <c r="O887">
        <v>4.1746294160814523</v>
      </c>
      <c r="P887">
        <v>-1.6880764755566879</v>
      </c>
      <c r="Q887">
        <v>1.3498045353129324</v>
      </c>
      <c r="R887">
        <v>-1.7195523936223525</v>
      </c>
      <c r="S887" s="2">
        <v>0.14969347669601166</v>
      </c>
      <c r="T887" s="2">
        <v>0.29692082613791043</v>
      </c>
      <c r="U887" s="2">
        <v>0.5231324435521405</v>
      </c>
      <c r="V887" s="2">
        <v>0.8443870406376206</v>
      </c>
      <c r="W887" s="2">
        <v>1.2717818146158695</v>
      </c>
      <c r="X887" s="2">
        <v>1.8074224359882738</v>
      </c>
      <c r="Y887" s="2">
        <v>2.4396386553705569</v>
      </c>
      <c r="Z887" s="2">
        <v>3.1382733080171499</v>
      </c>
      <c r="AA887" s="2">
        <v>3.8515823751230203</v>
      </c>
      <c r="AB887" s="2">
        <v>4.5069187882873978</v>
      </c>
      <c r="AC887" s="2">
        <v>5.0174918429766286</v>
      </c>
      <c r="AD887" s="2">
        <v>5.2965208704393234</v>
      </c>
      <c r="AE887" s="2">
        <v>5.2776340996094095</v>
      </c>
      <c r="AF887" s="2">
        <v>4.9367096035775377</v>
      </c>
      <c r="AG887" s="2">
        <v>4.3070130458448519</v>
      </c>
      <c r="AH887" s="2">
        <v>3.5343954197784488</v>
      </c>
      <c r="AI887" s="2">
        <v>1.2801250060137903</v>
      </c>
      <c r="AJ887" s="2">
        <v>0</v>
      </c>
      <c r="AK887" s="2">
        <v>0</v>
      </c>
      <c r="AL887" s="2">
        <v>0</v>
      </c>
      <c r="AM887" s="2">
        <v>0</v>
      </c>
      <c r="AN887" s="2">
        <v>0</v>
      </c>
      <c r="AO887" s="2">
        <v>0</v>
      </c>
      <c r="AP887" s="2">
        <v>0</v>
      </c>
      <c r="AQ887" s="2">
        <v>0</v>
      </c>
      <c r="AR887" s="2">
        <v>48.479641052665954</v>
      </c>
    </row>
    <row r="888" spans="1:44" x14ac:dyDescent="0.25">
      <c r="A888" t="s">
        <v>435</v>
      </c>
      <c r="B888" t="s">
        <v>479</v>
      </c>
      <c r="C888" t="s">
        <v>44</v>
      </c>
      <c r="D888" t="s">
        <v>191</v>
      </c>
      <c r="E888" t="s">
        <v>134</v>
      </c>
      <c r="F888" t="s">
        <v>191</v>
      </c>
      <c r="G888" t="s">
        <v>33</v>
      </c>
      <c r="H888" t="s">
        <v>452</v>
      </c>
      <c r="I888" t="s">
        <v>256</v>
      </c>
      <c r="J888" t="s">
        <v>40</v>
      </c>
      <c r="K888" t="s">
        <v>33</v>
      </c>
      <c r="L888">
        <v>9.2342432105322225E-2</v>
      </c>
      <c r="M888">
        <v>1</v>
      </c>
      <c r="N888">
        <v>2.0015641280358047</v>
      </c>
      <c r="O888">
        <v>1.4737622038640092</v>
      </c>
      <c r="P888">
        <v>-0.22513952420782057</v>
      </c>
      <c r="Q888">
        <v>1.3498045353129324</v>
      </c>
      <c r="R888">
        <v>-0.25661544227348515</v>
      </c>
      <c r="S888" s="2">
        <v>0.90266849999233933</v>
      </c>
      <c r="T888" s="2">
        <v>1.7904659752854466</v>
      </c>
      <c r="U888" s="2">
        <v>3.1545474695432669</v>
      </c>
      <c r="V888" s="2">
        <v>5.0917488203788857</v>
      </c>
      <c r="W888" s="2">
        <v>7.6689873751020228</v>
      </c>
      <c r="X888" s="2">
        <v>10.898960563653629</v>
      </c>
      <c r="Y888" s="2">
        <v>14.711295469733329</v>
      </c>
      <c r="Z888" s="2">
        <v>18.924140998251755</v>
      </c>
      <c r="AA888" s="2">
        <v>23.225474896341019</v>
      </c>
      <c r="AB888" s="2">
        <v>27.177227171176181</v>
      </c>
      <c r="AC888" s="2">
        <v>30.256040113364424</v>
      </c>
      <c r="AD888" s="2">
        <v>31.93861653040867</v>
      </c>
      <c r="AE888" s="2">
        <v>31.824727178173518</v>
      </c>
      <c r="AF888" s="2">
        <v>29.768914124484624</v>
      </c>
      <c r="AG888" s="2">
        <v>25.971773061529763</v>
      </c>
      <c r="AH888" s="2">
        <v>21.31280188267689</v>
      </c>
      <c r="AI888" s="2">
        <v>7.7192977575619324</v>
      </c>
      <c r="AJ888" s="2">
        <v>0</v>
      </c>
      <c r="AK888" s="2">
        <v>0</v>
      </c>
      <c r="AL888" s="2">
        <v>0</v>
      </c>
      <c r="AM888" s="2">
        <v>0</v>
      </c>
      <c r="AN888" s="2">
        <v>0</v>
      </c>
      <c r="AO888" s="2">
        <v>0</v>
      </c>
      <c r="AP888" s="2">
        <v>0</v>
      </c>
      <c r="AQ888" s="2">
        <v>0</v>
      </c>
      <c r="AR888" s="2">
        <v>292.33768788765769</v>
      </c>
    </row>
    <row r="889" spans="1:44" x14ac:dyDescent="0.25">
      <c r="A889" t="s">
        <v>435</v>
      </c>
      <c r="B889" t="s">
        <v>479</v>
      </c>
      <c r="C889" t="s">
        <v>44</v>
      </c>
      <c r="D889" t="s">
        <v>191</v>
      </c>
      <c r="E889" t="s">
        <v>134</v>
      </c>
      <c r="F889" t="s">
        <v>191</v>
      </c>
      <c r="G889" t="s">
        <v>33</v>
      </c>
      <c r="H889" t="s">
        <v>453</v>
      </c>
      <c r="I889" t="s">
        <v>135</v>
      </c>
      <c r="J889" t="s">
        <v>39</v>
      </c>
      <c r="K889" t="s">
        <v>31</v>
      </c>
      <c r="L889">
        <v>9.2342432105322225E-2</v>
      </c>
      <c r="M889">
        <v>1</v>
      </c>
      <c r="N889">
        <v>4.0443999858966739</v>
      </c>
      <c r="O889">
        <v>5.3471683850504288</v>
      </c>
      <c r="P889">
        <v>-1.6880764755566879</v>
      </c>
      <c r="Q889">
        <v>0.71613044470482479</v>
      </c>
      <c r="R889">
        <v>-1.8625523936223527</v>
      </c>
      <c r="S889" s="2">
        <v>0.31617558277733027</v>
      </c>
      <c r="T889" s="2">
        <v>0.62714232653921265</v>
      </c>
      <c r="U889" s="2">
        <v>1.1049359588709031</v>
      </c>
      <c r="V889" s="2">
        <v>1.7834749419667799</v>
      </c>
      <c r="W889" s="2">
        <v>2.6861982584475341</v>
      </c>
      <c r="X889" s="2">
        <v>3.8175534073799748</v>
      </c>
      <c r="Y889" s="2">
        <v>5.1528910320808894</v>
      </c>
      <c r="Z889" s="2">
        <v>6.6285145750997128</v>
      </c>
      <c r="AA889" s="2">
        <v>8.1351327322191871</v>
      </c>
      <c r="AB889" s="2">
        <v>9.5193037523647348</v>
      </c>
      <c r="AC889" s="2">
        <v>10.597712355597279</v>
      </c>
      <c r="AD889" s="2">
        <v>11.187064459089171</v>
      </c>
      <c r="AE889" s="2">
        <v>11.147172702242235</v>
      </c>
      <c r="AF889" s="2">
        <v>10.427087875601179</v>
      </c>
      <c r="AG889" s="2">
        <v>9.0970721627700879</v>
      </c>
      <c r="AH889" s="2">
        <v>7.4651852323752692</v>
      </c>
      <c r="AI889" s="2">
        <v>2.7038203583592413</v>
      </c>
      <c r="AJ889" s="2">
        <v>0</v>
      </c>
      <c r="AK889" s="2">
        <v>0</v>
      </c>
      <c r="AL889" s="2">
        <v>0</v>
      </c>
      <c r="AM889" s="2">
        <v>0</v>
      </c>
      <c r="AN889" s="2">
        <v>0</v>
      </c>
      <c r="AO889" s="2">
        <v>0</v>
      </c>
      <c r="AP889" s="2">
        <v>0</v>
      </c>
      <c r="AQ889" s="2">
        <v>0</v>
      </c>
      <c r="AR889" s="2">
        <v>102.39643771378071</v>
      </c>
    </row>
    <row r="890" spans="1:44" x14ac:dyDescent="0.25">
      <c r="A890" t="s">
        <v>435</v>
      </c>
      <c r="B890" t="s">
        <v>479</v>
      </c>
      <c r="C890" t="s">
        <v>44</v>
      </c>
      <c r="D890" t="s">
        <v>191</v>
      </c>
      <c r="E890" t="s">
        <v>134</v>
      </c>
      <c r="F890" t="s">
        <v>191</v>
      </c>
      <c r="G890" t="s">
        <v>33</v>
      </c>
      <c r="H890" t="s">
        <v>453</v>
      </c>
      <c r="I890" t="s">
        <v>135</v>
      </c>
      <c r="J890" t="s">
        <v>39</v>
      </c>
      <c r="K890" t="s">
        <v>33</v>
      </c>
      <c r="L890">
        <v>9.2342432105322225E-2</v>
      </c>
      <c r="M890">
        <v>1</v>
      </c>
      <c r="N890">
        <v>4.0443999858966739</v>
      </c>
      <c r="O890">
        <v>5.3471683850504288</v>
      </c>
      <c r="P890">
        <v>-1.6880764755566879</v>
      </c>
      <c r="Q890">
        <v>0.71613044470482479</v>
      </c>
      <c r="R890">
        <v>-1.8625523936223527</v>
      </c>
      <c r="S890" s="2">
        <v>0.28768307986543706</v>
      </c>
      <c r="T890" s="2">
        <v>0.57062672084908483</v>
      </c>
      <c r="U890" s="2">
        <v>1.0053634657990504</v>
      </c>
      <c r="V890" s="2">
        <v>1.6227551781858292</v>
      </c>
      <c r="W890" s="2">
        <v>2.4441286114860854</v>
      </c>
      <c r="X890" s="2">
        <v>3.4735304736017985</v>
      </c>
      <c r="Y890" s="2">
        <v>4.6885327111550401</v>
      </c>
      <c r="Z890" s="2">
        <v>6.0311788505204893</v>
      </c>
      <c r="AA890" s="2">
        <v>7.4020264909803322</v>
      </c>
      <c r="AB890" s="2">
        <v>8.6614614499929452</v>
      </c>
      <c r="AC890" s="2">
        <v>9.6426881013558727</v>
      </c>
      <c r="AD890" s="2">
        <v>10.178930105777592</v>
      </c>
      <c r="AE890" s="2">
        <v>10.142633237530649</v>
      </c>
      <c r="AF890" s="2">
        <v>9.4874396300016315</v>
      </c>
      <c r="AG890" s="2">
        <v>8.2772797145025905</v>
      </c>
      <c r="AH890" s="2">
        <v>6.7924520310860617</v>
      </c>
      <c r="AI890" s="2">
        <v>2.4601626768992291</v>
      </c>
      <c r="AJ890" s="2">
        <v>0</v>
      </c>
      <c r="AK890" s="2">
        <v>0</v>
      </c>
      <c r="AL890" s="2">
        <v>0</v>
      </c>
      <c r="AM890" s="2">
        <v>0</v>
      </c>
      <c r="AN890" s="2">
        <v>0</v>
      </c>
      <c r="AO890" s="2">
        <v>0</v>
      </c>
      <c r="AP890" s="2">
        <v>0</v>
      </c>
      <c r="AQ890" s="2">
        <v>0</v>
      </c>
      <c r="AR890" s="2">
        <v>93.16887252958972</v>
      </c>
    </row>
    <row r="891" spans="1:44" x14ac:dyDescent="0.25">
      <c r="A891" t="s">
        <v>435</v>
      </c>
      <c r="B891" t="s">
        <v>479</v>
      </c>
      <c r="C891" t="s">
        <v>44</v>
      </c>
      <c r="D891" t="s">
        <v>191</v>
      </c>
      <c r="E891" t="s">
        <v>134</v>
      </c>
      <c r="F891" t="s">
        <v>191</v>
      </c>
      <c r="G891" t="s">
        <v>33</v>
      </c>
      <c r="H891" t="s">
        <v>453</v>
      </c>
      <c r="I891" t="s">
        <v>135</v>
      </c>
      <c r="J891" t="s">
        <v>40</v>
      </c>
      <c r="K891" t="s">
        <v>33</v>
      </c>
      <c r="L891">
        <v>9.2342432105322225E-2</v>
      </c>
      <c r="M891">
        <v>1</v>
      </c>
      <c r="N891">
        <v>4.0443999858966739</v>
      </c>
      <c r="O891">
        <v>4.1746294160814523</v>
      </c>
      <c r="P891">
        <v>-1.6880764755566879</v>
      </c>
      <c r="Q891">
        <v>1.3498045353129324</v>
      </c>
      <c r="R891">
        <v>-1.7195523936223525</v>
      </c>
      <c r="S891" s="2">
        <v>5.8585555407278065</v>
      </c>
      <c r="T891" s="2">
        <v>11.620594227096868</v>
      </c>
      <c r="U891" s="2">
        <v>20.473841234449235</v>
      </c>
      <c r="V891" s="2">
        <v>33.046786571014884</v>
      </c>
      <c r="W891" s="2">
        <v>49.773741388512896</v>
      </c>
      <c r="X891" s="2">
        <v>70.737115340691204</v>
      </c>
      <c r="Y891" s="2">
        <v>95.480169725897724</v>
      </c>
      <c r="Z891" s="2">
        <v>122.82264319599382</v>
      </c>
      <c r="AA891" s="2">
        <v>150.73942941528151</v>
      </c>
      <c r="AB891" s="2">
        <v>176.38733912467728</v>
      </c>
      <c r="AC891" s="2">
        <v>196.36964339415658</v>
      </c>
      <c r="AD891" s="2">
        <v>207.29000606423557</v>
      </c>
      <c r="AE891" s="2">
        <v>206.55083426908277</v>
      </c>
      <c r="AF891" s="2">
        <v>193.20806784210345</v>
      </c>
      <c r="AG891" s="2">
        <v>168.56362548758673</v>
      </c>
      <c r="AH891" s="2">
        <v>138.32567942633469</v>
      </c>
      <c r="AI891" s="2">
        <v>50.100268978563022</v>
      </c>
      <c r="AJ891" s="2">
        <v>0</v>
      </c>
      <c r="AK891" s="2">
        <v>0</v>
      </c>
      <c r="AL891" s="2">
        <v>0</v>
      </c>
      <c r="AM891" s="2">
        <v>0</v>
      </c>
      <c r="AN891" s="2">
        <v>0</v>
      </c>
      <c r="AO891" s="2">
        <v>0</v>
      </c>
      <c r="AP891" s="2">
        <v>0</v>
      </c>
      <c r="AQ891" s="2">
        <v>0</v>
      </c>
      <c r="AR891" s="2">
        <v>1897.3483412264061</v>
      </c>
    </row>
    <row r="892" spans="1:44" x14ac:dyDescent="0.25">
      <c r="A892" t="s">
        <v>435</v>
      </c>
      <c r="B892" t="s">
        <v>479</v>
      </c>
      <c r="C892" t="s">
        <v>44</v>
      </c>
      <c r="D892" t="s">
        <v>191</v>
      </c>
      <c r="E892" t="s">
        <v>134</v>
      </c>
      <c r="F892" t="s">
        <v>191</v>
      </c>
      <c r="G892" t="s">
        <v>33</v>
      </c>
      <c r="H892" t="s">
        <v>453</v>
      </c>
      <c r="I892" t="s">
        <v>256</v>
      </c>
      <c r="J892" t="s">
        <v>40</v>
      </c>
      <c r="K892" t="s">
        <v>33</v>
      </c>
      <c r="L892">
        <v>9.2342432105322225E-2</v>
      </c>
      <c r="M892">
        <v>1</v>
      </c>
      <c r="N892">
        <v>2.0015641280358047</v>
      </c>
      <c r="O892">
        <v>1.4737622038640092</v>
      </c>
      <c r="P892">
        <v>-0.22513952420782057</v>
      </c>
      <c r="Q892">
        <v>1.3498045353129324</v>
      </c>
      <c r="R892">
        <v>-0.25661544227348515</v>
      </c>
      <c r="S892" s="2">
        <v>3.0159682293058601</v>
      </c>
      <c r="T892" s="2">
        <v>5.9822498482664068</v>
      </c>
      <c r="U892" s="2">
        <v>10.539876982591538</v>
      </c>
      <c r="V892" s="2">
        <v>17.012394554588568</v>
      </c>
      <c r="W892" s="2">
        <v>25.623384746949441</v>
      </c>
      <c r="X892" s="2">
        <v>36.415271822065115</v>
      </c>
      <c r="Y892" s="2">
        <v>49.152927956413109</v>
      </c>
      <c r="Z892" s="2">
        <v>63.228757864172877</v>
      </c>
      <c r="AA892" s="2">
        <v>77.600242390755639</v>
      </c>
      <c r="AB892" s="2">
        <v>90.80371554960756</v>
      </c>
      <c r="AC892" s="2">
        <v>101.09055065872485</v>
      </c>
      <c r="AD892" s="2">
        <v>106.71232323329437</v>
      </c>
      <c r="AE892" s="2">
        <v>106.33179963243715</v>
      </c>
      <c r="AF892" s="2">
        <v>99.462980286940379</v>
      </c>
      <c r="AG892" s="2">
        <v>86.776089353932591</v>
      </c>
      <c r="AH892" s="2">
        <v>71.209678144511656</v>
      </c>
      <c r="AI892" s="2">
        <v>25.791480249455969</v>
      </c>
      <c r="AJ892" s="2">
        <v>0</v>
      </c>
      <c r="AK892" s="2">
        <v>0</v>
      </c>
      <c r="AL892" s="2">
        <v>0</v>
      </c>
      <c r="AM892" s="2">
        <v>0</v>
      </c>
      <c r="AN892" s="2">
        <v>0</v>
      </c>
      <c r="AO892" s="2">
        <v>0</v>
      </c>
      <c r="AP892" s="2">
        <v>0</v>
      </c>
      <c r="AQ892" s="2">
        <v>0</v>
      </c>
      <c r="AR892" s="2">
        <v>976.74969150401307</v>
      </c>
    </row>
    <row r="893" spans="1:44" x14ac:dyDescent="0.25">
      <c r="A893" t="s">
        <v>435</v>
      </c>
      <c r="B893" t="s">
        <v>479</v>
      </c>
      <c r="C893" t="s">
        <v>44</v>
      </c>
      <c r="D893" t="s">
        <v>191</v>
      </c>
      <c r="E893" t="s">
        <v>134</v>
      </c>
      <c r="F893" t="s">
        <v>191</v>
      </c>
      <c r="G893" t="s">
        <v>33</v>
      </c>
      <c r="H893" t="s">
        <v>454</v>
      </c>
      <c r="I893" t="s">
        <v>135</v>
      </c>
      <c r="J893" t="s">
        <v>39</v>
      </c>
      <c r="K893" t="s">
        <v>31</v>
      </c>
      <c r="L893">
        <v>9.2342432105322225E-2</v>
      </c>
      <c r="M893">
        <v>1</v>
      </c>
      <c r="N893">
        <v>4.0443999858966739</v>
      </c>
      <c r="O893">
        <v>5.3471683850504288</v>
      </c>
      <c r="P893">
        <v>-1.6880764755566879</v>
      </c>
      <c r="Q893">
        <v>0.71613044470482479</v>
      </c>
      <c r="R893">
        <v>-1.8625523936223527</v>
      </c>
      <c r="S893" s="2">
        <v>1.7409926470729933E-2</v>
      </c>
      <c r="T893" s="2">
        <v>3.4533032866803176E-2</v>
      </c>
      <c r="U893" s="2">
        <v>6.0842313090178242E-2</v>
      </c>
      <c r="V893" s="2">
        <v>9.8205457009937283E-2</v>
      </c>
      <c r="W893" s="2">
        <v>0.14791311129901563</v>
      </c>
      <c r="X893" s="2">
        <v>0.21021017352683213</v>
      </c>
      <c r="Y893" s="2">
        <v>0.28373934885222346</v>
      </c>
      <c r="Z893" s="2">
        <v>0.36499324314971099</v>
      </c>
      <c r="AA893" s="2">
        <v>0.44795382822876023</v>
      </c>
      <c r="AB893" s="2">
        <v>0.52417197092012902</v>
      </c>
      <c r="AC893" s="2">
        <v>0.58355357883165337</v>
      </c>
      <c r="AD893" s="2">
        <v>0.61600572677120502</v>
      </c>
      <c r="AE893" s="2">
        <v>0.61380912275962152</v>
      </c>
      <c r="AF893" s="2">
        <v>0.57415829401950935</v>
      </c>
      <c r="AG893" s="2">
        <v>0.50092216502465192</v>
      </c>
      <c r="AH893" s="2">
        <v>0.41106376667158334</v>
      </c>
      <c r="AI893" s="2">
        <v>0.14888345651361784</v>
      </c>
      <c r="AJ893" s="2">
        <v>0</v>
      </c>
      <c r="AK893" s="2">
        <v>0</v>
      </c>
      <c r="AL893" s="2">
        <v>0</v>
      </c>
      <c r="AM893" s="2">
        <v>0</v>
      </c>
      <c r="AN893" s="2">
        <v>0</v>
      </c>
      <c r="AO893" s="2">
        <v>0</v>
      </c>
      <c r="AP893" s="2">
        <v>0</v>
      </c>
      <c r="AQ893" s="2">
        <v>0</v>
      </c>
      <c r="AR893" s="2">
        <v>5.6383685160061621</v>
      </c>
    </row>
    <row r="894" spans="1:44" x14ac:dyDescent="0.25">
      <c r="A894" t="s">
        <v>435</v>
      </c>
      <c r="B894" t="s">
        <v>479</v>
      </c>
      <c r="C894" t="s">
        <v>44</v>
      </c>
      <c r="D894" t="s">
        <v>191</v>
      </c>
      <c r="E894" t="s">
        <v>134</v>
      </c>
      <c r="F894" t="s">
        <v>191</v>
      </c>
      <c r="G894" t="s">
        <v>33</v>
      </c>
      <c r="H894" t="s">
        <v>454</v>
      </c>
      <c r="I894" t="s">
        <v>135</v>
      </c>
      <c r="J894" t="s">
        <v>39</v>
      </c>
      <c r="K894" t="s">
        <v>33</v>
      </c>
      <c r="L894">
        <v>9.2342432105322225E-2</v>
      </c>
      <c r="M894">
        <v>1</v>
      </c>
      <c r="N894">
        <v>4.0443999858966739</v>
      </c>
      <c r="O894">
        <v>5.3471683850504288</v>
      </c>
      <c r="P894">
        <v>-1.6880764755566879</v>
      </c>
      <c r="Q894">
        <v>0.71613044470482479</v>
      </c>
      <c r="R894">
        <v>-1.8625523936223527</v>
      </c>
      <c r="S894" s="2">
        <v>0.13971473278177834</v>
      </c>
      <c r="T894" s="2">
        <v>0.27712773326419965</v>
      </c>
      <c r="U894" s="2">
        <v>0.48825981715149369</v>
      </c>
      <c r="V894" s="2">
        <v>0.78809920345864337</v>
      </c>
      <c r="W894" s="2">
        <v>1.187003337136838</v>
      </c>
      <c r="X894" s="2">
        <v>1.6869375222054717</v>
      </c>
      <c r="Y894" s="2">
        <v>2.2770094618844259</v>
      </c>
      <c r="Z894" s="2">
        <v>2.9290723036395736</v>
      </c>
      <c r="AA894" s="2">
        <v>3.5948313460586312</v>
      </c>
      <c r="AB894" s="2">
        <v>4.2064822601018985</v>
      </c>
      <c r="AC894" s="2">
        <v>4.6830199120821785</v>
      </c>
      <c r="AD894" s="2">
        <v>4.9434485350974429</v>
      </c>
      <c r="AE894" s="2">
        <v>4.9258207787125015</v>
      </c>
      <c r="AF894" s="2">
        <v>4.6076227121488937</v>
      </c>
      <c r="AG894" s="2">
        <v>4.0199024704987654</v>
      </c>
      <c r="AH894" s="2">
        <v>3.2987884476908804</v>
      </c>
      <c r="AI894" s="2">
        <v>1.1947903615445616</v>
      </c>
      <c r="AJ894" s="2">
        <v>0</v>
      </c>
      <c r="AK894" s="2">
        <v>0</v>
      </c>
      <c r="AL894" s="2">
        <v>0</v>
      </c>
      <c r="AM894" s="2">
        <v>0</v>
      </c>
      <c r="AN894" s="2">
        <v>0</v>
      </c>
      <c r="AO894" s="2">
        <v>0</v>
      </c>
      <c r="AP894" s="2">
        <v>0</v>
      </c>
      <c r="AQ894" s="2">
        <v>0</v>
      </c>
      <c r="AR894" s="2">
        <v>45.247930935458186</v>
      </c>
    </row>
    <row r="895" spans="1:44" x14ac:dyDescent="0.25">
      <c r="A895" t="s">
        <v>435</v>
      </c>
      <c r="B895" t="s">
        <v>479</v>
      </c>
      <c r="C895" t="s">
        <v>44</v>
      </c>
      <c r="D895" t="s">
        <v>191</v>
      </c>
      <c r="E895" t="s">
        <v>134</v>
      </c>
      <c r="F895" t="s">
        <v>191</v>
      </c>
      <c r="G895" t="s">
        <v>33</v>
      </c>
      <c r="H895" t="s">
        <v>455</v>
      </c>
      <c r="I895" t="s">
        <v>135</v>
      </c>
      <c r="J895" t="s">
        <v>39</v>
      </c>
      <c r="K895" t="s">
        <v>31</v>
      </c>
      <c r="L895">
        <v>9.2342432105322225E-2</v>
      </c>
      <c r="M895">
        <v>1</v>
      </c>
      <c r="N895">
        <v>4.0443999858966739</v>
      </c>
      <c r="O895">
        <v>5.3471683850504288</v>
      </c>
      <c r="P895">
        <v>-1.6880764755566879</v>
      </c>
      <c r="Q895">
        <v>0.71613044470482479</v>
      </c>
      <c r="R895">
        <v>-1.8625523936223527</v>
      </c>
      <c r="S895" s="2">
        <v>4.1020367329149508E-3</v>
      </c>
      <c r="T895" s="2">
        <v>8.1364944048868681E-3</v>
      </c>
      <c r="U895" s="2">
        <v>1.4335350791459112E-2</v>
      </c>
      <c r="V895" s="2">
        <v>2.3138661309381914E-2</v>
      </c>
      <c r="W895" s="2">
        <v>3.4850521445244274E-2</v>
      </c>
      <c r="X895" s="2">
        <v>4.9528632696364205E-2</v>
      </c>
      <c r="Y895" s="2">
        <v>6.6853196279834243E-2</v>
      </c>
      <c r="Z895" s="2">
        <v>8.5997818151790278E-2</v>
      </c>
      <c r="AA895" s="2">
        <v>0.10554456166908832</v>
      </c>
      <c r="AB895" s="2">
        <v>0.12350268582085791</v>
      </c>
      <c r="AC895" s="2">
        <v>0.13749387282111025</v>
      </c>
      <c r="AD895" s="2">
        <v>0.14514007989348568</v>
      </c>
      <c r="AE895" s="2">
        <v>0.14462252742947426</v>
      </c>
      <c r="AF895" s="2">
        <v>0.13528020445896025</v>
      </c>
      <c r="AG895" s="2">
        <v>0.11802468693460581</v>
      </c>
      <c r="AH895" s="2">
        <v>9.6852716367992767E-2</v>
      </c>
      <c r="AI895" s="2">
        <v>3.5079149160622498E-2</v>
      </c>
      <c r="AJ895" s="2">
        <v>0</v>
      </c>
      <c r="AK895" s="2">
        <v>0</v>
      </c>
      <c r="AL895" s="2">
        <v>0</v>
      </c>
      <c r="AM895" s="2">
        <v>0</v>
      </c>
      <c r="AN895" s="2">
        <v>0</v>
      </c>
      <c r="AO895" s="2">
        <v>0</v>
      </c>
      <c r="AP895" s="2">
        <v>0</v>
      </c>
      <c r="AQ895" s="2">
        <v>0</v>
      </c>
      <c r="AR895" s="2">
        <v>1.3284831963680734</v>
      </c>
    </row>
    <row r="896" spans="1:44" x14ac:dyDescent="0.25">
      <c r="A896" t="s">
        <v>435</v>
      </c>
      <c r="B896" t="s">
        <v>479</v>
      </c>
      <c r="C896" t="s">
        <v>44</v>
      </c>
      <c r="D896" t="s">
        <v>191</v>
      </c>
      <c r="E896" t="s">
        <v>134</v>
      </c>
      <c r="F896" t="s">
        <v>191</v>
      </c>
      <c r="G896" t="s">
        <v>33</v>
      </c>
      <c r="H896" t="s">
        <v>455</v>
      </c>
      <c r="I896" t="s">
        <v>135</v>
      </c>
      <c r="J896" t="s">
        <v>39</v>
      </c>
      <c r="K896" t="s">
        <v>33</v>
      </c>
      <c r="L896">
        <v>9.2342432105322225E-2</v>
      </c>
      <c r="M896">
        <v>1</v>
      </c>
      <c r="N896">
        <v>4.0443999858966739</v>
      </c>
      <c r="O896">
        <v>5.3471683850504288</v>
      </c>
      <c r="P896">
        <v>-1.6880764755566879</v>
      </c>
      <c r="Q896">
        <v>0.71613044470482479</v>
      </c>
      <c r="R896">
        <v>-1.8625523936223527</v>
      </c>
      <c r="S896" s="2">
        <v>0.10429747564088689</v>
      </c>
      <c r="T896" s="2">
        <v>0.20687670107548384</v>
      </c>
      <c r="U896" s="2">
        <v>0.36448744790086574</v>
      </c>
      <c r="V896" s="2">
        <v>0.58831846748555883</v>
      </c>
      <c r="W896" s="2">
        <v>0.88610162418624394</v>
      </c>
      <c r="X896" s="2">
        <v>1.2593040234685249</v>
      </c>
      <c r="Y896" s="2">
        <v>1.6997945324484272</v>
      </c>
      <c r="Z896" s="2">
        <v>2.18656143956128</v>
      </c>
      <c r="AA896" s="2">
        <v>2.6835526023891547</v>
      </c>
      <c r="AB896" s="2">
        <v>3.1401518817779204</v>
      </c>
      <c r="AC896" s="2">
        <v>3.4958886975009125</v>
      </c>
      <c r="AD896" s="2">
        <v>3.6902994616652682</v>
      </c>
      <c r="AE896" s="2">
        <v>3.6771402875713419</v>
      </c>
      <c r="AF896" s="2">
        <v>3.4396044569855242</v>
      </c>
      <c r="AG896" s="2">
        <v>3.0008694977818888</v>
      </c>
      <c r="AH896" s="2">
        <v>2.4625556726709816</v>
      </c>
      <c r="AI896" s="2">
        <v>0.89191466174004996</v>
      </c>
      <c r="AJ896" s="2">
        <v>0</v>
      </c>
      <c r="AK896" s="2">
        <v>0</v>
      </c>
      <c r="AL896" s="2">
        <v>0</v>
      </c>
      <c r="AM896" s="2">
        <v>0</v>
      </c>
      <c r="AN896" s="2">
        <v>0</v>
      </c>
      <c r="AO896" s="2">
        <v>0</v>
      </c>
      <c r="AP896" s="2">
        <v>0</v>
      </c>
      <c r="AQ896" s="2">
        <v>0</v>
      </c>
      <c r="AR896" s="2">
        <v>33.777718931850316</v>
      </c>
    </row>
    <row r="897" spans="1:44" x14ac:dyDescent="0.25">
      <c r="A897" t="s">
        <v>435</v>
      </c>
      <c r="B897" t="s">
        <v>479</v>
      </c>
      <c r="C897" t="s">
        <v>44</v>
      </c>
      <c r="D897" t="s">
        <v>191</v>
      </c>
      <c r="E897" t="s">
        <v>134</v>
      </c>
      <c r="F897" t="s">
        <v>191</v>
      </c>
      <c r="G897" t="s">
        <v>33</v>
      </c>
      <c r="H897" t="s">
        <v>456</v>
      </c>
      <c r="I897" t="s">
        <v>135</v>
      </c>
      <c r="J897" t="s">
        <v>39</v>
      </c>
      <c r="K897" t="s">
        <v>31</v>
      </c>
      <c r="L897">
        <v>9.2342432105322225E-2</v>
      </c>
      <c r="M897">
        <v>1</v>
      </c>
      <c r="N897">
        <v>4.0443999858966739</v>
      </c>
      <c r="O897">
        <v>5.3471683850504288</v>
      </c>
      <c r="P897">
        <v>-1.6880764755566879</v>
      </c>
      <c r="Q897">
        <v>0.71613044470482479</v>
      </c>
      <c r="R897">
        <v>-1.8625523936223527</v>
      </c>
      <c r="S897" s="2">
        <v>0.73940183499734147</v>
      </c>
      <c r="T897" s="2">
        <v>1.4666223842280957</v>
      </c>
      <c r="U897" s="2">
        <v>2.583980927202298</v>
      </c>
      <c r="V897" s="2">
        <v>4.170798494868988</v>
      </c>
      <c r="W897" s="2">
        <v>6.281889018803696</v>
      </c>
      <c r="X897" s="2">
        <v>8.9276533305388899</v>
      </c>
      <c r="Y897" s="2">
        <v>12.050446942151204</v>
      </c>
      <c r="Z897" s="2">
        <v>15.501310370279365</v>
      </c>
      <c r="AA897" s="2">
        <v>19.024657177230601</v>
      </c>
      <c r="AB897" s="2">
        <v>22.261651581591487</v>
      </c>
      <c r="AC897" s="2">
        <v>24.783596170426552</v>
      </c>
      <c r="AD897" s="2">
        <v>26.161843101937212</v>
      </c>
      <c r="AE897" s="2">
        <v>26.068553044701304</v>
      </c>
      <c r="AF897" s="2">
        <v>24.38457720603855</v>
      </c>
      <c r="AG897" s="2">
        <v>21.274229310087375</v>
      </c>
      <c r="AH897" s="2">
        <v>17.457931478853894</v>
      </c>
      <c r="AI897" s="2">
        <v>6.3230997059059408</v>
      </c>
      <c r="AJ897" s="2">
        <v>0</v>
      </c>
      <c r="AK897" s="2">
        <v>0</v>
      </c>
      <c r="AL897" s="2">
        <v>0</v>
      </c>
      <c r="AM897" s="2">
        <v>0</v>
      </c>
      <c r="AN897" s="2">
        <v>0</v>
      </c>
      <c r="AO897" s="2">
        <v>0</v>
      </c>
      <c r="AP897" s="2">
        <v>0</v>
      </c>
      <c r="AQ897" s="2">
        <v>0</v>
      </c>
      <c r="AR897" s="2">
        <v>239.46224207984278</v>
      </c>
    </row>
    <row r="898" spans="1:44" x14ac:dyDescent="0.25">
      <c r="A898" t="s">
        <v>435</v>
      </c>
      <c r="B898" t="s">
        <v>479</v>
      </c>
      <c r="C898" t="s">
        <v>44</v>
      </c>
      <c r="D898" t="s">
        <v>191</v>
      </c>
      <c r="E898" t="s">
        <v>134</v>
      </c>
      <c r="F898" t="s">
        <v>191</v>
      </c>
      <c r="G898" t="s">
        <v>33</v>
      </c>
      <c r="H898" t="s">
        <v>456</v>
      </c>
      <c r="I898" t="s">
        <v>135</v>
      </c>
      <c r="J898" t="s">
        <v>39</v>
      </c>
      <c r="K898" t="s">
        <v>33</v>
      </c>
      <c r="L898">
        <v>9.2342432105322225E-2</v>
      </c>
      <c r="M898">
        <v>1</v>
      </c>
      <c r="N898">
        <v>4.0443999858966739</v>
      </c>
      <c r="O898">
        <v>5.3471683850504288</v>
      </c>
      <c r="P898">
        <v>-1.6880764755566879</v>
      </c>
      <c r="Q898">
        <v>0.71613044470482479</v>
      </c>
      <c r="R898">
        <v>-1.8625523936223527</v>
      </c>
      <c r="S898" s="2">
        <v>0.68268951192660576</v>
      </c>
      <c r="T898" s="2">
        <v>1.3541320460381512</v>
      </c>
      <c r="U898" s="2">
        <v>2.3857888830174967</v>
      </c>
      <c r="V898" s="2">
        <v>3.8508971090348583</v>
      </c>
      <c r="W898" s="2">
        <v>5.8000664121148935</v>
      </c>
      <c r="X898" s="2">
        <v>8.2428998771654971</v>
      </c>
      <c r="Y898" s="2">
        <v>11.126174364260597</v>
      </c>
      <c r="Z898" s="2">
        <v>14.312355623173293</v>
      </c>
      <c r="AA898" s="2">
        <v>17.565460765919322</v>
      </c>
      <c r="AB898" s="2">
        <v>20.554176813709812</v>
      </c>
      <c r="AC898" s="2">
        <v>22.882687562488179</v>
      </c>
      <c r="AD898" s="2">
        <v>24.155222577214964</v>
      </c>
      <c r="AE898" s="2">
        <v>24.069087892896505</v>
      </c>
      <c r="AF898" s="2">
        <v>22.514273461854405</v>
      </c>
      <c r="AG898" s="2">
        <v>19.642490100623643</v>
      </c>
      <c r="AH898" s="2">
        <v>16.11890335731956</v>
      </c>
      <c r="AI898" s="2">
        <v>5.8381162282396986</v>
      </c>
      <c r="AJ898" s="2">
        <v>0</v>
      </c>
      <c r="AK898" s="2">
        <v>0</v>
      </c>
      <c r="AL898" s="2">
        <v>0</v>
      </c>
      <c r="AM898" s="2">
        <v>0</v>
      </c>
      <c r="AN898" s="2">
        <v>0</v>
      </c>
      <c r="AO898" s="2">
        <v>0</v>
      </c>
      <c r="AP898" s="2">
        <v>0</v>
      </c>
      <c r="AQ898" s="2">
        <v>0</v>
      </c>
      <c r="AR898" s="2">
        <v>221.09542258699747</v>
      </c>
    </row>
    <row r="899" spans="1:44" x14ac:dyDescent="0.25">
      <c r="A899" t="s">
        <v>435</v>
      </c>
      <c r="B899" t="s">
        <v>479</v>
      </c>
      <c r="C899" t="s">
        <v>44</v>
      </c>
      <c r="D899" t="s">
        <v>191</v>
      </c>
      <c r="E899" t="s">
        <v>134</v>
      </c>
      <c r="F899" t="s">
        <v>191</v>
      </c>
      <c r="G899" t="s">
        <v>33</v>
      </c>
      <c r="H899" t="s">
        <v>456</v>
      </c>
      <c r="I899" t="s">
        <v>135</v>
      </c>
      <c r="J899" t="s">
        <v>40</v>
      </c>
      <c r="K899" t="s">
        <v>33</v>
      </c>
      <c r="L899">
        <v>9.2342432105322225E-2</v>
      </c>
      <c r="M899">
        <v>1</v>
      </c>
      <c r="N899">
        <v>4.0443999858966739</v>
      </c>
      <c r="O899">
        <v>4.1746294160814523</v>
      </c>
      <c r="P899">
        <v>-1.6880764755566879</v>
      </c>
      <c r="Q899">
        <v>1.3498045353129324</v>
      </c>
      <c r="R899">
        <v>-1.7195523936223525</v>
      </c>
      <c r="S899" s="2">
        <v>2.5202942751806185</v>
      </c>
      <c r="T899" s="2">
        <v>4.999067927435032</v>
      </c>
      <c r="U899" s="2">
        <v>8.8076496835137998</v>
      </c>
      <c r="V899" s="2">
        <v>14.216409903267339</v>
      </c>
      <c r="W899" s="2">
        <v>21.412185069121271</v>
      </c>
      <c r="X899" s="2">
        <v>30.430427021911893</v>
      </c>
      <c r="Y899" s="2">
        <v>41.074651162829021</v>
      </c>
      <c r="Z899" s="2">
        <v>52.837120405785171</v>
      </c>
      <c r="AA899" s="2">
        <v>64.846653472560746</v>
      </c>
      <c r="AB899" s="2">
        <v>75.880137675547303</v>
      </c>
      <c r="AC899" s="2">
        <v>84.47633288188814</v>
      </c>
      <c r="AD899" s="2">
        <v>89.174167924837477</v>
      </c>
      <c r="AE899" s="2">
        <v>88.856183324239652</v>
      </c>
      <c r="AF899" s="2">
        <v>83.11625347169948</v>
      </c>
      <c r="AG899" s="2">
        <v>72.514451278425199</v>
      </c>
      <c r="AH899" s="2">
        <v>59.506377561003987</v>
      </c>
      <c r="AI899" s="2">
        <v>21.552654099442965</v>
      </c>
      <c r="AJ899" s="2">
        <v>0</v>
      </c>
      <c r="AK899" s="2">
        <v>0</v>
      </c>
      <c r="AL899" s="2">
        <v>0</v>
      </c>
      <c r="AM899" s="2">
        <v>0</v>
      </c>
      <c r="AN899" s="2">
        <v>0</v>
      </c>
      <c r="AO899" s="2">
        <v>0</v>
      </c>
      <c r="AP899" s="2">
        <v>0</v>
      </c>
      <c r="AQ899" s="2">
        <v>0</v>
      </c>
      <c r="AR899" s="2">
        <v>816.22101713868915</v>
      </c>
    </row>
    <row r="900" spans="1:44" x14ac:dyDescent="0.25">
      <c r="A900" t="s">
        <v>435</v>
      </c>
      <c r="B900" t="s">
        <v>479</v>
      </c>
      <c r="C900" t="s">
        <v>44</v>
      </c>
      <c r="D900" t="s">
        <v>191</v>
      </c>
      <c r="E900" t="s">
        <v>134</v>
      </c>
      <c r="F900" t="s">
        <v>191</v>
      </c>
      <c r="G900" t="s">
        <v>33</v>
      </c>
      <c r="H900" t="s">
        <v>456</v>
      </c>
      <c r="I900" t="s">
        <v>256</v>
      </c>
      <c r="J900" t="s">
        <v>40</v>
      </c>
      <c r="K900" t="s">
        <v>33</v>
      </c>
      <c r="L900">
        <v>9.2342432105322225E-2</v>
      </c>
      <c r="M900">
        <v>1</v>
      </c>
      <c r="N900">
        <v>2.0015641280358047</v>
      </c>
      <c r="O900">
        <v>1.4737622038640092</v>
      </c>
      <c r="P900">
        <v>-0.22513952420782057</v>
      </c>
      <c r="Q900">
        <v>1.3498045353129324</v>
      </c>
      <c r="R900">
        <v>-0.25661544227348515</v>
      </c>
      <c r="S900" s="2">
        <v>3.7846757215756326</v>
      </c>
      <c r="T900" s="2">
        <v>7.5070007505829386</v>
      </c>
      <c r="U900" s="2">
        <v>13.22627212607904</v>
      </c>
      <c r="V900" s="2">
        <v>21.348499633046771</v>
      </c>
      <c r="W900" s="2">
        <v>32.154251896310768</v>
      </c>
      <c r="X900" s="2">
        <v>45.696766239234258</v>
      </c>
      <c r="Y900" s="2">
        <v>61.680985652759404</v>
      </c>
      <c r="Z900" s="2">
        <v>79.344451466252906</v>
      </c>
      <c r="AA900" s="2">
        <v>97.378928103719346</v>
      </c>
      <c r="AB900" s="2">
        <v>113.9476916003705</v>
      </c>
      <c r="AC900" s="2">
        <v>126.85642674917825</v>
      </c>
      <c r="AD900" s="2">
        <v>133.91107207615832</v>
      </c>
      <c r="AE900" s="2">
        <v>133.43356093407903</v>
      </c>
      <c r="AF900" s="2">
        <v>124.81402258477291</v>
      </c>
      <c r="AG900" s="2">
        <v>108.89350736519326</v>
      </c>
      <c r="AH900" s="2">
        <v>89.359542118511087</v>
      </c>
      <c r="AI900" s="2">
        <v>32.365191441714813</v>
      </c>
      <c r="AJ900" s="2">
        <v>0</v>
      </c>
      <c r="AK900" s="2">
        <v>0</v>
      </c>
      <c r="AL900" s="2">
        <v>0</v>
      </c>
      <c r="AM900" s="2">
        <v>0</v>
      </c>
      <c r="AN900" s="2">
        <v>0</v>
      </c>
      <c r="AO900" s="2">
        <v>0</v>
      </c>
      <c r="AP900" s="2">
        <v>0</v>
      </c>
      <c r="AQ900" s="2">
        <v>0</v>
      </c>
      <c r="AR900" s="2">
        <v>1225.7028464595392</v>
      </c>
    </row>
    <row r="901" spans="1:44" x14ac:dyDescent="0.25">
      <c r="A901" t="s">
        <v>435</v>
      </c>
      <c r="B901" t="s">
        <v>479</v>
      </c>
      <c r="C901" t="s">
        <v>44</v>
      </c>
      <c r="D901" t="s">
        <v>191</v>
      </c>
      <c r="E901" t="s">
        <v>134</v>
      </c>
      <c r="F901" t="s">
        <v>191</v>
      </c>
      <c r="G901" t="s">
        <v>33</v>
      </c>
      <c r="H901" t="s">
        <v>457</v>
      </c>
      <c r="I901" t="s">
        <v>135</v>
      </c>
      <c r="J901" t="s">
        <v>39</v>
      </c>
      <c r="K901" t="s">
        <v>31</v>
      </c>
      <c r="L901">
        <v>9.2342432105322225E-2</v>
      </c>
      <c r="M901">
        <v>1</v>
      </c>
      <c r="N901">
        <v>4.0443999858966739</v>
      </c>
      <c r="O901">
        <v>5.3471683850504288</v>
      </c>
      <c r="P901">
        <v>-1.6880764755566879</v>
      </c>
      <c r="Q901">
        <v>0.71613044470482479</v>
      </c>
      <c r="R901">
        <v>-1.8625523936223527</v>
      </c>
      <c r="S901" s="2">
        <v>0.27335606435744192</v>
      </c>
      <c r="T901" s="2">
        <v>0.54220872044841728</v>
      </c>
      <c r="U901" s="2">
        <v>0.95529497385850215</v>
      </c>
      <c r="V901" s="2">
        <v>1.5419397245469755</v>
      </c>
      <c r="W901" s="2">
        <v>2.3224076241528198</v>
      </c>
      <c r="X901" s="2">
        <v>3.300543848924169</v>
      </c>
      <c r="Y901" s="2">
        <v>4.4550372935799754</v>
      </c>
      <c r="Z901" s="2">
        <v>5.7308177970886467</v>
      </c>
      <c r="AA901" s="2">
        <v>7.0333953279085568</v>
      </c>
      <c r="AB901" s="2">
        <v>8.2301086830036763</v>
      </c>
      <c r="AC901" s="2">
        <v>9.1624688891884229</v>
      </c>
      <c r="AD901" s="2">
        <v>9.6720052996732964</v>
      </c>
      <c r="AE901" s="2">
        <v>9.6375160656970511</v>
      </c>
      <c r="AF901" s="2">
        <v>9.0149520065592625</v>
      </c>
      <c r="AG901" s="2">
        <v>7.8650597296179674</v>
      </c>
      <c r="AH901" s="2">
        <v>6.4541785197200046</v>
      </c>
      <c r="AI901" s="2">
        <v>2.3376431709185024</v>
      </c>
      <c r="AJ901" s="2">
        <v>0</v>
      </c>
      <c r="AK901" s="2">
        <v>0</v>
      </c>
      <c r="AL901" s="2">
        <v>0</v>
      </c>
      <c r="AM901" s="2">
        <v>0</v>
      </c>
      <c r="AN901" s="2">
        <v>0</v>
      </c>
      <c r="AO901" s="2">
        <v>0</v>
      </c>
      <c r="AP901" s="2">
        <v>0</v>
      </c>
      <c r="AQ901" s="2">
        <v>0</v>
      </c>
      <c r="AR901" s="2">
        <v>88.528933739243683</v>
      </c>
    </row>
    <row r="902" spans="1:44" x14ac:dyDescent="0.25">
      <c r="A902" t="s">
        <v>435</v>
      </c>
      <c r="B902" t="s">
        <v>479</v>
      </c>
      <c r="C902" t="s">
        <v>44</v>
      </c>
      <c r="D902" t="s">
        <v>191</v>
      </c>
      <c r="E902" t="s">
        <v>134</v>
      </c>
      <c r="F902" t="s">
        <v>191</v>
      </c>
      <c r="G902" t="s">
        <v>33</v>
      </c>
      <c r="H902" t="s">
        <v>457</v>
      </c>
      <c r="I902" t="s">
        <v>135</v>
      </c>
      <c r="J902" t="s">
        <v>39</v>
      </c>
      <c r="K902" t="s">
        <v>33</v>
      </c>
      <c r="L902">
        <v>9.2342432105322225E-2</v>
      </c>
      <c r="M902">
        <v>1</v>
      </c>
      <c r="N902">
        <v>4.0443999858966739</v>
      </c>
      <c r="O902">
        <v>5.3471683850504288</v>
      </c>
      <c r="P902">
        <v>-1.6880764755566879</v>
      </c>
      <c r="Q902">
        <v>0.71613044470482479</v>
      </c>
      <c r="R902">
        <v>-1.8625523936223527</v>
      </c>
      <c r="S902" s="2">
        <v>7.9982500259699746E-2</v>
      </c>
      <c r="T902" s="2">
        <v>0.15864732771163179</v>
      </c>
      <c r="U902" s="2">
        <v>0.27951412263097786</v>
      </c>
      <c r="V902" s="2">
        <v>0.4511631915279376</v>
      </c>
      <c r="W902" s="2">
        <v>0.67952386144629739</v>
      </c>
      <c r="X902" s="2">
        <v>0.96572121007909495</v>
      </c>
      <c r="Y902" s="2">
        <v>1.3035197237285352</v>
      </c>
      <c r="Z902" s="2">
        <v>1.6768061722770995</v>
      </c>
      <c r="AA902" s="2">
        <v>2.0579332855239891</v>
      </c>
      <c r="AB902" s="2">
        <v>2.408085115737356</v>
      </c>
      <c r="AC902" s="2">
        <v>2.6808886498700168</v>
      </c>
      <c r="AD902" s="2">
        <v>2.8299762370787742</v>
      </c>
      <c r="AE902" s="2">
        <v>2.8198848744746696</v>
      </c>
      <c r="AF902" s="2">
        <v>2.637726010947294</v>
      </c>
      <c r="AG902" s="2">
        <v>2.3012737739893394</v>
      </c>
      <c r="AH902" s="2">
        <v>1.8884575922729112</v>
      </c>
      <c r="AI902" s="2">
        <v>0.68398169970940159</v>
      </c>
      <c r="AJ902" s="2">
        <v>0</v>
      </c>
      <c r="AK902" s="2">
        <v>0</v>
      </c>
      <c r="AL902" s="2">
        <v>0</v>
      </c>
      <c r="AM902" s="2">
        <v>0</v>
      </c>
      <c r="AN902" s="2">
        <v>0</v>
      </c>
      <c r="AO902" s="2">
        <v>0</v>
      </c>
      <c r="AP902" s="2">
        <v>0</v>
      </c>
      <c r="AQ902" s="2">
        <v>0</v>
      </c>
      <c r="AR902" s="2">
        <v>25.903085349265023</v>
      </c>
    </row>
    <row r="903" spans="1:44" x14ac:dyDescent="0.25">
      <c r="A903" t="s">
        <v>435</v>
      </c>
      <c r="B903" t="s">
        <v>479</v>
      </c>
      <c r="C903" t="s">
        <v>44</v>
      </c>
      <c r="D903" t="s">
        <v>191</v>
      </c>
      <c r="E903" t="s">
        <v>134</v>
      </c>
      <c r="F903" t="s">
        <v>191</v>
      </c>
      <c r="G903" t="s">
        <v>33</v>
      </c>
      <c r="H903" t="s">
        <v>457</v>
      </c>
      <c r="I903" t="s">
        <v>256</v>
      </c>
      <c r="J903" t="s">
        <v>39</v>
      </c>
      <c r="K903" t="s">
        <v>33</v>
      </c>
      <c r="L903">
        <v>9.2342432105322225E-2</v>
      </c>
      <c r="M903">
        <v>1</v>
      </c>
      <c r="N903">
        <v>2.0015641280358047</v>
      </c>
      <c r="O903">
        <v>2.6463011728329868</v>
      </c>
      <c r="P903">
        <v>-0.22513952420782057</v>
      </c>
      <c r="Q903">
        <v>1.3498045353129324</v>
      </c>
      <c r="R903">
        <v>-0.39961544227348522</v>
      </c>
      <c r="S903" s="2">
        <v>0.21995724246246887</v>
      </c>
      <c r="T903" s="2">
        <v>0.43629079628900747</v>
      </c>
      <c r="U903" s="2">
        <v>0.76868259236207392</v>
      </c>
      <c r="V903" s="2">
        <v>1.2407290493149732</v>
      </c>
      <c r="W903" s="2">
        <v>1.8687362143702189</v>
      </c>
      <c r="X903" s="2">
        <v>2.6557981266752884</v>
      </c>
      <c r="Y903" s="2">
        <v>3.5847667051643159</v>
      </c>
      <c r="Z903" s="2">
        <v>4.6113294858319893</v>
      </c>
      <c r="AA903" s="2">
        <v>5.6594546205210658</v>
      </c>
      <c r="AB903" s="2">
        <v>6.6223956484564681</v>
      </c>
      <c r="AC903" s="2">
        <v>7.3726236721741811</v>
      </c>
      <c r="AD903" s="2">
        <v>7.7826245406309571</v>
      </c>
      <c r="AE903" s="2">
        <v>7.7548726163490143</v>
      </c>
      <c r="AF903" s="2">
        <v>7.2539235189654319</v>
      </c>
      <c r="AG903" s="2">
        <v>6.3286572917118527</v>
      </c>
      <c r="AH903" s="2">
        <v>5.1933850924257445</v>
      </c>
      <c r="AI903" s="2">
        <v>1.8809955687103674</v>
      </c>
      <c r="AJ903" s="2">
        <v>0</v>
      </c>
      <c r="AK903" s="2">
        <v>0</v>
      </c>
      <c r="AL903" s="2">
        <v>0</v>
      </c>
      <c r="AM903" s="2">
        <v>0</v>
      </c>
      <c r="AN903" s="2">
        <v>0</v>
      </c>
      <c r="AO903" s="2">
        <v>0</v>
      </c>
      <c r="AP903" s="2">
        <v>0</v>
      </c>
      <c r="AQ903" s="2">
        <v>0</v>
      </c>
      <c r="AR903" s="2">
        <v>71.23522278241542</v>
      </c>
    </row>
    <row r="904" spans="1:44" x14ac:dyDescent="0.25">
      <c r="A904" t="s">
        <v>435</v>
      </c>
      <c r="B904" t="s">
        <v>479</v>
      </c>
      <c r="C904" t="s">
        <v>44</v>
      </c>
      <c r="D904" t="s">
        <v>191</v>
      </c>
      <c r="E904" t="s">
        <v>134</v>
      </c>
      <c r="F904" t="s">
        <v>191</v>
      </c>
      <c r="G904" t="s">
        <v>33</v>
      </c>
      <c r="H904" t="s">
        <v>457</v>
      </c>
      <c r="I904" t="s">
        <v>256</v>
      </c>
      <c r="J904" t="s">
        <v>40</v>
      </c>
      <c r="K904" t="s">
        <v>33</v>
      </c>
      <c r="L904">
        <v>9.2342432105322225E-2</v>
      </c>
      <c r="M904">
        <v>1</v>
      </c>
      <c r="N904">
        <v>2.0015641280358047</v>
      </c>
      <c r="O904">
        <v>1.4737622038640092</v>
      </c>
      <c r="P904">
        <v>-0.22513952420782057</v>
      </c>
      <c r="Q904">
        <v>1.3498045353129324</v>
      </c>
      <c r="R904">
        <v>-0.25661544227348515</v>
      </c>
      <c r="S904" s="2">
        <v>2.0126931473545491</v>
      </c>
      <c r="T904" s="2">
        <v>3.9922281535902484</v>
      </c>
      <c r="U904" s="2">
        <v>7.0337405980249121</v>
      </c>
      <c r="V904" s="2">
        <v>11.353146763085407</v>
      </c>
      <c r="W904" s="2">
        <v>17.099653236096511</v>
      </c>
      <c r="X904" s="2">
        <v>24.301571662176418</v>
      </c>
      <c r="Y904" s="2">
        <v>32.801990521317158</v>
      </c>
      <c r="Z904" s="2">
        <v>42.195433768959283</v>
      </c>
      <c r="AA904" s="2">
        <v>51.786180827532355</v>
      </c>
      <c r="AB904" s="2">
        <v>60.597460631437087</v>
      </c>
      <c r="AC904" s="2">
        <v>67.462334846923014</v>
      </c>
      <c r="AD904" s="2">
        <v>71.214000075646595</v>
      </c>
      <c r="AE904" s="2">
        <v>70.960059322421785</v>
      </c>
      <c r="AF904" s="2">
        <v>66.376182909943935</v>
      </c>
      <c r="AG904" s="2">
        <v>57.909641984883763</v>
      </c>
      <c r="AH904" s="2">
        <v>47.521465854356229</v>
      </c>
      <c r="AI904" s="2">
        <v>17.211831031177017</v>
      </c>
      <c r="AJ904" s="2">
        <v>0</v>
      </c>
      <c r="AK904" s="2">
        <v>0</v>
      </c>
      <c r="AL904" s="2">
        <v>0</v>
      </c>
      <c r="AM904" s="2">
        <v>0</v>
      </c>
      <c r="AN904" s="2">
        <v>0</v>
      </c>
      <c r="AO904" s="2">
        <v>0</v>
      </c>
      <c r="AP904" s="2">
        <v>0</v>
      </c>
      <c r="AQ904" s="2">
        <v>0</v>
      </c>
      <c r="AR904" s="2">
        <v>651.82961533492619</v>
      </c>
    </row>
    <row r="905" spans="1:44" x14ac:dyDescent="0.25">
      <c r="A905" t="s">
        <v>435</v>
      </c>
      <c r="B905" t="s">
        <v>446</v>
      </c>
      <c r="C905" t="s">
        <v>44</v>
      </c>
      <c r="D905" t="s">
        <v>447</v>
      </c>
      <c r="E905" t="s">
        <v>134</v>
      </c>
      <c r="F905" t="s">
        <v>447</v>
      </c>
      <c r="G905" t="s">
        <v>33</v>
      </c>
      <c r="H905" t="s">
        <v>437</v>
      </c>
      <c r="I905" t="s">
        <v>135</v>
      </c>
      <c r="J905" t="s">
        <v>39</v>
      </c>
      <c r="K905" t="s">
        <v>31</v>
      </c>
      <c r="L905">
        <v>5.6376249945884194E-2</v>
      </c>
      <c r="M905">
        <v>1</v>
      </c>
      <c r="N905">
        <v>5.4427509606693079</v>
      </c>
      <c r="O905">
        <v>5.3471683850504297</v>
      </c>
      <c r="P905">
        <v>-1.8720646301964523</v>
      </c>
      <c r="Q905">
        <v>0.5321422900650602</v>
      </c>
      <c r="R905">
        <v>-1.8625523936223525</v>
      </c>
      <c r="S905" s="2">
        <v>0.20507380997779326</v>
      </c>
      <c r="T905" s="2">
        <v>0.33100923036552532</v>
      </c>
      <c r="U905" s="2">
        <v>0.49855279556515059</v>
      </c>
      <c r="V905" s="2">
        <v>0.70852995212963932</v>
      </c>
      <c r="W905" s="2">
        <v>0.9563658308568953</v>
      </c>
      <c r="X905" s="2">
        <v>1.2302384835027818</v>
      </c>
      <c r="Y905" s="2">
        <v>1.5098636718964478</v>
      </c>
      <c r="Z905" s="2">
        <v>1.7667629269918839</v>
      </c>
      <c r="AA905" s="2">
        <v>1.966913315077468</v>
      </c>
      <c r="AB905" s="2">
        <v>2.0762958365812598</v>
      </c>
      <c r="AC905" s="2">
        <v>2.0688920096918997</v>
      </c>
      <c r="AD905" s="2">
        <v>1.9352457673726802</v>
      </c>
      <c r="AE905" s="2">
        <v>1.6883976243913266</v>
      </c>
      <c r="AF905" s="2">
        <v>1.3855228128855035</v>
      </c>
      <c r="AG905" s="2">
        <v>0.24827417853866046</v>
      </c>
      <c r="AH905" s="2">
        <v>0</v>
      </c>
      <c r="AI905" s="2">
        <v>0</v>
      </c>
      <c r="AJ905" s="2">
        <v>0</v>
      </c>
      <c r="AK905" s="2">
        <v>0</v>
      </c>
      <c r="AL905" s="2">
        <v>0</v>
      </c>
      <c r="AM905" s="2">
        <v>0</v>
      </c>
      <c r="AN905" s="2">
        <v>0</v>
      </c>
      <c r="AO905" s="2">
        <v>0</v>
      </c>
      <c r="AP905" s="2">
        <v>0</v>
      </c>
      <c r="AQ905" s="2">
        <v>0</v>
      </c>
      <c r="AR905" s="2">
        <v>18.575938245824915</v>
      </c>
    </row>
    <row r="906" spans="1:44" x14ac:dyDescent="0.25">
      <c r="A906" t="s">
        <v>435</v>
      </c>
      <c r="B906" t="s">
        <v>438</v>
      </c>
      <c r="C906" t="s">
        <v>44</v>
      </c>
      <c r="D906" t="s">
        <v>439</v>
      </c>
      <c r="E906" t="s">
        <v>134</v>
      </c>
      <c r="F906" t="s">
        <v>439</v>
      </c>
      <c r="G906" t="s">
        <v>33</v>
      </c>
      <c r="H906" t="s">
        <v>437</v>
      </c>
      <c r="I906" t="s">
        <v>135</v>
      </c>
      <c r="J906" t="s">
        <v>39</v>
      </c>
      <c r="K906" t="s">
        <v>31</v>
      </c>
      <c r="L906">
        <v>6.2148735157237955E-2</v>
      </c>
      <c r="M906">
        <v>1</v>
      </c>
      <c r="N906">
        <v>6.9402413781539831</v>
      </c>
      <c r="O906">
        <v>5.3471683850504297</v>
      </c>
      <c r="P906">
        <v>-1.9868845531200463</v>
      </c>
      <c r="Q906">
        <v>0.41732236714146631</v>
      </c>
      <c r="R906">
        <v>-1.8625523936223525</v>
      </c>
      <c r="S906" s="2">
        <v>0.33910763618269235</v>
      </c>
      <c r="T906" s="2">
        <v>0.54735296367712916</v>
      </c>
      <c r="U906" s="2">
        <v>0.82440102924248837</v>
      </c>
      <c r="V906" s="2">
        <v>1.1716167815740874</v>
      </c>
      <c r="W906" s="2">
        <v>1.5814352708563653</v>
      </c>
      <c r="X906" s="2">
        <v>2.0343078627484599</v>
      </c>
      <c r="Y906" s="2">
        <v>2.4966927799818412</v>
      </c>
      <c r="Z906" s="2">
        <v>2.921498361649931</v>
      </c>
      <c r="AA906" s="2">
        <v>3.2524646853950285</v>
      </c>
      <c r="AB906" s="2">
        <v>3.4333383343064616</v>
      </c>
      <c r="AC906" s="2">
        <v>3.4210954533874958</v>
      </c>
      <c r="AD906" s="2">
        <v>3.2000996015891729</v>
      </c>
      <c r="AE906" s="2">
        <v>2.7919144204996984</v>
      </c>
      <c r="AF906" s="2">
        <v>2.2910842003943617</v>
      </c>
      <c r="AG906" s="2">
        <v>0.41054325668675123</v>
      </c>
      <c r="AH906" s="2">
        <v>0</v>
      </c>
      <c r="AI906" s="2">
        <v>0</v>
      </c>
      <c r="AJ906" s="2">
        <v>0</v>
      </c>
      <c r="AK906" s="2">
        <v>0</v>
      </c>
      <c r="AL906" s="2">
        <v>0</v>
      </c>
      <c r="AM906" s="2">
        <v>0</v>
      </c>
      <c r="AN906" s="2">
        <v>0</v>
      </c>
      <c r="AO906" s="2">
        <v>0</v>
      </c>
      <c r="AP906" s="2">
        <v>0</v>
      </c>
      <c r="AQ906" s="2">
        <v>0</v>
      </c>
      <c r="AR906" s="2">
        <v>30.716952638171968</v>
      </c>
    </row>
    <row r="907" spans="1:44" x14ac:dyDescent="0.25">
      <c r="A907" t="s">
        <v>435</v>
      </c>
      <c r="B907" t="s">
        <v>448</v>
      </c>
      <c r="C907" t="s">
        <v>44</v>
      </c>
      <c r="D907" t="s">
        <v>449</v>
      </c>
      <c r="E907" t="s">
        <v>134</v>
      </c>
      <c r="F907" t="s">
        <v>449</v>
      </c>
      <c r="G907" t="s">
        <v>33</v>
      </c>
      <c r="H907" t="s">
        <v>450</v>
      </c>
      <c r="I907" t="s">
        <v>135</v>
      </c>
      <c r="J907" t="s">
        <v>39</v>
      </c>
      <c r="K907" t="s">
        <v>31</v>
      </c>
      <c r="L907">
        <v>0.11418742367164304</v>
      </c>
      <c r="M907">
        <v>1</v>
      </c>
      <c r="N907">
        <v>3.2114265275821117</v>
      </c>
      <c r="O907">
        <v>5.3471683850504297</v>
      </c>
      <c r="P907">
        <v>-1.5023279778075442</v>
      </c>
      <c r="Q907">
        <v>0.9018789424539676</v>
      </c>
      <c r="R907">
        <v>-1.862552393622352</v>
      </c>
      <c r="S907" s="2">
        <v>0.11559373776044946</v>
      </c>
      <c r="T907" s="2">
        <v>0.22928312488794028</v>
      </c>
      <c r="U907" s="2">
        <v>0.40396439329650763</v>
      </c>
      <c r="V907" s="2">
        <v>0.65203812683166618</v>
      </c>
      <c r="W907" s="2">
        <v>0.98207361343977806</v>
      </c>
      <c r="X907" s="2">
        <v>1.3956968580017466</v>
      </c>
      <c r="Y907" s="2">
        <v>1.8838960600256622</v>
      </c>
      <c r="Z907" s="2">
        <v>2.4233837692488973</v>
      </c>
      <c r="AA907" s="2">
        <v>2.9742031039659969</v>
      </c>
      <c r="AB907" s="2">
        <v>3.4802557868229171</v>
      </c>
      <c r="AC907" s="2">
        <v>3.8745217835379968</v>
      </c>
      <c r="AD907" s="2">
        <v>4.0899888094898049</v>
      </c>
      <c r="AE907" s="2">
        <v>4.0754043901641168</v>
      </c>
      <c r="AF907" s="2">
        <v>3.8121415034957122</v>
      </c>
      <c r="AG907" s="2">
        <v>3.325887991520537</v>
      </c>
      <c r="AH907" s="2">
        <v>2.7292704152049994</v>
      </c>
      <c r="AI907" s="2">
        <v>0.98851625008516752</v>
      </c>
      <c r="AJ907" s="2">
        <v>0</v>
      </c>
      <c r="AK907" s="2">
        <v>0</v>
      </c>
      <c r="AL907" s="2">
        <v>0</v>
      </c>
      <c r="AM907" s="2">
        <v>0</v>
      </c>
      <c r="AN907" s="2">
        <v>0</v>
      </c>
      <c r="AO907" s="2">
        <v>0</v>
      </c>
      <c r="AP907" s="2">
        <v>0</v>
      </c>
      <c r="AQ907" s="2">
        <v>0</v>
      </c>
      <c r="AR907" s="2">
        <v>37.436119717779896</v>
      </c>
    </row>
    <row r="908" spans="1:44" x14ac:dyDescent="0.25">
      <c r="A908" t="s">
        <v>435</v>
      </c>
      <c r="B908" t="s">
        <v>448</v>
      </c>
      <c r="C908" t="s">
        <v>44</v>
      </c>
      <c r="D908" t="s">
        <v>449</v>
      </c>
      <c r="E908" t="s">
        <v>134</v>
      </c>
      <c r="F908" t="s">
        <v>449</v>
      </c>
      <c r="G908" t="s">
        <v>33</v>
      </c>
      <c r="H908" t="s">
        <v>450</v>
      </c>
      <c r="I908" t="s">
        <v>135</v>
      </c>
      <c r="J908" t="s">
        <v>39</v>
      </c>
      <c r="K908" t="s">
        <v>33</v>
      </c>
      <c r="L908">
        <v>0.11418742367164304</v>
      </c>
      <c r="M908">
        <v>1</v>
      </c>
      <c r="N908">
        <v>3.2114265275821117</v>
      </c>
      <c r="O908">
        <v>5.3471683850504297</v>
      </c>
      <c r="P908">
        <v>-1.5023279778075442</v>
      </c>
      <c r="Q908">
        <v>0.9018789424539676</v>
      </c>
      <c r="R908">
        <v>-1.862552393622352</v>
      </c>
      <c r="S908" s="2">
        <v>7.1215016103630235E-2</v>
      </c>
      <c r="T908" s="2">
        <v>0.14115833336123315</v>
      </c>
      <c r="U908" s="2">
        <v>0.24852762915250654</v>
      </c>
      <c r="V908" s="2">
        <v>0.40086832502629094</v>
      </c>
      <c r="W908" s="2">
        <v>0.60335088343924625</v>
      </c>
      <c r="X908" s="2">
        <v>0.85686848772313706</v>
      </c>
      <c r="Y908" s="2">
        <v>1.1557853056587619</v>
      </c>
      <c r="Z908" s="2">
        <v>1.4857289500289148</v>
      </c>
      <c r="AA908" s="2">
        <v>1.8221543983663584</v>
      </c>
      <c r="AB908" s="2">
        <v>2.1307027951017945</v>
      </c>
      <c r="AC908" s="2">
        <v>2.3704291459867082</v>
      </c>
      <c r="AD908" s="2">
        <v>2.5005074418618594</v>
      </c>
      <c r="AE908" s="2">
        <v>2.4898541094353543</v>
      </c>
      <c r="AF908" s="2">
        <v>2.3273910768090902</v>
      </c>
      <c r="AG908" s="2">
        <v>2.0291078509352976</v>
      </c>
      <c r="AH908" s="2">
        <v>1.6639537081687086</v>
      </c>
      <c r="AI908" s="2">
        <v>0.38327865556276303</v>
      </c>
      <c r="AJ908" s="2">
        <v>0</v>
      </c>
      <c r="AK908" s="2">
        <v>0</v>
      </c>
      <c r="AL908" s="2">
        <v>0</v>
      </c>
      <c r="AM908" s="2">
        <v>0</v>
      </c>
      <c r="AN908" s="2">
        <v>0</v>
      </c>
      <c r="AO908" s="2">
        <v>0</v>
      </c>
      <c r="AP908" s="2">
        <v>0</v>
      </c>
      <c r="AQ908" s="2">
        <v>0</v>
      </c>
      <c r="AR908" s="2">
        <v>22.680882112721658</v>
      </c>
    </row>
    <row r="909" spans="1:44" x14ac:dyDescent="0.25">
      <c r="A909" t="s">
        <v>435</v>
      </c>
      <c r="B909" t="s">
        <v>448</v>
      </c>
      <c r="C909" t="s">
        <v>44</v>
      </c>
      <c r="D909" t="s">
        <v>449</v>
      </c>
      <c r="E909" t="s">
        <v>134</v>
      </c>
      <c r="F909" t="s">
        <v>449</v>
      </c>
      <c r="G909" t="s">
        <v>33</v>
      </c>
      <c r="H909" t="s">
        <v>450</v>
      </c>
      <c r="I909" t="s">
        <v>256</v>
      </c>
      <c r="J909" t="s">
        <v>40</v>
      </c>
      <c r="K909" t="s">
        <v>33</v>
      </c>
      <c r="L909">
        <v>0.11418742367164304</v>
      </c>
      <c r="M909">
        <v>1</v>
      </c>
      <c r="N909">
        <v>1.5893275046597133</v>
      </c>
      <c r="O909">
        <v>1.4737622038640086</v>
      </c>
      <c r="P909">
        <v>-3.9391026458677245E-2</v>
      </c>
      <c r="Q909">
        <v>1.3498045353129324</v>
      </c>
      <c r="R909">
        <v>-0.25661544227348476</v>
      </c>
      <c r="S909" s="2">
        <v>1.8602789595525315</v>
      </c>
      <c r="T909" s="2">
        <v>3.6899107276331078</v>
      </c>
      <c r="U909" s="2">
        <v>6.5011001098972914</v>
      </c>
      <c r="V909" s="2">
        <v>10.493412806537117</v>
      </c>
      <c r="W909" s="2">
        <v>15.8047565137117</v>
      </c>
      <c r="X909" s="2">
        <v>22.461298935023997</v>
      </c>
      <c r="Y909" s="2">
        <v>30.318010909140671</v>
      </c>
      <c r="Z909" s="2">
        <v>39.000121669197434</v>
      </c>
      <c r="AA909" s="2">
        <v>47.864595115089742</v>
      </c>
      <c r="AB909" s="2">
        <v>56.008627625698118</v>
      </c>
      <c r="AC909" s="2">
        <v>62.353649011510754</v>
      </c>
      <c r="AD909" s="2">
        <v>65.821213800238027</v>
      </c>
      <c r="AE909" s="2">
        <v>65.586503088961479</v>
      </c>
      <c r="AF909" s="2">
        <v>61.349747548490846</v>
      </c>
      <c r="AG909" s="2">
        <v>53.52434805141322</v>
      </c>
      <c r="AH909" s="2">
        <v>43.922832038330675</v>
      </c>
      <c r="AI909" s="2">
        <v>15.908439478097804</v>
      </c>
      <c r="AJ909" s="2">
        <v>0</v>
      </c>
      <c r="AK909" s="2">
        <v>0</v>
      </c>
      <c r="AL909" s="2">
        <v>0</v>
      </c>
      <c r="AM909" s="2">
        <v>0</v>
      </c>
      <c r="AN909" s="2">
        <v>0</v>
      </c>
      <c r="AO909" s="2">
        <v>0</v>
      </c>
      <c r="AP909" s="2">
        <v>0</v>
      </c>
      <c r="AQ909" s="2">
        <v>0</v>
      </c>
      <c r="AR909" s="2">
        <v>602.46884638852453</v>
      </c>
    </row>
    <row r="910" spans="1:44" x14ac:dyDescent="0.25">
      <c r="A910" t="s">
        <v>435</v>
      </c>
      <c r="B910" t="s">
        <v>448</v>
      </c>
      <c r="C910" t="s">
        <v>44</v>
      </c>
      <c r="D910" t="s">
        <v>449</v>
      </c>
      <c r="E910" t="s">
        <v>134</v>
      </c>
      <c r="F910" t="s">
        <v>449</v>
      </c>
      <c r="G910" t="s">
        <v>33</v>
      </c>
      <c r="H910" t="s">
        <v>451</v>
      </c>
      <c r="I910" t="s">
        <v>135</v>
      </c>
      <c r="J910" t="s">
        <v>39</v>
      </c>
      <c r="K910" t="s">
        <v>31</v>
      </c>
      <c r="L910">
        <v>0.11418742367164304</v>
      </c>
      <c r="M910">
        <v>1</v>
      </c>
      <c r="N910">
        <v>3.2114265275821117</v>
      </c>
      <c r="O910">
        <v>5.3471683850504297</v>
      </c>
      <c r="P910">
        <v>-1.5023279778075442</v>
      </c>
      <c r="Q910">
        <v>0.9018789424539676</v>
      </c>
      <c r="R910">
        <v>-1.862552393622352</v>
      </c>
      <c r="S910" s="2">
        <v>3.0237335061647705E-2</v>
      </c>
      <c r="T910" s="2">
        <v>5.9976524728231152E-2</v>
      </c>
      <c r="U910" s="2">
        <v>0.10567014225627924</v>
      </c>
      <c r="V910" s="2">
        <v>0.17056196724805661</v>
      </c>
      <c r="W910" s="2">
        <v>0.25689357814798447</v>
      </c>
      <c r="X910" s="2">
        <v>0.36509030988638275</v>
      </c>
      <c r="Y910" s="2">
        <v>0.49279483034248101</v>
      </c>
      <c r="Z910" s="2">
        <v>0.63391554277440587</v>
      </c>
      <c r="AA910" s="2">
        <v>0.77800041367623973</v>
      </c>
      <c r="AB910" s="2">
        <v>0.91037509786632009</v>
      </c>
      <c r="AC910" s="2">
        <v>1.0135083062654977</v>
      </c>
      <c r="AD910" s="2">
        <v>1.0698707769725462</v>
      </c>
      <c r="AE910" s="2">
        <v>1.0660557435427571</v>
      </c>
      <c r="AF910" s="2">
        <v>0.99719069715083408</v>
      </c>
      <c r="AG910" s="2">
        <v>0.86999513577045828</v>
      </c>
      <c r="AH910" s="2">
        <v>0.71393023201151518</v>
      </c>
      <c r="AI910" s="2">
        <v>0.25857886116332168</v>
      </c>
      <c r="AJ910" s="2">
        <v>0</v>
      </c>
      <c r="AK910" s="2">
        <v>0</v>
      </c>
      <c r="AL910" s="2">
        <v>0</v>
      </c>
      <c r="AM910" s="2">
        <v>0</v>
      </c>
      <c r="AN910" s="2">
        <v>0</v>
      </c>
      <c r="AO910" s="2">
        <v>0</v>
      </c>
      <c r="AP910" s="2">
        <v>0</v>
      </c>
      <c r="AQ910" s="2">
        <v>0</v>
      </c>
      <c r="AR910" s="2">
        <v>9.7926454948649617</v>
      </c>
    </row>
    <row r="911" spans="1:44" x14ac:dyDescent="0.25">
      <c r="A911" t="s">
        <v>435</v>
      </c>
      <c r="B911" t="s">
        <v>448</v>
      </c>
      <c r="C911" t="s">
        <v>44</v>
      </c>
      <c r="D911" t="s">
        <v>449</v>
      </c>
      <c r="E911" t="s">
        <v>134</v>
      </c>
      <c r="F911" t="s">
        <v>449</v>
      </c>
      <c r="G911" t="s">
        <v>33</v>
      </c>
      <c r="H911" t="s">
        <v>451</v>
      </c>
      <c r="I911" t="s">
        <v>135</v>
      </c>
      <c r="J911" t="s">
        <v>39</v>
      </c>
      <c r="K911" t="s">
        <v>33</v>
      </c>
      <c r="L911">
        <v>0.11418742367164304</v>
      </c>
      <c r="M911">
        <v>1</v>
      </c>
      <c r="N911">
        <v>3.2114265275821117</v>
      </c>
      <c r="O911">
        <v>5.3471683850504297</v>
      </c>
      <c r="P911">
        <v>-1.5023279778075442</v>
      </c>
      <c r="Q911">
        <v>0.9018789424539676</v>
      </c>
      <c r="R911">
        <v>-1.862552393622352</v>
      </c>
      <c r="S911" s="2">
        <v>0.13621352896273475</v>
      </c>
      <c r="T911" s="2">
        <v>0.27018300625689839</v>
      </c>
      <c r="U911" s="2">
        <v>0.47602419172774968</v>
      </c>
      <c r="V911" s="2">
        <v>0.76834970470503383</v>
      </c>
      <c r="W911" s="2">
        <v>1.1572574360822074</v>
      </c>
      <c r="X911" s="2">
        <v>1.6446634400264732</v>
      </c>
      <c r="Y911" s="2">
        <v>2.2199483770208839</v>
      </c>
      <c r="Z911" s="2">
        <v>2.8556707451097694</v>
      </c>
      <c r="AA911" s="2">
        <v>3.5047460917190141</v>
      </c>
      <c r="AB911" s="2">
        <v>4.1010692412987124</v>
      </c>
      <c r="AC911" s="2">
        <v>4.5656650213388481</v>
      </c>
      <c r="AD911" s="2">
        <v>4.819567391386121</v>
      </c>
      <c r="AE911" s="2">
        <v>4.802381380597704</v>
      </c>
      <c r="AF911" s="2">
        <v>4.4921572496648157</v>
      </c>
      <c r="AG911" s="2">
        <v>3.9191650779442098</v>
      </c>
      <c r="AH911" s="2">
        <v>3.2161219279809528</v>
      </c>
      <c r="AI911" s="2">
        <v>1.1648493202992438</v>
      </c>
      <c r="AJ911" s="2">
        <v>0</v>
      </c>
      <c r="AK911" s="2">
        <v>0</v>
      </c>
      <c r="AL911" s="2">
        <v>0</v>
      </c>
      <c r="AM911" s="2">
        <v>0</v>
      </c>
      <c r="AN911" s="2">
        <v>0</v>
      </c>
      <c r="AO911" s="2">
        <v>0</v>
      </c>
      <c r="AP911" s="2">
        <v>0</v>
      </c>
      <c r="AQ911" s="2">
        <v>0</v>
      </c>
      <c r="AR911" s="2">
        <v>44.114033132121371</v>
      </c>
    </row>
    <row r="912" spans="1:44" x14ac:dyDescent="0.25">
      <c r="A912" t="s">
        <v>435</v>
      </c>
      <c r="B912" t="s">
        <v>448</v>
      </c>
      <c r="C912" t="s">
        <v>44</v>
      </c>
      <c r="D912" t="s">
        <v>449</v>
      </c>
      <c r="E912" t="s">
        <v>134</v>
      </c>
      <c r="F912" t="s">
        <v>449</v>
      </c>
      <c r="G912" t="s">
        <v>33</v>
      </c>
      <c r="H912" t="s">
        <v>452</v>
      </c>
      <c r="I912" t="s">
        <v>135</v>
      </c>
      <c r="J912" t="s">
        <v>39</v>
      </c>
      <c r="K912" t="s">
        <v>31</v>
      </c>
      <c r="L912">
        <v>0.11418742367164304</v>
      </c>
      <c r="M912">
        <v>1</v>
      </c>
      <c r="N912">
        <v>3.2114265275821117</v>
      </c>
      <c r="O912">
        <v>5.3471683850504297</v>
      </c>
      <c r="P912">
        <v>-1.5023279778075442</v>
      </c>
      <c r="Q912">
        <v>0.9018789424539676</v>
      </c>
      <c r="R912">
        <v>-1.862552393622352</v>
      </c>
      <c r="S912" s="2">
        <v>0.68485496465827356</v>
      </c>
      <c r="T912" s="2">
        <v>1.358427276720481</v>
      </c>
      <c r="U912" s="2">
        <v>2.3933564711577229</v>
      </c>
      <c r="V912" s="2">
        <v>3.8631119380580814</v>
      </c>
      <c r="W912" s="2">
        <v>5.8184638965299156</v>
      </c>
      <c r="X912" s="2">
        <v>8.2690458919262912</v>
      </c>
      <c r="Y912" s="2">
        <v>11.161465963515001</v>
      </c>
      <c r="Z912" s="2">
        <v>14.357753610163504</v>
      </c>
      <c r="AA912" s="2">
        <v>17.621177419440507</v>
      </c>
      <c r="AB912" s="2">
        <v>20.619373506424218</v>
      </c>
      <c r="AC912" s="2">
        <v>22.955270160322808</v>
      </c>
      <c r="AD912" s="2">
        <v>24.231841584538302</v>
      </c>
      <c r="AE912" s="2">
        <v>24.145433685846115</v>
      </c>
      <c r="AF912" s="2">
        <v>22.585687470884512</v>
      </c>
      <c r="AG912" s="2">
        <v>19.704794974365019</v>
      </c>
      <c r="AH912" s="2">
        <v>16.170031612107145</v>
      </c>
      <c r="AI912" s="2">
        <v>5.8566344045312038</v>
      </c>
      <c r="AJ912" s="2">
        <v>0</v>
      </c>
      <c r="AK912" s="2">
        <v>0</v>
      </c>
      <c r="AL912" s="2">
        <v>0</v>
      </c>
      <c r="AM912" s="2">
        <v>0</v>
      </c>
      <c r="AN912" s="2">
        <v>0</v>
      </c>
      <c r="AO912" s="2">
        <v>0</v>
      </c>
      <c r="AP912" s="2">
        <v>0</v>
      </c>
      <c r="AQ912" s="2">
        <v>0</v>
      </c>
      <c r="AR912" s="2">
        <v>221.7967248311891</v>
      </c>
    </row>
    <row r="913" spans="1:44" x14ac:dyDescent="0.25">
      <c r="A913" t="s">
        <v>435</v>
      </c>
      <c r="B913" t="s">
        <v>448</v>
      </c>
      <c r="C913" t="s">
        <v>44</v>
      </c>
      <c r="D913" t="s">
        <v>449</v>
      </c>
      <c r="E913" t="s">
        <v>134</v>
      </c>
      <c r="F913" t="s">
        <v>449</v>
      </c>
      <c r="G913" t="s">
        <v>33</v>
      </c>
      <c r="H913" t="s">
        <v>452</v>
      </c>
      <c r="I913" t="s">
        <v>135</v>
      </c>
      <c r="J913" t="s">
        <v>39</v>
      </c>
      <c r="K913" t="s">
        <v>33</v>
      </c>
      <c r="L913">
        <v>0.11418742367164304</v>
      </c>
      <c r="M913">
        <v>1</v>
      </c>
      <c r="N913">
        <v>3.2114265275821117</v>
      </c>
      <c r="O913">
        <v>5.3471683850504297</v>
      </c>
      <c r="P913">
        <v>-1.5023279778075442</v>
      </c>
      <c r="Q913">
        <v>0.9018789424539676</v>
      </c>
      <c r="R913">
        <v>-1.862552393622352</v>
      </c>
      <c r="S913" s="2">
        <v>1.3542779729672956</v>
      </c>
      <c r="T913" s="2">
        <v>2.6862448747209684</v>
      </c>
      <c r="U913" s="2">
        <v>4.7327830235777864</v>
      </c>
      <c r="V913" s="2">
        <v>7.6391757011348655</v>
      </c>
      <c r="W913" s="2">
        <v>11.505819331408032</v>
      </c>
      <c r="X913" s="2">
        <v>16.351763930746003</v>
      </c>
      <c r="Y913" s="2">
        <v>22.071428668046455</v>
      </c>
      <c r="Z913" s="2">
        <v>28.391981454406775</v>
      </c>
      <c r="AA913" s="2">
        <v>34.845293775163825</v>
      </c>
      <c r="AB913" s="2">
        <v>40.774127073853293</v>
      </c>
      <c r="AC913" s="2">
        <v>45.393285214995437</v>
      </c>
      <c r="AD913" s="2">
        <v>47.917662856905601</v>
      </c>
      <c r="AE913" s="2">
        <v>47.746794103770988</v>
      </c>
      <c r="AF913" s="2">
        <v>44.662447707310804</v>
      </c>
      <c r="AG913" s="2">
        <v>38.965578367289481</v>
      </c>
      <c r="AH913" s="2">
        <v>31.975701082036409</v>
      </c>
      <c r="AI913" s="2">
        <v>11.581300244697321</v>
      </c>
      <c r="AJ913" s="2">
        <v>0</v>
      </c>
      <c r="AK913" s="2">
        <v>0</v>
      </c>
      <c r="AL913" s="2">
        <v>0</v>
      </c>
      <c r="AM913" s="2">
        <v>0</v>
      </c>
      <c r="AN913" s="2">
        <v>0</v>
      </c>
      <c r="AO913" s="2">
        <v>0</v>
      </c>
      <c r="AP913" s="2">
        <v>0</v>
      </c>
      <c r="AQ913" s="2">
        <v>0</v>
      </c>
      <c r="AR913" s="2">
        <v>438.59566538303142</v>
      </c>
    </row>
    <row r="914" spans="1:44" x14ac:dyDescent="0.25">
      <c r="A914" t="s">
        <v>435</v>
      </c>
      <c r="B914" t="s">
        <v>448</v>
      </c>
      <c r="C914" t="s">
        <v>44</v>
      </c>
      <c r="D914" t="s">
        <v>449</v>
      </c>
      <c r="E914" t="s">
        <v>134</v>
      </c>
      <c r="F914" t="s">
        <v>449</v>
      </c>
      <c r="G914" t="s">
        <v>33</v>
      </c>
      <c r="H914" t="s">
        <v>452</v>
      </c>
      <c r="I914" t="s">
        <v>135</v>
      </c>
      <c r="J914" t="s">
        <v>40</v>
      </c>
      <c r="K914" t="s">
        <v>33</v>
      </c>
      <c r="L914">
        <v>0.11418742367164304</v>
      </c>
      <c r="M914">
        <v>1</v>
      </c>
      <c r="N914">
        <v>3.2114265275821117</v>
      </c>
      <c r="O914">
        <v>4.1746294160814514</v>
      </c>
      <c r="P914">
        <v>-1.5023279778075442</v>
      </c>
      <c r="Q914">
        <v>1.3498045353129324</v>
      </c>
      <c r="R914">
        <v>-1.7195523936223516</v>
      </c>
      <c r="S914" s="2">
        <v>9.9163778936695118E-2</v>
      </c>
      <c r="T914" s="2">
        <v>0.19669388282452199</v>
      </c>
      <c r="U914" s="2">
        <v>0.3465467643079983</v>
      </c>
      <c r="V914" s="2">
        <v>0.55936044564479093</v>
      </c>
      <c r="W914" s="2">
        <v>0.84248621585817685</v>
      </c>
      <c r="X914" s="2">
        <v>1.1973189670217566</v>
      </c>
      <c r="Y914" s="2">
        <v>1.6161277942516226</v>
      </c>
      <c r="Z914" s="2">
        <v>2.0789352176722811</v>
      </c>
      <c r="AA914" s="2">
        <v>2.5514636417910541</v>
      </c>
      <c r="AB914" s="2">
        <v>2.9855883387287028</v>
      </c>
      <c r="AC914" s="2">
        <v>3.323815191653317</v>
      </c>
      <c r="AD914" s="2">
        <v>3.5086567318923838</v>
      </c>
      <c r="AE914" s="2">
        <v>3.4961452744211345</v>
      </c>
      <c r="AF914" s="2">
        <v>3.2703013558697434</v>
      </c>
      <c r="AG914" s="2">
        <v>2.8531616673113187</v>
      </c>
      <c r="AH914" s="2">
        <v>2.3413445516635254</v>
      </c>
      <c r="AI914" s="2">
        <v>0.84801312595253575</v>
      </c>
      <c r="AJ914" s="2">
        <v>0</v>
      </c>
      <c r="AK914" s="2">
        <v>0</v>
      </c>
      <c r="AL914" s="2">
        <v>0</v>
      </c>
      <c r="AM914" s="2">
        <v>0</v>
      </c>
      <c r="AN914" s="2">
        <v>0</v>
      </c>
      <c r="AO914" s="2">
        <v>0</v>
      </c>
      <c r="AP914" s="2">
        <v>0</v>
      </c>
      <c r="AQ914" s="2">
        <v>0</v>
      </c>
      <c r="AR914" s="2">
        <v>32.115122945801559</v>
      </c>
    </row>
    <row r="915" spans="1:44" x14ac:dyDescent="0.25">
      <c r="A915" t="s">
        <v>435</v>
      </c>
      <c r="B915" t="s">
        <v>448</v>
      </c>
      <c r="C915" t="s">
        <v>44</v>
      </c>
      <c r="D915" t="s">
        <v>449</v>
      </c>
      <c r="E915" t="s">
        <v>134</v>
      </c>
      <c r="F915" t="s">
        <v>449</v>
      </c>
      <c r="G915" t="s">
        <v>33</v>
      </c>
      <c r="H915" t="s">
        <v>452</v>
      </c>
      <c r="I915" t="s">
        <v>256</v>
      </c>
      <c r="J915" t="s">
        <v>40</v>
      </c>
      <c r="K915" t="s">
        <v>33</v>
      </c>
      <c r="L915">
        <v>0.11418742367164304</v>
      </c>
      <c r="M915">
        <v>1</v>
      </c>
      <c r="N915">
        <v>1.5893275046597133</v>
      </c>
      <c r="O915">
        <v>1.4737622038640086</v>
      </c>
      <c r="P915">
        <v>-3.9391026458677245E-2</v>
      </c>
      <c r="Q915">
        <v>1.3498045353129324</v>
      </c>
      <c r="R915">
        <v>-0.25661544227348476</v>
      </c>
      <c r="S915" s="2">
        <v>0.59796873960068431</v>
      </c>
      <c r="T915" s="2">
        <v>1.1860862349228256</v>
      </c>
      <c r="U915" s="2">
        <v>2.0897159637112894</v>
      </c>
      <c r="V915" s="2">
        <v>3.3730063966019337</v>
      </c>
      <c r="W915" s="2">
        <v>5.0802866331795515</v>
      </c>
      <c r="X915" s="2">
        <v>7.2199680295267141</v>
      </c>
      <c r="Y915" s="2">
        <v>9.7454323597249193</v>
      </c>
      <c r="Z915" s="2">
        <v>12.536213173325837</v>
      </c>
      <c r="AA915" s="2">
        <v>15.385612714424218</v>
      </c>
      <c r="AB915" s="2">
        <v>18.003433461484043</v>
      </c>
      <c r="AC915" s="2">
        <v>20.042979423841434</v>
      </c>
      <c r="AD915" s="2">
        <v>21.157594699981374</v>
      </c>
      <c r="AE915" s="2">
        <v>21.082149204308738</v>
      </c>
      <c r="AF915" s="2">
        <v>19.720284975547671</v>
      </c>
      <c r="AG915" s="2">
        <v>17.204885739260607</v>
      </c>
      <c r="AH915" s="2">
        <v>14.118570969576927</v>
      </c>
      <c r="AI915" s="2">
        <v>5.1136145226413294</v>
      </c>
      <c r="AJ915" s="2">
        <v>0</v>
      </c>
      <c r="AK915" s="2">
        <v>0</v>
      </c>
      <c r="AL915" s="2">
        <v>0</v>
      </c>
      <c r="AM915" s="2">
        <v>0</v>
      </c>
      <c r="AN915" s="2">
        <v>0</v>
      </c>
      <c r="AO915" s="2">
        <v>0</v>
      </c>
      <c r="AP915" s="2">
        <v>0</v>
      </c>
      <c r="AQ915" s="2">
        <v>0</v>
      </c>
      <c r="AR915" s="2">
        <v>193.6578032416601</v>
      </c>
    </row>
    <row r="916" spans="1:44" x14ac:dyDescent="0.25">
      <c r="A916" t="s">
        <v>435</v>
      </c>
      <c r="B916" t="s">
        <v>448</v>
      </c>
      <c r="C916" t="s">
        <v>44</v>
      </c>
      <c r="D916" t="s">
        <v>449</v>
      </c>
      <c r="E916" t="s">
        <v>134</v>
      </c>
      <c r="F916" t="s">
        <v>449</v>
      </c>
      <c r="G916" t="s">
        <v>33</v>
      </c>
      <c r="H916" t="s">
        <v>453</v>
      </c>
      <c r="I916" t="s">
        <v>135</v>
      </c>
      <c r="J916" t="s">
        <v>39</v>
      </c>
      <c r="K916" t="s">
        <v>31</v>
      </c>
      <c r="L916">
        <v>0.11418742367164304</v>
      </c>
      <c r="M916">
        <v>1</v>
      </c>
      <c r="N916">
        <v>3.2114265275821117</v>
      </c>
      <c r="O916">
        <v>5.3471683850504297</v>
      </c>
      <c r="P916">
        <v>-1.5023279778075442</v>
      </c>
      <c r="Q916">
        <v>0.9018789424539676</v>
      </c>
      <c r="R916">
        <v>-1.862552393622352</v>
      </c>
      <c r="S916" s="2">
        <v>0.20944911086127027</v>
      </c>
      <c r="T916" s="2">
        <v>0.41544764944614371</v>
      </c>
      <c r="U916" s="2">
        <v>0.73195991958411621</v>
      </c>
      <c r="V916" s="2">
        <v>1.181455055943937</v>
      </c>
      <c r="W916" s="2">
        <v>1.7794601084839645</v>
      </c>
      <c r="X916" s="2">
        <v>2.5289213032122801</v>
      </c>
      <c r="Y916" s="2">
        <v>3.41350978324737</v>
      </c>
      <c r="Z916" s="2">
        <v>4.3910300469450076</v>
      </c>
      <c r="AA916" s="2">
        <v>5.3890825551247925</v>
      </c>
      <c r="AB916" s="2">
        <v>6.3060205011318269</v>
      </c>
      <c r="AC916" s="2">
        <v>7.0204074917656776</v>
      </c>
      <c r="AD916" s="2">
        <v>7.4108211757582483</v>
      </c>
      <c r="AE916" s="2">
        <v>7.3843950585707976</v>
      </c>
      <c r="AF916" s="2">
        <v>6.9073780626350976</v>
      </c>
      <c r="AG916" s="2">
        <v>6.026315059486695</v>
      </c>
      <c r="AH916" s="2">
        <v>4.9452788086955124</v>
      </c>
      <c r="AI916" s="2">
        <v>1.791133790321086</v>
      </c>
      <c r="AJ916" s="2">
        <v>0</v>
      </c>
      <c r="AK916" s="2">
        <v>0</v>
      </c>
      <c r="AL916" s="2">
        <v>0</v>
      </c>
      <c r="AM916" s="2">
        <v>0</v>
      </c>
      <c r="AN916" s="2">
        <v>0</v>
      </c>
      <c r="AO916" s="2">
        <v>0</v>
      </c>
      <c r="AP916" s="2">
        <v>0</v>
      </c>
      <c r="AQ916" s="2">
        <v>0</v>
      </c>
      <c r="AR916" s="2">
        <v>67.832065481213832</v>
      </c>
    </row>
    <row r="917" spans="1:44" x14ac:dyDescent="0.25">
      <c r="A917" t="s">
        <v>435</v>
      </c>
      <c r="B917" t="s">
        <v>448</v>
      </c>
      <c r="C917" t="s">
        <v>44</v>
      </c>
      <c r="D917" t="s">
        <v>449</v>
      </c>
      <c r="E917" t="s">
        <v>134</v>
      </c>
      <c r="F917" t="s">
        <v>449</v>
      </c>
      <c r="G917" t="s">
        <v>33</v>
      </c>
      <c r="H917" t="s">
        <v>453</v>
      </c>
      <c r="I917" t="s">
        <v>135</v>
      </c>
      <c r="J917" t="s">
        <v>39</v>
      </c>
      <c r="K917" t="s">
        <v>33</v>
      </c>
      <c r="L917">
        <v>0.11418742367164304</v>
      </c>
      <c r="M917">
        <v>1</v>
      </c>
      <c r="N917">
        <v>3.2114265275821117</v>
      </c>
      <c r="O917">
        <v>5.3471683850504297</v>
      </c>
      <c r="P917">
        <v>-1.5023279778075442</v>
      </c>
      <c r="Q917">
        <v>0.9018789424539676</v>
      </c>
      <c r="R917">
        <v>-1.862552393622352</v>
      </c>
      <c r="S917" s="2">
        <v>0.19057437882571324</v>
      </c>
      <c r="T917" s="2">
        <v>0.37800913740924219</v>
      </c>
      <c r="U917" s="2">
        <v>0.66599856369147237</v>
      </c>
      <c r="V917" s="2">
        <v>1.074986962089072</v>
      </c>
      <c r="W917" s="2">
        <v>1.6191021457431034</v>
      </c>
      <c r="X917" s="2">
        <v>2.3010248383341869</v>
      </c>
      <c r="Y917" s="2">
        <v>3.105897675491891</v>
      </c>
      <c r="Z917" s="2">
        <v>3.9953276486136908</v>
      </c>
      <c r="AA917" s="2">
        <v>4.9034395809092146</v>
      </c>
      <c r="AB917" s="2">
        <v>5.7377466770981291</v>
      </c>
      <c r="AC917" s="2">
        <v>6.38775591524377</v>
      </c>
      <c r="AD917" s="2">
        <v>6.7429870499379838</v>
      </c>
      <c r="AE917" s="2">
        <v>6.7189423507408117</v>
      </c>
      <c r="AF917" s="2">
        <v>6.2849122547621912</v>
      </c>
      <c r="AG917" s="2">
        <v>5.4832471923473918</v>
      </c>
      <c r="AH917" s="2">
        <v>4.4996296867134626</v>
      </c>
      <c r="AI917" s="2">
        <v>1.6297238411781958</v>
      </c>
      <c r="AJ917" s="2">
        <v>0</v>
      </c>
      <c r="AK917" s="2">
        <v>0</v>
      </c>
      <c r="AL917" s="2">
        <v>0</v>
      </c>
      <c r="AM917" s="2">
        <v>0</v>
      </c>
      <c r="AN917" s="2">
        <v>0</v>
      </c>
      <c r="AO917" s="2">
        <v>0</v>
      </c>
      <c r="AP917" s="2">
        <v>0</v>
      </c>
      <c r="AQ917" s="2">
        <v>0</v>
      </c>
      <c r="AR917" s="2">
        <v>61.719305899129523</v>
      </c>
    </row>
    <row r="918" spans="1:44" x14ac:dyDescent="0.25">
      <c r="A918" t="s">
        <v>435</v>
      </c>
      <c r="B918" t="s">
        <v>448</v>
      </c>
      <c r="C918" t="s">
        <v>44</v>
      </c>
      <c r="D918" t="s">
        <v>449</v>
      </c>
      <c r="E918" t="s">
        <v>134</v>
      </c>
      <c r="F918" t="s">
        <v>449</v>
      </c>
      <c r="G918" t="s">
        <v>33</v>
      </c>
      <c r="H918" t="s">
        <v>453</v>
      </c>
      <c r="I918" t="s">
        <v>135</v>
      </c>
      <c r="J918" t="s">
        <v>40</v>
      </c>
      <c r="K918" t="s">
        <v>33</v>
      </c>
      <c r="L918">
        <v>0.11418742367164304</v>
      </c>
      <c r="M918">
        <v>1</v>
      </c>
      <c r="N918">
        <v>3.2114265275821117</v>
      </c>
      <c r="O918">
        <v>4.1746294160814514</v>
      </c>
      <c r="P918">
        <v>-1.5023279778075442</v>
      </c>
      <c r="Q918">
        <v>1.3498045353129324</v>
      </c>
      <c r="R918">
        <v>-1.7195523936223516</v>
      </c>
      <c r="S918" s="2">
        <v>3.8809741035599918</v>
      </c>
      <c r="T918" s="2">
        <v>7.698011045524547</v>
      </c>
      <c r="U918" s="2">
        <v>13.562805213488705</v>
      </c>
      <c r="V918" s="2">
        <v>21.891697022650398</v>
      </c>
      <c r="W918" s="2">
        <v>32.972393966945859</v>
      </c>
      <c r="X918" s="2">
        <v>46.859487955567658</v>
      </c>
      <c r="Y918" s="2">
        <v>63.250414463714002</v>
      </c>
      <c r="Z918" s="2">
        <v>81.363314602156038</v>
      </c>
      <c r="AA918" s="2">
        <v>99.856665671115337</v>
      </c>
      <c r="AB918" s="2">
        <v>116.84700957084122</v>
      </c>
      <c r="AC918" s="2">
        <v>130.08419830451177</v>
      </c>
      <c r="AD918" s="2">
        <v>137.31834406440581</v>
      </c>
      <c r="AE918" s="2">
        <v>136.82868299093354</v>
      </c>
      <c r="AF918" s="2">
        <v>127.9898266187494</v>
      </c>
      <c r="AG918" s="2">
        <v>111.66422521245558</v>
      </c>
      <c r="AH918" s="2">
        <v>91.633232113090941</v>
      </c>
      <c r="AI918" s="2">
        <v>33.188700719057465</v>
      </c>
      <c r="AJ918" s="2">
        <v>0</v>
      </c>
      <c r="AK918" s="2">
        <v>0</v>
      </c>
      <c r="AL918" s="2">
        <v>0</v>
      </c>
      <c r="AM918" s="2">
        <v>0</v>
      </c>
      <c r="AN918" s="2">
        <v>0</v>
      </c>
      <c r="AO918" s="2">
        <v>0</v>
      </c>
      <c r="AP918" s="2">
        <v>0</v>
      </c>
      <c r="AQ918" s="2">
        <v>0</v>
      </c>
      <c r="AR918" s="2">
        <v>1256.8899836387682</v>
      </c>
    </row>
    <row r="919" spans="1:44" x14ac:dyDescent="0.25">
      <c r="A919" t="s">
        <v>435</v>
      </c>
      <c r="B919" t="s">
        <v>448</v>
      </c>
      <c r="C919" t="s">
        <v>44</v>
      </c>
      <c r="D919" t="s">
        <v>449</v>
      </c>
      <c r="E919" t="s">
        <v>134</v>
      </c>
      <c r="F919" t="s">
        <v>449</v>
      </c>
      <c r="G919" t="s">
        <v>33</v>
      </c>
      <c r="H919" t="s">
        <v>453</v>
      </c>
      <c r="I919" t="s">
        <v>256</v>
      </c>
      <c r="J919" t="s">
        <v>40</v>
      </c>
      <c r="K919" t="s">
        <v>33</v>
      </c>
      <c r="L919">
        <v>0.11418742367164304</v>
      </c>
      <c r="M919">
        <v>1</v>
      </c>
      <c r="N919">
        <v>1.5893275046597133</v>
      </c>
      <c r="O919">
        <v>1.4737622038640086</v>
      </c>
      <c r="P919">
        <v>-3.9391026458677245E-2</v>
      </c>
      <c r="Q919">
        <v>1.3498045353129324</v>
      </c>
      <c r="R919">
        <v>-0.25661544227348476</v>
      </c>
      <c r="S919" s="2">
        <v>1.9979147613648178</v>
      </c>
      <c r="T919" s="2">
        <v>3.9629148483353593</v>
      </c>
      <c r="U919" s="2">
        <v>6.9820947057308578</v>
      </c>
      <c r="V919" s="2">
        <v>11.269785230661318</v>
      </c>
      <c r="W919" s="2">
        <v>16.974097447254213</v>
      </c>
      <c r="X919" s="2">
        <v>24.123135119749271</v>
      </c>
      <c r="Y919" s="2">
        <v>32.56113886551821</v>
      </c>
      <c r="Z919" s="2">
        <v>41.885609885442094</v>
      </c>
      <c r="AA919" s="2">
        <v>51.405935994777202</v>
      </c>
      <c r="AB919" s="2">
        <v>60.152518160009706</v>
      </c>
      <c r="AC919" s="2">
        <v>66.966986400267473</v>
      </c>
      <c r="AD919" s="2">
        <v>70.691104679309618</v>
      </c>
      <c r="AE919" s="2">
        <v>70.439028509602977</v>
      </c>
      <c r="AF919" s="2">
        <v>65.888809634560417</v>
      </c>
      <c r="AG919" s="2">
        <v>57.484435071000924</v>
      </c>
      <c r="AH919" s="2">
        <v>47.172535086585398</v>
      </c>
      <c r="AI919" s="2">
        <v>17.085451566476685</v>
      </c>
      <c r="AJ919" s="2">
        <v>0</v>
      </c>
      <c r="AK919" s="2">
        <v>0</v>
      </c>
      <c r="AL919" s="2">
        <v>0</v>
      </c>
      <c r="AM919" s="2">
        <v>0</v>
      </c>
      <c r="AN919" s="2">
        <v>0</v>
      </c>
      <c r="AO919" s="2">
        <v>0</v>
      </c>
      <c r="AP919" s="2">
        <v>0</v>
      </c>
      <c r="AQ919" s="2">
        <v>0</v>
      </c>
      <c r="AR919" s="2">
        <v>647.04349596664667</v>
      </c>
    </row>
    <row r="920" spans="1:44" x14ac:dyDescent="0.25">
      <c r="A920" t="s">
        <v>435</v>
      </c>
      <c r="B920" t="s">
        <v>448</v>
      </c>
      <c r="C920" t="s">
        <v>44</v>
      </c>
      <c r="D920" t="s">
        <v>449</v>
      </c>
      <c r="E920" t="s">
        <v>134</v>
      </c>
      <c r="F920" t="s">
        <v>449</v>
      </c>
      <c r="G920" t="s">
        <v>33</v>
      </c>
      <c r="H920" t="s">
        <v>454</v>
      </c>
      <c r="I920" t="s">
        <v>135</v>
      </c>
      <c r="J920" t="s">
        <v>39</v>
      </c>
      <c r="K920" t="s">
        <v>31</v>
      </c>
      <c r="L920">
        <v>0.11418742367164304</v>
      </c>
      <c r="M920">
        <v>1</v>
      </c>
      <c r="N920">
        <v>3.2114265275821117</v>
      </c>
      <c r="O920">
        <v>5.3471683850504297</v>
      </c>
      <c r="P920">
        <v>-1.5023279778075442</v>
      </c>
      <c r="Q920">
        <v>0.9018789424539676</v>
      </c>
      <c r="R920">
        <v>-1.862552393622352</v>
      </c>
      <c r="S920" s="2">
        <v>1.1533128483304027E-2</v>
      </c>
      <c r="T920" s="2">
        <v>2.2876254281750771E-2</v>
      </c>
      <c r="U920" s="2">
        <v>4.0304720141705247E-2</v>
      </c>
      <c r="V920" s="2">
        <v>6.5055768923630061E-2</v>
      </c>
      <c r="W920" s="2">
        <v>9.7984383785009371E-2</v>
      </c>
      <c r="X920" s="2">
        <v>0.13925279603325882</v>
      </c>
      <c r="Y920" s="2">
        <v>0.18796187172779691</v>
      </c>
      <c r="Z920" s="2">
        <v>0.24178815320447206</v>
      </c>
      <c r="AA920" s="2">
        <v>0.29674502441098416</v>
      </c>
      <c r="AB920" s="2">
        <v>0.34723539459699349</v>
      </c>
      <c r="AC920" s="2">
        <v>0.38657247707923093</v>
      </c>
      <c r="AD920" s="2">
        <v>0.40807025838090849</v>
      </c>
      <c r="AE920" s="2">
        <v>0.40661512780725989</v>
      </c>
      <c r="AF920" s="2">
        <v>0.38034861237435325</v>
      </c>
      <c r="AG920" s="2">
        <v>0.33183366392023111</v>
      </c>
      <c r="AH920" s="2">
        <v>0.27230736693947172</v>
      </c>
      <c r="AI920" s="2">
        <v>9.8627184663690734E-2</v>
      </c>
      <c r="AJ920" s="2">
        <v>0</v>
      </c>
      <c r="AK920" s="2">
        <v>0</v>
      </c>
      <c r="AL920" s="2">
        <v>0</v>
      </c>
      <c r="AM920" s="2">
        <v>0</v>
      </c>
      <c r="AN920" s="2">
        <v>0</v>
      </c>
      <c r="AO920" s="2">
        <v>0</v>
      </c>
      <c r="AP920" s="2">
        <v>0</v>
      </c>
      <c r="AQ920" s="2">
        <v>0</v>
      </c>
      <c r="AR920" s="2">
        <v>3.7351121867540513</v>
      </c>
    </row>
    <row r="921" spans="1:44" x14ac:dyDescent="0.25">
      <c r="A921" t="s">
        <v>435</v>
      </c>
      <c r="B921" t="s">
        <v>448</v>
      </c>
      <c r="C921" t="s">
        <v>44</v>
      </c>
      <c r="D921" t="s">
        <v>449</v>
      </c>
      <c r="E921" t="s">
        <v>134</v>
      </c>
      <c r="F921" t="s">
        <v>449</v>
      </c>
      <c r="G921" t="s">
        <v>33</v>
      </c>
      <c r="H921" t="s">
        <v>454</v>
      </c>
      <c r="I921" t="s">
        <v>135</v>
      </c>
      <c r="J921" t="s">
        <v>39</v>
      </c>
      <c r="K921" t="s">
        <v>33</v>
      </c>
      <c r="L921">
        <v>0.11418742367164304</v>
      </c>
      <c r="M921">
        <v>1</v>
      </c>
      <c r="N921">
        <v>3.2114265275821117</v>
      </c>
      <c r="O921">
        <v>5.3471683850504297</v>
      </c>
      <c r="P921">
        <v>-1.5023279778075442</v>
      </c>
      <c r="Q921">
        <v>0.9018789424539676</v>
      </c>
      <c r="R921">
        <v>-1.862552393622352</v>
      </c>
      <c r="S921" s="2">
        <v>9.2553404340436643E-2</v>
      </c>
      <c r="T921" s="2">
        <v>0.18358203633980194</v>
      </c>
      <c r="U921" s="2">
        <v>0.32344554779768775</v>
      </c>
      <c r="V921" s="2">
        <v>0.52207281784671522</v>
      </c>
      <c r="W921" s="2">
        <v>0.78632508990348626</v>
      </c>
      <c r="X921" s="2">
        <v>1.1175042708888903</v>
      </c>
      <c r="Y921" s="2">
        <v>1.5083948071672135</v>
      </c>
      <c r="Z921" s="2">
        <v>1.9403509412608204</v>
      </c>
      <c r="AA921" s="2">
        <v>2.381380062667473</v>
      </c>
      <c r="AB921" s="2">
        <v>2.7865654946939187</v>
      </c>
      <c r="AC921" s="2">
        <v>3.1022457462251682</v>
      </c>
      <c r="AD921" s="2">
        <v>3.2747655311314778</v>
      </c>
      <c r="AE921" s="2">
        <v>3.263088102188759</v>
      </c>
      <c r="AF921" s="2">
        <v>3.0522992059239282</v>
      </c>
      <c r="AG921" s="2">
        <v>2.6629665415622941</v>
      </c>
      <c r="AH921" s="2">
        <v>2.1852677591959329</v>
      </c>
      <c r="AI921" s="2">
        <v>0.79148356964478928</v>
      </c>
      <c r="AJ921" s="2">
        <v>0</v>
      </c>
      <c r="AK921" s="2">
        <v>0</v>
      </c>
      <c r="AL921" s="2">
        <v>0</v>
      </c>
      <c r="AM921" s="2">
        <v>0</v>
      </c>
      <c r="AN921" s="2">
        <v>0</v>
      </c>
      <c r="AO921" s="2">
        <v>0</v>
      </c>
      <c r="AP921" s="2">
        <v>0</v>
      </c>
      <c r="AQ921" s="2">
        <v>0</v>
      </c>
      <c r="AR921" s="2">
        <v>29.974290928778792</v>
      </c>
    </row>
    <row r="922" spans="1:44" x14ac:dyDescent="0.25">
      <c r="A922" t="s">
        <v>435</v>
      </c>
      <c r="B922" t="s">
        <v>448</v>
      </c>
      <c r="C922" t="s">
        <v>44</v>
      </c>
      <c r="D922" t="s">
        <v>449</v>
      </c>
      <c r="E922" t="s">
        <v>134</v>
      </c>
      <c r="F922" t="s">
        <v>449</v>
      </c>
      <c r="G922" t="s">
        <v>33</v>
      </c>
      <c r="H922" t="s">
        <v>455</v>
      </c>
      <c r="I922" t="s">
        <v>135</v>
      </c>
      <c r="J922" t="s">
        <v>39</v>
      </c>
      <c r="K922" t="s">
        <v>31</v>
      </c>
      <c r="L922">
        <v>0.11418742367164304</v>
      </c>
      <c r="M922">
        <v>1</v>
      </c>
      <c r="N922">
        <v>3.2114265275821117</v>
      </c>
      <c r="O922">
        <v>5.3471683850504297</v>
      </c>
      <c r="P922">
        <v>-1.5023279778075442</v>
      </c>
      <c r="Q922">
        <v>0.9018789424539676</v>
      </c>
      <c r="R922">
        <v>-1.862552393622352</v>
      </c>
      <c r="S922" s="2">
        <v>2.7173760189900045E-3</v>
      </c>
      <c r="T922" s="2">
        <v>5.3899845891371102E-3</v>
      </c>
      <c r="U922" s="2">
        <v>9.4963894769510889E-3</v>
      </c>
      <c r="V922" s="2">
        <v>1.5328103439231177E-2</v>
      </c>
      <c r="W922" s="2">
        <v>2.3086573180759268E-2</v>
      </c>
      <c r="X922" s="2">
        <v>3.2810022802215316E-2</v>
      </c>
      <c r="Y922" s="2">
        <v>4.4286603019900325E-2</v>
      </c>
      <c r="Z922" s="2">
        <v>5.6968872768985844E-2</v>
      </c>
      <c r="AA922" s="2">
        <v>6.9917526216442746E-2</v>
      </c>
      <c r="AB922" s="2">
        <v>8.1813805819328428E-2</v>
      </c>
      <c r="AC922" s="2">
        <v>9.1082205521023307E-2</v>
      </c>
      <c r="AD922" s="2">
        <v>9.6147401443815547E-2</v>
      </c>
      <c r="AE922" s="2">
        <v>9.5804551112176894E-2</v>
      </c>
      <c r="AF922" s="2">
        <v>8.9615770744114656E-2</v>
      </c>
      <c r="AG922" s="2">
        <v>7.8184929781697846E-2</v>
      </c>
      <c r="AH922" s="2">
        <v>6.415965189209849E-2</v>
      </c>
      <c r="AI922" s="2">
        <v>2.3238026595610823E-2</v>
      </c>
      <c r="AJ922" s="2">
        <v>0</v>
      </c>
      <c r="AK922" s="2">
        <v>0</v>
      </c>
      <c r="AL922" s="2">
        <v>0</v>
      </c>
      <c r="AM922" s="2">
        <v>0</v>
      </c>
      <c r="AN922" s="2">
        <v>0</v>
      </c>
      <c r="AO922" s="2">
        <v>0</v>
      </c>
      <c r="AP922" s="2">
        <v>0</v>
      </c>
      <c r="AQ922" s="2">
        <v>0</v>
      </c>
      <c r="AR922" s="2">
        <v>0.88004779442247882</v>
      </c>
    </row>
    <row r="923" spans="1:44" x14ac:dyDescent="0.25">
      <c r="A923" t="s">
        <v>435</v>
      </c>
      <c r="B923" t="s">
        <v>448</v>
      </c>
      <c r="C923" t="s">
        <v>44</v>
      </c>
      <c r="D923" t="s">
        <v>449</v>
      </c>
      <c r="E923" t="s">
        <v>134</v>
      </c>
      <c r="F923" t="s">
        <v>449</v>
      </c>
      <c r="G923" t="s">
        <v>33</v>
      </c>
      <c r="H923" t="s">
        <v>455</v>
      </c>
      <c r="I923" t="s">
        <v>135</v>
      </c>
      <c r="J923" t="s">
        <v>39</v>
      </c>
      <c r="K923" t="s">
        <v>33</v>
      </c>
      <c r="L923">
        <v>0.11418742367164304</v>
      </c>
      <c r="M923">
        <v>1</v>
      </c>
      <c r="N923">
        <v>3.2114265275821117</v>
      </c>
      <c r="O923">
        <v>5.3471683850504297</v>
      </c>
      <c r="P923">
        <v>-1.5023279778075442</v>
      </c>
      <c r="Q923">
        <v>0.9018789424539676</v>
      </c>
      <c r="R923">
        <v>-1.862552393622352</v>
      </c>
      <c r="S923" s="2">
        <v>6.9091399614635368E-2</v>
      </c>
      <c r="T923" s="2">
        <v>0.1370445520098513</v>
      </c>
      <c r="U923" s="2">
        <v>0.2414530913878134</v>
      </c>
      <c r="V923" s="2">
        <v>0.38972895640994609</v>
      </c>
      <c r="W923" s="2">
        <v>0.58699408628667582</v>
      </c>
      <c r="X923" s="2">
        <v>0.83422035851914078</v>
      </c>
      <c r="Y923" s="2">
        <v>1.1260213402339248</v>
      </c>
      <c r="Z923" s="2">
        <v>1.4484779164056494</v>
      </c>
      <c r="AA923" s="2">
        <v>1.7777075053758911</v>
      </c>
      <c r="AB923" s="2">
        <v>2.0801796705184628</v>
      </c>
      <c r="AC923" s="2">
        <v>2.3158359444764494</v>
      </c>
      <c r="AD923" s="2">
        <v>2.4446224919334085</v>
      </c>
      <c r="AE923" s="2">
        <v>2.4359052554870297</v>
      </c>
      <c r="AF923" s="2">
        <v>2.2785506992721976</v>
      </c>
      <c r="AG923" s="2">
        <v>1.9879126737113388</v>
      </c>
      <c r="AH923" s="2">
        <v>1.6313090706013103</v>
      </c>
      <c r="AI923" s="2">
        <v>0.59084490720191352</v>
      </c>
      <c r="AJ923" s="2">
        <v>0</v>
      </c>
      <c r="AK923" s="2">
        <v>0</v>
      </c>
      <c r="AL923" s="2">
        <v>0</v>
      </c>
      <c r="AM923" s="2">
        <v>0</v>
      </c>
      <c r="AN923" s="2">
        <v>0</v>
      </c>
      <c r="AO923" s="2">
        <v>0</v>
      </c>
      <c r="AP923" s="2">
        <v>0</v>
      </c>
      <c r="AQ923" s="2">
        <v>0</v>
      </c>
      <c r="AR923" s="2">
        <v>22.37589991944564</v>
      </c>
    </row>
    <row r="924" spans="1:44" x14ac:dyDescent="0.25">
      <c r="A924" t="s">
        <v>435</v>
      </c>
      <c r="B924" t="s">
        <v>448</v>
      </c>
      <c r="C924" t="s">
        <v>44</v>
      </c>
      <c r="D924" t="s">
        <v>449</v>
      </c>
      <c r="E924" t="s">
        <v>134</v>
      </c>
      <c r="F924" t="s">
        <v>449</v>
      </c>
      <c r="G924" t="s">
        <v>33</v>
      </c>
      <c r="H924" t="s">
        <v>456</v>
      </c>
      <c r="I924" t="s">
        <v>135</v>
      </c>
      <c r="J924" t="s">
        <v>39</v>
      </c>
      <c r="K924" t="s">
        <v>31</v>
      </c>
      <c r="L924">
        <v>0.11418742367164304</v>
      </c>
      <c r="M924">
        <v>1</v>
      </c>
      <c r="N924">
        <v>3.2114265275821117</v>
      </c>
      <c r="O924">
        <v>5.3471683850504297</v>
      </c>
      <c r="P924">
        <v>-1.5023279778075442</v>
      </c>
      <c r="Q924">
        <v>0.9018789424539676</v>
      </c>
      <c r="R924">
        <v>-1.862552393622352</v>
      </c>
      <c r="S924" s="2">
        <v>0.48981346234586198</v>
      </c>
      <c r="T924" s="2">
        <v>0.97155748602556513</v>
      </c>
      <c r="U924" s="2">
        <v>1.7117466912875314</v>
      </c>
      <c r="V924" s="2">
        <v>2.7629269428659646</v>
      </c>
      <c r="W924" s="2">
        <v>4.1614094863366837</v>
      </c>
      <c r="X924" s="2">
        <v>5.9140843063644031</v>
      </c>
      <c r="Y924" s="2">
        <v>7.9827650678895177</v>
      </c>
      <c r="Z924" s="2">
        <v>10.268774222600694</v>
      </c>
      <c r="AA924" s="2">
        <v>12.602799669757214</v>
      </c>
      <c r="AB924" s="2">
        <v>14.747132239340154</v>
      </c>
      <c r="AC924" s="2">
        <v>16.417783233743155</v>
      </c>
      <c r="AD924" s="2">
        <v>17.330796793539399</v>
      </c>
      <c r="AE924" s="2">
        <v>17.26899720936968</v>
      </c>
      <c r="AF924" s="2">
        <v>16.153454892592567</v>
      </c>
      <c r="AG924" s="2">
        <v>14.09301874014308</v>
      </c>
      <c r="AH924" s="2">
        <v>11.564929187773771</v>
      </c>
      <c r="AI924" s="2">
        <v>4.1887093230151455</v>
      </c>
      <c r="AJ924" s="2">
        <v>0</v>
      </c>
      <c r="AK924" s="2">
        <v>0</v>
      </c>
      <c r="AL924" s="2">
        <v>0</v>
      </c>
      <c r="AM924" s="2">
        <v>0</v>
      </c>
      <c r="AN924" s="2">
        <v>0</v>
      </c>
      <c r="AO924" s="2">
        <v>0</v>
      </c>
      <c r="AP924" s="2">
        <v>0</v>
      </c>
      <c r="AQ924" s="2">
        <v>0</v>
      </c>
      <c r="AR924" s="2">
        <v>158.63069895499038</v>
      </c>
    </row>
    <row r="925" spans="1:44" x14ac:dyDescent="0.25">
      <c r="A925" t="s">
        <v>435</v>
      </c>
      <c r="B925" t="s">
        <v>448</v>
      </c>
      <c r="C925" t="s">
        <v>44</v>
      </c>
      <c r="D925" t="s">
        <v>449</v>
      </c>
      <c r="E925" t="s">
        <v>134</v>
      </c>
      <c r="F925" t="s">
        <v>449</v>
      </c>
      <c r="G925" t="s">
        <v>33</v>
      </c>
      <c r="H925" t="s">
        <v>456</v>
      </c>
      <c r="I925" t="s">
        <v>135</v>
      </c>
      <c r="J925" t="s">
        <v>39</v>
      </c>
      <c r="K925" t="s">
        <v>33</v>
      </c>
      <c r="L925">
        <v>0.11418742367164304</v>
      </c>
      <c r="M925">
        <v>1</v>
      </c>
      <c r="N925">
        <v>3.2114265275821117</v>
      </c>
      <c r="O925">
        <v>5.3471683850504297</v>
      </c>
      <c r="P925">
        <v>-1.5023279778075442</v>
      </c>
      <c r="Q925">
        <v>0.9018789424539676</v>
      </c>
      <c r="R925">
        <v>-1.862552393622352</v>
      </c>
      <c r="S925" s="2">
        <v>0.45224463575368284</v>
      </c>
      <c r="T925" s="2">
        <v>0.89703876099498459</v>
      </c>
      <c r="U925" s="2">
        <v>1.5804552516714658</v>
      </c>
      <c r="V925" s="2">
        <v>2.5510096903138142</v>
      </c>
      <c r="W925" s="2">
        <v>3.8422282400261452</v>
      </c>
      <c r="X925" s="2">
        <v>5.4604724217640461</v>
      </c>
      <c r="Y925" s="2">
        <v>7.3704848028161125</v>
      </c>
      <c r="Z925" s="2">
        <v>9.4811564298281503</v>
      </c>
      <c r="AA925" s="2">
        <v>11.636161486516023</v>
      </c>
      <c r="AB925" s="2">
        <v>13.61602316124687</v>
      </c>
      <c r="AC925" s="2">
        <v>15.158534767230091</v>
      </c>
      <c r="AD925" s="2">
        <v>16.001519937157227</v>
      </c>
      <c r="AE925" s="2">
        <v>15.944460398003869</v>
      </c>
      <c r="AF925" s="2">
        <v>14.914480482175314</v>
      </c>
      <c r="AG925" s="2">
        <v>13.012080346426755</v>
      </c>
      <c r="AH925" s="2">
        <v>10.677895954498711</v>
      </c>
      <c r="AI925" s="2">
        <v>3.867434171761202</v>
      </c>
      <c r="AJ925" s="2">
        <v>0</v>
      </c>
      <c r="AK925" s="2">
        <v>0</v>
      </c>
      <c r="AL925" s="2">
        <v>0</v>
      </c>
      <c r="AM925" s="2">
        <v>0</v>
      </c>
      <c r="AN925" s="2">
        <v>0</v>
      </c>
      <c r="AO925" s="2">
        <v>0</v>
      </c>
      <c r="AP925" s="2">
        <v>0</v>
      </c>
      <c r="AQ925" s="2">
        <v>0</v>
      </c>
      <c r="AR925" s="2">
        <v>146.46368093818444</v>
      </c>
    </row>
    <row r="926" spans="1:44" x14ac:dyDescent="0.25">
      <c r="A926" t="s">
        <v>435</v>
      </c>
      <c r="B926" t="s">
        <v>448</v>
      </c>
      <c r="C926" t="s">
        <v>44</v>
      </c>
      <c r="D926" t="s">
        <v>449</v>
      </c>
      <c r="E926" t="s">
        <v>134</v>
      </c>
      <c r="F926" t="s">
        <v>449</v>
      </c>
      <c r="G926" t="s">
        <v>33</v>
      </c>
      <c r="H926" t="s">
        <v>456</v>
      </c>
      <c r="I926" t="s">
        <v>135</v>
      </c>
      <c r="J926" t="s">
        <v>40</v>
      </c>
      <c r="K926" t="s">
        <v>33</v>
      </c>
      <c r="L926">
        <v>0.11418742367164304</v>
      </c>
      <c r="M926">
        <v>1</v>
      </c>
      <c r="N926">
        <v>3.2114265275821117</v>
      </c>
      <c r="O926">
        <v>4.1746294160814514</v>
      </c>
      <c r="P926">
        <v>-1.5023279778075442</v>
      </c>
      <c r="Q926">
        <v>1.3498045353129324</v>
      </c>
      <c r="R926">
        <v>-1.7195523936223516</v>
      </c>
      <c r="S926" s="2">
        <v>1.669557751450687</v>
      </c>
      <c r="T926" s="2">
        <v>3.3116103506125456</v>
      </c>
      <c r="U926" s="2">
        <v>5.8345884232581628</v>
      </c>
      <c r="V926" s="2">
        <v>9.4175976137148947</v>
      </c>
      <c r="W926" s="2">
        <v>14.184406920134803</v>
      </c>
      <c r="X926" s="2">
        <v>20.15850125705914</v>
      </c>
      <c r="Y926" s="2">
        <v>27.209720274478503</v>
      </c>
      <c r="Z926" s="2">
        <v>35.001715794275633</v>
      </c>
      <c r="AA926" s="2">
        <v>42.95737764709699</v>
      </c>
      <c r="AB926" s="2">
        <v>50.266460264159541</v>
      </c>
      <c r="AC926" s="2">
        <v>55.960971607959294</v>
      </c>
      <c r="AD926" s="2">
        <v>59.073031571842122</v>
      </c>
      <c r="AE926" s="2">
        <v>58.86238408515846</v>
      </c>
      <c r="AF926" s="2">
        <v>55.059993041991547</v>
      </c>
      <c r="AG926" s="2">
        <v>48.036876255417297</v>
      </c>
      <c r="AH926" s="2">
        <v>39.419735582506739</v>
      </c>
      <c r="AI926" s="2">
        <v>14.277460005531124</v>
      </c>
      <c r="AJ926" s="2">
        <v>0</v>
      </c>
      <c r="AK926" s="2">
        <v>0</v>
      </c>
      <c r="AL926" s="2">
        <v>0</v>
      </c>
      <c r="AM926" s="2">
        <v>0</v>
      </c>
      <c r="AN926" s="2">
        <v>0</v>
      </c>
      <c r="AO926" s="2">
        <v>0</v>
      </c>
      <c r="AP926" s="2">
        <v>0</v>
      </c>
      <c r="AQ926" s="2">
        <v>0</v>
      </c>
      <c r="AR926" s="2">
        <v>540.70198844664753</v>
      </c>
    </row>
    <row r="927" spans="1:44" x14ac:dyDescent="0.25">
      <c r="A927" t="s">
        <v>435</v>
      </c>
      <c r="B927" t="s">
        <v>448</v>
      </c>
      <c r="C927" t="s">
        <v>44</v>
      </c>
      <c r="D927" t="s">
        <v>449</v>
      </c>
      <c r="E927" t="s">
        <v>134</v>
      </c>
      <c r="F927" t="s">
        <v>449</v>
      </c>
      <c r="G927" t="s">
        <v>33</v>
      </c>
      <c r="H927" t="s">
        <v>456</v>
      </c>
      <c r="I927" t="s">
        <v>256</v>
      </c>
      <c r="J927" t="s">
        <v>40</v>
      </c>
      <c r="K927" t="s">
        <v>33</v>
      </c>
      <c r="L927">
        <v>0.11418742367164304</v>
      </c>
      <c r="M927">
        <v>1</v>
      </c>
      <c r="N927">
        <v>1.5893275046597133</v>
      </c>
      <c r="O927">
        <v>1.4737622038640086</v>
      </c>
      <c r="P927">
        <v>-3.9391026458677245E-2</v>
      </c>
      <c r="Q927">
        <v>1.3498045353129324</v>
      </c>
      <c r="R927">
        <v>-0.25661544227348476</v>
      </c>
      <c r="S927" s="2">
        <v>2.5071416262416362</v>
      </c>
      <c r="T927" s="2">
        <v>4.9729793130540916</v>
      </c>
      <c r="U927" s="2">
        <v>8.7616852398352947</v>
      </c>
      <c r="V927" s="2">
        <v>14.142218785796764</v>
      </c>
      <c r="W927" s="2">
        <v>21.300441390613539</v>
      </c>
      <c r="X927" s="2">
        <v>30.271619882751988</v>
      </c>
      <c r="Y927" s="2">
        <v>40.860295056736163</v>
      </c>
      <c r="Z927" s="2">
        <v>52.561379551835003</v>
      </c>
      <c r="AA927" s="2">
        <v>64.508238519834137</v>
      </c>
      <c r="AB927" s="2">
        <v>75.484142326069104</v>
      </c>
      <c r="AC927" s="2">
        <v>84.035476605305732</v>
      </c>
      <c r="AD927" s="2">
        <v>88.708795076638182</v>
      </c>
      <c r="AE927" s="2">
        <v>88.3924699409135</v>
      </c>
      <c r="AF927" s="2">
        <v>82.682495035709564</v>
      </c>
      <c r="AG927" s="2">
        <v>72.136020422131764</v>
      </c>
      <c r="AH927" s="2">
        <v>59.19583188330359</v>
      </c>
      <c r="AI927" s="2">
        <v>21.440177355808068</v>
      </c>
      <c r="AJ927" s="2">
        <v>0</v>
      </c>
      <c r="AK927" s="2">
        <v>0</v>
      </c>
      <c r="AL927" s="2">
        <v>0</v>
      </c>
      <c r="AM927" s="2">
        <v>0</v>
      </c>
      <c r="AN927" s="2">
        <v>0</v>
      </c>
      <c r="AO927" s="2">
        <v>0</v>
      </c>
      <c r="AP927" s="2">
        <v>0</v>
      </c>
      <c r="AQ927" s="2">
        <v>0</v>
      </c>
      <c r="AR927" s="2">
        <v>811.96140801257809</v>
      </c>
    </row>
    <row r="928" spans="1:44" x14ac:dyDescent="0.25">
      <c r="A928" t="s">
        <v>435</v>
      </c>
      <c r="B928" t="s">
        <v>448</v>
      </c>
      <c r="C928" t="s">
        <v>44</v>
      </c>
      <c r="D928" t="s">
        <v>449</v>
      </c>
      <c r="E928" t="s">
        <v>134</v>
      </c>
      <c r="F928" t="s">
        <v>449</v>
      </c>
      <c r="G928" t="s">
        <v>33</v>
      </c>
      <c r="H928" t="s">
        <v>457</v>
      </c>
      <c r="I928" t="s">
        <v>135</v>
      </c>
      <c r="J928" t="s">
        <v>39</v>
      </c>
      <c r="K928" t="s">
        <v>31</v>
      </c>
      <c r="L928">
        <v>0.11418742367164304</v>
      </c>
      <c r="M928">
        <v>1</v>
      </c>
      <c r="N928">
        <v>3.2114265275821117</v>
      </c>
      <c r="O928">
        <v>5.3471683850504297</v>
      </c>
      <c r="P928">
        <v>-1.5023279778075442</v>
      </c>
      <c r="Q928">
        <v>0.9018789424539676</v>
      </c>
      <c r="R928">
        <v>-1.862552393622352</v>
      </c>
      <c r="S928" s="2">
        <v>0.18108351102028078</v>
      </c>
      <c r="T928" s="2">
        <v>0.35918375923142476</v>
      </c>
      <c r="U928" s="2">
        <v>0.63283091353014431</v>
      </c>
      <c r="V928" s="2">
        <v>1.0214511236798518</v>
      </c>
      <c r="W928" s="2">
        <v>1.5384686181754064</v>
      </c>
      <c r="X928" s="2">
        <v>2.1864306169482219</v>
      </c>
      <c r="Y928" s="2">
        <v>2.9512196729349363</v>
      </c>
      <c r="Z928" s="2">
        <v>3.796354802494327</v>
      </c>
      <c r="AA928" s="2">
        <v>4.6592415038062311</v>
      </c>
      <c r="AB928" s="2">
        <v>5.4519989519897081</v>
      </c>
      <c r="AC928" s="2">
        <v>6.0696368305141695</v>
      </c>
      <c r="AD928" s="2">
        <v>6.4071769630887339</v>
      </c>
      <c r="AE928" s="2">
        <v>6.3843297231875491</v>
      </c>
      <c r="AF928" s="2">
        <v>5.9719149266520892</v>
      </c>
      <c r="AG928" s="2">
        <v>5.2101738937867772</v>
      </c>
      <c r="AH928" s="2">
        <v>4.2755419011824767</v>
      </c>
      <c r="AI928" s="2">
        <v>1.5485613384782466</v>
      </c>
      <c r="AJ928" s="2">
        <v>0</v>
      </c>
      <c r="AK928" s="2">
        <v>0</v>
      </c>
      <c r="AL928" s="2">
        <v>0</v>
      </c>
      <c r="AM928" s="2">
        <v>0</v>
      </c>
      <c r="AN928" s="2">
        <v>0</v>
      </c>
      <c r="AO928" s="2">
        <v>0</v>
      </c>
      <c r="AP928" s="2">
        <v>0</v>
      </c>
      <c r="AQ928" s="2">
        <v>0</v>
      </c>
      <c r="AR928" s="2">
        <v>58.645599050700582</v>
      </c>
    </row>
    <row r="929" spans="1:44" x14ac:dyDescent="0.25">
      <c r="A929" t="s">
        <v>435</v>
      </c>
      <c r="B929" t="s">
        <v>448</v>
      </c>
      <c r="C929" t="s">
        <v>44</v>
      </c>
      <c r="D929" t="s">
        <v>449</v>
      </c>
      <c r="E929" t="s">
        <v>134</v>
      </c>
      <c r="F929" t="s">
        <v>449</v>
      </c>
      <c r="G929" t="s">
        <v>33</v>
      </c>
      <c r="H929" t="s">
        <v>457</v>
      </c>
      <c r="I929" t="s">
        <v>135</v>
      </c>
      <c r="J929" t="s">
        <v>39</v>
      </c>
      <c r="K929" t="s">
        <v>33</v>
      </c>
      <c r="L929">
        <v>0.11418742367164304</v>
      </c>
      <c r="M929">
        <v>1</v>
      </c>
      <c r="N929">
        <v>3.2114265275821117</v>
      </c>
      <c r="O929">
        <v>5.3471683850504297</v>
      </c>
      <c r="P929">
        <v>-1.5023279778075442</v>
      </c>
      <c r="Q929">
        <v>0.9018789424539676</v>
      </c>
      <c r="R929">
        <v>-1.862552393622352</v>
      </c>
      <c r="S929" s="2">
        <v>5.2984052141854907E-2</v>
      </c>
      <c r="T929" s="2">
        <v>0.10509521778321308</v>
      </c>
      <c r="U929" s="2">
        <v>0.18516288937927425</v>
      </c>
      <c r="V929" s="2">
        <v>0.29887105287763172</v>
      </c>
      <c r="W929" s="2">
        <v>0.45014756464979228</v>
      </c>
      <c r="X929" s="2">
        <v>0.63973772741770096</v>
      </c>
      <c r="Y929" s="2">
        <v>0.86351085282049789</v>
      </c>
      <c r="Z929" s="2">
        <v>1.1107928031161989</v>
      </c>
      <c r="AA929" s="2">
        <v>1.3632687669255306</v>
      </c>
      <c r="AB929" s="2">
        <v>1.5952252920322965</v>
      </c>
      <c r="AC929" s="2">
        <v>1.7759427818586329</v>
      </c>
      <c r="AD929" s="2">
        <v>1.8747051919948947</v>
      </c>
      <c r="AE929" s="2">
        <v>1.8680202136476043</v>
      </c>
      <c r="AF929" s="2">
        <v>1.7473498833641368</v>
      </c>
      <c r="AG929" s="2">
        <v>1.5244685929775923</v>
      </c>
      <c r="AH929" s="2">
        <v>1.2510003464731063</v>
      </c>
      <c r="AI929" s="2">
        <v>0.45310063981254944</v>
      </c>
      <c r="AJ929" s="2">
        <v>0</v>
      </c>
      <c r="AK929" s="2">
        <v>0</v>
      </c>
      <c r="AL929" s="2">
        <v>0</v>
      </c>
      <c r="AM929" s="2">
        <v>0</v>
      </c>
      <c r="AN929" s="2">
        <v>0</v>
      </c>
      <c r="AO929" s="2">
        <v>0</v>
      </c>
      <c r="AP929" s="2">
        <v>0</v>
      </c>
      <c r="AQ929" s="2">
        <v>0</v>
      </c>
      <c r="AR929" s="2">
        <v>17.15938386927251</v>
      </c>
    </row>
    <row r="930" spans="1:44" x14ac:dyDescent="0.25">
      <c r="A930" t="s">
        <v>435</v>
      </c>
      <c r="B930" t="s">
        <v>448</v>
      </c>
      <c r="C930" t="s">
        <v>44</v>
      </c>
      <c r="D930" t="s">
        <v>449</v>
      </c>
      <c r="E930" t="s">
        <v>134</v>
      </c>
      <c r="F930" t="s">
        <v>449</v>
      </c>
      <c r="G930" t="s">
        <v>33</v>
      </c>
      <c r="H930" t="s">
        <v>457</v>
      </c>
      <c r="I930" t="s">
        <v>256</v>
      </c>
      <c r="J930" t="s">
        <v>39</v>
      </c>
      <c r="K930" t="s">
        <v>33</v>
      </c>
      <c r="L930">
        <v>0.11418742367164304</v>
      </c>
      <c r="M930">
        <v>1</v>
      </c>
      <c r="N930">
        <v>1.5893275046597133</v>
      </c>
      <c r="O930">
        <v>2.6463011728329868</v>
      </c>
      <c r="P930">
        <v>-3.9391026458677245E-2</v>
      </c>
      <c r="Q930">
        <v>1.3498045353129324</v>
      </c>
      <c r="R930">
        <v>-0.39961544227348478</v>
      </c>
      <c r="S930" s="2">
        <v>0.14570969856867816</v>
      </c>
      <c r="T930" s="2">
        <v>0.2890189006911516</v>
      </c>
      <c r="U930" s="2">
        <v>0.50921037004352854</v>
      </c>
      <c r="V930" s="2">
        <v>0.82191544937164229</v>
      </c>
      <c r="W930" s="2">
        <v>1.2379360072524932</v>
      </c>
      <c r="X930" s="2">
        <v>1.7593216761805226</v>
      </c>
      <c r="Y930" s="2">
        <v>2.3747127859981765</v>
      </c>
      <c r="Z930" s="2">
        <v>3.0547547416906959</v>
      </c>
      <c r="AA930" s="2">
        <v>3.7490805830589768</v>
      </c>
      <c r="AB930" s="2">
        <v>4.3869765911607388</v>
      </c>
      <c r="AC930" s="2">
        <v>4.8839618141516832</v>
      </c>
      <c r="AD930" s="2">
        <v>5.1555650688884596</v>
      </c>
      <c r="AE930" s="2">
        <v>5.1371809298778404</v>
      </c>
      <c r="AF930" s="2">
        <v>4.8053294247360254</v>
      </c>
      <c r="AG930" s="2">
        <v>4.1923909210543338</v>
      </c>
      <c r="AH930" s="2">
        <v>3.4403348937125431</v>
      </c>
      <c r="AI930" s="2">
        <v>1.2460571620985585</v>
      </c>
      <c r="AJ930" s="2">
        <v>0</v>
      </c>
      <c r="AK930" s="2">
        <v>0</v>
      </c>
      <c r="AL930" s="2">
        <v>0</v>
      </c>
      <c r="AM930" s="2">
        <v>0</v>
      </c>
      <c r="AN930" s="2">
        <v>0</v>
      </c>
      <c r="AO930" s="2">
        <v>0</v>
      </c>
      <c r="AP930" s="2">
        <v>0</v>
      </c>
      <c r="AQ930" s="2">
        <v>0</v>
      </c>
      <c r="AR930" s="2">
        <v>47.189457018536054</v>
      </c>
    </row>
    <row r="931" spans="1:44" x14ac:dyDescent="0.25">
      <c r="A931" t="s">
        <v>435</v>
      </c>
      <c r="B931" t="s">
        <v>448</v>
      </c>
      <c r="C931" t="s">
        <v>44</v>
      </c>
      <c r="D931" t="s">
        <v>449</v>
      </c>
      <c r="E931" t="s">
        <v>134</v>
      </c>
      <c r="F931" t="s">
        <v>449</v>
      </c>
      <c r="G931" t="s">
        <v>33</v>
      </c>
      <c r="H931" t="s">
        <v>457</v>
      </c>
      <c r="I931" t="s">
        <v>256</v>
      </c>
      <c r="J931" t="s">
        <v>40</v>
      </c>
      <c r="K931" t="s">
        <v>33</v>
      </c>
      <c r="L931">
        <v>0.11418742367164304</v>
      </c>
      <c r="M931">
        <v>1</v>
      </c>
      <c r="N931">
        <v>1.5893275046597133</v>
      </c>
      <c r="O931">
        <v>1.4737622038640086</v>
      </c>
      <c r="P931">
        <v>-3.9391026458677245E-2</v>
      </c>
      <c r="Q931">
        <v>1.3498045353129324</v>
      </c>
      <c r="R931">
        <v>-0.25661544227348476</v>
      </c>
      <c r="S931" s="2">
        <v>1.3332996382799975</v>
      </c>
      <c r="T931" s="2">
        <v>2.6446338132115921</v>
      </c>
      <c r="U931" s="2">
        <v>4.6594702264616696</v>
      </c>
      <c r="V931" s="2">
        <v>7.5208416605668473</v>
      </c>
      <c r="W931" s="2">
        <v>11.327589356761838</v>
      </c>
      <c r="X931" s="2">
        <v>16.098468238639839</v>
      </c>
      <c r="Y931" s="2">
        <v>21.729532966523234</v>
      </c>
      <c r="Z931" s="2">
        <v>27.952177735173951</v>
      </c>
      <c r="AA931" s="2">
        <v>34.305525537265844</v>
      </c>
      <c r="AB931" s="2">
        <v>40.142518717657744</v>
      </c>
      <c r="AC931" s="2">
        <v>44.690124158842622</v>
      </c>
      <c r="AD931" s="2">
        <v>47.175398130674573</v>
      </c>
      <c r="AE931" s="2">
        <v>47.007176206302148</v>
      </c>
      <c r="AF931" s="2">
        <v>43.970607631151971</v>
      </c>
      <c r="AG931" s="2">
        <v>38.361985190268292</v>
      </c>
      <c r="AH931" s="2">
        <v>31.480384040373082</v>
      </c>
      <c r="AI931" s="2">
        <v>11.401901038997377</v>
      </c>
      <c r="AJ931" s="2">
        <v>0</v>
      </c>
      <c r="AK931" s="2">
        <v>0</v>
      </c>
      <c r="AL931" s="2">
        <v>0</v>
      </c>
      <c r="AM931" s="2">
        <v>0</v>
      </c>
      <c r="AN931" s="2">
        <v>0</v>
      </c>
      <c r="AO931" s="2">
        <v>0</v>
      </c>
      <c r="AP931" s="2">
        <v>0</v>
      </c>
      <c r="AQ931" s="2">
        <v>0</v>
      </c>
      <c r="AR931" s="2">
        <v>431.80163428715264</v>
      </c>
    </row>
    <row r="932" spans="1:44" x14ac:dyDescent="0.25">
      <c r="A932" t="s">
        <v>435</v>
      </c>
      <c r="B932" t="s">
        <v>462</v>
      </c>
      <c r="C932" t="s">
        <v>46</v>
      </c>
      <c r="D932" t="s">
        <v>463</v>
      </c>
      <c r="E932" t="s">
        <v>134</v>
      </c>
      <c r="F932" t="s">
        <v>463</v>
      </c>
      <c r="G932" t="s">
        <v>33</v>
      </c>
      <c r="H932" t="s">
        <v>450</v>
      </c>
      <c r="I932" t="s">
        <v>135</v>
      </c>
      <c r="J932" t="s">
        <v>39</v>
      </c>
      <c r="K932" t="s">
        <v>31</v>
      </c>
      <c r="L932">
        <v>2.5000000000000026E-2</v>
      </c>
      <c r="M932">
        <v>1</v>
      </c>
      <c r="N932">
        <v>4.8021796953168767</v>
      </c>
      <c r="O932">
        <v>2.8779545327574696</v>
      </c>
      <c r="P932">
        <v>-0.74213157254111406</v>
      </c>
      <c r="Q932">
        <v>0.32461448738579723</v>
      </c>
      <c r="R932">
        <v>-0.52509153328775138</v>
      </c>
      <c r="S932" s="2">
        <v>2.9593644031456354E-2</v>
      </c>
      <c r="T932" s="2">
        <v>4.7767042196292346E-2</v>
      </c>
      <c r="U932" s="2">
        <v>7.1944798628553075E-2</v>
      </c>
      <c r="V932" s="2">
        <v>0.10224603127634829</v>
      </c>
      <c r="W932" s="2">
        <v>0.13801055320175559</v>
      </c>
      <c r="X932" s="2">
        <v>0.17753237119124285</v>
      </c>
      <c r="Y932" s="2">
        <v>0.21788432197641219</v>
      </c>
      <c r="Z932" s="2">
        <v>0.25495675510701965</v>
      </c>
      <c r="AA932" s="2">
        <v>0.28383991350937249</v>
      </c>
      <c r="AB932" s="2">
        <v>0.29962460783478084</v>
      </c>
      <c r="AC932" s="2">
        <v>0.29855618170343834</v>
      </c>
      <c r="AD932" s="2">
        <v>0.27927005578728631</v>
      </c>
      <c r="AE932" s="2">
        <v>0.24364807132224292</v>
      </c>
      <c r="AF932" s="2">
        <v>0.19994103062909757</v>
      </c>
      <c r="AG932" s="2">
        <v>3.5827771779686539E-2</v>
      </c>
      <c r="AH932" s="2">
        <v>0</v>
      </c>
      <c r="AI932" s="2">
        <v>0</v>
      </c>
      <c r="AJ932" s="2">
        <v>0</v>
      </c>
      <c r="AK932" s="2">
        <v>0</v>
      </c>
      <c r="AL932" s="2">
        <v>0</v>
      </c>
      <c r="AM932" s="2">
        <v>0</v>
      </c>
      <c r="AN932" s="2">
        <v>0</v>
      </c>
      <c r="AO932" s="2">
        <v>0</v>
      </c>
      <c r="AP932" s="2">
        <v>0</v>
      </c>
      <c r="AQ932" s="2">
        <v>0</v>
      </c>
      <c r="AR932" s="2">
        <v>2.6806431501749857</v>
      </c>
    </row>
    <row r="933" spans="1:44" x14ac:dyDescent="0.25">
      <c r="A933" t="s">
        <v>435</v>
      </c>
      <c r="B933" t="s">
        <v>462</v>
      </c>
      <c r="C933" t="s">
        <v>46</v>
      </c>
      <c r="D933" t="s">
        <v>463</v>
      </c>
      <c r="E933" t="s">
        <v>134</v>
      </c>
      <c r="F933" t="s">
        <v>463</v>
      </c>
      <c r="G933" t="s">
        <v>33</v>
      </c>
      <c r="H933" t="s">
        <v>450</v>
      </c>
      <c r="I933" t="s">
        <v>135</v>
      </c>
      <c r="J933" t="s">
        <v>39</v>
      </c>
      <c r="K933" t="s">
        <v>33</v>
      </c>
      <c r="L933">
        <v>2.5000000000000026E-2</v>
      </c>
      <c r="M933">
        <v>1</v>
      </c>
      <c r="N933">
        <v>4.8021796953168767</v>
      </c>
      <c r="O933">
        <v>2.8779545327574696</v>
      </c>
      <c r="P933">
        <v>-0.74213157254111406</v>
      </c>
      <c r="Q933">
        <v>0.32461448738579723</v>
      </c>
      <c r="R933">
        <v>-0.52509153328775138</v>
      </c>
      <c r="S933" s="2">
        <v>1.8232058908180342E-2</v>
      </c>
      <c r="T933" s="2">
        <v>2.9407816512095068E-2</v>
      </c>
      <c r="U933" s="2">
        <v>4.4261995685062235E-2</v>
      </c>
      <c r="V933" s="2">
        <v>6.2860120615181425E-2</v>
      </c>
      <c r="W933" s="2">
        <v>8.4788745017355546E-2</v>
      </c>
      <c r="X933" s="2">
        <v>0.10899350639962002</v>
      </c>
      <c r="Y933" s="2">
        <v>0.13367377479961892</v>
      </c>
      <c r="Z933" s="2">
        <v>0.15630897461417576</v>
      </c>
      <c r="AA933" s="2">
        <v>0.17389536919767223</v>
      </c>
      <c r="AB933" s="2">
        <v>0.18343795068512594</v>
      </c>
      <c r="AC933" s="2">
        <v>0.18265641913054259</v>
      </c>
      <c r="AD933" s="2">
        <v>0.17073808396859544</v>
      </c>
      <c r="AE933" s="2">
        <v>0.14885594006371849</v>
      </c>
      <c r="AF933" s="2">
        <v>0.12206812631363753</v>
      </c>
      <c r="AG933" s="2">
        <v>3.9037349242406092E-3</v>
      </c>
      <c r="AH933" s="2">
        <v>0</v>
      </c>
      <c r="AI933" s="2">
        <v>0</v>
      </c>
      <c r="AJ933" s="2">
        <v>0</v>
      </c>
      <c r="AK933" s="2">
        <v>0</v>
      </c>
      <c r="AL933" s="2">
        <v>0</v>
      </c>
      <c r="AM933" s="2">
        <v>0</v>
      </c>
      <c r="AN933" s="2">
        <v>0</v>
      </c>
      <c r="AO933" s="2">
        <v>0</v>
      </c>
      <c r="AP933" s="2">
        <v>0</v>
      </c>
      <c r="AQ933" s="2">
        <v>0</v>
      </c>
      <c r="AR933" s="2">
        <v>1.6240826168348224</v>
      </c>
    </row>
    <row r="934" spans="1:44" x14ac:dyDescent="0.25">
      <c r="A934" t="s">
        <v>435</v>
      </c>
      <c r="B934" t="s">
        <v>462</v>
      </c>
      <c r="C934" t="s">
        <v>46</v>
      </c>
      <c r="D934" t="s">
        <v>463</v>
      </c>
      <c r="E934" t="s">
        <v>134</v>
      </c>
      <c r="F934" t="s">
        <v>463</v>
      </c>
      <c r="G934" t="s">
        <v>33</v>
      </c>
      <c r="H934" t="s">
        <v>450</v>
      </c>
      <c r="I934" t="s">
        <v>256</v>
      </c>
      <c r="J934" t="s">
        <v>40</v>
      </c>
      <c r="K934" t="s">
        <v>33</v>
      </c>
      <c r="L934">
        <v>2.5000000000000026E-2</v>
      </c>
      <c r="M934">
        <v>1</v>
      </c>
      <c r="N934">
        <v>4.4156409057984005</v>
      </c>
      <c r="O934">
        <v>1.4737622038640088</v>
      </c>
      <c r="P934">
        <v>-0.61665548152684757</v>
      </c>
      <c r="Q934">
        <v>1.3498045353129324</v>
      </c>
      <c r="R934">
        <v>-0.25661544227348493</v>
      </c>
      <c r="S934" s="2">
        <v>0.47625792188062521</v>
      </c>
      <c r="T934" s="2">
        <v>0.76872696808169283</v>
      </c>
      <c r="U934" s="2">
        <v>1.1578256550134134</v>
      </c>
      <c r="V934" s="2">
        <v>1.6454709776347423</v>
      </c>
      <c r="W934" s="2">
        <v>2.2210383822822841</v>
      </c>
      <c r="X934" s="2">
        <v>2.8570728930917739</v>
      </c>
      <c r="Y934" s="2">
        <v>3.5064669387978871</v>
      </c>
      <c r="Z934" s="2">
        <v>4.1030828858936266</v>
      </c>
      <c r="AA934" s="2">
        <v>4.5679067846818873</v>
      </c>
      <c r="AB934" s="2">
        <v>4.8219338220061552</v>
      </c>
      <c r="AC934" s="2">
        <v>4.8047393728043186</v>
      </c>
      <c r="AD934" s="2">
        <v>4.4943629203406985</v>
      </c>
      <c r="AE934" s="2">
        <v>3.9210894067256667</v>
      </c>
      <c r="AF934" s="2">
        <v>3.2177010592162061</v>
      </c>
      <c r="AG934" s="2">
        <v>0.57658530038645173</v>
      </c>
      <c r="AH934" s="2">
        <v>0</v>
      </c>
      <c r="AI934" s="2">
        <v>0</v>
      </c>
      <c r="AJ934" s="2">
        <v>0</v>
      </c>
      <c r="AK934" s="2">
        <v>0</v>
      </c>
      <c r="AL934" s="2">
        <v>0</v>
      </c>
      <c r="AM934" s="2">
        <v>0</v>
      </c>
      <c r="AN934" s="2">
        <v>0</v>
      </c>
      <c r="AO934" s="2">
        <v>0</v>
      </c>
      <c r="AP934" s="2">
        <v>0</v>
      </c>
      <c r="AQ934" s="2">
        <v>0</v>
      </c>
      <c r="AR934" s="2">
        <v>43.140261288837429</v>
      </c>
    </row>
    <row r="935" spans="1:44" x14ac:dyDescent="0.25">
      <c r="A935" t="s">
        <v>435</v>
      </c>
      <c r="B935" t="s">
        <v>462</v>
      </c>
      <c r="C935" t="s">
        <v>46</v>
      </c>
      <c r="D935" t="s">
        <v>463</v>
      </c>
      <c r="E935" t="s">
        <v>134</v>
      </c>
      <c r="F935" t="s">
        <v>463</v>
      </c>
      <c r="G935" t="s">
        <v>33</v>
      </c>
      <c r="H935" t="s">
        <v>451</v>
      </c>
      <c r="I935" t="s">
        <v>135</v>
      </c>
      <c r="J935" t="s">
        <v>39</v>
      </c>
      <c r="K935" t="s">
        <v>31</v>
      </c>
      <c r="L935">
        <v>2.5000000000000026E-2</v>
      </c>
      <c r="M935">
        <v>1</v>
      </c>
      <c r="N935">
        <v>4.8021796953168767</v>
      </c>
      <c r="O935">
        <v>2.8779545327574696</v>
      </c>
      <c r="P935">
        <v>-0.74213157254111406</v>
      </c>
      <c r="Q935">
        <v>0.32461448738579723</v>
      </c>
      <c r="R935">
        <v>-0.52509153328775138</v>
      </c>
      <c r="S935" s="2">
        <v>7.7411886457783938E-3</v>
      </c>
      <c r="T935" s="2">
        <v>1.2495037255273714E-2</v>
      </c>
      <c r="U935" s="2">
        <v>1.8819522789223744E-2</v>
      </c>
      <c r="V935" s="2">
        <v>2.6745804455546075E-2</v>
      </c>
      <c r="W935" s="2">
        <v>3.6101188698066833E-2</v>
      </c>
      <c r="X935" s="2">
        <v>4.6439417013428623E-2</v>
      </c>
      <c r="Y935" s="2">
        <v>5.6994793800455176E-2</v>
      </c>
      <c r="Z935" s="2">
        <v>6.6692305134881863E-2</v>
      </c>
      <c r="AA935" s="2">
        <v>7.4247642951368722E-2</v>
      </c>
      <c r="AB935" s="2">
        <v>7.8376647691678847E-2</v>
      </c>
      <c r="AC935" s="2">
        <v>7.8097165779008354E-2</v>
      </c>
      <c r="AD935" s="2">
        <v>7.3052246714479685E-2</v>
      </c>
      <c r="AE935" s="2">
        <v>6.3734147821765633E-2</v>
      </c>
      <c r="AF935" s="2">
        <v>5.230113717952399E-2</v>
      </c>
      <c r="AG935" s="2">
        <v>9.3719293173103735E-3</v>
      </c>
      <c r="AH935" s="2">
        <v>0</v>
      </c>
      <c r="AI935" s="2">
        <v>0</v>
      </c>
      <c r="AJ935" s="2">
        <v>0</v>
      </c>
      <c r="AK935" s="2">
        <v>0</v>
      </c>
      <c r="AL935" s="2">
        <v>0</v>
      </c>
      <c r="AM935" s="2">
        <v>0</v>
      </c>
      <c r="AN935" s="2">
        <v>0</v>
      </c>
      <c r="AO935" s="2">
        <v>0</v>
      </c>
      <c r="AP935" s="2">
        <v>0</v>
      </c>
      <c r="AQ935" s="2">
        <v>0</v>
      </c>
      <c r="AR935" s="2">
        <v>0.70121017524779006</v>
      </c>
    </row>
    <row r="936" spans="1:44" x14ac:dyDescent="0.25">
      <c r="A936" t="s">
        <v>435</v>
      </c>
      <c r="B936" t="s">
        <v>462</v>
      </c>
      <c r="C936" t="s">
        <v>46</v>
      </c>
      <c r="D936" t="s">
        <v>463</v>
      </c>
      <c r="E936" t="s">
        <v>134</v>
      </c>
      <c r="F936" t="s">
        <v>463</v>
      </c>
      <c r="G936" t="s">
        <v>33</v>
      </c>
      <c r="H936" t="s">
        <v>451</v>
      </c>
      <c r="I936" t="s">
        <v>135</v>
      </c>
      <c r="J936" t="s">
        <v>39</v>
      </c>
      <c r="K936" t="s">
        <v>33</v>
      </c>
      <c r="L936">
        <v>2.5000000000000026E-2</v>
      </c>
      <c r="M936">
        <v>1</v>
      </c>
      <c r="N936">
        <v>4.8021796953168767</v>
      </c>
      <c r="O936">
        <v>2.8779545327574696</v>
      </c>
      <c r="P936">
        <v>-0.74213157254111406</v>
      </c>
      <c r="Q936">
        <v>0.32461448738579723</v>
      </c>
      <c r="R936">
        <v>-0.52509153328775138</v>
      </c>
      <c r="S936" s="2">
        <v>3.4872604403063723E-2</v>
      </c>
      <c r="T936" s="2">
        <v>5.6287801672722237E-2</v>
      </c>
      <c r="U936" s="2">
        <v>8.4778424000937255E-2</v>
      </c>
      <c r="V936" s="2">
        <v>0.12048483778115872</v>
      </c>
      <c r="W936" s="2">
        <v>0.16262909089996094</v>
      </c>
      <c r="X936" s="2">
        <v>0.20920087241400157</v>
      </c>
      <c r="Y936" s="2">
        <v>0.25675086710635364</v>
      </c>
      <c r="Z936" s="2">
        <v>0.30043633867073821</v>
      </c>
      <c r="AA936" s="2">
        <v>0.3344717199102249</v>
      </c>
      <c r="AB936" s="2">
        <v>0.35307211262455745</v>
      </c>
      <c r="AC936" s="2">
        <v>0.35181309897376811</v>
      </c>
      <c r="AD936" s="2">
        <v>0.32908668384129064</v>
      </c>
      <c r="AE936" s="2">
        <v>0.28711039423730939</v>
      </c>
      <c r="AF936" s="2">
        <v>0.23560682346716191</v>
      </c>
      <c r="AG936" s="2">
        <v>4.2218785580721223E-2</v>
      </c>
      <c r="AH936" s="2">
        <v>0</v>
      </c>
      <c r="AI936" s="2">
        <v>0</v>
      </c>
      <c r="AJ936" s="2">
        <v>0</v>
      </c>
      <c r="AK936" s="2">
        <v>0</v>
      </c>
      <c r="AL936" s="2">
        <v>0</v>
      </c>
      <c r="AM936" s="2">
        <v>0</v>
      </c>
      <c r="AN936" s="2">
        <v>0</v>
      </c>
      <c r="AO936" s="2">
        <v>0</v>
      </c>
      <c r="AP936" s="2">
        <v>0</v>
      </c>
      <c r="AQ936" s="2">
        <v>0</v>
      </c>
      <c r="AR936" s="2">
        <v>3.1588204555839701</v>
      </c>
    </row>
    <row r="937" spans="1:44" x14ac:dyDescent="0.25">
      <c r="A937" t="s">
        <v>435</v>
      </c>
      <c r="B937" t="s">
        <v>462</v>
      </c>
      <c r="C937" t="s">
        <v>46</v>
      </c>
      <c r="D937" t="s">
        <v>463</v>
      </c>
      <c r="E937" t="s">
        <v>134</v>
      </c>
      <c r="F937" t="s">
        <v>463</v>
      </c>
      <c r="G937" t="s">
        <v>33</v>
      </c>
      <c r="H937" t="s">
        <v>452</v>
      </c>
      <c r="I937" t="s">
        <v>135</v>
      </c>
      <c r="J937" t="s">
        <v>39</v>
      </c>
      <c r="K937" t="s">
        <v>31</v>
      </c>
      <c r="L937">
        <v>2.5000000000000026E-2</v>
      </c>
      <c r="M937">
        <v>1</v>
      </c>
      <c r="N937">
        <v>4.8021796953168767</v>
      </c>
      <c r="O937">
        <v>2.8779545327574696</v>
      </c>
      <c r="P937">
        <v>-0.74213157254111406</v>
      </c>
      <c r="Q937">
        <v>0.32461448738579723</v>
      </c>
      <c r="R937">
        <v>-0.52509153328775138</v>
      </c>
      <c r="S937" s="2">
        <v>0.17533262986333734</v>
      </c>
      <c r="T937" s="2">
        <v>0.28300405046998151</v>
      </c>
      <c r="U937" s="2">
        <v>0.42624932350758127</v>
      </c>
      <c r="V937" s="2">
        <v>0.60577418373065994</v>
      </c>
      <c r="W937" s="2">
        <v>0.81766724016944348</v>
      </c>
      <c r="X937" s="2">
        <v>1.0518210428478612</v>
      </c>
      <c r="Y937" s="2">
        <v>1.2908931099362997</v>
      </c>
      <c r="Z937" s="2">
        <v>1.5105351110806324</v>
      </c>
      <c r="AA937" s="2">
        <v>1.6816583467342399</v>
      </c>
      <c r="AB937" s="2">
        <v>1.775177480934846</v>
      </c>
      <c r="AC937" s="2">
        <v>1.7688474067059381</v>
      </c>
      <c r="AD937" s="2">
        <v>1.6545834393094232</v>
      </c>
      <c r="AE937" s="2">
        <v>1.4435348705502602</v>
      </c>
      <c r="AF937" s="2">
        <v>1.1845849967149376</v>
      </c>
      <c r="AG937" s="2">
        <v>0.21226779107023164</v>
      </c>
      <c r="AH937" s="2">
        <v>0</v>
      </c>
      <c r="AI937" s="2">
        <v>0</v>
      </c>
      <c r="AJ937" s="2">
        <v>0</v>
      </c>
      <c r="AK937" s="2">
        <v>0</v>
      </c>
      <c r="AL937" s="2">
        <v>0</v>
      </c>
      <c r="AM937" s="2">
        <v>0</v>
      </c>
      <c r="AN937" s="2">
        <v>0</v>
      </c>
      <c r="AO937" s="2">
        <v>0</v>
      </c>
      <c r="AP937" s="2">
        <v>0</v>
      </c>
      <c r="AQ937" s="2">
        <v>0</v>
      </c>
      <c r="AR937" s="2">
        <v>15.881931023625672</v>
      </c>
    </row>
    <row r="938" spans="1:44" x14ac:dyDescent="0.25">
      <c r="A938" t="s">
        <v>435</v>
      </c>
      <c r="B938" t="s">
        <v>462</v>
      </c>
      <c r="C938" t="s">
        <v>46</v>
      </c>
      <c r="D938" t="s">
        <v>463</v>
      </c>
      <c r="E938" t="s">
        <v>134</v>
      </c>
      <c r="F938" t="s">
        <v>463</v>
      </c>
      <c r="G938" t="s">
        <v>33</v>
      </c>
      <c r="H938" t="s">
        <v>452</v>
      </c>
      <c r="I938" t="s">
        <v>135</v>
      </c>
      <c r="J938" t="s">
        <v>39</v>
      </c>
      <c r="K938" t="s">
        <v>33</v>
      </c>
      <c r="L938">
        <v>2.5000000000000026E-2</v>
      </c>
      <c r="M938">
        <v>1</v>
      </c>
      <c r="N938">
        <v>4.8021796953168767</v>
      </c>
      <c r="O938">
        <v>2.8779545327574696</v>
      </c>
      <c r="P938">
        <v>-0.74213157254111406</v>
      </c>
      <c r="Q938">
        <v>0.32461448738579723</v>
      </c>
      <c r="R938">
        <v>-0.52509153328775138</v>
      </c>
      <c r="S938" s="2">
        <v>0.34671445900202696</v>
      </c>
      <c r="T938" s="2">
        <v>0.55963112131816362</v>
      </c>
      <c r="U938" s="2">
        <v>0.84289389667572523</v>
      </c>
      <c r="V938" s="2">
        <v>1.1978983521394635</v>
      </c>
      <c r="W938" s="2">
        <v>1.6169098418246524</v>
      </c>
      <c r="X938" s="2">
        <v>2.0799412187120816</v>
      </c>
      <c r="Y938" s="2">
        <v>2.5526983003099128</v>
      </c>
      <c r="Z938" s="2">
        <v>2.9870330710838262</v>
      </c>
      <c r="AA938" s="2">
        <v>3.3254235926801892</v>
      </c>
      <c r="AB938" s="2">
        <v>3.5103545781218282</v>
      </c>
      <c r="AC938" s="2">
        <v>3.4978370663305038</v>
      </c>
      <c r="AD938" s="2">
        <v>3.2718838614411037</v>
      </c>
      <c r="AE938" s="2">
        <v>2.8545423181270029</v>
      </c>
      <c r="AF938" s="2">
        <v>2.3424775331212837</v>
      </c>
      <c r="AG938" s="2">
        <v>0.41975251498728655</v>
      </c>
      <c r="AH938" s="2">
        <v>0</v>
      </c>
      <c r="AI938" s="2">
        <v>0</v>
      </c>
      <c r="AJ938" s="2">
        <v>0</v>
      </c>
      <c r="AK938" s="2">
        <v>0</v>
      </c>
      <c r="AL938" s="2">
        <v>0</v>
      </c>
      <c r="AM938" s="2">
        <v>0</v>
      </c>
      <c r="AN938" s="2">
        <v>0</v>
      </c>
      <c r="AO938" s="2">
        <v>0</v>
      </c>
      <c r="AP938" s="2">
        <v>0</v>
      </c>
      <c r="AQ938" s="2">
        <v>0</v>
      </c>
      <c r="AR938" s="2">
        <v>31.405991725875051</v>
      </c>
    </row>
    <row r="939" spans="1:44" x14ac:dyDescent="0.25">
      <c r="A939" t="s">
        <v>435</v>
      </c>
      <c r="B939" t="s">
        <v>462</v>
      </c>
      <c r="C939" t="s">
        <v>46</v>
      </c>
      <c r="D939" t="s">
        <v>463</v>
      </c>
      <c r="E939" t="s">
        <v>134</v>
      </c>
      <c r="F939" t="s">
        <v>463</v>
      </c>
      <c r="G939" t="s">
        <v>33</v>
      </c>
      <c r="H939" t="s">
        <v>452</v>
      </c>
      <c r="I939" t="s">
        <v>135</v>
      </c>
      <c r="J939" t="s">
        <v>40</v>
      </c>
      <c r="K939" t="s">
        <v>33</v>
      </c>
      <c r="L939">
        <v>2.5000000000000026E-2</v>
      </c>
      <c r="M939">
        <v>1</v>
      </c>
      <c r="N939">
        <v>4.8021796953168767</v>
      </c>
      <c r="O939">
        <v>1.7054155637884914</v>
      </c>
      <c r="P939">
        <v>-0.74213157254111406</v>
      </c>
      <c r="Q939">
        <v>1.3498045353129324</v>
      </c>
      <c r="R939">
        <v>-0.38209153328775142</v>
      </c>
      <c r="S939" s="2">
        <v>2.5387340452197642E-2</v>
      </c>
      <c r="T939" s="2">
        <v>4.0977655923101486E-2</v>
      </c>
      <c r="U939" s="2">
        <v>6.1718897970335376E-2</v>
      </c>
      <c r="V939" s="2">
        <v>8.7713253668239122E-2</v>
      </c>
      <c r="W939" s="2">
        <v>0.11839437199436638</v>
      </c>
      <c r="X939" s="2">
        <v>0.15229874171383712</v>
      </c>
      <c r="Y939" s="2">
        <v>0.18691525299593903</v>
      </c>
      <c r="Z939" s="2">
        <v>0.21871838208263247</v>
      </c>
      <c r="AA939" s="2">
        <v>0.24349622204434404</v>
      </c>
      <c r="AB939" s="2">
        <v>0.25703735298269881</v>
      </c>
      <c r="AC939" s="2">
        <v>0.2561207879961232</v>
      </c>
      <c r="AD939" s="2">
        <v>0.23957590274586937</v>
      </c>
      <c r="AE939" s="2">
        <v>0.20901706226526884</v>
      </c>
      <c r="AF939" s="2">
        <v>0.17152233802463493</v>
      </c>
      <c r="AG939" s="2">
        <v>3.0735378138891854E-2</v>
      </c>
      <c r="AH939" s="2">
        <v>0</v>
      </c>
      <c r="AI939" s="2">
        <v>0</v>
      </c>
      <c r="AJ939" s="2">
        <v>0</v>
      </c>
      <c r="AK939" s="2">
        <v>0</v>
      </c>
      <c r="AL939" s="2">
        <v>0</v>
      </c>
      <c r="AM939" s="2">
        <v>0</v>
      </c>
      <c r="AN939" s="2">
        <v>0</v>
      </c>
      <c r="AO939" s="2">
        <v>0</v>
      </c>
      <c r="AP939" s="2">
        <v>0</v>
      </c>
      <c r="AQ939" s="2">
        <v>0</v>
      </c>
      <c r="AR939" s="2">
        <v>2.2996289409984794</v>
      </c>
    </row>
    <row r="940" spans="1:44" x14ac:dyDescent="0.25">
      <c r="A940" t="s">
        <v>435</v>
      </c>
      <c r="B940" t="s">
        <v>462</v>
      </c>
      <c r="C940" t="s">
        <v>46</v>
      </c>
      <c r="D940" t="s">
        <v>463</v>
      </c>
      <c r="E940" t="s">
        <v>134</v>
      </c>
      <c r="F940" t="s">
        <v>463</v>
      </c>
      <c r="G940" t="s">
        <v>33</v>
      </c>
      <c r="H940" t="s">
        <v>452</v>
      </c>
      <c r="I940" t="s">
        <v>256</v>
      </c>
      <c r="J940" t="s">
        <v>40</v>
      </c>
      <c r="K940" t="s">
        <v>33</v>
      </c>
      <c r="L940">
        <v>2.5000000000000026E-2</v>
      </c>
      <c r="M940">
        <v>1</v>
      </c>
      <c r="N940">
        <v>4.4156409057984005</v>
      </c>
      <c r="O940">
        <v>1.4737622038640088</v>
      </c>
      <c r="P940">
        <v>-0.61665548152684757</v>
      </c>
      <c r="Q940">
        <v>1.3498045353129324</v>
      </c>
      <c r="R940">
        <v>-0.25661544227348493</v>
      </c>
      <c r="S940" s="2">
        <v>0.15308851815444977</v>
      </c>
      <c r="T940" s="2">
        <v>0.2470998738336721</v>
      </c>
      <c r="U940" s="2">
        <v>0.37217189607532997</v>
      </c>
      <c r="V940" s="2">
        <v>0.52892078443032431</v>
      </c>
      <c r="W940" s="2">
        <v>0.71393137853773381</v>
      </c>
      <c r="X940" s="2">
        <v>0.91837854105510841</v>
      </c>
      <c r="Y940" s="2">
        <v>1.1271199972872847</v>
      </c>
      <c r="Z940" s="2">
        <v>1.3188964424696366</v>
      </c>
      <c r="AA940" s="2">
        <v>1.4683096041180113</v>
      </c>
      <c r="AB940" s="2">
        <v>1.5499641466011587</v>
      </c>
      <c r="AC940" s="2">
        <v>1.5444371566491661</v>
      </c>
      <c r="AD940" s="2">
        <v>1.4446696378432522</v>
      </c>
      <c r="AE940" s="2">
        <v>1.2603963928965416</v>
      </c>
      <c r="AF940" s="2">
        <v>1.0342989888216108</v>
      </c>
      <c r="AG940" s="2">
        <v>0.18533778688079403</v>
      </c>
      <c r="AH940" s="2">
        <v>0</v>
      </c>
      <c r="AI940" s="2">
        <v>0</v>
      </c>
      <c r="AJ940" s="2">
        <v>0</v>
      </c>
      <c r="AK940" s="2">
        <v>0</v>
      </c>
      <c r="AL940" s="2">
        <v>0</v>
      </c>
      <c r="AM940" s="2">
        <v>0</v>
      </c>
      <c r="AN940" s="2">
        <v>0</v>
      </c>
      <c r="AO940" s="2">
        <v>0</v>
      </c>
      <c r="AP940" s="2">
        <v>0</v>
      </c>
      <c r="AQ940" s="2">
        <v>0</v>
      </c>
      <c r="AR940" s="2">
        <v>13.867021145654075</v>
      </c>
    </row>
    <row r="941" spans="1:44" x14ac:dyDescent="0.25">
      <c r="A941" t="s">
        <v>435</v>
      </c>
      <c r="B941" t="s">
        <v>462</v>
      </c>
      <c r="C941" t="s">
        <v>46</v>
      </c>
      <c r="D941" t="s">
        <v>463</v>
      </c>
      <c r="E941" t="s">
        <v>134</v>
      </c>
      <c r="F941" t="s">
        <v>463</v>
      </c>
      <c r="G941" t="s">
        <v>33</v>
      </c>
      <c r="H941" t="s">
        <v>453</v>
      </c>
      <c r="I941" t="s">
        <v>135</v>
      </c>
      <c r="J941" t="s">
        <v>39</v>
      </c>
      <c r="K941" t="s">
        <v>31</v>
      </c>
      <c r="L941">
        <v>2.5000000000000026E-2</v>
      </c>
      <c r="M941">
        <v>1</v>
      </c>
      <c r="N941">
        <v>4.8021796953168767</v>
      </c>
      <c r="O941">
        <v>2.8779545327574696</v>
      </c>
      <c r="P941">
        <v>-0.74213157254111406</v>
      </c>
      <c r="Q941">
        <v>0.32461448738579723</v>
      </c>
      <c r="R941">
        <v>-0.52509153328775138</v>
      </c>
      <c r="S941" s="2">
        <v>5.3621956946998631E-2</v>
      </c>
      <c r="T941" s="2">
        <v>8.6551094465165304E-2</v>
      </c>
      <c r="U941" s="2">
        <v>0.13035977896199999</v>
      </c>
      <c r="V941" s="2">
        <v>0.18526384521196843</v>
      </c>
      <c r="W941" s="2">
        <v>0.25006707298870678</v>
      </c>
      <c r="X941" s="2">
        <v>0.32167830209069825</v>
      </c>
      <c r="Y941" s="2">
        <v>0.3947936834012869</v>
      </c>
      <c r="Z941" s="2">
        <v>0.46196676999842573</v>
      </c>
      <c r="AA941" s="2">
        <v>0.51430136842429208</v>
      </c>
      <c r="AB941" s="2">
        <v>0.54290231390565613</v>
      </c>
      <c r="AC941" s="2">
        <v>0.54096638807121022</v>
      </c>
      <c r="AD941" s="2">
        <v>0.50602105276708043</v>
      </c>
      <c r="AE941" s="2">
        <v>0.44147609455507858</v>
      </c>
      <c r="AF941" s="2">
        <v>0.36228148601557647</v>
      </c>
      <c r="AG941" s="2">
        <v>6.4917832823670238E-2</v>
      </c>
      <c r="AH941" s="2">
        <v>0</v>
      </c>
      <c r="AI941" s="2">
        <v>0</v>
      </c>
      <c r="AJ941" s="2">
        <v>0</v>
      </c>
      <c r="AK941" s="2">
        <v>0</v>
      </c>
      <c r="AL941" s="2">
        <v>0</v>
      </c>
      <c r="AM941" s="2">
        <v>0</v>
      </c>
      <c r="AN941" s="2">
        <v>0</v>
      </c>
      <c r="AO941" s="2">
        <v>0</v>
      </c>
      <c r="AP941" s="2">
        <v>0</v>
      </c>
      <c r="AQ941" s="2">
        <v>0</v>
      </c>
      <c r="AR941" s="2">
        <v>4.8571690406278138</v>
      </c>
    </row>
    <row r="942" spans="1:44" x14ac:dyDescent="0.25">
      <c r="A942" t="s">
        <v>435</v>
      </c>
      <c r="B942" t="s">
        <v>462</v>
      </c>
      <c r="C942" t="s">
        <v>46</v>
      </c>
      <c r="D942" t="s">
        <v>463</v>
      </c>
      <c r="E942" t="s">
        <v>134</v>
      </c>
      <c r="F942" t="s">
        <v>463</v>
      </c>
      <c r="G942" t="s">
        <v>33</v>
      </c>
      <c r="H942" t="s">
        <v>453</v>
      </c>
      <c r="I942" t="s">
        <v>135</v>
      </c>
      <c r="J942" t="s">
        <v>39</v>
      </c>
      <c r="K942" t="s">
        <v>33</v>
      </c>
      <c r="L942">
        <v>2.5000000000000026E-2</v>
      </c>
      <c r="M942">
        <v>1</v>
      </c>
      <c r="N942">
        <v>4.8021796953168767</v>
      </c>
      <c r="O942">
        <v>2.8779545327574696</v>
      </c>
      <c r="P942">
        <v>-0.74213157254111406</v>
      </c>
      <c r="Q942">
        <v>0.32461448738579723</v>
      </c>
      <c r="R942">
        <v>-0.52509153328775138</v>
      </c>
      <c r="S942" s="2">
        <v>4.878975658847267E-2</v>
      </c>
      <c r="T942" s="2">
        <v>7.875144944066953E-2</v>
      </c>
      <c r="U942" s="2">
        <v>0.11861226718692293</v>
      </c>
      <c r="V942" s="2">
        <v>0.16856859441871516</v>
      </c>
      <c r="W942" s="2">
        <v>0.2275320095827599</v>
      </c>
      <c r="X942" s="2">
        <v>0.29268991570582392</v>
      </c>
      <c r="Y942" s="2">
        <v>0.35921642574243029</v>
      </c>
      <c r="Z942" s="2">
        <v>0.42033613734881992</v>
      </c>
      <c r="AA942" s="2">
        <v>0.46795454711475465</v>
      </c>
      <c r="AB942" s="2">
        <v>0.49397808761356954</v>
      </c>
      <c r="AC942" s="2">
        <v>0.49221661981914872</v>
      </c>
      <c r="AD942" s="2">
        <v>0.46042042101431419</v>
      </c>
      <c r="AE942" s="2">
        <v>0.40169200117522852</v>
      </c>
      <c r="AF942" s="2">
        <v>0.32963410001394017</v>
      </c>
      <c r="AG942" s="2">
        <v>5.9067692453833517E-2</v>
      </c>
      <c r="AH942" s="2">
        <v>0</v>
      </c>
      <c r="AI942" s="2">
        <v>0</v>
      </c>
      <c r="AJ942" s="2">
        <v>0</v>
      </c>
      <c r="AK942" s="2">
        <v>0</v>
      </c>
      <c r="AL942" s="2">
        <v>0</v>
      </c>
      <c r="AM942" s="2">
        <v>0</v>
      </c>
      <c r="AN942" s="2">
        <v>0</v>
      </c>
      <c r="AO942" s="2">
        <v>0</v>
      </c>
      <c r="AP942" s="2">
        <v>0</v>
      </c>
      <c r="AQ942" s="2">
        <v>0</v>
      </c>
      <c r="AR942" s="2">
        <v>4.4194600252194034</v>
      </c>
    </row>
    <row r="943" spans="1:44" x14ac:dyDescent="0.25">
      <c r="A943" t="s">
        <v>435</v>
      </c>
      <c r="B943" t="s">
        <v>462</v>
      </c>
      <c r="C943" t="s">
        <v>46</v>
      </c>
      <c r="D943" t="s">
        <v>463</v>
      </c>
      <c r="E943" t="s">
        <v>134</v>
      </c>
      <c r="F943" t="s">
        <v>463</v>
      </c>
      <c r="G943" t="s">
        <v>33</v>
      </c>
      <c r="H943" t="s">
        <v>453</v>
      </c>
      <c r="I943" t="s">
        <v>135</v>
      </c>
      <c r="J943" t="s">
        <v>40</v>
      </c>
      <c r="K943" t="s">
        <v>33</v>
      </c>
      <c r="L943">
        <v>2.5000000000000026E-2</v>
      </c>
      <c r="M943">
        <v>1</v>
      </c>
      <c r="N943">
        <v>4.8021796953168767</v>
      </c>
      <c r="O943">
        <v>1.7054155637884914</v>
      </c>
      <c r="P943">
        <v>-0.74213157254111406</v>
      </c>
      <c r="Q943">
        <v>1.3498045353129324</v>
      </c>
      <c r="R943">
        <v>-0.38209153328775142</v>
      </c>
      <c r="S943" s="2">
        <v>0.99358467284852914</v>
      </c>
      <c r="T943" s="2">
        <v>1.6037430518221112</v>
      </c>
      <c r="U943" s="2">
        <v>2.4154933110813128</v>
      </c>
      <c r="V943" s="2">
        <v>3.4328347474811332</v>
      </c>
      <c r="W943" s="2">
        <v>4.6336020737038881</v>
      </c>
      <c r="X943" s="2">
        <v>5.960517831551214</v>
      </c>
      <c r="Y943" s="2">
        <v>7.3153046829800434</v>
      </c>
      <c r="Z943" s="2">
        <v>8.5599841589046886</v>
      </c>
      <c r="AA943" s="2">
        <v>9.5297148031447119</v>
      </c>
      <c r="AB943" s="2">
        <v>10.059674220466018</v>
      </c>
      <c r="AC943" s="2">
        <v>10.023802604687834</v>
      </c>
      <c r="AD943" s="2">
        <v>9.3762852158678935</v>
      </c>
      <c r="AE943" s="2">
        <v>8.1803034792728901</v>
      </c>
      <c r="AF943" s="2">
        <v>6.7128719699218928</v>
      </c>
      <c r="AG943" s="2">
        <v>1.2028908932192761</v>
      </c>
      <c r="AH943" s="2">
        <v>0</v>
      </c>
      <c r="AI943" s="2">
        <v>0</v>
      </c>
      <c r="AJ943" s="2">
        <v>0</v>
      </c>
      <c r="AK943" s="2">
        <v>0</v>
      </c>
      <c r="AL943" s="2">
        <v>0</v>
      </c>
      <c r="AM943" s="2">
        <v>0</v>
      </c>
      <c r="AN943" s="2">
        <v>0</v>
      </c>
      <c r="AO943" s="2">
        <v>0</v>
      </c>
      <c r="AP943" s="2">
        <v>0</v>
      </c>
      <c r="AQ943" s="2">
        <v>0</v>
      </c>
      <c r="AR943" s="2">
        <v>90.000607716953439</v>
      </c>
    </row>
    <row r="944" spans="1:44" x14ac:dyDescent="0.25">
      <c r="A944" t="s">
        <v>435</v>
      </c>
      <c r="B944" t="s">
        <v>462</v>
      </c>
      <c r="C944" t="s">
        <v>46</v>
      </c>
      <c r="D944" t="s">
        <v>463</v>
      </c>
      <c r="E944" t="s">
        <v>134</v>
      </c>
      <c r="F944" t="s">
        <v>463</v>
      </c>
      <c r="G944" t="s">
        <v>33</v>
      </c>
      <c r="H944" t="s">
        <v>453</v>
      </c>
      <c r="I944" t="s">
        <v>256</v>
      </c>
      <c r="J944" t="s">
        <v>40</v>
      </c>
      <c r="K944" t="s">
        <v>33</v>
      </c>
      <c r="L944">
        <v>2.5000000000000026E-2</v>
      </c>
      <c r="M944">
        <v>1</v>
      </c>
      <c r="N944">
        <v>4.4156409057984005</v>
      </c>
      <c r="O944">
        <v>1.4737622038640088</v>
      </c>
      <c r="P944">
        <v>-0.61665548152684757</v>
      </c>
      <c r="Q944">
        <v>1.3498045353129324</v>
      </c>
      <c r="R944">
        <v>-0.25661544227348493</v>
      </c>
      <c r="S944" s="2">
        <v>0.51149464839999637</v>
      </c>
      <c r="T944" s="2">
        <v>0.82560249854089962</v>
      </c>
      <c r="U944" s="2">
        <v>1.2434892924847196</v>
      </c>
      <c r="V944" s="2">
        <v>1.7672138572188234</v>
      </c>
      <c r="W944" s="2">
        <v>2.3853655639834712</v>
      </c>
      <c r="X944" s="2">
        <v>3.0684581353198661</v>
      </c>
      <c r="Y944" s="2">
        <v>3.7658986687389744</v>
      </c>
      <c r="Z944" s="2">
        <v>4.4066562290217339</v>
      </c>
      <c r="AA944" s="2">
        <v>4.9058708893045102</v>
      </c>
      <c r="AB944" s="2">
        <v>5.1786925352462587</v>
      </c>
      <c r="AC944" s="2">
        <v>5.160225926409189</v>
      </c>
      <c r="AD944" s="2">
        <v>4.8268857610684632</v>
      </c>
      <c r="AE944" s="2">
        <v>4.2111976626413075</v>
      </c>
      <c r="AF944" s="2">
        <v>3.4557679700971367</v>
      </c>
      <c r="AG944" s="2">
        <v>0.61924491319578201</v>
      </c>
      <c r="AH944" s="2">
        <v>0</v>
      </c>
      <c r="AI944" s="2">
        <v>0</v>
      </c>
      <c r="AJ944" s="2">
        <v>0</v>
      </c>
      <c r="AK944" s="2">
        <v>0</v>
      </c>
      <c r="AL944" s="2">
        <v>0</v>
      </c>
      <c r="AM944" s="2">
        <v>0</v>
      </c>
      <c r="AN944" s="2">
        <v>0</v>
      </c>
      <c r="AO944" s="2">
        <v>0</v>
      </c>
      <c r="AP944" s="2">
        <v>0</v>
      </c>
      <c r="AQ944" s="2">
        <v>0</v>
      </c>
      <c r="AR944" s="2">
        <v>46.332064551671138</v>
      </c>
    </row>
    <row r="945" spans="1:44" x14ac:dyDescent="0.25">
      <c r="A945" t="s">
        <v>435</v>
      </c>
      <c r="B945" t="s">
        <v>462</v>
      </c>
      <c r="C945" t="s">
        <v>46</v>
      </c>
      <c r="D945" t="s">
        <v>463</v>
      </c>
      <c r="E945" t="s">
        <v>134</v>
      </c>
      <c r="F945" t="s">
        <v>463</v>
      </c>
      <c r="G945" t="s">
        <v>33</v>
      </c>
      <c r="H945" t="s">
        <v>454</v>
      </c>
      <c r="I945" t="s">
        <v>135</v>
      </c>
      <c r="J945" t="s">
        <v>39</v>
      </c>
      <c r="K945" t="s">
        <v>31</v>
      </c>
      <c r="L945">
        <v>2.5000000000000026E-2</v>
      </c>
      <c r="M945">
        <v>1</v>
      </c>
      <c r="N945">
        <v>4.8021796953168767</v>
      </c>
      <c r="O945">
        <v>2.8779545327574696</v>
      </c>
      <c r="P945">
        <v>-0.74213157254111406</v>
      </c>
      <c r="Q945">
        <v>0.32461448738579723</v>
      </c>
      <c r="R945">
        <v>-0.52509153328775138</v>
      </c>
      <c r="S945" s="2">
        <v>2.9526452342189782E-3</v>
      </c>
      <c r="T945" s="2">
        <v>4.7658588223776317E-3</v>
      </c>
      <c r="U945" s="2">
        <v>7.1781449615208959E-3</v>
      </c>
      <c r="V945" s="2">
        <v>1.0201388401003132E-2</v>
      </c>
      <c r="W945" s="2">
        <v>1.3769720340960485E-2</v>
      </c>
      <c r="X945" s="2">
        <v>1.7712928801881706E-2</v>
      </c>
      <c r="Y945" s="2">
        <v>2.1738962062625961E-2</v>
      </c>
      <c r="Z945" s="2">
        <v>2.5437788164867307E-2</v>
      </c>
      <c r="AA945" s="2">
        <v>2.8319546150306671E-2</v>
      </c>
      <c r="AB945" s="2">
        <v>2.9894431704244537E-2</v>
      </c>
      <c r="AC945" s="2">
        <v>2.9787831674810163E-2</v>
      </c>
      <c r="AD945" s="2">
        <v>2.7863597953800879E-2</v>
      </c>
      <c r="AE945" s="2">
        <v>2.4309487397076834E-2</v>
      </c>
      <c r="AF945" s="2">
        <v>1.994870691099488E-2</v>
      </c>
      <c r="AG945" s="2">
        <v>3.5746425646511139E-3</v>
      </c>
      <c r="AH945" s="2">
        <v>0</v>
      </c>
      <c r="AI945" s="2">
        <v>0</v>
      </c>
      <c r="AJ945" s="2">
        <v>0</v>
      </c>
      <c r="AK945" s="2">
        <v>0</v>
      </c>
      <c r="AL945" s="2">
        <v>0</v>
      </c>
      <c r="AM945" s="2">
        <v>0</v>
      </c>
      <c r="AN945" s="2">
        <v>0</v>
      </c>
      <c r="AO945" s="2">
        <v>0</v>
      </c>
      <c r="AP945" s="2">
        <v>0</v>
      </c>
      <c r="AQ945" s="2">
        <v>0</v>
      </c>
      <c r="AR945" s="2">
        <v>0.26745568114534118</v>
      </c>
    </row>
    <row r="946" spans="1:44" x14ac:dyDescent="0.25">
      <c r="A946" t="s">
        <v>435</v>
      </c>
      <c r="B946" t="s">
        <v>462</v>
      </c>
      <c r="C946" t="s">
        <v>46</v>
      </c>
      <c r="D946" t="s">
        <v>463</v>
      </c>
      <c r="E946" t="s">
        <v>134</v>
      </c>
      <c r="F946" t="s">
        <v>463</v>
      </c>
      <c r="G946" t="s">
        <v>33</v>
      </c>
      <c r="H946" t="s">
        <v>454</v>
      </c>
      <c r="I946" t="s">
        <v>135</v>
      </c>
      <c r="J946" t="s">
        <v>39</v>
      </c>
      <c r="K946" t="s">
        <v>33</v>
      </c>
      <c r="L946">
        <v>2.5000000000000026E-2</v>
      </c>
      <c r="M946">
        <v>1</v>
      </c>
      <c r="N946">
        <v>4.8021796953168767</v>
      </c>
      <c r="O946">
        <v>2.8779545327574696</v>
      </c>
      <c r="P946">
        <v>-0.74213157254111406</v>
      </c>
      <c r="Q946">
        <v>0.32461448738579723</v>
      </c>
      <c r="R946">
        <v>-0.52509153328775138</v>
      </c>
      <c r="S946" s="2">
        <v>2.3694990360347005E-2</v>
      </c>
      <c r="T946" s="2">
        <v>3.8246036992955472E-2</v>
      </c>
      <c r="U946" s="2">
        <v>5.7604643354114818E-2</v>
      </c>
      <c r="V946" s="2">
        <v>8.1866184607127093E-2</v>
      </c>
      <c r="W946" s="2">
        <v>0.11050206335744808</v>
      </c>
      <c r="X946" s="2">
        <v>0.14214632775722519</v>
      </c>
      <c r="Y946" s="2">
        <v>0.17445526152217361</v>
      </c>
      <c r="Z946" s="2">
        <v>0.20413835647089396</v>
      </c>
      <c r="AA946" s="2">
        <v>0.22726447636314734</v>
      </c>
      <c r="AB946" s="2">
        <v>0.23990293952381841</v>
      </c>
      <c r="AC946" s="2">
        <v>0.23904747384152544</v>
      </c>
      <c r="AD946" s="2">
        <v>0.2236054901782121</v>
      </c>
      <c r="AE946" s="2">
        <v>0.19508373808784962</v>
      </c>
      <c r="AF946" s="2">
        <v>0.16008845643877151</v>
      </c>
      <c r="AG946" s="2">
        <v>2.8686521539895895E-2</v>
      </c>
      <c r="AH946" s="2">
        <v>0</v>
      </c>
      <c r="AI946" s="2">
        <v>0</v>
      </c>
      <c r="AJ946" s="2">
        <v>0</v>
      </c>
      <c r="AK946" s="2">
        <v>0</v>
      </c>
      <c r="AL946" s="2">
        <v>0</v>
      </c>
      <c r="AM946" s="2">
        <v>0</v>
      </c>
      <c r="AN946" s="2">
        <v>0</v>
      </c>
      <c r="AO946" s="2">
        <v>0</v>
      </c>
      <c r="AP946" s="2">
        <v>0</v>
      </c>
      <c r="AQ946" s="2">
        <v>0</v>
      </c>
      <c r="AR946" s="2">
        <v>2.1463329603955055</v>
      </c>
    </row>
    <row r="947" spans="1:44" x14ac:dyDescent="0.25">
      <c r="A947" t="s">
        <v>435</v>
      </c>
      <c r="B947" t="s">
        <v>462</v>
      </c>
      <c r="C947" t="s">
        <v>46</v>
      </c>
      <c r="D947" t="s">
        <v>463</v>
      </c>
      <c r="E947" t="s">
        <v>134</v>
      </c>
      <c r="F947" t="s">
        <v>463</v>
      </c>
      <c r="G947" t="s">
        <v>33</v>
      </c>
      <c r="H947" t="s">
        <v>455</v>
      </c>
      <c r="I947" t="s">
        <v>135</v>
      </c>
      <c r="J947" t="s">
        <v>39</v>
      </c>
      <c r="K947" t="s">
        <v>31</v>
      </c>
      <c r="L947">
        <v>2.5000000000000026E-2</v>
      </c>
      <c r="M947">
        <v>1</v>
      </c>
      <c r="N947">
        <v>4.8021796953168767</v>
      </c>
      <c r="O947">
        <v>2.8779545327574696</v>
      </c>
      <c r="P947">
        <v>-0.74213157254111406</v>
      </c>
      <c r="Q947">
        <v>0.32461448738579723</v>
      </c>
      <c r="R947">
        <v>-0.52509153328775138</v>
      </c>
      <c r="S947" s="2">
        <v>6.9568698238877227E-4</v>
      </c>
      <c r="T947" s="2">
        <v>1.1229069798857222E-3</v>
      </c>
      <c r="U947" s="2">
        <v>1.6912773500710001E-3</v>
      </c>
      <c r="V947" s="2">
        <v>2.4035983160526748E-3</v>
      </c>
      <c r="W947" s="2">
        <v>3.2443502122509499E-3</v>
      </c>
      <c r="X947" s="2">
        <v>4.1734285733476531E-3</v>
      </c>
      <c r="Y947" s="2">
        <v>5.1220216849426764E-3</v>
      </c>
      <c r="Z947" s="2">
        <v>5.9935199400081131E-3</v>
      </c>
      <c r="AA947" s="2">
        <v>6.6725048358672158E-3</v>
      </c>
      <c r="AB947" s="2">
        <v>7.0435712159149077E-3</v>
      </c>
      <c r="AC947" s="2">
        <v>7.0184546689148518E-3</v>
      </c>
      <c r="AD947" s="2">
        <v>6.5650766825365589E-3</v>
      </c>
      <c r="AE947" s="2">
        <v>5.7276755550226847E-3</v>
      </c>
      <c r="AF947" s="2">
        <v>4.7002110353901155E-3</v>
      </c>
      <c r="AG947" s="2">
        <v>8.4223877291455997E-4</v>
      </c>
      <c r="AH947" s="2">
        <v>0</v>
      </c>
      <c r="AI947" s="2">
        <v>0</v>
      </c>
      <c r="AJ947" s="2">
        <v>0</v>
      </c>
      <c r="AK947" s="2">
        <v>0</v>
      </c>
      <c r="AL947" s="2">
        <v>0</v>
      </c>
      <c r="AM947" s="2">
        <v>0</v>
      </c>
      <c r="AN947" s="2">
        <v>0</v>
      </c>
      <c r="AO947" s="2">
        <v>0</v>
      </c>
      <c r="AP947" s="2">
        <v>0</v>
      </c>
      <c r="AQ947" s="2">
        <v>0</v>
      </c>
      <c r="AR947" s="2">
        <v>6.3016522805508457E-2</v>
      </c>
    </row>
    <row r="948" spans="1:44" x14ac:dyDescent="0.25">
      <c r="A948" t="s">
        <v>435</v>
      </c>
      <c r="B948" t="s">
        <v>462</v>
      </c>
      <c r="C948" t="s">
        <v>46</v>
      </c>
      <c r="D948" t="s">
        <v>463</v>
      </c>
      <c r="E948" t="s">
        <v>134</v>
      </c>
      <c r="F948" t="s">
        <v>463</v>
      </c>
      <c r="G948" t="s">
        <v>33</v>
      </c>
      <c r="H948" t="s">
        <v>455</v>
      </c>
      <c r="I948" t="s">
        <v>135</v>
      </c>
      <c r="J948" t="s">
        <v>39</v>
      </c>
      <c r="K948" t="s">
        <v>33</v>
      </c>
      <c r="L948">
        <v>2.5000000000000026E-2</v>
      </c>
      <c r="M948">
        <v>1</v>
      </c>
      <c r="N948">
        <v>4.8021796953168767</v>
      </c>
      <c r="O948">
        <v>2.8779545327574696</v>
      </c>
      <c r="P948">
        <v>-0.74213157254111406</v>
      </c>
      <c r="Q948">
        <v>0.32461448738579723</v>
      </c>
      <c r="R948">
        <v>-0.52509153328775138</v>
      </c>
      <c r="S948" s="2">
        <v>1.7688382826307431E-2</v>
      </c>
      <c r="T948" s="2">
        <v>2.8550783673355562E-2</v>
      </c>
      <c r="U948" s="2">
        <v>4.3002042572072505E-2</v>
      </c>
      <c r="V948" s="2">
        <v>6.1113357373774199E-2</v>
      </c>
      <c r="W948" s="2">
        <v>8.2490128505576549E-2</v>
      </c>
      <c r="X948" s="2">
        <v>0.10611266873234337</v>
      </c>
      <c r="Y948" s="2">
        <v>0.13023138667453749</v>
      </c>
      <c r="Z948" s="2">
        <v>0.15238990790361762</v>
      </c>
      <c r="AA948" s="2">
        <v>0.16965362718437407</v>
      </c>
      <c r="AB948" s="2">
        <v>0.17908827861585322</v>
      </c>
      <c r="AC948" s="2">
        <v>0.17844967086573205</v>
      </c>
      <c r="AD948" s="2">
        <v>0.1669221827984074</v>
      </c>
      <c r="AE948" s="2">
        <v>0.14563060756756702</v>
      </c>
      <c r="AF948" s="2">
        <v>0.11950652270787268</v>
      </c>
      <c r="AG948" s="2">
        <v>2.1414576129220545E-2</v>
      </c>
      <c r="AH948" s="2">
        <v>0</v>
      </c>
      <c r="AI948" s="2">
        <v>0</v>
      </c>
      <c r="AJ948" s="2">
        <v>0</v>
      </c>
      <c r="AK948" s="2">
        <v>0</v>
      </c>
      <c r="AL948" s="2">
        <v>0</v>
      </c>
      <c r="AM948" s="2">
        <v>0</v>
      </c>
      <c r="AN948" s="2">
        <v>0</v>
      </c>
      <c r="AO948" s="2">
        <v>0</v>
      </c>
      <c r="AP948" s="2">
        <v>0</v>
      </c>
      <c r="AQ948" s="2">
        <v>0</v>
      </c>
      <c r="AR948" s="2">
        <v>1.6022441241306116</v>
      </c>
    </row>
    <row r="949" spans="1:44" x14ac:dyDescent="0.25">
      <c r="A949" t="s">
        <v>435</v>
      </c>
      <c r="B949" t="s">
        <v>462</v>
      </c>
      <c r="C949" t="s">
        <v>46</v>
      </c>
      <c r="D949" t="s">
        <v>463</v>
      </c>
      <c r="E949" t="s">
        <v>134</v>
      </c>
      <c r="F949" t="s">
        <v>463</v>
      </c>
      <c r="G949" t="s">
        <v>33</v>
      </c>
      <c r="H949" t="s">
        <v>456</v>
      </c>
      <c r="I949" t="s">
        <v>135</v>
      </c>
      <c r="J949" t="s">
        <v>39</v>
      </c>
      <c r="K949" t="s">
        <v>31</v>
      </c>
      <c r="L949">
        <v>2.5000000000000026E-2</v>
      </c>
      <c r="M949">
        <v>1</v>
      </c>
      <c r="N949">
        <v>4.8021796953168767</v>
      </c>
      <c r="O949">
        <v>2.8779545327574696</v>
      </c>
      <c r="P949">
        <v>-0.74213157254111406</v>
      </c>
      <c r="Q949">
        <v>0.32461448738579723</v>
      </c>
      <c r="R949">
        <v>-0.52509153328775138</v>
      </c>
      <c r="S949" s="2">
        <v>0.12539922600753722</v>
      </c>
      <c r="T949" s="2">
        <v>0.20240664224106558</v>
      </c>
      <c r="U949" s="2">
        <v>0.30485674740491581</v>
      </c>
      <c r="V949" s="2">
        <v>0.43325428834542712</v>
      </c>
      <c r="W949" s="2">
        <v>0.58480180859026543</v>
      </c>
      <c r="X949" s="2">
        <v>0.7522703832958515</v>
      </c>
      <c r="Y949" s="2">
        <v>0.92325653799095642</v>
      </c>
      <c r="Z949" s="2">
        <v>1.0803461622309751</v>
      </c>
      <c r="AA949" s="2">
        <v>1.2027347975899139</v>
      </c>
      <c r="AB949" s="2">
        <v>1.2696203913027999</v>
      </c>
      <c r="AC949" s="2">
        <v>1.2650930742284252</v>
      </c>
      <c r="AD949" s="2">
        <v>1.1833706185552182</v>
      </c>
      <c r="AE949" s="2">
        <v>1.032427082300581</v>
      </c>
      <c r="AF949" s="2">
        <v>0.8472241695340913</v>
      </c>
      <c r="AG949" s="2">
        <v>0.15181553329396943</v>
      </c>
      <c r="AH949" s="2">
        <v>0</v>
      </c>
      <c r="AI949" s="2">
        <v>0</v>
      </c>
      <c r="AJ949" s="2">
        <v>0</v>
      </c>
      <c r="AK949" s="2">
        <v>0</v>
      </c>
      <c r="AL949" s="2">
        <v>0</v>
      </c>
      <c r="AM949" s="2">
        <v>0</v>
      </c>
      <c r="AN949" s="2">
        <v>0</v>
      </c>
      <c r="AO949" s="2">
        <v>0</v>
      </c>
      <c r="AP949" s="2">
        <v>0</v>
      </c>
      <c r="AQ949" s="2">
        <v>0</v>
      </c>
      <c r="AR949" s="2">
        <v>11.358877462911991</v>
      </c>
    </row>
    <row r="950" spans="1:44" x14ac:dyDescent="0.25">
      <c r="A950" t="s">
        <v>435</v>
      </c>
      <c r="B950" t="s">
        <v>462</v>
      </c>
      <c r="C950" t="s">
        <v>46</v>
      </c>
      <c r="D950" t="s">
        <v>463</v>
      </c>
      <c r="E950" t="s">
        <v>134</v>
      </c>
      <c r="F950" t="s">
        <v>463</v>
      </c>
      <c r="G950" t="s">
        <v>33</v>
      </c>
      <c r="H950" t="s">
        <v>456</v>
      </c>
      <c r="I950" t="s">
        <v>135</v>
      </c>
      <c r="J950" t="s">
        <v>39</v>
      </c>
      <c r="K950" t="s">
        <v>33</v>
      </c>
      <c r="L950">
        <v>2.5000000000000026E-2</v>
      </c>
      <c r="M950">
        <v>1</v>
      </c>
      <c r="N950">
        <v>4.8021796953168767</v>
      </c>
      <c r="O950">
        <v>2.8779545327574696</v>
      </c>
      <c r="P950">
        <v>-0.74213157254111406</v>
      </c>
      <c r="Q950">
        <v>0.32461448738579723</v>
      </c>
      <c r="R950">
        <v>-0.52509153328775138</v>
      </c>
      <c r="S950" s="2">
        <v>0.11578107105910482</v>
      </c>
      <c r="T950" s="2">
        <v>0.18688199739557446</v>
      </c>
      <c r="U950" s="2">
        <v>0.28147415145939253</v>
      </c>
      <c r="V950" s="2">
        <v>0.40002356587566751</v>
      </c>
      <c r="W950" s="2">
        <v>0.53994734984897619</v>
      </c>
      <c r="X950" s="2">
        <v>0.69457103904933104</v>
      </c>
      <c r="Y950" s="2">
        <v>0.85244250889147433</v>
      </c>
      <c r="Z950" s="2">
        <v>0.99748331596701767</v>
      </c>
      <c r="AA950" s="2">
        <v>1.1104847095040755</v>
      </c>
      <c r="AB950" s="2">
        <v>1.1722401598769241</v>
      </c>
      <c r="AC950" s="2">
        <v>1.168060089260988</v>
      </c>
      <c r="AD950" s="2">
        <v>1.0926057683000638</v>
      </c>
      <c r="AE950" s="2">
        <v>0.95323964257963656</v>
      </c>
      <c r="AF950" s="2">
        <v>0.78224184390039042</v>
      </c>
      <c r="AG950" s="2">
        <v>0.14017124034823386</v>
      </c>
      <c r="AH950" s="2">
        <v>0</v>
      </c>
      <c r="AI950" s="2">
        <v>0</v>
      </c>
      <c r="AJ950" s="2">
        <v>0</v>
      </c>
      <c r="AK950" s="2">
        <v>0</v>
      </c>
      <c r="AL950" s="2">
        <v>0</v>
      </c>
      <c r="AM950" s="2">
        <v>0</v>
      </c>
      <c r="AN950" s="2">
        <v>0</v>
      </c>
      <c r="AO950" s="2">
        <v>0</v>
      </c>
      <c r="AP950" s="2">
        <v>0</v>
      </c>
      <c r="AQ950" s="2">
        <v>0</v>
      </c>
      <c r="AR950" s="2">
        <v>10.487648453316853</v>
      </c>
    </row>
    <row r="951" spans="1:44" x14ac:dyDescent="0.25">
      <c r="A951" t="s">
        <v>435</v>
      </c>
      <c r="B951" t="s">
        <v>462</v>
      </c>
      <c r="C951" t="s">
        <v>46</v>
      </c>
      <c r="D951" t="s">
        <v>463</v>
      </c>
      <c r="E951" t="s">
        <v>134</v>
      </c>
      <c r="F951" t="s">
        <v>463</v>
      </c>
      <c r="G951" t="s">
        <v>33</v>
      </c>
      <c r="H951" t="s">
        <v>456</v>
      </c>
      <c r="I951" t="s">
        <v>135</v>
      </c>
      <c r="J951" t="s">
        <v>40</v>
      </c>
      <c r="K951" t="s">
        <v>33</v>
      </c>
      <c r="L951">
        <v>2.5000000000000026E-2</v>
      </c>
      <c r="M951">
        <v>1</v>
      </c>
      <c r="N951">
        <v>4.8021796953168767</v>
      </c>
      <c r="O951">
        <v>1.7054155637884914</v>
      </c>
      <c r="P951">
        <v>-0.74213157254111406</v>
      </c>
      <c r="Q951">
        <v>1.3498045353129324</v>
      </c>
      <c r="R951">
        <v>-0.38209153328775142</v>
      </c>
      <c r="S951" s="2">
        <v>0.42743057490520414</v>
      </c>
      <c r="T951" s="2">
        <v>0.68991484407192905</v>
      </c>
      <c r="U951" s="2">
        <v>1.0391220022297558</v>
      </c>
      <c r="V951" s="2">
        <v>1.4767725084403647</v>
      </c>
      <c r="W951" s="2">
        <v>1.9933310691751487</v>
      </c>
      <c r="X951" s="2">
        <v>2.5641574725268033</v>
      </c>
      <c r="Y951" s="2">
        <v>3.1469737524117054</v>
      </c>
      <c r="Z951" s="2">
        <v>3.6824228978196514</v>
      </c>
      <c r="AA951" s="2">
        <v>4.0995916989268482</v>
      </c>
      <c r="AB951" s="2">
        <v>4.3275751457453833</v>
      </c>
      <c r="AC951" s="2">
        <v>4.3121435214723443</v>
      </c>
      <c r="AD951" s="2">
        <v>4.0335877654028085</v>
      </c>
      <c r="AE951" s="2">
        <v>3.5190879193218922</v>
      </c>
      <c r="AF951" s="2">
        <v>2.8878129904547789</v>
      </c>
      <c r="AG951" s="2">
        <v>0.51747209884279</v>
      </c>
      <c r="AH951" s="2">
        <v>0</v>
      </c>
      <c r="AI951" s="2">
        <v>0</v>
      </c>
      <c r="AJ951" s="2">
        <v>0</v>
      </c>
      <c r="AK951" s="2">
        <v>0</v>
      </c>
      <c r="AL951" s="2">
        <v>0</v>
      </c>
      <c r="AM951" s="2">
        <v>0</v>
      </c>
      <c r="AN951" s="2">
        <v>0</v>
      </c>
      <c r="AO951" s="2">
        <v>0</v>
      </c>
      <c r="AP951" s="2">
        <v>0</v>
      </c>
      <c r="AQ951" s="2">
        <v>0</v>
      </c>
      <c r="AR951" s="2">
        <v>38.717396261747403</v>
      </c>
    </row>
    <row r="952" spans="1:44" x14ac:dyDescent="0.25">
      <c r="A952" t="s">
        <v>435</v>
      </c>
      <c r="B952" t="s">
        <v>462</v>
      </c>
      <c r="C952" t="s">
        <v>46</v>
      </c>
      <c r="D952" t="s">
        <v>463</v>
      </c>
      <c r="E952" t="s">
        <v>134</v>
      </c>
      <c r="F952" t="s">
        <v>463</v>
      </c>
      <c r="G952" t="s">
        <v>33</v>
      </c>
      <c r="H952" t="s">
        <v>456</v>
      </c>
      <c r="I952" t="s">
        <v>256</v>
      </c>
      <c r="J952" t="s">
        <v>40</v>
      </c>
      <c r="K952" t="s">
        <v>33</v>
      </c>
      <c r="L952">
        <v>2.5000000000000026E-2</v>
      </c>
      <c r="M952">
        <v>1</v>
      </c>
      <c r="N952">
        <v>4.4156409057984005</v>
      </c>
      <c r="O952">
        <v>1.4737622038640088</v>
      </c>
      <c r="P952">
        <v>-0.61665548152684757</v>
      </c>
      <c r="Q952">
        <v>1.3498045353129324</v>
      </c>
      <c r="R952">
        <v>-0.25661544227348493</v>
      </c>
      <c r="S952" s="2">
        <v>0.64186398208872208</v>
      </c>
      <c r="T952" s="2">
        <v>1.03603138174273</v>
      </c>
      <c r="U952" s="2">
        <v>1.5604288167151341</v>
      </c>
      <c r="V952" s="2">
        <v>2.217639866116051</v>
      </c>
      <c r="W952" s="2">
        <v>2.9933455695481959</v>
      </c>
      <c r="X952" s="2">
        <v>3.8505442114982591</v>
      </c>
      <c r="Y952" s="2">
        <v>4.7257478122608489</v>
      </c>
      <c r="Z952" s="2">
        <v>5.5298211304921674</v>
      </c>
      <c r="AA952" s="2">
        <v>6.1562752112308408</v>
      </c>
      <c r="AB952" s="2">
        <v>6.4986334130457468</v>
      </c>
      <c r="AC952" s="2">
        <v>6.4754600501945143</v>
      </c>
      <c r="AD952" s="2">
        <v>6.0571584187209604</v>
      </c>
      <c r="AE952" s="2">
        <v>5.2845442460853871</v>
      </c>
      <c r="AF952" s="2">
        <v>4.336571257196411</v>
      </c>
      <c r="AG952" s="2">
        <v>0.77707754541590435</v>
      </c>
      <c r="AH952" s="2">
        <v>0</v>
      </c>
      <c r="AI952" s="2">
        <v>0</v>
      </c>
      <c r="AJ952" s="2">
        <v>0</v>
      </c>
      <c r="AK952" s="2">
        <v>0</v>
      </c>
      <c r="AL952" s="2">
        <v>0</v>
      </c>
      <c r="AM952" s="2">
        <v>0</v>
      </c>
      <c r="AN952" s="2">
        <v>0</v>
      </c>
      <c r="AO952" s="2">
        <v>0</v>
      </c>
      <c r="AP952" s="2">
        <v>0</v>
      </c>
      <c r="AQ952" s="2">
        <v>0</v>
      </c>
      <c r="AR952" s="2">
        <v>58.141142912351874</v>
      </c>
    </row>
    <row r="953" spans="1:44" x14ac:dyDescent="0.25">
      <c r="A953" t="s">
        <v>435</v>
      </c>
      <c r="B953" t="s">
        <v>462</v>
      </c>
      <c r="C953" t="s">
        <v>46</v>
      </c>
      <c r="D953" t="s">
        <v>463</v>
      </c>
      <c r="E953" t="s">
        <v>134</v>
      </c>
      <c r="F953" t="s">
        <v>463</v>
      </c>
      <c r="G953" t="s">
        <v>33</v>
      </c>
      <c r="H953" t="s">
        <v>457</v>
      </c>
      <c r="I953" t="s">
        <v>135</v>
      </c>
      <c r="J953" t="s">
        <v>39</v>
      </c>
      <c r="K953" t="s">
        <v>31</v>
      </c>
      <c r="L953">
        <v>2.5000000000000026E-2</v>
      </c>
      <c r="M953">
        <v>1</v>
      </c>
      <c r="N953">
        <v>4.8021796953168767</v>
      </c>
      <c r="O953">
        <v>2.8779545327574696</v>
      </c>
      <c r="P953">
        <v>-0.74213157254111406</v>
      </c>
      <c r="Q953">
        <v>0.32461448738579723</v>
      </c>
      <c r="R953">
        <v>-0.52509153328775138</v>
      </c>
      <c r="S953" s="2">
        <v>4.6359959189191079E-2</v>
      </c>
      <c r="T953" s="2">
        <v>7.4829518272728324E-2</v>
      </c>
      <c r="U953" s="2">
        <v>0.11270521213098988</v>
      </c>
      <c r="V953" s="2">
        <v>0.16017364513102147</v>
      </c>
      <c r="W953" s="2">
        <v>0.21620060061917995</v>
      </c>
      <c r="X953" s="2">
        <v>0.27811355284391148</v>
      </c>
      <c r="Y953" s="2">
        <v>0.34132695061325125</v>
      </c>
      <c r="Z953" s="2">
        <v>0.39940281599678146</v>
      </c>
      <c r="AA953" s="2">
        <v>0.44464976305624859</v>
      </c>
      <c r="AB953" s="2">
        <v>0.46937729522369465</v>
      </c>
      <c r="AC953" s="2">
        <v>0.46770355096316857</v>
      </c>
      <c r="AD953" s="2">
        <v>0.4374908468622466</v>
      </c>
      <c r="AE953" s="2">
        <v>0.38168718360664916</v>
      </c>
      <c r="AF953" s="2">
        <v>0.31321786564564591</v>
      </c>
      <c r="AG953" s="2">
        <v>5.612603962460444E-2</v>
      </c>
      <c r="AH953" s="2">
        <v>0</v>
      </c>
      <c r="AI953" s="2">
        <v>0</v>
      </c>
      <c r="AJ953" s="2">
        <v>0</v>
      </c>
      <c r="AK953" s="2">
        <v>0</v>
      </c>
      <c r="AL953" s="2">
        <v>0</v>
      </c>
      <c r="AM953" s="2">
        <v>0</v>
      </c>
      <c r="AN953" s="2">
        <v>0</v>
      </c>
      <c r="AO953" s="2">
        <v>0</v>
      </c>
      <c r="AP953" s="2">
        <v>0</v>
      </c>
      <c r="AQ953" s="2">
        <v>0</v>
      </c>
      <c r="AR953" s="2">
        <v>4.1993647997793131</v>
      </c>
    </row>
    <row r="954" spans="1:44" x14ac:dyDescent="0.25">
      <c r="A954" t="s">
        <v>435</v>
      </c>
      <c r="B954" t="s">
        <v>462</v>
      </c>
      <c r="C954" t="s">
        <v>46</v>
      </c>
      <c r="D954" t="s">
        <v>463</v>
      </c>
      <c r="E954" t="s">
        <v>134</v>
      </c>
      <c r="F954" t="s">
        <v>463</v>
      </c>
      <c r="G954" t="s">
        <v>33</v>
      </c>
      <c r="H954" t="s">
        <v>457</v>
      </c>
      <c r="I954" t="s">
        <v>135</v>
      </c>
      <c r="J954" t="s">
        <v>39</v>
      </c>
      <c r="K954" t="s">
        <v>33</v>
      </c>
      <c r="L954">
        <v>2.5000000000000026E-2</v>
      </c>
      <c r="M954">
        <v>1</v>
      </c>
      <c r="N954">
        <v>4.8021796953168767</v>
      </c>
      <c r="O954">
        <v>2.8779545327574696</v>
      </c>
      <c r="P954">
        <v>-0.74213157254111406</v>
      </c>
      <c r="Q954">
        <v>0.32461448738579723</v>
      </c>
      <c r="R954">
        <v>-0.52509153328775138</v>
      </c>
      <c r="S954" s="2">
        <v>1.3564672349981459E-2</v>
      </c>
      <c r="T954" s="2">
        <v>2.1894710763963932E-2</v>
      </c>
      <c r="U954" s="2">
        <v>3.2976933142954079E-2</v>
      </c>
      <c r="V954" s="2">
        <v>4.6865938911591604E-2</v>
      </c>
      <c r="W954" s="2">
        <v>6.3259121892241407E-2</v>
      </c>
      <c r="X954" s="2">
        <v>8.1374515560326155E-2</v>
      </c>
      <c r="Y954" s="2">
        <v>9.9870412534067698E-2</v>
      </c>
      <c r="Z954" s="2">
        <v>0.11686309542566291</v>
      </c>
      <c r="AA954" s="2">
        <v>0.13010210646952355</v>
      </c>
      <c r="AB954" s="2">
        <v>0.13733724812498116</v>
      </c>
      <c r="AC954" s="2">
        <v>0.13684751964185102</v>
      </c>
      <c r="AD954" s="2">
        <v>0.12800744646008902</v>
      </c>
      <c r="AE954" s="2">
        <v>0.11167959757433407</v>
      </c>
      <c r="AF954" s="2">
        <v>9.1645846889233121E-2</v>
      </c>
      <c r="AG954" s="2">
        <v>1.6422174461002057E-2</v>
      </c>
      <c r="AH954" s="2">
        <v>0</v>
      </c>
      <c r="AI954" s="2">
        <v>0</v>
      </c>
      <c r="AJ954" s="2">
        <v>0</v>
      </c>
      <c r="AK954" s="2">
        <v>0</v>
      </c>
      <c r="AL954" s="2">
        <v>0</v>
      </c>
      <c r="AM954" s="2">
        <v>0</v>
      </c>
      <c r="AN954" s="2">
        <v>0</v>
      </c>
      <c r="AO954" s="2">
        <v>0</v>
      </c>
      <c r="AP954" s="2">
        <v>0</v>
      </c>
      <c r="AQ954" s="2">
        <v>0</v>
      </c>
      <c r="AR954" s="2">
        <v>1.2287113402018033</v>
      </c>
    </row>
    <row r="955" spans="1:44" x14ac:dyDescent="0.25">
      <c r="A955" t="s">
        <v>435</v>
      </c>
      <c r="B955" t="s">
        <v>462</v>
      </c>
      <c r="C955" t="s">
        <v>46</v>
      </c>
      <c r="D955" t="s">
        <v>463</v>
      </c>
      <c r="E955" t="s">
        <v>134</v>
      </c>
      <c r="F955" t="s">
        <v>463</v>
      </c>
      <c r="G955" t="s">
        <v>33</v>
      </c>
      <c r="H955" t="s">
        <v>457</v>
      </c>
      <c r="I955" t="s">
        <v>256</v>
      </c>
      <c r="J955" t="s">
        <v>39</v>
      </c>
      <c r="K955" t="s">
        <v>33</v>
      </c>
      <c r="L955">
        <v>2.5000000000000026E-2</v>
      </c>
      <c r="M955">
        <v>1</v>
      </c>
      <c r="N955">
        <v>4.4156409057984005</v>
      </c>
      <c r="O955">
        <v>2.6463011728329868</v>
      </c>
      <c r="P955">
        <v>-0.61665548152684757</v>
      </c>
      <c r="Q955">
        <v>1.3498045353129324</v>
      </c>
      <c r="R955">
        <v>-0.39961544227348494</v>
      </c>
      <c r="S955" s="2">
        <v>3.7303759138824652E-2</v>
      </c>
      <c r="T955" s="2">
        <v>6.021192371478537E-2</v>
      </c>
      <c r="U955" s="2">
        <v>9.0688778863395395E-2</v>
      </c>
      <c r="V955" s="2">
        <v>0.12888447666598249</v>
      </c>
      <c r="W955" s="2">
        <v>0.17396682982946857</v>
      </c>
      <c r="X955" s="2">
        <v>0.22378537794206976</v>
      </c>
      <c r="Y955" s="2">
        <v>0.2746503356766305</v>
      </c>
      <c r="Z955" s="2">
        <v>0.3213813538210798</v>
      </c>
      <c r="AA955" s="2">
        <v>0.35778952251651397</v>
      </c>
      <c r="AB955" s="2">
        <v>0.37768664754001935</v>
      </c>
      <c r="AC955" s="2">
        <v>0.37633986135110459</v>
      </c>
      <c r="AD955" s="2">
        <v>0.35202906694091135</v>
      </c>
      <c r="AE955" s="2">
        <v>0.30712638692224059</v>
      </c>
      <c r="AF955" s="2">
        <v>0.25203222829294702</v>
      </c>
      <c r="AG955" s="2">
        <v>4.5162081679755717E-2</v>
      </c>
      <c r="AH955" s="2">
        <v>0</v>
      </c>
      <c r="AI955" s="2">
        <v>0</v>
      </c>
      <c r="AJ955" s="2">
        <v>0</v>
      </c>
      <c r="AK955" s="2">
        <v>0</v>
      </c>
      <c r="AL955" s="2">
        <v>0</v>
      </c>
      <c r="AM955" s="2">
        <v>0</v>
      </c>
      <c r="AN955" s="2">
        <v>0</v>
      </c>
      <c r="AO955" s="2">
        <v>0</v>
      </c>
      <c r="AP955" s="2">
        <v>0</v>
      </c>
      <c r="AQ955" s="2">
        <v>0</v>
      </c>
      <c r="AR955" s="2">
        <v>3.379038630895729</v>
      </c>
    </row>
    <row r="956" spans="1:44" x14ac:dyDescent="0.25">
      <c r="A956" t="s">
        <v>435</v>
      </c>
      <c r="B956" t="s">
        <v>462</v>
      </c>
      <c r="C956" t="s">
        <v>46</v>
      </c>
      <c r="D956" t="s">
        <v>463</v>
      </c>
      <c r="E956" t="s">
        <v>134</v>
      </c>
      <c r="F956" t="s">
        <v>463</v>
      </c>
      <c r="G956" t="s">
        <v>33</v>
      </c>
      <c r="H956" t="s">
        <v>457</v>
      </c>
      <c r="I956" t="s">
        <v>256</v>
      </c>
      <c r="J956" t="s">
        <v>40</v>
      </c>
      <c r="K956" t="s">
        <v>33</v>
      </c>
      <c r="L956">
        <v>2.5000000000000026E-2</v>
      </c>
      <c r="M956">
        <v>1</v>
      </c>
      <c r="N956">
        <v>4.4156409057984005</v>
      </c>
      <c r="O956">
        <v>1.4737622038640088</v>
      </c>
      <c r="P956">
        <v>-0.61665548152684757</v>
      </c>
      <c r="Q956">
        <v>1.3498045353129324</v>
      </c>
      <c r="R956">
        <v>-0.25661544227348493</v>
      </c>
      <c r="S956" s="2">
        <v>0.3413437063891544</v>
      </c>
      <c r="T956" s="2">
        <v>0.55096220016697828</v>
      </c>
      <c r="U956" s="2">
        <v>0.82983711614521039</v>
      </c>
      <c r="V956" s="2">
        <v>1.1793424034685389</v>
      </c>
      <c r="W956" s="2">
        <v>1.5918632291660537</v>
      </c>
      <c r="X956" s="2">
        <v>2.047722055521791</v>
      </c>
      <c r="Y956" s="2">
        <v>2.5131559313365295</v>
      </c>
      <c r="Z956" s="2">
        <v>2.9407626740619155</v>
      </c>
      <c r="AA956" s="2">
        <v>3.2739113843324228</v>
      </c>
      <c r="AB956" s="2">
        <v>3.4559777111263652</v>
      </c>
      <c r="AC956" s="2">
        <v>3.4436541008508668</v>
      </c>
      <c r="AD956" s="2">
        <v>3.2212010060204475</v>
      </c>
      <c r="AE956" s="2">
        <v>2.8103242585232442</v>
      </c>
      <c r="AF956" s="2">
        <v>2.3061915721382347</v>
      </c>
      <c r="AG956" s="2">
        <v>0.41325037220639715</v>
      </c>
      <c r="AH956" s="2">
        <v>0</v>
      </c>
      <c r="AI956" s="2">
        <v>0</v>
      </c>
      <c r="AJ956" s="2">
        <v>0</v>
      </c>
      <c r="AK956" s="2">
        <v>0</v>
      </c>
      <c r="AL956" s="2">
        <v>0</v>
      </c>
      <c r="AM956" s="2">
        <v>0</v>
      </c>
      <c r="AN956" s="2">
        <v>0</v>
      </c>
      <c r="AO956" s="2">
        <v>0</v>
      </c>
      <c r="AP956" s="2">
        <v>0</v>
      </c>
      <c r="AQ956" s="2">
        <v>0</v>
      </c>
      <c r="AR956" s="2">
        <v>30.919499721454152</v>
      </c>
    </row>
    <row r="957" spans="1:44" x14ac:dyDescent="0.25">
      <c r="A957" t="s">
        <v>435</v>
      </c>
      <c r="B957" t="s">
        <v>464</v>
      </c>
      <c r="C957" t="s">
        <v>47</v>
      </c>
      <c r="D957" t="s">
        <v>465</v>
      </c>
      <c r="E957" t="s">
        <v>134</v>
      </c>
      <c r="F957" t="s">
        <v>465</v>
      </c>
      <c r="G957" t="s">
        <v>33</v>
      </c>
      <c r="H957" t="s">
        <v>450</v>
      </c>
      <c r="I957" t="s">
        <v>135</v>
      </c>
      <c r="J957" t="s">
        <v>39</v>
      </c>
      <c r="K957" t="s">
        <v>31</v>
      </c>
      <c r="L957">
        <v>0.1063578652050048</v>
      </c>
      <c r="M957">
        <v>1</v>
      </c>
      <c r="N957">
        <v>3.0509798266011336</v>
      </c>
      <c r="O957">
        <v>2.8779545327574692</v>
      </c>
      <c r="P957">
        <v>-0.5558095120879909</v>
      </c>
      <c r="Q957">
        <v>0.51093654783892051</v>
      </c>
      <c r="R957">
        <v>-0.52509153328775149</v>
      </c>
      <c r="S957" s="2">
        <v>8.0031214997055761E-2</v>
      </c>
      <c r="T957" s="2">
        <v>0.15874395463472885</v>
      </c>
      <c r="U957" s="2">
        <v>0.27968436558446214</v>
      </c>
      <c r="V957" s="2">
        <v>0.45143798034184851</v>
      </c>
      <c r="W957" s="2">
        <v>0.67993773731076812</v>
      </c>
      <c r="X957" s="2">
        <v>0.9663093994324583</v>
      </c>
      <c r="Y957" s="2">
        <v>1.3043136551607069</v>
      </c>
      <c r="Z957" s="2">
        <v>1.6778274603340393</v>
      </c>
      <c r="AA957" s="2">
        <v>2.0591867056993398</v>
      </c>
      <c r="AB957" s="2">
        <v>2.4095518019945139</v>
      </c>
      <c r="AC957" s="2">
        <v>2.6825214918796454</v>
      </c>
      <c r="AD957" s="2">
        <v>2.831699883484744</v>
      </c>
      <c r="AE957" s="2">
        <v>2.8216023745601664</v>
      </c>
      <c r="AF957" s="2">
        <v>2.6393325639985639</v>
      </c>
      <c r="AG957" s="2">
        <v>2.3026754049351115</v>
      </c>
      <c r="AH957" s="2">
        <v>1.8896077903201947</v>
      </c>
      <c r="AI957" s="2">
        <v>0.68439829069804581</v>
      </c>
      <c r="AJ957" s="2">
        <v>0</v>
      </c>
      <c r="AK957" s="2">
        <v>0</v>
      </c>
      <c r="AL957" s="2">
        <v>0</v>
      </c>
      <c r="AM957" s="2">
        <v>0</v>
      </c>
      <c r="AN957" s="2">
        <v>0</v>
      </c>
      <c r="AO957" s="2">
        <v>0</v>
      </c>
      <c r="AP957" s="2">
        <v>0</v>
      </c>
      <c r="AQ957" s="2">
        <v>0</v>
      </c>
      <c r="AR957" s="2">
        <v>25.918862075366395</v>
      </c>
    </row>
    <row r="958" spans="1:44" x14ac:dyDescent="0.25">
      <c r="A958" t="s">
        <v>435</v>
      </c>
      <c r="B958" t="s">
        <v>464</v>
      </c>
      <c r="C958" t="s">
        <v>47</v>
      </c>
      <c r="D958" t="s">
        <v>465</v>
      </c>
      <c r="E958" t="s">
        <v>134</v>
      </c>
      <c r="F958" t="s">
        <v>465</v>
      </c>
      <c r="G958" t="s">
        <v>33</v>
      </c>
      <c r="H958" t="s">
        <v>450</v>
      </c>
      <c r="I958" t="s">
        <v>135</v>
      </c>
      <c r="J958" t="s">
        <v>39</v>
      </c>
      <c r="K958" t="s">
        <v>33</v>
      </c>
      <c r="L958">
        <v>0.1063578652050048</v>
      </c>
      <c r="M958">
        <v>1</v>
      </c>
      <c r="N958">
        <v>3.0509798266011336</v>
      </c>
      <c r="O958">
        <v>2.8779545327574692</v>
      </c>
      <c r="P958">
        <v>-0.5558095120879909</v>
      </c>
      <c r="Q958">
        <v>0.51093654783892051</v>
      </c>
      <c r="R958">
        <v>-0.52509153328775149</v>
      </c>
      <c r="S958" s="2">
        <v>4.9305649036279237E-2</v>
      </c>
      <c r="T958" s="2">
        <v>9.7730838579425425E-2</v>
      </c>
      <c r="U958" s="2">
        <v>0.17206786895871251</v>
      </c>
      <c r="V958" s="2">
        <v>0.27754080564618272</v>
      </c>
      <c r="W958" s="2">
        <v>0.41772941343290726</v>
      </c>
      <c r="X958" s="2">
        <v>0.59325208695376119</v>
      </c>
      <c r="Y958" s="2">
        <v>0.80020686310277622</v>
      </c>
      <c r="Z958" s="2">
        <v>1.0286430331851195</v>
      </c>
      <c r="AA958" s="2">
        <v>1.2615668741130062</v>
      </c>
      <c r="AB958" s="2">
        <v>1.4751900647334542</v>
      </c>
      <c r="AC958" s="2">
        <v>1.6411643770088251</v>
      </c>
      <c r="AD958" s="2">
        <v>1.7312239621154915</v>
      </c>
      <c r="AE958" s="2">
        <v>1.7238481374871053</v>
      </c>
      <c r="AF958" s="2">
        <v>1.6113670105238853</v>
      </c>
      <c r="AG958" s="2">
        <v>1.4048509012395582</v>
      </c>
      <c r="AH958" s="2">
        <v>1.1520367758984413</v>
      </c>
      <c r="AI958" s="2">
        <v>0.26536261463137234</v>
      </c>
      <c r="AJ958" s="2">
        <v>0</v>
      </c>
      <c r="AK958" s="2">
        <v>0</v>
      </c>
      <c r="AL958" s="2">
        <v>0</v>
      </c>
      <c r="AM958" s="2">
        <v>0</v>
      </c>
      <c r="AN958" s="2">
        <v>0</v>
      </c>
      <c r="AO958" s="2">
        <v>0</v>
      </c>
      <c r="AP958" s="2">
        <v>0</v>
      </c>
      <c r="AQ958" s="2">
        <v>0</v>
      </c>
      <c r="AR958" s="2">
        <v>15.703087276646302</v>
      </c>
    </row>
    <row r="959" spans="1:44" x14ac:dyDescent="0.25">
      <c r="A959" t="s">
        <v>435</v>
      </c>
      <c r="B959" t="s">
        <v>464</v>
      </c>
      <c r="C959" t="s">
        <v>47</v>
      </c>
      <c r="D959" t="s">
        <v>465</v>
      </c>
      <c r="E959" t="s">
        <v>134</v>
      </c>
      <c r="F959" t="s">
        <v>465</v>
      </c>
      <c r="G959" t="s">
        <v>33</v>
      </c>
      <c r="H959" t="s">
        <v>450</v>
      </c>
      <c r="I959" t="s">
        <v>256</v>
      </c>
      <c r="J959" t="s">
        <v>40</v>
      </c>
      <c r="K959" t="s">
        <v>33</v>
      </c>
      <c r="L959">
        <v>0.1063578652050048</v>
      </c>
      <c r="M959">
        <v>1</v>
      </c>
      <c r="N959">
        <v>2.8053992519779527</v>
      </c>
      <c r="O959">
        <v>1.473762203864009</v>
      </c>
      <c r="P959">
        <v>-0.43033342107372458</v>
      </c>
      <c r="Q959">
        <v>1.3498045353129324</v>
      </c>
      <c r="R959">
        <v>-0.25661544227348498</v>
      </c>
      <c r="S959" s="2">
        <v>1.2879623779878104</v>
      </c>
      <c r="T959" s="2">
        <v>2.5547062019495286</v>
      </c>
      <c r="U959" s="2">
        <v>4.5010305116250953</v>
      </c>
      <c r="V959" s="2">
        <v>7.2651044307710686</v>
      </c>
      <c r="W959" s="2">
        <v>10.942408222374798</v>
      </c>
      <c r="X959" s="2">
        <v>15.551059071273482</v>
      </c>
      <c r="Y959" s="2">
        <v>20.990646174802649</v>
      </c>
      <c r="Z959" s="2">
        <v>27.001697347023626</v>
      </c>
      <c r="AA959" s="2">
        <v>33.139007152283966</v>
      </c>
      <c r="AB959" s="2">
        <v>38.777520357473499</v>
      </c>
      <c r="AC959" s="2">
        <v>43.170489912115173</v>
      </c>
      <c r="AD959" s="2">
        <v>45.57125511358273</v>
      </c>
      <c r="AE959" s="2">
        <v>45.408753374645862</v>
      </c>
      <c r="AF959" s="2">
        <v>42.475439683794811</v>
      </c>
      <c r="AG959" s="2">
        <v>37.057531744124802</v>
      </c>
      <c r="AH959" s="2">
        <v>30.409931214646992</v>
      </c>
      <c r="AI959" s="2">
        <v>11.014193024692659</v>
      </c>
      <c r="AJ959" s="2">
        <v>0</v>
      </c>
      <c r="AK959" s="2">
        <v>0</v>
      </c>
      <c r="AL959" s="2">
        <v>0</v>
      </c>
      <c r="AM959" s="2">
        <v>0</v>
      </c>
      <c r="AN959" s="2">
        <v>0</v>
      </c>
      <c r="AO959" s="2">
        <v>0</v>
      </c>
      <c r="AP959" s="2">
        <v>0</v>
      </c>
      <c r="AQ959" s="2">
        <v>0</v>
      </c>
      <c r="AR959" s="2">
        <v>417.11873591516854</v>
      </c>
    </row>
    <row r="960" spans="1:44" x14ac:dyDescent="0.25">
      <c r="A960" t="s">
        <v>435</v>
      </c>
      <c r="B960" t="s">
        <v>464</v>
      </c>
      <c r="C960" t="s">
        <v>47</v>
      </c>
      <c r="D960" t="s">
        <v>465</v>
      </c>
      <c r="E960" t="s">
        <v>134</v>
      </c>
      <c r="F960" t="s">
        <v>465</v>
      </c>
      <c r="G960" t="s">
        <v>33</v>
      </c>
      <c r="H960" t="s">
        <v>451</v>
      </c>
      <c r="I960" t="s">
        <v>135</v>
      </c>
      <c r="J960" t="s">
        <v>39</v>
      </c>
      <c r="K960" t="s">
        <v>31</v>
      </c>
      <c r="L960">
        <v>0.1063578652050048</v>
      </c>
      <c r="M960">
        <v>1</v>
      </c>
      <c r="N960">
        <v>3.0509798266011336</v>
      </c>
      <c r="O960">
        <v>2.8779545327574692</v>
      </c>
      <c r="P960">
        <v>-0.5558095120879909</v>
      </c>
      <c r="Q960">
        <v>0.51093654783892051</v>
      </c>
      <c r="R960">
        <v>-0.52509153328775149</v>
      </c>
      <c r="S960" s="2">
        <v>2.0934790328103067E-2</v>
      </c>
      <c r="T960" s="2">
        <v>4.152469016313462E-2</v>
      </c>
      <c r="U960" s="2">
        <v>7.316062303658194E-2</v>
      </c>
      <c r="V960" s="2">
        <v>0.11808841668774607</v>
      </c>
      <c r="W960" s="2">
        <v>0.17786002583228822</v>
      </c>
      <c r="X960" s="2">
        <v>0.25276993070688636</v>
      </c>
      <c r="Y960" s="2">
        <v>0.34118603464755165</v>
      </c>
      <c r="Z960" s="2">
        <v>0.43889082641215654</v>
      </c>
      <c r="AA960" s="2">
        <v>0.53864785048957275</v>
      </c>
      <c r="AB960" s="2">
        <v>0.63029733787390108</v>
      </c>
      <c r="AC960" s="2">
        <v>0.70170151715423268</v>
      </c>
      <c r="AD960" s="2">
        <v>0.74072402043437502</v>
      </c>
      <c r="AE960" s="2">
        <v>0.73808268564794244</v>
      </c>
      <c r="AF960" s="2">
        <v>0.69040403591870159</v>
      </c>
      <c r="AG960" s="2">
        <v>0.60234030931268279</v>
      </c>
      <c r="AH960" s="2">
        <v>0.49428892081869225</v>
      </c>
      <c r="AI960" s="2">
        <v>0.1790268299338304</v>
      </c>
      <c r="AJ960" s="2">
        <v>0</v>
      </c>
      <c r="AK960" s="2">
        <v>0</v>
      </c>
      <c r="AL960" s="2">
        <v>0</v>
      </c>
      <c r="AM960" s="2">
        <v>0</v>
      </c>
      <c r="AN960" s="2">
        <v>0</v>
      </c>
      <c r="AO960" s="2">
        <v>0</v>
      </c>
      <c r="AP960" s="2">
        <v>0</v>
      </c>
      <c r="AQ960" s="2">
        <v>0</v>
      </c>
      <c r="AR960" s="2">
        <v>6.7799288453983797</v>
      </c>
    </row>
    <row r="961" spans="1:44" x14ac:dyDescent="0.25">
      <c r="A961" t="s">
        <v>435</v>
      </c>
      <c r="B961" t="s">
        <v>464</v>
      </c>
      <c r="C961" t="s">
        <v>47</v>
      </c>
      <c r="D961" t="s">
        <v>465</v>
      </c>
      <c r="E961" t="s">
        <v>134</v>
      </c>
      <c r="F961" t="s">
        <v>465</v>
      </c>
      <c r="G961" t="s">
        <v>33</v>
      </c>
      <c r="H961" t="s">
        <v>451</v>
      </c>
      <c r="I961" t="s">
        <v>135</v>
      </c>
      <c r="J961" t="s">
        <v>39</v>
      </c>
      <c r="K961" t="s">
        <v>33</v>
      </c>
      <c r="L961">
        <v>0.1063578652050048</v>
      </c>
      <c r="M961">
        <v>1</v>
      </c>
      <c r="N961">
        <v>3.0509798266011336</v>
      </c>
      <c r="O961">
        <v>2.8779545327574692</v>
      </c>
      <c r="P961">
        <v>-0.5558095120879909</v>
      </c>
      <c r="Q961">
        <v>0.51093654783892051</v>
      </c>
      <c r="R961">
        <v>-0.52509153328775149</v>
      </c>
      <c r="S961" s="2">
        <v>9.4307307931470089E-2</v>
      </c>
      <c r="T961" s="2">
        <v>0.18706094881287816</v>
      </c>
      <c r="U961" s="2">
        <v>0.32957489886617453</v>
      </c>
      <c r="V961" s="2">
        <v>0.53196619126207056</v>
      </c>
      <c r="W961" s="2">
        <v>0.80122609120894428</v>
      </c>
      <c r="X961" s="2">
        <v>1.138681176997042</v>
      </c>
      <c r="Y961" s="2">
        <v>1.5369791589567556</v>
      </c>
      <c r="Z961" s="2">
        <v>1.9771209391662961</v>
      </c>
      <c r="AA961" s="2">
        <v>2.4265076414236773</v>
      </c>
      <c r="AB961" s="2">
        <v>2.8393714099665375</v>
      </c>
      <c r="AC961" s="2">
        <v>3.161033858811054</v>
      </c>
      <c r="AD961" s="2">
        <v>3.3368229245442302</v>
      </c>
      <c r="AE961" s="2">
        <v>3.3249242062313074</v>
      </c>
      <c r="AF961" s="2">
        <v>3.1101408226243485</v>
      </c>
      <c r="AG961" s="2">
        <v>2.7134302345332015</v>
      </c>
      <c r="AH961" s="2">
        <v>2.2266789746724105</v>
      </c>
      <c r="AI961" s="2">
        <v>0.80648232506536655</v>
      </c>
      <c r="AJ961" s="2">
        <v>0</v>
      </c>
      <c r="AK961" s="2">
        <v>0</v>
      </c>
      <c r="AL961" s="2">
        <v>0</v>
      </c>
      <c r="AM961" s="2">
        <v>0</v>
      </c>
      <c r="AN961" s="2">
        <v>0</v>
      </c>
      <c r="AO961" s="2">
        <v>0</v>
      </c>
      <c r="AP961" s="2">
        <v>0</v>
      </c>
      <c r="AQ961" s="2">
        <v>0</v>
      </c>
      <c r="AR961" s="2">
        <v>30.542309111073767</v>
      </c>
    </row>
    <row r="962" spans="1:44" x14ac:dyDescent="0.25">
      <c r="A962" t="s">
        <v>435</v>
      </c>
      <c r="B962" t="s">
        <v>464</v>
      </c>
      <c r="C962" t="s">
        <v>47</v>
      </c>
      <c r="D962" t="s">
        <v>465</v>
      </c>
      <c r="E962" t="s">
        <v>134</v>
      </c>
      <c r="F962" t="s">
        <v>465</v>
      </c>
      <c r="G962" t="s">
        <v>33</v>
      </c>
      <c r="H962" t="s">
        <v>452</v>
      </c>
      <c r="I962" t="s">
        <v>135</v>
      </c>
      <c r="J962" t="s">
        <v>39</v>
      </c>
      <c r="K962" t="s">
        <v>31</v>
      </c>
      <c r="L962">
        <v>0.1063578652050048</v>
      </c>
      <c r="M962">
        <v>1</v>
      </c>
      <c r="N962">
        <v>3.0509798266011336</v>
      </c>
      <c r="O962">
        <v>2.8779545327574692</v>
      </c>
      <c r="P962">
        <v>-0.5558095120879909</v>
      </c>
      <c r="Q962">
        <v>0.51093654783892051</v>
      </c>
      <c r="R962">
        <v>-0.52509153328775149</v>
      </c>
      <c r="S962" s="2">
        <v>0.47415868696929137</v>
      </c>
      <c r="T962" s="2">
        <v>0.94050584008608218</v>
      </c>
      <c r="U962" s="2">
        <v>1.6570380889037672</v>
      </c>
      <c r="V962" s="2">
        <v>2.6746218961543242</v>
      </c>
      <c r="W962" s="2">
        <v>4.0284079750133159</v>
      </c>
      <c r="X962" s="2">
        <v>5.7250661014934598</v>
      </c>
      <c r="Y962" s="2">
        <v>7.7276304020858584</v>
      </c>
      <c r="Z962" s="2">
        <v>9.9405771308392126</v>
      </c>
      <c r="AA962" s="2">
        <v>12.200005518283573</v>
      </c>
      <c r="AB962" s="2">
        <v>14.275803743079996</v>
      </c>
      <c r="AC962" s="2">
        <v>15.893059581856278</v>
      </c>
      <c r="AD962" s="2">
        <v>16.776892599888889</v>
      </c>
      <c r="AE962" s="2">
        <v>16.717068172963536</v>
      </c>
      <c r="AF962" s="2">
        <v>15.637179356416016</v>
      </c>
      <c r="AG962" s="2">
        <v>13.642596161518735</v>
      </c>
      <c r="AH962" s="2">
        <v>11.195306091231142</v>
      </c>
      <c r="AI962" s="2">
        <v>4.0548352901221376</v>
      </c>
      <c r="AJ962" s="2">
        <v>0</v>
      </c>
      <c r="AK962" s="2">
        <v>0</v>
      </c>
      <c r="AL962" s="2">
        <v>0</v>
      </c>
      <c r="AM962" s="2">
        <v>0</v>
      </c>
      <c r="AN962" s="2">
        <v>0</v>
      </c>
      <c r="AO962" s="2">
        <v>0</v>
      </c>
      <c r="AP962" s="2">
        <v>0</v>
      </c>
      <c r="AQ962" s="2">
        <v>0</v>
      </c>
      <c r="AR962" s="2">
        <v>153.56075263690565</v>
      </c>
    </row>
    <row r="963" spans="1:44" x14ac:dyDescent="0.25">
      <c r="A963" t="s">
        <v>435</v>
      </c>
      <c r="B963" t="s">
        <v>464</v>
      </c>
      <c r="C963" t="s">
        <v>47</v>
      </c>
      <c r="D963" t="s">
        <v>465</v>
      </c>
      <c r="E963" t="s">
        <v>134</v>
      </c>
      <c r="F963" t="s">
        <v>465</v>
      </c>
      <c r="G963" t="s">
        <v>33</v>
      </c>
      <c r="H963" t="s">
        <v>452</v>
      </c>
      <c r="I963" t="s">
        <v>135</v>
      </c>
      <c r="J963" t="s">
        <v>39</v>
      </c>
      <c r="K963" t="s">
        <v>33</v>
      </c>
      <c r="L963">
        <v>0.1063578652050048</v>
      </c>
      <c r="M963">
        <v>1</v>
      </c>
      <c r="N963">
        <v>3.0509798266011336</v>
      </c>
      <c r="O963">
        <v>2.8779545327574692</v>
      </c>
      <c r="P963">
        <v>-0.5558095120879909</v>
      </c>
      <c r="Q963">
        <v>0.51093654783892051</v>
      </c>
      <c r="R963">
        <v>-0.52509153328775149</v>
      </c>
      <c r="S963" s="2">
        <v>0.9376330735574363</v>
      </c>
      <c r="T963" s="2">
        <v>1.8598190980644091</v>
      </c>
      <c r="U963" s="2">
        <v>3.2767378495824206</v>
      </c>
      <c r="V963" s="2">
        <v>5.2889760707001763</v>
      </c>
      <c r="W963" s="2">
        <v>7.9660431306189485</v>
      </c>
      <c r="X963" s="2">
        <v>11.32112829013815</v>
      </c>
      <c r="Y963" s="2">
        <v>15.281132760714161</v>
      </c>
      <c r="Z963" s="2">
        <v>19.657161503670139</v>
      </c>
      <c r="AA963" s="2">
        <v>24.125106184686985</v>
      </c>
      <c r="AB963" s="2">
        <v>28.229928310885839</v>
      </c>
      <c r="AC963" s="2">
        <v>31.427998080592968</v>
      </c>
      <c r="AD963" s="2">
        <v>33.17574855313282</v>
      </c>
      <c r="AE963" s="2">
        <v>33.057447733526708</v>
      </c>
      <c r="AF963" s="2">
        <v>30.922003423454768</v>
      </c>
      <c r="AG963" s="2">
        <v>26.977781324622544</v>
      </c>
      <c r="AH963" s="2">
        <v>22.138346397979596</v>
      </c>
      <c r="AI963" s="2">
        <v>8.0183022695366404</v>
      </c>
      <c r="AJ963" s="2">
        <v>0</v>
      </c>
      <c r="AK963" s="2">
        <v>0</v>
      </c>
      <c r="AL963" s="2">
        <v>0</v>
      </c>
      <c r="AM963" s="2">
        <v>0</v>
      </c>
      <c r="AN963" s="2">
        <v>0</v>
      </c>
      <c r="AO963" s="2">
        <v>0</v>
      </c>
      <c r="AP963" s="2">
        <v>0</v>
      </c>
      <c r="AQ963" s="2">
        <v>0</v>
      </c>
      <c r="AR963" s="2">
        <v>303.66129405546468</v>
      </c>
    </row>
    <row r="964" spans="1:44" x14ac:dyDescent="0.25">
      <c r="A964" t="s">
        <v>435</v>
      </c>
      <c r="B964" t="s">
        <v>464</v>
      </c>
      <c r="C964" t="s">
        <v>47</v>
      </c>
      <c r="D964" t="s">
        <v>465</v>
      </c>
      <c r="E964" t="s">
        <v>134</v>
      </c>
      <c r="F964" t="s">
        <v>465</v>
      </c>
      <c r="G964" t="s">
        <v>33</v>
      </c>
      <c r="H964" t="s">
        <v>452</v>
      </c>
      <c r="I964" t="s">
        <v>135</v>
      </c>
      <c r="J964" t="s">
        <v>40</v>
      </c>
      <c r="K964" t="s">
        <v>33</v>
      </c>
      <c r="L964">
        <v>0.1063578652050048</v>
      </c>
      <c r="M964">
        <v>1</v>
      </c>
      <c r="N964">
        <v>3.0509798266011336</v>
      </c>
      <c r="O964">
        <v>1.7054155637884918</v>
      </c>
      <c r="P964">
        <v>-0.5558095120879909</v>
      </c>
      <c r="Q964">
        <v>1.3498045353129324</v>
      </c>
      <c r="R964">
        <v>-0.38209153328775169</v>
      </c>
      <c r="S964" s="2">
        <v>6.8655948546708687E-2</v>
      </c>
      <c r="T964" s="2">
        <v>0.13618082371864468</v>
      </c>
      <c r="U964" s="2">
        <v>0.23993132446623622</v>
      </c>
      <c r="V964" s="2">
        <v>0.38727267543695626</v>
      </c>
      <c r="W964" s="2">
        <v>0.58329453463240544</v>
      </c>
      <c r="X964" s="2">
        <v>0.82896265426029714</v>
      </c>
      <c r="Y964" s="2">
        <v>1.1189245496370059</v>
      </c>
      <c r="Z964" s="2">
        <v>1.439348831467653</v>
      </c>
      <c r="AA964" s="2">
        <v>1.766503438936438</v>
      </c>
      <c r="AB964" s="2">
        <v>2.0670692622178799</v>
      </c>
      <c r="AC964" s="2">
        <v>2.301240303907726</v>
      </c>
      <c r="AD964" s="2">
        <v>2.4292151694485922</v>
      </c>
      <c r="AE964" s="2">
        <v>2.4205528737030981</v>
      </c>
      <c r="AF964" s="2">
        <v>2.2641900503222958</v>
      </c>
      <c r="AG964" s="2">
        <v>1.9753837815259034</v>
      </c>
      <c r="AH964" s="2">
        <v>1.6210276856406078</v>
      </c>
      <c r="AI964" s="2">
        <v>0.58712108560827303</v>
      </c>
      <c r="AJ964" s="2">
        <v>0</v>
      </c>
      <c r="AK964" s="2">
        <v>0</v>
      </c>
      <c r="AL964" s="2">
        <v>0</v>
      </c>
      <c r="AM964" s="2">
        <v>0</v>
      </c>
      <c r="AN964" s="2">
        <v>0</v>
      </c>
      <c r="AO964" s="2">
        <v>0</v>
      </c>
      <c r="AP964" s="2">
        <v>0</v>
      </c>
      <c r="AQ964" s="2">
        <v>0</v>
      </c>
      <c r="AR964" s="2">
        <v>22.234874993476719</v>
      </c>
    </row>
    <row r="965" spans="1:44" x14ac:dyDescent="0.25">
      <c r="A965" t="s">
        <v>435</v>
      </c>
      <c r="B965" t="s">
        <v>464</v>
      </c>
      <c r="C965" t="s">
        <v>47</v>
      </c>
      <c r="D965" t="s">
        <v>465</v>
      </c>
      <c r="E965" t="s">
        <v>134</v>
      </c>
      <c r="F965" t="s">
        <v>465</v>
      </c>
      <c r="G965" t="s">
        <v>33</v>
      </c>
      <c r="H965" t="s">
        <v>452</v>
      </c>
      <c r="I965" t="s">
        <v>256</v>
      </c>
      <c r="J965" t="s">
        <v>40</v>
      </c>
      <c r="K965" t="s">
        <v>33</v>
      </c>
      <c r="L965">
        <v>0.1063578652050048</v>
      </c>
      <c r="M965">
        <v>1</v>
      </c>
      <c r="N965">
        <v>2.8053992519779527</v>
      </c>
      <c r="O965">
        <v>1.473762203864009</v>
      </c>
      <c r="P965">
        <v>-0.43033342107372458</v>
      </c>
      <c r="Q965">
        <v>1.3498045353129324</v>
      </c>
      <c r="R965">
        <v>-0.25661544227348498</v>
      </c>
      <c r="S965" s="2">
        <v>0.41400309123730805</v>
      </c>
      <c r="T965" s="2">
        <v>0.8211856828167674</v>
      </c>
      <c r="U965" s="2">
        <v>1.4468128707901342</v>
      </c>
      <c r="V965" s="2">
        <v>2.3352977881233978</v>
      </c>
      <c r="W965" s="2">
        <v>3.5173316449827059</v>
      </c>
      <c r="X965" s="2">
        <v>4.9987380357954319</v>
      </c>
      <c r="Y965" s="2">
        <v>6.7472408759435964</v>
      </c>
      <c r="Z965" s="2">
        <v>8.6794353324098417</v>
      </c>
      <c r="AA965" s="2">
        <v>10.652214409410854</v>
      </c>
      <c r="AB965" s="2">
        <v>12.464660127412207</v>
      </c>
      <c r="AC965" s="2">
        <v>13.87673784522133</v>
      </c>
      <c r="AD965" s="2">
        <v>14.64844067732993</v>
      </c>
      <c r="AE965" s="2">
        <v>14.596206059765709</v>
      </c>
      <c r="AF965" s="2">
        <v>13.653320649185375</v>
      </c>
      <c r="AG965" s="2">
        <v>11.911786367285908</v>
      </c>
      <c r="AH965" s="2">
        <v>9.7749792558745927</v>
      </c>
      <c r="AI965" s="2">
        <v>3.5404061777263358</v>
      </c>
      <c r="AJ965" s="2">
        <v>0</v>
      </c>
      <c r="AK965" s="2">
        <v>0</v>
      </c>
      <c r="AL965" s="2">
        <v>0</v>
      </c>
      <c r="AM965" s="2">
        <v>0</v>
      </c>
      <c r="AN965" s="2">
        <v>0</v>
      </c>
      <c r="AO965" s="2">
        <v>0</v>
      </c>
      <c r="AP965" s="2">
        <v>0</v>
      </c>
      <c r="AQ965" s="2">
        <v>0</v>
      </c>
      <c r="AR965" s="2">
        <v>134.07879689131141</v>
      </c>
    </row>
    <row r="966" spans="1:44" x14ac:dyDescent="0.25">
      <c r="A966" t="s">
        <v>435</v>
      </c>
      <c r="B966" t="s">
        <v>464</v>
      </c>
      <c r="C966" t="s">
        <v>47</v>
      </c>
      <c r="D966" t="s">
        <v>465</v>
      </c>
      <c r="E966" t="s">
        <v>134</v>
      </c>
      <c r="F966" t="s">
        <v>465</v>
      </c>
      <c r="G966" t="s">
        <v>33</v>
      </c>
      <c r="H966" t="s">
        <v>453</v>
      </c>
      <c r="I966" t="s">
        <v>135</v>
      </c>
      <c r="J966" t="s">
        <v>39</v>
      </c>
      <c r="K966" t="s">
        <v>31</v>
      </c>
      <c r="L966">
        <v>0.1063578652050048</v>
      </c>
      <c r="M966">
        <v>1</v>
      </c>
      <c r="N966">
        <v>3.0509798266011336</v>
      </c>
      <c r="O966">
        <v>2.8779545327574692</v>
      </c>
      <c r="P966">
        <v>-0.5558095120879909</v>
      </c>
      <c r="Q966">
        <v>0.51093654783892051</v>
      </c>
      <c r="R966">
        <v>-0.52509153328775149</v>
      </c>
      <c r="S966" s="2">
        <v>0.14501189378457649</v>
      </c>
      <c r="T966" s="2">
        <v>0.28763478711752405</v>
      </c>
      <c r="U966" s="2">
        <v>0.5067717579551021</v>
      </c>
      <c r="V966" s="2">
        <v>0.81797929043141715</v>
      </c>
      <c r="W966" s="2">
        <v>1.2320075228979304</v>
      </c>
      <c r="X966" s="2">
        <v>1.7508962721444701</v>
      </c>
      <c r="Y966" s="2">
        <v>2.3633402695547652</v>
      </c>
      <c r="Z966" s="2">
        <v>3.0401254994786262</v>
      </c>
      <c r="AA966" s="2">
        <v>3.7311262094480244</v>
      </c>
      <c r="AB966" s="2">
        <v>4.3659673290242793</v>
      </c>
      <c r="AC966" s="2">
        <v>4.8605724862430923</v>
      </c>
      <c r="AD966" s="2">
        <v>5.130875031058741</v>
      </c>
      <c r="AE966" s="2">
        <v>5.112578933820763</v>
      </c>
      <c r="AF966" s="2">
        <v>4.7823166679003188</v>
      </c>
      <c r="AG966" s="2">
        <v>4.1723135310777355</v>
      </c>
      <c r="AH966" s="2">
        <v>3.4238591054065726</v>
      </c>
      <c r="AI966" s="2">
        <v>1.2400897854756023</v>
      </c>
      <c r="AJ966" s="2">
        <v>0</v>
      </c>
      <c r="AK966" s="2">
        <v>0</v>
      </c>
      <c r="AL966" s="2">
        <v>0</v>
      </c>
      <c r="AM966" s="2">
        <v>0</v>
      </c>
      <c r="AN966" s="2">
        <v>0</v>
      </c>
      <c r="AO966" s="2">
        <v>0</v>
      </c>
      <c r="AP966" s="2">
        <v>0</v>
      </c>
      <c r="AQ966" s="2">
        <v>0</v>
      </c>
      <c r="AR966" s="2">
        <v>46.963466372819539</v>
      </c>
    </row>
    <row r="967" spans="1:44" x14ac:dyDescent="0.25">
      <c r="A967" t="s">
        <v>435</v>
      </c>
      <c r="B967" t="s">
        <v>464</v>
      </c>
      <c r="C967" t="s">
        <v>47</v>
      </c>
      <c r="D967" t="s">
        <v>465</v>
      </c>
      <c r="E967" t="s">
        <v>134</v>
      </c>
      <c r="F967" t="s">
        <v>465</v>
      </c>
      <c r="G967" t="s">
        <v>33</v>
      </c>
      <c r="H967" t="s">
        <v>453</v>
      </c>
      <c r="I967" t="s">
        <v>135</v>
      </c>
      <c r="J967" t="s">
        <v>39</v>
      </c>
      <c r="K967" t="s">
        <v>33</v>
      </c>
      <c r="L967">
        <v>0.1063578652050048</v>
      </c>
      <c r="M967">
        <v>1</v>
      </c>
      <c r="N967">
        <v>3.0509798266011336</v>
      </c>
      <c r="O967">
        <v>2.8779545327574692</v>
      </c>
      <c r="P967">
        <v>-0.5558095120879909</v>
      </c>
      <c r="Q967">
        <v>0.51093654783892051</v>
      </c>
      <c r="R967">
        <v>-0.52509153328775149</v>
      </c>
      <c r="S967" s="2">
        <v>0.13194399091357578</v>
      </c>
      <c r="T967" s="2">
        <v>0.26171426872227677</v>
      </c>
      <c r="U967" s="2">
        <v>0.46110347559640419</v>
      </c>
      <c r="V967" s="2">
        <v>0.74426620636034535</v>
      </c>
      <c r="W967" s="2">
        <v>1.1209838390786611</v>
      </c>
      <c r="X967" s="2">
        <v>1.5931123702559016</v>
      </c>
      <c r="Y967" s="2">
        <v>2.1503653177239443</v>
      </c>
      <c r="Z967" s="2">
        <v>2.7661613182932023</v>
      </c>
      <c r="AA967" s="2">
        <v>3.3948917556249154</v>
      </c>
      <c r="AB967" s="2">
        <v>3.9725234844910262</v>
      </c>
      <c r="AC967" s="2">
        <v>4.4225567656702536</v>
      </c>
      <c r="AD967" s="2">
        <v>4.6685007057587438</v>
      </c>
      <c r="AE967" s="2">
        <v>4.651853381013729</v>
      </c>
      <c r="AF967" s="2">
        <v>4.3513530546167853</v>
      </c>
      <c r="AG967" s="2">
        <v>3.796321006957724</v>
      </c>
      <c r="AH967" s="2">
        <v>3.1153143573467181</v>
      </c>
      <c r="AI967" s="2">
        <v>1.1283377598659599</v>
      </c>
      <c r="AJ967" s="2">
        <v>0</v>
      </c>
      <c r="AK967" s="2">
        <v>0</v>
      </c>
      <c r="AL967" s="2">
        <v>0</v>
      </c>
      <c r="AM967" s="2">
        <v>0</v>
      </c>
      <c r="AN967" s="2">
        <v>0</v>
      </c>
      <c r="AO967" s="2">
        <v>0</v>
      </c>
      <c r="AP967" s="2">
        <v>0</v>
      </c>
      <c r="AQ967" s="2">
        <v>0</v>
      </c>
      <c r="AR967" s="2">
        <v>42.731303058290173</v>
      </c>
    </row>
    <row r="968" spans="1:44" x14ac:dyDescent="0.25">
      <c r="A968" t="s">
        <v>435</v>
      </c>
      <c r="B968" t="s">
        <v>464</v>
      </c>
      <c r="C968" t="s">
        <v>47</v>
      </c>
      <c r="D968" t="s">
        <v>465</v>
      </c>
      <c r="E968" t="s">
        <v>134</v>
      </c>
      <c r="F968" t="s">
        <v>465</v>
      </c>
      <c r="G968" t="s">
        <v>33</v>
      </c>
      <c r="H968" t="s">
        <v>453</v>
      </c>
      <c r="I968" t="s">
        <v>135</v>
      </c>
      <c r="J968" t="s">
        <v>40</v>
      </c>
      <c r="K968" t="s">
        <v>33</v>
      </c>
      <c r="L968">
        <v>0.1063578652050048</v>
      </c>
      <c r="M968">
        <v>1</v>
      </c>
      <c r="N968">
        <v>3.0509798266011336</v>
      </c>
      <c r="O968">
        <v>1.7054155637884918</v>
      </c>
      <c r="P968">
        <v>-0.5558095120879909</v>
      </c>
      <c r="Q968">
        <v>1.3498045353129324</v>
      </c>
      <c r="R968">
        <v>-0.38209153328775169</v>
      </c>
      <c r="S968" s="2">
        <v>2.6869887495435534</v>
      </c>
      <c r="T968" s="2">
        <v>5.3297106657353721</v>
      </c>
      <c r="U968" s="2">
        <v>9.3901953603518695</v>
      </c>
      <c r="V968" s="2">
        <v>15.156695726034343</v>
      </c>
      <c r="W968" s="2">
        <v>22.828405774063857</v>
      </c>
      <c r="X968" s="2">
        <v>32.443122161130795</v>
      </c>
      <c r="Y968" s="2">
        <v>43.791364624687759</v>
      </c>
      <c r="Z968" s="2">
        <v>56.331813902346099</v>
      </c>
      <c r="AA968" s="2">
        <v>69.135668021875333</v>
      </c>
      <c r="AB968" s="2">
        <v>80.89891654949686</v>
      </c>
      <c r="AC968" s="2">
        <v>90.063671648050885</v>
      </c>
      <c r="AD968" s="2">
        <v>95.072225622055228</v>
      </c>
      <c r="AE968" s="2">
        <v>94.733209241012517</v>
      </c>
      <c r="AF968" s="2">
        <v>88.613635392502559</v>
      </c>
      <c r="AG968" s="2">
        <v>77.310620701421442</v>
      </c>
      <c r="AH968" s="2">
        <v>63.442181576613642</v>
      </c>
      <c r="AI968" s="2">
        <v>22.978165549281364</v>
      </c>
      <c r="AJ968" s="2">
        <v>0</v>
      </c>
      <c r="AK968" s="2">
        <v>0</v>
      </c>
      <c r="AL968" s="2">
        <v>0</v>
      </c>
      <c r="AM968" s="2">
        <v>0</v>
      </c>
      <c r="AN968" s="2">
        <v>0</v>
      </c>
      <c r="AO968" s="2">
        <v>0</v>
      </c>
      <c r="AP968" s="2">
        <v>0</v>
      </c>
      <c r="AQ968" s="2">
        <v>0</v>
      </c>
      <c r="AR968" s="2">
        <v>870.20659126620353</v>
      </c>
    </row>
    <row r="969" spans="1:44" x14ac:dyDescent="0.25">
      <c r="A969" t="s">
        <v>435</v>
      </c>
      <c r="B969" t="s">
        <v>464</v>
      </c>
      <c r="C969" t="s">
        <v>47</v>
      </c>
      <c r="D969" t="s">
        <v>465</v>
      </c>
      <c r="E969" t="s">
        <v>134</v>
      </c>
      <c r="F969" t="s">
        <v>465</v>
      </c>
      <c r="G969" t="s">
        <v>33</v>
      </c>
      <c r="H969" t="s">
        <v>453</v>
      </c>
      <c r="I969" t="s">
        <v>256</v>
      </c>
      <c r="J969" t="s">
        <v>40</v>
      </c>
      <c r="K969" t="s">
        <v>33</v>
      </c>
      <c r="L969">
        <v>0.1063578652050048</v>
      </c>
      <c r="M969">
        <v>1</v>
      </c>
      <c r="N969">
        <v>2.8053992519779527</v>
      </c>
      <c r="O969">
        <v>1.473762203864009</v>
      </c>
      <c r="P969">
        <v>-0.43033342107372458</v>
      </c>
      <c r="Q969">
        <v>1.3498045353129324</v>
      </c>
      <c r="R969">
        <v>-0.25661544227348498</v>
      </c>
      <c r="S969" s="2">
        <v>1.3832543951813241</v>
      </c>
      <c r="T969" s="2">
        <v>2.7437203466801248</v>
      </c>
      <c r="U969" s="2">
        <v>4.8340466650723721</v>
      </c>
      <c r="V969" s="2">
        <v>7.8026251442342183</v>
      </c>
      <c r="W969" s="2">
        <v>11.752000311620476</v>
      </c>
      <c r="X969" s="2">
        <v>16.701629781818845</v>
      </c>
      <c r="Y969" s="2">
        <v>22.543673693601168</v>
      </c>
      <c r="Z969" s="2">
        <v>28.999462384125486</v>
      </c>
      <c r="AA969" s="2">
        <v>35.590851160542179</v>
      </c>
      <c r="AB969" s="2">
        <v>41.646539049152359</v>
      </c>
      <c r="AC969" s="2">
        <v>46.364529689414184</v>
      </c>
      <c r="AD969" s="2">
        <v>48.942919457224455</v>
      </c>
      <c r="AE969" s="2">
        <v>48.768394759569702</v>
      </c>
      <c r="AF969" s="2">
        <v>45.618055025536187</v>
      </c>
      <c r="AG969" s="2">
        <v>39.799294246246362</v>
      </c>
      <c r="AH969" s="2">
        <v>32.659860046176206</v>
      </c>
      <c r="AI969" s="2">
        <v>11.829096230732979</v>
      </c>
      <c r="AJ969" s="2">
        <v>0</v>
      </c>
      <c r="AK969" s="2">
        <v>0</v>
      </c>
      <c r="AL969" s="2">
        <v>0</v>
      </c>
      <c r="AM969" s="2">
        <v>0</v>
      </c>
      <c r="AN969" s="2">
        <v>0</v>
      </c>
      <c r="AO969" s="2">
        <v>0</v>
      </c>
      <c r="AP969" s="2">
        <v>0</v>
      </c>
      <c r="AQ969" s="2">
        <v>0</v>
      </c>
      <c r="AR969" s="2">
        <v>447.97995238692863</v>
      </c>
    </row>
    <row r="970" spans="1:44" x14ac:dyDescent="0.25">
      <c r="A970" t="s">
        <v>435</v>
      </c>
      <c r="B970" t="s">
        <v>464</v>
      </c>
      <c r="C970" t="s">
        <v>47</v>
      </c>
      <c r="D970" t="s">
        <v>465</v>
      </c>
      <c r="E970" t="s">
        <v>134</v>
      </c>
      <c r="F970" t="s">
        <v>465</v>
      </c>
      <c r="G970" t="s">
        <v>33</v>
      </c>
      <c r="H970" t="s">
        <v>454</v>
      </c>
      <c r="I970" t="s">
        <v>135</v>
      </c>
      <c r="J970" t="s">
        <v>39</v>
      </c>
      <c r="K970" t="s">
        <v>31</v>
      </c>
      <c r="L970">
        <v>0.1063578652050048</v>
      </c>
      <c r="M970">
        <v>1</v>
      </c>
      <c r="N970">
        <v>3.0509798266011336</v>
      </c>
      <c r="O970">
        <v>2.8779545327574692</v>
      </c>
      <c r="P970">
        <v>-0.5558095120879909</v>
      </c>
      <c r="Q970">
        <v>0.51093654783892051</v>
      </c>
      <c r="R970">
        <v>-0.52509153328775149</v>
      </c>
      <c r="S970" s="2">
        <v>7.9849505961021115E-3</v>
      </c>
      <c r="T970" s="2">
        <v>1.5838353013068924E-2</v>
      </c>
      <c r="U970" s="2">
        <v>2.7904934865430327E-2</v>
      </c>
      <c r="V970" s="2">
        <v>4.5041300077305953E-2</v>
      </c>
      <c r="W970" s="2">
        <v>6.7839395429041952E-2</v>
      </c>
      <c r="X970" s="2">
        <v>9.6411541612871188E-2</v>
      </c>
      <c r="Y970" s="2">
        <v>0.13013522409553269</v>
      </c>
      <c r="Z970" s="2">
        <v>0.16740179916103543</v>
      </c>
      <c r="AA970" s="2">
        <v>0.20545113695655351</v>
      </c>
      <c r="AB970" s="2">
        <v>0.240408096995439</v>
      </c>
      <c r="AC970" s="2">
        <v>0.26764308884263593</v>
      </c>
      <c r="AD970" s="2">
        <v>0.28252705739186396</v>
      </c>
      <c r="AE970" s="2">
        <v>0.28151959911562247</v>
      </c>
      <c r="AF970" s="2">
        <v>0.26333400200143614</v>
      </c>
      <c r="AG970" s="2">
        <v>0.22974472333004958</v>
      </c>
      <c r="AH970" s="2">
        <v>0.18853174792200161</v>
      </c>
      <c r="AI970" s="2">
        <v>6.8284438009364776E-2</v>
      </c>
      <c r="AJ970" s="2">
        <v>0</v>
      </c>
      <c r="AK970" s="2">
        <v>0</v>
      </c>
      <c r="AL970" s="2">
        <v>0</v>
      </c>
      <c r="AM970" s="2">
        <v>0</v>
      </c>
      <c r="AN970" s="2">
        <v>0</v>
      </c>
      <c r="AO970" s="2">
        <v>0</v>
      </c>
      <c r="AP970" s="2">
        <v>0</v>
      </c>
      <c r="AQ970" s="2">
        <v>0</v>
      </c>
      <c r="AR970" s="2">
        <v>2.5860013894153551</v>
      </c>
    </row>
    <row r="971" spans="1:44" x14ac:dyDescent="0.25">
      <c r="A971" t="s">
        <v>435</v>
      </c>
      <c r="B971" t="s">
        <v>464</v>
      </c>
      <c r="C971" t="s">
        <v>47</v>
      </c>
      <c r="D971" t="s">
        <v>465</v>
      </c>
      <c r="E971" t="s">
        <v>134</v>
      </c>
      <c r="F971" t="s">
        <v>465</v>
      </c>
      <c r="G971" t="s">
        <v>33</v>
      </c>
      <c r="H971" t="s">
        <v>454</v>
      </c>
      <c r="I971" t="s">
        <v>135</v>
      </c>
      <c r="J971" t="s">
        <v>39</v>
      </c>
      <c r="K971" t="s">
        <v>33</v>
      </c>
      <c r="L971">
        <v>0.1063578652050048</v>
      </c>
      <c r="M971">
        <v>1</v>
      </c>
      <c r="N971">
        <v>3.0509798266011336</v>
      </c>
      <c r="O971">
        <v>2.8779545327574692</v>
      </c>
      <c r="P971">
        <v>-0.5558095120879909</v>
      </c>
      <c r="Q971">
        <v>0.51093654783892051</v>
      </c>
      <c r="R971">
        <v>-0.52509153328775149</v>
      </c>
      <c r="S971" s="2">
        <v>6.4079261947815366E-2</v>
      </c>
      <c r="T971" s="2">
        <v>0.12710284920758896</v>
      </c>
      <c r="U971" s="2">
        <v>0.22393721906701824</v>
      </c>
      <c r="V971" s="2">
        <v>0.36145662160173697</v>
      </c>
      <c r="W971" s="2">
        <v>0.54441143220110377</v>
      </c>
      <c r="X971" s="2">
        <v>0.7737030248903084</v>
      </c>
      <c r="Y971" s="2">
        <v>1.0443357179349362</v>
      </c>
      <c r="Z971" s="2">
        <v>1.343400138782574</v>
      </c>
      <c r="AA971" s="2">
        <v>1.6487462338141596</v>
      </c>
      <c r="AB971" s="2">
        <v>1.9292759844082996</v>
      </c>
      <c r="AC971" s="2">
        <v>2.1478369079505293</v>
      </c>
      <c r="AD971" s="2">
        <v>2.2672808178420456</v>
      </c>
      <c r="AE971" s="2">
        <v>2.2591959609593633</v>
      </c>
      <c r="AF971" s="2">
        <v>2.1132564680179491</v>
      </c>
      <c r="AG971" s="2">
        <v>1.8437023661212333</v>
      </c>
      <c r="AH971" s="2">
        <v>1.5129680660104294</v>
      </c>
      <c r="AI971" s="2">
        <v>0.54798290077053036</v>
      </c>
      <c r="AJ971" s="2">
        <v>0</v>
      </c>
      <c r="AK971" s="2">
        <v>0</v>
      </c>
      <c r="AL971" s="2">
        <v>0</v>
      </c>
      <c r="AM971" s="2">
        <v>0</v>
      </c>
      <c r="AN971" s="2">
        <v>0</v>
      </c>
      <c r="AO971" s="2">
        <v>0</v>
      </c>
      <c r="AP971" s="2">
        <v>0</v>
      </c>
      <c r="AQ971" s="2">
        <v>0</v>
      </c>
      <c r="AR971" s="2">
        <v>20.752671971527619</v>
      </c>
    </row>
    <row r="972" spans="1:44" x14ac:dyDescent="0.25">
      <c r="A972" t="s">
        <v>435</v>
      </c>
      <c r="B972" t="s">
        <v>464</v>
      </c>
      <c r="C972" t="s">
        <v>47</v>
      </c>
      <c r="D972" t="s">
        <v>465</v>
      </c>
      <c r="E972" t="s">
        <v>134</v>
      </c>
      <c r="F972" t="s">
        <v>465</v>
      </c>
      <c r="G972" t="s">
        <v>33</v>
      </c>
      <c r="H972" t="s">
        <v>455</v>
      </c>
      <c r="I972" t="s">
        <v>135</v>
      </c>
      <c r="J972" t="s">
        <v>39</v>
      </c>
      <c r="K972" t="s">
        <v>31</v>
      </c>
      <c r="L972">
        <v>0.1063578652050048</v>
      </c>
      <c r="M972">
        <v>1</v>
      </c>
      <c r="N972">
        <v>3.0509798266011336</v>
      </c>
      <c r="O972">
        <v>2.8779545327574692</v>
      </c>
      <c r="P972">
        <v>-0.5558095120879909</v>
      </c>
      <c r="Q972">
        <v>0.51093654783892051</v>
      </c>
      <c r="R972">
        <v>-0.52509153328775149</v>
      </c>
      <c r="S972" s="2">
        <v>1.8813727163517833E-3</v>
      </c>
      <c r="T972" s="2">
        <v>3.7317507318432104E-3</v>
      </c>
      <c r="U972" s="2">
        <v>6.5748162716275458E-3</v>
      </c>
      <c r="V972" s="2">
        <v>1.0612397917129611E-2</v>
      </c>
      <c r="W972" s="2">
        <v>1.5983967103854486E-2</v>
      </c>
      <c r="X972" s="2">
        <v>2.2715988251751345E-2</v>
      </c>
      <c r="Y972" s="2">
        <v>3.0661787709641765E-2</v>
      </c>
      <c r="Z972" s="2">
        <v>3.944234517412229E-2</v>
      </c>
      <c r="AA972" s="2">
        <v>4.8407333140194971E-2</v>
      </c>
      <c r="AB972" s="2">
        <v>5.6643711070430786E-2</v>
      </c>
      <c r="AC972" s="2">
        <v>6.3060678836817763E-2</v>
      </c>
      <c r="AD972" s="2">
        <v>6.656756244273826E-2</v>
      </c>
      <c r="AE972" s="2">
        <v>6.6330190339934147E-2</v>
      </c>
      <c r="AF972" s="2">
        <v>6.204539410614187E-2</v>
      </c>
      <c r="AG972" s="2">
        <v>5.4131262178371137E-2</v>
      </c>
      <c r="AH972" s="2">
        <v>4.4420874298172056E-2</v>
      </c>
      <c r="AI972" s="2">
        <v>1.6088825732365319E-2</v>
      </c>
      <c r="AJ972" s="2">
        <v>0</v>
      </c>
      <c r="AK972" s="2">
        <v>0</v>
      </c>
      <c r="AL972" s="2">
        <v>0</v>
      </c>
      <c r="AM972" s="2">
        <v>0</v>
      </c>
      <c r="AN972" s="2">
        <v>0</v>
      </c>
      <c r="AO972" s="2">
        <v>0</v>
      </c>
      <c r="AP972" s="2">
        <v>0</v>
      </c>
      <c r="AQ972" s="2">
        <v>0</v>
      </c>
      <c r="AR972" s="2">
        <v>0.60930025802148835</v>
      </c>
    </row>
    <row r="973" spans="1:44" x14ac:dyDescent="0.25">
      <c r="A973" t="s">
        <v>435</v>
      </c>
      <c r="B973" t="s">
        <v>464</v>
      </c>
      <c r="C973" t="s">
        <v>47</v>
      </c>
      <c r="D973" t="s">
        <v>465</v>
      </c>
      <c r="E973" t="s">
        <v>134</v>
      </c>
      <c r="F973" t="s">
        <v>465</v>
      </c>
      <c r="G973" t="s">
        <v>33</v>
      </c>
      <c r="H973" t="s">
        <v>455</v>
      </c>
      <c r="I973" t="s">
        <v>135</v>
      </c>
      <c r="J973" t="s">
        <v>39</v>
      </c>
      <c r="K973" t="s">
        <v>33</v>
      </c>
      <c r="L973">
        <v>0.1063578652050048</v>
      </c>
      <c r="M973">
        <v>1</v>
      </c>
      <c r="N973">
        <v>3.0509798266011336</v>
      </c>
      <c r="O973">
        <v>2.8779545327574692</v>
      </c>
      <c r="P973">
        <v>-0.5558095120879909</v>
      </c>
      <c r="Q973">
        <v>0.51093654783892051</v>
      </c>
      <c r="R973">
        <v>-0.52509153328775149</v>
      </c>
      <c r="S973" s="2">
        <v>4.7835365168875911E-2</v>
      </c>
      <c r="T973" s="2">
        <v>9.4882665952067333E-2</v>
      </c>
      <c r="U973" s="2">
        <v>0.1671698194292105</v>
      </c>
      <c r="V973" s="2">
        <v>0.26982847432150797</v>
      </c>
      <c r="W973" s="2">
        <v>0.40640480039639992</v>
      </c>
      <c r="X973" s="2">
        <v>0.5775716761224895</v>
      </c>
      <c r="Y973" s="2">
        <v>0.77959980979495325</v>
      </c>
      <c r="Z973" s="2">
        <v>1.0028523152922149</v>
      </c>
      <c r="AA973" s="2">
        <v>1.2307941097938628</v>
      </c>
      <c r="AB973" s="2">
        <v>1.4402104272185656</v>
      </c>
      <c r="AC973" s="2">
        <v>1.6033668255835087</v>
      </c>
      <c r="AD973" s="2">
        <v>1.6925320698947186</v>
      </c>
      <c r="AE973" s="2">
        <v>1.6864966994867987</v>
      </c>
      <c r="AF973" s="2">
        <v>1.5775524213348693</v>
      </c>
      <c r="AG973" s="2">
        <v>1.3763294592555226</v>
      </c>
      <c r="AH973" s="2">
        <v>1.1294352919575759</v>
      </c>
      <c r="AI973" s="2">
        <v>0.40907091261452938</v>
      </c>
      <c r="AJ973" s="2">
        <v>0</v>
      </c>
      <c r="AK973" s="2">
        <v>0</v>
      </c>
      <c r="AL973" s="2">
        <v>0</v>
      </c>
      <c r="AM973" s="2">
        <v>0</v>
      </c>
      <c r="AN973" s="2">
        <v>0</v>
      </c>
      <c r="AO973" s="2">
        <v>0</v>
      </c>
      <c r="AP973" s="2">
        <v>0</v>
      </c>
      <c r="AQ973" s="2">
        <v>0</v>
      </c>
      <c r="AR973" s="2">
        <v>15.491933143617668</v>
      </c>
    </row>
    <row r="974" spans="1:44" x14ac:dyDescent="0.25">
      <c r="A974" t="s">
        <v>435</v>
      </c>
      <c r="B974" t="s">
        <v>464</v>
      </c>
      <c r="C974" t="s">
        <v>47</v>
      </c>
      <c r="D974" t="s">
        <v>465</v>
      </c>
      <c r="E974" t="s">
        <v>134</v>
      </c>
      <c r="F974" t="s">
        <v>465</v>
      </c>
      <c r="G974" t="s">
        <v>33</v>
      </c>
      <c r="H974" t="s">
        <v>456</v>
      </c>
      <c r="I974" t="s">
        <v>135</v>
      </c>
      <c r="J974" t="s">
        <v>39</v>
      </c>
      <c r="K974" t="s">
        <v>31</v>
      </c>
      <c r="L974">
        <v>0.1063578652050048</v>
      </c>
      <c r="M974">
        <v>1</v>
      </c>
      <c r="N974">
        <v>3.0509798266011336</v>
      </c>
      <c r="O974">
        <v>2.8779545327574692</v>
      </c>
      <c r="P974">
        <v>-0.5558095120879909</v>
      </c>
      <c r="Q974">
        <v>0.51093654783892051</v>
      </c>
      <c r="R974">
        <v>-0.52509153328775149</v>
      </c>
      <c r="S974" s="2">
        <v>0.33912188733520143</v>
      </c>
      <c r="T974" s="2">
        <v>0.6726569064428588</v>
      </c>
      <c r="U974" s="2">
        <v>1.1851262025528482</v>
      </c>
      <c r="V974" s="2">
        <v>1.9129098554101833</v>
      </c>
      <c r="W974" s="2">
        <v>2.8811479215420741</v>
      </c>
      <c r="X974" s="2">
        <v>4.0946106753138238</v>
      </c>
      <c r="Y974" s="2">
        <v>5.5268598437677889</v>
      </c>
      <c r="Z974" s="2">
        <v>7.1095761196708001</v>
      </c>
      <c r="AA974" s="2">
        <v>8.7255364302292069</v>
      </c>
      <c r="AB974" s="2">
        <v>10.210163056432123</v>
      </c>
      <c r="AC974" s="2">
        <v>11.366836692119843</v>
      </c>
      <c r="AD974" s="2">
        <v>11.998960766615177</v>
      </c>
      <c r="AE974" s="2">
        <v>11.956173882972179</v>
      </c>
      <c r="AF974" s="2">
        <v>11.183829215155328</v>
      </c>
      <c r="AG974" s="2">
        <v>9.7572881939962013</v>
      </c>
      <c r="AH974" s="2">
        <v>8.0069677837611035</v>
      </c>
      <c r="AI974" s="2">
        <v>2.9000489376431799</v>
      </c>
      <c r="AJ974" s="2">
        <v>0</v>
      </c>
      <c r="AK974" s="2">
        <v>0</v>
      </c>
      <c r="AL974" s="2">
        <v>0</v>
      </c>
      <c r="AM974" s="2">
        <v>0</v>
      </c>
      <c r="AN974" s="2">
        <v>0</v>
      </c>
      <c r="AO974" s="2">
        <v>0</v>
      </c>
      <c r="AP974" s="2">
        <v>0</v>
      </c>
      <c r="AQ974" s="2">
        <v>0</v>
      </c>
      <c r="AR974" s="2">
        <v>109.8278143709599</v>
      </c>
    </row>
    <row r="975" spans="1:44" x14ac:dyDescent="0.25">
      <c r="A975" t="s">
        <v>435</v>
      </c>
      <c r="B975" t="s">
        <v>464</v>
      </c>
      <c r="C975" t="s">
        <v>47</v>
      </c>
      <c r="D975" t="s">
        <v>465</v>
      </c>
      <c r="E975" t="s">
        <v>134</v>
      </c>
      <c r="F975" t="s">
        <v>465</v>
      </c>
      <c r="G975" t="s">
        <v>33</v>
      </c>
      <c r="H975" t="s">
        <v>456</v>
      </c>
      <c r="I975" t="s">
        <v>135</v>
      </c>
      <c r="J975" t="s">
        <v>39</v>
      </c>
      <c r="K975" t="s">
        <v>33</v>
      </c>
      <c r="L975">
        <v>0.1063578652050048</v>
      </c>
      <c r="M975">
        <v>1</v>
      </c>
      <c r="N975">
        <v>3.0509798266011336</v>
      </c>
      <c r="O975">
        <v>2.8779545327574692</v>
      </c>
      <c r="P975">
        <v>-0.5558095120879909</v>
      </c>
      <c r="Q975">
        <v>0.51093654783892051</v>
      </c>
      <c r="R975">
        <v>-0.52509153328775149</v>
      </c>
      <c r="S975" s="2">
        <v>0.31311114578087357</v>
      </c>
      <c r="T975" s="2">
        <v>0.62106393765601997</v>
      </c>
      <c r="U975" s="2">
        <v>1.094226698524686</v>
      </c>
      <c r="V975" s="2">
        <v>1.7661891460605688</v>
      </c>
      <c r="W975" s="2">
        <v>2.6601630875760338</v>
      </c>
      <c r="X975" s="2">
        <v>3.7805529160872506</v>
      </c>
      <c r="Y975" s="2">
        <v>5.1029481814068731</v>
      </c>
      <c r="Z975" s="2">
        <v>6.5642696858610865</v>
      </c>
      <c r="AA975" s="2">
        <v>8.0562853984158842</v>
      </c>
      <c r="AB975" s="2">
        <v>9.4270407561427927</v>
      </c>
      <c r="AC975" s="2">
        <v>10.494997207466536</v>
      </c>
      <c r="AD975" s="2">
        <v>11.078637192476616</v>
      </c>
      <c r="AE975" s="2">
        <v>11.03913207451704</v>
      </c>
      <c r="AF975" s="2">
        <v>10.3260264540625</v>
      </c>
      <c r="AG975" s="2">
        <v>9.0089015195782558</v>
      </c>
      <c r="AH975" s="2">
        <v>7.3928311637576325</v>
      </c>
      <c r="AI975" s="2">
        <v>2.6776143905702074</v>
      </c>
      <c r="AJ975" s="2">
        <v>0</v>
      </c>
      <c r="AK975" s="2">
        <v>0</v>
      </c>
      <c r="AL975" s="2">
        <v>0</v>
      </c>
      <c r="AM975" s="2">
        <v>0</v>
      </c>
      <c r="AN975" s="2">
        <v>0</v>
      </c>
      <c r="AO975" s="2">
        <v>0</v>
      </c>
      <c r="AP975" s="2">
        <v>0</v>
      </c>
      <c r="AQ975" s="2">
        <v>0</v>
      </c>
      <c r="AR975" s="2">
        <v>101.40399095594086</v>
      </c>
    </row>
    <row r="976" spans="1:44" x14ac:dyDescent="0.25">
      <c r="A976" t="s">
        <v>435</v>
      </c>
      <c r="B976" t="s">
        <v>464</v>
      </c>
      <c r="C976" t="s">
        <v>47</v>
      </c>
      <c r="D976" t="s">
        <v>465</v>
      </c>
      <c r="E976" t="s">
        <v>134</v>
      </c>
      <c r="F976" t="s">
        <v>465</v>
      </c>
      <c r="G976" t="s">
        <v>33</v>
      </c>
      <c r="H976" t="s">
        <v>456</v>
      </c>
      <c r="I976" t="s">
        <v>135</v>
      </c>
      <c r="J976" t="s">
        <v>40</v>
      </c>
      <c r="K976" t="s">
        <v>33</v>
      </c>
      <c r="L976">
        <v>0.1063578652050048</v>
      </c>
      <c r="M976">
        <v>1</v>
      </c>
      <c r="N976">
        <v>3.0509798266011336</v>
      </c>
      <c r="O976">
        <v>1.7054155637884918</v>
      </c>
      <c r="P976">
        <v>-0.5558095120879909</v>
      </c>
      <c r="Q976">
        <v>1.3498045353129324</v>
      </c>
      <c r="R976">
        <v>-0.38209153328775169</v>
      </c>
      <c r="S976" s="2">
        <v>1.1559167299637927</v>
      </c>
      <c r="T976" s="2">
        <v>2.2927902937578417</v>
      </c>
      <c r="U976" s="2">
        <v>4.0395717758412486</v>
      </c>
      <c r="V976" s="2">
        <v>6.5202647996460579</v>
      </c>
      <c r="W976" s="2">
        <v>9.8205607139683853</v>
      </c>
      <c r="X976" s="2">
        <v>13.956719277176228</v>
      </c>
      <c r="Y976" s="2">
        <v>18.838624094060691</v>
      </c>
      <c r="Z976" s="2">
        <v>24.233404821657732</v>
      </c>
      <c r="AA976" s="2">
        <v>29.741499780110306</v>
      </c>
      <c r="AB976" s="2">
        <v>34.801936216291708</v>
      </c>
      <c r="AC976" s="2">
        <v>38.744525758670385</v>
      </c>
      <c r="AD976" s="2">
        <v>40.899157530932825</v>
      </c>
      <c r="AE976" s="2">
        <v>40.753315942781164</v>
      </c>
      <c r="AF976" s="2">
        <v>38.120734100768168</v>
      </c>
      <c r="AG976" s="2">
        <v>33.25828583682712</v>
      </c>
      <c r="AH976" s="2">
        <v>27.292216642985899</v>
      </c>
      <c r="AI976" s="2">
        <v>9.8849859296224523</v>
      </c>
      <c r="AJ976" s="2">
        <v>0</v>
      </c>
      <c r="AK976" s="2">
        <v>0</v>
      </c>
      <c r="AL976" s="2">
        <v>0</v>
      </c>
      <c r="AM976" s="2">
        <v>0</v>
      </c>
      <c r="AN976" s="2">
        <v>0</v>
      </c>
      <c r="AO976" s="2">
        <v>0</v>
      </c>
      <c r="AP976" s="2">
        <v>0</v>
      </c>
      <c r="AQ976" s="2">
        <v>0</v>
      </c>
      <c r="AR976" s="2">
        <v>374.35451024506204</v>
      </c>
    </row>
    <row r="977" spans="1:44" x14ac:dyDescent="0.25">
      <c r="A977" t="s">
        <v>435</v>
      </c>
      <c r="B977" t="s">
        <v>464</v>
      </c>
      <c r="C977" t="s">
        <v>47</v>
      </c>
      <c r="D977" t="s">
        <v>465</v>
      </c>
      <c r="E977" t="s">
        <v>134</v>
      </c>
      <c r="F977" t="s">
        <v>465</v>
      </c>
      <c r="G977" t="s">
        <v>33</v>
      </c>
      <c r="H977" t="s">
        <v>456</v>
      </c>
      <c r="I977" t="s">
        <v>256</v>
      </c>
      <c r="J977" t="s">
        <v>40</v>
      </c>
      <c r="K977" t="s">
        <v>33</v>
      </c>
      <c r="L977">
        <v>0.1063578652050048</v>
      </c>
      <c r="M977">
        <v>1</v>
      </c>
      <c r="N977">
        <v>2.8053992519779527</v>
      </c>
      <c r="O977">
        <v>1.473762203864009</v>
      </c>
      <c r="P977">
        <v>-0.43033342107372458</v>
      </c>
      <c r="Q977">
        <v>1.3498045353129324</v>
      </c>
      <c r="R977">
        <v>-0.25661544227348498</v>
      </c>
      <c r="S977" s="2">
        <v>1.7358171333954815</v>
      </c>
      <c r="T977" s="2">
        <v>3.4430375233970207</v>
      </c>
      <c r="U977" s="2">
        <v>6.0661444880252677</v>
      </c>
      <c r="V977" s="2">
        <v>9.7913517990656675</v>
      </c>
      <c r="W977" s="2">
        <v>14.747340448468849</v>
      </c>
      <c r="X977" s="2">
        <v>20.958527391564228</v>
      </c>
      <c r="Y977" s="2">
        <v>28.289586632327545</v>
      </c>
      <c r="Z977" s="2">
        <v>36.390821414324357</v>
      </c>
      <c r="AA977" s="2">
        <v>44.662217920152884</v>
      </c>
      <c r="AB977" s="2">
        <v>52.261374538171189</v>
      </c>
      <c r="AC977" s="2">
        <v>58.181882737599288</v>
      </c>
      <c r="AD977" s="2">
        <v>61.417450360682807</v>
      </c>
      <c r="AE977" s="2">
        <v>61.198442952179263</v>
      </c>
      <c r="AF977" s="2">
        <v>57.245147227689571</v>
      </c>
      <c r="AG977" s="2">
        <v>49.943305505005632</v>
      </c>
      <c r="AH977" s="2">
        <v>40.984178210414996</v>
      </c>
      <c r="AI977" s="2">
        <v>14.844086511793629</v>
      </c>
      <c r="AJ977" s="2">
        <v>0</v>
      </c>
      <c r="AK977" s="2">
        <v>0</v>
      </c>
      <c r="AL977" s="2">
        <v>0</v>
      </c>
      <c r="AM977" s="2">
        <v>0</v>
      </c>
      <c r="AN977" s="2">
        <v>0</v>
      </c>
      <c r="AO977" s="2">
        <v>0</v>
      </c>
      <c r="AP977" s="2">
        <v>0</v>
      </c>
      <c r="AQ977" s="2">
        <v>0</v>
      </c>
      <c r="AR977" s="2">
        <v>562.16071279425762</v>
      </c>
    </row>
    <row r="978" spans="1:44" x14ac:dyDescent="0.25">
      <c r="A978" t="s">
        <v>435</v>
      </c>
      <c r="B978" t="s">
        <v>464</v>
      </c>
      <c r="C978" t="s">
        <v>47</v>
      </c>
      <c r="D978" t="s">
        <v>465</v>
      </c>
      <c r="E978" t="s">
        <v>134</v>
      </c>
      <c r="F978" t="s">
        <v>465</v>
      </c>
      <c r="G978" t="s">
        <v>33</v>
      </c>
      <c r="H978" t="s">
        <v>457</v>
      </c>
      <c r="I978" t="s">
        <v>135</v>
      </c>
      <c r="J978" t="s">
        <v>39</v>
      </c>
      <c r="K978" t="s">
        <v>31</v>
      </c>
      <c r="L978">
        <v>0.1063578652050048</v>
      </c>
      <c r="M978">
        <v>1</v>
      </c>
      <c r="N978">
        <v>3.0509798266011336</v>
      </c>
      <c r="O978">
        <v>2.8779545327574692</v>
      </c>
      <c r="P978">
        <v>-0.5558095120879909</v>
      </c>
      <c r="Q978">
        <v>0.51093654783892051</v>
      </c>
      <c r="R978">
        <v>-0.52509153328775149</v>
      </c>
      <c r="S978" s="2">
        <v>0.12537299756600118</v>
      </c>
      <c r="T978" s="2">
        <v>0.24868053594799772</v>
      </c>
      <c r="U978" s="2">
        <v>0.43813988438085483</v>
      </c>
      <c r="V978" s="2">
        <v>0.70720071927786199</v>
      </c>
      <c r="W978" s="2">
        <v>1.0651572925393089</v>
      </c>
      <c r="X978" s="2">
        <v>1.5137731694752672</v>
      </c>
      <c r="Y978" s="2">
        <v>2.0432741489652662</v>
      </c>
      <c r="Z978" s="2">
        <v>2.62840265649307</v>
      </c>
      <c r="AA978" s="2">
        <v>3.2258214479323204</v>
      </c>
      <c r="AB978" s="2">
        <v>3.7746863173041363</v>
      </c>
      <c r="AC978" s="2">
        <v>4.2023073182700657</v>
      </c>
      <c r="AD978" s="2">
        <v>4.4360029097751319</v>
      </c>
      <c r="AE978" s="2">
        <v>4.4201846448410018</v>
      </c>
      <c r="AF978" s="2">
        <v>4.1346496505673809</v>
      </c>
      <c r="AG978" s="2">
        <v>3.6072589670023261</v>
      </c>
      <c r="AH978" s="2">
        <v>2.9601673910014497</v>
      </c>
      <c r="AI978" s="2">
        <v>1.0721449778941601</v>
      </c>
      <c r="AJ978" s="2">
        <v>0</v>
      </c>
      <c r="AK978" s="2">
        <v>0</v>
      </c>
      <c r="AL978" s="2">
        <v>0</v>
      </c>
      <c r="AM978" s="2">
        <v>0</v>
      </c>
      <c r="AN978" s="2">
        <v>0</v>
      </c>
      <c r="AO978" s="2">
        <v>0</v>
      </c>
      <c r="AP978" s="2">
        <v>0</v>
      </c>
      <c r="AQ978" s="2">
        <v>0</v>
      </c>
      <c r="AR978" s="2">
        <v>40.603225029233606</v>
      </c>
    </row>
    <row r="979" spans="1:44" x14ac:dyDescent="0.25">
      <c r="A979" t="s">
        <v>435</v>
      </c>
      <c r="B979" t="s">
        <v>464</v>
      </c>
      <c r="C979" t="s">
        <v>47</v>
      </c>
      <c r="D979" t="s">
        <v>465</v>
      </c>
      <c r="E979" t="s">
        <v>134</v>
      </c>
      <c r="F979" t="s">
        <v>465</v>
      </c>
      <c r="G979" t="s">
        <v>33</v>
      </c>
      <c r="H979" t="s">
        <v>457</v>
      </c>
      <c r="I979" t="s">
        <v>135</v>
      </c>
      <c r="J979" t="s">
        <v>39</v>
      </c>
      <c r="K979" t="s">
        <v>33</v>
      </c>
      <c r="L979">
        <v>0.1063578652050048</v>
      </c>
      <c r="M979">
        <v>1</v>
      </c>
      <c r="N979">
        <v>3.0509798266011336</v>
      </c>
      <c r="O979">
        <v>2.8779545327574692</v>
      </c>
      <c r="P979">
        <v>-0.5558095120879909</v>
      </c>
      <c r="Q979">
        <v>0.51093654783892051</v>
      </c>
      <c r="R979">
        <v>-0.52509153328775149</v>
      </c>
      <c r="S979" s="2">
        <v>3.6683458382213964E-2</v>
      </c>
      <c r="T979" s="2">
        <v>7.2762574621481974E-2</v>
      </c>
      <c r="U979" s="2">
        <v>0.1281973513141213</v>
      </c>
      <c r="V979" s="2">
        <v>0.20692309075440321</v>
      </c>
      <c r="W979" s="2">
        <v>0.31165924058573757</v>
      </c>
      <c r="X979" s="2">
        <v>0.44292181044267326</v>
      </c>
      <c r="Y979" s="2">
        <v>0.59785092214583235</v>
      </c>
      <c r="Z979" s="2">
        <v>0.76905634652633681</v>
      </c>
      <c r="AA979" s="2">
        <v>0.943857841249929</v>
      </c>
      <c r="AB979" s="2">
        <v>1.104452721997363</v>
      </c>
      <c r="AC979" s="2">
        <v>1.2295723051359604</v>
      </c>
      <c r="AD979" s="2">
        <v>1.297950366373348</v>
      </c>
      <c r="AE979" s="2">
        <v>1.2933220279379964</v>
      </c>
      <c r="AF979" s="2">
        <v>1.2097760389096339</v>
      </c>
      <c r="AG979" s="2">
        <v>1.0554643883363806</v>
      </c>
      <c r="AH979" s="2">
        <v>0.86612890654563013</v>
      </c>
      <c r="AI979" s="2">
        <v>0.31370379938132575</v>
      </c>
      <c r="AJ979" s="2">
        <v>0</v>
      </c>
      <c r="AK979" s="2">
        <v>0</v>
      </c>
      <c r="AL979" s="2">
        <v>0</v>
      </c>
      <c r="AM979" s="2">
        <v>0</v>
      </c>
      <c r="AN979" s="2">
        <v>0</v>
      </c>
      <c r="AO979" s="2">
        <v>0</v>
      </c>
      <c r="AP979" s="2">
        <v>0</v>
      </c>
      <c r="AQ979" s="2">
        <v>0</v>
      </c>
      <c r="AR979" s="2">
        <v>11.880283190640364</v>
      </c>
    </row>
    <row r="980" spans="1:44" x14ac:dyDescent="0.25">
      <c r="A980" t="s">
        <v>435</v>
      </c>
      <c r="B980" t="s">
        <v>464</v>
      </c>
      <c r="C980" t="s">
        <v>47</v>
      </c>
      <c r="D980" t="s">
        <v>465</v>
      </c>
      <c r="E980" t="s">
        <v>134</v>
      </c>
      <c r="F980" t="s">
        <v>465</v>
      </c>
      <c r="G980" t="s">
        <v>33</v>
      </c>
      <c r="H980" t="s">
        <v>457</v>
      </c>
      <c r="I980" t="s">
        <v>256</v>
      </c>
      <c r="J980" t="s">
        <v>39</v>
      </c>
      <c r="K980" t="s">
        <v>33</v>
      </c>
      <c r="L980">
        <v>0.1063578652050048</v>
      </c>
      <c r="M980">
        <v>1</v>
      </c>
      <c r="N980">
        <v>2.8053992519779527</v>
      </c>
      <c r="O980">
        <v>2.6463011728329868</v>
      </c>
      <c r="P980">
        <v>-0.43033342107372458</v>
      </c>
      <c r="Q980">
        <v>1.3498045353129324</v>
      </c>
      <c r="R980">
        <v>-0.39961544227348522</v>
      </c>
      <c r="S980" s="2">
        <v>0.10088197197561342</v>
      </c>
      <c r="T980" s="2">
        <v>0.2001019625073531</v>
      </c>
      <c r="U980" s="2">
        <v>0.3525513180319319</v>
      </c>
      <c r="V980" s="2">
        <v>0.56905238391356816</v>
      </c>
      <c r="W980" s="2">
        <v>0.85708382364394142</v>
      </c>
      <c r="X980" s="2">
        <v>1.2180646983418075</v>
      </c>
      <c r="Y980" s="2">
        <v>1.6441301511188233</v>
      </c>
      <c r="Z980" s="2">
        <v>2.1149565558833525</v>
      </c>
      <c r="AA980" s="2">
        <v>2.5956723953842107</v>
      </c>
      <c r="AB980" s="2">
        <v>3.0373190932005962</v>
      </c>
      <c r="AC980" s="2">
        <v>3.3814063422345728</v>
      </c>
      <c r="AD980" s="2">
        <v>3.5694505987390666</v>
      </c>
      <c r="AE980" s="2">
        <v>3.5567223574848237</v>
      </c>
      <c r="AF980" s="2">
        <v>3.3269652818018871</v>
      </c>
      <c r="AG980" s="2">
        <v>2.9025978885631569</v>
      </c>
      <c r="AH980" s="2">
        <v>2.38191260941116</v>
      </c>
      <c r="AI980" s="2">
        <v>0.8627064975197315</v>
      </c>
      <c r="AJ980" s="2">
        <v>0</v>
      </c>
      <c r="AK980" s="2">
        <v>0</v>
      </c>
      <c r="AL980" s="2">
        <v>0</v>
      </c>
      <c r="AM980" s="2">
        <v>0</v>
      </c>
      <c r="AN980" s="2">
        <v>0</v>
      </c>
      <c r="AO980" s="2">
        <v>0</v>
      </c>
      <c r="AP980" s="2">
        <v>0</v>
      </c>
      <c r="AQ980" s="2">
        <v>0</v>
      </c>
      <c r="AR980" s="2">
        <v>32.671575929755598</v>
      </c>
    </row>
    <row r="981" spans="1:44" x14ac:dyDescent="0.25">
      <c r="A981" t="s">
        <v>435</v>
      </c>
      <c r="B981" t="s">
        <v>464</v>
      </c>
      <c r="C981" t="s">
        <v>47</v>
      </c>
      <c r="D981" t="s">
        <v>465</v>
      </c>
      <c r="E981" t="s">
        <v>134</v>
      </c>
      <c r="F981" t="s">
        <v>465</v>
      </c>
      <c r="G981" t="s">
        <v>33</v>
      </c>
      <c r="H981" t="s">
        <v>457</v>
      </c>
      <c r="I981" t="s">
        <v>256</v>
      </c>
      <c r="J981" t="s">
        <v>40</v>
      </c>
      <c r="K981" t="s">
        <v>33</v>
      </c>
      <c r="L981">
        <v>0.1063578652050048</v>
      </c>
      <c r="M981">
        <v>1</v>
      </c>
      <c r="N981">
        <v>2.8053992519779527</v>
      </c>
      <c r="O981">
        <v>1.473762203864009</v>
      </c>
      <c r="P981">
        <v>-0.43033342107372458</v>
      </c>
      <c r="Q981">
        <v>1.3498045353129324</v>
      </c>
      <c r="R981">
        <v>-0.25661544227348498</v>
      </c>
      <c r="S981" s="2">
        <v>0.92310874338032367</v>
      </c>
      <c r="T981" s="2">
        <v>1.8310097189887544</v>
      </c>
      <c r="U981" s="2">
        <v>3.2259798038464607</v>
      </c>
      <c r="V981" s="2">
        <v>5.2070476096463834</v>
      </c>
      <c r="W981" s="2">
        <v>7.842645776262354</v>
      </c>
      <c r="X981" s="2">
        <v>11.145759257303634</v>
      </c>
      <c r="Y981" s="2">
        <v>15.044421595167472</v>
      </c>
      <c r="Z981" s="2">
        <v>19.352663814674482</v>
      </c>
      <c r="AA981" s="2">
        <v>23.751398155751041</v>
      </c>
      <c r="AB981" s="2">
        <v>27.792634862919154</v>
      </c>
      <c r="AC981" s="2">
        <v>30.941165188493365</v>
      </c>
      <c r="AD981" s="2">
        <v>32.66184227204316</v>
      </c>
      <c r="AE981" s="2">
        <v>32.545373981826884</v>
      </c>
      <c r="AF981" s="2">
        <v>30.443008601145362</v>
      </c>
      <c r="AG981" s="2">
        <v>26.559884159457368</v>
      </c>
      <c r="AH981" s="2">
        <v>21.795414112709846</v>
      </c>
      <c r="AI981" s="2">
        <v>7.8940953991658356</v>
      </c>
      <c r="AJ981" s="2">
        <v>0</v>
      </c>
      <c r="AK981" s="2">
        <v>0</v>
      </c>
      <c r="AL981" s="2">
        <v>0</v>
      </c>
      <c r="AM981" s="2">
        <v>0</v>
      </c>
      <c r="AN981" s="2">
        <v>0</v>
      </c>
      <c r="AO981" s="2">
        <v>0</v>
      </c>
      <c r="AP981" s="2">
        <v>0</v>
      </c>
      <c r="AQ981" s="2">
        <v>0</v>
      </c>
      <c r="AR981" s="2">
        <v>298.95745305278189</v>
      </c>
    </row>
    <row r="982" spans="1:44" x14ac:dyDescent="0.25">
      <c r="A982" t="s">
        <v>435</v>
      </c>
      <c r="B982" t="s">
        <v>466</v>
      </c>
      <c r="C982" t="s">
        <v>47</v>
      </c>
      <c r="D982" t="s">
        <v>144</v>
      </c>
      <c r="E982" t="s">
        <v>134</v>
      </c>
      <c r="F982" t="s">
        <v>467</v>
      </c>
      <c r="G982" t="s">
        <v>33</v>
      </c>
      <c r="H982" t="s">
        <v>450</v>
      </c>
      <c r="I982" t="s">
        <v>135</v>
      </c>
      <c r="J982" t="s">
        <v>39</v>
      </c>
      <c r="K982" t="s">
        <v>31</v>
      </c>
      <c r="L982">
        <v>7.2880120486938149E-2</v>
      </c>
      <c r="M982">
        <v>1</v>
      </c>
      <c r="N982">
        <v>3.3697309324907936</v>
      </c>
      <c r="O982">
        <v>2.8779545327574692</v>
      </c>
      <c r="P982">
        <v>-0.60414025211616262</v>
      </c>
      <c r="Q982">
        <v>0.462605807810749</v>
      </c>
      <c r="R982">
        <v>-0.52509153328775149</v>
      </c>
      <c r="S982" s="2">
        <v>3.3513444019630599E-2</v>
      </c>
      <c r="T982" s="2">
        <v>6.6474770341815786E-2</v>
      </c>
      <c r="U982" s="2">
        <v>0.11711913069826062</v>
      </c>
      <c r="V982" s="2">
        <v>0.18904175680799326</v>
      </c>
      <c r="W982" s="2">
        <v>0.28472709425987131</v>
      </c>
      <c r="X982" s="2">
        <v>0.40464656152869766</v>
      </c>
      <c r="Y982" s="2">
        <v>0.54618741784535219</v>
      </c>
      <c r="Z982" s="2">
        <v>0.70259806337530217</v>
      </c>
      <c r="AA982" s="2">
        <v>0.86229402352521045</v>
      </c>
      <c r="AB982" s="2">
        <v>1.0090110393989888</v>
      </c>
      <c r="AC982" s="2">
        <v>1.1233183683750367</v>
      </c>
      <c r="AD982" s="2">
        <v>1.1857875146472747</v>
      </c>
      <c r="AE982" s="2">
        <v>1.1815591357566881</v>
      </c>
      <c r="AF982" s="2">
        <v>1.1052328036755164</v>
      </c>
      <c r="AG982" s="2">
        <v>0.96425605036125051</v>
      </c>
      <c r="AH982" s="2">
        <v>0.79128206290862191</v>
      </c>
      <c r="AI982" s="2">
        <v>0.28659497176549903</v>
      </c>
      <c r="AJ982" s="2">
        <v>0</v>
      </c>
      <c r="AK982" s="2">
        <v>0</v>
      </c>
      <c r="AL982" s="2">
        <v>0</v>
      </c>
      <c r="AM982" s="2">
        <v>0</v>
      </c>
      <c r="AN982" s="2">
        <v>0</v>
      </c>
      <c r="AO982" s="2">
        <v>0</v>
      </c>
      <c r="AP982" s="2">
        <v>0</v>
      </c>
      <c r="AQ982" s="2">
        <v>0</v>
      </c>
      <c r="AR982" s="2">
        <v>10.853644209291009</v>
      </c>
    </row>
    <row r="983" spans="1:44" x14ac:dyDescent="0.25">
      <c r="A983" t="s">
        <v>435</v>
      </c>
      <c r="B983" t="s">
        <v>466</v>
      </c>
      <c r="C983" t="s">
        <v>47</v>
      </c>
      <c r="D983" t="s">
        <v>144</v>
      </c>
      <c r="E983" t="s">
        <v>134</v>
      </c>
      <c r="F983" t="s">
        <v>467</v>
      </c>
      <c r="G983" t="s">
        <v>33</v>
      </c>
      <c r="H983" t="s">
        <v>450</v>
      </c>
      <c r="I983" t="s">
        <v>135</v>
      </c>
      <c r="J983" t="s">
        <v>39</v>
      </c>
      <c r="K983" t="s">
        <v>33</v>
      </c>
      <c r="L983">
        <v>7.2880120486938149E-2</v>
      </c>
      <c r="M983">
        <v>1</v>
      </c>
      <c r="N983">
        <v>3.3697309324907936</v>
      </c>
      <c r="O983">
        <v>2.8779545327574692</v>
      </c>
      <c r="P983">
        <v>-0.60414025211616262</v>
      </c>
      <c r="Q983">
        <v>0.462605807810749</v>
      </c>
      <c r="R983">
        <v>-0.52509153328775149</v>
      </c>
      <c r="S983" s="2">
        <v>2.0646970171447322E-2</v>
      </c>
      <c r="T983" s="2">
        <v>4.0925243829468563E-2</v>
      </c>
      <c r="U983" s="2">
        <v>7.2054221520154227E-2</v>
      </c>
      <c r="V983" s="2">
        <v>0.11622150499063028</v>
      </c>
      <c r="W983" s="2">
        <v>0.17492613741965413</v>
      </c>
      <c r="X983" s="2">
        <v>0.24842707444070827</v>
      </c>
      <c r="Y983" s="2">
        <v>0.33509035083005645</v>
      </c>
      <c r="Z983" s="2">
        <v>0.43074906097702931</v>
      </c>
      <c r="AA983" s="2">
        <v>0.52828700419157693</v>
      </c>
      <c r="AB983" s="2">
        <v>0.61774271019849736</v>
      </c>
      <c r="AC983" s="2">
        <v>0.68724522647720132</v>
      </c>
      <c r="AD983" s="2">
        <v>0.72495809718664217</v>
      </c>
      <c r="AE983" s="2">
        <v>0.72186943627113398</v>
      </c>
      <c r="AF983" s="2">
        <v>0.67476744048254689</v>
      </c>
      <c r="AG983" s="2">
        <v>0.58828785788584592</v>
      </c>
      <c r="AH983" s="2">
        <v>0.48242076543569273</v>
      </c>
      <c r="AI983" s="2">
        <v>0.11112183078413169</v>
      </c>
      <c r="AJ983" s="2">
        <v>0</v>
      </c>
      <c r="AK983" s="2">
        <v>0</v>
      </c>
      <c r="AL983" s="2">
        <v>0</v>
      </c>
      <c r="AM983" s="2">
        <v>0</v>
      </c>
      <c r="AN983" s="2">
        <v>0</v>
      </c>
      <c r="AO983" s="2">
        <v>0</v>
      </c>
      <c r="AP983" s="2">
        <v>0</v>
      </c>
      <c r="AQ983" s="2">
        <v>0</v>
      </c>
      <c r="AR983" s="2">
        <v>6.5757409330924173</v>
      </c>
    </row>
    <row r="984" spans="1:44" x14ac:dyDescent="0.25">
      <c r="A984" t="s">
        <v>435</v>
      </c>
      <c r="B984" t="s">
        <v>466</v>
      </c>
      <c r="C984" t="s">
        <v>47</v>
      </c>
      <c r="D984" t="s">
        <v>144</v>
      </c>
      <c r="E984" t="s">
        <v>134</v>
      </c>
      <c r="F984" t="s">
        <v>467</v>
      </c>
      <c r="G984" t="s">
        <v>33</v>
      </c>
      <c r="H984" t="s">
        <v>450</v>
      </c>
      <c r="I984" t="s">
        <v>256</v>
      </c>
      <c r="J984" t="s">
        <v>40</v>
      </c>
      <c r="K984" t="s">
        <v>33</v>
      </c>
      <c r="L984">
        <v>7.2880120486938149E-2</v>
      </c>
      <c r="M984">
        <v>1</v>
      </c>
      <c r="N984">
        <v>3.0984933282590745</v>
      </c>
      <c r="O984">
        <v>1.4737622038640088</v>
      </c>
      <c r="P984">
        <v>-0.47866416110189608</v>
      </c>
      <c r="Q984">
        <v>1.3498045353129324</v>
      </c>
      <c r="R984">
        <v>-0.25661544227348498</v>
      </c>
      <c r="S984" s="2">
        <v>0.5393402443743075</v>
      </c>
      <c r="T984" s="2">
        <v>1.0697951204263032</v>
      </c>
      <c r="U984" s="2">
        <v>1.8848274899680868</v>
      </c>
      <c r="V984" s="2">
        <v>3.042296317085448</v>
      </c>
      <c r="W984" s="2">
        <v>4.5821844065967809</v>
      </c>
      <c r="X984" s="2">
        <v>6.5120784140321417</v>
      </c>
      <c r="Y984" s="2">
        <v>8.7899308481197167</v>
      </c>
      <c r="Z984" s="2">
        <v>11.307086522524683</v>
      </c>
      <c r="AA984" s="2">
        <v>13.877113587555357</v>
      </c>
      <c r="AB984" s="2">
        <v>16.238267253197186</v>
      </c>
      <c r="AC984" s="2">
        <v>18.07784371414235</v>
      </c>
      <c r="AD984" s="2">
        <v>19.083175323647716</v>
      </c>
      <c r="AE984" s="2">
        <v>19.015126963627768</v>
      </c>
      <c r="AF984" s="2">
        <v>17.786788193886871</v>
      </c>
      <c r="AG984" s="2">
        <v>15.518014010634465</v>
      </c>
      <c r="AH984" s="2">
        <v>12.734300328195465</v>
      </c>
      <c r="AI984" s="2">
        <v>4.6122446268999351</v>
      </c>
      <c r="AJ984" s="2">
        <v>0</v>
      </c>
      <c r="AK984" s="2">
        <v>0</v>
      </c>
      <c r="AL984" s="2">
        <v>0</v>
      </c>
      <c r="AM984" s="2">
        <v>0</v>
      </c>
      <c r="AN984" s="2">
        <v>0</v>
      </c>
      <c r="AO984" s="2">
        <v>0</v>
      </c>
      <c r="AP984" s="2">
        <v>0</v>
      </c>
      <c r="AQ984" s="2">
        <v>0</v>
      </c>
      <c r="AR984" s="2">
        <v>174.67041336491457</v>
      </c>
    </row>
    <row r="985" spans="1:44" x14ac:dyDescent="0.25">
      <c r="A985" t="s">
        <v>435</v>
      </c>
      <c r="B985" t="s">
        <v>466</v>
      </c>
      <c r="C985" t="s">
        <v>47</v>
      </c>
      <c r="D985" t="s">
        <v>144</v>
      </c>
      <c r="E985" t="s">
        <v>134</v>
      </c>
      <c r="F985" t="s">
        <v>467</v>
      </c>
      <c r="G985" t="s">
        <v>33</v>
      </c>
      <c r="H985" t="s">
        <v>451</v>
      </c>
      <c r="I985" t="s">
        <v>135</v>
      </c>
      <c r="J985" t="s">
        <v>39</v>
      </c>
      <c r="K985" t="s">
        <v>31</v>
      </c>
      <c r="L985">
        <v>7.2880120486938149E-2</v>
      </c>
      <c r="M985">
        <v>1</v>
      </c>
      <c r="N985">
        <v>3.3697309324907936</v>
      </c>
      <c r="O985">
        <v>2.8779545327574692</v>
      </c>
      <c r="P985">
        <v>-0.60414025211616262</v>
      </c>
      <c r="Q985">
        <v>0.462605807810749</v>
      </c>
      <c r="R985">
        <v>-0.52509153328775149</v>
      </c>
      <c r="S985" s="2">
        <v>8.7665409521696901E-3</v>
      </c>
      <c r="T985" s="2">
        <v>1.7388657404063076E-2</v>
      </c>
      <c r="U985" s="2">
        <v>3.0636351636895504E-2</v>
      </c>
      <c r="V985" s="2">
        <v>4.9450074476280061E-2</v>
      </c>
      <c r="W985" s="2">
        <v>7.4479714187517074E-2</v>
      </c>
      <c r="X985" s="2">
        <v>0.10584858574123591</v>
      </c>
      <c r="Y985" s="2">
        <v>0.14287324105801869</v>
      </c>
      <c r="Z985" s="2">
        <v>0.18378757766246995</v>
      </c>
      <c r="AA985" s="2">
        <v>0.22556129610603509</v>
      </c>
      <c r="AB985" s="2">
        <v>0.26393994579910196</v>
      </c>
      <c r="AC985" s="2">
        <v>0.29384077843255751</v>
      </c>
      <c r="AD985" s="2">
        <v>0.31018163342561256</v>
      </c>
      <c r="AE985" s="2">
        <v>0.30907556218196769</v>
      </c>
      <c r="AF985" s="2">
        <v>0.28910990554797455</v>
      </c>
      <c r="AG985" s="2">
        <v>0.25223280988124702</v>
      </c>
      <c r="AH985" s="2">
        <v>0.20698578770783724</v>
      </c>
      <c r="AI985" s="2">
        <v>7.496831883934349E-2</v>
      </c>
      <c r="AJ985" s="2">
        <v>0</v>
      </c>
      <c r="AK985" s="2">
        <v>0</v>
      </c>
      <c r="AL985" s="2">
        <v>0</v>
      </c>
      <c r="AM985" s="2">
        <v>0</v>
      </c>
      <c r="AN985" s="2">
        <v>0</v>
      </c>
      <c r="AO985" s="2">
        <v>0</v>
      </c>
      <c r="AP985" s="2">
        <v>0</v>
      </c>
      <c r="AQ985" s="2">
        <v>0</v>
      </c>
      <c r="AR985" s="2">
        <v>2.8391267810403273</v>
      </c>
    </row>
    <row r="986" spans="1:44" x14ac:dyDescent="0.25">
      <c r="A986" t="s">
        <v>435</v>
      </c>
      <c r="B986" t="s">
        <v>466</v>
      </c>
      <c r="C986" t="s">
        <v>47</v>
      </c>
      <c r="D986" t="s">
        <v>144</v>
      </c>
      <c r="E986" t="s">
        <v>134</v>
      </c>
      <c r="F986" t="s">
        <v>467</v>
      </c>
      <c r="G986" t="s">
        <v>33</v>
      </c>
      <c r="H986" t="s">
        <v>451</v>
      </c>
      <c r="I986" t="s">
        <v>135</v>
      </c>
      <c r="J986" t="s">
        <v>39</v>
      </c>
      <c r="K986" t="s">
        <v>33</v>
      </c>
      <c r="L986">
        <v>7.2880120486938149E-2</v>
      </c>
      <c r="M986">
        <v>1</v>
      </c>
      <c r="N986">
        <v>3.3697309324907936</v>
      </c>
      <c r="O986">
        <v>2.8779545327574692</v>
      </c>
      <c r="P986">
        <v>-0.60414025211616262</v>
      </c>
      <c r="Q986">
        <v>0.462605807810749</v>
      </c>
      <c r="R986">
        <v>-0.52509153328775149</v>
      </c>
      <c r="S986" s="2">
        <v>3.9491624425790114E-2</v>
      </c>
      <c r="T986" s="2">
        <v>7.8332643538274502E-2</v>
      </c>
      <c r="U986" s="2">
        <v>0.1380110238715393</v>
      </c>
      <c r="V986" s="2">
        <v>0.22276332018517236</v>
      </c>
      <c r="W986" s="2">
        <v>0.33551715734649579</v>
      </c>
      <c r="X986" s="2">
        <v>0.47682804619299285</v>
      </c>
      <c r="Y986" s="2">
        <v>0.64361718118275624</v>
      </c>
      <c r="Z986" s="2">
        <v>0.82792860157410764</v>
      </c>
      <c r="AA986" s="2">
        <v>1.0161113761305509</v>
      </c>
      <c r="AB986" s="2">
        <v>1.1890000020911069</v>
      </c>
      <c r="AC986" s="2">
        <v>1.3236976506644116</v>
      </c>
      <c r="AD986" s="2">
        <v>1.3973101406650785</v>
      </c>
      <c r="AE986" s="2">
        <v>1.3923274969541195</v>
      </c>
      <c r="AF986" s="2">
        <v>1.3023859547305823</v>
      </c>
      <c r="AG986" s="2">
        <v>1.1362615483164538</v>
      </c>
      <c r="AH986" s="2">
        <v>0.93243219124084997</v>
      </c>
      <c r="AI986" s="2">
        <v>0.33771822975440408</v>
      </c>
      <c r="AJ986" s="2">
        <v>0</v>
      </c>
      <c r="AK986" s="2">
        <v>0</v>
      </c>
      <c r="AL986" s="2">
        <v>0</v>
      </c>
      <c r="AM986" s="2">
        <v>0</v>
      </c>
      <c r="AN986" s="2">
        <v>0</v>
      </c>
      <c r="AO986" s="2">
        <v>0</v>
      </c>
      <c r="AP986" s="2">
        <v>0</v>
      </c>
      <c r="AQ986" s="2">
        <v>0</v>
      </c>
      <c r="AR986" s="2">
        <v>12.789734188864683</v>
      </c>
    </row>
    <row r="987" spans="1:44" x14ac:dyDescent="0.25">
      <c r="A987" t="s">
        <v>435</v>
      </c>
      <c r="B987" t="s">
        <v>466</v>
      </c>
      <c r="C987" t="s">
        <v>47</v>
      </c>
      <c r="D987" t="s">
        <v>144</v>
      </c>
      <c r="E987" t="s">
        <v>134</v>
      </c>
      <c r="F987" t="s">
        <v>467</v>
      </c>
      <c r="G987" t="s">
        <v>33</v>
      </c>
      <c r="H987" t="s">
        <v>452</v>
      </c>
      <c r="I987" t="s">
        <v>135</v>
      </c>
      <c r="J987" t="s">
        <v>39</v>
      </c>
      <c r="K987" t="s">
        <v>31</v>
      </c>
      <c r="L987">
        <v>7.2880120486938149E-2</v>
      </c>
      <c r="M987">
        <v>1</v>
      </c>
      <c r="N987">
        <v>3.3697309324907936</v>
      </c>
      <c r="O987">
        <v>2.8779545327574692</v>
      </c>
      <c r="P987">
        <v>-0.60414025211616262</v>
      </c>
      <c r="Q987">
        <v>0.462605807810749</v>
      </c>
      <c r="R987">
        <v>-0.52509153328775149</v>
      </c>
      <c r="S987" s="2">
        <v>0.1985561585282879</v>
      </c>
      <c r="T987" s="2">
        <v>0.39384120087418545</v>
      </c>
      <c r="U987" s="2">
        <v>0.69389241726387718</v>
      </c>
      <c r="V987" s="2">
        <v>1.1200103758732609</v>
      </c>
      <c r="W987" s="2">
        <v>1.6869146015565164</v>
      </c>
      <c r="X987" s="2">
        <v>2.3973980940829698</v>
      </c>
      <c r="Y987" s="2">
        <v>3.2359812217548787</v>
      </c>
      <c r="Z987" s="2">
        <v>4.162662971060179</v>
      </c>
      <c r="AA987" s="2">
        <v>5.1088091314273116</v>
      </c>
      <c r="AB987" s="2">
        <v>5.9780593059413798</v>
      </c>
      <c r="AC987" s="2">
        <v>6.6552927206814099</v>
      </c>
      <c r="AD987" s="2">
        <v>7.0254019133711205</v>
      </c>
      <c r="AE987" s="2">
        <v>7.0003501559681744</v>
      </c>
      <c r="AF987" s="2">
        <v>6.5481416845345981</v>
      </c>
      <c r="AG987" s="2">
        <v>5.7129006820439443</v>
      </c>
      <c r="AH987" s="2">
        <v>4.6880865670339658</v>
      </c>
      <c r="AI987" s="2">
        <v>1.6979811628416399</v>
      </c>
      <c r="AJ987" s="2">
        <v>0</v>
      </c>
      <c r="AK987" s="2">
        <v>0</v>
      </c>
      <c r="AL987" s="2">
        <v>0</v>
      </c>
      <c r="AM987" s="2">
        <v>0</v>
      </c>
      <c r="AN987" s="2">
        <v>0</v>
      </c>
      <c r="AO987" s="2">
        <v>0</v>
      </c>
      <c r="AP987" s="2">
        <v>0</v>
      </c>
      <c r="AQ987" s="2">
        <v>0</v>
      </c>
      <c r="AR987" s="2">
        <v>64.30428036483768</v>
      </c>
    </row>
    <row r="988" spans="1:44" x14ac:dyDescent="0.25">
      <c r="A988" t="s">
        <v>435</v>
      </c>
      <c r="B988" t="s">
        <v>466</v>
      </c>
      <c r="C988" t="s">
        <v>47</v>
      </c>
      <c r="D988" t="s">
        <v>144</v>
      </c>
      <c r="E988" t="s">
        <v>134</v>
      </c>
      <c r="F988" t="s">
        <v>467</v>
      </c>
      <c r="G988" t="s">
        <v>33</v>
      </c>
      <c r="H988" t="s">
        <v>452</v>
      </c>
      <c r="I988" t="s">
        <v>135</v>
      </c>
      <c r="J988" t="s">
        <v>39</v>
      </c>
      <c r="K988" t="s">
        <v>33</v>
      </c>
      <c r="L988">
        <v>7.2880120486938149E-2</v>
      </c>
      <c r="M988">
        <v>1</v>
      </c>
      <c r="N988">
        <v>3.3697309324907936</v>
      </c>
      <c r="O988">
        <v>2.8779545327574692</v>
      </c>
      <c r="P988">
        <v>-0.60414025211616262</v>
      </c>
      <c r="Q988">
        <v>0.462605807810749</v>
      </c>
      <c r="R988">
        <v>-0.52509153328775149</v>
      </c>
      <c r="S988" s="2">
        <v>0.39263821651061204</v>
      </c>
      <c r="T988" s="2">
        <v>0.77880790928782551</v>
      </c>
      <c r="U988" s="2">
        <v>1.3721492356829161</v>
      </c>
      <c r="V988" s="2">
        <v>2.2147833626304063</v>
      </c>
      <c r="W988" s="2">
        <v>3.3358176622182043</v>
      </c>
      <c r="X988" s="2">
        <v>4.7407751988340934</v>
      </c>
      <c r="Y988" s="2">
        <v>6.3990455143230998</v>
      </c>
      <c r="Z988" s="2">
        <v>8.2315279314742682</v>
      </c>
      <c r="AA988" s="2">
        <v>10.102500575780279</v>
      </c>
      <c r="AB988" s="2">
        <v>11.821413959039139</v>
      </c>
      <c r="AC988" s="2">
        <v>13.160620569883365</v>
      </c>
      <c r="AD988" s="2">
        <v>13.892499220281239</v>
      </c>
      <c r="AE988" s="2">
        <v>13.842960201093643</v>
      </c>
      <c r="AF988" s="2">
        <v>12.948732950573115</v>
      </c>
      <c r="AG988" s="2">
        <v>11.297071576757077</v>
      </c>
      <c r="AH988" s="2">
        <v>9.2705356619061021</v>
      </c>
      <c r="AI988" s="2">
        <v>3.3577014200331283</v>
      </c>
      <c r="AJ988" s="2">
        <v>0</v>
      </c>
      <c r="AK988" s="2">
        <v>0</v>
      </c>
      <c r="AL988" s="2">
        <v>0</v>
      </c>
      <c r="AM988" s="2">
        <v>0</v>
      </c>
      <c r="AN988" s="2">
        <v>0</v>
      </c>
      <c r="AO988" s="2">
        <v>0</v>
      </c>
      <c r="AP988" s="2">
        <v>0</v>
      </c>
      <c r="AQ988" s="2">
        <v>0</v>
      </c>
      <c r="AR988" s="2">
        <v>127.15958116630854</v>
      </c>
    </row>
    <row r="989" spans="1:44" x14ac:dyDescent="0.25">
      <c r="A989" t="s">
        <v>435</v>
      </c>
      <c r="B989" t="s">
        <v>466</v>
      </c>
      <c r="C989" t="s">
        <v>47</v>
      </c>
      <c r="D989" t="s">
        <v>144</v>
      </c>
      <c r="E989" t="s">
        <v>134</v>
      </c>
      <c r="F989" t="s">
        <v>467</v>
      </c>
      <c r="G989" t="s">
        <v>33</v>
      </c>
      <c r="H989" t="s">
        <v>452</v>
      </c>
      <c r="I989" t="s">
        <v>135</v>
      </c>
      <c r="J989" t="s">
        <v>40</v>
      </c>
      <c r="K989" t="s">
        <v>33</v>
      </c>
      <c r="L989">
        <v>7.2880120486938149E-2</v>
      </c>
      <c r="M989">
        <v>1</v>
      </c>
      <c r="N989">
        <v>3.3697309324907936</v>
      </c>
      <c r="O989">
        <v>1.7054155637884914</v>
      </c>
      <c r="P989">
        <v>-0.60414025211616262</v>
      </c>
      <c r="Q989">
        <v>1.3498045353129324</v>
      </c>
      <c r="R989">
        <v>-0.38209153328775142</v>
      </c>
      <c r="S989" s="2">
        <v>2.8749998214064439E-2</v>
      </c>
      <c r="T989" s="2">
        <v>5.7026354184550133E-2</v>
      </c>
      <c r="U989" s="2">
        <v>0.10047235958308076</v>
      </c>
      <c r="V989" s="2">
        <v>0.16217223653378846</v>
      </c>
      <c r="W989" s="2">
        <v>0.24425730302955853</v>
      </c>
      <c r="X989" s="2">
        <v>0.34713197230529247</v>
      </c>
      <c r="Y989" s="2">
        <v>0.46855486647091038</v>
      </c>
      <c r="Z989" s="2">
        <v>0.60273402684048338</v>
      </c>
      <c r="AA989" s="2">
        <v>0.73973154241703309</v>
      </c>
      <c r="AB989" s="2">
        <v>0.86559488077978786</v>
      </c>
      <c r="AC989" s="2">
        <v>0.9636550951221533</v>
      </c>
      <c r="AD989" s="2">
        <v>1.0172451661011002</v>
      </c>
      <c r="AE989" s="2">
        <v>1.0136177894136569</v>
      </c>
      <c r="AF989" s="2">
        <v>0.94814012887436983</v>
      </c>
      <c r="AG989" s="2">
        <v>0.82720115872150679</v>
      </c>
      <c r="AH989" s="2">
        <v>0.67881289318157234</v>
      </c>
      <c r="AI989" s="2">
        <v>0.24585968907258682</v>
      </c>
      <c r="AJ989" s="2">
        <v>0</v>
      </c>
      <c r="AK989" s="2">
        <v>0</v>
      </c>
      <c r="AL989" s="2">
        <v>0</v>
      </c>
      <c r="AM989" s="2">
        <v>0</v>
      </c>
      <c r="AN989" s="2">
        <v>0</v>
      </c>
      <c r="AO989" s="2">
        <v>0</v>
      </c>
      <c r="AP989" s="2">
        <v>0</v>
      </c>
      <c r="AQ989" s="2">
        <v>0</v>
      </c>
      <c r="AR989" s="2">
        <v>9.3109574608454952</v>
      </c>
    </row>
    <row r="990" spans="1:44" x14ac:dyDescent="0.25">
      <c r="A990" t="s">
        <v>435</v>
      </c>
      <c r="B990" t="s">
        <v>466</v>
      </c>
      <c r="C990" t="s">
        <v>47</v>
      </c>
      <c r="D990" t="s">
        <v>144</v>
      </c>
      <c r="E990" t="s">
        <v>134</v>
      </c>
      <c r="F990" t="s">
        <v>467</v>
      </c>
      <c r="G990" t="s">
        <v>33</v>
      </c>
      <c r="H990" t="s">
        <v>452</v>
      </c>
      <c r="I990" t="s">
        <v>256</v>
      </c>
      <c r="J990" t="s">
        <v>40</v>
      </c>
      <c r="K990" t="s">
        <v>33</v>
      </c>
      <c r="L990">
        <v>7.2880120486938149E-2</v>
      </c>
      <c r="M990">
        <v>1</v>
      </c>
      <c r="N990">
        <v>3.0984933282590745</v>
      </c>
      <c r="O990">
        <v>1.4737622038640088</v>
      </c>
      <c r="P990">
        <v>-0.47866416110189608</v>
      </c>
      <c r="Q990">
        <v>1.3498045353129324</v>
      </c>
      <c r="R990">
        <v>-0.25661544227348498</v>
      </c>
      <c r="S990" s="2">
        <v>0.17336572264517006</v>
      </c>
      <c r="T990" s="2">
        <v>0.34387532929263054</v>
      </c>
      <c r="U990" s="2">
        <v>0.60585962806999749</v>
      </c>
      <c r="V990" s="2">
        <v>0.97791682525774315</v>
      </c>
      <c r="W990" s="2">
        <v>1.4728990080550406</v>
      </c>
      <c r="X990" s="2">
        <v>2.0932448337513239</v>
      </c>
      <c r="Y990" s="2">
        <v>2.8254385415892762</v>
      </c>
      <c r="Z990" s="2">
        <v>3.6345539692908835</v>
      </c>
      <c r="AA990" s="2">
        <v>4.460664395861369</v>
      </c>
      <c r="AB990" s="2">
        <v>5.2196344816096891</v>
      </c>
      <c r="AC990" s="2">
        <v>5.8109486025924149</v>
      </c>
      <c r="AD990" s="2">
        <v>6.1341027576881917</v>
      </c>
      <c r="AE990" s="2">
        <v>6.1122292683042101</v>
      </c>
      <c r="AF990" s="2">
        <v>5.7173916112028786</v>
      </c>
      <c r="AG990" s="2">
        <v>4.9881160195871255</v>
      </c>
      <c r="AH990" s="2">
        <v>4.093318089658581</v>
      </c>
      <c r="AI990" s="2">
        <v>1.4825615761094033</v>
      </c>
      <c r="AJ990" s="2">
        <v>0</v>
      </c>
      <c r="AK990" s="2">
        <v>0</v>
      </c>
      <c r="AL990" s="2">
        <v>0</v>
      </c>
      <c r="AM990" s="2">
        <v>0</v>
      </c>
      <c r="AN990" s="2">
        <v>0</v>
      </c>
      <c r="AO990" s="2">
        <v>0</v>
      </c>
      <c r="AP990" s="2">
        <v>0</v>
      </c>
      <c r="AQ990" s="2">
        <v>0</v>
      </c>
      <c r="AR990" s="2">
        <v>56.14612066056592</v>
      </c>
    </row>
    <row r="991" spans="1:44" x14ac:dyDescent="0.25">
      <c r="A991" t="s">
        <v>435</v>
      </c>
      <c r="B991" t="s">
        <v>466</v>
      </c>
      <c r="C991" t="s">
        <v>47</v>
      </c>
      <c r="D991" t="s">
        <v>144</v>
      </c>
      <c r="E991" t="s">
        <v>134</v>
      </c>
      <c r="F991" t="s">
        <v>467</v>
      </c>
      <c r="G991" t="s">
        <v>33</v>
      </c>
      <c r="H991" t="s">
        <v>453</v>
      </c>
      <c r="I991" t="s">
        <v>135</v>
      </c>
      <c r="J991" t="s">
        <v>39</v>
      </c>
      <c r="K991" t="s">
        <v>31</v>
      </c>
      <c r="L991">
        <v>7.2880120486938149E-2</v>
      </c>
      <c r="M991">
        <v>1</v>
      </c>
      <c r="N991">
        <v>3.3697309324907936</v>
      </c>
      <c r="O991">
        <v>2.8779545327574692</v>
      </c>
      <c r="P991">
        <v>-0.60414025211616262</v>
      </c>
      <c r="Q991">
        <v>0.462605807810749</v>
      </c>
      <c r="R991">
        <v>-0.52509153328775149</v>
      </c>
      <c r="S991" s="2">
        <v>6.0724405904731167E-2</v>
      </c>
      <c r="T991" s="2">
        <v>0.12044840674374536</v>
      </c>
      <c r="U991" s="2">
        <v>0.21221303389662285</v>
      </c>
      <c r="V991" s="2">
        <v>0.34253263754772384</v>
      </c>
      <c r="W991" s="2">
        <v>0.51590888819971703</v>
      </c>
      <c r="X991" s="2">
        <v>0.73319596863364256</v>
      </c>
      <c r="Y991" s="2">
        <v>0.98965974496296372</v>
      </c>
      <c r="Z991" s="2">
        <v>1.2730667120719916</v>
      </c>
      <c r="AA991" s="2">
        <v>1.5624264776576622</v>
      </c>
      <c r="AB991" s="2">
        <v>1.8282691532069602</v>
      </c>
      <c r="AC991" s="2">
        <v>2.035387366380196</v>
      </c>
      <c r="AD991" s="2">
        <v>2.148577815936362</v>
      </c>
      <c r="AE991" s="2">
        <v>2.1409162400052053</v>
      </c>
      <c r="AF991" s="2">
        <v>2.0026173779783285</v>
      </c>
      <c r="AG991" s="2">
        <v>1.747175723388243</v>
      </c>
      <c r="AH991" s="2">
        <v>1.433756946765921</v>
      </c>
      <c r="AI991" s="2">
        <v>0.51929337329667424</v>
      </c>
      <c r="AJ991" s="2">
        <v>0</v>
      </c>
      <c r="AK991" s="2">
        <v>0</v>
      </c>
      <c r="AL991" s="2">
        <v>0</v>
      </c>
      <c r="AM991" s="2">
        <v>0</v>
      </c>
      <c r="AN991" s="2">
        <v>0</v>
      </c>
      <c r="AO991" s="2">
        <v>0</v>
      </c>
      <c r="AP991" s="2">
        <v>0</v>
      </c>
      <c r="AQ991" s="2">
        <v>0</v>
      </c>
      <c r="AR991" s="2">
        <v>19.666170272576689</v>
      </c>
    </row>
    <row r="992" spans="1:44" x14ac:dyDescent="0.25">
      <c r="A992" t="s">
        <v>435</v>
      </c>
      <c r="B992" t="s">
        <v>466</v>
      </c>
      <c r="C992" t="s">
        <v>47</v>
      </c>
      <c r="D992" t="s">
        <v>144</v>
      </c>
      <c r="E992" t="s">
        <v>134</v>
      </c>
      <c r="F992" t="s">
        <v>467</v>
      </c>
      <c r="G992" t="s">
        <v>33</v>
      </c>
      <c r="H992" t="s">
        <v>453</v>
      </c>
      <c r="I992" t="s">
        <v>135</v>
      </c>
      <c r="J992" t="s">
        <v>39</v>
      </c>
      <c r="K992" t="s">
        <v>33</v>
      </c>
      <c r="L992">
        <v>7.2880120486938149E-2</v>
      </c>
      <c r="M992">
        <v>1</v>
      </c>
      <c r="N992">
        <v>3.3697309324907936</v>
      </c>
      <c r="O992">
        <v>2.8779545327574692</v>
      </c>
      <c r="P992">
        <v>-0.60414025211616262</v>
      </c>
      <c r="Q992">
        <v>0.462605807810749</v>
      </c>
      <c r="R992">
        <v>-0.52509153328775149</v>
      </c>
      <c r="S992" s="2">
        <v>5.5252160714684223E-2</v>
      </c>
      <c r="T992" s="2">
        <v>0.10959406894279006</v>
      </c>
      <c r="U992" s="2">
        <v>0.19308922796218575</v>
      </c>
      <c r="V992" s="2">
        <v>0.31166494027958819</v>
      </c>
      <c r="W992" s="2">
        <v>0.46941720351559546</v>
      </c>
      <c r="X992" s="2">
        <v>0.66712322485065789</v>
      </c>
      <c r="Y992" s="2">
        <v>0.90047549196832488</v>
      </c>
      <c r="Z992" s="2">
        <v>1.1583429352321746</v>
      </c>
      <c r="AA992" s="2">
        <v>1.4216267341315094</v>
      </c>
      <c r="AB992" s="2">
        <v>1.6635127108723227</v>
      </c>
      <c r="AC992" s="2">
        <v>1.8519662433636834</v>
      </c>
      <c r="AD992" s="2">
        <v>1.9549564137419067</v>
      </c>
      <c r="AE992" s="2">
        <v>1.9479852689712165</v>
      </c>
      <c r="AF992" s="2">
        <v>1.8221493577338927</v>
      </c>
      <c r="AG992" s="2">
        <v>1.5897271027549171</v>
      </c>
      <c r="AH992" s="2">
        <v>1.3045523964909396</v>
      </c>
      <c r="AI992" s="2">
        <v>0.47249669209563439</v>
      </c>
      <c r="AJ992" s="2">
        <v>0</v>
      </c>
      <c r="AK992" s="2">
        <v>0</v>
      </c>
      <c r="AL992" s="2">
        <v>0</v>
      </c>
      <c r="AM992" s="2">
        <v>0</v>
      </c>
      <c r="AN992" s="2">
        <v>0</v>
      </c>
      <c r="AO992" s="2">
        <v>0</v>
      </c>
      <c r="AP992" s="2">
        <v>0</v>
      </c>
      <c r="AQ992" s="2">
        <v>0</v>
      </c>
      <c r="AR992" s="2">
        <v>17.893932173622023</v>
      </c>
    </row>
    <row r="993" spans="1:44" x14ac:dyDescent="0.25">
      <c r="A993" t="s">
        <v>435</v>
      </c>
      <c r="B993" t="s">
        <v>466</v>
      </c>
      <c r="C993" t="s">
        <v>47</v>
      </c>
      <c r="D993" t="s">
        <v>144</v>
      </c>
      <c r="E993" t="s">
        <v>134</v>
      </c>
      <c r="F993" t="s">
        <v>467</v>
      </c>
      <c r="G993" t="s">
        <v>33</v>
      </c>
      <c r="H993" t="s">
        <v>453</v>
      </c>
      <c r="I993" t="s">
        <v>135</v>
      </c>
      <c r="J993" t="s">
        <v>40</v>
      </c>
      <c r="K993" t="s">
        <v>33</v>
      </c>
      <c r="L993">
        <v>7.2880120486938149E-2</v>
      </c>
      <c r="M993">
        <v>1</v>
      </c>
      <c r="N993">
        <v>3.3697309324907936</v>
      </c>
      <c r="O993">
        <v>1.7054155637884914</v>
      </c>
      <c r="P993">
        <v>-0.60414025211616262</v>
      </c>
      <c r="Q993">
        <v>1.3498045353129324</v>
      </c>
      <c r="R993">
        <v>-0.38209153328775142</v>
      </c>
      <c r="S993" s="2">
        <v>1.1251890533277287</v>
      </c>
      <c r="T993" s="2">
        <v>2.2318411640198339</v>
      </c>
      <c r="U993" s="2">
        <v>3.9321880413051917</v>
      </c>
      <c r="V993" s="2">
        <v>6.3469369264944104</v>
      </c>
      <c r="W993" s="2">
        <v>9.5595012395431773</v>
      </c>
      <c r="X993" s="2">
        <v>13.585708506475797</v>
      </c>
      <c r="Y993" s="2">
        <v>18.337837891711327</v>
      </c>
      <c r="Z993" s="2">
        <v>23.589209432969085</v>
      </c>
      <c r="AA993" s="2">
        <v>28.950882978549334</v>
      </c>
      <c r="AB993" s="2">
        <v>33.876798085972723</v>
      </c>
      <c r="AC993" s="2">
        <v>37.714581967678306</v>
      </c>
      <c r="AD993" s="2">
        <v>39.811937271271631</v>
      </c>
      <c r="AE993" s="2">
        <v>39.669972582765638</v>
      </c>
      <c r="AF993" s="2">
        <v>37.10737253222814</v>
      </c>
      <c r="AG993" s="2">
        <v>32.374182487361956</v>
      </c>
      <c r="AH993" s="2">
        <v>26.566709012593396</v>
      </c>
      <c r="AI993" s="2">
        <v>9.6222138429107922</v>
      </c>
      <c r="AJ993" s="2">
        <v>0</v>
      </c>
      <c r="AK993" s="2">
        <v>0</v>
      </c>
      <c r="AL993" s="2">
        <v>0</v>
      </c>
      <c r="AM993" s="2">
        <v>0</v>
      </c>
      <c r="AN993" s="2">
        <v>0</v>
      </c>
      <c r="AO993" s="2">
        <v>0</v>
      </c>
      <c r="AP993" s="2">
        <v>0</v>
      </c>
      <c r="AQ993" s="2">
        <v>0</v>
      </c>
      <c r="AR993" s="2">
        <v>364.40306301717845</v>
      </c>
    </row>
    <row r="994" spans="1:44" x14ac:dyDescent="0.25">
      <c r="A994" t="s">
        <v>435</v>
      </c>
      <c r="B994" t="s">
        <v>466</v>
      </c>
      <c r="C994" t="s">
        <v>47</v>
      </c>
      <c r="D994" t="s">
        <v>144</v>
      </c>
      <c r="E994" t="s">
        <v>134</v>
      </c>
      <c r="F994" t="s">
        <v>467</v>
      </c>
      <c r="G994" t="s">
        <v>33</v>
      </c>
      <c r="H994" t="s">
        <v>453</v>
      </c>
      <c r="I994" t="s">
        <v>256</v>
      </c>
      <c r="J994" t="s">
        <v>40</v>
      </c>
      <c r="K994" t="s">
        <v>33</v>
      </c>
      <c r="L994">
        <v>7.2880120486938149E-2</v>
      </c>
      <c r="M994">
        <v>1</v>
      </c>
      <c r="N994">
        <v>3.0984933282590745</v>
      </c>
      <c r="O994">
        <v>1.4737622038640088</v>
      </c>
      <c r="P994">
        <v>-0.47866416110189608</v>
      </c>
      <c r="Q994">
        <v>1.3498045353129324</v>
      </c>
      <c r="R994">
        <v>-0.25661544227348498</v>
      </c>
      <c r="S994" s="2">
        <v>0.57924422038979062</v>
      </c>
      <c r="T994" s="2">
        <v>1.148945673851991</v>
      </c>
      <c r="U994" s="2">
        <v>2.0242795552228579</v>
      </c>
      <c r="V994" s="2">
        <v>3.2673856193121096</v>
      </c>
      <c r="W994" s="2">
        <v>4.9212048645851905</v>
      </c>
      <c r="X994" s="2">
        <v>6.9938852577731421</v>
      </c>
      <c r="Y994" s="2">
        <v>9.4402683547302875</v>
      </c>
      <c r="Z994" s="2">
        <v>12.143659936257706</v>
      </c>
      <c r="AA994" s="2">
        <v>14.903834685300174</v>
      </c>
      <c r="AB994" s="2">
        <v>17.439682192585408</v>
      </c>
      <c r="AC994" s="2">
        <v>19.415362746896275</v>
      </c>
      <c r="AD994" s="2">
        <v>20.495075470831267</v>
      </c>
      <c r="AE994" s="2">
        <v>20.421992440852136</v>
      </c>
      <c r="AF994" s="2">
        <v>19.102773004745437</v>
      </c>
      <c r="AG994" s="2">
        <v>16.666139827959039</v>
      </c>
      <c r="AH994" s="2">
        <v>13.676468505279631</v>
      </c>
      <c r="AI994" s="2">
        <v>4.9534891397822456</v>
      </c>
      <c r="AJ994" s="2">
        <v>0</v>
      </c>
      <c r="AK994" s="2">
        <v>0</v>
      </c>
      <c r="AL994" s="2">
        <v>0</v>
      </c>
      <c r="AM994" s="2">
        <v>0</v>
      </c>
      <c r="AN994" s="2">
        <v>0</v>
      </c>
      <c r="AO994" s="2">
        <v>0</v>
      </c>
      <c r="AP994" s="2">
        <v>0</v>
      </c>
      <c r="AQ994" s="2">
        <v>0</v>
      </c>
      <c r="AR994" s="2">
        <v>187.59369149635472</v>
      </c>
    </row>
    <row r="995" spans="1:44" x14ac:dyDescent="0.25">
      <c r="A995" t="s">
        <v>435</v>
      </c>
      <c r="B995" t="s">
        <v>466</v>
      </c>
      <c r="C995" t="s">
        <v>47</v>
      </c>
      <c r="D995" t="s">
        <v>144</v>
      </c>
      <c r="E995" t="s">
        <v>134</v>
      </c>
      <c r="F995" t="s">
        <v>467</v>
      </c>
      <c r="G995" t="s">
        <v>33</v>
      </c>
      <c r="H995" t="s">
        <v>454</v>
      </c>
      <c r="I995" t="s">
        <v>135</v>
      </c>
      <c r="J995" t="s">
        <v>39</v>
      </c>
      <c r="K995" t="s">
        <v>31</v>
      </c>
      <c r="L995">
        <v>7.2880120486938149E-2</v>
      </c>
      <c r="M995">
        <v>1</v>
      </c>
      <c r="N995">
        <v>3.3697309324907936</v>
      </c>
      <c r="O995">
        <v>2.8779545327574692</v>
      </c>
      <c r="P995">
        <v>-0.60414025211616262</v>
      </c>
      <c r="Q995">
        <v>0.462605807810749</v>
      </c>
      <c r="R995">
        <v>-0.52509153328775149</v>
      </c>
      <c r="S995" s="2">
        <v>3.3437352514494355E-3</v>
      </c>
      <c r="T995" s="2">
        <v>6.632384090209803E-3</v>
      </c>
      <c r="U995" s="2">
        <v>1.1685321440121103E-2</v>
      </c>
      <c r="V995" s="2">
        <v>1.886125418397944E-2</v>
      </c>
      <c r="W995" s="2">
        <v>2.8408062793004223E-2</v>
      </c>
      <c r="X995" s="2">
        <v>4.0372782080193473E-2</v>
      </c>
      <c r="Y995" s="2">
        <v>5.4494731185427629E-2</v>
      </c>
      <c r="Z995" s="2">
        <v>7.0100283060493304E-2</v>
      </c>
      <c r="AA995" s="2">
        <v>8.6033620474413874E-2</v>
      </c>
      <c r="AB995" s="2">
        <v>0.10067201030021812</v>
      </c>
      <c r="AC995" s="2">
        <v>0.11207678998124269</v>
      </c>
      <c r="AD995" s="2">
        <v>0.1183095211322423</v>
      </c>
      <c r="AE995" s="2">
        <v>0.11788764328690185</v>
      </c>
      <c r="AF995" s="2">
        <v>0.11027233979722899</v>
      </c>
      <c r="AG995" s="2">
        <v>9.6206672913942248E-2</v>
      </c>
      <c r="AH995" s="2">
        <v>7.8948547515360762E-2</v>
      </c>
      <c r="AI995" s="2">
        <v>2.8594426446268157E-2</v>
      </c>
      <c r="AJ995" s="2">
        <v>0</v>
      </c>
      <c r="AK995" s="2">
        <v>0</v>
      </c>
      <c r="AL995" s="2">
        <v>0</v>
      </c>
      <c r="AM995" s="2">
        <v>0</v>
      </c>
      <c r="AN995" s="2">
        <v>0</v>
      </c>
      <c r="AO995" s="2">
        <v>0</v>
      </c>
      <c r="AP995" s="2">
        <v>0</v>
      </c>
      <c r="AQ995" s="2">
        <v>0</v>
      </c>
      <c r="AR995" s="2">
        <v>1.0829001259326974</v>
      </c>
    </row>
    <row r="996" spans="1:44" x14ac:dyDescent="0.25">
      <c r="A996" t="s">
        <v>435</v>
      </c>
      <c r="B996" t="s">
        <v>466</v>
      </c>
      <c r="C996" t="s">
        <v>47</v>
      </c>
      <c r="D996" t="s">
        <v>144</v>
      </c>
      <c r="E996" t="s">
        <v>134</v>
      </c>
      <c r="F996" t="s">
        <v>467</v>
      </c>
      <c r="G996" t="s">
        <v>33</v>
      </c>
      <c r="H996" t="s">
        <v>454</v>
      </c>
      <c r="I996" t="s">
        <v>135</v>
      </c>
      <c r="J996" t="s">
        <v>39</v>
      </c>
      <c r="K996" t="s">
        <v>33</v>
      </c>
      <c r="L996">
        <v>7.2880120486938149E-2</v>
      </c>
      <c r="M996">
        <v>1</v>
      </c>
      <c r="N996">
        <v>3.3697309324907936</v>
      </c>
      <c r="O996">
        <v>2.8779545327574692</v>
      </c>
      <c r="P996">
        <v>-0.60414025211616262</v>
      </c>
      <c r="Q996">
        <v>0.462605807810749</v>
      </c>
      <c r="R996">
        <v>-0.52509153328775149</v>
      </c>
      <c r="S996" s="2">
        <v>2.6833489385190014E-2</v>
      </c>
      <c r="T996" s="2">
        <v>5.3224910078033802E-2</v>
      </c>
      <c r="U996" s="2">
        <v>9.3774753455765511E-2</v>
      </c>
      <c r="V996" s="2">
        <v>0.15136164375388098</v>
      </c>
      <c r="W996" s="2">
        <v>0.22797482279120496</v>
      </c>
      <c r="X996" s="2">
        <v>0.32399174513887014</v>
      </c>
      <c r="Y996" s="2">
        <v>0.43732044580356294</v>
      </c>
      <c r="Z996" s="2">
        <v>0.56255506490448826</v>
      </c>
      <c r="AA996" s="2">
        <v>0.69042016432638675</v>
      </c>
      <c r="AB996" s="2">
        <v>0.80789330393476966</v>
      </c>
      <c r="AC996" s="2">
        <v>0.89941670859982126</v>
      </c>
      <c r="AD996" s="2">
        <v>0.94943440216829167</v>
      </c>
      <c r="AE996" s="2">
        <v>0.94604883069403045</v>
      </c>
      <c r="AF996" s="2">
        <v>0.88493598832214759</v>
      </c>
      <c r="AG996" s="2">
        <v>0.7720589527241033</v>
      </c>
      <c r="AH996" s="2">
        <v>0.63356242418154796</v>
      </c>
      <c r="AI996" s="2">
        <v>0.22947039188851295</v>
      </c>
      <c r="AJ996" s="2">
        <v>0</v>
      </c>
      <c r="AK996" s="2">
        <v>0</v>
      </c>
      <c r="AL996" s="2">
        <v>0</v>
      </c>
      <c r="AM996" s="2">
        <v>0</v>
      </c>
      <c r="AN996" s="2">
        <v>0</v>
      </c>
      <c r="AO996" s="2">
        <v>0</v>
      </c>
      <c r="AP996" s="2">
        <v>0</v>
      </c>
      <c r="AQ996" s="2">
        <v>0</v>
      </c>
      <c r="AR996" s="2">
        <v>8.6902780421506094</v>
      </c>
    </row>
    <row r="997" spans="1:44" x14ac:dyDescent="0.25">
      <c r="A997" t="s">
        <v>435</v>
      </c>
      <c r="B997" t="s">
        <v>466</v>
      </c>
      <c r="C997" t="s">
        <v>47</v>
      </c>
      <c r="D997" t="s">
        <v>144</v>
      </c>
      <c r="E997" t="s">
        <v>134</v>
      </c>
      <c r="F997" t="s">
        <v>467</v>
      </c>
      <c r="G997" t="s">
        <v>33</v>
      </c>
      <c r="H997" t="s">
        <v>455</v>
      </c>
      <c r="I997" t="s">
        <v>135</v>
      </c>
      <c r="J997" t="s">
        <v>39</v>
      </c>
      <c r="K997" t="s">
        <v>31</v>
      </c>
      <c r="L997">
        <v>7.2880120486938149E-2</v>
      </c>
      <c r="M997">
        <v>1</v>
      </c>
      <c r="N997">
        <v>3.3697309324907936</v>
      </c>
      <c r="O997">
        <v>2.8779545327574692</v>
      </c>
      <c r="P997">
        <v>-0.60414025211616262</v>
      </c>
      <c r="Q997">
        <v>0.462605807810749</v>
      </c>
      <c r="R997">
        <v>-0.52509153328775149</v>
      </c>
      <c r="S997" s="2">
        <v>7.8783358733008641E-4</v>
      </c>
      <c r="T997" s="2">
        <v>1.5626879993193136E-3</v>
      </c>
      <c r="U997" s="2">
        <v>2.7532349354767679E-3</v>
      </c>
      <c r="V997" s="2">
        <v>4.4439910542761561E-3</v>
      </c>
      <c r="W997" s="2">
        <v>6.6933606689133897E-3</v>
      </c>
      <c r="X997" s="2">
        <v>9.5124258784983068E-3</v>
      </c>
      <c r="Y997" s="2">
        <v>1.2839766408477995E-2</v>
      </c>
      <c r="Z997" s="2">
        <v>1.6516665741542515E-2</v>
      </c>
      <c r="AA997" s="2">
        <v>2.0270796206120517E-2</v>
      </c>
      <c r="AB997" s="2">
        <v>2.3719817824743118E-2</v>
      </c>
      <c r="AC997" s="2">
        <v>2.6406952963482368E-2</v>
      </c>
      <c r="AD997" s="2">
        <v>2.7875476806519119E-2</v>
      </c>
      <c r="AE997" s="2">
        <v>2.7776076132926448E-2</v>
      </c>
      <c r="AF997" s="2">
        <v>2.5981797753896405E-2</v>
      </c>
      <c r="AG997" s="2">
        <v>2.2667718149643575E-2</v>
      </c>
      <c r="AH997" s="2">
        <v>1.8601447999378788E-2</v>
      </c>
      <c r="AI997" s="2">
        <v>6.7372707079738072E-3</v>
      </c>
      <c r="AJ997" s="2">
        <v>0</v>
      </c>
      <c r="AK997" s="2">
        <v>0</v>
      </c>
      <c r="AL997" s="2">
        <v>0</v>
      </c>
      <c r="AM997" s="2">
        <v>0</v>
      </c>
      <c r="AN997" s="2">
        <v>0</v>
      </c>
      <c r="AO997" s="2">
        <v>0</v>
      </c>
      <c r="AP997" s="2">
        <v>0</v>
      </c>
      <c r="AQ997" s="2">
        <v>0</v>
      </c>
      <c r="AR997" s="2">
        <v>0.25514732081851871</v>
      </c>
    </row>
    <row r="998" spans="1:44" x14ac:dyDescent="0.25">
      <c r="A998" t="s">
        <v>435</v>
      </c>
      <c r="B998" t="s">
        <v>466</v>
      </c>
      <c r="C998" t="s">
        <v>47</v>
      </c>
      <c r="D998" t="s">
        <v>144</v>
      </c>
      <c r="E998" t="s">
        <v>134</v>
      </c>
      <c r="F998" t="s">
        <v>467</v>
      </c>
      <c r="G998" t="s">
        <v>33</v>
      </c>
      <c r="H998" t="s">
        <v>455</v>
      </c>
      <c r="I998" t="s">
        <v>135</v>
      </c>
      <c r="J998" t="s">
        <v>39</v>
      </c>
      <c r="K998" t="s">
        <v>33</v>
      </c>
      <c r="L998">
        <v>7.2880120486938149E-2</v>
      </c>
      <c r="M998">
        <v>1</v>
      </c>
      <c r="N998">
        <v>3.3697309324907936</v>
      </c>
      <c r="O998">
        <v>2.8779545327574692</v>
      </c>
      <c r="P998">
        <v>-0.60414025211616262</v>
      </c>
      <c r="Q998">
        <v>0.462605807810749</v>
      </c>
      <c r="R998">
        <v>-0.52509153328775149</v>
      </c>
      <c r="S998" s="2">
        <v>2.0031281954231067E-2</v>
      </c>
      <c r="T998" s="2">
        <v>3.973255827660372E-2</v>
      </c>
      <c r="U998" s="2">
        <v>7.0003140467362723E-2</v>
      </c>
      <c r="V998" s="2">
        <v>0.11299193032879565</v>
      </c>
      <c r="W998" s="2">
        <v>0.170183902967048</v>
      </c>
      <c r="X998" s="2">
        <v>0.24186082937473039</v>
      </c>
      <c r="Y998" s="2">
        <v>0.32646105128154074</v>
      </c>
      <c r="Z998" s="2">
        <v>0.41994907774096651</v>
      </c>
      <c r="AA998" s="2">
        <v>0.51540076581100469</v>
      </c>
      <c r="AB998" s="2">
        <v>0.60309482407399817</v>
      </c>
      <c r="AC998" s="2">
        <v>0.67141732577847979</v>
      </c>
      <c r="AD998" s="2">
        <v>0.70875568711449521</v>
      </c>
      <c r="AE998" s="2">
        <v>0.70622834764687625</v>
      </c>
      <c r="AF998" s="2">
        <v>0.66060742377063553</v>
      </c>
      <c r="AG998" s="2">
        <v>0.5763443712184716</v>
      </c>
      <c r="AH998" s="2">
        <v>0.47295628877067358</v>
      </c>
      <c r="AI998" s="2">
        <v>0.17130034987561688</v>
      </c>
      <c r="AJ998" s="2">
        <v>0</v>
      </c>
      <c r="AK998" s="2">
        <v>0</v>
      </c>
      <c r="AL998" s="2">
        <v>0</v>
      </c>
      <c r="AM998" s="2">
        <v>0</v>
      </c>
      <c r="AN998" s="2">
        <v>0</v>
      </c>
      <c r="AO998" s="2">
        <v>0</v>
      </c>
      <c r="AP998" s="2">
        <v>0</v>
      </c>
      <c r="AQ998" s="2">
        <v>0</v>
      </c>
      <c r="AR998" s="2">
        <v>6.487319156451532</v>
      </c>
    </row>
    <row r="999" spans="1:44" x14ac:dyDescent="0.25">
      <c r="A999" t="s">
        <v>435</v>
      </c>
      <c r="B999" t="s">
        <v>466</v>
      </c>
      <c r="C999" t="s">
        <v>47</v>
      </c>
      <c r="D999" t="s">
        <v>144</v>
      </c>
      <c r="E999" t="s">
        <v>134</v>
      </c>
      <c r="F999" t="s">
        <v>467</v>
      </c>
      <c r="G999" t="s">
        <v>33</v>
      </c>
      <c r="H999" t="s">
        <v>456</v>
      </c>
      <c r="I999" t="s">
        <v>135</v>
      </c>
      <c r="J999" t="s">
        <v>39</v>
      </c>
      <c r="K999" t="s">
        <v>31</v>
      </c>
      <c r="L999">
        <v>7.2880120486938149E-2</v>
      </c>
      <c r="M999">
        <v>1</v>
      </c>
      <c r="N999">
        <v>3.3697309324907936</v>
      </c>
      <c r="O999">
        <v>2.8779545327574692</v>
      </c>
      <c r="P999">
        <v>-0.60414025211616262</v>
      </c>
      <c r="Q999">
        <v>0.462605807810749</v>
      </c>
      <c r="R999">
        <v>-0.52509153328775149</v>
      </c>
      <c r="S999" s="2">
        <v>0.14200886975735474</v>
      </c>
      <c r="T999" s="2">
        <v>0.28167821242398944</v>
      </c>
      <c r="U999" s="2">
        <v>0.49627711695884452</v>
      </c>
      <c r="V999" s="2">
        <v>0.80103991119274243</v>
      </c>
      <c r="W999" s="2">
        <v>1.2064941108844536</v>
      </c>
      <c r="X999" s="2">
        <v>1.7146372906416576</v>
      </c>
      <c r="Y999" s="2">
        <v>2.3143983005289903</v>
      </c>
      <c r="Z999" s="2">
        <v>2.9771681124503155</v>
      </c>
      <c r="AA999" s="2">
        <v>3.6538590187152811</v>
      </c>
      <c r="AB999" s="2">
        <v>4.2755533329792215</v>
      </c>
      <c r="AC999" s="2">
        <v>4.7599158050475143</v>
      </c>
      <c r="AD999" s="2">
        <v>5.0246207053147351</v>
      </c>
      <c r="AE999" s="2">
        <v>5.0067034985124046</v>
      </c>
      <c r="AF999" s="2">
        <v>4.6832805717244943</v>
      </c>
      <c r="AG999" s="2">
        <v>4.0859098751021614</v>
      </c>
      <c r="AH999" s="2">
        <v>3.3529550513251021</v>
      </c>
      <c r="AI999" s="2">
        <v>1.2144089994069216</v>
      </c>
      <c r="AJ999" s="2">
        <v>0</v>
      </c>
      <c r="AK999" s="2">
        <v>0</v>
      </c>
      <c r="AL999" s="2">
        <v>0</v>
      </c>
      <c r="AM999" s="2">
        <v>0</v>
      </c>
      <c r="AN999" s="2">
        <v>0</v>
      </c>
      <c r="AO999" s="2">
        <v>0</v>
      </c>
      <c r="AP999" s="2">
        <v>0</v>
      </c>
      <c r="AQ999" s="2">
        <v>0</v>
      </c>
      <c r="AR999" s="2">
        <v>45.990908782966187</v>
      </c>
    </row>
    <row r="1000" spans="1:44" x14ac:dyDescent="0.25">
      <c r="A1000" t="s">
        <v>435</v>
      </c>
      <c r="B1000" t="s">
        <v>466</v>
      </c>
      <c r="C1000" t="s">
        <v>47</v>
      </c>
      <c r="D1000" t="s">
        <v>144</v>
      </c>
      <c r="E1000" t="s">
        <v>134</v>
      </c>
      <c r="F1000" t="s">
        <v>467</v>
      </c>
      <c r="G1000" t="s">
        <v>33</v>
      </c>
      <c r="H1000" t="s">
        <v>456</v>
      </c>
      <c r="I1000" t="s">
        <v>135</v>
      </c>
      <c r="J1000" t="s">
        <v>39</v>
      </c>
      <c r="K1000" t="s">
        <v>33</v>
      </c>
      <c r="L1000">
        <v>7.2880120486938149E-2</v>
      </c>
      <c r="M1000">
        <v>1</v>
      </c>
      <c r="N1000">
        <v>3.3697309324907936</v>
      </c>
      <c r="O1000">
        <v>2.8779545327574692</v>
      </c>
      <c r="P1000">
        <v>-0.60414025211616262</v>
      </c>
      <c r="Q1000">
        <v>0.462605807810749</v>
      </c>
      <c r="R1000">
        <v>-0.52509153328775149</v>
      </c>
      <c r="S1000" s="2">
        <v>0.13111675058832659</v>
      </c>
      <c r="T1000" s="2">
        <v>0.26007341645396853</v>
      </c>
      <c r="U1000" s="2">
        <v>0.45821252628916548</v>
      </c>
      <c r="V1000" s="2">
        <v>0.73959993081146636</v>
      </c>
      <c r="W1000" s="2">
        <v>1.1139556824402435</v>
      </c>
      <c r="X1000" s="2">
        <v>1.5831241412641603</v>
      </c>
      <c r="Y1000" s="2">
        <v>2.1368833175773534</v>
      </c>
      <c r="Z1000" s="2">
        <v>2.7488185035671</v>
      </c>
      <c r="AA1000" s="2">
        <v>3.3736070321550273</v>
      </c>
      <c r="AB1000" s="2">
        <v>3.9476172223974153</v>
      </c>
      <c r="AC1000" s="2">
        <v>4.3948289603194031</v>
      </c>
      <c r="AD1000" s="2">
        <v>4.6392309223035237</v>
      </c>
      <c r="AE1000" s="2">
        <v>4.6226879701657113</v>
      </c>
      <c r="AF1000" s="2">
        <v>4.3240716703623621</v>
      </c>
      <c r="AG1000" s="2">
        <v>3.7725194696326696</v>
      </c>
      <c r="AH1000" s="2">
        <v>3.0957824814016215</v>
      </c>
      <c r="AI1000" s="2">
        <v>1.1212634968472399</v>
      </c>
      <c r="AJ1000" s="2">
        <v>0</v>
      </c>
      <c r="AK1000" s="2">
        <v>0</v>
      </c>
      <c r="AL1000" s="2">
        <v>0</v>
      </c>
      <c r="AM1000" s="2">
        <v>0</v>
      </c>
      <c r="AN1000" s="2">
        <v>0</v>
      </c>
      <c r="AO1000" s="2">
        <v>0</v>
      </c>
      <c r="AP1000" s="2">
        <v>0</v>
      </c>
      <c r="AQ1000" s="2">
        <v>0</v>
      </c>
      <c r="AR1000" s="2">
        <v>42.463393494576763</v>
      </c>
    </row>
    <row r="1001" spans="1:44" x14ac:dyDescent="0.25">
      <c r="A1001" t="s">
        <v>435</v>
      </c>
      <c r="B1001" t="s">
        <v>466</v>
      </c>
      <c r="C1001" t="s">
        <v>47</v>
      </c>
      <c r="D1001" t="s">
        <v>144</v>
      </c>
      <c r="E1001" t="s">
        <v>134</v>
      </c>
      <c r="F1001" t="s">
        <v>467</v>
      </c>
      <c r="G1001" t="s">
        <v>33</v>
      </c>
      <c r="H1001" t="s">
        <v>456</v>
      </c>
      <c r="I1001" t="s">
        <v>135</v>
      </c>
      <c r="J1001" t="s">
        <v>40</v>
      </c>
      <c r="K1001" t="s">
        <v>33</v>
      </c>
      <c r="L1001">
        <v>7.2880120486938149E-2</v>
      </c>
      <c r="M1001">
        <v>1</v>
      </c>
      <c r="N1001">
        <v>3.3697309324907936</v>
      </c>
      <c r="O1001">
        <v>1.7054155637884914</v>
      </c>
      <c r="P1001">
        <v>-0.60414025211616262</v>
      </c>
      <c r="Q1001">
        <v>1.3498045353129324</v>
      </c>
      <c r="R1001">
        <v>-0.38209153328775142</v>
      </c>
      <c r="S1001" s="2">
        <v>0.48404551427116493</v>
      </c>
      <c r="T1001" s="2">
        <v>0.96011661401657622</v>
      </c>
      <c r="U1001" s="2">
        <v>1.691589495147811</v>
      </c>
      <c r="V1001" s="2">
        <v>2.7303912525149721</v>
      </c>
      <c r="W1001" s="2">
        <v>4.112405537527712</v>
      </c>
      <c r="X1001" s="2">
        <v>5.8444411997312837</v>
      </c>
      <c r="Y1001" s="2">
        <v>7.8887615789213443</v>
      </c>
      <c r="Z1001" s="2">
        <v>10.147851134404874</v>
      </c>
      <c r="AA1001" s="2">
        <v>12.454391551812019</v>
      </c>
      <c r="AB1001" s="2">
        <v>14.573472878080818</v>
      </c>
      <c r="AC1001" s="2">
        <v>16.224450611278414</v>
      </c>
      <c r="AD1001" s="2">
        <v>17.126712700955441</v>
      </c>
      <c r="AE1001" s="2">
        <v>17.065640856670253</v>
      </c>
      <c r="AF1001" s="2">
        <v>15.963234949267191</v>
      </c>
      <c r="AG1001" s="2">
        <v>13.92706209223968</v>
      </c>
      <c r="AH1001" s="2">
        <v>11.428742830781555</v>
      </c>
      <c r="AI1001" s="2">
        <v>4.1393838966386758</v>
      </c>
      <c r="AJ1001" s="2">
        <v>0</v>
      </c>
      <c r="AK1001" s="2">
        <v>0</v>
      </c>
      <c r="AL1001" s="2">
        <v>0</v>
      </c>
      <c r="AM1001" s="2">
        <v>0</v>
      </c>
      <c r="AN1001" s="2">
        <v>0</v>
      </c>
      <c r="AO1001" s="2">
        <v>0</v>
      </c>
      <c r="AP1001" s="2">
        <v>0</v>
      </c>
      <c r="AQ1001" s="2">
        <v>0</v>
      </c>
      <c r="AR1001" s="2">
        <v>156.76269469425978</v>
      </c>
    </row>
    <row r="1002" spans="1:44" x14ac:dyDescent="0.25">
      <c r="A1002" t="s">
        <v>435</v>
      </c>
      <c r="B1002" t="s">
        <v>466</v>
      </c>
      <c r="C1002" t="s">
        <v>47</v>
      </c>
      <c r="D1002" t="s">
        <v>144</v>
      </c>
      <c r="E1002" t="s">
        <v>134</v>
      </c>
      <c r="F1002" t="s">
        <v>467</v>
      </c>
      <c r="G1002" t="s">
        <v>33</v>
      </c>
      <c r="H1002" t="s">
        <v>456</v>
      </c>
      <c r="I1002" t="s">
        <v>256</v>
      </c>
      <c r="J1002" t="s">
        <v>40</v>
      </c>
      <c r="K1002" t="s">
        <v>33</v>
      </c>
      <c r="L1002">
        <v>7.2880120486938149E-2</v>
      </c>
      <c r="M1002">
        <v>1</v>
      </c>
      <c r="N1002">
        <v>3.0984933282590745</v>
      </c>
      <c r="O1002">
        <v>1.4737622038640088</v>
      </c>
      <c r="P1002">
        <v>-0.47866416110189608</v>
      </c>
      <c r="Q1002">
        <v>1.3498045353129324</v>
      </c>
      <c r="R1002">
        <v>-0.25661544227348498</v>
      </c>
      <c r="S1002" s="2">
        <v>0.72688150905250204</v>
      </c>
      <c r="T1002" s="2">
        <v>1.4417879986215205</v>
      </c>
      <c r="U1002" s="2">
        <v>2.5402262569911573</v>
      </c>
      <c r="V1002" s="2">
        <v>4.1001741683737851</v>
      </c>
      <c r="W1002" s="2">
        <v>6.1755174974711684</v>
      </c>
      <c r="X1002" s="2">
        <v>8.7764809580477117</v>
      </c>
      <c r="Y1002" s="2">
        <v>11.846396158997187</v>
      </c>
      <c r="Z1002" s="2">
        <v>15.238825954875233</v>
      </c>
      <c r="AA1002" s="2">
        <v>18.702511765123781</v>
      </c>
      <c r="AB1002" s="2">
        <v>21.884693991442987</v>
      </c>
      <c r="AC1002" s="2">
        <v>24.363934374293564</v>
      </c>
      <c r="AD1002" s="2">
        <v>25.718843385882707</v>
      </c>
      <c r="AE1002" s="2">
        <v>25.627133013560634</v>
      </c>
      <c r="AF1002" s="2">
        <v>23.971672016740769</v>
      </c>
      <c r="AG1002" s="2">
        <v>20.913991787565521</v>
      </c>
      <c r="AH1002" s="2">
        <v>17.162315506466285</v>
      </c>
      <c r="AI1002" s="2">
        <v>6.216030362076209</v>
      </c>
      <c r="AJ1002" s="2">
        <v>0</v>
      </c>
      <c r="AK1002" s="2">
        <v>0</v>
      </c>
      <c r="AL1002" s="2">
        <v>0</v>
      </c>
      <c r="AM1002" s="2">
        <v>0</v>
      </c>
      <c r="AN1002" s="2">
        <v>0</v>
      </c>
      <c r="AO1002" s="2">
        <v>0</v>
      </c>
      <c r="AP1002" s="2">
        <v>0</v>
      </c>
      <c r="AQ1002" s="2">
        <v>0</v>
      </c>
      <c r="AR1002" s="2">
        <v>235.4074167055827</v>
      </c>
    </row>
    <row r="1003" spans="1:44" x14ac:dyDescent="0.25">
      <c r="A1003" t="s">
        <v>435</v>
      </c>
      <c r="B1003" t="s">
        <v>466</v>
      </c>
      <c r="C1003" t="s">
        <v>47</v>
      </c>
      <c r="D1003" t="s">
        <v>144</v>
      </c>
      <c r="E1003" t="s">
        <v>134</v>
      </c>
      <c r="F1003" t="s">
        <v>467</v>
      </c>
      <c r="G1003" t="s">
        <v>33</v>
      </c>
      <c r="H1003" t="s">
        <v>457</v>
      </c>
      <c r="I1003" t="s">
        <v>135</v>
      </c>
      <c r="J1003" t="s">
        <v>39</v>
      </c>
      <c r="K1003" t="s">
        <v>31</v>
      </c>
      <c r="L1003">
        <v>7.2880120486938149E-2</v>
      </c>
      <c r="M1003">
        <v>1</v>
      </c>
      <c r="N1003">
        <v>3.3697309324907936</v>
      </c>
      <c r="O1003">
        <v>2.8779545327574692</v>
      </c>
      <c r="P1003">
        <v>-0.60414025211616262</v>
      </c>
      <c r="Q1003">
        <v>0.462605807810749</v>
      </c>
      <c r="R1003">
        <v>-0.52509153328775149</v>
      </c>
      <c r="S1003" s="2">
        <v>5.2500526646459593E-2</v>
      </c>
      <c r="T1003" s="2">
        <v>0.10413613263989006</v>
      </c>
      <c r="U1003" s="2">
        <v>0.18347311718940404</v>
      </c>
      <c r="V1003" s="2">
        <v>0.29614359493396469</v>
      </c>
      <c r="W1003" s="2">
        <v>0.44603957714412651</v>
      </c>
      <c r="X1003" s="2">
        <v>0.63389956500716005</v>
      </c>
      <c r="Y1003" s="2">
        <v>0.85563056628123124</v>
      </c>
      <c r="Z1003" s="2">
        <v>1.1006558540023346</v>
      </c>
      <c r="AA1003" s="2">
        <v>1.3508277553524668</v>
      </c>
      <c r="AB1003" s="2">
        <v>1.5806674757004702</v>
      </c>
      <c r="AC1003" s="2">
        <v>1.7597357614689335</v>
      </c>
      <c r="AD1003" s="2">
        <v>1.8575968788320474</v>
      </c>
      <c r="AE1003" s="2">
        <v>1.8509729067184524</v>
      </c>
      <c r="AF1003" s="2">
        <v>1.7314037980077248</v>
      </c>
      <c r="AG1003" s="2">
        <v>1.5105564929807751</v>
      </c>
      <c r="AH1003" s="2">
        <v>1.2395838817480489</v>
      </c>
      <c r="AI1003" s="2">
        <v>0.44896570293111204</v>
      </c>
      <c r="AJ1003" s="2">
        <v>0</v>
      </c>
      <c r="AK1003" s="2">
        <v>0</v>
      </c>
      <c r="AL1003" s="2">
        <v>0</v>
      </c>
      <c r="AM1003" s="2">
        <v>0</v>
      </c>
      <c r="AN1003" s="2">
        <v>0</v>
      </c>
      <c r="AO1003" s="2">
        <v>0</v>
      </c>
      <c r="AP1003" s="2">
        <v>0</v>
      </c>
      <c r="AQ1003" s="2">
        <v>0</v>
      </c>
      <c r="AR1003" s="2">
        <v>17.002789587584601</v>
      </c>
    </row>
    <row r="1004" spans="1:44" x14ac:dyDescent="0.25">
      <c r="A1004" t="s">
        <v>435</v>
      </c>
      <c r="B1004" t="s">
        <v>466</v>
      </c>
      <c r="C1004" t="s">
        <v>47</v>
      </c>
      <c r="D1004" t="s">
        <v>144</v>
      </c>
      <c r="E1004" t="s">
        <v>134</v>
      </c>
      <c r="F1004" t="s">
        <v>467</v>
      </c>
      <c r="G1004" t="s">
        <v>33</v>
      </c>
      <c r="H1004" t="s">
        <v>457</v>
      </c>
      <c r="I1004" t="s">
        <v>135</v>
      </c>
      <c r="J1004" t="s">
        <v>39</v>
      </c>
      <c r="K1004" t="s">
        <v>33</v>
      </c>
      <c r="L1004">
        <v>7.2880120486938149E-2</v>
      </c>
      <c r="M1004">
        <v>1</v>
      </c>
      <c r="N1004">
        <v>3.3697309324907936</v>
      </c>
      <c r="O1004">
        <v>2.8779545327574692</v>
      </c>
      <c r="P1004">
        <v>-0.60414025211616262</v>
      </c>
      <c r="Q1004">
        <v>0.462605807810749</v>
      </c>
      <c r="R1004">
        <v>-0.52509153328775149</v>
      </c>
      <c r="S1004" s="2">
        <v>1.5361369048114588E-2</v>
      </c>
      <c r="T1004" s="2">
        <v>3.0469667009190609E-2</v>
      </c>
      <c r="U1004" s="2">
        <v>5.3683237932708863E-2</v>
      </c>
      <c r="V1004" s="2">
        <v>8.6650007982782135E-2</v>
      </c>
      <c r="W1004" s="2">
        <v>0.13050875852571964</v>
      </c>
      <c r="X1004" s="2">
        <v>0.18547557099926634</v>
      </c>
      <c r="Y1004" s="2">
        <v>0.25035285809613139</v>
      </c>
      <c r="Z1004" s="2">
        <v>0.32204592693238765</v>
      </c>
      <c r="AA1004" s="2">
        <v>0.39524486697325006</v>
      </c>
      <c r="AB1004" s="2">
        <v>0.46249472124531615</v>
      </c>
      <c r="AC1004" s="2">
        <v>0.51488912942004084</v>
      </c>
      <c r="AD1004" s="2">
        <v>0.54352276102908703</v>
      </c>
      <c r="AE1004" s="2">
        <v>0.54158462275313091</v>
      </c>
      <c r="AF1004" s="2">
        <v>0.50659935073808404</v>
      </c>
      <c r="AG1004" s="2">
        <v>0.44198062836514779</v>
      </c>
      <c r="AH1004" s="2">
        <v>0.36269551354891583</v>
      </c>
      <c r="AI1004" s="2">
        <v>0.13136492704375696</v>
      </c>
      <c r="AJ1004" s="2">
        <v>0</v>
      </c>
      <c r="AK1004" s="2">
        <v>0</v>
      </c>
      <c r="AL1004" s="2">
        <v>0</v>
      </c>
      <c r="AM1004" s="2">
        <v>0</v>
      </c>
      <c r="AN1004" s="2">
        <v>0</v>
      </c>
      <c r="AO1004" s="2">
        <v>0</v>
      </c>
      <c r="AP1004" s="2">
        <v>0</v>
      </c>
      <c r="AQ1004" s="2">
        <v>0</v>
      </c>
      <c r="AR1004" s="2">
        <v>4.9749239176430313</v>
      </c>
    </row>
    <row r="1005" spans="1:44" x14ac:dyDescent="0.25">
      <c r="A1005" t="s">
        <v>435</v>
      </c>
      <c r="B1005" t="s">
        <v>466</v>
      </c>
      <c r="C1005" t="s">
        <v>47</v>
      </c>
      <c r="D1005" t="s">
        <v>144</v>
      </c>
      <c r="E1005" t="s">
        <v>134</v>
      </c>
      <c r="F1005" t="s">
        <v>467</v>
      </c>
      <c r="G1005" t="s">
        <v>33</v>
      </c>
      <c r="H1005" t="s">
        <v>457</v>
      </c>
      <c r="I1005" t="s">
        <v>256</v>
      </c>
      <c r="J1005" t="s">
        <v>39</v>
      </c>
      <c r="K1005" t="s">
        <v>33</v>
      </c>
      <c r="L1005">
        <v>7.2880120486938149E-2</v>
      </c>
      <c r="M1005">
        <v>1</v>
      </c>
      <c r="N1005">
        <v>3.0984933282590745</v>
      </c>
      <c r="O1005">
        <v>2.6463011728329868</v>
      </c>
      <c r="P1005">
        <v>-0.47866416110189608</v>
      </c>
      <c r="Q1005">
        <v>1.3498045353129324</v>
      </c>
      <c r="R1005">
        <v>-0.39961544227348506</v>
      </c>
      <c r="S1005" s="2">
        <v>4.2244795615298883E-2</v>
      </c>
      <c r="T1005" s="2">
        <v>8.3793628760416877E-2</v>
      </c>
      <c r="U1005" s="2">
        <v>0.14763250640821585</v>
      </c>
      <c r="V1005" s="2">
        <v>0.23829333608425535</v>
      </c>
      <c r="W1005" s="2">
        <v>0.35890784295701234</v>
      </c>
      <c r="X1005" s="2">
        <v>0.51007026547914047</v>
      </c>
      <c r="Y1005" s="2">
        <v>0.68848715819864226</v>
      </c>
      <c r="Z1005" s="2">
        <v>0.88564790803382176</v>
      </c>
      <c r="AA1005" s="2">
        <v>1.0869499047241686</v>
      </c>
      <c r="AB1005" s="2">
        <v>1.271891516372432</v>
      </c>
      <c r="AC1005" s="2">
        <v>1.4159796544669627</v>
      </c>
      <c r="AD1005" s="2">
        <v>1.4947240626807861</v>
      </c>
      <c r="AE1005" s="2">
        <v>1.4893940523747058</v>
      </c>
      <c r="AF1005" s="2">
        <v>1.393182206855462</v>
      </c>
      <c r="AG1005" s="2">
        <v>1.2154763844762073</v>
      </c>
      <c r="AH1005" s="2">
        <v>0.99743699877716285</v>
      </c>
      <c r="AI1005" s="2">
        <v>0.36126236382969346</v>
      </c>
      <c r="AJ1005" s="2">
        <v>0</v>
      </c>
      <c r="AK1005" s="2">
        <v>0</v>
      </c>
      <c r="AL1005" s="2">
        <v>0</v>
      </c>
      <c r="AM1005" s="2">
        <v>0</v>
      </c>
      <c r="AN1005" s="2">
        <v>0</v>
      </c>
      <c r="AO1005" s="2">
        <v>0</v>
      </c>
      <c r="AP1005" s="2">
        <v>0</v>
      </c>
      <c r="AQ1005" s="2">
        <v>0</v>
      </c>
      <c r="AR1005" s="2">
        <v>13.681374586094382</v>
      </c>
    </row>
    <row r="1006" spans="1:44" x14ac:dyDescent="0.25">
      <c r="A1006" t="s">
        <v>435</v>
      </c>
      <c r="B1006" t="s">
        <v>466</v>
      </c>
      <c r="C1006" t="s">
        <v>47</v>
      </c>
      <c r="D1006" t="s">
        <v>144</v>
      </c>
      <c r="E1006" t="s">
        <v>134</v>
      </c>
      <c r="F1006" t="s">
        <v>467</v>
      </c>
      <c r="G1006" t="s">
        <v>33</v>
      </c>
      <c r="H1006" t="s">
        <v>457</v>
      </c>
      <c r="I1006" t="s">
        <v>256</v>
      </c>
      <c r="J1006" t="s">
        <v>40</v>
      </c>
      <c r="K1006" t="s">
        <v>33</v>
      </c>
      <c r="L1006">
        <v>7.2880120486938149E-2</v>
      </c>
      <c r="M1006">
        <v>1</v>
      </c>
      <c r="N1006">
        <v>3.0984933282590745</v>
      </c>
      <c r="O1006">
        <v>1.4737622038640088</v>
      </c>
      <c r="P1006">
        <v>-0.47866416110189608</v>
      </c>
      <c r="Q1006">
        <v>1.3498045353129324</v>
      </c>
      <c r="R1006">
        <v>-0.25661544227348498</v>
      </c>
      <c r="S1006" s="2">
        <v>0.38655608560292543</v>
      </c>
      <c r="T1006" s="2">
        <v>0.76674384762228898</v>
      </c>
      <c r="U1006" s="2">
        <v>1.3508940676290446</v>
      </c>
      <c r="V1006" s="2">
        <v>2.1804754379882301</v>
      </c>
      <c r="W1006" s="2">
        <v>3.2841444453670992</v>
      </c>
      <c r="X1006" s="2">
        <v>4.6673385995660155</v>
      </c>
      <c r="Y1006" s="2">
        <v>6.2999216112852379</v>
      </c>
      <c r="Z1006" s="2">
        <v>8.1040181060313046</v>
      </c>
      <c r="AA1006" s="2">
        <v>9.9460085981451538</v>
      </c>
      <c r="AB1006" s="2">
        <v>11.638295291040386</v>
      </c>
      <c r="AC1006" s="2">
        <v>12.956757028927566</v>
      </c>
      <c r="AD1006" s="2">
        <v>13.677298571593495</v>
      </c>
      <c r="AE1006" s="2">
        <v>13.628526932622767</v>
      </c>
      <c r="AF1006" s="2">
        <v>12.748151637847203</v>
      </c>
      <c r="AG1006" s="2">
        <v>11.122075192518246</v>
      </c>
      <c r="AH1006" s="2">
        <v>9.1269311702670013</v>
      </c>
      <c r="AI1006" s="2">
        <v>3.3056892145808363</v>
      </c>
      <c r="AJ1006" s="2">
        <v>0</v>
      </c>
      <c r="AK1006" s="2">
        <v>0</v>
      </c>
      <c r="AL1006" s="2">
        <v>0</v>
      </c>
      <c r="AM1006" s="2">
        <v>0</v>
      </c>
      <c r="AN1006" s="2">
        <v>0</v>
      </c>
      <c r="AO1006" s="2">
        <v>0</v>
      </c>
      <c r="AP1006" s="2">
        <v>0</v>
      </c>
      <c r="AQ1006" s="2">
        <v>0</v>
      </c>
      <c r="AR1006" s="2">
        <v>125.18982583863483</v>
      </c>
    </row>
    <row r="1007" spans="1:44" x14ac:dyDescent="0.25">
      <c r="A1007" t="s">
        <v>435</v>
      </c>
      <c r="B1007" t="s">
        <v>436</v>
      </c>
      <c r="C1007" t="s">
        <v>44</v>
      </c>
      <c r="D1007" t="s">
        <v>144</v>
      </c>
      <c r="E1007" t="s">
        <v>145</v>
      </c>
      <c r="F1007" t="s">
        <v>144</v>
      </c>
      <c r="G1007" t="s">
        <v>33</v>
      </c>
      <c r="H1007" t="s">
        <v>437</v>
      </c>
      <c r="I1007" t="s">
        <v>135</v>
      </c>
      <c r="J1007" t="s">
        <v>39</v>
      </c>
      <c r="K1007" t="s">
        <v>31</v>
      </c>
      <c r="L1007">
        <v>3.2456233234550047E-2</v>
      </c>
      <c r="M1007">
        <v>1</v>
      </c>
      <c r="N1007">
        <v>2.1457313890213765</v>
      </c>
      <c r="O1007">
        <v>5.3471683850504297</v>
      </c>
      <c r="P1007">
        <v>-1.0544023849485795</v>
      </c>
      <c r="Q1007">
        <v>1.3498045353129324</v>
      </c>
      <c r="R1007">
        <v>-1.862552393622352</v>
      </c>
      <c r="S1007" s="2">
        <v>4.7215253646507678E-3</v>
      </c>
      <c r="T1007" s="2">
        <v>7.2061584037013326E-3</v>
      </c>
      <c r="U1007" s="2">
        <v>1.5613259163658104E-2</v>
      </c>
      <c r="V1007" s="2">
        <v>2.9152449765236326E-2</v>
      </c>
      <c r="W1007" s="2">
        <v>4.9501185878711967E-2</v>
      </c>
      <c r="X1007" s="2">
        <v>7.8358055568779991E-2</v>
      </c>
      <c r="Y1007" s="2">
        <v>0.117219765013318</v>
      </c>
      <c r="Z1007" s="2">
        <v>0.16708363414200014</v>
      </c>
      <c r="AA1007" s="2">
        <v>0.228102238276187</v>
      </c>
      <c r="AB1007" s="2">
        <v>0.29925177380889617</v>
      </c>
      <c r="AC1007" s="2">
        <v>0.37811232652009674</v>
      </c>
      <c r="AD1007" s="2">
        <v>0.46087879593803033</v>
      </c>
      <c r="AE1007" s="2">
        <v>0.54270172539770112</v>
      </c>
      <c r="AF1007" s="2">
        <v>0.61837882312270687</v>
      </c>
      <c r="AG1007" s="2">
        <v>0.68328603415002098</v>
      </c>
      <c r="AH1007" s="2">
        <v>0.73429768744371371</v>
      </c>
      <c r="AI1007" s="2">
        <v>0.77037869432291839</v>
      </c>
      <c r="AJ1007" s="2">
        <v>0.79478682558158498</v>
      </c>
      <c r="AK1007" s="2">
        <v>0.80509057717885624</v>
      </c>
      <c r="AL1007" s="2">
        <v>0.81192749360867134</v>
      </c>
      <c r="AM1007" s="2">
        <v>0.80890431250731509</v>
      </c>
      <c r="AN1007" s="2">
        <v>0.8026688185532338</v>
      </c>
      <c r="AO1007" s="2">
        <v>0.79648139132873974</v>
      </c>
      <c r="AP1007" s="2">
        <v>0.79034166030817643</v>
      </c>
      <c r="AQ1007" s="2">
        <v>0.78424925782210908</v>
      </c>
      <c r="AR1007" s="2">
        <v>11.578694469169013</v>
      </c>
    </row>
    <row r="1008" spans="1:44" x14ac:dyDescent="0.25">
      <c r="A1008" t="s">
        <v>435</v>
      </c>
      <c r="B1008" t="s">
        <v>460</v>
      </c>
      <c r="C1008" t="s">
        <v>44</v>
      </c>
      <c r="D1008" t="s">
        <v>461</v>
      </c>
      <c r="E1008" t="s">
        <v>134</v>
      </c>
      <c r="F1008" t="s">
        <v>461</v>
      </c>
      <c r="G1008" t="s">
        <v>33</v>
      </c>
      <c r="H1008" t="s">
        <v>450</v>
      </c>
      <c r="I1008" t="s">
        <v>135</v>
      </c>
      <c r="J1008" t="s">
        <v>39</v>
      </c>
      <c r="K1008" t="s">
        <v>31</v>
      </c>
      <c r="L1008">
        <v>6.641291224625212E-2</v>
      </c>
      <c r="M1008">
        <v>0</v>
      </c>
      <c r="N1008">
        <v>0.71439906728806646</v>
      </c>
      <c r="O1008">
        <v>5.3471683850504306</v>
      </c>
      <c r="P1008">
        <v>1.6499948460693128</v>
      </c>
      <c r="Q1008">
        <v>4.0542017663308254</v>
      </c>
      <c r="R1008">
        <v>-1.8625523936223525</v>
      </c>
      <c r="S1008" s="2">
        <v>0.32049647394399633</v>
      </c>
      <c r="T1008" s="2">
        <v>0.51731272358257097</v>
      </c>
      <c r="U1008" s="2">
        <v>0.77915562728783028</v>
      </c>
      <c r="V1008" s="2">
        <v>1.1073152216065414</v>
      </c>
      <c r="W1008" s="2">
        <v>1.4946417420310589</v>
      </c>
      <c r="X1008" s="2">
        <v>1.9226594371828698</v>
      </c>
      <c r="Y1008" s="2">
        <v>2.3596673950288776</v>
      </c>
      <c r="Z1008" s="2">
        <v>2.7611584748788225</v>
      </c>
      <c r="AA1008" s="2">
        <v>3.0739604540632848</v>
      </c>
      <c r="AB1008" s="2">
        <v>3.2449072583230034</v>
      </c>
      <c r="AC1008" s="2">
        <v>3.2333363004713473</v>
      </c>
      <c r="AD1008" s="2">
        <v>3.0244693104651001</v>
      </c>
      <c r="AE1008" s="2">
        <v>2.6386864577755533</v>
      </c>
      <c r="AF1008" s="2">
        <v>2.165343181300706</v>
      </c>
      <c r="AG1008" s="2">
        <v>0.38801151059513106</v>
      </c>
      <c r="AH1008" s="2">
        <v>0</v>
      </c>
      <c r="AI1008" s="2">
        <v>0</v>
      </c>
      <c r="AJ1008" s="2">
        <v>0</v>
      </c>
      <c r="AK1008" s="2">
        <v>0</v>
      </c>
      <c r="AL1008" s="2">
        <v>0</v>
      </c>
      <c r="AM1008" s="2">
        <v>0</v>
      </c>
      <c r="AN1008" s="2">
        <v>0</v>
      </c>
      <c r="AO1008" s="2">
        <v>0</v>
      </c>
      <c r="AP1008" s="2">
        <v>0</v>
      </c>
      <c r="AQ1008" s="2">
        <v>0</v>
      </c>
      <c r="AR1008" s="2">
        <v>29.031121568536694</v>
      </c>
    </row>
    <row r="1009" spans="1:44" x14ac:dyDescent="0.25">
      <c r="A1009" t="s">
        <v>435</v>
      </c>
      <c r="B1009" t="s">
        <v>460</v>
      </c>
      <c r="C1009" t="s">
        <v>44</v>
      </c>
      <c r="D1009" t="s">
        <v>461</v>
      </c>
      <c r="E1009" t="s">
        <v>134</v>
      </c>
      <c r="F1009" t="s">
        <v>461</v>
      </c>
      <c r="G1009" t="s">
        <v>33</v>
      </c>
      <c r="H1009" t="s">
        <v>450</v>
      </c>
      <c r="I1009" t="s">
        <v>135</v>
      </c>
      <c r="J1009" t="s">
        <v>39</v>
      </c>
      <c r="K1009" t="s">
        <v>33</v>
      </c>
      <c r="L1009">
        <v>6.641291224625212E-2</v>
      </c>
      <c r="M1009">
        <v>0</v>
      </c>
      <c r="N1009">
        <v>0.71439906728806646</v>
      </c>
      <c r="O1009">
        <v>5.3471683850504306</v>
      </c>
      <c r="P1009">
        <v>1.6499948460693128</v>
      </c>
      <c r="Q1009">
        <v>4.0542017663308254</v>
      </c>
      <c r="R1009">
        <v>-1.8625523936223525</v>
      </c>
      <c r="S1009" s="2">
        <v>0.1974515401550388</v>
      </c>
      <c r="T1009" s="2">
        <v>0.31848397880640039</v>
      </c>
      <c r="U1009" s="2">
        <v>0.47935338857587517</v>
      </c>
      <c r="V1009" s="2">
        <v>0.68076939046254104</v>
      </c>
      <c r="W1009" s="2">
        <v>0.91825439879300119</v>
      </c>
      <c r="X1009" s="2">
        <v>1.180389763651271</v>
      </c>
      <c r="Y1009" s="2">
        <v>1.4476748262742882</v>
      </c>
      <c r="Z1009" s="2">
        <v>1.6928119820727476</v>
      </c>
      <c r="AA1009" s="2">
        <v>1.883271036300989</v>
      </c>
      <c r="AB1009" s="2">
        <v>1.9866163261139407</v>
      </c>
      <c r="AC1009" s="2">
        <v>1.9781524104415857</v>
      </c>
      <c r="AD1009" s="2">
        <v>1.8490779243584727</v>
      </c>
      <c r="AE1009" s="2">
        <v>1.6120962955873213</v>
      </c>
      <c r="AF1009" s="2">
        <v>1.3219867084596373</v>
      </c>
      <c r="AG1009" s="2">
        <v>4.2277094267314075E-2</v>
      </c>
      <c r="AH1009" s="2">
        <v>0</v>
      </c>
      <c r="AI1009" s="2">
        <v>0</v>
      </c>
      <c r="AJ1009" s="2">
        <v>0</v>
      </c>
      <c r="AK1009" s="2">
        <v>0</v>
      </c>
      <c r="AL1009" s="2">
        <v>0</v>
      </c>
      <c r="AM1009" s="2">
        <v>0</v>
      </c>
      <c r="AN1009" s="2">
        <v>0</v>
      </c>
      <c r="AO1009" s="2">
        <v>0</v>
      </c>
      <c r="AP1009" s="2">
        <v>0</v>
      </c>
      <c r="AQ1009" s="2">
        <v>0</v>
      </c>
      <c r="AR1009" s="2">
        <v>17.588667064320425</v>
      </c>
    </row>
    <row r="1010" spans="1:44" x14ac:dyDescent="0.25">
      <c r="A1010" t="s">
        <v>435</v>
      </c>
      <c r="B1010" t="s">
        <v>460</v>
      </c>
      <c r="C1010" t="s">
        <v>44</v>
      </c>
      <c r="D1010" t="s">
        <v>461</v>
      </c>
      <c r="E1010" t="s">
        <v>134</v>
      </c>
      <c r="F1010" t="s">
        <v>461</v>
      </c>
      <c r="G1010" t="s">
        <v>33</v>
      </c>
      <c r="H1010" t="s">
        <v>450</v>
      </c>
      <c r="I1010" t="s">
        <v>256</v>
      </c>
      <c r="J1010" t="s">
        <v>40</v>
      </c>
      <c r="K1010" t="s">
        <v>33</v>
      </c>
      <c r="L1010">
        <v>6.641291224625212E-2</v>
      </c>
      <c r="M1010">
        <v>0</v>
      </c>
      <c r="N1010">
        <v>0.35355443358033928</v>
      </c>
      <c r="O1010">
        <v>1.4737622038640097</v>
      </c>
      <c r="P1010">
        <v>3.11293179741818</v>
      </c>
      <c r="Q1010">
        <v>1.3498045353129324</v>
      </c>
      <c r="R1010">
        <v>-0.25661544227348532</v>
      </c>
      <c r="S1010" s="2">
        <v>5.1578299883714589</v>
      </c>
      <c r="T1010" s="2">
        <v>8.3252431648484979</v>
      </c>
      <c r="U1010" s="2">
        <v>12.539146564014258</v>
      </c>
      <c r="V1010" s="2">
        <v>17.820301066964035</v>
      </c>
      <c r="W1010" s="2">
        <v>24.05364372360193</v>
      </c>
      <c r="X1010" s="2">
        <v>30.94183964176796</v>
      </c>
      <c r="Y1010" s="2">
        <v>37.97471810809698</v>
      </c>
      <c r="Z1010" s="2">
        <v>44.436014565528644</v>
      </c>
      <c r="AA1010" s="2">
        <v>49.470015123492615</v>
      </c>
      <c r="AB1010" s="2">
        <v>52.221104839322429</v>
      </c>
      <c r="AC1010" s="2">
        <v>52.034890517938393</v>
      </c>
      <c r="AD1010" s="2">
        <v>48.673541759938168</v>
      </c>
      <c r="AE1010" s="2">
        <v>42.465041734601435</v>
      </c>
      <c r="AF1010" s="2">
        <v>34.84740988938313</v>
      </c>
      <c r="AG1010" s="2">
        <v>6.2443663749342866</v>
      </c>
      <c r="AH1010" s="2">
        <v>0</v>
      </c>
      <c r="AI1010" s="2">
        <v>0</v>
      </c>
      <c r="AJ1010" s="2">
        <v>0</v>
      </c>
      <c r="AK1010" s="2">
        <v>0</v>
      </c>
      <c r="AL1010" s="2">
        <v>0</v>
      </c>
      <c r="AM1010" s="2">
        <v>0</v>
      </c>
      <c r="AN1010" s="2">
        <v>0</v>
      </c>
      <c r="AO1010" s="2">
        <v>0</v>
      </c>
      <c r="AP1010" s="2">
        <v>0</v>
      </c>
      <c r="AQ1010" s="2">
        <v>0</v>
      </c>
      <c r="AR1010" s="2">
        <v>467.20510706280436</v>
      </c>
    </row>
    <row r="1011" spans="1:44" x14ac:dyDescent="0.25">
      <c r="A1011" t="s">
        <v>435</v>
      </c>
      <c r="B1011" t="s">
        <v>460</v>
      </c>
      <c r="C1011" t="s">
        <v>44</v>
      </c>
      <c r="D1011" t="s">
        <v>461</v>
      </c>
      <c r="E1011" t="s">
        <v>134</v>
      </c>
      <c r="F1011" t="s">
        <v>461</v>
      </c>
      <c r="G1011" t="s">
        <v>33</v>
      </c>
      <c r="H1011" t="s">
        <v>451</v>
      </c>
      <c r="I1011" t="s">
        <v>135</v>
      </c>
      <c r="J1011" t="s">
        <v>39</v>
      </c>
      <c r="K1011" t="s">
        <v>31</v>
      </c>
      <c r="L1011">
        <v>6.641291224625212E-2</v>
      </c>
      <c r="M1011">
        <v>0</v>
      </c>
      <c r="N1011">
        <v>0.71439906728806646</v>
      </c>
      <c r="O1011">
        <v>5.3471683850504306</v>
      </c>
      <c r="P1011">
        <v>1.6499948460693128</v>
      </c>
      <c r="Q1011">
        <v>4.0542017663308254</v>
      </c>
      <c r="R1011">
        <v>-1.8625523936223525</v>
      </c>
      <c r="S1011" s="2">
        <v>8.3836369136226982E-2</v>
      </c>
      <c r="T1011" s="2">
        <v>0.13532011731496865</v>
      </c>
      <c r="U1011" s="2">
        <v>0.20381372056931069</v>
      </c>
      <c r="V1011" s="2">
        <v>0.28965463028772881</v>
      </c>
      <c r="W1011" s="2">
        <v>0.39097259095969056</v>
      </c>
      <c r="X1011" s="2">
        <v>0.50293466357161742</v>
      </c>
      <c r="Y1011" s="2">
        <v>0.61724843438660826</v>
      </c>
      <c r="Z1011" s="2">
        <v>0.72227160035468052</v>
      </c>
      <c r="AA1011" s="2">
        <v>0.80409522190888638</v>
      </c>
      <c r="AB1011" s="2">
        <v>0.84881196780070078</v>
      </c>
      <c r="AC1011" s="2">
        <v>0.84578520409945412</v>
      </c>
      <c r="AD1011" s="2">
        <v>0.79114918935940992</v>
      </c>
      <c r="AE1011" s="2">
        <v>0.69023502563553985</v>
      </c>
      <c r="AF1011" s="2">
        <v>0.56641655997082652</v>
      </c>
      <c r="AG1011" s="2">
        <v>0.10149714232750998</v>
      </c>
      <c r="AH1011" s="2">
        <v>0</v>
      </c>
      <c r="AI1011" s="2">
        <v>0</v>
      </c>
      <c r="AJ1011" s="2">
        <v>0</v>
      </c>
      <c r="AK1011" s="2">
        <v>0</v>
      </c>
      <c r="AL1011" s="2">
        <v>0</v>
      </c>
      <c r="AM1011" s="2">
        <v>0</v>
      </c>
      <c r="AN1011" s="2">
        <v>0</v>
      </c>
      <c r="AO1011" s="2">
        <v>0</v>
      </c>
      <c r="AP1011" s="2">
        <v>0</v>
      </c>
      <c r="AQ1011" s="2">
        <v>0</v>
      </c>
      <c r="AR1011" s="2">
        <v>7.5940424376831581</v>
      </c>
    </row>
    <row r="1012" spans="1:44" x14ac:dyDescent="0.25">
      <c r="A1012" t="s">
        <v>435</v>
      </c>
      <c r="B1012" t="s">
        <v>460</v>
      </c>
      <c r="C1012" t="s">
        <v>44</v>
      </c>
      <c r="D1012" t="s">
        <v>461</v>
      </c>
      <c r="E1012" t="s">
        <v>134</v>
      </c>
      <c r="F1012" t="s">
        <v>461</v>
      </c>
      <c r="G1012" t="s">
        <v>33</v>
      </c>
      <c r="H1012" t="s">
        <v>451</v>
      </c>
      <c r="I1012" t="s">
        <v>135</v>
      </c>
      <c r="J1012" t="s">
        <v>39</v>
      </c>
      <c r="K1012" t="s">
        <v>33</v>
      </c>
      <c r="L1012">
        <v>6.641291224625212E-2</v>
      </c>
      <c r="M1012">
        <v>0</v>
      </c>
      <c r="N1012">
        <v>0.71439906728806646</v>
      </c>
      <c r="O1012">
        <v>5.3471683850504306</v>
      </c>
      <c r="P1012">
        <v>1.6499948460693128</v>
      </c>
      <c r="Q1012">
        <v>4.0542017663308254</v>
      </c>
      <c r="R1012">
        <v>-1.8625523936223525</v>
      </c>
      <c r="S1012" s="2">
        <v>0.37766713475859115</v>
      </c>
      <c r="T1012" s="2">
        <v>0.60959177392925734</v>
      </c>
      <c r="U1012" s="2">
        <v>0.91814262312366957</v>
      </c>
      <c r="V1012" s="2">
        <v>1.3048398376195327</v>
      </c>
      <c r="W1012" s="2">
        <v>1.7612582667667553</v>
      </c>
      <c r="X1012" s="2">
        <v>2.2656264258442462</v>
      </c>
      <c r="Y1012" s="2">
        <v>2.7805885446950285</v>
      </c>
      <c r="Z1012" s="2">
        <v>3.2536982294666523</v>
      </c>
      <c r="AA1012" s="2">
        <v>3.6222983134914624</v>
      </c>
      <c r="AB1012" s="2">
        <v>3.8237388752749513</v>
      </c>
      <c r="AC1012" s="2">
        <v>3.8101038719175953</v>
      </c>
      <c r="AD1012" s="2">
        <v>3.5639788625201603</v>
      </c>
      <c r="AE1012" s="2">
        <v>3.1093794629657165</v>
      </c>
      <c r="AF1012" s="2">
        <v>2.5516004746866243</v>
      </c>
      <c r="AG1012" s="2">
        <v>0.45722560893266112</v>
      </c>
      <c r="AH1012" s="2">
        <v>0</v>
      </c>
      <c r="AI1012" s="2">
        <v>0</v>
      </c>
      <c r="AJ1012" s="2">
        <v>0</v>
      </c>
      <c r="AK1012" s="2">
        <v>0</v>
      </c>
      <c r="AL1012" s="2">
        <v>0</v>
      </c>
      <c r="AM1012" s="2">
        <v>0</v>
      </c>
      <c r="AN1012" s="2">
        <v>0</v>
      </c>
      <c r="AO1012" s="2">
        <v>0</v>
      </c>
      <c r="AP1012" s="2">
        <v>0</v>
      </c>
      <c r="AQ1012" s="2">
        <v>0</v>
      </c>
      <c r="AR1012" s="2">
        <v>34.209738305992907</v>
      </c>
    </row>
    <row r="1013" spans="1:44" x14ac:dyDescent="0.25">
      <c r="A1013" t="s">
        <v>435</v>
      </c>
      <c r="B1013" t="s">
        <v>460</v>
      </c>
      <c r="C1013" t="s">
        <v>44</v>
      </c>
      <c r="D1013" t="s">
        <v>461</v>
      </c>
      <c r="E1013" t="s">
        <v>134</v>
      </c>
      <c r="F1013" t="s">
        <v>461</v>
      </c>
      <c r="G1013" t="s">
        <v>33</v>
      </c>
      <c r="H1013" t="s">
        <v>452</v>
      </c>
      <c r="I1013" t="s">
        <v>135</v>
      </c>
      <c r="J1013" t="s">
        <v>39</v>
      </c>
      <c r="K1013" t="s">
        <v>31</v>
      </c>
      <c r="L1013">
        <v>6.641291224625212E-2</v>
      </c>
      <c r="M1013">
        <v>0</v>
      </c>
      <c r="N1013">
        <v>0.71439906728806646</v>
      </c>
      <c r="O1013">
        <v>5.3471683850504306</v>
      </c>
      <c r="P1013">
        <v>1.6499948460693128</v>
      </c>
      <c r="Q1013">
        <v>4.0542017663308254</v>
      </c>
      <c r="R1013">
        <v>-1.8625523936223525</v>
      </c>
      <c r="S1013" s="2">
        <v>1.8988364386216505</v>
      </c>
      <c r="T1013" s="2">
        <v>3.0649081333507642</v>
      </c>
      <c r="U1013" s="2">
        <v>4.6162414152168427</v>
      </c>
      <c r="V1013" s="2">
        <v>6.5604793274397144</v>
      </c>
      <c r="W1013" s="2">
        <v>8.8552618614750926</v>
      </c>
      <c r="X1013" s="2">
        <v>11.391126253141158</v>
      </c>
      <c r="Y1013" s="2">
        <v>13.980255001155513</v>
      </c>
      <c r="Z1013" s="2">
        <v>16.358957901749186</v>
      </c>
      <c r="AA1013" s="2">
        <v>18.212206983834925</v>
      </c>
      <c r="AB1013" s="2">
        <v>19.225010703638088</v>
      </c>
      <c r="AC1013" s="2">
        <v>19.156456575325532</v>
      </c>
      <c r="AD1013" s="2">
        <v>17.918988198314967</v>
      </c>
      <c r="AE1013" s="2">
        <v>15.633351389061565</v>
      </c>
      <c r="AF1013" s="2">
        <v>12.828947801445002</v>
      </c>
      <c r="AG1013" s="2">
        <v>2.2988408760197774</v>
      </c>
      <c r="AH1013" s="2">
        <v>0</v>
      </c>
      <c r="AI1013" s="2">
        <v>0</v>
      </c>
      <c r="AJ1013" s="2">
        <v>0</v>
      </c>
      <c r="AK1013" s="2">
        <v>0</v>
      </c>
      <c r="AL1013" s="2">
        <v>0</v>
      </c>
      <c r="AM1013" s="2">
        <v>0</v>
      </c>
      <c r="AN1013" s="2">
        <v>0</v>
      </c>
      <c r="AO1013" s="2">
        <v>0</v>
      </c>
      <c r="AP1013" s="2">
        <v>0</v>
      </c>
      <c r="AQ1013" s="2">
        <v>0</v>
      </c>
      <c r="AR1013" s="2">
        <v>171.99986885978979</v>
      </c>
    </row>
    <row r="1014" spans="1:44" x14ac:dyDescent="0.25">
      <c r="A1014" t="s">
        <v>435</v>
      </c>
      <c r="B1014" t="s">
        <v>460</v>
      </c>
      <c r="C1014" t="s">
        <v>44</v>
      </c>
      <c r="D1014" t="s">
        <v>461</v>
      </c>
      <c r="E1014" t="s">
        <v>134</v>
      </c>
      <c r="F1014" t="s">
        <v>461</v>
      </c>
      <c r="G1014" t="s">
        <v>33</v>
      </c>
      <c r="H1014" t="s">
        <v>452</v>
      </c>
      <c r="I1014" t="s">
        <v>135</v>
      </c>
      <c r="J1014" t="s">
        <v>39</v>
      </c>
      <c r="K1014" t="s">
        <v>33</v>
      </c>
      <c r="L1014">
        <v>6.641291224625212E-2</v>
      </c>
      <c r="M1014">
        <v>0</v>
      </c>
      <c r="N1014">
        <v>0.71439906728806646</v>
      </c>
      <c r="O1014">
        <v>5.3471683850504306</v>
      </c>
      <c r="P1014">
        <v>1.6499948460693128</v>
      </c>
      <c r="Q1014">
        <v>4.0542017663308254</v>
      </c>
      <c r="R1014">
        <v>-1.8625523936223525</v>
      </c>
      <c r="S1014" s="2">
        <v>3.7548860646372213</v>
      </c>
      <c r="T1014" s="2">
        <v>6.0607541572490042</v>
      </c>
      <c r="U1014" s="2">
        <v>9.1284642576066997</v>
      </c>
      <c r="V1014" s="2">
        <v>12.973130230124223</v>
      </c>
      <c r="W1014" s="2">
        <v>17.510986563172622</v>
      </c>
      <c r="X1014" s="2">
        <v>22.525574271942585</v>
      </c>
      <c r="Y1014" s="2">
        <v>27.645490478378854</v>
      </c>
      <c r="Z1014" s="2">
        <v>32.349296552289474</v>
      </c>
      <c r="AA1014" s="2">
        <v>36.014035131709591</v>
      </c>
      <c r="AB1014" s="2">
        <v>38.016820888476602</v>
      </c>
      <c r="AC1014" s="2">
        <v>37.881257373979786</v>
      </c>
      <c r="AD1014" s="2">
        <v>35.434204710697671</v>
      </c>
      <c r="AE1014" s="2">
        <v>30.914433745001819</v>
      </c>
      <c r="AF1014" s="2">
        <v>25.368818684863278</v>
      </c>
      <c r="AG1014" s="2">
        <v>4.5458815696895778</v>
      </c>
      <c r="AH1014" s="2">
        <v>0</v>
      </c>
      <c r="AI1014" s="2">
        <v>0</v>
      </c>
      <c r="AJ1014" s="2">
        <v>0</v>
      </c>
      <c r="AK1014" s="2">
        <v>0</v>
      </c>
      <c r="AL1014" s="2">
        <v>0</v>
      </c>
      <c r="AM1014" s="2">
        <v>0</v>
      </c>
      <c r="AN1014" s="2">
        <v>0</v>
      </c>
      <c r="AO1014" s="2">
        <v>0</v>
      </c>
      <c r="AP1014" s="2">
        <v>0</v>
      </c>
      <c r="AQ1014" s="2">
        <v>0</v>
      </c>
      <c r="AR1014" s="2">
        <v>340.12403467981903</v>
      </c>
    </row>
    <row r="1015" spans="1:44" x14ac:dyDescent="0.25">
      <c r="A1015" t="s">
        <v>435</v>
      </c>
      <c r="B1015" t="s">
        <v>460</v>
      </c>
      <c r="C1015" t="s">
        <v>44</v>
      </c>
      <c r="D1015" t="s">
        <v>461</v>
      </c>
      <c r="E1015" t="s">
        <v>134</v>
      </c>
      <c r="F1015" t="s">
        <v>461</v>
      </c>
      <c r="G1015" t="s">
        <v>33</v>
      </c>
      <c r="H1015" t="s">
        <v>452</v>
      </c>
      <c r="I1015" t="s">
        <v>135</v>
      </c>
      <c r="J1015" t="s">
        <v>40</v>
      </c>
      <c r="K1015" t="s">
        <v>33</v>
      </c>
      <c r="L1015">
        <v>6.641291224625212E-2</v>
      </c>
      <c r="M1015">
        <v>0</v>
      </c>
      <c r="N1015">
        <v>0.71439906728806646</v>
      </c>
      <c r="O1015">
        <v>4.1746294160814523</v>
      </c>
      <c r="P1015">
        <v>1.6499948460693128</v>
      </c>
      <c r="Q1015">
        <v>1.3498045353129324</v>
      </c>
      <c r="R1015">
        <v>-1.7195523936223522</v>
      </c>
      <c r="S1015" s="2">
        <v>0.27494258865506505</v>
      </c>
      <c r="T1015" s="2">
        <v>0.44378428759515071</v>
      </c>
      <c r="U1015" s="2">
        <v>0.66841005298894662</v>
      </c>
      <c r="V1015" s="2">
        <v>0.94992656155979693</v>
      </c>
      <c r="W1015" s="2">
        <v>1.2822002832322683</v>
      </c>
      <c r="X1015" s="2">
        <v>1.649381524408035</v>
      </c>
      <c r="Y1015" s="2">
        <v>2.0242751939528683</v>
      </c>
      <c r="Z1015" s="2">
        <v>2.3687001901390983</v>
      </c>
      <c r="AA1015" s="2">
        <v>2.637041943903391</v>
      </c>
      <c r="AB1015" s="2">
        <v>2.7836911606860095</v>
      </c>
      <c r="AC1015" s="2">
        <v>2.7737648452236159</v>
      </c>
      <c r="AD1015" s="2">
        <v>2.5945852423711231</v>
      </c>
      <c r="AE1015" s="2">
        <v>2.26363577864712</v>
      </c>
      <c r="AF1015" s="2">
        <v>1.8575713244740435</v>
      </c>
      <c r="AG1015" s="2">
        <v>0.33286135051092053</v>
      </c>
      <c r="AH1015" s="2">
        <v>0</v>
      </c>
      <c r="AI1015" s="2">
        <v>0</v>
      </c>
      <c r="AJ1015" s="2">
        <v>0</v>
      </c>
      <c r="AK1015" s="2">
        <v>0</v>
      </c>
      <c r="AL1015" s="2">
        <v>0</v>
      </c>
      <c r="AM1015" s="2">
        <v>0</v>
      </c>
      <c r="AN1015" s="2">
        <v>0</v>
      </c>
      <c r="AO1015" s="2">
        <v>0</v>
      </c>
      <c r="AP1015" s="2">
        <v>0</v>
      </c>
      <c r="AQ1015" s="2">
        <v>0</v>
      </c>
      <c r="AR1015" s="2">
        <v>24.904772328347459</v>
      </c>
    </row>
    <row r="1016" spans="1:44" x14ac:dyDescent="0.25">
      <c r="A1016" t="s">
        <v>435</v>
      </c>
      <c r="B1016" t="s">
        <v>460</v>
      </c>
      <c r="C1016" t="s">
        <v>44</v>
      </c>
      <c r="D1016" t="s">
        <v>461</v>
      </c>
      <c r="E1016" t="s">
        <v>134</v>
      </c>
      <c r="F1016" t="s">
        <v>461</v>
      </c>
      <c r="G1016" t="s">
        <v>33</v>
      </c>
      <c r="H1016" t="s">
        <v>452</v>
      </c>
      <c r="I1016" t="s">
        <v>256</v>
      </c>
      <c r="J1016" t="s">
        <v>40</v>
      </c>
      <c r="K1016" t="s">
        <v>33</v>
      </c>
      <c r="L1016">
        <v>6.641291224625212E-2</v>
      </c>
      <c r="M1016">
        <v>0</v>
      </c>
      <c r="N1016">
        <v>0.35355443358033928</v>
      </c>
      <c r="O1016">
        <v>1.4737622038640097</v>
      </c>
      <c r="P1016">
        <v>3.11293179741818</v>
      </c>
      <c r="Q1016">
        <v>1.3498045353129324</v>
      </c>
      <c r="R1016">
        <v>-0.25661544227348532</v>
      </c>
      <c r="S1016" s="2">
        <v>1.6579347314463888</v>
      </c>
      <c r="T1016" s="2">
        <v>2.6760691651058215</v>
      </c>
      <c r="U1016" s="2">
        <v>4.0305877933250498</v>
      </c>
      <c r="V1016" s="2">
        <v>5.728164001210005</v>
      </c>
      <c r="W1016" s="2">
        <v>7.7318119125885829</v>
      </c>
      <c r="X1016" s="2">
        <v>9.945956092501838</v>
      </c>
      <c r="Y1016" s="2">
        <v>12.206607082871113</v>
      </c>
      <c r="Z1016" s="2">
        <v>14.283528546180104</v>
      </c>
      <c r="AA1016" s="2">
        <v>15.901659500861724</v>
      </c>
      <c r="AB1016" s="2">
        <v>16.785970771198755</v>
      </c>
      <c r="AC1016" s="2">
        <v>16.726113972581636</v>
      </c>
      <c r="AD1016" s="2">
        <v>15.645640815661556</v>
      </c>
      <c r="AE1016" s="2">
        <v>13.64997832864702</v>
      </c>
      <c r="AF1016" s="2">
        <v>11.201364001297476</v>
      </c>
      <c r="AG1016" s="2">
        <v>2.0071913793630336</v>
      </c>
      <c r="AH1016" s="2">
        <v>0</v>
      </c>
      <c r="AI1016" s="2">
        <v>0</v>
      </c>
      <c r="AJ1016" s="2">
        <v>0</v>
      </c>
      <c r="AK1016" s="2">
        <v>0</v>
      </c>
      <c r="AL1016" s="2">
        <v>0</v>
      </c>
      <c r="AM1016" s="2">
        <v>0</v>
      </c>
      <c r="AN1016" s="2">
        <v>0</v>
      </c>
      <c r="AO1016" s="2">
        <v>0</v>
      </c>
      <c r="AP1016" s="2">
        <v>0</v>
      </c>
      <c r="AQ1016" s="2">
        <v>0</v>
      </c>
      <c r="AR1016" s="2">
        <v>150.17857809484008</v>
      </c>
    </row>
    <row r="1017" spans="1:44" x14ac:dyDescent="0.25">
      <c r="A1017" t="s">
        <v>435</v>
      </c>
      <c r="B1017" t="s">
        <v>460</v>
      </c>
      <c r="C1017" t="s">
        <v>44</v>
      </c>
      <c r="D1017" t="s">
        <v>461</v>
      </c>
      <c r="E1017" t="s">
        <v>134</v>
      </c>
      <c r="F1017" t="s">
        <v>461</v>
      </c>
      <c r="G1017" t="s">
        <v>33</v>
      </c>
      <c r="H1017" t="s">
        <v>453</v>
      </c>
      <c r="I1017" t="s">
        <v>135</v>
      </c>
      <c r="J1017" t="s">
        <v>39</v>
      </c>
      <c r="K1017" t="s">
        <v>31</v>
      </c>
      <c r="L1017">
        <v>6.641291224625212E-2</v>
      </c>
      <c r="M1017">
        <v>0</v>
      </c>
      <c r="N1017">
        <v>0.71439906728806646</v>
      </c>
      <c r="O1017">
        <v>5.3471683850504306</v>
      </c>
      <c r="P1017">
        <v>1.6499948460693128</v>
      </c>
      <c r="Q1017">
        <v>4.0542017663308254</v>
      </c>
      <c r="R1017">
        <v>-1.8625523936223525</v>
      </c>
      <c r="S1017" s="2">
        <v>0.58072091795192493</v>
      </c>
      <c r="T1017" s="2">
        <v>0.93734048306433349</v>
      </c>
      <c r="U1017" s="2">
        <v>1.4117845526907791</v>
      </c>
      <c r="V1017" s="2">
        <v>2.0063905978131142</v>
      </c>
      <c r="W1017" s="2">
        <v>2.7082036621507735</v>
      </c>
      <c r="X1017" s="2">
        <v>3.4837467617970428</v>
      </c>
      <c r="Y1017" s="2">
        <v>4.2755796930915553</v>
      </c>
      <c r="Z1017" s="2">
        <v>5.0030581129655616</v>
      </c>
      <c r="AA1017" s="2">
        <v>5.5698370551916829</v>
      </c>
      <c r="AB1017" s="2">
        <v>5.8795826941031395</v>
      </c>
      <c r="AC1017" s="2">
        <v>5.8586167933476423</v>
      </c>
      <c r="AD1017" s="2">
        <v>5.4801619895438449</v>
      </c>
      <c r="AE1017" s="2">
        <v>4.7811459611081215</v>
      </c>
      <c r="AF1017" s="2">
        <v>3.923475551701753</v>
      </c>
      <c r="AG1017" s="2">
        <v>0.70305422657502481</v>
      </c>
      <c r="AH1017" s="2">
        <v>0</v>
      </c>
      <c r="AI1017" s="2">
        <v>0</v>
      </c>
      <c r="AJ1017" s="2">
        <v>0</v>
      </c>
      <c r="AK1017" s="2">
        <v>0</v>
      </c>
      <c r="AL1017" s="2">
        <v>0</v>
      </c>
      <c r="AM1017" s="2">
        <v>0</v>
      </c>
      <c r="AN1017" s="2">
        <v>0</v>
      </c>
      <c r="AO1017" s="2">
        <v>0</v>
      </c>
      <c r="AP1017" s="2">
        <v>0</v>
      </c>
      <c r="AQ1017" s="2">
        <v>0</v>
      </c>
      <c r="AR1017" s="2">
        <v>52.602699053096302</v>
      </c>
    </row>
    <row r="1018" spans="1:44" x14ac:dyDescent="0.25">
      <c r="A1018" t="s">
        <v>435</v>
      </c>
      <c r="B1018" t="s">
        <v>460</v>
      </c>
      <c r="C1018" t="s">
        <v>44</v>
      </c>
      <c r="D1018" t="s">
        <v>461</v>
      </c>
      <c r="E1018" t="s">
        <v>134</v>
      </c>
      <c r="F1018" t="s">
        <v>461</v>
      </c>
      <c r="G1018" t="s">
        <v>33</v>
      </c>
      <c r="H1018" t="s">
        <v>453</v>
      </c>
      <c r="I1018" t="s">
        <v>135</v>
      </c>
      <c r="J1018" t="s">
        <v>39</v>
      </c>
      <c r="K1018" t="s">
        <v>33</v>
      </c>
      <c r="L1018">
        <v>6.641291224625212E-2</v>
      </c>
      <c r="M1018">
        <v>0</v>
      </c>
      <c r="N1018">
        <v>0.71439906728806646</v>
      </c>
      <c r="O1018">
        <v>5.3471683850504306</v>
      </c>
      <c r="P1018">
        <v>1.6499948460693128</v>
      </c>
      <c r="Q1018">
        <v>4.0542017663308254</v>
      </c>
      <c r="R1018">
        <v>-1.8625523936223525</v>
      </c>
      <c r="S1018" s="2">
        <v>0.52838862745561765</v>
      </c>
      <c r="T1018" s="2">
        <v>0.85287103666196951</v>
      </c>
      <c r="U1018" s="2">
        <v>1.2845600683546914</v>
      </c>
      <c r="V1018" s="2">
        <v>1.8255825498025069</v>
      </c>
      <c r="W1018" s="2">
        <v>2.4641509745522696</v>
      </c>
      <c r="X1018" s="2">
        <v>3.1698051731301344</v>
      </c>
      <c r="Y1018" s="2">
        <v>3.8902812276460534</v>
      </c>
      <c r="Z1018" s="2">
        <v>4.5522021467968079</v>
      </c>
      <c r="AA1018" s="2">
        <v>5.0679051946735845</v>
      </c>
      <c r="AB1018" s="2">
        <v>5.3497377719845627</v>
      </c>
      <c r="AC1018" s="2">
        <v>5.3306612359392647</v>
      </c>
      <c r="AD1018" s="2">
        <v>4.9863112940754046</v>
      </c>
      <c r="AE1018" s="2">
        <v>4.3502878473270874</v>
      </c>
      <c r="AF1018" s="2">
        <v>3.5699073298940212</v>
      </c>
      <c r="AG1018" s="2">
        <v>0.63969773831636145</v>
      </c>
      <c r="AH1018" s="2">
        <v>0</v>
      </c>
      <c r="AI1018" s="2">
        <v>0</v>
      </c>
      <c r="AJ1018" s="2">
        <v>0</v>
      </c>
      <c r="AK1018" s="2">
        <v>0</v>
      </c>
      <c r="AL1018" s="2">
        <v>0</v>
      </c>
      <c r="AM1018" s="2">
        <v>0</v>
      </c>
      <c r="AN1018" s="2">
        <v>0</v>
      </c>
      <c r="AO1018" s="2">
        <v>0</v>
      </c>
      <c r="AP1018" s="2">
        <v>0</v>
      </c>
      <c r="AQ1018" s="2">
        <v>0</v>
      </c>
      <c r="AR1018" s="2">
        <v>47.862350216610338</v>
      </c>
    </row>
    <row r="1019" spans="1:44" x14ac:dyDescent="0.25">
      <c r="A1019" t="s">
        <v>435</v>
      </c>
      <c r="B1019" t="s">
        <v>460</v>
      </c>
      <c r="C1019" t="s">
        <v>44</v>
      </c>
      <c r="D1019" t="s">
        <v>461</v>
      </c>
      <c r="E1019" t="s">
        <v>134</v>
      </c>
      <c r="F1019" t="s">
        <v>461</v>
      </c>
      <c r="G1019" t="s">
        <v>33</v>
      </c>
      <c r="H1019" t="s">
        <v>453</v>
      </c>
      <c r="I1019" t="s">
        <v>135</v>
      </c>
      <c r="J1019" t="s">
        <v>40</v>
      </c>
      <c r="K1019" t="s">
        <v>33</v>
      </c>
      <c r="L1019">
        <v>6.641291224625212E-2</v>
      </c>
      <c r="M1019">
        <v>0</v>
      </c>
      <c r="N1019">
        <v>0.71439906728806646</v>
      </c>
      <c r="O1019">
        <v>4.1746294160814523</v>
      </c>
      <c r="P1019">
        <v>1.6499948460693128</v>
      </c>
      <c r="Q1019">
        <v>1.3498045353129324</v>
      </c>
      <c r="R1019">
        <v>-1.7195523936223522</v>
      </c>
      <c r="S1019" s="2">
        <v>10.760431661415836</v>
      </c>
      <c r="T1019" s="2">
        <v>17.368391424686468</v>
      </c>
      <c r="U1019" s="2">
        <v>26.159572920928046</v>
      </c>
      <c r="V1019" s="2">
        <v>37.177288171428643</v>
      </c>
      <c r="W1019" s="2">
        <v>50.18148913000234</v>
      </c>
      <c r="X1019" s="2">
        <v>64.551866132535508</v>
      </c>
      <c r="Y1019" s="2">
        <v>79.224084544269303</v>
      </c>
      <c r="Z1019" s="2">
        <v>92.703850091232184</v>
      </c>
      <c r="AA1019" s="2">
        <v>103.20594479183779</v>
      </c>
      <c r="AB1019" s="2">
        <v>108.94535709281543</v>
      </c>
      <c r="AC1019" s="2">
        <v>108.55687075570329</v>
      </c>
      <c r="AD1019" s="2">
        <v>101.5443163128092</v>
      </c>
      <c r="AE1019" s="2">
        <v>88.591942854755814</v>
      </c>
      <c r="AF1019" s="2">
        <v>72.699793040376662</v>
      </c>
      <c r="AG1019" s="2">
        <v>13.027198996052512</v>
      </c>
      <c r="AH1019" s="2">
        <v>0</v>
      </c>
      <c r="AI1019" s="2">
        <v>0</v>
      </c>
      <c r="AJ1019" s="2">
        <v>0</v>
      </c>
      <c r="AK1019" s="2">
        <v>0</v>
      </c>
      <c r="AL1019" s="2">
        <v>0</v>
      </c>
      <c r="AM1019" s="2">
        <v>0</v>
      </c>
      <c r="AN1019" s="2">
        <v>0</v>
      </c>
      <c r="AO1019" s="2">
        <v>0</v>
      </c>
      <c r="AP1019" s="2">
        <v>0</v>
      </c>
      <c r="AQ1019" s="2">
        <v>0</v>
      </c>
      <c r="AR1019" s="2">
        <v>974.69839792084906</v>
      </c>
    </row>
    <row r="1020" spans="1:44" x14ac:dyDescent="0.25">
      <c r="A1020" t="s">
        <v>435</v>
      </c>
      <c r="B1020" t="s">
        <v>460</v>
      </c>
      <c r="C1020" t="s">
        <v>44</v>
      </c>
      <c r="D1020" t="s">
        <v>461</v>
      </c>
      <c r="E1020" t="s">
        <v>134</v>
      </c>
      <c r="F1020" t="s">
        <v>461</v>
      </c>
      <c r="G1020" t="s">
        <v>33</v>
      </c>
      <c r="H1020" t="s">
        <v>453</v>
      </c>
      <c r="I1020" t="s">
        <v>256</v>
      </c>
      <c r="J1020" t="s">
        <v>40</v>
      </c>
      <c r="K1020" t="s">
        <v>33</v>
      </c>
      <c r="L1020">
        <v>6.641291224625212E-2</v>
      </c>
      <c r="M1020">
        <v>0</v>
      </c>
      <c r="N1020">
        <v>0.35355443358033928</v>
      </c>
      <c r="O1020">
        <v>1.4737622038640097</v>
      </c>
      <c r="P1020">
        <v>3.11293179741818</v>
      </c>
      <c r="Q1020">
        <v>1.3498045353129324</v>
      </c>
      <c r="R1020">
        <v>-0.25661544227348532</v>
      </c>
      <c r="S1020" s="2">
        <v>5.5394405325404472</v>
      </c>
      <c r="T1020" s="2">
        <v>8.9411999880938673</v>
      </c>
      <c r="U1020" s="2">
        <v>13.466875968530559</v>
      </c>
      <c r="V1020" s="2">
        <v>19.138765382916898</v>
      </c>
      <c r="W1020" s="2">
        <v>25.833292159340488</v>
      </c>
      <c r="X1020" s="2">
        <v>33.231122594076517</v>
      </c>
      <c r="Y1020" s="2">
        <v>40.78434015352434</v>
      </c>
      <c r="Z1020" s="2">
        <v>47.723686268024323</v>
      </c>
      <c r="AA1020" s="2">
        <v>53.13013564586074</v>
      </c>
      <c r="AB1020" s="2">
        <v>56.084769264045299</v>
      </c>
      <c r="AC1020" s="2">
        <v>55.884777569487738</v>
      </c>
      <c r="AD1020" s="2">
        <v>52.274733889092985</v>
      </c>
      <c r="AE1020" s="2">
        <v>45.606887766951303</v>
      </c>
      <c r="AF1020" s="2">
        <v>37.425652887067898</v>
      </c>
      <c r="AG1020" s="2">
        <v>6.7063661026688202</v>
      </c>
      <c r="AH1020" s="2">
        <v>0</v>
      </c>
      <c r="AI1020" s="2">
        <v>0</v>
      </c>
      <c r="AJ1020" s="2">
        <v>0</v>
      </c>
      <c r="AK1020" s="2">
        <v>0</v>
      </c>
      <c r="AL1020" s="2">
        <v>0</v>
      </c>
      <c r="AM1020" s="2">
        <v>0</v>
      </c>
      <c r="AN1020" s="2">
        <v>0</v>
      </c>
      <c r="AO1020" s="2">
        <v>0</v>
      </c>
      <c r="AP1020" s="2">
        <v>0</v>
      </c>
      <c r="AQ1020" s="2">
        <v>0</v>
      </c>
      <c r="AR1020" s="2">
        <v>501.77204617222225</v>
      </c>
    </row>
    <row r="1021" spans="1:44" x14ac:dyDescent="0.25">
      <c r="A1021" t="s">
        <v>435</v>
      </c>
      <c r="B1021" t="s">
        <v>460</v>
      </c>
      <c r="C1021" t="s">
        <v>44</v>
      </c>
      <c r="D1021" t="s">
        <v>461</v>
      </c>
      <c r="E1021" t="s">
        <v>134</v>
      </c>
      <c r="F1021" t="s">
        <v>461</v>
      </c>
      <c r="G1021" t="s">
        <v>33</v>
      </c>
      <c r="H1021" t="s">
        <v>454</v>
      </c>
      <c r="I1021" t="s">
        <v>135</v>
      </c>
      <c r="J1021" t="s">
        <v>39</v>
      </c>
      <c r="K1021" t="s">
        <v>31</v>
      </c>
      <c r="L1021">
        <v>6.641291224625212E-2</v>
      </c>
      <c r="M1021">
        <v>0</v>
      </c>
      <c r="N1021">
        <v>0.71439906728806646</v>
      </c>
      <c r="O1021">
        <v>5.3471683850504306</v>
      </c>
      <c r="P1021">
        <v>1.6499948460693128</v>
      </c>
      <c r="Q1021">
        <v>4.0542017663308254</v>
      </c>
      <c r="R1021">
        <v>-1.8625523936223525</v>
      </c>
      <c r="S1021" s="2">
        <v>3.1976879405890384E-2</v>
      </c>
      <c r="T1021" s="2">
        <v>5.1613817692181992E-2</v>
      </c>
      <c r="U1021" s="2">
        <v>7.7738657232645489E-2</v>
      </c>
      <c r="V1021" s="2">
        <v>0.11048010878212176</v>
      </c>
      <c r="W1021" s="2">
        <v>0.14912481922746099</v>
      </c>
      <c r="X1021" s="2">
        <v>0.19182940830773965</v>
      </c>
      <c r="Y1021" s="2">
        <v>0.23543098243893609</v>
      </c>
      <c r="Z1021" s="2">
        <v>0.27548893279612391</v>
      </c>
      <c r="AA1021" s="2">
        <v>0.30669810974342865</v>
      </c>
      <c r="AB1021" s="2">
        <v>0.32375397709000853</v>
      </c>
      <c r="AC1021" s="2">
        <v>0.32259950846425478</v>
      </c>
      <c r="AD1021" s="2">
        <v>0.30176023223412635</v>
      </c>
      <c r="AE1021" s="2">
        <v>0.2632695380760694</v>
      </c>
      <c r="AF1021" s="2">
        <v>0.21604268193265333</v>
      </c>
      <c r="AG1021" s="2">
        <v>3.871305393695449E-2</v>
      </c>
      <c r="AH1021" s="2">
        <v>0</v>
      </c>
      <c r="AI1021" s="2">
        <v>0</v>
      </c>
      <c r="AJ1021" s="2">
        <v>0</v>
      </c>
      <c r="AK1021" s="2">
        <v>0</v>
      </c>
      <c r="AL1021" s="2">
        <v>0</v>
      </c>
      <c r="AM1021" s="2">
        <v>0</v>
      </c>
      <c r="AN1021" s="2">
        <v>0</v>
      </c>
      <c r="AO1021" s="2">
        <v>0</v>
      </c>
      <c r="AP1021" s="2">
        <v>0</v>
      </c>
      <c r="AQ1021" s="2">
        <v>0</v>
      </c>
      <c r="AR1021" s="2">
        <v>2.8965207073605956</v>
      </c>
    </row>
    <row r="1022" spans="1:44" x14ac:dyDescent="0.25">
      <c r="A1022" t="s">
        <v>435</v>
      </c>
      <c r="B1022" t="s">
        <v>460</v>
      </c>
      <c r="C1022" t="s">
        <v>44</v>
      </c>
      <c r="D1022" t="s">
        <v>461</v>
      </c>
      <c r="E1022" t="s">
        <v>134</v>
      </c>
      <c r="F1022" t="s">
        <v>461</v>
      </c>
      <c r="G1022" t="s">
        <v>33</v>
      </c>
      <c r="H1022" t="s">
        <v>454</v>
      </c>
      <c r="I1022" t="s">
        <v>135</v>
      </c>
      <c r="J1022" t="s">
        <v>39</v>
      </c>
      <c r="K1022" t="s">
        <v>33</v>
      </c>
      <c r="L1022">
        <v>6.641291224625212E-2</v>
      </c>
      <c r="M1022">
        <v>0</v>
      </c>
      <c r="N1022">
        <v>0.71439906728806646</v>
      </c>
      <c r="O1022">
        <v>5.3471683850504306</v>
      </c>
      <c r="P1022">
        <v>1.6499948460693128</v>
      </c>
      <c r="Q1022">
        <v>4.0542017663308254</v>
      </c>
      <c r="R1022">
        <v>-1.8625523936223525</v>
      </c>
      <c r="S1022" s="2">
        <v>0.25661459104380785</v>
      </c>
      <c r="T1022" s="2">
        <v>0.41420110296469803</v>
      </c>
      <c r="U1022" s="2">
        <v>0.62385304959980992</v>
      </c>
      <c r="V1022" s="2">
        <v>0.88660333529534907</v>
      </c>
      <c r="W1022" s="2">
        <v>1.1967272983331665</v>
      </c>
      <c r="X1022" s="2">
        <v>1.5394318044054793</v>
      </c>
      <c r="Y1022" s="2">
        <v>1.8893346192649614</v>
      </c>
      <c r="Z1022" s="2">
        <v>2.210799838509256</v>
      </c>
      <c r="AA1022" s="2">
        <v>2.4612536141103596</v>
      </c>
      <c r="AB1022" s="2">
        <v>2.5981270209392258</v>
      </c>
      <c r="AC1022" s="2">
        <v>2.5888624053865232</v>
      </c>
      <c r="AD1022" s="2">
        <v>2.421627126434998</v>
      </c>
      <c r="AE1022" s="2">
        <v>2.1127391447471231</v>
      </c>
      <c r="AF1022" s="2">
        <v>1.7337434265691003</v>
      </c>
      <c r="AG1022" s="2">
        <v>0.31067241984402133</v>
      </c>
      <c r="AH1022" s="2">
        <v>0</v>
      </c>
      <c r="AI1022" s="2">
        <v>0</v>
      </c>
      <c r="AJ1022" s="2">
        <v>0</v>
      </c>
      <c r="AK1022" s="2">
        <v>0</v>
      </c>
      <c r="AL1022" s="2">
        <v>0</v>
      </c>
      <c r="AM1022" s="2">
        <v>0</v>
      </c>
      <c r="AN1022" s="2">
        <v>0</v>
      </c>
      <c r="AO1022" s="2">
        <v>0</v>
      </c>
      <c r="AP1022" s="2">
        <v>0</v>
      </c>
      <c r="AQ1022" s="2">
        <v>0</v>
      </c>
      <c r="AR1022" s="2">
        <v>23.244590797447877</v>
      </c>
    </row>
    <row r="1023" spans="1:44" x14ac:dyDescent="0.25">
      <c r="A1023" t="s">
        <v>435</v>
      </c>
      <c r="B1023" t="s">
        <v>460</v>
      </c>
      <c r="C1023" t="s">
        <v>44</v>
      </c>
      <c r="D1023" t="s">
        <v>461</v>
      </c>
      <c r="E1023" t="s">
        <v>134</v>
      </c>
      <c r="F1023" t="s">
        <v>461</v>
      </c>
      <c r="G1023" t="s">
        <v>33</v>
      </c>
      <c r="H1023" t="s">
        <v>455</v>
      </c>
      <c r="I1023" t="s">
        <v>135</v>
      </c>
      <c r="J1023" t="s">
        <v>39</v>
      </c>
      <c r="K1023" t="s">
        <v>31</v>
      </c>
      <c r="L1023">
        <v>6.641291224625212E-2</v>
      </c>
      <c r="M1023">
        <v>0</v>
      </c>
      <c r="N1023">
        <v>0.71439906728806646</v>
      </c>
      <c r="O1023">
        <v>5.3471683850504306</v>
      </c>
      <c r="P1023">
        <v>1.6499948460693128</v>
      </c>
      <c r="Q1023">
        <v>4.0542017663308254</v>
      </c>
      <c r="R1023">
        <v>-1.8625523936223525</v>
      </c>
      <c r="S1023" s="2">
        <v>7.5342267612376933E-3</v>
      </c>
      <c r="T1023" s="2">
        <v>1.2160980487497105E-2</v>
      </c>
      <c r="U1023" s="2">
        <v>1.8316379915326926E-2</v>
      </c>
      <c r="V1023" s="2">
        <v>2.603075120636637E-2</v>
      </c>
      <c r="W1023" s="2">
        <v>3.5136017793571978E-2</v>
      </c>
      <c r="X1023" s="2">
        <v>4.5197851964201723E-2</v>
      </c>
      <c r="Y1023" s="2">
        <v>5.547102910827402E-2</v>
      </c>
      <c r="Z1023" s="2">
        <v>6.4909275966279226E-2</v>
      </c>
      <c r="AA1023" s="2">
        <v>7.2262620649102494E-2</v>
      </c>
      <c r="AB1023" s="2">
        <v>7.6281235804371544E-2</v>
      </c>
      <c r="AC1023" s="2">
        <v>7.6009225884180229E-2</v>
      </c>
      <c r="AD1023" s="2">
        <v>7.1099183516852293E-2</v>
      </c>
      <c r="AE1023" s="2">
        <v>6.2030205449817154E-2</v>
      </c>
      <c r="AF1023" s="2">
        <v>5.0902858128386422E-2</v>
      </c>
      <c r="AG1023" s="2">
        <v>9.1213693268430308E-3</v>
      </c>
      <c r="AH1023" s="2">
        <v>0</v>
      </c>
      <c r="AI1023" s="2">
        <v>0</v>
      </c>
      <c r="AJ1023" s="2">
        <v>0</v>
      </c>
      <c r="AK1023" s="2">
        <v>0</v>
      </c>
      <c r="AL1023" s="2">
        <v>0</v>
      </c>
      <c r="AM1023" s="2">
        <v>0</v>
      </c>
      <c r="AN1023" s="2">
        <v>0</v>
      </c>
      <c r="AO1023" s="2">
        <v>0</v>
      </c>
      <c r="AP1023" s="2">
        <v>0</v>
      </c>
      <c r="AQ1023" s="2">
        <v>0</v>
      </c>
      <c r="AR1023" s="2">
        <v>0.68246321196230819</v>
      </c>
    </row>
    <row r="1024" spans="1:44" x14ac:dyDescent="0.25">
      <c r="A1024" t="s">
        <v>435</v>
      </c>
      <c r="B1024" t="s">
        <v>460</v>
      </c>
      <c r="C1024" t="s">
        <v>44</v>
      </c>
      <c r="D1024" t="s">
        <v>461</v>
      </c>
      <c r="E1024" t="s">
        <v>134</v>
      </c>
      <c r="F1024" t="s">
        <v>461</v>
      </c>
      <c r="G1024" t="s">
        <v>33</v>
      </c>
      <c r="H1024" t="s">
        <v>455</v>
      </c>
      <c r="I1024" t="s">
        <v>135</v>
      </c>
      <c r="J1024" t="s">
        <v>39</v>
      </c>
      <c r="K1024" t="s">
        <v>33</v>
      </c>
      <c r="L1024">
        <v>6.641291224625212E-2</v>
      </c>
      <c r="M1024">
        <v>0</v>
      </c>
      <c r="N1024">
        <v>0.71439906728806646</v>
      </c>
      <c r="O1024">
        <v>5.3471683850504306</v>
      </c>
      <c r="P1024">
        <v>1.6499948460693128</v>
      </c>
      <c r="Q1024">
        <v>4.0542017663308254</v>
      </c>
      <c r="R1024">
        <v>-1.8625523936223525</v>
      </c>
      <c r="S1024" s="2">
        <v>0.19156357762420817</v>
      </c>
      <c r="T1024" s="2">
        <v>0.30920239109188097</v>
      </c>
      <c r="U1024" s="2">
        <v>0.46570821092831205</v>
      </c>
      <c r="V1024" s="2">
        <v>0.66185210338931266</v>
      </c>
      <c r="W1024" s="2">
        <v>0.89336059098104159</v>
      </c>
      <c r="X1024" s="2">
        <v>1.1491905536659852</v>
      </c>
      <c r="Y1024" s="2">
        <v>1.4103940758921261</v>
      </c>
      <c r="Z1024" s="2">
        <v>1.6503688459537191</v>
      </c>
      <c r="AA1024" s="2">
        <v>1.8373333559937874</v>
      </c>
      <c r="AB1024" s="2">
        <v>1.9395097731144924</v>
      </c>
      <c r="AC1024" s="2">
        <v>1.9325937092485619</v>
      </c>
      <c r="AD1024" s="2">
        <v>1.8077520616609257</v>
      </c>
      <c r="AE1024" s="2">
        <v>1.5771662379298472</v>
      </c>
      <c r="AF1024" s="2">
        <v>1.2942447743329308</v>
      </c>
      <c r="AG1024" s="2">
        <v>0.23191791227620351</v>
      </c>
      <c r="AH1024" s="2">
        <v>0</v>
      </c>
      <c r="AI1024" s="2">
        <v>0</v>
      </c>
      <c r="AJ1024" s="2">
        <v>0</v>
      </c>
      <c r="AK1024" s="2">
        <v>0</v>
      </c>
      <c r="AL1024" s="2">
        <v>0</v>
      </c>
      <c r="AM1024" s="2">
        <v>0</v>
      </c>
      <c r="AN1024" s="2">
        <v>0</v>
      </c>
      <c r="AO1024" s="2">
        <v>0</v>
      </c>
      <c r="AP1024" s="2">
        <v>0</v>
      </c>
      <c r="AQ1024" s="2">
        <v>0</v>
      </c>
      <c r="AR1024" s="2">
        <v>17.352158174083335</v>
      </c>
    </row>
    <row r="1025" spans="1:44" x14ac:dyDescent="0.25">
      <c r="A1025" t="s">
        <v>435</v>
      </c>
      <c r="B1025" t="s">
        <v>460</v>
      </c>
      <c r="C1025" t="s">
        <v>44</v>
      </c>
      <c r="D1025" t="s">
        <v>461</v>
      </c>
      <c r="E1025" t="s">
        <v>134</v>
      </c>
      <c r="F1025" t="s">
        <v>461</v>
      </c>
      <c r="G1025" t="s">
        <v>33</v>
      </c>
      <c r="H1025" t="s">
        <v>456</v>
      </c>
      <c r="I1025" t="s">
        <v>135</v>
      </c>
      <c r="J1025" t="s">
        <v>39</v>
      </c>
      <c r="K1025" t="s">
        <v>31</v>
      </c>
      <c r="L1025">
        <v>6.641291224625212E-2</v>
      </c>
      <c r="M1025">
        <v>0</v>
      </c>
      <c r="N1025">
        <v>0.71439906728806646</v>
      </c>
      <c r="O1025">
        <v>5.3471683850504306</v>
      </c>
      <c r="P1025">
        <v>1.6499948460693128</v>
      </c>
      <c r="Q1025">
        <v>4.0542017663308254</v>
      </c>
      <c r="R1025">
        <v>-1.8625523936223525</v>
      </c>
      <c r="S1025" s="2">
        <v>1.358062215251433</v>
      </c>
      <c r="T1025" s="2">
        <v>2.192045530863036</v>
      </c>
      <c r="U1025" s="2">
        <v>3.3015708541150155</v>
      </c>
      <c r="V1025" s="2">
        <v>4.6921045474571619</v>
      </c>
      <c r="W1025" s="2">
        <v>6.3333504116636599</v>
      </c>
      <c r="X1025" s="2">
        <v>8.1470198479965319</v>
      </c>
      <c r="Y1025" s="2">
        <v>9.9987843557663112</v>
      </c>
      <c r="Z1025" s="2">
        <v>11.700050702303349</v>
      </c>
      <c r="AA1025" s="2">
        <v>13.025508494580073</v>
      </c>
      <c r="AB1025" s="2">
        <v>13.749873392659024</v>
      </c>
      <c r="AC1025" s="2">
        <v>13.700842960407382</v>
      </c>
      <c r="AD1025" s="2">
        <v>12.815796196397276</v>
      </c>
      <c r="AE1025" s="2">
        <v>11.181091423885077</v>
      </c>
      <c r="AF1025" s="2">
        <v>9.1753607189159752</v>
      </c>
      <c r="AG1025" s="2">
        <v>1.6441484211584596</v>
      </c>
      <c r="AH1025" s="2">
        <v>0</v>
      </c>
      <c r="AI1025" s="2">
        <v>0</v>
      </c>
      <c r="AJ1025" s="2">
        <v>0</v>
      </c>
      <c r="AK1025" s="2">
        <v>0</v>
      </c>
      <c r="AL1025" s="2">
        <v>0</v>
      </c>
      <c r="AM1025" s="2">
        <v>0</v>
      </c>
      <c r="AN1025" s="2">
        <v>0</v>
      </c>
      <c r="AO1025" s="2">
        <v>0</v>
      </c>
      <c r="AP1025" s="2">
        <v>0</v>
      </c>
      <c r="AQ1025" s="2">
        <v>0</v>
      </c>
      <c r="AR1025" s="2">
        <v>123.01561007341977</v>
      </c>
    </row>
    <row r="1026" spans="1:44" x14ac:dyDescent="0.25">
      <c r="A1026" t="s">
        <v>435</v>
      </c>
      <c r="B1026" t="s">
        <v>460</v>
      </c>
      <c r="C1026" t="s">
        <v>44</v>
      </c>
      <c r="D1026" t="s">
        <v>461</v>
      </c>
      <c r="E1026" t="s">
        <v>134</v>
      </c>
      <c r="F1026" t="s">
        <v>461</v>
      </c>
      <c r="G1026" t="s">
        <v>33</v>
      </c>
      <c r="H1026" t="s">
        <v>456</v>
      </c>
      <c r="I1026" t="s">
        <v>135</v>
      </c>
      <c r="J1026" t="s">
        <v>39</v>
      </c>
      <c r="K1026" t="s">
        <v>33</v>
      </c>
      <c r="L1026">
        <v>6.641291224625212E-2</v>
      </c>
      <c r="M1026">
        <v>0</v>
      </c>
      <c r="N1026">
        <v>0.71439906728806646</v>
      </c>
      <c r="O1026">
        <v>5.3471683850504306</v>
      </c>
      <c r="P1026">
        <v>1.6499948460693128</v>
      </c>
      <c r="Q1026">
        <v>4.0542017663308254</v>
      </c>
      <c r="R1026">
        <v>-1.8625523936223525</v>
      </c>
      <c r="S1026" s="2">
        <v>1.253898471727892</v>
      </c>
      <c r="T1026" s="2">
        <v>2.0239150388248142</v>
      </c>
      <c r="U1026" s="2">
        <v>3.0483394661780765</v>
      </c>
      <c r="V1026" s="2">
        <v>4.3322188447417824</v>
      </c>
      <c r="W1026" s="2">
        <v>5.8475807020608457</v>
      </c>
      <c r="X1026" s="2">
        <v>7.5221411963430134</v>
      </c>
      <c r="Y1026" s="2">
        <v>9.2318748596587223</v>
      </c>
      <c r="Z1026" s="2">
        <v>10.80265361188985</v>
      </c>
      <c r="AA1026" s="2">
        <v>12.02644842880691</v>
      </c>
      <c r="AB1026" s="2">
        <v>12.695254340991408</v>
      </c>
      <c r="AC1026" s="2">
        <v>12.649984556309926</v>
      </c>
      <c r="AD1026" s="2">
        <v>11.832821121279427</v>
      </c>
      <c r="AE1026" s="2">
        <v>10.323498652131832</v>
      </c>
      <c r="AF1026" s="2">
        <v>8.471608041072578</v>
      </c>
      <c r="AG1026" s="2">
        <v>1.5180417873585792</v>
      </c>
      <c r="AH1026" s="2">
        <v>0</v>
      </c>
      <c r="AI1026" s="2">
        <v>0</v>
      </c>
      <c r="AJ1026" s="2">
        <v>0</v>
      </c>
      <c r="AK1026" s="2">
        <v>0</v>
      </c>
      <c r="AL1026" s="2">
        <v>0</v>
      </c>
      <c r="AM1026" s="2">
        <v>0</v>
      </c>
      <c r="AN1026" s="2">
        <v>0</v>
      </c>
      <c r="AO1026" s="2">
        <v>0</v>
      </c>
      <c r="AP1026" s="2">
        <v>0</v>
      </c>
      <c r="AQ1026" s="2">
        <v>0</v>
      </c>
      <c r="AR1026" s="2">
        <v>113.58027911937566</v>
      </c>
    </row>
    <row r="1027" spans="1:44" x14ac:dyDescent="0.25">
      <c r="A1027" t="s">
        <v>435</v>
      </c>
      <c r="B1027" t="s">
        <v>460</v>
      </c>
      <c r="C1027" t="s">
        <v>44</v>
      </c>
      <c r="D1027" t="s">
        <v>461</v>
      </c>
      <c r="E1027" t="s">
        <v>134</v>
      </c>
      <c r="F1027" t="s">
        <v>461</v>
      </c>
      <c r="G1027" t="s">
        <v>33</v>
      </c>
      <c r="H1027" t="s">
        <v>456</v>
      </c>
      <c r="I1027" t="s">
        <v>135</v>
      </c>
      <c r="J1027" t="s">
        <v>40</v>
      </c>
      <c r="K1027" t="s">
        <v>33</v>
      </c>
      <c r="L1027">
        <v>6.641291224625212E-2</v>
      </c>
      <c r="M1027">
        <v>0</v>
      </c>
      <c r="N1027">
        <v>0.71439906728806646</v>
      </c>
      <c r="O1027">
        <v>4.1746294160814523</v>
      </c>
      <c r="P1027">
        <v>1.6499948460693128</v>
      </c>
      <c r="Q1027">
        <v>1.3498045353129324</v>
      </c>
      <c r="R1027">
        <v>-1.7195523936223522</v>
      </c>
      <c r="S1027" s="2">
        <v>4.629034260443242</v>
      </c>
      <c r="T1027" s="2">
        <v>7.4717150281203084</v>
      </c>
      <c r="U1027" s="2">
        <v>11.253596797956519</v>
      </c>
      <c r="V1027" s="2">
        <v>15.99331198515047</v>
      </c>
      <c r="W1027" s="2">
        <v>21.587594227820826</v>
      </c>
      <c r="X1027" s="2">
        <v>27.769592271518171</v>
      </c>
      <c r="Y1027" s="2">
        <v>34.081439587844628</v>
      </c>
      <c r="Z1027" s="2">
        <v>39.880305144825776</v>
      </c>
      <c r="AA1027" s="2">
        <v>44.398205328128107</v>
      </c>
      <c r="AB1027" s="2">
        <v>46.867245326895137</v>
      </c>
      <c r="AC1027" s="2">
        <v>46.700122239198336</v>
      </c>
      <c r="AD1027" s="2">
        <v>43.683388729726005</v>
      </c>
      <c r="AE1027" s="2">
        <v>38.111402179560436</v>
      </c>
      <c r="AF1027" s="2">
        <v>31.274752101046921</v>
      </c>
      <c r="AG1027" s="2">
        <v>5.604175777313019</v>
      </c>
      <c r="AH1027" s="2">
        <v>0</v>
      </c>
      <c r="AI1027" s="2">
        <v>0</v>
      </c>
      <c r="AJ1027" s="2">
        <v>0</v>
      </c>
      <c r="AK1027" s="2">
        <v>0</v>
      </c>
      <c r="AL1027" s="2">
        <v>0</v>
      </c>
      <c r="AM1027" s="2">
        <v>0</v>
      </c>
      <c r="AN1027" s="2">
        <v>0</v>
      </c>
      <c r="AO1027" s="2">
        <v>0</v>
      </c>
      <c r="AP1027" s="2">
        <v>0</v>
      </c>
      <c r="AQ1027" s="2">
        <v>0</v>
      </c>
      <c r="AR1027" s="2">
        <v>419.3058809855479</v>
      </c>
    </row>
    <row r="1028" spans="1:44" x14ac:dyDescent="0.25">
      <c r="A1028" t="s">
        <v>435</v>
      </c>
      <c r="B1028" t="s">
        <v>460</v>
      </c>
      <c r="C1028" t="s">
        <v>44</v>
      </c>
      <c r="D1028" t="s">
        <v>461</v>
      </c>
      <c r="E1028" t="s">
        <v>134</v>
      </c>
      <c r="F1028" t="s">
        <v>461</v>
      </c>
      <c r="G1028" t="s">
        <v>33</v>
      </c>
      <c r="H1028" t="s">
        <v>456</v>
      </c>
      <c r="I1028" t="s">
        <v>256</v>
      </c>
      <c r="J1028" t="s">
        <v>40</v>
      </c>
      <c r="K1028" t="s">
        <v>33</v>
      </c>
      <c r="L1028">
        <v>6.641291224625212E-2</v>
      </c>
      <c r="M1028">
        <v>0</v>
      </c>
      <c r="N1028">
        <v>0.35355443358033928</v>
      </c>
      <c r="O1028">
        <v>1.4737622038640097</v>
      </c>
      <c r="P1028">
        <v>3.11293179741818</v>
      </c>
      <c r="Q1028">
        <v>1.3498045353129324</v>
      </c>
      <c r="R1028">
        <v>-0.25661544227348532</v>
      </c>
      <c r="S1028" s="2">
        <v>6.9513285620528658</v>
      </c>
      <c r="T1028" s="2">
        <v>11.220125659108666</v>
      </c>
      <c r="U1028" s="2">
        <v>16.899302196992451</v>
      </c>
      <c r="V1028" s="2">
        <v>24.016838102544867</v>
      </c>
      <c r="W1028" s="2">
        <v>32.417660336670224</v>
      </c>
      <c r="X1028" s="2">
        <v>41.701043684883658</v>
      </c>
      <c r="Y1028" s="2">
        <v>51.179419099866152</v>
      </c>
      <c r="Z1028" s="2">
        <v>59.887460022831334</v>
      </c>
      <c r="AA1028" s="2">
        <v>66.671900754468126</v>
      </c>
      <c r="AB1028" s="2">
        <v>70.379608949878374</v>
      </c>
      <c r="AC1028" s="2">
        <v>70.128643537327278</v>
      </c>
      <c r="AD1028" s="2">
        <v>65.598474904164277</v>
      </c>
      <c r="AE1028" s="2">
        <v>57.231133667456369</v>
      </c>
      <c r="AF1028" s="2">
        <v>46.964672395903513</v>
      </c>
      <c r="AG1028" s="2">
        <v>8.4156791580692758</v>
      </c>
      <c r="AH1028" s="2">
        <v>0</v>
      </c>
      <c r="AI1028" s="2">
        <v>0</v>
      </c>
      <c r="AJ1028" s="2">
        <v>0</v>
      </c>
      <c r="AK1028" s="2">
        <v>0</v>
      </c>
      <c r="AL1028" s="2">
        <v>0</v>
      </c>
      <c r="AM1028" s="2">
        <v>0</v>
      </c>
      <c r="AN1028" s="2">
        <v>0</v>
      </c>
      <c r="AO1028" s="2">
        <v>0</v>
      </c>
      <c r="AP1028" s="2">
        <v>0</v>
      </c>
      <c r="AQ1028" s="2">
        <v>0</v>
      </c>
      <c r="AR1028" s="2">
        <v>629.66329103221744</v>
      </c>
    </row>
    <row r="1029" spans="1:44" x14ac:dyDescent="0.25">
      <c r="A1029" t="s">
        <v>435</v>
      </c>
      <c r="B1029" t="s">
        <v>460</v>
      </c>
      <c r="C1029" t="s">
        <v>44</v>
      </c>
      <c r="D1029" t="s">
        <v>461</v>
      </c>
      <c r="E1029" t="s">
        <v>134</v>
      </c>
      <c r="F1029" t="s">
        <v>461</v>
      </c>
      <c r="G1029" t="s">
        <v>33</v>
      </c>
      <c r="H1029" t="s">
        <v>457</v>
      </c>
      <c r="I1029" t="s">
        <v>135</v>
      </c>
      <c r="J1029" t="s">
        <v>39</v>
      </c>
      <c r="K1029" t="s">
        <v>31</v>
      </c>
      <c r="L1029">
        <v>6.641291224625212E-2</v>
      </c>
      <c r="M1029">
        <v>0</v>
      </c>
      <c r="N1029">
        <v>0.71439906728806646</v>
      </c>
      <c r="O1029">
        <v>5.3471683850504306</v>
      </c>
      <c r="P1029">
        <v>1.6499948460693128</v>
      </c>
      <c r="Q1029">
        <v>4.0542017663308254</v>
      </c>
      <c r="R1029">
        <v>-1.8625523936223525</v>
      </c>
      <c r="S1029" s="2">
        <v>0.50207414256013527</v>
      </c>
      <c r="T1029" s="2">
        <v>0.81039687872994448</v>
      </c>
      <c r="U1029" s="2">
        <v>1.2205871992207906</v>
      </c>
      <c r="V1029" s="2">
        <v>1.734666012360055</v>
      </c>
      <c r="W1029" s="2">
        <v>2.3414328458289364</v>
      </c>
      <c r="X1029" s="2">
        <v>3.0119444887478588</v>
      </c>
      <c r="Y1029" s="2">
        <v>3.6965398386668409</v>
      </c>
      <c r="Z1029" s="2">
        <v>4.3254961799975327</v>
      </c>
      <c r="AA1029" s="2">
        <v>4.8155165023976947</v>
      </c>
      <c r="AB1029" s="2">
        <v>5.0833134273245246</v>
      </c>
      <c r="AC1029" s="2">
        <v>5.0651869291747031</v>
      </c>
      <c r="AD1029" s="2">
        <v>4.7379860909688283</v>
      </c>
      <c r="AE1029" s="2">
        <v>4.1336374920748726</v>
      </c>
      <c r="AF1029" s="2">
        <v>3.3921210043950696</v>
      </c>
      <c r="AG1029" s="2">
        <v>0.60783990565698431</v>
      </c>
      <c r="AH1029" s="2">
        <v>0</v>
      </c>
      <c r="AI1029" s="2">
        <v>0</v>
      </c>
      <c r="AJ1029" s="2">
        <v>0</v>
      </c>
      <c r="AK1029" s="2">
        <v>0</v>
      </c>
      <c r="AL1029" s="2">
        <v>0</v>
      </c>
      <c r="AM1029" s="2">
        <v>0</v>
      </c>
      <c r="AN1029" s="2">
        <v>0</v>
      </c>
      <c r="AO1029" s="2">
        <v>0</v>
      </c>
      <c r="AP1029" s="2">
        <v>0</v>
      </c>
      <c r="AQ1029" s="2">
        <v>0</v>
      </c>
      <c r="AR1029" s="2">
        <v>45.478738938104762</v>
      </c>
    </row>
    <row r="1030" spans="1:44" x14ac:dyDescent="0.25">
      <c r="A1030" t="s">
        <v>435</v>
      </c>
      <c r="B1030" t="s">
        <v>460</v>
      </c>
      <c r="C1030" t="s">
        <v>44</v>
      </c>
      <c r="D1030" t="s">
        <v>461</v>
      </c>
      <c r="E1030" t="s">
        <v>134</v>
      </c>
      <c r="F1030" t="s">
        <v>461</v>
      </c>
      <c r="G1030" t="s">
        <v>33</v>
      </c>
      <c r="H1030" t="s">
        <v>457</v>
      </c>
      <c r="I1030" t="s">
        <v>135</v>
      </c>
      <c r="J1030" t="s">
        <v>39</v>
      </c>
      <c r="K1030" t="s">
        <v>33</v>
      </c>
      <c r="L1030">
        <v>6.641291224625212E-2</v>
      </c>
      <c r="M1030">
        <v>0</v>
      </c>
      <c r="N1030">
        <v>0.71439906728806646</v>
      </c>
      <c r="O1030">
        <v>5.3471683850504306</v>
      </c>
      <c r="P1030">
        <v>1.6499948460693128</v>
      </c>
      <c r="Q1030">
        <v>4.0542017663308254</v>
      </c>
      <c r="R1030">
        <v>-1.8625523936223525</v>
      </c>
      <c r="S1030" s="2">
        <v>0.1469041681299407</v>
      </c>
      <c r="T1030" s="2">
        <v>0.23711772671237255</v>
      </c>
      <c r="U1030" s="2">
        <v>0.35713718738285349</v>
      </c>
      <c r="V1030" s="2">
        <v>0.50755385694556754</v>
      </c>
      <c r="W1030" s="2">
        <v>0.68509053801236452</v>
      </c>
      <c r="X1030" s="2">
        <v>0.88127860422540671</v>
      </c>
      <c r="Y1030" s="2">
        <v>1.0815874866399757</v>
      </c>
      <c r="Z1030" s="2">
        <v>1.2656166972304612</v>
      </c>
      <c r="AA1030" s="2">
        <v>1.4089939830271285</v>
      </c>
      <c r="AB1030" s="2">
        <v>1.4873499092724636</v>
      </c>
      <c r="AC1030" s="2">
        <v>1.4820461943306225</v>
      </c>
      <c r="AD1030" s="2">
        <v>1.3863090055900249</v>
      </c>
      <c r="AE1030" s="2">
        <v>1.2094798868301833</v>
      </c>
      <c r="AF1030" s="2">
        <v>0.9925161885568955</v>
      </c>
      <c r="AG1030" s="2">
        <v>0.17785065616284604</v>
      </c>
      <c r="AH1030" s="2">
        <v>0</v>
      </c>
      <c r="AI1030" s="2">
        <v>0</v>
      </c>
      <c r="AJ1030" s="2">
        <v>0</v>
      </c>
      <c r="AK1030" s="2">
        <v>0</v>
      </c>
      <c r="AL1030" s="2">
        <v>0</v>
      </c>
      <c r="AM1030" s="2">
        <v>0</v>
      </c>
      <c r="AN1030" s="2">
        <v>0</v>
      </c>
      <c r="AO1030" s="2">
        <v>0</v>
      </c>
      <c r="AP1030" s="2">
        <v>0</v>
      </c>
      <c r="AQ1030" s="2">
        <v>0</v>
      </c>
      <c r="AR1030" s="2">
        <v>13.306832089049106</v>
      </c>
    </row>
    <row r="1031" spans="1:44" x14ac:dyDescent="0.25">
      <c r="A1031" t="s">
        <v>435</v>
      </c>
      <c r="B1031" t="s">
        <v>460</v>
      </c>
      <c r="C1031" t="s">
        <v>44</v>
      </c>
      <c r="D1031" t="s">
        <v>461</v>
      </c>
      <c r="E1031" t="s">
        <v>134</v>
      </c>
      <c r="F1031" t="s">
        <v>461</v>
      </c>
      <c r="G1031" t="s">
        <v>33</v>
      </c>
      <c r="H1031" t="s">
        <v>457</v>
      </c>
      <c r="I1031" t="s">
        <v>256</v>
      </c>
      <c r="J1031" t="s">
        <v>39</v>
      </c>
      <c r="K1031" t="s">
        <v>33</v>
      </c>
      <c r="L1031">
        <v>6.641291224625212E-2</v>
      </c>
      <c r="M1031">
        <v>0</v>
      </c>
      <c r="N1031">
        <v>0.35355443358033928</v>
      </c>
      <c r="O1031">
        <v>2.6463011728329877</v>
      </c>
      <c r="P1031">
        <v>3.11293179741818</v>
      </c>
      <c r="Q1031">
        <v>1.3498045353129324</v>
      </c>
      <c r="R1031">
        <v>-0.39961544227348528</v>
      </c>
      <c r="S1031" s="2">
        <v>0.40399631948472375</v>
      </c>
      <c r="T1031" s="2">
        <v>0.65208965882880932</v>
      </c>
      <c r="U1031" s="2">
        <v>0.9821512288621892</v>
      </c>
      <c r="V1031" s="2">
        <v>1.3958071629724838</v>
      </c>
      <c r="W1031" s="2">
        <v>1.8840449484455088</v>
      </c>
      <c r="X1031" s="2">
        <v>2.4235752945605848</v>
      </c>
      <c r="Y1031" s="2">
        <v>2.9744381617326368</v>
      </c>
      <c r="Z1031" s="2">
        <v>3.4805308390382463</v>
      </c>
      <c r="AA1031" s="2">
        <v>3.8748279954560809</v>
      </c>
      <c r="AB1031" s="2">
        <v>4.0903120502375057</v>
      </c>
      <c r="AC1031" s="2">
        <v>4.0757264782733076</v>
      </c>
      <c r="AD1031" s="2">
        <v>3.8124427853640328</v>
      </c>
      <c r="AE1031" s="2">
        <v>3.3261508437118805</v>
      </c>
      <c r="AF1031" s="2">
        <v>2.7294861154063406</v>
      </c>
      <c r="AG1031" s="2">
        <v>0.48910123805459377</v>
      </c>
      <c r="AH1031" s="2">
        <v>0</v>
      </c>
      <c r="AI1031" s="2">
        <v>0</v>
      </c>
      <c r="AJ1031" s="2">
        <v>0</v>
      </c>
      <c r="AK1031" s="2">
        <v>0</v>
      </c>
      <c r="AL1031" s="2">
        <v>0</v>
      </c>
      <c r="AM1031" s="2">
        <v>0</v>
      </c>
      <c r="AN1031" s="2">
        <v>0</v>
      </c>
      <c r="AO1031" s="2">
        <v>0</v>
      </c>
      <c r="AP1031" s="2">
        <v>0</v>
      </c>
      <c r="AQ1031" s="2">
        <v>0</v>
      </c>
      <c r="AR1031" s="2">
        <v>36.594681120428923</v>
      </c>
    </row>
    <row r="1032" spans="1:44" x14ac:dyDescent="0.25">
      <c r="A1032" t="s">
        <v>435</v>
      </c>
      <c r="B1032" t="s">
        <v>460</v>
      </c>
      <c r="C1032" t="s">
        <v>44</v>
      </c>
      <c r="D1032" t="s">
        <v>461</v>
      </c>
      <c r="E1032" t="s">
        <v>134</v>
      </c>
      <c r="F1032" t="s">
        <v>461</v>
      </c>
      <c r="G1032" t="s">
        <v>33</v>
      </c>
      <c r="H1032" t="s">
        <v>457</v>
      </c>
      <c r="I1032" t="s">
        <v>256</v>
      </c>
      <c r="J1032" t="s">
        <v>40</v>
      </c>
      <c r="K1032" t="s">
        <v>33</v>
      </c>
      <c r="L1032">
        <v>6.641291224625212E-2</v>
      </c>
      <c r="M1032">
        <v>0</v>
      </c>
      <c r="N1032">
        <v>0.35355443358033928</v>
      </c>
      <c r="O1032">
        <v>1.4737622038640097</v>
      </c>
      <c r="P1032">
        <v>3.11293179741818</v>
      </c>
      <c r="Q1032">
        <v>1.3498045353129324</v>
      </c>
      <c r="R1032">
        <v>-0.25661544227348532</v>
      </c>
      <c r="S1032" s="2">
        <v>3.6967213021962881</v>
      </c>
      <c r="T1032" s="2">
        <v>5.9668705294368927</v>
      </c>
      <c r="U1032" s="2">
        <v>8.9870605116995517</v>
      </c>
      <c r="V1032" s="2">
        <v>12.772170993289595</v>
      </c>
      <c r="W1032" s="2">
        <v>17.239734025540244</v>
      </c>
      <c r="X1032" s="2">
        <v>22.176643664243912</v>
      </c>
      <c r="Y1032" s="2">
        <v>27.21725021794013</v>
      </c>
      <c r="Z1032" s="2">
        <v>31.848192359857194</v>
      </c>
      <c r="AA1032" s="2">
        <v>35.456162599250284</v>
      </c>
      <c r="AB1032" s="2">
        <v>37.427924363342918</v>
      </c>
      <c r="AC1032" s="2">
        <v>37.294460784631255</v>
      </c>
      <c r="AD1032" s="2">
        <v>34.885313995026848</v>
      </c>
      <c r="AE1032" s="2">
        <v>30.435556180191409</v>
      </c>
      <c r="AF1032" s="2">
        <v>24.975845026858355</v>
      </c>
      <c r="AG1032" s="2">
        <v>4.475463954604999</v>
      </c>
      <c r="AH1032" s="2">
        <v>0</v>
      </c>
      <c r="AI1032" s="2">
        <v>0</v>
      </c>
      <c r="AJ1032" s="2">
        <v>0</v>
      </c>
      <c r="AK1032" s="2">
        <v>0</v>
      </c>
      <c r="AL1032" s="2">
        <v>0</v>
      </c>
      <c r="AM1032" s="2">
        <v>0</v>
      </c>
      <c r="AN1032" s="2">
        <v>0</v>
      </c>
      <c r="AO1032" s="2">
        <v>0</v>
      </c>
      <c r="AP1032" s="2">
        <v>0</v>
      </c>
      <c r="AQ1032" s="2">
        <v>0</v>
      </c>
      <c r="AR1032" s="2">
        <v>334.85537050810996</v>
      </c>
    </row>
    <row r="1033" spans="1:44" x14ac:dyDescent="0.25">
      <c r="A1033" t="s">
        <v>435</v>
      </c>
      <c r="B1033" t="s">
        <v>476</v>
      </c>
      <c r="C1033" t="s">
        <v>45</v>
      </c>
      <c r="D1033" t="s">
        <v>477</v>
      </c>
      <c r="E1033" t="s">
        <v>145</v>
      </c>
      <c r="F1033" t="s">
        <v>477</v>
      </c>
      <c r="G1033" t="s">
        <v>33</v>
      </c>
      <c r="H1033" t="s">
        <v>450</v>
      </c>
      <c r="I1033" t="s">
        <v>135</v>
      </c>
      <c r="J1033" t="s">
        <v>39</v>
      </c>
      <c r="K1033" t="s">
        <v>31</v>
      </c>
      <c r="L1033">
        <v>0.10091851851851852</v>
      </c>
      <c r="M1033">
        <v>1</v>
      </c>
      <c r="N1033">
        <v>3.2426727002102926</v>
      </c>
      <c r="O1033">
        <v>3.1523474906593334</v>
      </c>
      <c r="P1033">
        <v>-0.68880560164319704</v>
      </c>
      <c r="Q1033">
        <v>0.52656664600916792</v>
      </c>
      <c r="R1033">
        <v>-0.67371772101320471</v>
      </c>
      <c r="S1033" s="2">
        <v>0</v>
      </c>
      <c r="T1033" s="2">
        <v>0</v>
      </c>
      <c r="U1033" s="2">
        <v>8.7369463552810361E-3</v>
      </c>
      <c r="V1033" s="2">
        <v>1.6313274957783983E-2</v>
      </c>
      <c r="W1033" s="2">
        <v>2.7700123402279571E-2</v>
      </c>
      <c r="X1033" s="2">
        <v>4.3847996169952823E-2</v>
      </c>
      <c r="Y1033" s="2">
        <v>6.5594427656964424E-2</v>
      </c>
      <c r="Z1033" s="2">
        <v>9.3497503182547279E-2</v>
      </c>
      <c r="AA1033" s="2">
        <v>0.12764260161500127</v>
      </c>
      <c r="AB1033" s="2">
        <v>0.16745681776529525</v>
      </c>
      <c r="AC1033" s="2">
        <v>0.21158600382206108</v>
      </c>
      <c r="AD1033" s="2">
        <v>0.25790088246083137</v>
      </c>
      <c r="AE1033" s="2">
        <v>0.30368777024817256</v>
      </c>
      <c r="AF1033" s="2">
        <v>0.34603554249842333</v>
      </c>
      <c r="AG1033" s="2">
        <v>0.38235664720003032</v>
      </c>
      <c r="AH1033" s="2">
        <v>0.41090200558097489</v>
      </c>
      <c r="AI1033" s="2">
        <v>0.43109239749363182</v>
      </c>
      <c r="AJ1033" s="2">
        <v>0.44475082275925465</v>
      </c>
      <c r="AK1033" s="2">
        <v>0.45051664807604963</v>
      </c>
      <c r="AL1033" s="2">
        <v>0.4543424842744182</v>
      </c>
      <c r="AM1033" s="2">
        <v>0.45265075733720533</v>
      </c>
      <c r="AN1033" s="2">
        <v>0.44916146816289276</v>
      </c>
      <c r="AO1033" s="2">
        <v>0.44569907641169204</v>
      </c>
      <c r="AP1033" s="2">
        <v>0.44226337474298616</v>
      </c>
      <c r="AQ1033" s="2">
        <v>0.43885415741445755</v>
      </c>
      <c r="AR1033" s="2">
        <v>6.4725897295881865</v>
      </c>
    </row>
    <row r="1034" spans="1:44" x14ac:dyDescent="0.25">
      <c r="A1034" t="s">
        <v>435</v>
      </c>
      <c r="B1034" t="s">
        <v>476</v>
      </c>
      <c r="C1034" t="s">
        <v>45</v>
      </c>
      <c r="D1034" t="s">
        <v>477</v>
      </c>
      <c r="E1034" t="s">
        <v>145</v>
      </c>
      <c r="F1034" t="s">
        <v>477</v>
      </c>
      <c r="G1034" t="s">
        <v>33</v>
      </c>
      <c r="H1034" t="s">
        <v>450</v>
      </c>
      <c r="I1034" t="s">
        <v>135</v>
      </c>
      <c r="J1034" t="s">
        <v>39</v>
      </c>
      <c r="K1034" t="s">
        <v>33</v>
      </c>
      <c r="L1034">
        <v>0.10091851851851852</v>
      </c>
      <c r="M1034">
        <v>1</v>
      </c>
      <c r="N1034">
        <v>3.2426727002102926</v>
      </c>
      <c r="O1034">
        <v>3.1523474906593334</v>
      </c>
      <c r="P1034">
        <v>-0.68880560164319704</v>
      </c>
      <c r="Q1034">
        <v>0.52656664600916792</v>
      </c>
      <c r="R1034">
        <v>-0.67371772101320471</v>
      </c>
      <c r="S1034" s="2">
        <v>0</v>
      </c>
      <c r="T1034" s="2">
        <v>0</v>
      </c>
      <c r="U1034" s="2">
        <v>5.3751583053926579E-3</v>
      </c>
      <c r="V1034" s="2">
        <v>1.0029283471192583E-2</v>
      </c>
      <c r="W1034" s="2">
        <v>1.7017964536898106E-2</v>
      </c>
      <c r="X1034" s="2">
        <v>2.691986153900933E-2</v>
      </c>
      <c r="Y1034" s="2">
        <v>4.0242706180925646E-2</v>
      </c>
      <c r="Z1034" s="2">
        <v>5.7321481226551854E-2</v>
      </c>
      <c r="AA1034" s="2">
        <v>7.8200620408725927E-2</v>
      </c>
      <c r="AB1034" s="2">
        <v>0.10252140403653646</v>
      </c>
      <c r="AC1034" s="2">
        <v>0.12944813795437785</v>
      </c>
      <c r="AD1034" s="2">
        <v>0.15767355508644873</v>
      </c>
      <c r="AE1034" s="2">
        <v>0.1855369848848846</v>
      </c>
      <c r="AF1034" s="2">
        <v>0.21126184144295604</v>
      </c>
      <c r="AG1034" s="2">
        <v>0.2332739035917375</v>
      </c>
      <c r="AH1034" s="2">
        <v>0.25051453753770575</v>
      </c>
      <c r="AI1034" s="2">
        <v>0.26264080233628256</v>
      </c>
      <c r="AJ1034" s="2">
        <v>0.27077324697847999</v>
      </c>
      <c r="AK1034" s="2">
        <v>0.27409240215394426</v>
      </c>
      <c r="AL1034" s="2">
        <v>0.27622734003846083</v>
      </c>
      <c r="AM1034" s="2">
        <v>0.27500698482745883</v>
      </c>
      <c r="AN1034" s="2">
        <v>0.27269685298561125</v>
      </c>
      <c r="AO1034" s="2">
        <v>0.27040612686587684</v>
      </c>
      <c r="AP1034" s="2">
        <v>0.26813464345502647</v>
      </c>
      <c r="AQ1034" s="2">
        <v>0.2658822411091859</v>
      </c>
      <c r="AR1034" s="2">
        <v>3.94119808095367</v>
      </c>
    </row>
    <row r="1035" spans="1:44" x14ac:dyDescent="0.25">
      <c r="A1035" t="s">
        <v>435</v>
      </c>
      <c r="B1035" t="s">
        <v>476</v>
      </c>
      <c r="C1035" t="s">
        <v>45</v>
      </c>
      <c r="D1035" t="s">
        <v>477</v>
      </c>
      <c r="E1035" t="s">
        <v>145</v>
      </c>
      <c r="F1035" t="s">
        <v>477</v>
      </c>
      <c r="G1035" t="s">
        <v>33</v>
      </c>
      <c r="H1035" t="s">
        <v>450</v>
      </c>
      <c r="I1035" t="s">
        <v>256</v>
      </c>
      <c r="J1035" t="s">
        <v>40</v>
      </c>
      <c r="K1035" t="s">
        <v>33</v>
      </c>
      <c r="L1035">
        <v>0.10091851851851852</v>
      </c>
      <c r="M1035">
        <v>1</v>
      </c>
      <c r="N1035">
        <v>2.7221264772067415</v>
      </c>
      <c r="O1035">
        <v>1.4737622038640086</v>
      </c>
      <c r="P1035">
        <v>-0.41470332290347733</v>
      </c>
      <c r="Q1035">
        <v>1.3498045353129324</v>
      </c>
      <c r="R1035">
        <v>-0.25661544227348493</v>
      </c>
      <c r="S1035" s="2">
        <v>0</v>
      </c>
      <c r="T1035" s="2">
        <v>0</v>
      </c>
      <c r="U1035" s="2">
        <v>0.14060586490550814</v>
      </c>
      <c r="V1035" s="2">
        <v>0.26253361776613571</v>
      </c>
      <c r="W1035" s="2">
        <v>0.44578502037071777</v>
      </c>
      <c r="X1035" s="2">
        <v>0.70565677928456372</v>
      </c>
      <c r="Y1035" s="2">
        <v>1.0556275452137187</v>
      </c>
      <c r="Z1035" s="2">
        <v>1.5046787249118561</v>
      </c>
      <c r="AA1035" s="2">
        <v>2.0541843418802994</v>
      </c>
      <c r="AB1035" s="2">
        <v>2.6949244894907021</v>
      </c>
      <c r="AC1035" s="2">
        <v>3.4051065280169146</v>
      </c>
      <c r="AD1035" s="2">
        <v>4.1504634644323115</v>
      </c>
      <c r="AE1035" s="2">
        <v>4.8873233118982577</v>
      </c>
      <c r="AF1035" s="2">
        <v>5.5688366120765194</v>
      </c>
      <c r="AG1035" s="2">
        <v>6.1533612426765529</v>
      </c>
      <c r="AH1035" s="2">
        <v>6.6127488411553239</v>
      </c>
      <c r="AI1035" s="2">
        <v>6.9376778726749393</v>
      </c>
      <c r="AJ1035" s="2">
        <v>7.1574863297291964</v>
      </c>
      <c r="AK1035" s="2">
        <v>7.2502771999709479</v>
      </c>
      <c r="AL1035" s="2">
        <v>7.3118473396723633</v>
      </c>
      <c r="AM1035" s="2">
        <v>7.2846219545643294</v>
      </c>
      <c r="AN1035" s="2">
        <v>7.228467950372341</v>
      </c>
      <c r="AO1035" s="2">
        <v>7.1727468131439984</v>
      </c>
      <c r="AP1035" s="2">
        <v>7.1174552060948484</v>
      </c>
      <c r="AQ1035" s="2">
        <v>7.0625898181622713</v>
      </c>
      <c r="AR1035" s="2">
        <v>104.16500686846462</v>
      </c>
    </row>
    <row r="1036" spans="1:44" x14ac:dyDescent="0.25">
      <c r="A1036" t="s">
        <v>435</v>
      </c>
      <c r="B1036" t="s">
        <v>476</v>
      </c>
      <c r="C1036" t="s">
        <v>45</v>
      </c>
      <c r="D1036" t="s">
        <v>477</v>
      </c>
      <c r="E1036" t="s">
        <v>145</v>
      </c>
      <c r="F1036" t="s">
        <v>477</v>
      </c>
      <c r="G1036" t="s">
        <v>33</v>
      </c>
      <c r="H1036" t="s">
        <v>451</v>
      </c>
      <c r="I1036" t="s">
        <v>135</v>
      </c>
      <c r="J1036" t="s">
        <v>39</v>
      </c>
      <c r="K1036" t="s">
        <v>31</v>
      </c>
      <c r="L1036">
        <v>0.10091851851851852</v>
      </c>
      <c r="M1036">
        <v>1</v>
      </c>
      <c r="N1036">
        <v>3.2426727002102926</v>
      </c>
      <c r="O1036">
        <v>3.1523474906593334</v>
      </c>
      <c r="P1036">
        <v>-0.68880560164319704</v>
      </c>
      <c r="Q1036">
        <v>0.52656664600916792</v>
      </c>
      <c r="R1036">
        <v>-0.67371772101320471</v>
      </c>
      <c r="S1036" s="2">
        <v>0</v>
      </c>
      <c r="T1036" s="2">
        <v>0</v>
      </c>
      <c r="U1036" s="2">
        <v>2.28543500261019E-3</v>
      </c>
      <c r="V1036" s="2">
        <v>4.2672723489011882E-3</v>
      </c>
      <c r="W1036" s="2">
        <v>7.2458761935656887E-3</v>
      </c>
      <c r="X1036" s="2">
        <v>1.1469882172339865E-2</v>
      </c>
      <c r="Y1036" s="2">
        <v>1.715837488836067E-2</v>
      </c>
      <c r="Z1036" s="2">
        <v>2.4457339869197094E-2</v>
      </c>
      <c r="AA1036" s="2">
        <v>3.3389110759369907E-2</v>
      </c>
      <c r="AB1036" s="2">
        <v>4.380382540808346E-2</v>
      </c>
      <c r="AC1036" s="2">
        <v>5.5347262021937543E-2</v>
      </c>
      <c r="AD1036" s="2">
        <v>6.7462438249236673E-2</v>
      </c>
      <c r="AE1036" s="2">
        <v>7.9439501144503655E-2</v>
      </c>
      <c r="AF1036" s="2">
        <v>9.051695052414728E-2</v>
      </c>
      <c r="AG1036" s="2">
        <v>0.1000179272548041</v>
      </c>
      <c r="AH1036" s="2">
        <v>0.10748490239153821</v>
      </c>
      <c r="AI1036" s="2">
        <v>0.11276636189892227</v>
      </c>
      <c r="AJ1036" s="2">
        <v>0.11633917119787396</v>
      </c>
      <c r="AK1036" s="2">
        <v>0.11784741200216525</v>
      </c>
      <c r="AL1036" s="2">
        <v>0.11884818499612096</v>
      </c>
      <c r="AM1036" s="2">
        <v>0.11840565830545079</v>
      </c>
      <c r="AN1036" s="2">
        <v>0.11749292022867612</v>
      </c>
      <c r="AO1036" s="2">
        <v>0.11658721805549524</v>
      </c>
      <c r="AP1036" s="2">
        <v>0.11568849754916635</v>
      </c>
      <c r="AQ1036" s="2">
        <v>0.11479670489103529</v>
      </c>
      <c r="AR1036" s="2">
        <v>1.6931182273535017</v>
      </c>
    </row>
    <row r="1037" spans="1:44" x14ac:dyDescent="0.25">
      <c r="A1037" t="s">
        <v>435</v>
      </c>
      <c r="B1037" t="s">
        <v>476</v>
      </c>
      <c r="C1037" t="s">
        <v>45</v>
      </c>
      <c r="D1037" t="s">
        <v>477</v>
      </c>
      <c r="E1037" t="s">
        <v>145</v>
      </c>
      <c r="F1037" t="s">
        <v>477</v>
      </c>
      <c r="G1037" t="s">
        <v>33</v>
      </c>
      <c r="H1037" t="s">
        <v>451</v>
      </c>
      <c r="I1037" t="s">
        <v>135</v>
      </c>
      <c r="J1037" t="s">
        <v>39</v>
      </c>
      <c r="K1037" t="s">
        <v>33</v>
      </c>
      <c r="L1037">
        <v>0.10091851851851852</v>
      </c>
      <c r="M1037">
        <v>1</v>
      </c>
      <c r="N1037">
        <v>3.2426727002102926</v>
      </c>
      <c r="O1037">
        <v>3.1523474906593334</v>
      </c>
      <c r="P1037">
        <v>-0.68880560164319704</v>
      </c>
      <c r="Q1037">
        <v>0.52656664600916792</v>
      </c>
      <c r="R1037">
        <v>-0.67371772101320471</v>
      </c>
      <c r="S1037" s="2">
        <v>0</v>
      </c>
      <c r="T1037" s="2">
        <v>0</v>
      </c>
      <c r="U1037" s="2">
        <v>1.0295456470809998E-2</v>
      </c>
      <c r="V1037" s="2">
        <v>1.9223262384196863E-2</v>
      </c>
      <c r="W1037" s="2">
        <v>3.2641314611237676E-2</v>
      </c>
      <c r="X1037" s="2">
        <v>5.1669670104718388E-2</v>
      </c>
      <c r="Y1037" s="2">
        <v>7.7295263952464777E-2</v>
      </c>
      <c r="Z1037" s="2">
        <v>0.11017573360325059</v>
      </c>
      <c r="AA1037" s="2">
        <v>0.15041168794104559</v>
      </c>
      <c r="AB1037" s="2">
        <v>0.19732802605579278</v>
      </c>
      <c r="AC1037" s="2">
        <v>0.24932904513783036</v>
      </c>
      <c r="AD1037" s="2">
        <v>0.3039056440530894</v>
      </c>
      <c r="AE1037" s="2">
        <v>0.3578600682854754</v>
      </c>
      <c r="AF1037" s="2">
        <v>0.40776190218819836</v>
      </c>
      <c r="AG1037" s="2">
        <v>0.45056202218677166</v>
      </c>
      <c r="AH1037" s="2">
        <v>0.48419934611025506</v>
      </c>
      <c r="AI1037" s="2">
        <v>0.50799133161783561</v>
      </c>
      <c r="AJ1037" s="2">
        <v>0.52408616808172592</v>
      </c>
      <c r="AK1037" s="2">
        <v>0.53088051030994321</v>
      </c>
      <c r="AL1037" s="2">
        <v>0.53538880513550835</v>
      </c>
      <c r="AM1037" s="2">
        <v>0.53339530530910229</v>
      </c>
      <c r="AN1037" s="2">
        <v>0.52928359129056657</v>
      </c>
      <c r="AO1037" s="2">
        <v>0.52520357269942219</v>
      </c>
      <c r="AP1037" s="2">
        <v>0.52115500520930924</v>
      </c>
      <c r="AQ1037" s="2">
        <v>0.517137646377275</v>
      </c>
      <c r="AR1037" s="2">
        <v>7.6271803791158232</v>
      </c>
    </row>
    <row r="1038" spans="1:44" x14ac:dyDescent="0.25">
      <c r="A1038" t="s">
        <v>435</v>
      </c>
      <c r="B1038" t="s">
        <v>476</v>
      </c>
      <c r="C1038" t="s">
        <v>45</v>
      </c>
      <c r="D1038" t="s">
        <v>477</v>
      </c>
      <c r="E1038" t="s">
        <v>145</v>
      </c>
      <c r="F1038" t="s">
        <v>477</v>
      </c>
      <c r="G1038" t="s">
        <v>33</v>
      </c>
      <c r="H1038" t="s">
        <v>452</v>
      </c>
      <c r="I1038" t="s">
        <v>135</v>
      </c>
      <c r="J1038" t="s">
        <v>39</v>
      </c>
      <c r="K1038" t="s">
        <v>31</v>
      </c>
      <c r="L1038">
        <v>0.10091851851851852</v>
      </c>
      <c r="M1038">
        <v>1</v>
      </c>
      <c r="N1038">
        <v>3.2426727002102926</v>
      </c>
      <c r="O1038">
        <v>3.1523474906593334</v>
      </c>
      <c r="P1038">
        <v>-0.68880560164319704</v>
      </c>
      <c r="Q1038">
        <v>0.52656664600916792</v>
      </c>
      <c r="R1038">
        <v>-0.67371772101320471</v>
      </c>
      <c r="S1038" s="2">
        <v>0</v>
      </c>
      <c r="T1038" s="2">
        <v>0</v>
      </c>
      <c r="U1038" s="2">
        <v>5.1763540164841894E-2</v>
      </c>
      <c r="V1038" s="2">
        <v>9.6650800996041855E-2</v>
      </c>
      <c r="W1038" s="2">
        <v>0.16411414148586165</v>
      </c>
      <c r="X1038" s="2">
        <v>0.25978498878149253</v>
      </c>
      <c r="Y1038" s="2">
        <v>0.38862545934698894</v>
      </c>
      <c r="Z1038" s="2">
        <v>0.55394202556558325</v>
      </c>
      <c r="AA1038" s="2">
        <v>0.75624052921525553</v>
      </c>
      <c r="AB1038" s="2">
        <v>0.99212669504729323</v>
      </c>
      <c r="AC1038" s="2">
        <v>1.2535776416369384</v>
      </c>
      <c r="AD1038" s="2">
        <v>1.527978099549633</v>
      </c>
      <c r="AE1038" s="2">
        <v>1.799250384925466</v>
      </c>
      <c r="AF1038" s="2">
        <v>2.0501470392745502</v>
      </c>
      <c r="AG1038" s="2">
        <v>2.2653376660221469</v>
      </c>
      <c r="AH1038" s="2">
        <v>2.4344595473964898</v>
      </c>
      <c r="AI1038" s="2">
        <v>2.5540809940914189</v>
      </c>
      <c r="AJ1038" s="2">
        <v>2.6350026818385595</v>
      </c>
      <c r="AK1038" s="2">
        <v>2.6691633048105623</v>
      </c>
      <c r="AL1038" s="2">
        <v>2.6918301288547153</v>
      </c>
      <c r="AM1038" s="2">
        <v>2.6818072018844199</v>
      </c>
      <c r="AN1038" s="2">
        <v>2.6611343085213868</v>
      </c>
      <c r="AO1038" s="2">
        <v>2.6406207735640193</v>
      </c>
      <c r="AP1038" s="2">
        <v>2.6202653685872028</v>
      </c>
      <c r="AQ1038" s="2">
        <v>2.6000668746352167</v>
      </c>
      <c r="AR1038" s="2">
        <v>38.347970196196087</v>
      </c>
    </row>
    <row r="1039" spans="1:44" x14ac:dyDescent="0.25">
      <c r="A1039" t="s">
        <v>435</v>
      </c>
      <c r="B1039" t="s">
        <v>476</v>
      </c>
      <c r="C1039" t="s">
        <v>45</v>
      </c>
      <c r="D1039" t="s">
        <v>477</v>
      </c>
      <c r="E1039" t="s">
        <v>145</v>
      </c>
      <c r="F1039" t="s">
        <v>477</v>
      </c>
      <c r="G1039" t="s">
        <v>33</v>
      </c>
      <c r="H1039" t="s">
        <v>452</v>
      </c>
      <c r="I1039" t="s">
        <v>135</v>
      </c>
      <c r="J1039" t="s">
        <v>39</v>
      </c>
      <c r="K1039" t="s">
        <v>33</v>
      </c>
      <c r="L1039">
        <v>0.10091851851851852</v>
      </c>
      <c r="M1039">
        <v>1</v>
      </c>
      <c r="N1039">
        <v>3.2426727002102926</v>
      </c>
      <c r="O1039">
        <v>3.1523474906593334</v>
      </c>
      <c r="P1039">
        <v>-0.68880560164319704</v>
      </c>
      <c r="Q1039">
        <v>0.52656664600916792</v>
      </c>
      <c r="R1039">
        <v>-0.67371772101320471</v>
      </c>
      <c r="S1039" s="2">
        <v>0</v>
      </c>
      <c r="T1039" s="2">
        <v>0</v>
      </c>
      <c r="U1039" s="2">
        <v>0.10236068345220019</v>
      </c>
      <c r="V1039" s="2">
        <v>0.19112375263848327</v>
      </c>
      <c r="W1039" s="2">
        <v>0.32453027040205701</v>
      </c>
      <c r="X1039" s="2">
        <v>0.51371619710734218</v>
      </c>
      <c r="Y1039" s="2">
        <v>0.76849395344682814</v>
      </c>
      <c r="Z1039" s="2">
        <v>1.095401978868159</v>
      </c>
      <c r="AA1039" s="2">
        <v>1.4954405587062993</v>
      </c>
      <c r="AB1039" s="2">
        <v>1.9618976262599241</v>
      </c>
      <c r="AC1039" s="2">
        <v>2.4789081996657574</v>
      </c>
      <c r="AD1039" s="2">
        <v>3.021526002120805</v>
      </c>
      <c r="AE1039" s="2">
        <v>3.5579579471594185</v>
      </c>
      <c r="AF1039" s="2">
        <v>4.0540977577917294</v>
      </c>
      <c r="AG1039" s="2">
        <v>4.4796300833677192</v>
      </c>
      <c r="AH1039" s="2">
        <v>4.8140629932705385</v>
      </c>
      <c r="AI1039" s="2">
        <v>5.050610435741457</v>
      </c>
      <c r="AJ1039" s="2">
        <v>5.2106303887339465</v>
      </c>
      <c r="AK1039" s="2">
        <v>5.2781818874033153</v>
      </c>
      <c r="AL1039" s="2">
        <v>5.3230047799926092</v>
      </c>
      <c r="AM1039" s="2">
        <v>5.30318477441332</v>
      </c>
      <c r="AN1039" s="2">
        <v>5.2623048135985107</v>
      </c>
      <c r="AO1039" s="2">
        <v>5.2217399787442877</v>
      </c>
      <c r="AP1039" s="2">
        <v>5.181487840680739</v>
      </c>
      <c r="AQ1039" s="2">
        <v>5.1415459889633661</v>
      </c>
      <c r="AR1039" s="2">
        <v>75.831838892528822</v>
      </c>
    </row>
    <row r="1040" spans="1:44" x14ac:dyDescent="0.25">
      <c r="A1040" t="s">
        <v>435</v>
      </c>
      <c r="B1040" t="s">
        <v>476</v>
      </c>
      <c r="C1040" t="s">
        <v>45</v>
      </c>
      <c r="D1040" t="s">
        <v>477</v>
      </c>
      <c r="E1040" t="s">
        <v>145</v>
      </c>
      <c r="F1040" t="s">
        <v>477</v>
      </c>
      <c r="G1040" t="s">
        <v>33</v>
      </c>
      <c r="H1040" t="s">
        <v>452</v>
      </c>
      <c r="I1040" t="s">
        <v>135</v>
      </c>
      <c r="J1040" t="s">
        <v>40</v>
      </c>
      <c r="K1040" t="s">
        <v>33</v>
      </c>
      <c r="L1040">
        <v>0.10091851851851852</v>
      </c>
      <c r="M1040">
        <v>1</v>
      </c>
      <c r="N1040">
        <v>3.2426727002102926</v>
      </c>
      <c r="O1040">
        <v>1.9798085216903551</v>
      </c>
      <c r="P1040">
        <v>-0.68880560164319704</v>
      </c>
      <c r="Q1040">
        <v>1.3498045353129324</v>
      </c>
      <c r="R1040">
        <v>-0.5307177210132048</v>
      </c>
      <c r="S1040" s="2">
        <v>0</v>
      </c>
      <c r="T1040" s="2">
        <v>0</v>
      </c>
      <c r="U1040" s="2">
        <v>7.4951172420110882E-3</v>
      </c>
      <c r="V1040" s="2">
        <v>1.3994581566344233E-2</v>
      </c>
      <c r="W1040" s="2">
        <v>2.376295608050373E-2</v>
      </c>
      <c r="X1040" s="2">
        <v>3.7615644958424163E-2</v>
      </c>
      <c r="Y1040" s="2">
        <v>5.6271139333984012E-2</v>
      </c>
      <c r="Z1040" s="2">
        <v>8.0208200862411622E-2</v>
      </c>
      <c r="AA1040" s="2">
        <v>0.10950007305486933</v>
      </c>
      <c r="AB1040" s="2">
        <v>0.14365528081402537</v>
      </c>
      <c r="AC1040" s="2">
        <v>0.18151214863032569</v>
      </c>
      <c r="AD1040" s="2">
        <v>0.22124404480218127</v>
      </c>
      <c r="AE1040" s="2">
        <v>0.2605229962982602</v>
      </c>
      <c r="AF1040" s="2">
        <v>0.2968516522206765</v>
      </c>
      <c r="AG1040" s="2">
        <v>0.32801024322351063</v>
      </c>
      <c r="AH1040" s="2">
        <v>0.35249829649524456</v>
      </c>
      <c r="AI1040" s="2">
        <v>0.36981891955893603</v>
      </c>
      <c r="AJ1040" s="2">
        <v>0.38153599947956662</v>
      </c>
      <c r="AK1040" s="2">
        <v>0.38648229707474546</v>
      </c>
      <c r="AL1040" s="2">
        <v>0.38976434662494908</v>
      </c>
      <c r="AM1040" s="2">
        <v>0.38831307392390801</v>
      </c>
      <c r="AN1040" s="2">
        <v>0.38531973616157361</v>
      </c>
      <c r="AO1040" s="2">
        <v>0.38234947274713299</v>
      </c>
      <c r="AP1040" s="2">
        <v>0.37940210581040479</v>
      </c>
      <c r="AQ1040" s="2">
        <v>0.37647745885233203</v>
      </c>
      <c r="AR1040" s="2">
        <v>5.5526057858163211</v>
      </c>
    </row>
    <row r="1041" spans="1:44" x14ac:dyDescent="0.25">
      <c r="A1041" t="s">
        <v>435</v>
      </c>
      <c r="B1041" t="s">
        <v>476</v>
      </c>
      <c r="C1041" t="s">
        <v>45</v>
      </c>
      <c r="D1041" t="s">
        <v>477</v>
      </c>
      <c r="E1041" t="s">
        <v>145</v>
      </c>
      <c r="F1041" t="s">
        <v>477</v>
      </c>
      <c r="G1041" t="s">
        <v>33</v>
      </c>
      <c r="H1041" t="s">
        <v>452</v>
      </c>
      <c r="I1041" t="s">
        <v>256</v>
      </c>
      <c r="J1041" t="s">
        <v>40</v>
      </c>
      <c r="K1041" t="s">
        <v>33</v>
      </c>
      <c r="L1041">
        <v>0.10091851851851852</v>
      </c>
      <c r="M1041">
        <v>1</v>
      </c>
      <c r="N1041">
        <v>2.7221264772067415</v>
      </c>
      <c r="O1041">
        <v>1.4737622038640086</v>
      </c>
      <c r="P1041">
        <v>-0.41470332290347733</v>
      </c>
      <c r="Q1041">
        <v>1.3498045353129324</v>
      </c>
      <c r="R1041">
        <v>-0.25661544227348493</v>
      </c>
      <c r="S1041" s="2">
        <v>0</v>
      </c>
      <c r="T1041" s="2">
        <v>0</v>
      </c>
      <c r="U1041" s="2">
        <v>4.5196399919630738E-2</v>
      </c>
      <c r="V1041" s="2">
        <v>8.4388900767971564E-2</v>
      </c>
      <c r="W1041" s="2">
        <v>0.14329329770415872</v>
      </c>
      <c r="X1041" s="2">
        <v>0.22682656960274752</v>
      </c>
      <c r="Y1041" s="2">
        <v>0.3393212988072753</v>
      </c>
      <c r="Z1041" s="2">
        <v>0.48366447194346157</v>
      </c>
      <c r="AA1041" s="2">
        <v>0.66029775562106363</v>
      </c>
      <c r="AB1041" s="2">
        <v>0.86625749972864075</v>
      </c>
      <c r="AC1041" s="2">
        <v>1.094538670293894</v>
      </c>
      <c r="AD1041" s="2">
        <v>1.3341264727211977</v>
      </c>
      <c r="AE1041" s="2">
        <v>1.5709829678124243</v>
      </c>
      <c r="AF1041" s="2">
        <v>1.7900488487847708</v>
      </c>
      <c r="AG1041" s="2">
        <v>1.9779386568324486</v>
      </c>
      <c r="AH1041" s="2">
        <v>2.1256043721489357</v>
      </c>
      <c r="AI1041" s="2">
        <v>2.2300496772144682</v>
      </c>
      <c r="AJ1041" s="2">
        <v>2.3007049869159348</v>
      </c>
      <c r="AK1041" s="2">
        <v>2.3305317177081042</v>
      </c>
      <c r="AL1041" s="2">
        <v>2.3503228456167649</v>
      </c>
      <c r="AM1041" s="2">
        <v>2.3415715080097903</v>
      </c>
      <c r="AN1041" s="2">
        <v>2.3235213446524132</v>
      </c>
      <c r="AO1041" s="2">
        <v>2.3056103222079281</v>
      </c>
      <c r="AP1041" s="2">
        <v>2.2878373680991375</v>
      </c>
      <c r="AQ1041" s="2">
        <v>2.2702014180168781</v>
      </c>
      <c r="AR1041" s="2">
        <v>33.482837371130039</v>
      </c>
    </row>
    <row r="1042" spans="1:44" x14ac:dyDescent="0.25">
      <c r="A1042" t="s">
        <v>435</v>
      </c>
      <c r="B1042" t="s">
        <v>476</v>
      </c>
      <c r="C1042" t="s">
        <v>45</v>
      </c>
      <c r="D1042" t="s">
        <v>477</v>
      </c>
      <c r="E1042" t="s">
        <v>145</v>
      </c>
      <c r="F1042" t="s">
        <v>477</v>
      </c>
      <c r="G1042" t="s">
        <v>33</v>
      </c>
      <c r="H1042" t="s">
        <v>453</v>
      </c>
      <c r="I1042" t="s">
        <v>135</v>
      </c>
      <c r="J1042" t="s">
        <v>39</v>
      </c>
      <c r="K1042" t="s">
        <v>31</v>
      </c>
      <c r="L1042">
        <v>0.10091851851851852</v>
      </c>
      <c r="M1042">
        <v>1</v>
      </c>
      <c r="N1042">
        <v>3.2426727002102926</v>
      </c>
      <c r="O1042">
        <v>3.1523474906593334</v>
      </c>
      <c r="P1042">
        <v>-0.68880560164319704</v>
      </c>
      <c r="Q1042">
        <v>0.52656664600916792</v>
      </c>
      <c r="R1042">
        <v>-0.67371772101320471</v>
      </c>
      <c r="S1042" s="2">
        <v>0</v>
      </c>
      <c r="T1042" s="2">
        <v>0</v>
      </c>
      <c r="U1042" s="2">
        <v>1.5830837216705588E-2</v>
      </c>
      <c r="V1042" s="2">
        <v>2.9558702757965013E-2</v>
      </c>
      <c r="W1042" s="2">
        <v>5.0191008005798753E-2</v>
      </c>
      <c r="X1042" s="2">
        <v>7.9450011642302781E-2</v>
      </c>
      <c r="Y1042" s="2">
        <v>0.11885327714444602</v>
      </c>
      <c r="Z1042" s="2">
        <v>0.16941202256056512</v>
      </c>
      <c r="AA1042" s="2">
        <v>0.23128094942032953</v>
      </c>
      <c r="AB1042" s="2">
        <v>0.30342198693569161</v>
      </c>
      <c r="AC1042" s="2">
        <v>0.38338149825260653</v>
      </c>
      <c r="AD1042" s="2">
        <v>0.46730135704842768</v>
      </c>
      <c r="AE1042" s="2">
        <v>0.55026452721632402</v>
      </c>
      <c r="AF1042" s="2">
        <v>0.62699622061611471</v>
      </c>
      <c r="AG1042" s="2">
        <v>0.69280794392084855</v>
      </c>
      <c r="AH1042" s="2">
        <v>0.74453046840998094</v>
      </c>
      <c r="AI1042" s="2">
        <v>0.78111428095880775</v>
      </c>
      <c r="AJ1042" s="2">
        <v>0.80586255091767245</v>
      </c>
      <c r="AK1042" s="2">
        <v>0.81630989010214272</v>
      </c>
      <c r="AL1042" s="2">
        <v>0.82324208215314965</v>
      </c>
      <c r="AM1042" s="2">
        <v>0.82017677161224811</v>
      </c>
      <c r="AN1042" s="2">
        <v>0.81385438313985392</v>
      </c>
      <c r="AO1042" s="2">
        <v>0.80758073122935659</v>
      </c>
      <c r="AP1042" s="2">
        <v>0.80135544019165084</v>
      </c>
      <c r="AQ1042" s="2">
        <v>0.79517813723365727</v>
      </c>
      <c r="AR1042" s="2">
        <v>11.727955078686646</v>
      </c>
    </row>
    <row r="1043" spans="1:44" x14ac:dyDescent="0.25">
      <c r="A1043" t="s">
        <v>435</v>
      </c>
      <c r="B1043" t="s">
        <v>476</v>
      </c>
      <c r="C1043" t="s">
        <v>45</v>
      </c>
      <c r="D1043" t="s">
        <v>477</v>
      </c>
      <c r="E1043" t="s">
        <v>145</v>
      </c>
      <c r="F1043" t="s">
        <v>477</v>
      </c>
      <c r="G1043" t="s">
        <v>33</v>
      </c>
      <c r="H1043" t="s">
        <v>453</v>
      </c>
      <c r="I1043" t="s">
        <v>135</v>
      </c>
      <c r="J1043" t="s">
        <v>39</v>
      </c>
      <c r="K1043" t="s">
        <v>33</v>
      </c>
      <c r="L1043">
        <v>0.10091851851851852</v>
      </c>
      <c r="M1043">
        <v>1</v>
      </c>
      <c r="N1043">
        <v>3.2426727002102926</v>
      </c>
      <c r="O1043">
        <v>3.1523474906593334</v>
      </c>
      <c r="P1043">
        <v>-0.68880560164319704</v>
      </c>
      <c r="Q1043">
        <v>0.52656664600916792</v>
      </c>
      <c r="R1043">
        <v>-0.67371772101320471</v>
      </c>
      <c r="S1043" s="2">
        <v>0</v>
      </c>
      <c r="T1043" s="2">
        <v>0</v>
      </c>
      <c r="U1043" s="2">
        <v>1.440422428368743E-2</v>
      </c>
      <c r="V1043" s="2">
        <v>2.6894988447691309E-2</v>
      </c>
      <c r="W1043" s="2">
        <v>4.5667991303515267E-2</v>
      </c>
      <c r="X1043" s="2">
        <v>7.2290288338613909E-2</v>
      </c>
      <c r="Y1043" s="2">
        <v>0.10814268616401886</v>
      </c>
      <c r="Z1043" s="2">
        <v>0.15414527582536242</v>
      </c>
      <c r="AA1043" s="2">
        <v>0.2104388177574773</v>
      </c>
      <c r="AB1043" s="2">
        <v>0.27607878803855818</v>
      </c>
      <c r="AC1043" s="2">
        <v>0.34883266194028029</v>
      </c>
      <c r="AD1043" s="2">
        <v>0.42518999234569893</v>
      </c>
      <c r="AE1043" s="2">
        <v>0.50067684714849181</v>
      </c>
      <c r="AF1043" s="2">
        <v>0.57049378141848672</v>
      </c>
      <c r="AG1043" s="2">
        <v>0.63037481045067334</v>
      </c>
      <c r="AH1043" s="2">
        <v>0.67743630398139987</v>
      </c>
      <c r="AI1043" s="2">
        <v>0.71072332689068762</v>
      </c>
      <c r="AJ1043" s="2">
        <v>0.73324137986798399</v>
      </c>
      <c r="AK1043" s="2">
        <v>0.74274724583836116</v>
      </c>
      <c r="AL1043" s="2">
        <v>0.74905473594222827</v>
      </c>
      <c r="AM1043" s="2">
        <v>0.74626565915962428</v>
      </c>
      <c r="AN1043" s="2">
        <v>0.74051301952860948</v>
      </c>
      <c r="AO1043" s="2">
        <v>0.73480472451176548</v>
      </c>
      <c r="AP1043" s="2">
        <v>0.72914043227561531</v>
      </c>
      <c r="AQ1043" s="2">
        <v>0.72351980362172885</v>
      </c>
      <c r="AR1043" s="2">
        <v>10.671077785080559</v>
      </c>
    </row>
    <row r="1044" spans="1:44" x14ac:dyDescent="0.25">
      <c r="A1044" t="s">
        <v>435</v>
      </c>
      <c r="B1044" t="s">
        <v>476</v>
      </c>
      <c r="C1044" t="s">
        <v>45</v>
      </c>
      <c r="D1044" t="s">
        <v>477</v>
      </c>
      <c r="E1044" t="s">
        <v>145</v>
      </c>
      <c r="F1044" t="s">
        <v>477</v>
      </c>
      <c r="G1044" t="s">
        <v>33</v>
      </c>
      <c r="H1044" t="s">
        <v>453</v>
      </c>
      <c r="I1044" t="s">
        <v>135</v>
      </c>
      <c r="J1044" t="s">
        <v>40</v>
      </c>
      <c r="K1044" t="s">
        <v>33</v>
      </c>
      <c r="L1044">
        <v>0.10091851851851852</v>
      </c>
      <c r="M1044">
        <v>1</v>
      </c>
      <c r="N1044">
        <v>3.2426727002102926</v>
      </c>
      <c r="O1044">
        <v>1.9798085216903551</v>
      </c>
      <c r="P1044">
        <v>-0.68880560164319704</v>
      </c>
      <c r="Q1044">
        <v>1.3498045353129324</v>
      </c>
      <c r="R1044">
        <v>-0.5307177210132048</v>
      </c>
      <c r="S1044" s="2">
        <v>0</v>
      </c>
      <c r="T1044" s="2">
        <v>0</v>
      </c>
      <c r="U1044" s="2">
        <v>0.29333650079996104</v>
      </c>
      <c r="V1044" s="2">
        <v>0.54770612043549183</v>
      </c>
      <c r="W1044" s="2">
        <v>0.93001112060627189</v>
      </c>
      <c r="X1044" s="2">
        <v>1.4721639850529127</v>
      </c>
      <c r="Y1044" s="2">
        <v>2.202284310609254</v>
      </c>
      <c r="Z1044" s="2">
        <v>3.1391093983911076</v>
      </c>
      <c r="AA1044" s="2">
        <v>4.2855057806456607</v>
      </c>
      <c r="AB1044" s="2">
        <v>5.6222385901084548</v>
      </c>
      <c r="AC1044" s="2">
        <v>7.1038433172815481</v>
      </c>
      <c r="AD1044" s="2">
        <v>8.6588310535470665</v>
      </c>
      <c r="AE1044" s="2">
        <v>10.196091888156722</v>
      </c>
      <c r="AF1044" s="2">
        <v>11.617886966600089</v>
      </c>
      <c r="AG1044" s="2">
        <v>12.83734114716953</v>
      </c>
      <c r="AH1044" s="2">
        <v>13.795730405961974</v>
      </c>
      <c r="AI1044" s="2">
        <v>14.47360785565682</v>
      </c>
      <c r="AJ1044" s="2">
        <v>14.93217936461817</v>
      </c>
      <c r="AK1044" s="2">
        <v>15.125762677812048</v>
      </c>
      <c r="AL1044" s="2">
        <v>15.254212293664949</v>
      </c>
      <c r="AM1044" s="2">
        <v>15.197413815124316</v>
      </c>
      <c r="AN1044" s="2">
        <v>15.080263516261223</v>
      </c>
      <c r="AO1044" s="2">
        <v>14.964016278451185</v>
      </c>
      <c r="AP1044" s="2">
        <v>14.848665140386613</v>
      </c>
      <c r="AQ1044" s="2">
        <v>14.734203194421626</v>
      </c>
      <c r="AR1044" s="2">
        <v>217.31240472176299</v>
      </c>
    </row>
    <row r="1045" spans="1:44" x14ac:dyDescent="0.25">
      <c r="A1045" t="s">
        <v>435</v>
      </c>
      <c r="B1045" t="s">
        <v>476</v>
      </c>
      <c r="C1045" t="s">
        <v>45</v>
      </c>
      <c r="D1045" t="s">
        <v>477</v>
      </c>
      <c r="E1045" t="s">
        <v>145</v>
      </c>
      <c r="F1045" t="s">
        <v>477</v>
      </c>
      <c r="G1045" t="s">
        <v>33</v>
      </c>
      <c r="H1045" t="s">
        <v>453</v>
      </c>
      <c r="I1045" t="s">
        <v>256</v>
      </c>
      <c r="J1045" t="s">
        <v>40</v>
      </c>
      <c r="K1045" t="s">
        <v>33</v>
      </c>
      <c r="L1045">
        <v>0.10091851851851852</v>
      </c>
      <c r="M1045">
        <v>1</v>
      </c>
      <c r="N1045">
        <v>2.7221264772067415</v>
      </c>
      <c r="O1045">
        <v>1.4737622038640086</v>
      </c>
      <c r="P1045">
        <v>-0.41470332290347733</v>
      </c>
      <c r="Q1045">
        <v>1.3498045353129324</v>
      </c>
      <c r="R1045">
        <v>-0.25661544227348493</v>
      </c>
      <c r="S1045" s="2">
        <v>0</v>
      </c>
      <c r="T1045" s="2">
        <v>0</v>
      </c>
      <c r="U1045" s="2">
        <v>0.15100882133115875</v>
      </c>
      <c r="V1045" s="2">
        <v>0.28195759974387841</v>
      </c>
      <c r="W1045" s="2">
        <v>0.47876715909758294</v>
      </c>
      <c r="X1045" s="2">
        <v>0.75786595797917655</v>
      </c>
      <c r="Y1045" s="2">
        <v>1.1337298872600823</v>
      </c>
      <c r="Z1045" s="2">
        <v>1.6160048578607265</v>
      </c>
      <c r="AA1045" s="2">
        <v>2.2061665526735377</v>
      </c>
      <c r="AB1045" s="2">
        <v>2.894312915097494</v>
      </c>
      <c r="AC1045" s="2">
        <v>3.6570389410742483</v>
      </c>
      <c r="AD1045" s="2">
        <v>4.457542337676756</v>
      </c>
      <c r="AE1045" s="2">
        <v>5.2489199742132469</v>
      </c>
      <c r="AF1045" s="2">
        <v>5.9808561580316741</v>
      </c>
      <c r="AG1045" s="2">
        <v>6.6086278058591787</v>
      </c>
      <c r="AH1045" s="2">
        <v>7.1020039522030789</v>
      </c>
      <c r="AI1045" s="2">
        <v>7.4509733931223963</v>
      </c>
      <c r="AJ1045" s="2">
        <v>7.6870447407912224</v>
      </c>
      <c r="AK1045" s="2">
        <v>7.7867008963499966</v>
      </c>
      <c r="AL1045" s="2">
        <v>7.8528264042137952</v>
      </c>
      <c r="AM1045" s="2">
        <v>7.8235867041613538</v>
      </c>
      <c r="AN1045" s="2">
        <v>7.7632780535104287</v>
      </c>
      <c r="AO1045" s="2">
        <v>7.7034342961981839</v>
      </c>
      <c r="AP1045" s="2">
        <v>7.6440518485626692</v>
      </c>
      <c r="AQ1045" s="2">
        <v>7.5851271545668437</v>
      </c>
      <c r="AR1045" s="2">
        <v>111.87182641157872</v>
      </c>
    </row>
    <row r="1046" spans="1:44" x14ac:dyDescent="0.25">
      <c r="A1046" t="s">
        <v>435</v>
      </c>
      <c r="B1046" t="s">
        <v>476</v>
      </c>
      <c r="C1046" t="s">
        <v>45</v>
      </c>
      <c r="D1046" t="s">
        <v>477</v>
      </c>
      <c r="E1046" t="s">
        <v>145</v>
      </c>
      <c r="F1046" t="s">
        <v>477</v>
      </c>
      <c r="G1046" t="s">
        <v>33</v>
      </c>
      <c r="H1046" t="s">
        <v>454</v>
      </c>
      <c r="I1046" t="s">
        <v>135</v>
      </c>
      <c r="J1046" t="s">
        <v>39</v>
      </c>
      <c r="K1046" t="s">
        <v>31</v>
      </c>
      <c r="L1046">
        <v>0.10091851851851852</v>
      </c>
      <c r="M1046">
        <v>1</v>
      </c>
      <c r="N1046">
        <v>3.2426727002102926</v>
      </c>
      <c r="O1046">
        <v>3.1523474906593334</v>
      </c>
      <c r="P1046">
        <v>-0.68880560164319704</v>
      </c>
      <c r="Q1046">
        <v>0.52656664600916792</v>
      </c>
      <c r="R1046">
        <v>-0.67371772101320471</v>
      </c>
      <c r="S1046" s="2">
        <v>0</v>
      </c>
      <c r="T1046" s="2">
        <v>0</v>
      </c>
      <c r="U1046" s="2">
        <v>8.7171093191925188E-4</v>
      </c>
      <c r="V1046" s="2">
        <v>1.6276236041565405E-3</v>
      </c>
      <c r="W1046" s="2">
        <v>2.7637230908123963E-3</v>
      </c>
      <c r="X1046" s="2">
        <v>4.3748440301453438E-3</v>
      </c>
      <c r="Y1046" s="2">
        <v>6.5445497015098886E-3</v>
      </c>
      <c r="Z1046" s="2">
        <v>9.3285219248390172E-3</v>
      </c>
      <c r="AA1046" s="2">
        <v>1.2735279201886716E-2</v>
      </c>
      <c r="AB1046" s="2">
        <v>1.6707661090557584E-2</v>
      </c>
      <c r="AC1046" s="2">
        <v>2.1110560265866076E-2</v>
      </c>
      <c r="AD1046" s="2">
        <v>2.573153244289289E-2</v>
      </c>
      <c r="AE1046" s="2">
        <v>3.0299825413887271E-2</v>
      </c>
      <c r="AF1046" s="2">
        <v>3.4524987674458683E-2</v>
      </c>
      <c r="AG1046" s="2">
        <v>3.8148851521194647E-2</v>
      </c>
      <c r="AH1046" s="2">
        <v>4.0996906201212407E-2</v>
      </c>
      <c r="AI1046" s="2">
        <v>4.3011361210353975E-2</v>
      </c>
      <c r="AJ1046" s="2">
        <v>4.4374102622821154E-2</v>
      </c>
      <c r="AK1046" s="2">
        <v>4.4949376037101509E-2</v>
      </c>
      <c r="AL1046" s="2">
        <v>4.5331091009614126E-2</v>
      </c>
      <c r="AM1046" s="2">
        <v>4.5162302418609523E-2</v>
      </c>
      <c r="AN1046" s="2">
        <v>4.4814165736273448E-2</v>
      </c>
      <c r="AO1046" s="2">
        <v>4.4468712689250407E-2</v>
      </c>
      <c r="AP1046" s="2">
        <v>4.4125922590554909E-2</v>
      </c>
      <c r="AQ1046" s="2">
        <v>4.3785774912668496E-2</v>
      </c>
      <c r="AR1046" s="2">
        <v>0.64578938632258631</v>
      </c>
    </row>
    <row r="1047" spans="1:44" x14ac:dyDescent="0.25">
      <c r="A1047" t="s">
        <v>435</v>
      </c>
      <c r="B1047" t="s">
        <v>476</v>
      </c>
      <c r="C1047" t="s">
        <v>45</v>
      </c>
      <c r="D1047" t="s">
        <v>477</v>
      </c>
      <c r="E1047" t="s">
        <v>145</v>
      </c>
      <c r="F1047" t="s">
        <v>477</v>
      </c>
      <c r="G1047" t="s">
        <v>33</v>
      </c>
      <c r="H1047" t="s">
        <v>454</v>
      </c>
      <c r="I1047" t="s">
        <v>135</v>
      </c>
      <c r="J1047" t="s">
        <v>39</v>
      </c>
      <c r="K1047" t="s">
        <v>33</v>
      </c>
      <c r="L1047">
        <v>0.10091851851851852</v>
      </c>
      <c r="M1047">
        <v>1</v>
      </c>
      <c r="N1047">
        <v>3.2426727002102926</v>
      </c>
      <c r="O1047">
        <v>3.1523474906593334</v>
      </c>
      <c r="P1047">
        <v>-0.68880560164319704</v>
      </c>
      <c r="Q1047">
        <v>0.52656664600916792</v>
      </c>
      <c r="R1047">
        <v>-0.67371772101320471</v>
      </c>
      <c r="S1047" s="2">
        <v>0</v>
      </c>
      <c r="T1047" s="2">
        <v>0</v>
      </c>
      <c r="U1047" s="2">
        <v>6.9954838764432195E-3</v>
      </c>
      <c r="V1047" s="2">
        <v>1.3061686234365348E-2</v>
      </c>
      <c r="W1047" s="2">
        <v>2.217888936893915E-2</v>
      </c>
      <c r="X1047" s="2">
        <v>3.5108141649037562E-2</v>
      </c>
      <c r="Y1047" s="2">
        <v>5.2520038741162199E-2</v>
      </c>
      <c r="Z1047" s="2">
        <v>7.4861427483283338E-2</v>
      </c>
      <c r="AA1047" s="2">
        <v>0.10220066888762355</v>
      </c>
      <c r="AB1047" s="2">
        <v>0.13407905016717167</v>
      </c>
      <c r="AC1047" s="2">
        <v>0.16941233447354392</v>
      </c>
      <c r="AD1047" s="2">
        <v>0.20649565553126153</v>
      </c>
      <c r="AE1047" s="2">
        <v>0.24315622574012569</v>
      </c>
      <c r="AF1047" s="2">
        <v>0.27706317056196894</v>
      </c>
      <c r="AG1047" s="2">
        <v>0.306144693096569</v>
      </c>
      <c r="AH1047" s="2">
        <v>0.32900034382177806</v>
      </c>
      <c r="AI1047" s="2">
        <v>0.34516635369989618</v>
      </c>
      <c r="AJ1047" s="2">
        <v>0.35610235923751932</v>
      </c>
      <c r="AK1047" s="2">
        <v>0.36071893079442796</v>
      </c>
      <c r="AL1047" s="2">
        <v>0.3637821950461792</v>
      </c>
      <c r="AM1047" s="2">
        <v>0.36242766589704861</v>
      </c>
      <c r="AN1047" s="2">
        <v>0.35963386756447707</v>
      </c>
      <c r="AO1047" s="2">
        <v>0.35686160541652256</v>
      </c>
      <c r="AP1047" s="2">
        <v>0.35411071344004003</v>
      </c>
      <c r="AQ1047" s="2">
        <v>0.35138102690160805</v>
      </c>
      <c r="AR1047" s="2">
        <v>5.1824625276309906</v>
      </c>
    </row>
    <row r="1048" spans="1:44" x14ac:dyDescent="0.25">
      <c r="A1048" t="s">
        <v>435</v>
      </c>
      <c r="B1048" t="s">
        <v>476</v>
      </c>
      <c r="C1048" t="s">
        <v>45</v>
      </c>
      <c r="D1048" t="s">
        <v>477</v>
      </c>
      <c r="E1048" t="s">
        <v>145</v>
      </c>
      <c r="F1048" t="s">
        <v>477</v>
      </c>
      <c r="G1048" t="s">
        <v>33</v>
      </c>
      <c r="H1048" t="s">
        <v>455</v>
      </c>
      <c r="I1048" t="s">
        <v>135</v>
      </c>
      <c r="J1048" t="s">
        <v>39</v>
      </c>
      <c r="K1048" t="s">
        <v>31</v>
      </c>
      <c r="L1048">
        <v>0.10091851851851852</v>
      </c>
      <c r="M1048">
        <v>1</v>
      </c>
      <c r="N1048">
        <v>3.2426727002102926</v>
      </c>
      <c r="O1048">
        <v>3.1523474906593334</v>
      </c>
      <c r="P1048">
        <v>-0.68880560164319704</v>
      </c>
      <c r="Q1048">
        <v>0.52656664600916792</v>
      </c>
      <c r="R1048">
        <v>-0.67371772101320471</v>
      </c>
      <c r="S1048" s="2">
        <v>0</v>
      </c>
      <c r="T1048" s="2">
        <v>0</v>
      </c>
      <c r="U1048" s="2">
        <v>2.0538801638410225E-4</v>
      </c>
      <c r="V1048" s="2">
        <v>3.8349224638222309E-4</v>
      </c>
      <c r="W1048" s="2">
        <v>6.5117412512784583E-4</v>
      </c>
      <c r="X1048" s="2">
        <v>1.0307780990689895E-3</v>
      </c>
      <c r="Y1048" s="2">
        <v>1.5419929154276079E-3</v>
      </c>
      <c r="Z1048" s="2">
        <v>2.1979380363165765E-3</v>
      </c>
      <c r="AA1048" s="2">
        <v>3.0006205470135367E-3</v>
      </c>
      <c r="AB1048" s="2">
        <v>3.9365726001074621E-3</v>
      </c>
      <c r="AC1048" s="2">
        <v>4.973960907220693E-3</v>
      </c>
      <c r="AD1048" s="2">
        <v>6.0627304458979727E-3</v>
      </c>
      <c r="AE1048" s="2">
        <v>7.1390879828032074E-3</v>
      </c>
      <c r="AF1048" s="2">
        <v>8.1345988383216706E-3</v>
      </c>
      <c r="AG1048" s="2">
        <v>8.9884348748715814E-3</v>
      </c>
      <c r="AH1048" s="2">
        <v>9.659478772410416E-3</v>
      </c>
      <c r="AI1048" s="2">
        <v>1.01341142315662E-2</v>
      </c>
      <c r="AJ1048" s="2">
        <v>1.0455196307403958E-2</v>
      </c>
      <c r="AK1048" s="2">
        <v>1.0590739250725102E-2</v>
      </c>
      <c r="AL1048" s="2">
        <v>1.0680676956170492E-2</v>
      </c>
      <c r="AM1048" s="2">
        <v>1.0640907862282476E-2</v>
      </c>
      <c r="AN1048" s="2">
        <v>1.0558881699712599E-2</v>
      </c>
      <c r="AO1048" s="2">
        <v>1.0477487841400311E-2</v>
      </c>
      <c r="AP1048" s="2">
        <v>1.0396721413185206E-2</v>
      </c>
      <c r="AQ1048" s="2">
        <v>1.0316577578479667E-2</v>
      </c>
      <c r="AR1048" s="2">
        <v>0.1521575515482799</v>
      </c>
    </row>
    <row r="1049" spans="1:44" x14ac:dyDescent="0.25">
      <c r="A1049" t="s">
        <v>435</v>
      </c>
      <c r="B1049" t="s">
        <v>476</v>
      </c>
      <c r="C1049" t="s">
        <v>45</v>
      </c>
      <c r="D1049" t="s">
        <v>477</v>
      </c>
      <c r="E1049" t="s">
        <v>145</v>
      </c>
      <c r="F1049" t="s">
        <v>477</v>
      </c>
      <c r="G1049" t="s">
        <v>33</v>
      </c>
      <c r="H1049" t="s">
        <v>455</v>
      </c>
      <c r="I1049" t="s">
        <v>135</v>
      </c>
      <c r="J1049" t="s">
        <v>39</v>
      </c>
      <c r="K1049" t="s">
        <v>33</v>
      </c>
      <c r="L1049">
        <v>0.10091851851851852</v>
      </c>
      <c r="M1049">
        <v>1</v>
      </c>
      <c r="N1049">
        <v>3.2426727002102926</v>
      </c>
      <c r="O1049">
        <v>3.1523474906593334</v>
      </c>
      <c r="P1049">
        <v>-0.68880560164319704</v>
      </c>
      <c r="Q1049">
        <v>0.52656664600916792</v>
      </c>
      <c r="R1049">
        <v>-0.67371772101320471</v>
      </c>
      <c r="S1049" s="2">
        <v>0</v>
      </c>
      <c r="T1049" s="2">
        <v>0</v>
      </c>
      <c r="U1049" s="2">
        <v>5.2221501245623119E-3</v>
      </c>
      <c r="V1049" s="2">
        <v>9.7505887513338833E-3</v>
      </c>
      <c r="W1049" s="2">
        <v>1.6556608795951864E-2</v>
      </c>
      <c r="X1049" s="2">
        <v>2.6208335195090186E-2</v>
      </c>
      <c r="Y1049" s="2">
        <v>3.9206369666257589E-2</v>
      </c>
      <c r="Z1049" s="2">
        <v>5.5884284741645127E-2</v>
      </c>
      <c r="AA1049" s="2">
        <v>7.6293112126106774E-2</v>
      </c>
      <c r="AB1049" s="2">
        <v>0.10009042132017482</v>
      </c>
      <c r="AC1049" s="2">
        <v>0.12646682619805047</v>
      </c>
      <c r="AD1049" s="2">
        <v>0.15414963886707289</v>
      </c>
      <c r="AE1049" s="2">
        <v>0.18151686673352946</v>
      </c>
      <c r="AF1049" s="2">
        <v>0.20682850482066417</v>
      </c>
      <c r="AG1049" s="2">
        <v>0.22853795040139491</v>
      </c>
      <c r="AH1049" s="2">
        <v>0.24559976362113864</v>
      </c>
      <c r="AI1049" s="2">
        <v>0.257667739473813</v>
      </c>
      <c r="AJ1049" s="2">
        <v>0.26583150107904308</v>
      </c>
      <c r="AK1049" s="2">
        <v>0.26927778587603107</v>
      </c>
      <c r="AL1049" s="2">
        <v>0.27156452201557363</v>
      </c>
      <c r="AM1049" s="2">
        <v>0.27055336185999457</v>
      </c>
      <c r="AN1049" s="2">
        <v>0.26846778285386319</v>
      </c>
      <c r="AO1049" s="2">
        <v>0.26639828067546328</v>
      </c>
      <c r="AP1049" s="2">
        <v>0.26434473139547421</v>
      </c>
      <c r="AQ1049" s="2">
        <v>0.26230701203989243</v>
      </c>
      <c r="AR1049" s="2">
        <v>3.8687241386321221</v>
      </c>
    </row>
    <row r="1050" spans="1:44" x14ac:dyDescent="0.25">
      <c r="A1050" t="s">
        <v>435</v>
      </c>
      <c r="B1050" t="s">
        <v>476</v>
      </c>
      <c r="C1050" t="s">
        <v>45</v>
      </c>
      <c r="D1050" t="s">
        <v>477</v>
      </c>
      <c r="E1050" t="s">
        <v>145</v>
      </c>
      <c r="F1050" t="s">
        <v>477</v>
      </c>
      <c r="G1050" t="s">
        <v>33</v>
      </c>
      <c r="H1050" t="s">
        <v>457</v>
      </c>
      <c r="I1050" t="s">
        <v>135</v>
      </c>
      <c r="J1050" t="s">
        <v>39</v>
      </c>
      <c r="K1050" t="s">
        <v>31</v>
      </c>
      <c r="L1050">
        <v>0.10091851851851852</v>
      </c>
      <c r="M1050">
        <v>1</v>
      </c>
      <c r="N1050">
        <v>3.2426727002102926</v>
      </c>
      <c r="O1050">
        <v>3.1523474906593334</v>
      </c>
      <c r="P1050">
        <v>-0.68880560164319704</v>
      </c>
      <c r="Q1050">
        <v>0.52656664600916792</v>
      </c>
      <c r="R1050">
        <v>-0.67371772101320471</v>
      </c>
      <c r="S1050" s="2">
        <v>0</v>
      </c>
      <c r="T1050" s="2">
        <v>0</v>
      </c>
      <c r="U1050" s="2">
        <v>1.368687398004928E-2</v>
      </c>
      <c r="V1050" s="2">
        <v>2.5555580802453154E-2</v>
      </c>
      <c r="W1050" s="2">
        <v>4.339366213570154E-2</v>
      </c>
      <c r="X1050" s="2">
        <v>6.8690131935292553E-2</v>
      </c>
      <c r="Y1050" s="2">
        <v>0.10275703073210098</v>
      </c>
      <c r="Z1050" s="2">
        <v>0.14646862776435324</v>
      </c>
      <c r="AA1050" s="2">
        <v>0.1999586734024259</v>
      </c>
      <c r="AB1050" s="2">
        <v>0.26232968232296644</v>
      </c>
      <c r="AC1050" s="2">
        <v>0.33146031261875847</v>
      </c>
      <c r="AD1050" s="2">
        <v>0.40401494229746332</v>
      </c>
      <c r="AE1050" s="2">
        <v>0.4757424472632229</v>
      </c>
      <c r="AF1050" s="2">
        <v>0.54208240158544063</v>
      </c>
      <c r="AG1050" s="2">
        <v>0.59898127250120226</v>
      </c>
      <c r="AH1050" s="2">
        <v>0.64369903852470289</v>
      </c>
      <c r="AI1050" s="2">
        <v>0.67532832162649314</v>
      </c>
      <c r="AJ1050" s="2">
        <v>0.69672494440231059</v>
      </c>
      <c r="AK1050" s="2">
        <v>0.70575740509199425</v>
      </c>
      <c r="AL1050" s="2">
        <v>0.71175077345961957</v>
      </c>
      <c r="AM1050" s="2">
        <v>0.70910059656065172</v>
      </c>
      <c r="AN1050" s="2">
        <v>0.70363444634446104</v>
      </c>
      <c r="AO1050" s="2">
        <v>0.69821043231928603</v>
      </c>
      <c r="AP1050" s="2">
        <v>0.69282822967542979</v>
      </c>
      <c r="AQ1050" s="2">
        <v>0.68748751610701408</v>
      </c>
      <c r="AR1050" s="2">
        <v>10.139643343453393</v>
      </c>
    </row>
    <row r="1051" spans="1:44" x14ac:dyDescent="0.25">
      <c r="A1051" t="s">
        <v>435</v>
      </c>
      <c r="B1051" t="s">
        <v>476</v>
      </c>
      <c r="C1051" t="s">
        <v>45</v>
      </c>
      <c r="D1051" t="s">
        <v>477</v>
      </c>
      <c r="E1051" t="s">
        <v>145</v>
      </c>
      <c r="F1051" t="s">
        <v>477</v>
      </c>
      <c r="G1051" t="s">
        <v>33</v>
      </c>
      <c r="H1051" t="s">
        <v>457</v>
      </c>
      <c r="I1051" t="s">
        <v>135</v>
      </c>
      <c r="J1051" t="s">
        <v>39</v>
      </c>
      <c r="K1051" t="s">
        <v>33</v>
      </c>
      <c r="L1051">
        <v>0.10091851851851852</v>
      </c>
      <c r="M1051">
        <v>1</v>
      </c>
      <c r="N1051">
        <v>3.2426727002102926</v>
      </c>
      <c r="O1051">
        <v>3.1523474906593334</v>
      </c>
      <c r="P1051">
        <v>-0.68880560164319704</v>
      </c>
      <c r="Q1051">
        <v>0.52656664600916792</v>
      </c>
      <c r="R1051">
        <v>-0.67371772101320471</v>
      </c>
      <c r="S1051" s="2">
        <v>0</v>
      </c>
      <c r="T1051" s="2">
        <v>0</v>
      </c>
      <c r="U1051" s="2">
        <v>4.0047050144544072E-3</v>
      </c>
      <c r="V1051" s="2">
        <v>7.477424190217497E-3</v>
      </c>
      <c r="W1051" s="2">
        <v>1.2696749937472471E-2</v>
      </c>
      <c r="X1051" s="2">
        <v>2.0098359655081038E-2</v>
      </c>
      <c r="Y1051" s="2">
        <v>3.0066149278727319E-2</v>
      </c>
      <c r="Z1051" s="2">
        <v>4.2855925240720988E-2</v>
      </c>
      <c r="AA1051" s="2">
        <v>5.8506822173244183E-2</v>
      </c>
      <c r="AB1051" s="2">
        <v>7.6756240743529727E-2</v>
      </c>
      <c r="AC1051" s="2">
        <v>9.6983487827231984E-2</v>
      </c>
      <c r="AD1051" s="2">
        <v>0.11821257853996359</v>
      </c>
      <c r="AE1051" s="2">
        <v>0.13919965705251422</v>
      </c>
      <c r="AF1051" s="2">
        <v>0.15861036749816598</v>
      </c>
      <c r="AG1051" s="2">
        <v>0.17525866819891692</v>
      </c>
      <c r="AH1051" s="2">
        <v>0.18834284374481219</v>
      </c>
      <c r="AI1051" s="2">
        <v>0.19759740025099279</v>
      </c>
      <c r="AJ1051" s="2">
        <v>0.203857935903444</v>
      </c>
      <c r="AK1051" s="2">
        <v>0.20650078486001103</v>
      </c>
      <c r="AL1051" s="2">
        <v>0.20825441190372376</v>
      </c>
      <c r="AM1051" s="2">
        <v>0.20747898453207128</v>
      </c>
      <c r="AN1051" s="2">
        <v>0.20587961865696733</v>
      </c>
      <c r="AO1051" s="2">
        <v>0.20429258160257838</v>
      </c>
      <c r="AP1051" s="2">
        <v>0.20271777833135088</v>
      </c>
      <c r="AQ1051" s="2">
        <v>0.20115511453833457</v>
      </c>
      <c r="AR1051" s="2">
        <v>2.9668045896745272</v>
      </c>
    </row>
    <row r="1052" spans="1:44" x14ac:dyDescent="0.25">
      <c r="A1052" t="s">
        <v>435</v>
      </c>
      <c r="B1052" t="s">
        <v>476</v>
      </c>
      <c r="C1052" t="s">
        <v>45</v>
      </c>
      <c r="D1052" t="s">
        <v>477</v>
      </c>
      <c r="E1052" t="s">
        <v>145</v>
      </c>
      <c r="F1052" t="s">
        <v>477</v>
      </c>
      <c r="G1052" t="s">
        <v>33</v>
      </c>
      <c r="H1052" t="s">
        <v>457</v>
      </c>
      <c r="I1052" t="s">
        <v>256</v>
      </c>
      <c r="J1052" t="s">
        <v>39</v>
      </c>
      <c r="K1052" t="s">
        <v>33</v>
      </c>
      <c r="L1052">
        <v>0.10091851851851852</v>
      </c>
      <c r="M1052">
        <v>1</v>
      </c>
      <c r="N1052">
        <v>2.7221264772067415</v>
      </c>
      <c r="O1052">
        <v>2.6463011728329859</v>
      </c>
      <c r="P1052">
        <v>-0.41470332290347733</v>
      </c>
      <c r="Q1052">
        <v>1.3498045353129324</v>
      </c>
      <c r="R1052">
        <v>-0.39961544227348506</v>
      </c>
      <c r="S1052" s="2">
        <v>0</v>
      </c>
      <c r="T1052" s="2">
        <v>0</v>
      </c>
      <c r="U1052" s="2">
        <v>1.1013207501577034E-2</v>
      </c>
      <c r="V1052" s="2">
        <v>2.0563418251018484E-2</v>
      </c>
      <c r="W1052" s="2">
        <v>3.4916914267671739E-2</v>
      </c>
      <c r="X1052" s="2">
        <v>5.5271837631937971E-2</v>
      </c>
      <c r="Y1052" s="2">
        <v>8.2683927925993994E-2</v>
      </c>
      <c r="Z1052" s="2">
        <v>0.11785667000305515</v>
      </c>
      <c r="AA1052" s="2">
        <v>0.16089768672751834</v>
      </c>
      <c r="AB1052" s="2">
        <v>0.21108481231411275</v>
      </c>
      <c r="AC1052" s="2">
        <v>0.26671109902298068</v>
      </c>
      <c r="AD1052" s="2">
        <v>0.32509252293441637</v>
      </c>
      <c r="AE1052" s="2">
        <v>0.38280839705657033</v>
      </c>
      <c r="AF1052" s="2">
        <v>0.43618915322198182</v>
      </c>
      <c r="AG1052" s="2">
        <v>0.4819730972338982</v>
      </c>
      <c r="AH1052" s="2">
        <v>0.5179554579206157</v>
      </c>
      <c r="AI1052" s="2">
        <v>0.54340610928438959</v>
      </c>
      <c r="AJ1052" s="2">
        <v>0.56062300240450869</v>
      </c>
      <c r="AK1052" s="2">
        <v>0.56789101436767309</v>
      </c>
      <c r="AL1052" s="2">
        <v>0.57271360640455926</v>
      </c>
      <c r="AM1052" s="2">
        <v>0.57058112910208925</v>
      </c>
      <c r="AN1052" s="2">
        <v>0.56618276562965231</v>
      </c>
      <c r="AO1052" s="2">
        <v>0.56181830724143356</v>
      </c>
      <c r="AP1052" s="2">
        <v>0.55748749257778374</v>
      </c>
      <c r="AQ1052" s="2">
        <v>0.55319006229376211</v>
      </c>
      <c r="AR1052" s="2">
        <v>8.1589116913192008</v>
      </c>
    </row>
    <row r="1053" spans="1:44" x14ac:dyDescent="0.25">
      <c r="A1053" t="s">
        <v>435</v>
      </c>
      <c r="B1053" t="s">
        <v>476</v>
      </c>
      <c r="C1053" t="s">
        <v>45</v>
      </c>
      <c r="D1053" t="s">
        <v>477</v>
      </c>
      <c r="E1053" t="s">
        <v>145</v>
      </c>
      <c r="F1053" t="s">
        <v>477</v>
      </c>
      <c r="G1053" t="s">
        <v>33</v>
      </c>
      <c r="H1053" t="s">
        <v>457</v>
      </c>
      <c r="I1053" t="s">
        <v>256</v>
      </c>
      <c r="J1053" t="s">
        <v>40</v>
      </c>
      <c r="K1053" t="s">
        <v>33</v>
      </c>
      <c r="L1053">
        <v>0.10091851851851852</v>
      </c>
      <c r="M1053">
        <v>1</v>
      </c>
      <c r="N1053">
        <v>2.7221264772067415</v>
      </c>
      <c r="O1053">
        <v>1.4737622038640086</v>
      </c>
      <c r="P1053">
        <v>-0.41470332290347733</v>
      </c>
      <c r="Q1053">
        <v>1.3498045353129324</v>
      </c>
      <c r="R1053">
        <v>-0.25661544227348493</v>
      </c>
      <c r="S1053" s="2">
        <v>0</v>
      </c>
      <c r="T1053" s="2">
        <v>0</v>
      </c>
      <c r="U1053" s="2">
        <v>0.10077507346729002</v>
      </c>
      <c r="V1053" s="2">
        <v>0.18816316542553643</v>
      </c>
      <c r="W1053" s="2">
        <v>0.3195031601894196</v>
      </c>
      <c r="X1053" s="2">
        <v>0.50575851741947775</v>
      </c>
      <c r="Y1053" s="2">
        <v>0.75658965928981026</v>
      </c>
      <c r="Z1053" s="2">
        <v>1.0784337420744414</v>
      </c>
      <c r="AA1053" s="2">
        <v>1.4722755562683107</v>
      </c>
      <c r="AB1053" s="2">
        <v>1.9315070079028089</v>
      </c>
      <c r="AC1053" s="2">
        <v>2.440508870348058</v>
      </c>
      <c r="AD1053" s="2">
        <v>2.9747212951078268</v>
      </c>
      <c r="AE1053" s="2">
        <v>3.5028436839810091</v>
      </c>
      <c r="AF1053" s="2">
        <v>3.9912980805351945</v>
      </c>
      <c r="AG1053" s="2">
        <v>4.4102387316363805</v>
      </c>
      <c r="AH1053" s="2">
        <v>4.7394911352809359</v>
      </c>
      <c r="AI1053" s="2">
        <v>4.9723743585024573</v>
      </c>
      <c r="AJ1053" s="2">
        <v>5.1299155352041605</v>
      </c>
      <c r="AK1053" s="2">
        <v>5.1964206327830604</v>
      </c>
      <c r="AL1053" s="2">
        <v>5.2405491999375746</v>
      </c>
      <c r="AM1053" s="2">
        <v>5.2210362145704199</v>
      </c>
      <c r="AN1053" s="2">
        <v>5.1807895015209082</v>
      </c>
      <c r="AO1053" s="2">
        <v>5.140853032998483</v>
      </c>
      <c r="AP1053" s="2">
        <v>5.1012244174620891</v>
      </c>
      <c r="AQ1053" s="2">
        <v>5.0619012818060316</v>
      </c>
      <c r="AR1053" s="2">
        <v>74.657171853711674</v>
      </c>
    </row>
    <row r="1054" spans="1:44" x14ac:dyDescent="0.25">
      <c r="A1054" t="s">
        <v>435</v>
      </c>
      <c r="B1054" t="s">
        <v>458</v>
      </c>
      <c r="C1054" t="s">
        <v>44</v>
      </c>
      <c r="D1054" t="s">
        <v>459</v>
      </c>
      <c r="E1054" t="s">
        <v>134</v>
      </c>
      <c r="F1054" t="s">
        <v>459</v>
      </c>
      <c r="G1054" t="s">
        <v>33</v>
      </c>
      <c r="H1054" t="s">
        <v>450</v>
      </c>
      <c r="I1054" t="s">
        <v>135</v>
      </c>
      <c r="J1054" t="s">
        <v>39</v>
      </c>
      <c r="K1054" t="s">
        <v>31</v>
      </c>
      <c r="L1054">
        <v>8.2450165482258364E-2</v>
      </c>
      <c r="M1054">
        <v>1</v>
      </c>
      <c r="N1054">
        <v>2.3213699912174603</v>
      </c>
      <c r="O1054">
        <v>5.3471683850504323</v>
      </c>
      <c r="P1054">
        <v>-1.1565307758200241</v>
      </c>
      <c r="Q1054">
        <v>1.247676144441489</v>
      </c>
      <c r="R1054">
        <v>-1.8625523936223531</v>
      </c>
      <c r="S1054" s="2">
        <v>0.17805996493565246</v>
      </c>
      <c r="T1054" s="2">
        <v>0.35318647851399587</v>
      </c>
      <c r="U1054" s="2">
        <v>0.62226455428487015</v>
      </c>
      <c r="V1054" s="2">
        <v>1.0043959841575376</v>
      </c>
      <c r="W1054" s="2">
        <v>1.512780852676499</v>
      </c>
      <c r="X1054" s="2">
        <v>2.1499238489165107</v>
      </c>
      <c r="Y1054" s="2">
        <v>2.9019432444147206</v>
      </c>
      <c r="Z1054" s="2">
        <v>3.7329671774462576</v>
      </c>
      <c r="AA1054" s="2">
        <v>4.5814462847562032</v>
      </c>
      <c r="AB1054" s="2">
        <v>5.3609670850250781</v>
      </c>
      <c r="AC1054" s="2">
        <v>5.9682922819651774</v>
      </c>
      <c r="AD1054" s="2">
        <v>6.3001965168232656</v>
      </c>
      <c r="AE1054" s="2">
        <v>6.2777307566181522</v>
      </c>
      <c r="AF1054" s="2">
        <v>5.872202037872337</v>
      </c>
      <c r="AG1054" s="2">
        <v>5.1231797727426622</v>
      </c>
      <c r="AH1054" s="2">
        <v>4.2041533031696146</v>
      </c>
      <c r="AI1054" s="2">
        <v>1.5227050551237669</v>
      </c>
      <c r="AJ1054" s="2">
        <v>0</v>
      </c>
      <c r="AK1054" s="2">
        <v>0</v>
      </c>
      <c r="AL1054" s="2">
        <v>0</v>
      </c>
      <c r="AM1054" s="2">
        <v>0</v>
      </c>
      <c r="AN1054" s="2">
        <v>0</v>
      </c>
      <c r="AO1054" s="2">
        <v>0</v>
      </c>
      <c r="AP1054" s="2">
        <v>0</v>
      </c>
      <c r="AQ1054" s="2">
        <v>0</v>
      </c>
      <c r="AR1054" s="2">
        <v>57.666395199442306</v>
      </c>
    </row>
    <row r="1055" spans="1:44" x14ac:dyDescent="0.25">
      <c r="A1055" t="s">
        <v>435</v>
      </c>
      <c r="B1055" t="s">
        <v>458</v>
      </c>
      <c r="C1055" t="s">
        <v>44</v>
      </c>
      <c r="D1055" t="s">
        <v>459</v>
      </c>
      <c r="E1055" t="s">
        <v>134</v>
      </c>
      <c r="F1055" t="s">
        <v>459</v>
      </c>
      <c r="G1055" t="s">
        <v>33</v>
      </c>
      <c r="H1055" t="s">
        <v>450</v>
      </c>
      <c r="I1055" t="s">
        <v>135</v>
      </c>
      <c r="J1055" t="s">
        <v>39</v>
      </c>
      <c r="K1055" t="s">
        <v>33</v>
      </c>
      <c r="L1055">
        <v>8.2450165482258364E-2</v>
      </c>
      <c r="M1055">
        <v>1</v>
      </c>
      <c r="N1055">
        <v>2.3213699912174603</v>
      </c>
      <c r="O1055">
        <v>5.3471683850504323</v>
      </c>
      <c r="P1055">
        <v>-1.1565307758200241</v>
      </c>
      <c r="Q1055">
        <v>1.247676144441489</v>
      </c>
      <c r="R1055">
        <v>-1.8625523936223531</v>
      </c>
      <c r="S1055" s="2">
        <v>0.10969922346989795</v>
      </c>
      <c r="T1055" s="2">
        <v>0.21743952895410362</v>
      </c>
      <c r="U1055" s="2">
        <v>0.3828306082129071</v>
      </c>
      <c r="V1055" s="2">
        <v>0.61749538756084221</v>
      </c>
      <c r="W1055" s="2">
        <v>0.92939841924417221</v>
      </c>
      <c r="X1055" s="2">
        <v>1.3199155580091526</v>
      </c>
      <c r="Y1055" s="2">
        <v>1.7803653985584325</v>
      </c>
      <c r="Z1055" s="2">
        <v>2.2886087937935686</v>
      </c>
      <c r="AA1055" s="2">
        <v>2.8068367246056001</v>
      </c>
      <c r="AB1055" s="2">
        <v>3.282122996752268</v>
      </c>
      <c r="AC1055" s="2">
        <v>3.6513961637916394</v>
      </c>
      <c r="AD1055" s="2">
        <v>3.8517680632661415</v>
      </c>
      <c r="AE1055" s="2">
        <v>3.8353577279394786</v>
      </c>
      <c r="AF1055" s="2">
        <v>3.5851005561130802</v>
      </c>
      <c r="AG1055" s="2">
        <v>3.1256266973297615</v>
      </c>
      <c r="AH1055" s="2">
        <v>2.5631452418734999</v>
      </c>
      <c r="AI1055" s="2">
        <v>0.59040035638886601</v>
      </c>
      <c r="AJ1055" s="2">
        <v>0</v>
      </c>
      <c r="AK1055" s="2">
        <v>0</v>
      </c>
      <c r="AL1055" s="2">
        <v>0</v>
      </c>
      <c r="AM1055" s="2">
        <v>0</v>
      </c>
      <c r="AN1055" s="2">
        <v>0</v>
      </c>
      <c r="AO1055" s="2">
        <v>0</v>
      </c>
      <c r="AP1055" s="2">
        <v>0</v>
      </c>
      <c r="AQ1055" s="2">
        <v>0</v>
      </c>
      <c r="AR1055" s="2">
        <v>34.93750744586341</v>
      </c>
    </row>
    <row r="1056" spans="1:44" x14ac:dyDescent="0.25">
      <c r="A1056" t="s">
        <v>435</v>
      </c>
      <c r="B1056" t="s">
        <v>458</v>
      </c>
      <c r="C1056" t="s">
        <v>44</v>
      </c>
      <c r="D1056" t="s">
        <v>459</v>
      </c>
      <c r="E1056" t="s">
        <v>134</v>
      </c>
      <c r="F1056" t="s">
        <v>459</v>
      </c>
      <c r="G1056" t="s">
        <v>33</v>
      </c>
      <c r="H1056" t="s">
        <v>450</v>
      </c>
      <c r="I1056" t="s">
        <v>256</v>
      </c>
      <c r="J1056" t="s">
        <v>40</v>
      </c>
      <c r="K1056" t="s">
        <v>33</v>
      </c>
      <c r="L1056">
        <v>8.2450165482258364E-2</v>
      </c>
      <c r="M1056">
        <v>1</v>
      </c>
      <c r="N1056">
        <v>1.1488405989818342</v>
      </c>
      <c r="O1056">
        <v>1.4737622038640097</v>
      </c>
      <c r="P1056">
        <v>0.30640617552884364</v>
      </c>
      <c r="Q1056">
        <v>1.3498045353129324</v>
      </c>
      <c r="R1056">
        <v>-0.25661544227348526</v>
      </c>
      <c r="S1056" s="2">
        <v>2.8655635912985451</v>
      </c>
      <c r="T1056" s="2">
        <v>5.6839184155427578</v>
      </c>
      <c r="U1056" s="2">
        <v>10.014259250015769</v>
      </c>
      <c r="V1056" s="2">
        <v>16.163996013862096</v>
      </c>
      <c r="W1056" s="2">
        <v>24.345560972169803</v>
      </c>
      <c r="X1056" s="2">
        <v>34.599262713243625</v>
      </c>
      <c r="Y1056" s="2">
        <v>46.701699105774516</v>
      </c>
      <c r="Z1056" s="2">
        <v>60.075575298850637</v>
      </c>
      <c r="AA1056" s="2">
        <v>73.730361981323156</v>
      </c>
      <c r="AB1056" s="2">
        <v>86.275385365538881</v>
      </c>
      <c r="AC1056" s="2">
        <v>96.0492217978817</v>
      </c>
      <c r="AD1056" s="2">
        <v>101.39063973846619</v>
      </c>
      <c r="AE1056" s="2">
        <v>101.02909263539965</v>
      </c>
      <c r="AF1056" s="2">
        <v>94.502817444432921</v>
      </c>
      <c r="AG1056" s="2">
        <v>82.448614621225445</v>
      </c>
      <c r="AH1056" s="2">
        <v>67.658491577003403</v>
      </c>
      <c r="AI1056" s="2">
        <v>24.505273646581813</v>
      </c>
      <c r="AJ1056" s="2">
        <v>0</v>
      </c>
      <c r="AK1056" s="2">
        <v>0</v>
      </c>
      <c r="AL1056" s="2">
        <v>0</v>
      </c>
      <c r="AM1056" s="2">
        <v>0</v>
      </c>
      <c r="AN1056" s="2">
        <v>0</v>
      </c>
      <c r="AO1056" s="2">
        <v>0</v>
      </c>
      <c r="AP1056" s="2">
        <v>0</v>
      </c>
      <c r="AQ1056" s="2">
        <v>0</v>
      </c>
      <c r="AR1056" s="2">
        <v>928.03973416861072</v>
      </c>
    </row>
    <row r="1057" spans="1:44" x14ac:dyDescent="0.25">
      <c r="A1057" t="s">
        <v>435</v>
      </c>
      <c r="B1057" t="s">
        <v>458</v>
      </c>
      <c r="C1057" t="s">
        <v>44</v>
      </c>
      <c r="D1057" t="s">
        <v>459</v>
      </c>
      <c r="E1057" t="s">
        <v>134</v>
      </c>
      <c r="F1057" t="s">
        <v>459</v>
      </c>
      <c r="G1057" t="s">
        <v>33</v>
      </c>
      <c r="H1057" t="s">
        <v>451</v>
      </c>
      <c r="I1057" t="s">
        <v>135</v>
      </c>
      <c r="J1057" t="s">
        <v>39</v>
      </c>
      <c r="K1057" t="s">
        <v>31</v>
      </c>
      <c r="L1057">
        <v>8.2450165482258364E-2</v>
      </c>
      <c r="M1057">
        <v>1</v>
      </c>
      <c r="N1057">
        <v>2.3213699912174603</v>
      </c>
      <c r="O1057">
        <v>5.3471683850504323</v>
      </c>
      <c r="P1057">
        <v>-1.1565307758200241</v>
      </c>
      <c r="Q1057">
        <v>1.247676144441489</v>
      </c>
      <c r="R1057">
        <v>-1.8625523936223531</v>
      </c>
      <c r="S1057" s="2">
        <v>4.657742646908964E-2</v>
      </c>
      <c r="T1057" s="2">
        <v>9.2387512481018744E-2</v>
      </c>
      <c r="U1057" s="2">
        <v>0.16277371239513871</v>
      </c>
      <c r="V1057" s="2">
        <v>0.26273272666796732</v>
      </c>
      <c r="W1057" s="2">
        <v>0.39571747054341944</v>
      </c>
      <c r="X1057" s="2">
        <v>0.56238312763477694</v>
      </c>
      <c r="Y1057" s="2">
        <v>0.75909847636465744</v>
      </c>
      <c r="Z1057" s="2">
        <v>0.97648005424387341</v>
      </c>
      <c r="AA1057" s="2">
        <v>1.1984276057081771</v>
      </c>
      <c r="AB1057" s="2">
        <v>1.4023368492530159</v>
      </c>
      <c r="AC1057" s="2">
        <v>1.5612026825329759</v>
      </c>
      <c r="AD1057" s="2">
        <v>1.6480231258564859</v>
      </c>
      <c r="AE1057" s="2">
        <v>1.6421464691110799</v>
      </c>
      <c r="AF1057" s="2">
        <v>1.5360671262036878</v>
      </c>
      <c r="AG1057" s="2">
        <v>1.3401357752658389</v>
      </c>
      <c r="AH1057" s="2">
        <v>1.0997342463474495</v>
      </c>
      <c r="AI1057" s="2">
        <v>0.3983134713340486</v>
      </c>
      <c r="AJ1057" s="2">
        <v>0</v>
      </c>
      <c r="AK1057" s="2">
        <v>0</v>
      </c>
      <c r="AL1057" s="2">
        <v>0</v>
      </c>
      <c r="AM1057" s="2">
        <v>0</v>
      </c>
      <c r="AN1057" s="2">
        <v>0</v>
      </c>
      <c r="AO1057" s="2">
        <v>0</v>
      </c>
      <c r="AP1057" s="2">
        <v>0</v>
      </c>
      <c r="AQ1057" s="2">
        <v>0</v>
      </c>
      <c r="AR1057" s="2">
        <v>15.084537858412702</v>
      </c>
    </row>
    <row r="1058" spans="1:44" x14ac:dyDescent="0.25">
      <c r="A1058" t="s">
        <v>435</v>
      </c>
      <c r="B1058" t="s">
        <v>458</v>
      </c>
      <c r="C1058" t="s">
        <v>44</v>
      </c>
      <c r="D1058" t="s">
        <v>459</v>
      </c>
      <c r="E1058" t="s">
        <v>134</v>
      </c>
      <c r="F1058" t="s">
        <v>459</v>
      </c>
      <c r="G1058" t="s">
        <v>33</v>
      </c>
      <c r="H1058" t="s">
        <v>451</v>
      </c>
      <c r="I1058" t="s">
        <v>135</v>
      </c>
      <c r="J1058" t="s">
        <v>39</v>
      </c>
      <c r="K1058" t="s">
        <v>33</v>
      </c>
      <c r="L1058">
        <v>8.2450165482258364E-2</v>
      </c>
      <c r="M1058">
        <v>1</v>
      </c>
      <c r="N1058">
        <v>2.3213699912174603</v>
      </c>
      <c r="O1058">
        <v>5.3471683850504323</v>
      </c>
      <c r="P1058">
        <v>-1.1565307758200241</v>
      </c>
      <c r="Q1058">
        <v>1.247676144441489</v>
      </c>
      <c r="R1058">
        <v>-1.8625523936223531</v>
      </c>
      <c r="S1058" s="2">
        <v>0.2098225791532855</v>
      </c>
      <c r="T1058" s="2">
        <v>0.41618843332162725</v>
      </c>
      <c r="U1058" s="2">
        <v>0.73326507585747813</v>
      </c>
      <c r="V1058" s="2">
        <v>1.1835617060988206</v>
      </c>
      <c r="W1058" s="2">
        <v>1.7826330602558387</v>
      </c>
      <c r="X1058" s="2">
        <v>2.533430617746335</v>
      </c>
      <c r="Y1058" s="2">
        <v>3.4195964057366433</v>
      </c>
      <c r="Z1058" s="2">
        <v>4.3988596838676779</v>
      </c>
      <c r="AA1058" s="2">
        <v>5.398691817485064</v>
      </c>
      <c r="AB1058" s="2">
        <v>6.317264753715599</v>
      </c>
      <c r="AC1058" s="2">
        <v>7.0329255663682346</v>
      </c>
      <c r="AD1058" s="2">
        <v>7.4240353962223997</v>
      </c>
      <c r="AE1058" s="2">
        <v>7.3975621586780704</v>
      </c>
      <c r="AF1058" s="2">
        <v>6.9196945946879094</v>
      </c>
      <c r="AG1058" s="2">
        <v>6.037060569855095</v>
      </c>
      <c r="AH1058" s="2">
        <v>4.9540967254803014</v>
      </c>
      <c r="AI1058" s="2">
        <v>1.7943275574117736</v>
      </c>
      <c r="AJ1058" s="2">
        <v>0</v>
      </c>
      <c r="AK1058" s="2">
        <v>0</v>
      </c>
      <c r="AL1058" s="2">
        <v>0</v>
      </c>
      <c r="AM1058" s="2">
        <v>0</v>
      </c>
      <c r="AN1058" s="2">
        <v>0</v>
      </c>
      <c r="AO1058" s="2">
        <v>0</v>
      </c>
      <c r="AP1058" s="2">
        <v>0</v>
      </c>
      <c r="AQ1058" s="2">
        <v>0</v>
      </c>
      <c r="AR1058" s="2">
        <v>67.953016701942161</v>
      </c>
    </row>
    <row r="1059" spans="1:44" x14ac:dyDescent="0.25">
      <c r="A1059" t="s">
        <v>435</v>
      </c>
      <c r="B1059" t="s">
        <v>458</v>
      </c>
      <c r="C1059" t="s">
        <v>44</v>
      </c>
      <c r="D1059" t="s">
        <v>459</v>
      </c>
      <c r="E1059" t="s">
        <v>134</v>
      </c>
      <c r="F1059" t="s">
        <v>459</v>
      </c>
      <c r="G1059" t="s">
        <v>33</v>
      </c>
      <c r="H1059" t="s">
        <v>452</v>
      </c>
      <c r="I1059" t="s">
        <v>135</v>
      </c>
      <c r="J1059" t="s">
        <v>39</v>
      </c>
      <c r="K1059" t="s">
        <v>31</v>
      </c>
      <c r="L1059">
        <v>8.2450165482258364E-2</v>
      </c>
      <c r="M1059">
        <v>1</v>
      </c>
      <c r="N1059">
        <v>2.3213699912174603</v>
      </c>
      <c r="O1059">
        <v>5.3471683850504323</v>
      </c>
      <c r="P1059">
        <v>-1.1565307758200241</v>
      </c>
      <c r="Q1059">
        <v>1.247676144441489</v>
      </c>
      <c r="R1059">
        <v>-1.8625523936223531</v>
      </c>
      <c r="S1059" s="2">
        <v>1.0549468626559402</v>
      </c>
      <c r="T1059" s="2">
        <v>2.0925139886188786</v>
      </c>
      <c r="U1059" s="2">
        <v>3.6867132907841014</v>
      </c>
      <c r="V1059" s="2">
        <v>5.950716618045691</v>
      </c>
      <c r="W1059" s="2">
        <v>8.9627301397806125</v>
      </c>
      <c r="X1059" s="2">
        <v>12.737593316854186</v>
      </c>
      <c r="Y1059" s="2">
        <v>17.193061463351647</v>
      </c>
      <c r="Z1059" s="2">
        <v>22.116605569745445</v>
      </c>
      <c r="AA1059" s="2">
        <v>27.143565855900803</v>
      </c>
      <c r="AB1059" s="2">
        <v>31.761970801200444</v>
      </c>
      <c r="AC1059" s="2">
        <v>35.360173302000639</v>
      </c>
      <c r="AD1059" s="2">
        <v>37.326596980632125</v>
      </c>
      <c r="AE1059" s="2">
        <v>37.193494723456404</v>
      </c>
      <c r="AF1059" s="2">
        <v>34.790870137337997</v>
      </c>
      <c r="AG1059" s="2">
        <v>30.353159004779066</v>
      </c>
      <c r="AH1059" s="2">
        <v>24.908228747018889</v>
      </c>
      <c r="AI1059" s="2">
        <v>9.021527782697726</v>
      </c>
      <c r="AJ1059" s="2">
        <v>0</v>
      </c>
      <c r="AK1059" s="2">
        <v>0</v>
      </c>
      <c r="AL1059" s="2">
        <v>0</v>
      </c>
      <c r="AM1059" s="2">
        <v>0</v>
      </c>
      <c r="AN1059" s="2">
        <v>0</v>
      </c>
      <c r="AO1059" s="2">
        <v>0</v>
      </c>
      <c r="AP1059" s="2">
        <v>0</v>
      </c>
      <c r="AQ1059" s="2">
        <v>0</v>
      </c>
      <c r="AR1059" s="2">
        <v>341.65446858486058</v>
      </c>
    </row>
    <row r="1060" spans="1:44" x14ac:dyDescent="0.25">
      <c r="A1060" t="s">
        <v>435</v>
      </c>
      <c r="B1060" t="s">
        <v>458</v>
      </c>
      <c r="C1060" t="s">
        <v>44</v>
      </c>
      <c r="D1060" t="s">
        <v>459</v>
      </c>
      <c r="E1060" t="s">
        <v>134</v>
      </c>
      <c r="F1060" t="s">
        <v>459</v>
      </c>
      <c r="G1060" t="s">
        <v>33</v>
      </c>
      <c r="H1060" t="s">
        <v>452</v>
      </c>
      <c r="I1060" t="s">
        <v>135</v>
      </c>
      <c r="J1060" t="s">
        <v>39</v>
      </c>
      <c r="K1060" t="s">
        <v>33</v>
      </c>
      <c r="L1060">
        <v>8.2450165482258364E-2</v>
      </c>
      <c r="M1060">
        <v>1</v>
      </c>
      <c r="N1060">
        <v>2.3213699912174603</v>
      </c>
      <c r="O1060">
        <v>5.3471683850504323</v>
      </c>
      <c r="P1060">
        <v>-1.1565307758200241</v>
      </c>
      <c r="Q1060">
        <v>1.247676144441489</v>
      </c>
      <c r="R1060">
        <v>-1.8625523936223531</v>
      </c>
      <c r="S1060" s="2">
        <v>2.0861224236853979</v>
      </c>
      <c r="T1060" s="2">
        <v>4.1378769946225153</v>
      </c>
      <c r="U1060" s="2">
        <v>7.2903532280677679</v>
      </c>
      <c r="V1060" s="2">
        <v>11.767344700802356</v>
      </c>
      <c r="W1060" s="2">
        <v>17.723501518327407</v>
      </c>
      <c r="X1060" s="2">
        <v>25.188168222214063</v>
      </c>
      <c r="Y1060" s="2">
        <v>33.998708674482998</v>
      </c>
      <c r="Z1060" s="2">
        <v>43.734853809313378</v>
      </c>
      <c r="AA1060" s="2">
        <v>53.675501008853729</v>
      </c>
      <c r="AB1060" s="2">
        <v>62.808243575425365</v>
      </c>
      <c r="AC1060" s="2">
        <v>69.923569652591254</v>
      </c>
      <c r="AD1060" s="2">
        <v>73.812107242182591</v>
      </c>
      <c r="AE1060" s="2">
        <v>73.548901944203564</v>
      </c>
      <c r="AF1060" s="2">
        <v>68.797791530755077</v>
      </c>
      <c r="AG1060" s="2">
        <v>60.022364984471494</v>
      </c>
      <c r="AH1060" s="2">
        <v>49.255196031980688</v>
      </c>
      <c r="AI1060" s="2">
        <v>17.839771906620143</v>
      </c>
      <c r="AJ1060" s="2">
        <v>0</v>
      </c>
      <c r="AK1060" s="2">
        <v>0</v>
      </c>
      <c r="AL1060" s="2">
        <v>0</v>
      </c>
      <c r="AM1060" s="2">
        <v>0</v>
      </c>
      <c r="AN1060" s="2">
        <v>0</v>
      </c>
      <c r="AO1060" s="2">
        <v>0</v>
      </c>
      <c r="AP1060" s="2">
        <v>0</v>
      </c>
      <c r="AQ1060" s="2">
        <v>0</v>
      </c>
      <c r="AR1060" s="2">
        <v>675.61037744859982</v>
      </c>
    </row>
    <row r="1061" spans="1:44" x14ac:dyDescent="0.25">
      <c r="A1061" t="s">
        <v>435</v>
      </c>
      <c r="B1061" t="s">
        <v>458</v>
      </c>
      <c r="C1061" t="s">
        <v>44</v>
      </c>
      <c r="D1061" t="s">
        <v>459</v>
      </c>
      <c r="E1061" t="s">
        <v>134</v>
      </c>
      <c r="F1061" t="s">
        <v>459</v>
      </c>
      <c r="G1061" t="s">
        <v>33</v>
      </c>
      <c r="H1061" t="s">
        <v>452</v>
      </c>
      <c r="I1061" t="s">
        <v>135</v>
      </c>
      <c r="J1061" t="s">
        <v>40</v>
      </c>
      <c r="K1061" t="s">
        <v>33</v>
      </c>
      <c r="L1061">
        <v>8.2450165482258364E-2</v>
      </c>
      <c r="M1061">
        <v>1</v>
      </c>
      <c r="N1061">
        <v>2.3213699912174603</v>
      </c>
      <c r="O1061">
        <v>4.1746294160814541</v>
      </c>
      <c r="P1061">
        <v>-1.1565307758200241</v>
      </c>
      <c r="Q1061">
        <v>1.3498045353129324</v>
      </c>
      <c r="R1061">
        <v>-1.7195523936223531</v>
      </c>
      <c r="S1061" s="2">
        <v>0.1527513457255478</v>
      </c>
      <c r="T1061" s="2">
        <v>0.30298618729132387</v>
      </c>
      <c r="U1061" s="2">
        <v>0.53381875088356912</v>
      </c>
      <c r="V1061" s="2">
        <v>0.86163578812813968</v>
      </c>
      <c r="W1061" s="2">
        <v>1.2977611846530726</v>
      </c>
      <c r="X1061" s="2">
        <v>1.8443436246217693</v>
      </c>
      <c r="Y1061" s="2">
        <v>2.489474464199195</v>
      </c>
      <c r="Z1061" s="2">
        <v>3.2023805020419998</v>
      </c>
      <c r="AA1061" s="2">
        <v>3.9302607164879753</v>
      </c>
      <c r="AB1061" s="2">
        <v>4.5989840384607588</v>
      </c>
      <c r="AC1061" s="2">
        <v>5.1199868431010866</v>
      </c>
      <c r="AD1061" s="2">
        <v>5.4047157463382778</v>
      </c>
      <c r="AE1061" s="2">
        <v>5.3854431652989723</v>
      </c>
      <c r="AF1061" s="2">
        <v>5.0375544215200643</v>
      </c>
      <c r="AG1061" s="2">
        <v>4.3949947140737384</v>
      </c>
      <c r="AH1061" s="2">
        <v>3.6065944128863614</v>
      </c>
      <c r="AI1061" s="2">
        <v>1.3062748069017327</v>
      </c>
      <c r="AJ1061" s="2">
        <v>0</v>
      </c>
      <c r="AK1061" s="2">
        <v>0</v>
      </c>
      <c r="AL1061" s="2">
        <v>0</v>
      </c>
      <c r="AM1061" s="2">
        <v>0</v>
      </c>
      <c r="AN1061" s="2">
        <v>0</v>
      </c>
      <c r="AO1061" s="2">
        <v>0</v>
      </c>
      <c r="AP1061" s="2">
        <v>0</v>
      </c>
      <c r="AQ1061" s="2">
        <v>0</v>
      </c>
      <c r="AR1061" s="2">
        <v>49.469960712613577</v>
      </c>
    </row>
    <row r="1062" spans="1:44" x14ac:dyDescent="0.25">
      <c r="A1062" t="s">
        <v>435</v>
      </c>
      <c r="B1062" t="s">
        <v>458</v>
      </c>
      <c r="C1062" t="s">
        <v>44</v>
      </c>
      <c r="D1062" t="s">
        <v>459</v>
      </c>
      <c r="E1062" t="s">
        <v>134</v>
      </c>
      <c r="F1062" t="s">
        <v>459</v>
      </c>
      <c r="G1062" t="s">
        <v>33</v>
      </c>
      <c r="H1062" t="s">
        <v>452</v>
      </c>
      <c r="I1062" t="s">
        <v>256</v>
      </c>
      <c r="J1062" t="s">
        <v>40</v>
      </c>
      <c r="K1062" t="s">
        <v>33</v>
      </c>
      <c r="L1062">
        <v>8.2450165482258364E-2</v>
      </c>
      <c r="M1062">
        <v>1</v>
      </c>
      <c r="N1062">
        <v>1.1488405989818342</v>
      </c>
      <c r="O1062">
        <v>1.4737622038640097</v>
      </c>
      <c r="P1062">
        <v>0.30640617552884364</v>
      </c>
      <c r="Q1062">
        <v>1.3498045353129324</v>
      </c>
      <c r="R1062">
        <v>-0.25661544227348526</v>
      </c>
      <c r="S1062" s="2">
        <v>0.92110779414855515</v>
      </c>
      <c r="T1062" s="2">
        <v>1.8270407851910364</v>
      </c>
      <c r="U1062" s="2">
        <v>3.218987104604365</v>
      </c>
      <c r="V1062" s="2">
        <v>5.1957607076545873</v>
      </c>
      <c r="W1062" s="2">
        <v>7.8256458982376049</v>
      </c>
      <c r="X1062" s="2">
        <v>11.12159948351392</v>
      </c>
      <c r="Y1062" s="2">
        <v>15.011811001833673</v>
      </c>
      <c r="Z1062" s="2">
        <v>19.310714588139323</v>
      </c>
      <c r="AA1062" s="2">
        <v>23.699914143456734</v>
      </c>
      <c r="AB1062" s="2">
        <v>27.732390983986605</v>
      </c>
      <c r="AC1062" s="2">
        <v>30.874096491378417</v>
      </c>
      <c r="AD1062" s="2">
        <v>32.591043800388491</v>
      </c>
      <c r="AE1062" s="2">
        <v>32.474827969199943</v>
      </c>
      <c r="AF1062" s="2">
        <v>30.377019718351207</v>
      </c>
      <c r="AG1062" s="2">
        <v>26.50231241594846</v>
      </c>
      <c r="AH1062" s="2">
        <v>21.748169931092409</v>
      </c>
      <c r="AI1062" s="2">
        <v>7.8769839978951346</v>
      </c>
      <c r="AJ1062" s="2">
        <v>0</v>
      </c>
      <c r="AK1062" s="2">
        <v>0</v>
      </c>
      <c r="AL1062" s="2">
        <v>0</v>
      </c>
      <c r="AM1062" s="2">
        <v>0</v>
      </c>
      <c r="AN1062" s="2">
        <v>0</v>
      </c>
      <c r="AO1062" s="2">
        <v>0</v>
      </c>
      <c r="AP1062" s="2">
        <v>0</v>
      </c>
      <c r="AQ1062" s="2">
        <v>0</v>
      </c>
      <c r="AR1062" s="2">
        <v>298.30942681502046</v>
      </c>
    </row>
    <row r="1063" spans="1:44" x14ac:dyDescent="0.25">
      <c r="A1063" t="s">
        <v>435</v>
      </c>
      <c r="B1063" t="s">
        <v>458</v>
      </c>
      <c r="C1063" t="s">
        <v>44</v>
      </c>
      <c r="D1063" t="s">
        <v>459</v>
      </c>
      <c r="E1063" t="s">
        <v>134</v>
      </c>
      <c r="F1063" t="s">
        <v>459</v>
      </c>
      <c r="G1063" t="s">
        <v>33</v>
      </c>
      <c r="H1063" t="s">
        <v>453</v>
      </c>
      <c r="I1063" t="s">
        <v>135</v>
      </c>
      <c r="J1063" t="s">
        <v>39</v>
      </c>
      <c r="K1063" t="s">
        <v>31</v>
      </c>
      <c r="L1063">
        <v>8.2450165482258364E-2</v>
      </c>
      <c r="M1063">
        <v>1</v>
      </c>
      <c r="N1063">
        <v>2.3213699912174603</v>
      </c>
      <c r="O1063">
        <v>5.3471683850504323</v>
      </c>
      <c r="P1063">
        <v>-1.1565307758200241</v>
      </c>
      <c r="Q1063">
        <v>1.247676144441489</v>
      </c>
      <c r="R1063">
        <v>-1.8625523936223531</v>
      </c>
      <c r="S1063" s="2">
        <v>0.32263427118386445</v>
      </c>
      <c r="T1063" s="2">
        <v>0.63995329960071667</v>
      </c>
      <c r="U1063" s="2">
        <v>1.1275070790214055</v>
      </c>
      <c r="V1063" s="2">
        <v>1.8199069422807872</v>
      </c>
      <c r="W1063" s="2">
        <v>2.7410706726836014</v>
      </c>
      <c r="X1063" s="2">
        <v>3.8955366207482713</v>
      </c>
      <c r="Y1063" s="2">
        <v>5.2581519041466285</v>
      </c>
      <c r="Z1063" s="2">
        <v>6.7639188016458522</v>
      </c>
      <c r="AA1063" s="2">
        <v>8.3013134568711742</v>
      </c>
      <c r="AB1063" s="2">
        <v>9.7137596817050333</v>
      </c>
      <c r="AC1063" s="2">
        <v>10.814197516550031</v>
      </c>
      <c r="AD1063" s="2">
        <v>11.415588631924985</v>
      </c>
      <c r="AE1063" s="2">
        <v>11.374881984740217</v>
      </c>
      <c r="AF1063" s="2">
        <v>10.64008759868064</v>
      </c>
      <c r="AG1063" s="2">
        <v>9.2829029407035826</v>
      </c>
      <c r="AH1063" s="2">
        <v>7.6176805797055174</v>
      </c>
      <c r="AI1063" s="2">
        <v>2.7590527486927137</v>
      </c>
      <c r="AJ1063" s="2">
        <v>0</v>
      </c>
      <c r="AK1063" s="2">
        <v>0</v>
      </c>
      <c r="AL1063" s="2">
        <v>0</v>
      </c>
      <c r="AM1063" s="2">
        <v>0</v>
      </c>
      <c r="AN1063" s="2">
        <v>0</v>
      </c>
      <c r="AO1063" s="2">
        <v>0</v>
      </c>
      <c r="AP1063" s="2">
        <v>0</v>
      </c>
      <c r="AQ1063" s="2">
        <v>0</v>
      </c>
      <c r="AR1063" s="2">
        <v>104.48814473088503</v>
      </c>
    </row>
    <row r="1064" spans="1:44" x14ac:dyDescent="0.25">
      <c r="A1064" t="s">
        <v>435</v>
      </c>
      <c r="B1064" t="s">
        <v>458</v>
      </c>
      <c r="C1064" t="s">
        <v>44</v>
      </c>
      <c r="D1064" t="s">
        <v>459</v>
      </c>
      <c r="E1064" t="s">
        <v>134</v>
      </c>
      <c r="F1064" t="s">
        <v>459</v>
      </c>
      <c r="G1064" t="s">
        <v>33</v>
      </c>
      <c r="H1064" t="s">
        <v>453</v>
      </c>
      <c r="I1064" t="s">
        <v>135</v>
      </c>
      <c r="J1064" t="s">
        <v>39</v>
      </c>
      <c r="K1064" t="s">
        <v>33</v>
      </c>
      <c r="L1064">
        <v>8.2450165482258364E-2</v>
      </c>
      <c r="M1064">
        <v>1</v>
      </c>
      <c r="N1064">
        <v>2.3213699912174603</v>
      </c>
      <c r="O1064">
        <v>5.3471683850504323</v>
      </c>
      <c r="P1064">
        <v>-1.1565307758200241</v>
      </c>
      <c r="Q1064">
        <v>1.247676144441489</v>
      </c>
      <c r="R1064">
        <v>-1.8625523936223531</v>
      </c>
      <c r="S1064" s="2">
        <v>0.29355973661534018</v>
      </c>
      <c r="T1064" s="2">
        <v>0.58228321928591109</v>
      </c>
      <c r="U1064" s="2">
        <v>1.0259005651660258</v>
      </c>
      <c r="V1064" s="2">
        <v>1.655904069583219</v>
      </c>
      <c r="W1064" s="2">
        <v>2.4940561390592726</v>
      </c>
      <c r="X1064" s="2">
        <v>3.5444861457714456</v>
      </c>
      <c r="Y1064" s="2">
        <v>4.7843078864522397</v>
      </c>
      <c r="Z1064" s="2">
        <v>6.1543809794686446</v>
      </c>
      <c r="AA1064" s="2">
        <v>7.5532316607856886</v>
      </c>
      <c r="AB1064" s="2">
        <v>8.8383937739861906</v>
      </c>
      <c r="AC1064" s="2">
        <v>9.8396644690468378</v>
      </c>
      <c r="AD1064" s="2">
        <v>10.386860576839325</v>
      </c>
      <c r="AE1064" s="2">
        <v>10.349822252974333</v>
      </c>
      <c r="AF1064" s="2">
        <v>9.6812446538043062</v>
      </c>
      <c r="AG1064" s="2">
        <v>8.4463641518904993</v>
      </c>
      <c r="AH1064" s="2">
        <v>6.9312050960753062</v>
      </c>
      <c r="AI1064" s="2">
        <v>2.5104177409364428</v>
      </c>
      <c r="AJ1064" s="2">
        <v>0</v>
      </c>
      <c r="AK1064" s="2">
        <v>0</v>
      </c>
      <c r="AL1064" s="2">
        <v>0</v>
      </c>
      <c r="AM1064" s="2">
        <v>0</v>
      </c>
      <c r="AN1064" s="2">
        <v>0</v>
      </c>
      <c r="AO1064" s="2">
        <v>0</v>
      </c>
      <c r="AP1064" s="2">
        <v>0</v>
      </c>
      <c r="AQ1064" s="2">
        <v>0</v>
      </c>
      <c r="AR1064" s="2">
        <v>95.072083117741016</v>
      </c>
    </row>
    <row r="1065" spans="1:44" x14ac:dyDescent="0.25">
      <c r="A1065" t="s">
        <v>435</v>
      </c>
      <c r="B1065" t="s">
        <v>458</v>
      </c>
      <c r="C1065" t="s">
        <v>44</v>
      </c>
      <c r="D1065" t="s">
        <v>459</v>
      </c>
      <c r="E1065" t="s">
        <v>134</v>
      </c>
      <c r="F1065" t="s">
        <v>459</v>
      </c>
      <c r="G1065" t="s">
        <v>33</v>
      </c>
      <c r="H1065" t="s">
        <v>453</v>
      </c>
      <c r="I1065" t="s">
        <v>135</v>
      </c>
      <c r="J1065" t="s">
        <v>40</v>
      </c>
      <c r="K1065" t="s">
        <v>33</v>
      </c>
      <c r="L1065">
        <v>8.2450165482258364E-2</v>
      </c>
      <c r="M1065">
        <v>1</v>
      </c>
      <c r="N1065">
        <v>2.3213699912174603</v>
      </c>
      <c r="O1065">
        <v>4.1746294160814541</v>
      </c>
      <c r="P1065">
        <v>-1.1565307758200241</v>
      </c>
      <c r="Q1065">
        <v>1.3498045353129324</v>
      </c>
      <c r="R1065">
        <v>-1.7195523936223531</v>
      </c>
      <c r="S1065" s="2">
        <v>5.9782314006331045</v>
      </c>
      <c r="T1065" s="2">
        <v>11.857974345296716</v>
      </c>
      <c r="U1065" s="2">
        <v>20.89207138320581</v>
      </c>
      <c r="V1065" s="2">
        <v>33.721851025469427</v>
      </c>
      <c r="W1065" s="2">
        <v>50.790496330915332</v>
      </c>
      <c r="X1065" s="2">
        <v>72.182100379540159</v>
      </c>
      <c r="Y1065" s="2">
        <v>97.430594422977734</v>
      </c>
      <c r="Z1065" s="2">
        <v>125.3316072807648</v>
      </c>
      <c r="AA1065" s="2">
        <v>153.81866468266051</v>
      </c>
      <c r="AB1065" s="2">
        <v>179.99049801587566</v>
      </c>
      <c r="AC1065" s="2">
        <v>200.380991544587</v>
      </c>
      <c r="AD1065" s="2">
        <v>211.52443032684647</v>
      </c>
      <c r="AE1065" s="2">
        <v>210.77015907252027</v>
      </c>
      <c r="AF1065" s="2">
        <v>197.15483279105746</v>
      </c>
      <c r="AG1065" s="2">
        <v>172.00696517921236</v>
      </c>
      <c r="AH1065" s="2">
        <v>141.15133235686483</v>
      </c>
      <c r="AI1065" s="2">
        <v>51.123694075382595</v>
      </c>
      <c r="AJ1065" s="2">
        <v>0</v>
      </c>
      <c r="AK1065" s="2">
        <v>0</v>
      </c>
      <c r="AL1065" s="2">
        <v>0</v>
      </c>
      <c r="AM1065" s="2">
        <v>0</v>
      </c>
      <c r="AN1065" s="2">
        <v>0</v>
      </c>
      <c r="AO1065" s="2">
        <v>0</v>
      </c>
      <c r="AP1065" s="2">
        <v>0</v>
      </c>
      <c r="AQ1065" s="2">
        <v>0</v>
      </c>
      <c r="AR1065" s="2">
        <v>1936.1064946138101</v>
      </c>
    </row>
    <row r="1066" spans="1:44" x14ac:dyDescent="0.25">
      <c r="A1066" t="s">
        <v>435</v>
      </c>
      <c r="B1066" t="s">
        <v>458</v>
      </c>
      <c r="C1066" t="s">
        <v>44</v>
      </c>
      <c r="D1066" t="s">
        <v>459</v>
      </c>
      <c r="E1066" t="s">
        <v>134</v>
      </c>
      <c r="F1066" t="s">
        <v>459</v>
      </c>
      <c r="G1066" t="s">
        <v>33</v>
      </c>
      <c r="H1066" t="s">
        <v>453</v>
      </c>
      <c r="I1066" t="s">
        <v>256</v>
      </c>
      <c r="J1066" t="s">
        <v>40</v>
      </c>
      <c r="K1066" t="s">
        <v>33</v>
      </c>
      <c r="L1066">
        <v>8.2450165482258364E-2</v>
      </c>
      <c r="M1066">
        <v>1</v>
      </c>
      <c r="N1066">
        <v>1.1488405989818342</v>
      </c>
      <c r="O1066">
        <v>1.4737622038640097</v>
      </c>
      <c r="P1066">
        <v>0.30640617552884364</v>
      </c>
      <c r="Q1066">
        <v>1.3498045353129324</v>
      </c>
      <c r="R1066">
        <v>-0.25661544227348526</v>
      </c>
      <c r="S1066" s="2">
        <v>3.0775770318135836</v>
      </c>
      <c r="T1066" s="2">
        <v>6.1044524782120586</v>
      </c>
      <c r="U1066" s="2">
        <v>10.755180709323982</v>
      </c>
      <c r="V1066" s="2">
        <v>17.359915873318894</v>
      </c>
      <c r="W1066" s="2">
        <v>26.146807386191757</v>
      </c>
      <c r="X1066" s="2">
        <v>37.159146133521993</v>
      </c>
      <c r="Y1066" s="2">
        <v>50.157001209479176</v>
      </c>
      <c r="Z1066" s="2">
        <v>64.520365653078244</v>
      </c>
      <c r="AA1066" s="2">
        <v>79.185424211156942</v>
      </c>
      <c r="AB1066" s="2">
        <v>92.658611806107885</v>
      </c>
      <c r="AC1066" s="2">
        <v>103.15558161973202</v>
      </c>
      <c r="AD1066" s="2">
        <v>108.8921931614115</v>
      </c>
      <c r="AE1066" s="2">
        <v>108.50389640062942</v>
      </c>
      <c r="AF1066" s="2">
        <v>101.49476399400487</v>
      </c>
      <c r="AG1066" s="2">
        <v>88.548711127415103</v>
      </c>
      <c r="AH1066" s="2">
        <v>72.66431647750683</v>
      </c>
      <c r="AI1066" s="2">
        <v>26.318336665790358</v>
      </c>
      <c r="AJ1066" s="2">
        <v>0</v>
      </c>
      <c r="AK1066" s="2">
        <v>0</v>
      </c>
      <c r="AL1066" s="2">
        <v>0</v>
      </c>
      <c r="AM1066" s="2">
        <v>0</v>
      </c>
      <c r="AN1066" s="2">
        <v>0</v>
      </c>
      <c r="AO1066" s="2">
        <v>0</v>
      </c>
      <c r="AP1066" s="2">
        <v>0</v>
      </c>
      <c r="AQ1066" s="2">
        <v>0</v>
      </c>
      <c r="AR1066" s="2">
        <v>996.70228193869457</v>
      </c>
    </row>
    <row r="1067" spans="1:44" x14ac:dyDescent="0.25">
      <c r="A1067" t="s">
        <v>435</v>
      </c>
      <c r="B1067" t="s">
        <v>458</v>
      </c>
      <c r="C1067" t="s">
        <v>44</v>
      </c>
      <c r="D1067" t="s">
        <v>459</v>
      </c>
      <c r="E1067" t="s">
        <v>134</v>
      </c>
      <c r="F1067" t="s">
        <v>459</v>
      </c>
      <c r="G1067" t="s">
        <v>33</v>
      </c>
      <c r="H1067" t="s">
        <v>454</v>
      </c>
      <c r="I1067" t="s">
        <v>135</v>
      </c>
      <c r="J1067" t="s">
        <v>39</v>
      </c>
      <c r="K1067" t="s">
        <v>31</v>
      </c>
      <c r="L1067">
        <v>8.2450165482258364E-2</v>
      </c>
      <c r="M1067">
        <v>1</v>
      </c>
      <c r="N1067">
        <v>2.3213699912174603</v>
      </c>
      <c r="O1067">
        <v>5.3471683850504323</v>
      </c>
      <c r="P1067">
        <v>-1.1565307758200241</v>
      </c>
      <c r="Q1067">
        <v>1.247676144441489</v>
      </c>
      <c r="R1067">
        <v>-1.8625523936223531</v>
      </c>
      <c r="S1067" s="2">
        <v>1.776556838737442E-2</v>
      </c>
      <c r="T1067" s="2">
        <v>3.5238457672413043E-2</v>
      </c>
      <c r="U1067" s="2">
        <v>6.20851716902334E-2</v>
      </c>
      <c r="V1067" s="2">
        <v>0.10021155261376882</v>
      </c>
      <c r="W1067" s="2">
        <v>0.15093461184858256</v>
      </c>
      <c r="X1067" s="2">
        <v>0.21450424961824696</v>
      </c>
      <c r="Y1067" s="2">
        <v>0.28953544489105015</v>
      </c>
      <c r="Z1067" s="2">
        <v>0.37244915611834312</v>
      </c>
      <c r="AA1067" s="2">
        <v>0.45710442161623654</v>
      </c>
      <c r="AB1067" s="2">
        <v>0.5348795132352997</v>
      </c>
      <c r="AC1067" s="2">
        <v>0.59547414113783836</v>
      </c>
      <c r="AD1067" s="2">
        <v>0.62858920652921602</v>
      </c>
      <c r="AE1067" s="2">
        <v>0.62634773130797505</v>
      </c>
      <c r="AF1067" s="2">
        <v>0.58588693379784051</v>
      </c>
      <c r="AG1067" s="2">
        <v>0.51115477107032248</v>
      </c>
      <c r="AH1067" s="2">
        <v>0.41946078696273531</v>
      </c>
      <c r="AI1067" s="2">
        <v>0.15192477882593086</v>
      </c>
      <c r="AJ1067" s="2">
        <v>0</v>
      </c>
      <c r="AK1067" s="2">
        <v>0</v>
      </c>
      <c r="AL1067" s="2">
        <v>0</v>
      </c>
      <c r="AM1067" s="2">
        <v>0</v>
      </c>
      <c r="AN1067" s="2">
        <v>0</v>
      </c>
      <c r="AO1067" s="2">
        <v>0</v>
      </c>
      <c r="AP1067" s="2">
        <v>0</v>
      </c>
      <c r="AQ1067" s="2">
        <v>0</v>
      </c>
      <c r="AR1067" s="2">
        <v>5.7535464973234065</v>
      </c>
    </row>
    <row r="1068" spans="1:44" x14ac:dyDescent="0.25">
      <c r="A1068" t="s">
        <v>435</v>
      </c>
      <c r="B1068" t="s">
        <v>458</v>
      </c>
      <c r="C1068" t="s">
        <v>44</v>
      </c>
      <c r="D1068" t="s">
        <v>459</v>
      </c>
      <c r="E1068" t="s">
        <v>134</v>
      </c>
      <c r="F1068" t="s">
        <v>459</v>
      </c>
      <c r="G1068" t="s">
        <v>33</v>
      </c>
      <c r="H1068" t="s">
        <v>454</v>
      </c>
      <c r="I1068" t="s">
        <v>135</v>
      </c>
      <c r="J1068" t="s">
        <v>39</v>
      </c>
      <c r="K1068" t="s">
        <v>33</v>
      </c>
      <c r="L1068">
        <v>8.2450165482258364E-2</v>
      </c>
      <c r="M1068">
        <v>1</v>
      </c>
      <c r="N1068">
        <v>2.3213699912174603</v>
      </c>
      <c r="O1068">
        <v>5.3471683850504323</v>
      </c>
      <c r="P1068">
        <v>-1.1565307758200241</v>
      </c>
      <c r="Q1068">
        <v>1.247676144441489</v>
      </c>
      <c r="R1068">
        <v>-1.8625523936223531</v>
      </c>
      <c r="S1068" s="2">
        <v>0.14256876065108159</v>
      </c>
      <c r="T1068" s="2">
        <v>0.2827887702811635</v>
      </c>
      <c r="U1068" s="2">
        <v>0.4982337626178448</v>
      </c>
      <c r="V1068" s="2">
        <v>0.8041981290741671</v>
      </c>
      <c r="W1068" s="2">
        <v>1.2112508916909868</v>
      </c>
      <c r="X1068" s="2">
        <v>1.721397500808213</v>
      </c>
      <c r="Y1068" s="2">
        <v>2.323523156850551</v>
      </c>
      <c r="Z1068" s="2">
        <v>2.9889060364131148</v>
      </c>
      <c r="AA1068" s="2">
        <v>3.6682648962850131</v>
      </c>
      <c r="AB1068" s="2">
        <v>4.2924103319882896</v>
      </c>
      <c r="AC1068" s="2">
        <v>4.7786824744725047</v>
      </c>
      <c r="AD1068" s="2">
        <v>5.0444310128127388</v>
      </c>
      <c r="AE1068" s="2">
        <v>5.0264431647825267</v>
      </c>
      <c r="AF1068" s="2">
        <v>4.7017450954500672</v>
      </c>
      <c r="AG1068" s="2">
        <v>4.1020191768349834</v>
      </c>
      <c r="AH1068" s="2">
        <v>3.366174570665831</v>
      </c>
      <c r="AI1068" s="2">
        <v>1.2191969858276936</v>
      </c>
      <c r="AJ1068" s="2">
        <v>0</v>
      </c>
      <c r="AK1068" s="2">
        <v>0</v>
      </c>
      <c r="AL1068" s="2">
        <v>0</v>
      </c>
      <c r="AM1068" s="2">
        <v>0</v>
      </c>
      <c r="AN1068" s="2">
        <v>0</v>
      </c>
      <c r="AO1068" s="2">
        <v>0</v>
      </c>
      <c r="AP1068" s="2">
        <v>0</v>
      </c>
      <c r="AQ1068" s="2">
        <v>0</v>
      </c>
      <c r="AR1068" s="2">
        <v>46.172234717506761</v>
      </c>
    </row>
    <row r="1069" spans="1:44" x14ac:dyDescent="0.25">
      <c r="A1069" t="s">
        <v>435</v>
      </c>
      <c r="B1069" t="s">
        <v>458</v>
      </c>
      <c r="C1069" t="s">
        <v>44</v>
      </c>
      <c r="D1069" t="s">
        <v>459</v>
      </c>
      <c r="E1069" t="s">
        <v>134</v>
      </c>
      <c r="F1069" t="s">
        <v>459</v>
      </c>
      <c r="G1069" t="s">
        <v>33</v>
      </c>
      <c r="H1069" t="s">
        <v>455</v>
      </c>
      <c r="I1069" t="s">
        <v>135</v>
      </c>
      <c r="J1069" t="s">
        <v>39</v>
      </c>
      <c r="K1069" t="s">
        <v>31</v>
      </c>
      <c r="L1069">
        <v>8.2450165482258364E-2</v>
      </c>
      <c r="M1069">
        <v>1</v>
      </c>
      <c r="N1069">
        <v>2.3213699912174603</v>
      </c>
      <c r="O1069">
        <v>5.3471683850504323</v>
      </c>
      <c r="P1069">
        <v>-1.1565307758200241</v>
      </c>
      <c r="Q1069">
        <v>1.247676144441489</v>
      </c>
      <c r="R1069">
        <v>-1.8625523936223531</v>
      </c>
      <c r="S1069" s="2">
        <v>4.1858312399332669E-3</v>
      </c>
      <c r="T1069" s="2">
        <v>8.3027029451576157E-3</v>
      </c>
      <c r="U1069" s="2">
        <v>1.462818669974493E-2</v>
      </c>
      <c r="V1069" s="2">
        <v>2.3611327168740429E-2</v>
      </c>
      <c r="W1069" s="2">
        <v>3.5562431760528139E-2</v>
      </c>
      <c r="X1069" s="2">
        <v>5.054038067189584E-2</v>
      </c>
      <c r="Y1069" s="2">
        <v>6.8218842418474895E-2</v>
      </c>
      <c r="Z1069" s="2">
        <v>8.7754541761517507E-2</v>
      </c>
      <c r="AA1069" s="2">
        <v>0.1077005771046792</v>
      </c>
      <c r="AB1069" s="2">
        <v>0.12602554150149017</v>
      </c>
      <c r="AC1069" s="2">
        <v>0.14030253399145937</v>
      </c>
      <c r="AD1069" s="2">
        <v>0.14810493424149423</v>
      </c>
      <c r="AE1069" s="2">
        <v>0.14757680945538973</v>
      </c>
      <c r="AF1069" s="2">
        <v>0.13804364583699985</v>
      </c>
      <c r="AG1069" s="2">
        <v>0.12043564059046168</v>
      </c>
      <c r="AH1069" s="2">
        <v>9.8831178812348694E-2</v>
      </c>
      <c r="AI1069" s="2">
        <v>3.5795729777014895E-2</v>
      </c>
      <c r="AJ1069" s="2">
        <v>0</v>
      </c>
      <c r="AK1069" s="2">
        <v>0</v>
      </c>
      <c r="AL1069" s="2">
        <v>0</v>
      </c>
      <c r="AM1069" s="2">
        <v>0</v>
      </c>
      <c r="AN1069" s="2">
        <v>0</v>
      </c>
      <c r="AO1069" s="2">
        <v>0</v>
      </c>
      <c r="AP1069" s="2">
        <v>0</v>
      </c>
      <c r="AQ1069" s="2">
        <v>0</v>
      </c>
      <c r="AR1069" s="2">
        <v>1.3556208359773305</v>
      </c>
    </row>
    <row r="1070" spans="1:44" x14ac:dyDescent="0.25">
      <c r="A1070" t="s">
        <v>435</v>
      </c>
      <c r="B1070" t="s">
        <v>458</v>
      </c>
      <c r="C1070" t="s">
        <v>44</v>
      </c>
      <c r="D1070" t="s">
        <v>459</v>
      </c>
      <c r="E1070" t="s">
        <v>134</v>
      </c>
      <c r="F1070" t="s">
        <v>459</v>
      </c>
      <c r="G1070" t="s">
        <v>33</v>
      </c>
      <c r="H1070" t="s">
        <v>455</v>
      </c>
      <c r="I1070" t="s">
        <v>135</v>
      </c>
      <c r="J1070" t="s">
        <v>39</v>
      </c>
      <c r="K1070" t="s">
        <v>33</v>
      </c>
      <c r="L1070">
        <v>8.2450165482258364E-2</v>
      </c>
      <c r="M1070">
        <v>1</v>
      </c>
      <c r="N1070">
        <v>2.3213699912174603</v>
      </c>
      <c r="O1070">
        <v>5.3471683850504323</v>
      </c>
      <c r="P1070">
        <v>-1.1565307758200241</v>
      </c>
      <c r="Q1070">
        <v>1.247676144441489</v>
      </c>
      <c r="R1070">
        <v>-1.8625523936223531</v>
      </c>
      <c r="S1070" s="2">
        <v>0.1064280161805306</v>
      </c>
      <c r="T1070" s="2">
        <v>0.21110268253515674</v>
      </c>
      <c r="U1070" s="2">
        <v>0.37193302871835238</v>
      </c>
      <c r="V1070" s="2">
        <v>0.60033636473088459</v>
      </c>
      <c r="W1070" s="2">
        <v>0.9042024978744353</v>
      </c>
      <c r="X1070" s="2">
        <v>1.2850285029657478</v>
      </c>
      <c r="Y1070" s="2">
        <v>1.7345171481032435</v>
      </c>
      <c r="Z1070" s="2">
        <v>2.2312275042074385</v>
      </c>
      <c r="AA1070" s="2">
        <v>2.7383709723882763</v>
      </c>
      <c r="AB1070" s="2">
        <v>3.2042974504377204</v>
      </c>
      <c r="AC1070" s="2">
        <v>3.5673010931158657</v>
      </c>
      <c r="AD1070" s="2">
        <v>3.7656831903527634</v>
      </c>
      <c r="AE1070" s="2">
        <v>3.7522552067435244</v>
      </c>
      <c r="AF1070" s="2">
        <v>3.5098671041964611</v>
      </c>
      <c r="AG1070" s="2">
        <v>3.0621698703931912</v>
      </c>
      <c r="AH1070" s="2">
        <v>2.5128596197177919</v>
      </c>
      <c r="AI1070" s="2">
        <v>0.91013428146778308</v>
      </c>
      <c r="AJ1070" s="2">
        <v>0</v>
      </c>
      <c r="AK1070" s="2">
        <v>0</v>
      </c>
      <c r="AL1070" s="2">
        <v>0</v>
      </c>
      <c r="AM1070" s="2">
        <v>0</v>
      </c>
      <c r="AN1070" s="2">
        <v>0</v>
      </c>
      <c r="AO1070" s="2">
        <v>0</v>
      </c>
      <c r="AP1070" s="2">
        <v>0</v>
      </c>
      <c r="AQ1070" s="2">
        <v>0</v>
      </c>
      <c r="AR1070" s="2">
        <v>34.467714534129165</v>
      </c>
    </row>
    <row r="1071" spans="1:44" x14ac:dyDescent="0.25">
      <c r="A1071" t="s">
        <v>435</v>
      </c>
      <c r="B1071" t="s">
        <v>458</v>
      </c>
      <c r="C1071" t="s">
        <v>44</v>
      </c>
      <c r="D1071" t="s">
        <v>459</v>
      </c>
      <c r="E1071" t="s">
        <v>134</v>
      </c>
      <c r="F1071" t="s">
        <v>459</v>
      </c>
      <c r="G1071" t="s">
        <v>33</v>
      </c>
      <c r="H1071" t="s">
        <v>456</v>
      </c>
      <c r="I1071" t="s">
        <v>135</v>
      </c>
      <c r="J1071" t="s">
        <v>39</v>
      </c>
      <c r="K1071" t="s">
        <v>31</v>
      </c>
      <c r="L1071">
        <v>8.2450165482258364E-2</v>
      </c>
      <c r="M1071">
        <v>1</v>
      </c>
      <c r="N1071">
        <v>2.3213699912174603</v>
      </c>
      <c r="O1071">
        <v>5.3471683850504323</v>
      </c>
      <c r="P1071">
        <v>-1.1565307758200241</v>
      </c>
      <c r="Q1071">
        <v>1.247676144441489</v>
      </c>
      <c r="R1071">
        <v>-1.8625523936223531</v>
      </c>
      <c r="S1071" s="2">
        <v>0.75450599331822832</v>
      </c>
      <c r="T1071" s="2">
        <v>1.496581867204517</v>
      </c>
      <c r="U1071" s="2">
        <v>2.6367652931252681</v>
      </c>
      <c r="V1071" s="2">
        <v>4.2559976353218163</v>
      </c>
      <c r="W1071" s="2">
        <v>6.4102125389834805</v>
      </c>
      <c r="X1071" s="2">
        <v>9.1100232990133865</v>
      </c>
      <c r="Y1071" s="2">
        <v>12.296607892579942</v>
      </c>
      <c r="Z1071" s="2">
        <v>15.817963960968314</v>
      </c>
      <c r="AA1071" s="2">
        <v>19.41328406508045</v>
      </c>
      <c r="AB1071" s="2">
        <v>22.716402292311574</v>
      </c>
      <c r="AC1071" s="2">
        <v>25.289863997474065</v>
      </c>
      <c r="AD1071" s="2">
        <v>26.696265119133425</v>
      </c>
      <c r="AE1071" s="2">
        <v>26.6010693758043</v>
      </c>
      <c r="AF1071" s="2">
        <v>24.882694058438862</v>
      </c>
      <c r="AG1071" s="2">
        <v>21.708809415850247</v>
      </c>
      <c r="AH1071" s="2">
        <v>17.814554019576629</v>
      </c>
      <c r="AI1071" s="2">
        <v>6.4522650589201582</v>
      </c>
      <c r="AJ1071" s="2">
        <v>0</v>
      </c>
      <c r="AK1071" s="2">
        <v>0</v>
      </c>
      <c r="AL1071" s="2">
        <v>0</v>
      </c>
      <c r="AM1071" s="2">
        <v>0</v>
      </c>
      <c r="AN1071" s="2">
        <v>0</v>
      </c>
      <c r="AO1071" s="2">
        <v>0</v>
      </c>
      <c r="AP1071" s="2">
        <v>0</v>
      </c>
      <c r="AQ1071" s="2">
        <v>0</v>
      </c>
      <c r="AR1071" s="2">
        <v>244.35386588310467</v>
      </c>
    </row>
    <row r="1072" spans="1:44" x14ac:dyDescent="0.25">
      <c r="A1072" t="s">
        <v>435</v>
      </c>
      <c r="B1072" t="s">
        <v>458</v>
      </c>
      <c r="C1072" t="s">
        <v>44</v>
      </c>
      <c r="D1072" t="s">
        <v>459</v>
      </c>
      <c r="E1072" t="s">
        <v>134</v>
      </c>
      <c r="F1072" t="s">
        <v>459</v>
      </c>
      <c r="G1072" t="s">
        <v>33</v>
      </c>
      <c r="H1072" t="s">
        <v>456</v>
      </c>
      <c r="I1072" t="s">
        <v>135</v>
      </c>
      <c r="J1072" t="s">
        <v>39</v>
      </c>
      <c r="K1072" t="s">
        <v>33</v>
      </c>
      <c r="L1072">
        <v>8.2450165482258364E-2</v>
      </c>
      <c r="M1072">
        <v>1</v>
      </c>
      <c r="N1072">
        <v>2.3213699912174603</v>
      </c>
      <c r="O1072">
        <v>5.3471683850504323</v>
      </c>
      <c r="P1072">
        <v>-1.1565307758200241</v>
      </c>
      <c r="Q1072">
        <v>1.247676144441489</v>
      </c>
      <c r="R1072">
        <v>-1.8625523936223531</v>
      </c>
      <c r="S1072" s="2">
        <v>0.69663517717124956</v>
      </c>
      <c r="T1072" s="2">
        <v>1.3817936284723091</v>
      </c>
      <c r="U1072" s="2">
        <v>2.4345246736305102</v>
      </c>
      <c r="V1072" s="2">
        <v>3.9295614521014621</v>
      </c>
      <c r="W1072" s="2">
        <v>5.9185474831830449</v>
      </c>
      <c r="X1072" s="2">
        <v>8.4112820191551414</v>
      </c>
      <c r="Y1072" s="2">
        <v>11.353454702433122</v>
      </c>
      <c r="Z1072" s="2">
        <v>14.604721796808796</v>
      </c>
      <c r="AA1072" s="2">
        <v>17.924279865129058</v>
      </c>
      <c r="AB1072" s="2">
        <v>20.97404802048182</v>
      </c>
      <c r="AC1072" s="2">
        <v>23.350124508668397</v>
      </c>
      <c r="AD1072" s="2">
        <v>24.648654279455496</v>
      </c>
      <c r="AE1072" s="2">
        <v>24.560760075688631</v>
      </c>
      <c r="AF1072" s="2">
        <v>22.974184615373265</v>
      </c>
      <c r="AG1072" s="2">
        <v>20.043737793358051</v>
      </c>
      <c r="AH1072" s="2">
        <v>16.448172851584346</v>
      </c>
      <c r="AI1072" s="2">
        <v>5.9573745633334569</v>
      </c>
      <c r="AJ1072" s="2">
        <v>0</v>
      </c>
      <c r="AK1072" s="2">
        <v>0</v>
      </c>
      <c r="AL1072" s="2">
        <v>0</v>
      </c>
      <c r="AM1072" s="2">
        <v>0</v>
      </c>
      <c r="AN1072" s="2">
        <v>0</v>
      </c>
      <c r="AO1072" s="2">
        <v>0</v>
      </c>
      <c r="AP1072" s="2">
        <v>0</v>
      </c>
      <c r="AQ1072" s="2">
        <v>0</v>
      </c>
      <c r="AR1072" s="2">
        <v>225.61185750602812</v>
      </c>
    </row>
    <row r="1073" spans="1:44" x14ac:dyDescent="0.25">
      <c r="A1073" t="s">
        <v>435</v>
      </c>
      <c r="B1073" t="s">
        <v>458</v>
      </c>
      <c r="C1073" t="s">
        <v>44</v>
      </c>
      <c r="D1073" t="s">
        <v>459</v>
      </c>
      <c r="E1073" t="s">
        <v>134</v>
      </c>
      <c r="F1073" t="s">
        <v>459</v>
      </c>
      <c r="G1073" t="s">
        <v>33</v>
      </c>
      <c r="H1073" t="s">
        <v>456</v>
      </c>
      <c r="I1073" t="s">
        <v>135</v>
      </c>
      <c r="J1073" t="s">
        <v>40</v>
      </c>
      <c r="K1073" t="s">
        <v>33</v>
      </c>
      <c r="L1073">
        <v>8.2450165482258364E-2</v>
      </c>
      <c r="M1073">
        <v>1</v>
      </c>
      <c r="N1073">
        <v>2.3213699912174603</v>
      </c>
      <c r="O1073">
        <v>4.1746294160814541</v>
      </c>
      <c r="P1073">
        <v>-1.1565307758200241</v>
      </c>
      <c r="Q1073">
        <v>1.3498045353129324</v>
      </c>
      <c r="R1073">
        <v>-1.7195523936223531</v>
      </c>
      <c r="S1073" s="2">
        <v>2.5717776796648524</v>
      </c>
      <c r="T1073" s="2">
        <v>5.1011865723436101</v>
      </c>
      <c r="U1073" s="2">
        <v>8.9875682730520285</v>
      </c>
      <c r="V1073" s="2">
        <v>14.506816142162251</v>
      </c>
      <c r="W1073" s="2">
        <v>21.849583271252186</v>
      </c>
      <c r="X1073" s="2">
        <v>31.052045694947513</v>
      </c>
      <c r="Y1073" s="2">
        <v>41.913705118031608</v>
      </c>
      <c r="Z1073" s="2">
        <v>53.916452636319349</v>
      </c>
      <c r="AA1073" s="2">
        <v>66.171310883821775</v>
      </c>
      <c r="AB1073" s="2">
        <v>77.430181993284592</v>
      </c>
      <c r="AC1073" s="2">
        <v>86.201976295013495</v>
      </c>
      <c r="AD1073" s="2">
        <v>90.995776536986682</v>
      </c>
      <c r="AE1073" s="2">
        <v>90.671296294203927</v>
      </c>
      <c r="AF1073" s="2">
        <v>84.814113812389621</v>
      </c>
      <c r="AG1073" s="2">
        <v>73.995742912852236</v>
      </c>
      <c r="AH1073" s="2">
        <v>60.721946288645974</v>
      </c>
      <c r="AI1073" s="2">
        <v>21.992921737883943</v>
      </c>
      <c r="AJ1073" s="2">
        <v>0</v>
      </c>
      <c r="AK1073" s="2">
        <v>0</v>
      </c>
      <c r="AL1073" s="2">
        <v>0</v>
      </c>
      <c r="AM1073" s="2">
        <v>0</v>
      </c>
      <c r="AN1073" s="2">
        <v>0</v>
      </c>
      <c r="AO1073" s="2">
        <v>0</v>
      </c>
      <c r="AP1073" s="2">
        <v>0</v>
      </c>
      <c r="AQ1073" s="2">
        <v>0</v>
      </c>
      <c r="AR1073" s="2">
        <v>832.89440214285571</v>
      </c>
    </row>
    <row r="1074" spans="1:44" x14ac:dyDescent="0.25">
      <c r="A1074" t="s">
        <v>435</v>
      </c>
      <c r="B1074" t="s">
        <v>458</v>
      </c>
      <c r="C1074" t="s">
        <v>44</v>
      </c>
      <c r="D1074" t="s">
        <v>459</v>
      </c>
      <c r="E1074" t="s">
        <v>134</v>
      </c>
      <c r="F1074" t="s">
        <v>459</v>
      </c>
      <c r="G1074" t="s">
        <v>33</v>
      </c>
      <c r="H1074" t="s">
        <v>456</v>
      </c>
      <c r="I1074" t="s">
        <v>256</v>
      </c>
      <c r="J1074" t="s">
        <v>40</v>
      </c>
      <c r="K1074" t="s">
        <v>33</v>
      </c>
      <c r="L1074">
        <v>8.2450165482258364E-2</v>
      </c>
      <c r="M1074">
        <v>1</v>
      </c>
      <c r="N1074">
        <v>1.1488405989818342</v>
      </c>
      <c r="O1074">
        <v>1.4737622038640097</v>
      </c>
      <c r="P1074">
        <v>0.30640617552884364</v>
      </c>
      <c r="Q1074">
        <v>1.3498045353129324</v>
      </c>
      <c r="R1074">
        <v>-0.25661544227348526</v>
      </c>
      <c r="S1074" s="2">
        <v>3.8619873248016381</v>
      </c>
      <c r="T1074" s="2">
        <v>7.6603502859573371</v>
      </c>
      <c r="U1074" s="2">
        <v>13.49645228892398</v>
      </c>
      <c r="V1074" s="2">
        <v>21.784596898577757</v>
      </c>
      <c r="W1074" s="2">
        <v>32.811084065699823</v>
      </c>
      <c r="X1074" s="2">
        <v>46.630238621044647</v>
      </c>
      <c r="Y1074" s="2">
        <v>62.940976267593307</v>
      </c>
      <c r="Z1074" s="2">
        <v>80.965263182029219</v>
      </c>
      <c r="AA1074" s="2">
        <v>99.36813975776144</v>
      </c>
      <c r="AB1074" s="2">
        <v>116.27536228330538</v>
      </c>
      <c r="AC1074" s="2">
        <v>129.44779109661516</v>
      </c>
      <c r="AD1074" s="2">
        <v>136.64654545182995</v>
      </c>
      <c r="AE1074" s="2">
        <v>136.15927993324172</v>
      </c>
      <c r="AF1074" s="2">
        <v>127.36366564563157</v>
      </c>
      <c r="AG1074" s="2">
        <v>111.11793351280546</v>
      </c>
      <c r="AH1074" s="2">
        <v>91.18493746885504</v>
      </c>
      <c r="AI1074" s="2">
        <v>33.026332586466538</v>
      </c>
      <c r="AJ1074" s="2">
        <v>0</v>
      </c>
      <c r="AK1074" s="2">
        <v>0</v>
      </c>
      <c r="AL1074" s="2">
        <v>0</v>
      </c>
      <c r="AM1074" s="2">
        <v>0</v>
      </c>
      <c r="AN1074" s="2">
        <v>0</v>
      </c>
      <c r="AO1074" s="2">
        <v>0</v>
      </c>
      <c r="AP1074" s="2">
        <v>0</v>
      </c>
      <c r="AQ1074" s="2">
        <v>0</v>
      </c>
      <c r="AR1074" s="2">
        <v>1250.7409366711402</v>
      </c>
    </row>
    <row r="1075" spans="1:44" x14ac:dyDescent="0.25">
      <c r="A1075" t="s">
        <v>435</v>
      </c>
      <c r="B1075" t="s">
        <v>458</v>
      </c>
      <c r="C1075" t="s">
        <v>44</v>
      </c>
      <c r="D1075" t="s">
        <v>459</v>
      </c>
      <c r="E1075" t="s">
        <v>134</v>
      </c>
      <c r="F1075" t="s">
        <v>459</v>
      </c>
      <c r="G1075" t="s">
        <v>33</v>
      </c>
      <c r="H1075" t="s">
        <v>457</v>
      </c>
      <c r="I1075" t="s">
        <v>135</v>
      </c>
      <c r="J1075" t="s">
        <v>39</v>
      </c>
      <c r="K1075" t="s">
        <v>31</v>
      </c>
      <c r="L1075">
        <v>8.2450165482258364E-2</v>
      </c>
      <c r="M1075">
        <v>1</v>
      </c>
      <c r="N1075">
        <v>2.3213699912174603</v>
      </c>
      <c r="O1075">
        <v>5.3471683850504323</v>
      </c>
      <c r="P1075">
        <v>-1.1565307758200241</v>
      </c>
      <c r="Q1075">
        <v>1.247676144441489</v>
      </c>
      <c r="R1075">
        <v>-1.8625523936223531</v>
      </c>
      <c r="S1075" s="2">
        <v>0.27894005546837031</v>
      </c>
      <c r="T1075" s="2">
        <v>0.55328470913141492</v>
      </c>
      <c r="U1075" s="2">
        <v>0.97480929725527588</v>
      </c>
      <c r="V1075" s="2">
        <v>1.5734377552773233</v>
      </c>
      <c r="W1075" s="2">
        <v>2.3698486917571011</v>
      </c>
      <c r="X1075" s="2">
        <v>3.3679658304227127</v>
      </c>
      <c r="Y1075" s="2">
        <v>4.5460427326020856</v>
      </c>
      <c r="Z1075" s="2">
        <v>5.8478842895131518</v>
      </c>
      <c r="AA1075" s="2">
        <v>7.1770702710015764</v>
      </c>
      <c r="AB1075" s="2">
        <v>8.3982295324016736</v>
      </c>
      <c r="AC1075" s="2">
        <v>9.3496355611686166</v>
      </c>
      <c r="AD1075" s="2">
        <v>9.8695805455167793</v>
      </c>
      <c r="AE1075" s="2">
        <v>9.8343867814383792</v>
      </c>
      <c r="AF1075" s="2">
        <v>9.1991052719656921</v>
      </c>
      <c r="AG1075" s="2">
        <v>8.0257235280244288</v>
      </c>
      <c r="AH1075" s="2">
        <v>6.5860214900494833</v>
      </c>
      <c r="AI1075" s="2">
        <v>2.3853954632175958</v>
      </c>
      <c r="AJ1075" s="2">
        <v>0</v>
      </c>
      <c r="AK1075" s="2">
        <v>0</v>
      </c>
      <c r="AL1075" s="2">
        <v>0</v>
      </c>
      <c r="AM1075" s="2">
        <v>0</v>
      </c>
      <c r="AN1075" s="2">
        <v>0</v>
      </c>
      <c r="AO1075" s="2">
        <v>0</v>
      </c>
      <c r="AP1075" s="2">
        <v>0</v>
      </c>
      <c r="AQ1075" s="2">
        <v>0</v>
      </c>
      <c r="AR1075" s="2">
        <v>90.337361806211661</v>
      </c>
    </row>
    <row r="1076" spans="1:44" x14ac:dyDescent="0.25">
      <c r="A1076" t="s">
        <v>435</v>
      </c>
      <c r="B1076" t="s">
        <v>458</v>
      </c>
      <c r="C1076" t="s">
        <v>44</v>
      </c>
      <c r="D1076" t="s">
        <v>459</v>
      </c>
      <c r="E1076" t="s">
        <v>134</v>
      </c>
      <c r="F1076" t="s">
        <v>459</v>
      </c>
      <c r="G1076" t="s">
        <v>33</v>
      </c>
      <c r="H1076" t="s">
        <v>457</v>
      </c>
      <c r="I1076" t="s">
        <v>135</v>
      </c>
      <c r="J1076" t="s">
        <v>39</v>
      </c>
      <c r="K1076" t="s">
        <v>33</v>
      </c>
      <c r="L1076">
        <v>8.2450165482258364E-2</v>
      </c>
      <c r="M1076">
        <v>1</v>
      </c>
      <c r="N1076">
        <v>2.3213699912174603</v>
      </c>
      <c r="O1076">
        <v>5.3471683850504323</v>
      </c>
      <c r="P1076">
        <v>-1.1565307758200241</v>
      </c>
      <c r="Q1076">
        <v>1.247676144441489</v>
      </c>
      <c r="R1076">
        <v>-1.8625523936223531</v>
      </c>
      <c r="S1076" s="2">
        <v>8.1616345740793558E-2</v>
      </c>
      <c r="T1076" s="2">
        <v>0.16188810186382294</v>
      </c>
      <c r="U1076" s="2">
        <v>0.28522390770495892</v>
      </c>
      <c r="V1076" s="2">
        <v>0.46037934430286148</v>
      </c>
      <c r="W1076" s="2">
        <v>0.6934048602487175</v>
      </c>
      <c r="X1076" s="2">
        <v>0.98544851580173409</v>
      </c>
      <c r="Y1076" s="2">
        <v>1.3301474210775215</v>
      </c>
      <c r="Z1076" s="2">
        <v>1.7110591923546119</v>
      </c>
      <c r="AA1076" s="2">
        <v>2.09997179379803</v>
      </c>
      <c r="AB1076" s="2">
        <v>2.4572763634685693</v>
      </c>
      <c r="AC1076" s="2">
        <v>2.735652601880564</v>
      </c>
      <c r="AD1076" s="2">
        <v>2.8877856812889564</v>
      </c>
      <c r="AE1076" s="2">
        <v>2.8774881770021676</v>
      </c>
      <c r="AF1076" s="2">
        <v>2.6916082565554786</v>
      </c>
      <c r="AG1076" s="2">
        <v>2.3482831290880655</v>
      </c>
      <c r="AH1076" s="2">
        <v>1.9270341295573679</v>
      </c>
      <c r="AI1076" s="2">
        <v>0.69795376116774754</v>
      </c>
      <c r="AJ1076" s="2">
        <v>0</v>
      </c>
      <c r="AK1076" s="2">
        <v>0</v>
      </c>
      <c r="AL1076" s="2">
        <v>0</v>
      </c>
      <c r="AM1076" s="2">
        <v>0</v>
      </c>
      <c r="AN1076" s="2">
        <v>0</v>
      </c>
      <c r="AO1076" s="2">
        <v>0</v>
      </c>
      <c r="AP1076" s="2">
        <v>0</v>
      </c>
      <c r="AQ1076" s="2">
        <v>0</v>
      </c>
      <c r="AR1076" s="2">
        <v>26.432221582901963</v>
      </c>
    </row>
    <row r="1077" spans="1:44" x14ac:dyDescent="0.25">
      <c r="A1077" t="s">
        <v>435</v>
      </c>
      <c r="B1077" t="s">
        <v>458</v>
      </c>
      <c r="C1077" t="s">
        <v>44</v>
      </c>
      <c r="D1077" t="s">
        <v>459</v>
      </c>
      <c r="E1077" t="s">
        <v>134</v>
      </c>
      <c r="F1077" t="s">
        <v>459</v>
      </c>
      <c r="G1077" t="s">
        <v>33</v>
      </c>
      <c r="H1077" t="s">
        <v>457</v>
      </c>
      <c r="I1077" t="s">
        <v>256</v>
      </c>
      <c r="J1077" t="s">
        <v>39</v>
      </c>
      <c r="K1077" t="s">
        <v>33</v>
      </c>
      <c r="L1077">
        <v>8.2450165482258364E-2</v>
      </c>
      <c r="M1077">
        <v>1</v>
      </c>
      <c r="N1077">
        <v>1.1488405989818342</v>
      </c>
      <c r="O1077">
        <v>2.6463011728329873</v>
      </c>
      <c r="P1077">
        <v>0.30640617552884364</v>
      </c>
      <c r="Q1077">
        <v>1.3498045353129324</v>
      </c>
      <c r="R1077">
        <v>-0.39961544227348528</v>
      </c>
      <c r="S1077" s="2">
        <v>0.224450427164926</v>
      </c>
      <c r="T1077" s="2">
        <v>0.44520314266033961</v>
      </c>
      <c r="U1077" s="2">
        <v>0.78438488443656973</v>
      </c>
      <c r="V1077" s="2">
        <v>1.2660740878409382</v>
      </c>
      <c r="W1077" s="2">
        <v>1.9069098924784478</v>
      </c>
      <c r="X1077" s="2">
        <v>2.7100495410956515</v>
      </c>
      <c r="Y1077" s="2">
        <v>3.6579946595667279</v>
      </c>
      <c r="Z1077" s="2">
        <v>4.7055275893896171</v>
      </c>
      <c r="AA1077" s="2">
        <v>5.7750633390178638</v>
      </c>
      <c r="AB1077" s="2">
        <v>6.7576748804023783</v>
      </c>
      <c r="AC1077" s="2">
        <v>7.5232282148113221</v>
      </c>
      <c r="AD1077" s="2">
        <v>7.9416043911666687</v>
      </c>
      <c r="AE1077" s="2">
        <v>7.913285563425438</v>
      </c>
      <c r="AF1077" s="2">
        <v>7.4021033098344269</v>
      </c>
      <c r="AG1077" s="2">
        <v>6.4579361725155424</v>
      </c>
      <c r="AH1077" s="2">
        <v>5.2994731584062844</v>
      </c>
      <c r="AI1077" s="2">
        <v>1.9194196752326305</v>
      </c>
      <c r="AJ1077" s="2">
        <v>0</v>
      </c>
      <c r="AK1077" s="2">
        <v>0</v>
      </c>
      <c r="AL1077" s="2">
        <v>0</v>
      </c>
      <c r="AM1077" s="2">
        <v>0</v>
      </c>
      <c r="AN1077" s="2">
        <v>0</v>
      </c>
      <c r="AO1077" s="2">
        <v>0</v>
      </c>
      <c r="AP1077" s="2">
        <v>0</v>
      </c>
      <c r="AQ1077" s="2">
        <v>0</v>
      </c>
      <c r="AR1077" s="2">
        <v>72.690382929445775</v>
      </c>
    </row>
    <row r="1078" spans="1:44" x14ac:dyDescent="0.25">
      <c r="A1078" t="s">
        <v>435</v>
      </c>
      <c r="B1078" t="s">
        <v>458</v>
      </c>
      <c r="C1078" t="s">
        <v>44</v>
      </c>
      <c r="D1078" t="s">
        <v>459</v>
      </c>
      <c r="E1078" t="s">
        <v>134</v>
      </c>
      <c r="F1078" t="s">
        <v>459</v>
      </c>
      <c r="G1078" t="s">
        <v>33</v>
      </c>
      <c r="H1078" t="s">
        <v>457</v>
      </c>
      <c r="I1078" t="s">
        <v>256</v>
      </c>
      <c r="J1078" t="s">
        <v>40</v>
      </c>
      <c r="K1078" t="s">
        <v>33</v>
      </c>
      <c r="L1078">
        <v>8.2450165482258364E-2</v>
      </c>
      <c r="M1078">
        <v>1</v>
      </c>
      <c r="N1078">
        <v>1.1488405989818342</v>
      </c>
      <c r="O1078">
        <v>1.4737622038640097</v>
      </c>
      <c r="P1078">
        <v>0.30640617552884364</v>
      </c>
      <c r="Q1078">
        <v>1.3498045353129324</v>
      </c>
      <c r="R1078">
        <v>-0.25661544227348526</v>
      </c>
      <c r="S1078" s="2">
        <v>2.0538075110335576</v>
      </c>
      <c r="T1078" s="2">
        <v>4.0737795417946687</v>
      </c>
      <c r="U1078" s="2">
        <v>7.1774225941359973</v>
      </c>
      <c r="V1078" s="2">
        <v>11.585063588326344</v>
      </c>
      <c r="W1078" s="2">
        <v>17.448957034769386</v>
      </c>
      <c r="X1078" s="2">
        <v>24.79799291576068</v>
      </c>
      <c r="Y1078" s="2">
        <v>33.472054395416123</v>
      </c>
      <c r="Z1078" s="2">
        <v>43.057382552285112</v>
      </c>
      <c r="AA1078" s="2">
        <v>52.844044950977398</v>
      </c>
      <c r="AB1078" s="2">
        <v>61.835317498838862</v>
      </c>
      <c r="AC1078" s="2">
        <v>68.840424186163375</v>
      </c>
      <c r="AD1078" s="2">
        <v>72.668726695049799</v>
      </c>
      <c r="AE1078" s="2">
        <v>72.409598557700036</v>
      </c>
      <c r="AF1078" s="2">
        <v>67.73208484033546</v>
      </c>
      <c r="AG1078" s="2">
        <v>59.092593337511516</v>
      </c>
      <c r="AH1078" s="2">
        <v>48.492212355015624</v>
      </c>
      <c r="AI1078" s="2">
        <v>17.563426345906112</v>
      </c>
      <c r="AJ1078" s="2">
        <v>0</v>
      </c>
      <c r="AK1078" s="2">
        <v>0</v>
      </c>
      <c r="AL1078" s="2">
        <v>0</v>
      </c>
      <c r="AM1078" s="2">
        <v>0</v>
      </c>
      <c r="AN1078" s="2">
        <v>0</v>
      </c>
      <c r="AO1078" s="2">
        <v>0</v>
      </c>
      <c r="AP1078" s="2">
        <v>0</v>
      </c>
      <c r="AQ1078" s="2">
        <v>0</v>
      </c>
      <c r="AR1078" s="2">
        <v>665.14488890102007</v>
      </c>
    </row>
    <row r="1079" spans="1:44" x14ac:dyDescent="0.25">
      <c r="A1079" t="s">
        <v>435</v>
      </c>
      <c r="B1079" t="s">
        <v>440</v>
      </c>
      <c r="C1079" t="s">
        <v>44</v>
      </c>
      <c r="D1079" t="s">
        <v>441</v>
      </c>
      <c r="E1079" t="s">
        <v>134</v>
      </c>
      <c r="F1079" t="s">
        <v>441</v>
      </c>
      <c r="G1079" t="s">
        <v>33</v>
      </c>
      <c r="H1079" t="s">
        <v>437</v>
      </c>
      <c r="I1079" t="s">
        <v>135</v>
      </c>
      <c r="J1079" t="s">
        <v>39</v>
      </c>
      <c r="K1079" t="s">
        <v>31</v>
      </c>
      <c r="L1079">
        <v>0.11742925210440458</v>
      </c>
      <c r="M1079">
        <v>1</v>
      </c>
      <c r="N1079">
        <v>6.8697622499189688</v>
      </c>
      <c r="O1079">
        <v>5.3471683850504297</v>
      </c>
      <c r="P1079">
        <v>-1.9826031070438808</v>
      </c>
      <c r="Q1079">
        <v>0.42160381321763152</v>
      </c>
      <c r="R1079">
        <v>-1.862552393622352</v>
      </c>
      <c r="S1079" s="2">
        <v>0.76888752762052204</v>
      </c>
      <c r="T1079" s="2">
        <v>1.2410598349095892</v>
      </c>
      <c r="U1079" s="2">
        <v>1.8692344303346091</v>
      </c>
      <c r="V1079" s="2">
        <v>2.6565061779319237</v>
      </c>
      <c r="W1079" s="2">
        <v>3.5857224248573312</v>
      </c>
      <c r="X1079" s="2">
        <v>4.6125588931443948</v>
      </c>
      <c r="Y1079" s="2">
        <v>5.6609634641020934</v>
      </c>
      <c r="Z1079" s="2">
        <v>6.6241612177268632</v>
      </c>
      <c r="AA1079" s="2">
        <v>7.3745892566074849</v>
      </c>
      <c r="AB1079" s="2">
        <v>7.7846994336849775</v>
      </c>
      <c r="AC1079" s="2">
        <v>7.7569401105783031</v>
      </c>
      <c r="AD1079" s="2">
        <v>7.25585745724619</v>
      </c>
      <c r="AE1079" s="2">
        <v>6.3303445486246437</v>
      </c>
      <c r="AF1079" s="2">
        <v>5.1947696791546649</v>
      </c>
      <c r="AG1079" s="2">
        <v>0.93085957358123539</v>
      </c>
      <c r="AH1079" s="2">
        <v>0</v>
      </c>
      <c r="AI1079" s="2">
        <v>0</v>
      </c>
      <c r="AJ1079" s="2">
        <v>0</v>
      </c>
      <c r="AK1079" s="2">
        <v>0</v>
      </c>
      <c r="AL1079" s="2">
        <v>0</v>
      </c>
      <c r="AM1079" s="2">
        <v>0</v>
      </c>
      <c r="AN1079" s="2">
        <v>0</v>
      </c>
      <c r="AO1079" s="2">
        <v>0</v>
      </c>
      <c r="AP1079" s="2">
        <v>0</v>
      </c>
      <c r="AQ1079" s="2">
        <v>0</v>
      </c>
      <c r="AR1079" s="2">
        <v>69.647154030104815</v>
      </c>
    </row>
    <row r="1080" spans="1:44" x14ac:dyDescent="0.25">
      <c r="A1080" t="s">
        <v>435</v>
      </c>
      <c r="B1080" t="s">
        <v>468</v>
      </c>
      <c r="C1080" t="s">
        <v>47</v>
      </c>
      <c r="D1080" t="s">
        <v>187</v>
      </c>
      <c r="E1080" t="s">
        <v>134</v>
      </c>
      <c r="F1080" t="s">
        <v>187</v>
      </c>
      <c r="G1080" t="s">
        <v>33</v>
      </c>
      <c r="H1080" t="s">
        <v>450</v>
      </c>
      <c r="I1080" t="s">
        <v>135</v>
      </c>
      <c r="J1080" t="s">
        <v>39</v>
      </c>
      <c r="K1080" t="s">
        <v>31</v>
      </c>
      <c r="L1080">
        <v>6.3919579739479149E-2</v>
      </c>
      <c r="M1080">
        <v>1</v>
      </c>
      <c r="N1080">
        <v>3.1656152093206575</v>
      </c>
      <c r="O1080">
        <v>2.8779545327574692</v>
      </c>
      <c r="P1080">
        <v>-0.574311889298731</v>
      </c>
      <c r="Q1080">
        <v>0.4924341706281804</v>
      </c>
      <c r="R1080">
        <v>-0.52509153328775149</v>
      </c>
      <c r="S1080" s="2">
        <v>7.6428819775775078E-2</v>
      </c>
      <c r="T1080" s="2">
        <v>0.12336360656908968</v>
      </c>
      <c r="U1080" s="2">
        <v>0.18580530475872986</v>
      </c>
      <c r="V1080" s="2">
        <v>0.26406154946318444</v>
      </c>
      <c r="W1080" s="2">
        <v>0.35642733576845392</v>
      </c>
      <c r="X1080" s="2">
        <v>0.45849674976555338</v>
      </c>
      <c r="Y1080" s="2">
        <v>0.56271007242640858</v>
      </c>
      <c r="Z1080" s="2">
        <v>0.65845368235078705</v>
      </c>
      <c r="AA1080" s="2">
        <v>0.73304759534582553</v>
      </c>
      <c r="AB1080" s="2">
        <v>0.77381329343052196</v>
      </c>
      <c r="AC1080" s="2">
        <v>0.77105396618615452</v>
      </c>
      <c r="AD1080" s="2">
        <v>0.72124543837350352</v>
      </c>
      <c r="AE1080" s="2">
        <v>0.62924777063646031</v>
      </c>
      <c r="AF1080" s="2">
        <v>0.51636956163596881</v>
      </c>
      <c r="AG1080" s="2">
        <v>9.2529135966042356E-2</v>
      </c>
      <c r="AH1080" s="2">
        <v>0</v>
      </c>
      <c r="AI1080" s="2">
        <v>0</v>
      </c>
      <c r="AJ1080" s="2">
        <v>0</v>
      </c>
      <c r="AK1080" s="2">
        <v>0</v>
      </c>
      <c r="AL1080" s="2">
        <v>0</v>
      </c>
      <c r="AM1080" s="2">
        <v>0</v>
      </c>
      <c r="AN1080" s="2">
        <v>0</v>
      </c>
      <c r="AO1080" s="2">
        <v>0</v>
      </c>
      <c r="AP1080" s="2">
        <v>0</v>
      </c>
      <c r="AQ1080" s="2">
        <v>0</v>
      </c>
      <c r="AR1080" s="2">
        <v>6.9230538824524581</v>
      </c>
    </row>
    <row r="1081" spans="1:44" x14ac:dyDescent="0.25">
      <c r="A1081" t="s">
        <v>435</v>
      </c>
      <c r="B1081" t="s">
        <v>468</v>
      </c>
      <c r="C1081" t="s">
        <v>47</v>
      </c>
      <c r="D1081" t="s">
        <v>187</v>
      </c>
      <c r="E1081" t="s">
        <v>134</v>
      </c>
      <c r="F1081" t="s">
        <v>187</v>
      </c>
      <c r="G1081" t="s">
        <v>33</v>
      </c>
      <c r="H1081" t="s">
        <v>450</v>
      </c>
      <c r="I1081" t="s">
        <v>135</v>
      </c>
      <c r="J1081" t="s">
        <v>39</v>
      </c>
      <c r="K1081" t="s">
        <v>33</v>
      </c>
      <c r="L1081">
        <v>6.3919579739479149E-2</v>
      </c>
      <c r="M1081">
        <v>1</v>
      </c>
      <c r="N1081">
        <v>3.1656152093206575</v>
      </c>
      <c r="O1081">
        <v>2.8779545327574692</v>
      </c>
      <c r="P1081">
        <v>-0.574311889298731</v>
      </c>
      <c r="Q1081">
        <v>0.4924341706281804</v>
      </c>
      <c r="R1081">
        <v>-0.52509153328775149</v>
      </c>
      <c r="S1081" s="2">
        <v>4.7086284573588405E-2</v>
      </c>
      <c r="T1081" s="2">
        <v>7.5948899899346667E-2</v>
      </c>
      <c r="U1081" s="2">
        <v>0.11431144091393187</v>
      </c>
      <c r="V1081" s="2">
        <v>0.16234313099375197</v>
      </c>
      <c r="W1081" s="2">
        <v>0.21897619992514003</v>
      </c>
      <c r="X1081" s="2">
        <v>0.28148764134933063</v>
      </c>
      <c r="Y1081" s="2">
        <v>0.34522713161137009</v>
      </c>
      <c r="Z1081" s="2">
        <v>0.40368500876149571</v>
      </c>
      <c r="AA1081" s="2">
        <v>0.44910379465683892</v>
      </c>
      <c r="AB1081" s="2">
        <v>0.4737485541844258</v>
      </c>
      <c r="AC1081" s="2">
        <v>0.47173016353706776</v>
      </c>
      <c r="AD1081" s="2">
        <v>0.44094976051703061</v>
      </c>
      <c r="AE1081" s="2">
        <v>0.38443673254941296</v>
      </c>
      <c r="AF1081" s="2">
        <v>0.31525427610316592</v>
      </c>
      <c r="AG1081" s="2">
        <v>1.0081822051386387E-2</v>
      </c>
      <c r="AH1081" s="2">
        <v>0</v>
      </c>
      <c r="AI1081" s="2">
        <v>0</v>
      </c>
      <c r="AJ1081" s="2">
        <v>0</v>
      </c>
      <c r="AK1081" s="2">
        <v>0</v>
      </c>
      <c r="AL1081" s="2">
        <v>0</v>
      </c>
      <c r="AM1081" s="2">
        <v>0</v>
      </c>
      <c r="AN1081" s="2">
        <v>0</v>
      </c>
      <c r="AO1081" s="2">
        <v>0</v>
      </c>
      <c r="AP1081" s="2">
        <v>0</v>
      </c>
      <c r="AQ1081" s="2">
        <v>0</v>
      </c>
      <c r="AR1081" s="2">
        <v>4.1943708416272836</v>
      </c>
    </row>
    <row r="1082" spans="1:44" x14ac:dyDescent="0.25">
      <c r="A1082" t="s">
        <v>435</v>
      </c>
      <c r="B1082" t="s">
        <v>468</v>
      </c>
      <c r="C1082" t="s">
        <v>47</v>
      </c>
      <c r="D1082" t="s">
        <v>187</v>
      </c>
      <c r="E1082" t="s">
        <v>134</v>
      </c>
      <c r="F1082" t="s">
        <v>187</v>
      </c>
      <c r="G1082" t="s">
        <v>33</v>
      </c>
      <c r="H1082" t="s">
        <v>450</v>
      </c>
      <c r="I1082" t="s">
        <v>256</v>
      </c>
      <c r="J1082" t="s">
        <v>40</v>
      </c>
      <c r="K1082" t="s">
        <v>33</v>
      </c>
      <c r="L1082">
        <v>6.3919579739479149E-2</v>
      </c>
      <c r="M1082">
        <v>1</v>
      </c>
      <c r="N1082">
        <v>2.9108073618997499</v>
      </c>
      <c r="O1082">
        <v>1.473762203864009</v>
      </c>
      <c r="P1082">
        <v>-0.44883579828446457</v>
      </c>
      <c r="Q1082">
        <v>1.3498045353129324</v>
      </c>
      <c r="R1082">
        <v>-0.25661544227348498</v>
      </c>
      <c r="S1082" s="2">
        <v>1.2299881298669582</v>
      </c>
      <c r="T1082" s="2">
        <v>1.9853214034014441</v>
      </c>
      <c r="U1082" s="2">
        <v>2.9902112840422004</v>
      </c>
      <c r="V1082" s="2">
        <v>4.2496086207645467</v>
      </c>
      <c r="W1082" s="2">
        <v>5.7360743426560026</v>
      </c>
      <c r="X1082" s="2">
        <v>7.3787029742013654</v>
      </c>
      <c r="Y1082" s="2">
        <v>9.0558340645793383</v>
      </c>
      <c r="Z1082" s="2">
        <v>10.596659947578569</v>
      </c>
      <c r="AA1082" s="2">
        <v>11.797118463271973</v>
      </c>
      <c r="AB1082" s="2">
        <v>12.453171047847013</v>
      </c>
      <c r="AC1082" s="2">
        <v>12.408764503732534</v>
      </c>
      <c r="AD1082" s="2">
        <v>11.607183396560613</v>
      </c>
      <c r="AE1082" s="2">
        <v>10.126641898942541</v>
      </c>
      <c r="AF1082" s="2">
        <v>8.3100646235303657</v>
      </c>
      <c r="AG1082" s="2">
        <v>1.4890945488752934</v>
      </c>
      <c r="AH1082" s="2">
        <v>0</v>
      </c>
      <c r="AI1082" s="2">
        <v>0</v>
      </c>
      <c r="AJ1082" s="2">
        <v>0</v>
      </c>
      <c r="AK1082" s="2">
        <v>0</v>
      </c>
      <c r="AL1082" s="2">
        <v>0</v>
      </c>
      <c r="AM1082" s="2">
        <v>0</v>
      </c>
      <c r="AN1082" s="2">
        <v>0</v>
      </c>
      <c r="AO1082" s="2">
        <v>0</v>
      </c>
      <c r="AP1082" s="2">
        <v>0</v>
      </c>
      <c r="AQ1082" s="2">
        <v>0</v>
      </c>
      <c r="AR1082" s="2">
        <v>111.41443924985077</v>
      </c>
    </row>
    <row r="1083" spans="1:44" x14ac:dyDescent="0.25">
      <c r="A1083" t="s">
        <v>435</v>
      </c>
      <c r="B1083" t="s">
        <v>468</v>
      </c>
      <c r="C1083" t="s">
        <v>47</v>
      </c>
      <c r="D1083" t="s">
        <v>187</v>
      </c>
      <c r="E1083" t="s">
        <v>134</v>
      </c>
      <c r="F1083" t="s">
        <v>187</v>
      </c>
      <c r="G1083" t="s">
        <v>33</v>
      </c>
      <c r="H1083" t="s">
        <v>451</v>
      </c>
      <c r="I1083" t="s">
        <v>135</v>
      </c>
      <c r="J1083" t="s">
        <v>39</v>
      </c>
      <c r="K1083" t="s">
        <v>31</v>
      </c>
      <c r="L1083">
        <v>6.3919579739479149E-2</v>
      </c>
      <c r="M1083">
        <v>1</v>
      </c>
      <c r="N1083">
        <v>3.1656152093206575</v>
      </c>
      <c r="O1083">
        <v>2.8779545327574692</v>
      </c>
      <c r="P1083">
        <v>-0.574311889298731</v>
      </c>
      <c r="Q1083">
        <v>0.4924341706281804</v>
      </c>
      <c r="R1083">
        <v>-0.52509153328775149</v>
      </c>
      <c r="S1083" s="2">
        <v>1.9992465653421491E-2</v>
      </c>
      <c r="T1083" s="2">
        <v>3.226979919944363E-2</v>
      </c>
      <c r="U1083" s="2">
        <v>4.8603474245847704E-2</v>
      </c>
      <c r="V1083" s="2">
        <v>6.9073962852234022E-2</v>
      </c>
      <c r="W1083" s="2">
        <v>9.3235265037416706E-2</v>
      </c>
      <c r="X1083" s="2">
        <v>0.11993486944827361</v>
      </c>
      <c r="Y1083" s="2">
        <v>0.14719528351771161</v>
      </c>
      <c r="Z1083" s="2">
        <v>0.17224016630621217</v>
      </c>
      <c r="AA1083" s="2">
        <v>0.191752651882763</v>
      </c>
      <c r="AB1083" s="2">
        <v>0.20241625785217465</v>
      </c>
      <c r="AC1083" s="2">
        <v>0.20169446527024806</v>
      </c>
      <c r="AD1083" s="2">
        <v>0.18866541046522353</v>
      </c>
      <c r="AE1083" s="2">
        <v>0.16460040177054922</v>
      </c>
      <c r="AF1083" s="2">
        <v>0.1350734023600815</v>
      </c>
      <c r="AG1083" s="2">
        <v>2.420403164891264E-2</v>
      </c>
      <c r="AH1083" s="2">
        <v>0</v>
      </c>
      <c r="AI1083" s="2">
        <v>0</v>
      </c>
      <c r="AJ1083" s="2">
        <v>0</v>
      </c>
      <c r="AK1083" s="2">
        <v>0</v>
      </c>
      <c r="AL1083" s="2">
        <v>0</v>
      </c>
      <c r="AM1083" s="2">
        <v>0</v>
      </c>
      <c r="AN1083" s="2">
        <v>0</v>
      </c>
      <c r="AO1083" s="2">
        <v>0</v>
      </c>
      <c r="AP1083" s="2">
        <v>0</v>
      </c>
      <c r="AQ1083" s="2">
        <v>0</v>
      </c>
      <c r="AR1083" s="2">
        <v>1.8109519075105134</v>
      </c>
    </row>
    <row r="1084" spans="1:44" x14ac:dyDescent="0.25">
      <c r="A1084" t="s">
        <v>435</v>
      </c>
      <c r="B1084" t="s">
        <v>468</v>
      </c>
      <c r="C1084" t="s">
        <v>47</v>
      </c>
      <c r="D1084" t="s">
        <v>187</v>
      </c>
      <c r="E1084" t="s">
        <v>134</v>
      </c>
      <c r="F1084" t="s">
        <v>187</v>
      </c>
      <c r="G1084" t="s">
        <v>33</v>
      </c>
      <c r="H1084" t="s">
        <v>451</v>
      </c>
      <c r="I1084" t="s">
        <v>135</v>
      </c>
      <c r="J1084" t="s">
        <v>39</v>
      </c>
      <c r="K1084" t="s">
        <v>33</v>
      </c>
      <c r="L1084">
        <v>6.3919579739479149E-2</v>
      </c>
      <c r="M1084">
        <v>1</v>
      </c>
      <c r="N1084">
        <v>3.1656152093206575</v>
      </c>
      <c r="O1084">
        <v>2.8779545327574692</v>
      </c>
      <c r="P1084">
        <v>-0.574311889298731</v>
      </c>
      <c r="Q1084">
        <v>0.4924341706281804</v>
      </c>
      <c r="R1084">
        <v>-0.52509153328775149</v>
      </c>
      <c r="S1084" s="2">
        <v>9.00623118329269E-2</v>
      </c>
      <c r="T1084" s="2">
        <v>0.14536939908604249</v>
      </c>
      <c r="U1084" s="2">
        <v>0.21894954477233439</v>
      </c>
      <c r="V1084" s="2">
        <v>0.31116526044246362</v>
      </c>
      <c r="W1084" s="2">
        <v>0.42000739974703205</v>
      </c>
      <c r="X1084" s="2">
        <v>0.54028411498324691</v>
      </c>
      <c r="Y1084" s="2">
        <v>0.66308717265393802</v>
      </c>
      <c r="Z1084" s="2">
        <v>0.77590967702227831</v>
      </c>
      <c r="AA1084" s="2">
        <v>0.86380976854150826</v>
      </c>
      <c r="AB1084" s="2">
        <v>0.91184731542188813</v>
      </c>
      <c r="AC1084" s="2">
        <v>0.90859577508068723</v>
      </c>
      <c r="AD1084" s="2">
        <v>0.84990232440380231</v>
      </c>
      <c r="AE1084" s="2">
        <v>0.74149396923171573</v>
      </c>
      <c r="AF1084" s="2">
        <v>0.60848036928382332</v>
      </c>
      <c r="AG1084" s="2">
        <v>0.10903462753256286</v>
      </c>
      <c r="AH1084" s="2">
        <v>0</v>
      </c>
      <c r="AI1084" s="2">
        <v>0</v>
      </c>
      <c r="AJ1084" s="2">
        <v>0</v>
      </c>
      <c r="AK1084" s="2">
        <v>0</v>
      </c>
      <c r="AL1084" s="2">
        <v>0</v>
      </c>
      <c r="AM1084" s="2">
        <v>0</v>
      </c>
      <c r="AN1084" s="2">
        <v>0</v>
      </c>
      <c r="AO1084" s="2">
        <v>0</v>
      </c>
      <c r="AP1084" s="2">
        <v>0</v>
      </c>
      <c r="AQ1084" s="2">
        <v>0</v>
      </c>
      <c r="AR1084" s="2">
        <v>8.1579990300362493</v>
      </c>
    </row>
    <row r="1085" spans="1:44" x14ac:dyDescent="0.25">
      <c r="A1085" t="s">
        <v>435</v>
      </c>
      <c r="B1085" t="s">
        <v>468</v>
      </c>
      <c r="C1085" t="s">
        <v>47</v>
      </c>
      <c r="D1085" t="s">
        <v>187</v>
      </c>
      <c r="E1085" t="s">
        <v>134</v>
      </c>
      <c r="F1085" t="s">
        <v>187</v>
      </c>
      <c r="G1085" t="s">
        <v>33</v>
      </c>
      <c r="H1085" t="s">
        <v>452</v>
      </c>
      <c r="I1085" t="s">
        <v>135</v>
      </c>
      <c r="J1085" t="s">
        <v>39</v>
      </c>
      <c r="K1085" t="s">
        <v>31</v>
      </c>
      <c r="L1085">
        <v>6.3919579739479149E-2</v>
      </c>
      <c r="M1085">
        <v>1</v>
      </c>
      <c r="N1085">
        <v>3.1656152093206575</v>
      </c>
      <c r="O1085">
        <v>2.8779545327574692</v>
      </c>
      <c r="P1085">
        <v>-0.574311889298731</v>
      </c>
      <c r="Q1085">
        <v>0.4924341706281804</v>
      </c>
      <c r="R1085">
        <v>-0.52509153328775149</v>
      </c>
      <c r="S1085" s="2">
        <v>0.4528156773932186</v>
      </c>
      <c r="T1085" s="2">
        <v>0.73088888770147664</v>
      </c>
      <c r="U1085" s="2">
        <v>1.1008354595087615</v>
      </c>
      <c r="V1085" s="2">
        <v>1.5644780299430208</v>
      </c>
      <c r="W1085" s="2">
        <v>2.111715004378607</v>
      </c>
      <c r="X1085" s="2">
        <v>2.7164427886858942</v>
      </c>
      <c r="Y1085" s="2">
        <v>3.3338725283118151</v>
      </c>
      <c r="Z1085" s="2">
        <v>3.9011219992727826</v>
      </c>
      <c r="AA1085" s="2">
        <v>4.3430664561066568</v>
      </c>
      <c r="AB1085" s="2">
        <v>4.5845898401754539</v>
      </c>
      <c r="AC1085" s="2">
        <v>4.5682417317135746</v>
      </c>
      <c r="AD1085" s="2">
        <v>4.2731425488711201</v>
      </c>
      <c r="AE1085" s="2">
        <v>3.7280865561557968</v>
      </c>
      <c r="AF1085" s="2">
        <v>3.0593202083115556</v>
      </c>
      <c r="AG1085" s="2">
        <v>0.54820476757319858</v>
      </c>
      <c r="AH1085" s="2">
        <v>0</v>
      </c>
      <c r="AI1085" s="2">
        <v>0</v>
      </c>
      <c r="AJ1085" s="2">
        <v>0</v>
      </c>
      <c r="AK1085" s="2">
        <v>0</v>
      </c>
      <c r="AL1085" s="2">
        <v>0</v>
      </c>
      <c r="AM1085" s="2">
        <v>0</v>
      </c>
      <c r="AN1085" s="2">
        <v>0</v>
      </c>
      <c r="AO1085" s="2">
        <v>0</v>
      </c>
      <c r="AP1085" s="2">
        <v>0</v>
      </c>
      <c r="AQ1085" s="2">
        <v>0</v>
      </c>
      <c r="AR1085" s="2">
        <v>41.016822484102939</v>
      </c>
    </row>
    <row r="1086" spans="1:44" x14ac:dyDescent="0.25">
      <c r="A1086" t="s">
        <v>435</v>
      </c>
      <c r="B1086" t="s">
        <v>468</v>
      </c>
      <c r="C1086" t="s">
        <v>47</v>
      </c>
      <c r="D1086" t="s">
        <v>187</v>
      </c>
      <c r="E1086" t="s">
        <v>134</v>
      </c>
      <c r="F1086" t="s">
        <v>187</v>
      </c>
      <c r="G1086" t="s">
        <v>33</v>
      </c>
      <c r="H1086" t="s">
        <v>452</v>
      </c>
      <c r="I1086" t="s">
        <v>135</v>
      </c>
      <c r="J1086" t="s">
        <v>39</v>
      </c>
      <c r="K1086" t="s">
        <v>33</v>
      </c>
      <c r="L1086">
        <v>6.3919579739479149E-2</v>
      </c>
      <c r="M1086">
        <v>1</v>
      </c>
      <c r="N1086">
        <v>3.1656152093206575</v>
      </c>
      <c r="O1086">
        <v>2.8779545327574692</v>
      </c>
      <c r="P1086">
        <v>-0.574311889298731</v>
      </c>
      <c r="Q1086">
        <v>0.4924341706281804</v>
      </c>
      <c r="R1086">
        <v>-0.52509153328775149</v>
      </c>
      <c r="S1086" s="2">
        <v>0.89542798016203673</v>
      </c>
      <c r="T1086" s="2">
        <v>1.4453085286379976</v>
      </c>
      <c r="U1086" s="2">
        <v>2.1768656016357273</v>
      </c>
      <c r="V1086" s="2">
        <v>3.0937034036108693</v>
      </c>
      <c r="W1086" s="2">
        <v>4.1758463663054286</v>
      </c>
      <c r="X1086" s="2">
        <v>5.371675498298834</v>
      </c>
      <c r="Y1086" s="2">
        <v>6.5926223255552392</v>
      </c>
      <c r="Z1086" s="2">
        <v>7.7143393362264101</v>
      </c>
      <c r="AA1086" s="2">
        <v>8.588269838378439</v>
      </c>
      <c r="AB1086" s="2">
        <v>9.0658743179839849</v>
      </c>
      <c r="AC1086" s="2">
        <v>9.0335464758391169</v>
      </c>
      <c r="AD1086" s="2">
        <v>8.4499976315030025</v>
      </c>
      <c r="AE1086" s="2">
        <v>7.3721674878075314</v>
      </c>
      <c r="AF1086" s="2">
        <v>6.0497042208599652</v>
      </c>
      <c r="AG1086" s="2">
        <v>1.0840567415182571</v>
      </c>
      <c r="AH1086" s="2">
        <v>0</v>
      </c>
      <c r="AI1086" s="2">
        <v>0</v>
      </c>
      <c r="AJ1086" s="2">
        <v>0</v>
      </c>
      <c r="AK1086" s="2">
        <v>0</v>
      </c>
      <c r="AL1086" s="2">
        <v>0</v>
      </c>
      <c r="AM1086" s="2">
        <v>0</v>
      </c>
      <c r="AN1086" s="2">
        <v>0</v>
      </c>
      <c r="AO1086" s="2">
        <v>0</v>
      </c>
      <c r="AP1086" s="2">
        <v>0</v>
      </c>
      <c r="AQ1086" s="2">
        <v>0</v>
      </c>
      <c r="AR1086" s="2">
        <v>81.109405754322822</v>
      </c>
    </row>
    <row r="1087" spans="1:44" x14ac:dyDescent="0.25">
      <c r="A1087" t="s">
        <v>435</v>
      </c>
      <c r="B1087" t="s">
        <v>468</v>
      </c>
      <c r="C1087" t="s">
        <v>47</v>
      </c>
      <c r="D1087" t="s">
        <v>187</v>
      </c>
      <c r="E1087" t="s">
        <v>134</v>
      </c>
      <c r="F1087" t="s">
        <v>187</v>
      </c>
      <c r="G1087" t="s">
        <v>33</v>
      </c>
      <c r="H1087" t="s">
        <v>452</v>
      </c>
      <c r="I1087" t="s">
        <v>135</v>
      </c>
      <c r="J1087" t="s">
        <v>40</v>
      </c>
      <c r="K1087" t="s">
        <v>33</v>
      </c>
      <c r="L1087">
        <v>6.3919579739479149E-2</v>
      </c>
      <c r="M1087">
        <v>1</v>
      </c>
      <c r="N1087">
        <v>3.1656152093206575</v>
      </c>
      <c r="O1087">
        <v>1.7054155637884916</v>
      </c>
      <c r="P1087">
        <v>-0.574311889298731</v>
      </c>
      <c r="Q1087">
        <v>1.3498045353129324</v>
      </c>
      <c r="R1087">
        <v>-0.38209153328775158</v>
      </c>
      <c r="S1087" s="2">
        <v>6.5565581107375745E-2</v>
      </c>
      <c r="T1087" s="2">
        <v>0.10582927455812616</v>
      </c>
      <c r="U1087" s="2">
        <v>0.15939579879788388</v>
      </c>
      <c r="V1087" s="2">
        <v>0.22652906311338042</v>
      </c>
      <c r="W1087" s="2">
        <v>0.30576640409694755</v>
      </c>
      <c r="X1087" s="2">
        <v>0.39332814404848238</v>
      </c>
      <c r="Y1087" s="2">
        <v>0.48272906741005372</v>
      </c>
      <c r="Z1087" s="2">
        <v>0.56486412379881512</v>
      </c>
      <c r="AA1087" s="2">
        <v>0.62885560328183221</v>
      </c>
      <c r="AB1087" s="2">
        <v>0.66382705373746442</v>
      </c>
      <c r="AC1087" s="2">
        <v>0.66145992449520841</v>
      </c>
      <c r="AD1087" s="2">
        <v>0.61873095027160729</v>
      </c>
      <c r="AE1087" s="2">
        <v>0.53980940518692977</v>
      </c>
      <c r="AF1087" s="2">
        <v>0.44297518232192062</v>
      </c>
      <c r="AG1087" s="2">
        <v>7.9377472879672548E-2</v>
      </c>
      <c r="AH1087" s="2">
        <v>0</v>
      </c>
      <c r="AI1087" s="2">
        <v>0</v>
      </c>
      <c r="AJ1087" s="2">
        <v>0</v>
      </c>
      <c r="AK1087" s="2">
        <v>0</v>
      </c>
      <c r="AL1087" s="2">
        <v>0</v>
      </c>
      <c r="AM1087" s="2">
        <v>0</v>
      </c>
      <c r="AN1087" s="2">
        <v>0</v>
      </c>
      <c r="AO1087" s="2">
        <v>0</v>
      </c>
      <c r="AP1087" s="2">
        <v>0</v>
      </c>
      <c r="AQ1087" s="2">
        <v>0</v>
      </c>
      <c r="AR1087" s="2">
        <v>5.9390430491056998</v>
      </c>
    </row>
    <row r="1088" spans="1:44" x14ac:dyDescent="0.25">
      <c r="A1088" t="s">
        <v>435</v>
      </c>
      <c r="B1088" t="s">
        <v>468</v>
      </c>
      <c r="C1088" t="s">
        <v>47</v>
      </c>
      <c r="D1088" t="s">
        <v>187</v>
      </c>
      <c r="E1088" t="s">
        <v>134</v>
      </c>
      <c r="F1088" t="s">
        <v>187</v>
      </c>
      <c r="G1088" t="s">
        <v>33</v>
      </c>
      <c r="H1088" t="s">
        <v>452</v>
      </c>
      <c r="I1088" t="s">
        <v>256</v>
      </c>
      <c r="J1088" t="s">
        <v>40</v>
      </c>
      <c r="K1088" t="s">
        <v>33</v>
      </c>
      <c r="L1088">
        <v>6.3919579739479149E-2</v>
      </c>
      <c r="M1088">
        <v>1</v>
      </c>
      <c r="N1088">
        <v>2.9108073618997499</v>
      </c>
      <c r="O1088">
        <v>1.473762203864009</v>
      </c>
      <c r="P1088">
        <v>-0.44883579828446457</v>
      </c>
      <c r="Q1088">
        <v>1.3498045353129324</v>
      </c>
      <c r="R1088">
        <v>-0.25661544227348498</v>
      </c>
      <c r="S1088" s="2">
        <v>0.3953678280150319</v>
      </c>
      <c r="T1088" s="2">
        <v>0.63816242784349997</v>
      </c>
      <c r="U1088" s="2">
        <v>0.96117459345374423</v>
      </c>
      <c r="V1088" s="2">
        <v>1.3659957275257351</v>
      </c>
      <c r="W1088" s="2">
        <v>1.8438058052104604</v>
      </c>
      <c r="X1088" s="2">
        <v>2.3718129448888265</v>
      </c>
      <c r="Y1088" s="2">
        <v>2.9109105673764057</v>
      </c>
      <c r="Z1088" s="2">
        <v>3.406194194850634</v>
      </c>
      <c r="AA1088" s="2">
        <v>3.7920700130369358</v>
      </c>
      <c r="AB1088" s="2">
        <v>4.002951792404299</v>
      </c>
      <c r="AC1088" s="2">
        <v>3.9886777368505344</v>
      </c>
      <c r="AD1088" s="2">
        <v>3.731017216700045</v>
      </c>
      <c r="AE1088" s="2">
        <v>3.2551114238021133</v>
      </c>
      <c r="AF1088" s="2">
        <v>2.6711901693109299</v>
      </c>
      <c r="AG1088" s="2">
        <v>0.47865508877839585</v>
      </c>
      <c r="AH1088" s="2">
        <v>0</v>
      </c>
      <c r="AI1088" s="2">
        <v>0</v>
      </c>
      <c r="AJ1088" s="2">
        <v>0</v>
      </c>
      <c r="AK1088" s="2">
        <v>0</v>
      </c>
      <c r="AL1088" s="2">
        <v>0</v>
      </c>
      <c r="AM1088" s="2">
        <v>0</v>
      </c>
      <c r="AN1088" s="2">
        <v>0</v>
      </c>
      <c r="AO1088" s="2">
        <v>0</v>
      </c>
      <c r="AP1088" s="2">
        <v>0</v>
      </c>
      <c r="AQ1088" s="2">
        <v>0</v>
      </c>
      <c r="AR1088" s="2">
        <v>35.813097530047592</v>
      </c>
    </row>
    <row r="1089" spans="1:44" x14ac:dyDescent="0.25">
      <c r="A1089" t="s">
        <v>435</v>
      </c>
      <c r="B1089" t="s">
        <v>468</v>
      </c>
      <c r="C1089" t="s">
        <v>47</v>
      </c>
      <c r="D1089" t="s">
        <v>187</v>
      </c>
      <c r="E1089" t="s">
        <v>134</v>
      </c>
      <c r="F1089" t="s">
        <v>187</v>
      </c>
      <c r="G1089" t="s">
        <v>33</v>
      </c>
      <c r="H1089" t="s">
        <v>453</v>
      </c>
      <c r="I1089" t="s">
        <v>135</v>
      </c>
      <c r="J1089" t="s">
        <v>39</v>
      </c>
      <c r="K1089" t="s">
        <v>31</v>
      </c>
      <c r="L1089">
        <v>6.3919579739479149E-2</v>
      </c>
      <c r="M1089">
        <v>1</v>
      </c>
      <c r="N1089">
        <v>3.1656152093206575</v>
      </c>
      <c r="O1089">
        <v>2.8779545327574692</v>
      </c>
      <c r="P1089">
        <v>-0.574311889298731</v>
      </c>
      <c r="Q1089">
        <v>0.4924341706281804</v>
      </c>
      <c r="R1089">
        <v>-0.52509153328775149</v>
      </c>
      <c r="S1089" s="2">
        <v>0.13848456375194315</v>
      </c>
      <c r="T1089" s="2">
        <v>0.22352765996789176</v>
      </c>
      <c r="U1089" s="2">
        <v>0.33666837519928983</v>
      </c>
      <c r="V1089" s="2">
        <v>0.47846412633813828</v>
      </c>
      <c r="W1089" s="2">
        <v>0.64582554392403113</v>
      </c>
      <c r="X1089" s="2">
        <v>0.83076936892713638</v>
      </c>
      <c r="Y1089" s="2">
        <v>1.0195978313863117</v>
      </c>
      <c r="Z1089" s="2">
        <v>1.1930796683597558</v>
      </c>
      <c r="AA1089" s="2">
        <v>1.3282394880452419</v>
      </c>
      <c r="AB1089" s="2">
        <v>1.4021045553309204</v>
      </c>
      <c r="AC1089" s="2">
        <v>1.3971048153008361</v>
      </c>
      <c r="AD1089" s="2">
        <v>1.3068546679676987</v>
      </c>
      <c r="AE1089" s="2">
        <v>1.1401602597570564</v>
      </c>
      <c r="AF1089" s="2">
        <v>0.93563152862665111</v>
      </c>
      <c r="AG1089" s="2">
        <v>0.16765739764390813</v>
      </c>
      <c r="AH1089" s="2">
        <v>0</v>
      </c>
      <c r="AI1089" s="2">
        <v>0</v>
      </c>
      <c r="AJ1089" s="2">
        <v>0</v>
      </c>
      <c r="AK1089" s="2">
        <v>0</v>
      </c>
      <c r="AL1089" s="2">
        <v>0</v>
      </c>
      <c r="AM1089" s="2">
        <v>0</v>
      </c>
      <c r="AN1089" s="2">
        <v>0</v>
      </c>
      <c r="AO1089" s="2">
        <v>0</v>
      </c>
      <c r="AP1089" s="2">
        <v>0</v>
      </c>
      <c r="AQ1089" s="2">
        <v>0</v>
      </c>
      <c r="AR1089" s="2">
        <v>12.54416985052681</v>
      </c>
    </row>
    <row r="1090" spans="1:44" x14ac:dyDescent="0.25">
      <c r="A1090" t="s">
        <v>435</v>
      </c>
      <c r="B1090" t="s">
        <v>468</v>
      </c>
      <c r="C1090" t="s">
        <v>47</v>
      </c>
      <c r="D1090" t="s">
        <v>187</v>
      </c>
      <c r="E1090" t="s">
        <v>134</v>
      </c>
      <c r="F1090" t="s">
        <v>187</v>
      </c>
      <c r="G1090" t="s">
        <v>33</v>
      </c>
      <c r="H1090" t="s">
        <v>453</v>
      </c>
      <c r="I1090" t="s">
        <v>135</v>
      </c>
      <c r="J1090" t="s">
        <v>39</v>
      </c>
      <c r="K1090" t="s">
        <v>33</v>
      </c>
      <c r="L1090">
        <v>6.3919579739479149E-2</v>
      </c>
      <c r="M1090">
        <v>1</v>
      </c>
      <c r="N1090">
        <v>3.1656152093206575</v>
      </c>
      <c r="O1090">
        <v>2.8779545327574692</v>
      </c>
      <c r="P1090">
        <v>-0.574311889298731</v>
      </c>
      <c r="Q1090">
        <v>0.4924341706281804</v>
      </c>
      <c r="R1090">
        <v>-0.52509153328775149</v>
      </c>
      <c r="S1090" s="2">
        <v>0.12600487825158194</v>
      </c>
      <c r="T1090" s="2">
        <v>0.20338422432817896</v>
      </c>
      <c r="U1090" s="2">
        <v>0.30632914224383495</v>
      </c>
      <c r="V1090" s="2">
        <v>0.43534681666743313</v>
      </c>
      <c r="W1090" s="2">
        <v>0.58762627999228834</v>
      </c>
      <c r="X1090" s="2">
        <v>0.75590369316766948</v>
      </c>
      <c r="Y1090" s="2">
        <v>0.92771567551409861</v>
      </c>
      <c r="Z1090" s="2">
        <v>1.0855640100465667</v>
      </c>
      <c r="AA1090" s="2">
        <v>1.2085437571213482</v>
      </c>
      <c r="AB1090" s="2">
        <v>1.2757523943745832</v>
      </c>
      <c r="AC1090" s="2">
        <v>1.271203211298058</v>
      </c>
      <c r="AD1090" s="2">
        <v>1.1890860531195548</v>
      </c>
      <c r="AE1090" s="2">
        <v>1.0374134909022601</v>
      </c>
      <c r="AF1090" s="2">
        <v>0.85131608649262502</v>
      </c>
      <c r="AG1090" s="2">
        <v>0.15254877082140489</v>
      </c>
      <c r="AH1090" s="2">
        <v>0</v>
      </c>
      <c r="AI1090" s="2">
        <v>0</v>
      </c>
      <c r="AJ1090" s="2">
        <v>0</v>
      </c>
      <c r="AK1090" s="2">
        <v>0</v>
      </c>
      <c r="AL1090" s="2">
        <v>0</v>
      </c>
      <c r="AM1090" s="2">
        <v>0</v>
      </c>
      <c r="AN1090" s="2">
        <v>0</v>
      </c>
      <c r="AO1090" s="2">
        <v>0</v>
      </c>
      <c r="AP1090" s="2">
        <v>0</v>
      </c>
      <c r="AQ1090" s="2">
        <v>0</v>
      </c>
      <c r="AR1090" s="2">
        <v>11.413738484341486</v>
      </c>
    </row>
    <row r="1091" spans="1:44" x14ac:dyDescent="0.25">
      <c r="A1091" t="s">
        <v>435</v>
      </c>
      <c r="B1091" t="s">
        <v>468</v>
      </c>
      <c r="C1091" t="s">
        <v>47</v>
      </c>
      <c r="D1091" t="s">
        <v>187</v>
      </c>
      <c r="E1091" t="s">
        <v>134</v>
      </c>
      <c r="F1091" t="s">
        <v>187</v>
      </c>
      <c r="G1091" t="s">
        <v>33</v>
      </c>
      <c r="H1091" t="s">
        <v>453</v>
      </c>
      <c r="I1091" t="s">
        <v>135</v>
      </c>
      <c r="J1091" t="s">
        <v>40</v>
      </c>
      <c r="K1091" t="s">
        <v>33</v>
      </c>
      <c r="L1091">
        <v>6.3919579739479149E-2</v>
      </c>
      <c r="M1091">
        <v>1</v>
      </c>
      <c r="N1091">
        <v>3.1656152093206575</v>
      </c>
      <c r="O1091">
        <v>1.7054155637884916</v>
      </c>
      <c r="P1091">
        <v>-0.574311889298731</v>
      </c>
      <c r="Q1091">
        <v>1.3498045353129324</v>
      </c>
      <c r="R1091">
        <v>-0.38209153328775158</v>
      </c>
      <c r="S1091" s="2">
        <v>2.5660409989521527</v>
      </c>
      <c r="T1091" s="2">
        <v>4.1418416922254115</v>
      </c>
      <c r="U1091" s="2">
        <v>6.238275446781425</v>
      </c>
      <c r="V1091" s="2">
        <v>8.8656708838010019</v>
      </c>
      <c r="W1091" s="2">
        <v>11.966783726510355</v>
      </c>
      <c r="X1091" s="2">
        <v>15.393688679693923</v>
      </c>
      <c r="Y1091" s="2">
        <v>18.892573777871824</v>
      </c>
      <c r="Z1091" s="2">
        <v>22.107094546011552</v>
      </c>
      <c r="AA1091" s="2">
        <v>24.611529909256664</v>
      </c>
      <c r="AB1091" s="2">
        <v>25.980208019727659</v>
      </c>
      <c r="AC1091" s="2">
        <v>25.887565651844124</v>
      </c>
      <c r="AD1091" s="2">
        <v>24.215281232960265</v>
      </c>
      <c r="AE1091" s="2">
        <v>21.126527698445315</v>
      </c>
      <c r="AF1091" s="2">
        <v>17.3367254611045</v>
      </c>
      <c r="AG1091" s="2">
        <v>3.106597186546352</v>
      </c>
      <c r="AH1091" s="2">
        <v>0</v>
      </c>
      <c r="AI1091" s="2">
        <v>0</v>
      </c>
      <c r="AJ1091" s="2">
        <v>0</v>
      </c>
      <c r="AK1091" s="2">
        <v>0</v>
      </c>
      <c r="AL1091" s="2">
        <v>0</v>
      </c>
      <c r="AM1091" s="2">
        <v>0</v>
      </c>
      <c r="AN1091" s="2">
        <v>0</v>
      </c>
      <c r="AO1091" s="2">
        <v>0</v>
      </c>
      <c r="AP1091" s="2">
        <v>0</v>
      </c>
      <c r="AQ1091" s="2">
        <v>0</v>
      </c>
      <c r="AR1091" s="2">
        <v>232.4364049117325</v>
      </c>
    </row>
    <row r="1092" spans="1:44" x14ac:dyDescent="0.25">
      <c r="A1092" t="s">
        <v>435</v>
      </c>
      <c r="B1092" t="s">
        <v>468</v>
      </c>
      <c r="C1092" t="s">
        <v>47</v>
      </c>
      <c r="D1092" t="s">
        <v>187</v>
      </c>
      <c r="E1092" t="s">
        <v>134</v>
      </c>
      <c r="F1092" t="s">
        <v>187</v>
      </c>
      <c r="G1092" t="s">
        <v>33</v>
      </c>
      <c r="H1092" t="s">
        <v>453</v>
      </c>
      <c r="I1092" t="s">
        <v>256</v>
      </c>
      <c r="J1092" t="s">
        <v>40</v>
      </c>
      <c r="K1092" t="s">
        <v>33</v>
      </c>
      <c r="L1092">
        <v>6.3919579739479149E-2</v>
      </c>
      <c r="M1092">
        <v>1</v>
      </c>
      <c r="N1092">
        <v>2.9108073618997499</v>
      </c>
      <c r="O1092">
        <v>1.473762203864009</v>
      </c>
      <c r="P1092">
        <v>-0.44883579828446457</v>
      </c>
      <c r="Q1092">
        <v>1.3498045353129324</v>
      </c>
      <c r="R1092">
        <v>-0.25661544227348498</v>
      </c>
      <c r="S1092" s="2">
        <v>1.3209908268573893</v>
      </c>
      <c r="T1092" s="2">
        <v>2.1322086763069974</v>
      </c>
      <c r="U1092" s="2">
        <v>3.2114469893400179</v>
      </c>
      <c r="V1092" s="2">
        <v>4.564022911644888</v>
      </c>
      <c r="W1092" s="2">
        <v>6.1604672474686444</v>
      </c>
      <c r="X1092" s="2">
        <v>7.9246284629426844</v>
      </c>
      <c r="Y1092" s="2">
        <v>9.7258448584751083</v>
      </c>
      <c r="Z1092" s="2">
        <v>11.38067128143139</v>
      </c>
      <c r="AA1092" s="2">
        <v>12.669947696989444</v>
      </c>
      <c r="AB1092" s="2">
        <v>13.374539412239123</v>
      </c>
      <c r="AC1092" s="2">
        <v>13.326847376841993</v>
      </c>
      <c r="AD1092" s="2">
        <v>12.465959971635222</v>
      </c>
      <c r="AE1092" s="2">
        <v>10.875878173572078</v>
      </c>
      <c r="AF1092" s="2">
        <v>8.9248984374045115</v>
      </c>
      <c r="AG1092" s="2">
        <v>1.599267660900372</v>
      </c>
      <c r="AH1092" s="2">
        <v>0</v>
      </c>
      <c r="AI1092" s="2">
        <v>0</v>
      </c>
      <c r="AJ1092" s="2">
        <v>0</v>
      </c>
      <c r="AK1092" s="2">
        <v>0</v>
      </c>
      <c r="AL1092" s="2">
        <v>0</v>
      </c>
      <c r="AM1092" s="2">
        <v>0</v>
      </c>
      <c r="AN1092" s="2">
        <v>0</v>
      </c>
      <c r="AO1092" s="2">
        <v>0</v>
      </c>
      <c r="AP1092" s="2">
        <v>0</v>
      </c>
      <c r="AQ1092" s="2">
        <v>0</v>
      </c>
      <c r="AR1092" s="2">
        <v>119.65761998404987</v>
      </c>
    </row>
    <row r="1093" spans="1:44" x14ac:dyDescent="0.25">
      <c r="A1093" t="s">
        <v>435</v>
      </c>
      <c r="B1093" t="s">
        <v>468</v>
      </c>
      <c r="C1093" t="s">
        <v>47</v>
      </c>
      <c r="D1093" t="s">
        <v>187</v>
      </c>
      <c r="E1093" t="s">
        <v>134</v>
      </c>
      <c r="F1093" t="s">
        <v>187</v>
      </c>
      <c r="G1093" t="s">
        <v>33</v>
      </c>
      <c r="H1093" t="s">
        <v>454</v>
      </c>
      <c r="I1093" t="s">
        <v>135</v>
      </c>
      <c r="J1093" t="s">
        <v>39</v>
      </c>
      <c r="K1093" t="s">
        <v>31</v>
      </c>
      <c r="L1093">
        <v>6.3919579739479149E-2</v>
      </c>
      <c r="M1093">
        <v>1</v>
      </c>
      <c r="N1093">
        <v>3.1656152093206575</v>
      </c>
      <c r="O1093">
        <v>2.8779545327574692</v>
      </c>
      <c r="P1093">
        <v>-0.574311889298731</v>
      </c>
      <c r="Q1093">
        <v>0.4924341706281804</v>
      </c>
      <c r="R1093">
        <v>-0.52509153328775149</v>
      </c>
      <c r="S1093" s="2">
        <v>7.6255289895374879E-3</v>
      </c>
      <c r="T1093" s="2">
        <v>1.2308351233295633E-2</v>
      </c>
      <c r="U1093" s="2">
        <v>1.853834380805959E-2</v>
      </c>
      <c r="V1093" s="2">
        <v>2.6346200377830968E-2</v>
      </c>
      <c r="W1093" s="2">
        <v>3.5561807568660626E-2</v>
      </c>
      <c r="X1093" s="2">
        <v>4.5745574342286592E-2</v>
      </c>
      <c r="Y1093" s="2">
        <v>5.6143245212748716E-2</v>
      </c>
      <c r="Z1093" s="2">
        <v>6.5695867838392444E-2</v>
      </c>
      <c r="AA1093" s="2">
        <v>7.3138322761227656E-2</v>
      </c>
      <c r="AB1093" s="2">
        <v>7.7205636811550279E-2</v>
      </c>
      <c r="AC1093" s="2">
        <v>7.693033058602862E-2</v>
      </c>
      <c r="AD1093" s="2">
        <v>7.1960786716636818E-2</v>
      </c>
      <c r="AE1093" s="2">
        <v>6.2781907802154091E-2</v>
      </c>
      <c r="AF1093" s="2">
        <v>5.1519715640276138E-2</v>
      </c>
      <c r="AG1093" s="2">
        <v>9.231905068741603E-3</v>
      </c>
      <c r="AH1093" s="2">
        <v>0</v>
      </c>
      <c r="AI1093" s="2">
        <v>0</v>
      </c>
      <c r="AJ1093" s="2">
        <v>0</v>
      </c>
      <c r="AK1093" s="2">
        <v>0</v>
      </c>
      <c r="AL1093" s="2">
        <v>0</v>
      </c>
      <c r="AM1093" s="2">
        <v>0</v>
      </c>
      <c r="AN1093" s="2">
        <v>0</v>
      </c>
      <c r="AO1093" s="2">
        <v>0</v>
      </c>
      <c r="AP1093" s="2">
        <v>0</v>
      </c>
      <c r="AQ1093" s="2">
        <v>0</v>
      </c>
      <c r="AR1093" s="2">
        <v>0.69073352475742733</v>
      </c>
    </row>
    <row r="1094" spans="1:44" x14ac:dyDescent="0.25">
      <c r="A1094" t="s">
        <v>435</v>
      </c>
      <c r="B1094" t="s">
        <v>468</v>
      </c>
      <c r="C1094" t="s">
        <v>47</v>
      </c>
      <c r="D1094" t="s">
        <v>187</v>
      </c>
      <c r="E1094" t="s">
        <v>134</v>
      </c>
      <c r="F1094" t="s">
        <v>187</v>
      </c>
      <c r="G1094" t="s">
        <v>33</v>
      </c>
      <c r="H1094" t="s">
        <v>454</v>
      </c>
      <c r="I1094" t="s">
        <v>135</v>
      </c>
      <c r="J1094" t="s">
        <v>39</v>
      </c>
      <c r="K1094" t="s">
        <v>33</v>
      </c>
      <c r="L1094">
        <v>6.3919579739479149E-2</v>
      </c>
      <c r="M1094">
        <v>1</v>
      </c>
      <c r="N1094">
        <v>3.1656152093206575</v>
      </c>
      <c r="O1094">
        <v>2.8779545327574692</v>
      </c>
      <c r="P1094">
        <v>-0.574311889298731</v>
      </c>
      <c r="Q1094">
        <v>0.4924341706281804</v>
      </c>
      <c r="R1094">
        <v>-0.52509153328775149</v>
      </c>
      <c r="S1094" s="2">
        <v>6.1194902051086388E-2</v>
      </c>
      <c r="T1094" s="2">
        <v>9.8774570153142754E-2</v>
      </c>
      <c r="U1094" s="2">
        <v>0.14877028663586245</v>
      </c>
      <c r="V1094" s="2">
        <v>0.21142836828129996</v>
      </c>
      <c r="W1094" s="2">
        <v>0.28538365455165138</v>
      </c>
      <c r="X1094" s="2">
        <v>0.36710842552533662</v>
      </c>
      <c r="Y1094" s="2">
        <v>0.4505497777712425</v>
      </c>
      <c r="Z1094" s="2">
        <v>0.52720961431626301</v>
      </c>
      <c r="AA1094" s="2">
        <v>0.58693534621596577</v>
      </c>
      <c r="AB1094" s="2">
        <v>0.61957555849002544</v>
      </c>
      <c r="AC1094" s="2">
        <v>0.61736622487815862</v>
      </c>
      <c r="AD1094" s="2">
        <v>0.5774856145305669</v>
      </c>
      <c r="AE1094" s="2">
        <v>0.50382507283159406</v>
      </c>
      <c r="AF1094" s="2">
        <v>0.41344593360437087</v>
      </c>
      <c r="AG1094" s="2">
        <v>7.4086076808794643E-2</v>
      </c>
      <c r="AH1094" s="2">
        <v>0</v>
      </c>
      <c r="AI1094" s="2">
        <v>0</v>
      </c>
      <c r="AJ1094" s="2">
        <v>0</v>
      </c>
      <c r="AK1094" s="2">
        <v>0</v>
      </c>
      <c r="AL1094" s="2">
        <v>0</v>
      </c>
      <c r="AM1094" s="2">
        <v>0</v>
      </c>
      <c r="AN1094" s="2">
        <v>0</v>
      </c>
      <c r="AO1094" s="2">
        <v>0</v>
      </c>
      <c r="AP1094" s="2">
        <v>0</v>
      </c>
      <c r="AQ1094" s="2">
        <v>0</v>
      </c>
      <c r="AR1094" s="2">
        <v>5.5431394266453609</v>
      </c>
    </row>
    <row r="1095" spans="1:44" x14ac:dyDescent="0.25">
      <c r="A1095" t="s">
        <v>435</v>
      </c>
      <c r="B1095" t="s">
        <v>468</v>
      </c>
      <c r="C1095" t="s">
        <v>47</v>
      </c>
      <c r="D1095" t="s">
        <v>187</v>
      </c>
      <c r="E1095" t="s">
        <v>134</v>
      </c>
      <c r="F1095" t="s">
        <v>187</v>
      </c>
      <c r="G1095" t="s">
        <v>33</v>
      </c>
      <c r="H1095" t="s">
        <v>455</v>
      </c>
      <c r="I1095" t="s">
        <v>135</v>
      </c>
      <c r="J1095" t="s">
        <v>39</v>
      </c>
      <c r="K1095" t="s">
        <v>31</v>
      </c>
      <c r="L1095">
        <v>6.3919579739479149E-2</v>
      </c>
      <c r="M1095">
        <v>1</v>
      </c>
      <c r="N1095">
        <v>3.1656152093206575</v>
      </c>
      <c r="O1095">
        <v>2.8779545327574692</v>
      </c>
      <c r="P1095">
        <v>-0.574311889298731</v>
      </c>
      <c r="Q1095">
        <v>0.4924341706281804</v>
      </c>
      <c r="R1095">
        <v>-0.52509153328775149</v>
      </c>
      <c r="S1095" s="2">
        <v>1.7966876583643111E-3</v>
      </c>
      <c r="T1095" s="2">
        <v>2.9000299895282039E-3</v>
      </c>
      <c r="U1095" s="2">
        <v>4.367908583411643E-3</v>
      </c>
      <c r="V1095" s="2">
        <v>6.2075553222063259E-3</v>
      </c>
      <c r="W1095" s="2">
        <v>8.3788889735260767E-3</v>
      </c>
      <c r="X1095" s="2">
        <v>1.0778335372974374E-2</v>
      </c>
      <c r="Y1095" s="2">
        <v>1.3228180748203412E-2</v>
      </c>
      <c r="Z1095" s="2">
        <v>1.547892023133359E-2</v>
      </c>
      <c r="AA1095" s="2">
        <v>1.7232472925990876E-2</v>
      </c>
      <c r="AB1095" s="2">
        <v>1.8190792403489798E-2</v>
      </c>
      <c r="AC1095" s="2">
        <v>1.8125926176065538E-2</v>
      </c>
      <c r="AD1095" s="2">
        <v>1.6955027980007687E-2</v>
      </c>
      <c r="AE1095" s="2">
        <v>1.4792348054995455E-2</v>
      </c>
      <c r="AF1095" s="2">
        <v>1.2138808649252443E-2</v>
      </c>
      <c r="AG1095" s="2">
        <v>2.1751736729290045E-3</v>
      </c>
      <c r="AH1095" s="2">
        <v>0</v>
      </c>
      <c r="AI1095" s="2">
        <v>0</v>
      </c>
      <c r="AJ1095" s="2">
        <v>0</v>
      </c>
      <c r="AK1095" s="2">
        <v>0</v>
      </c>
      <c r="AL1095" s="2">
        <v>0</v>
      </c>
      <c r="AM1095" s="2">
        <v>0</v>
      </c>
      <c r="AN1095" s="2">
        <v>0</v>
      </c>
      <c r="AO1095" s="2">
        <v>0</v>
      </c>
      <c r="AP1095" s="2">
        <v>0</v>
      </c>
      <c r="AQ1095" s="2">
        <v>0</v>
      </c>
      <c r="AR1095" s="2">
        <v>0.16274705674227874</v>
      </c>
    </row>
    <row r="1096" spans="1:44" x14ac:dyDescent="0.25">
      <c r="A1096" t="s">
        <v>435</v>
      </c>
      <c r="B1096" t="s">
        <v>468</v>
      </c>
      <c r="C1096" t="s">
        <v>47</v>
      </c>
      <c r="D1096" t="s">
        <v>187</v>
      </c>
      <c r="E1096" t="s">
        <v>134</v>
      </c>
      <c r="F1096" t="s">
        <v>187</v>
      </c>
      <c r="G1096" t="s">
        <v>33</v>
      </c>
      <c r="H1096" t="s">
        <v>455</v>
      </c>
      <c r="I1096" t="s">
        <v>135</v>
      </c>
      <c r="J1096" t="s">
        <v>39</v>
      </c>
      <c r="K1096" t="s">
        <v>33</v>
      </c>
      <c r="L1096">
        <v>6.3919579739479149E-2</v>
      </c>
      <c r="M1096">
        <v>1</v>
      </c>
      <c r="N1096">
        <v>3.1656152093206575</v>
      </c>
      <c r="O1096">
        <v>2.8779545327574692</v>
      </c>
      <c r="P1096">
        <v>-0.574311889298731</v>
      </c>
      <c r="Q1096">
        <v>0.4924341706281804</v>
      </c>
      <c r="R1096">
        <v>-0.52509153328775149</v>
      </c>
      <c r="S1096" s="2">
        <v>4.5682181677922852E-2</v>
      </c>
      <c r="T1096" s="2">
        <v>7.3735518934693642E-2</v>
      </c>
      <c r="U1096" s="2">
        <v>0.11105747430893181</v>
      </c>
      <c r="V1096" s="2">
        <v>0.15783192403233301</v>
      </c>
      <c r="W1096" s="2">
        <v>0.21303977158513435</v>
      </c>
      <c r="X1096" s="2">
        <v>0.2740475632487252</v>
      </c>
      <c r="Y1096" s="2">
        <v>0.33633678808590023</v>
      </c>
      <c r="Z1096" s="2">
        <v>0.39356359069645086</v>
      </c>
      <c r="AA1096" s="2">
        <v>0.43814903235973535</v>
      </c>
      <c r="AB1096" s="2">
        <v>0.4625150507229121</v>
      </c>
      <c r="AC1096" s="2">
        <v>0.46086577641963444</v>
      </c>
      <c r="AD1096" s="2">
        <v>0.43109477873416985</v>
      </c>
      <c r="AE1096" s="2">
        <v>0.37610695890601553</v>
      </c>
      <c r="AF1096" s="2">
        <v>0.30863865485308012</v>
      </c>
      <c r="AG1096" s="2">
        <v>5.5305483090054848E-2</v>
      </c>
      <c r="AH1096" s="2">
        <v>0</v>
      </c>
      <c r="AI1096" s="2">
        <v>0</v>
      </c>
      <c r="AJ1096" s="2">
        <v>0</v>
      </c>
      <c r="AK1096" s="2">
        <v>0</v>
      </c>
      <c r="AL1096" s="2">
        <v>0</v>
      </c>
      <c r="AM1096" s="2">
        <v>0</v>
      </c>
      <c r="AN1096" s="2">
        <v>0</v>
      </c>
      <c r="AO1096" s="2">
        <v>0</v>
      </c>
      <c r="AP1096" s="2">
        <v>0</v>
      </c>
      <c r="AQ1096" s="2">
        <v>0</v>
      </c>
      <c r="AR1096" s="2">
        <v>4.1379705476556943</v>
      </c>
    </row>
    <row r="1097" spans="1:44" x14ac:dyDescent="0.25">
      <c r="A1097" t="s">
        <v>435</v>
      </c>
      <c r="B1097" t="s">
        <v>468</v>
      </c>
      <c r="C1097" t="s">
        <v>47</v>
      </c>
      <c r="D1097" t="s">
        <v>187</v>
      </c>
      <c r="E1097" t="s">
        <v>134</v>
      </c>
      <c r="F1097" t="s">
        <v>187</v>
      </c>
      <c r="G1097" t="s">
        <v>33</v>
      </c>
      <c r="H1097" t="s">
        <v>457</v>
      </c>
      <c r="I1097" t="s">
        <v>135</v>
      </c>
      <c r="J1097" t="s">
        <v>39</v>
      </c>
      <c r="K1097" t="s">
        <v>31</v>
      </c>
      <c r="L1097">
        <v>6.3919579739479149E-2</v>
      </c>
      <c r="M1097">
        <v>1</v>
      </c>
      <c r="N1097">
        <v>3.1656152093206575</v>
      </c>
      <c r="O1097">
        <v>2.8779545327574692</v>
      </c>
      <c r="P1097">
        <v>-0.574311889298731</v>
      </c>
      <c r="Q1097">
        <v>0.4924341706281804</v>
      </c>
      <c r="R1097">
        <v>-0.52509153328775149</v>
      </c>
      <c r="S1097" s="2">
        <v>0.11972966093383818</v>
      </c>
      <c r="T1097" s="2">
        <v>0.19325540848890771</v>
      </c>
      <c r="U1097" s="2">
        <v>0.29107352702471562</v>
      </c>
      <c r="V1097" s="2">
        <v>0.41366594271173129</v>
      </c>
      <c r="W1097" s="2">
        <v>0.55836167802023995</v>
      </c>
      <c r="X1097" s="2">
        <v>0.7182586431368172</v>
      </c>
      <c r="Y1097" s="2">
        <v>0.88151415098815922</v>
      </c>
      <c r="Z1097" s="2">
        <v>1.0315014200112629</v>
      </c>
      <c r="AA1097" s="2">
        <v>1.1483566054874488</v>
      </c>
      <c r="AB1097" s="2">
        <v>1.2122181595940185</v>
      </c>
      <c r="AC1097" s="2">
        <v>1.2078955321304148</v>
      </c>
      <c r="AD1097" s="2">
        <v>1.1298679220728725</v>
      </c>
      <c r="AE1097" s="2">
        <v>0.98574886335686451</v>
      </c>
      <c r="AF1097" s="2">
        <v>0.80891936723096169</v>
      </c>
      <c r="AG1097" s="2">
        <v>0.14495163091903246</v>
      </c>
      <c r="AH1097" s="2">
        <v>0</v>
      </c>
      <c r="AI1097" s="2">
        <v>0</v>
      </c>
      <c r="AJ1097" s="2">
        <v>0</v>
      </c>
      <c r="AK1097" s="2">
        <v>0</v>
      </c>
      <c r="AL1097" s="2">
        <v>0</v>
      </c>
      <c r="AM1097" s="2">
        <v>0</v>
      </c>
      <c r="AN1097" s="2">
        <v>0</v>
      </c>
      <c r="AO1097" s="2">
        <v>0</v>
      </c>
      <c r="AP1097" s="2">
        <v>0</v>
      </c>
      <c r="AQ1097" s="2">
        <v>0</v>
      </c>
      <c r="AR1097" s="2">
        <v>10.845318512107285</v>
      </c>
    </row>
    <row r="1098" spans="1:44" x14ac:dyDescent="0.25">
      <c r="A1098" t="s">
        <v>435</v>
      </c>
      <c r="B1098" t="s">
        <v>468</v>
      </c>
      <c r="C1098" t="s">
        <v>47</v>
      </c>
      <c r="D1098" t="s">
        <v>187</v>
      </c>
      <c r="E1098" t="s">
        <v>134</v>
      </c>
      <c r="F1098" t="s">
        <v>187</v>
      </c>
      <c r="G1098" t="s">
        <v>33</v>
      </c>
      <c r="H1098" t="s">
        <v>457</v>
      </c>
      <c r="I1098" t="s">
        <v>135</v>
      </c>
      <c r="J1098" t="s">
        <v>39</v>
      </c>
      <c r="K1098" t="s">
        <v>33</v>
      </c>
      <c r="L1098">
        <v>6.3919579739479149E-2</v>
      </c>
      <c r="M1098">
        <v>1</v>
      </c>
      <c r="N1098">
        <v>3.1656152093206575</v>
      </c>
      <c r="O1098">
        <v>2.8779545327574692</v>
      </c>
      <c r="P1098">
        <v>-0.574311889298731</v>
      </c>
      <c r="Q1098">
        <v>0.4924341706281804</v>
      </c>
      <c r="R1098">
        <v>-0.52509153328775149</v>
      </c>
      <c r="S1098" s="2">
        <v>3.5032248723820075E-2</v>
      </c>
      <c r="T1098" s="2">
        <v>5.6545483254546398E-2</v>
      </c>
      <c r="U1098" s="2">
        <v>8.5166533640182757E-2</v>
      </c>
      <c r="V1098" s="2">
        <v>0.12103640886161755</v>
      </c>
      <c r="W1098" s="2">
        <v>0.16337359539557778</v>
      </c>
      <c r="X1098" s="2">
        <v>0.21015857923716147</v>
      </c>
      <c r="Y1098" s="2">
        <v>0.25792625444791961</v>
      </c>
      <c r="Z1098" s="2">
        <v>0.30181171501668741</v>
      </c>
      <c r="AA1098" s="2">
        <v>0.33600290782840031</v>
      </c>
      <c r="AB1098" s="2">
        <v>0.35468845182728709</v>
      </c>
      <c r="AC1098" s="2">
        <v>0.35342367450089801</v>
      </c>
      <c r="AD1098" s="2">
        <v>0.33059321944455589</v>
      </c>
      <c r="AE1098" s="2">
        <v>0.28842476535052852</v>
      </c>
      <c r="AF1098" s="2">
        <v>0.23668541486983535</v>
      </c>
      <c r="AG1098" s="2">
        <v>4.2412060200227905E-2</v>
      </c>
      <c r="AH1098" s="2">
        <v>0</v>
      </c>
      <c r="AI1098" s="2">
        <v>0</v>
      </c>
      <c r="AJ1098" s="2">
        <v>0</v>
      </c>
      <c r="AK1098" s="2">
        <v>0</v>
      </c>
      <c r="AL1098" s="2">
        <v>0</v>
      </c>
      <c r="AM1098" s="2">
        <v>0</v>
      </c>
      <c r="AN1098" s="2">
        <v>0</v>
      </c>
      <c r="AO1098" s="2">
        <v>0</v>
      </c>
      <c r="AP1098" s="2">
        <v>0</v>
      </c>
      <c r="AQ1098" s="2">
        <v>0</v>
      </c>
      <c r="AR1098" s="2">
        <v>3.1732813125992458</v>
      </c>
    </row>
    <row r="1099" spans="1:44" x14ac:dyDescent="0.25">
      <c r="A1099" t="s">
        <v>435</v>
      </c>
      <c r="B1099" t="s">
        <v>468</v>
      </c>
      <c r="C1099" t="s">
        <v>47</v>
      </c>
      <c r="D1099" t="s">
        <v>187</v>
      </c>
      <c r="E1099" t="s">
        <v>134</v>
      </c>
      <c r="F1099" t="s">
        <v>187</v>
      </c>
      <c r="G1099" t="s">
        <v>33</v>
      </c>
      <c r="H1099" t="s">
        <v>457</v>
      </c>
      <c r="I1099" t="s">
        <v>256</v>
      </c>
      <c r="J1099" t="s">
        <v>39</v>
      </c>
      <c r="K1099" t="s">
        <v>33</v>
      </c>
      <c r="L1099">
        <v>6.3919579739479149E-2</v>
      </c>
      <c r="M1099">
        <v>1</v>
      </c>
      <c r="N1099">
        <v>2.9108073618997499</v>
      </c>
      <c r="O1099">
        <v>2.6463011728329864</v>
      </c>
      <c r="P1099">
        <v>-0.44883579828446457</v>
      </c>
      <c r="Q1099">
        <v>1.3498045353129324</v>
      </c>
      <c r="R1099">
        <v>-0.399615442273485</v>
      </c>
      <c r="S1099" s="2">
        <v>9.6341034620461535E-2</v>
      </c>
      <c r="T1099" s="2">
        <v>0.15550387309715774</v>
      </c>
      <c r="U1099" s="2">
        <v>0.23421368210241564</v>
      </c>
      <c r="V1099" s="2">
        <v>0.33285824579524426</v>
      </c>
      <c r="W1099" s="2">
        <v>0.44928834954784247</v>
      </c>
      <c r="X1099" s="2">
        <v>0.57795019433929651</v>
      </c>
      <c r="Y1099" s="2">
        <v>0.70931450633361925</v>
      </c>
      <c r="Z1099" s="2">
        <v>0.83000246756962603</v>
      </c>
      <c r="AA1099" s="2">
        <v>0.92403054199775592</v>
      </c>
      <c r="AB1099" s="2">
        <v>0.97541704177659783</v>
      </c>
      <c r="AC1099" s="2">
        <v>0.97193881926369408</v>
      </c>
      <c r="AD1099" s="2">
        <v>0.90915353595733328</v>
      </c>
      <c r="AE1099" s="2">
        <v>0.79318745773633381</v>
      </c>
      <c r="AF1099" s="2">
        <v>0.65090077225412613</v>
      </c>
      <c r="AG1099" s="2">
        <v>0.11663601135878714</v>
      </c>
      <c r="AH1099" s="2">
        <v>0</v>
      </c>
      <c r="AI1099" s="2">
        <v>0</v>
      </c>
      <c r="AJ1099" s="2">
        <v>0</v>
      </c>
      <c r="AK1099" s="2">
        <v>0</v>
      </c>
      <c r="AL1099" s="2">
        <v>0</v>
      </c>
      <c r="AM1099" s="2">
        <v>0</v>
      </c>
      <c r="AN1099" s="2">
        <v>0</v>
      </c>
      <c r="AO1099" s="2">
        <v>0</v>
      </c>
      <c r="AP1099" s="2">
        <v>0</v>
      </c>
      <c r="AQ1099" s="2">
        <v>0</v>
      </c>
      <c r="AR1099" s="2">
        <v>8.7267365337502909</v>
      </c>
    </row>
    <row r="1100" spans="1:44" x14ac:dyDescent="0.25">
      <c r="A1100" t="s">
        <v>435</v>
      </c>
      <c r="B1100" t="s">
        <v>468</v>
      </c>
      <c r="C1100" t="s">
        <v>47</v>
      </c>
      <c r="D1100" t="s">
        <v>187</v>
      </c>
      <c r="E1100" t="s">
        <v>134</v>
      </c>
      <c r="F1100" t="s">
        <v>187</v>
      </c>
      <c r="G1100" t="s">
        <v>33</v>
      </c>
      <c r="H1100" t="s">
        <v>457</v>
      </c>
      <c r="I1100" t="s">
        <v>256</v>
      </c>
      <c r="J1100" t="s">
        <v>40</v>
      </c>
      <c r="K1100" t="s">
        <v>33</v>
      </c>
      <c r="L1100">
        <v>6.3919579739479149E-2</v>
      </c>
      <c r="M1100">
        <v>1</v>
      </c>
      <c r="N1100">
        <v>2.9108073618997499</v>
      </c>
      <c r="O1100">
        <v>1.473762203864009</v>
      </c>
      <c r="P1100">
        <v>-0.44883579828446457</v>
      </c>
      <c r="Q1100">
        <v>1.3498045353129324</v>
      </c>
      <c r="R1100">
        <v>-0.25661544227348498</v>
      </c>
      <c r="S1100" s="2">
        <v>0.88155742461054065</v>
      </c>
      <c r="T1100" s="2">
        <v>1.4229200924045253</v>
      </c>
      <c r="U1100" s="2">
        <v>2.143145039039319</v>
      </c>
      <c r="V1100" s="2">
        <v>3.0457806383295427</v>
      </c>
      <c r="W1100" s="2">
        <v>4.1111607519605746</v>
      </c>
      <c r="X1100" s="2">
        <v>5.2884659883723266</v>
      </c>
      <c r="Y1100" s="2">
        <v>6.4904998363963671</v>
      </c>
      <c r="Z1100" s="2">
        <v>7.5948409793771434</v>
      </c>
      <c r="AA1100" s="2">
        <v>8.4552339309424056</v>
      </c>
      <c r="AB1100" s="2">
        <v>8.9254401165334976</v>
      </c>
      <c r="AC1100" s="2">
        <v>8.8936130462432761</v>
      </c>
      <c r="AD1100" s="2">
        <v>8.3191036186349159</v>
      </c>
      <c r="AE1100" s="2">
        <v>7.2579695166250087</v>
      </c>
      <c r="AF1100" s="2">
        <v>5.9559917612042188</v>
      </c>
      <c r="AG1100" s="2">
        <v>1.0672642472168323</v>
      </c>
      <c r="AH1100" s="2">
        <v>0</v>
      </c>
      <c r="AI1100" s="2">
        <v>0</v>
      </c>
      <c r="AJ1100" s="2">
        <v>0</v>
      </c>
      <c r="AK1100" s="2">
        <v>0</v>
      </c>
      <c r="AL1100" s="2">
        <v>0</v>
      </c>
      <c r="AM1100" s="2">
        <v>0</v>
      </c>
      <c r="AN1100" s="2">
        <v>0</v>
      </c>
      <c r="AO1100" s="2">
        <v>0</v>
      </c>
      <c r="AP1100" s="2">
        <v>0</v>
      </c>
      <c r="AQ1100" s="2">
        <v>0</v>
      </c>
      <c r="AR1100" s="2">
        <v>79.852986987890489</v>
      </c>
    </row>
    <row r="1101" spans="1:44" x14ac:dyDescent="0.25">
      <c r="A1101" t="s">
        <v>435</v>
      </c>
      <c r="B1101" t="s">
        <v>469</v>
      </c>
      <c r="C1101" t="s">
        <v>47</v>
      </c>
      <c r="D1101" t="s">
        <v>470</v>
      </c>
      <c r="E1101" t="s">
        <v>134</v>
      </c>
      <c r="F1101" t="s">
        <v>470</v>
      </c>
      <c r="G1101" t="s">
        <v>33</v>
      </c>
      <c r="H1101" t="s">
        <v>450</v>
      </c>
      <c r="I1101" t="s">
        <v>135</v>
      </c>
      <c r="J1101" t="s">
        <v>39</v>
      </c>
      <c r="K1101" t="s">
        <v>31</v>
      </c>
      <c r="L1101">
        <v>2.2650432449504043E-2</v>
      </c>
      <c r="M1101">
        <v>1</v>
      </c>
      <c r="N1101">
        <v>2.4239184887175904</v>
      </c>
      <c r="O1101">
        <v>2.8779545327574696</v>
      </c>
      <c r="P1101">
        <v>-0.42363157097620913</v>
      </c>
      <c r="Q1101">
        <v>0.64311448895070245</v>
      </c>
      <c r="R1101">
        <v>-0.5250915332877516</v>
      </c>
      <c r="S1101" s="2">
        <v>2.7083185255319994E-2</v>
      </c>
      <c r="T1101" s="2">
        <v>4.3714915659786968E-2</v>
      </c>
      <c r="U1101" s="2">
        <v>6.5841648542594375E-2</v>
      </c>
      <c r="V1101" s="2">
        <v>9.3572396955749565E-2</v>
      </c>
      <c r="W1101" s="2">
        <v>0.12630297828747655</v>
      </c>
      <c r="X1101" s="2">
        <v>0.16247212045525333</v>
      </c>
      <c r="Y1101" s="2">
        <v>0.19940097441344273</v>
      </c>
      <c r="Z1101" s="2">
        <v>0.23332851551904188</v>
      </c>
      <c r="AA1101" s="2">
        <v>0.25976148636028706</v>
      </c>
      <c r="AB1101" s="2">
        <v>0.27420714908973065</v>
      </c>
      <c r="AC1101" s="2">
        <v>0.27322935862850811</v>
      </c>
      <c r="AD1101" s="2">
        <v>0.25557929429410692</v>
      </c>
      <c r="AE1101" s="2">
        <v>0.22297915882571318</v>
      </c>
      <c r="AF1101" s="2">
        <v>0.18297983063226617</v>
      </c>
      <c r="AG1101" s="2">
        <v>3.2788465636850186E-2</v>
      </c>
      <c r="AH1101" s="2">
        <v>0</v>
      </c>
      <c r="AI1101" s="2">
        <v>0</v>
      </c>
      <c r="AJ1101" s="2">
        <v>0</v>
      </c>
      <c r="AK1101" s="2">
        <v>0</v>
      </c>
      <c r="AL1101" s="2">
        <v>0</v>
      </c>
      <c r="AM1101" s="2">
        <v>0</v>
      </c>
      <c r="AN1101" s="2">
        <v>0</v>
      </c>
      <c r="AO1101" s="2">
        <v>0</v>
      </c>
      <c r="AP1101" s="2">
        <v>0</v>
      </c>
      <c r="AQ1101" s="2">
        <v>0</v>
      </c>
      <c r="AR1101" s="2">
        <v>2.4532414785561274</v>
      </c>
    </row>
    <row r="1102" spans="1:44" x14ac:dyDescent="0.25">
      <c r="A1102" t="s">
        <v>435</v>
      </c>
      <c r="B1102" t="s">
        <v>469</v>
      </c>
      <c r="C1102" t="s">
        <v>47</v>
      </c>
      <c r="D1102" t="s">
        <v>470</v>
      </c>
      <c r="E1102" t="s">
        <v>134</v>
      </c>
      <c r="F1102" t="s">
        <v>470</v>
      </c>
      <c r="G1102" t="s">
        <v>33</v>
      </c>
      <c r="H1102" t="s">
        <v>450</v>
      </c>
      <c r="I1102" t="s">
        <v>135</v>
      </c>
      <c r="J1102" t="s">
        <v>39</v>
      </c>
      <c r="K1102" t="s">
        <v>33</v>
      </c>
      <c r="L1102">
        <v>2.2650432449504043E-2</v>
      </c>
      <c r="M1102">
        <v>1</v>
      </c>
      <c r="N1102">
        <v>2.4239184887175904</v>
      </c>
      <c r="O1102">
        <v>2.8779545327574696</v>
      </c>
      <c r="P1102">
        <v>-0.42363157097620913</v>
      </c>
      <c r="Q1102">
        <v>0.64311448895070245</v>
      </c>
      <c r="R1102">
        <v>-0.5250915332877516</v>
      </c>
      <c r="S1102" s="2">
        <v>1.6685414897580478E-2</v>
      </c>
      <c r="T1102" s="2">
        <v>2.6913121672509824E-2</v>
      </c>
      <c r="U1102" s="2">
        <v>4.0507205791706684E-2</v>
      </c>
      <c r="V1102" s="2">
        <v>5.7527632960074404E-2</v>
      </c>
      <c r="W1102" s="2">
        <v>7.7596029959346738E-2</v>
      </c>
      <c r="X1102" s="2">
        <v>9.9747476934916229E-2</v>
      </c>
      <c r="Y1102" s="2">
        <v>0.12233409318662547</v>
      </c>
      <c r="Z1102" s="2">
        <v>0.14304912609089401</v>
      </c>
      <c r="AA1102" s="2">
        <v>0.15914364902195702</v>
      </c>
      <c r="AB1102" s="2">
        <v>0.16787672366338968</v>
      </c>
      <c r="AC1102" s="2">
        <v>0.16716149022160193</v>
      </c>
      <c r="AD1102" s="2">
        <v>0.15625419949448141</v>
      </c>
      <c r="AE1102" s="2">
        <v>0.13622834000487571</v>
      </c>
      <c r="AF1102" s="2">
        <v>0.11171296360826546</v>
      </c>
      <c r="AG1102" s="2">
        <v>3.5725771394865E-3</v>
      </c>
      <c r="AH1102" s="2">
        <v>0</v>
      </c>
      <c r="AI1102" s="2">
        <v>0</v>
      </c>
      <c r="AJ1102" s="2">
        <v>0</v>
      </c>
      <c r="AK1102" s="2">
        <v>0</v>
      </c>
      <c r="AL1102" s="2">
        <v>0</v>
      </c>
      <c r="AM1102" s="2">
        <v>0</v>
      </c>
      <c r="AN1102" s="2">
        <v>0</v>
      </c>
      <c r="AO1102" s="2">
        <v>0</v>
      </c>
      <c r="AP1102" s="2">
        <v>0</v>
      </c>
      <c r="AQ1102" s="2">
        <v>0</v>
      </c>
      <c r="AR1102" s="2">
        <v>1.4863100446477115</v>
      </c>
    </row>
    <row r="1103" spans="1:44" x14ac:dyDescent="0.25">
      <c r="A1103" t="s">
        <v>435</v>
      </c>
      <c r="B1103" t="s">
        <v>469</v>
      </c>
      <c r="C1103" t="s">
        <v>47</v>
      </c>
      <c r="D1103" t="s">
        <v>470</v>
      </c>
      <c r="E1103" t="s">
        <v>134</v>
      </c>
      <c r="F1103" t="s">
        <v>470</v>
      </c>
      <c r="G1103" t="s">
        <v>33</v>
      </c>
      <c r="H1103" t="s">
        <v>450</v>
      </c>
      <c r="I1103" t="s">
        <v>256</v>
      </c>
      <c r="J1103" t="s">
        <v>40</v>
      </c>
      <c r="K1103" t="s">
        <v>33</v>
      </c>
      <c r="L1103">
        <v>2.2650432449504043E-2</v>
      </c>
      <c r="M1103">
        <v>1</v>
      </c>
      <c r="N1103">
        <v>2.2288115627035432</v>
      </c>
      <c r="O1103">
        <v>1.4737622038640092</v>
      </c>
      <c r="P1103">
        <v>-0.29815547996194269</v>
      </c>
      <c r="Q1103">
        <v>1.3498045353129324</v>
      </c>
      <c r="R1103">
        <v>-0.25661544227348515</v>
      </c>
      <c r="S1103" s="2">
        <v>0.43585648032720242</v>
      </c>
      <c r="T1103" s="2">
        <v>0.70351508131904683</v>
      </c>
      <c r="U1103" s="2">
        <v>1.0596061328155177</v>
      </c>
      <c r="V1103" s="2">
        <v>1.5058840091529322</v>
      </c>
      <c r="W1103" s="2">
        <v>2.0326254483087096</v>
      </c>
      <c r="X1103" s="2">
        <v>2.614704507809464</v>
      </c>
      <c r="Y1103" s="2">
        <v>3.2090097993398254</v>
      </c>
      <c r="Z1103" s="2">
        <v>3.7550142117838221</v>
      </c>
      <c r="AA1103" s="2">
        <v>4.1804066287704318</v>
      </c>
      <c r="AB1103" s="2">
        <v>4.4128842954072383</v>
      </c>
      <c r="AC1103" s="2">
        <v>4.3971484687344029</v>
      </c>
      <c r="AD1103" s="2">
        <v>4.1131015648780824</v>
      </c>
      <c r="AE1103" s="2">
        <v>3.5884594236567868</v>
      </c>
      <c r="AF1103" s="2">
        <v>2.9447402215949166</v>
      </c>
      <c r="AG1103" s="2">
        <v>0.52767298576890431</v>
      </c>
      <c r="AH1103" s="2">
        <v>0</v>
      </c>
      <c r="AI1103" s="2">
        <v>0</v>
      </c>
      <c r="AJ1103" s="2">
        <v>0</v>
      </c>
      <c r="AK1103" s="2">
        <v>0</v>
      </c>
      <c r="AL1103" s="2">
        <v>0</v>
      </c>
      <c r="AM1103" s="2">
        <v>0</v>
      </c>
      <c r="AN1103" s="2">
        <v>0</v>
      </c>
      <c r="AO1103" s="2">
        <v>0</v>
      </c>
      <c r="AP1103" s="2">
        <v>0</v>
      </c>
      <c r="AQ1103" s="2">
        <v>0</v>
      </c>
      <c r="AR1103" s="2">
        <v>39.480629259667289</v>
      </c>
    </row>
    <row r="1104" spans="1:44" x14ac:dyDescent="0.25">
      <c r="A1104" t="s">
        <v>435</v>
      </c>
      <c r="B1104" t="s">
        <v>469</v>
      </c>
      <c r="C1104" t="s">
        <v>47</v>
      </c>
      <c r="D1104" t="s">
        <v>470</v>
      </c>
      <c r="E1104" t="s">
        <v>134</v>
      </c>
      <c r="F1104" t="s">
        <v>470</v>
      </c>
      <c r="G1104" t="s">
        <v>33</v>
      </c>
      <c r="H1104" t="s">
        <v>451</v>
      </c>
      <c r="I1104" t="s">
        <v>135</v>
      </c>
      <c r="J1104" t="s">
        <v>39</v>
      </c>
      <c r="K1104" t="s">
        <v>31</v>
      </c>
      <c r="L1104">
        <v>2.2650432449504043E-2</v>
      </c>
      <c r="M1104">
        <v>1</v>
      </c>
      <c r="N1104">
        <v>2.4239184887175904</v>
      </c>
      <c r="O1104">
        <v>2.8779545327574696</v>
      </c>
      <c r="P1104">
        <v>-0.42363157097620913</v>
      </c>
      <c r="Q1104">
        <v>0.64311448895070245</v>
      </c>
      <c r="R1104">
        <v>-0.5250915332877516</v>
      </c>
      <c r="S1104" s="2">
        <v>7.0844957777806434E-3</v>
      </c>
      <c r="T1104" s="2">
        <v>1.1435070598166196E-2</v>
      </c>
      <c r="U1104" s="2">
        <v>1.7223043622998539E-2</v>
      </c>
      <c r="V1104" s="2">
        <v>2.4476930793050092E-2</v>
      </c>
      <c r="W1104" s="2">
        <v>3.3038688321307498E-2</v>
      </c>
      <c r="X1104" s="2">
        <v>4.24999142649298E-2</v>
      </c>
      <c r="Y1104" s="2">
        <v>5.2159867755580618E-2</v>
      </c>
      <c r="Z1104" s="2">
        <v>6.1034729388256631E-2</v>
      </c>
      <c r="AA1104" s="2">
        <v>6.7949140250701826E-2</v>
      </c>
      <c r="AB1104" s="2">
        <v>7.17278773397554E-2</v>
      </c>
      <c r="AC1104" s="2">
        <v>7.1472104160611921E-2</v>
      </c>
      <c r="AD1104" s="2">
        <v>6.685515068649793E-2</v>
      </c>
      <c r="AE1104" s="2">
        <v>5.8327515554085073E-2</v>
      </c>
      <c r="AF1104" s="2">
        <v>4.786437877644651E-2</v>
      </c>
      <c r="AG1104" s="2">
        <v>8.5768990676067455E-3</v>
      </c>
      <c r="AH1104" s="2">
        <v>0</v>
      </c>
      <c r="AI1104" s="2">
        <v>0</v>
      </c>
      <c r="AJ1104" s="2">
        <v>0</v>
      </c>
      <c r="AK1104" s="2">
        <v>0</v>
      </c>
      <c r="AL1104" s="2">
        <v>0</v>
      </c>
      <c r="AM1104" s="2">
        <v>0</v>
      </c>
      <c r="AN1104" s="2">
        <v>0</v>
      </c>
      <c r="AO1104" s="2">
        <v>0</v>
      </c>
      <c r="AP1104" s="2">
        <v>0</v>
      </c>
      <c r="AQ1104" s="2">
        <v>0</v>
      </c>
      <c r="AR1104" s="2">
        <v>0.64172580635777543</v>
      </c>
    </row>
    <row r="1105" spans="1:44" x14ac:dyDescent="0.25">
      <c r="A1105" t="s">
        <v>435</v>
      </c>
      <c r="B1105" t="s">
        <v>469</v>
      </c>
      <c r="C1105" t="s">
        <v>47</v>
      </c>
      <c r="D1105" t="s">
        <v>470</v>
      </c>
      <c r="E1105" t="s">
        <v>134</v>
      </c>
      <c r="F1105" t="s">
        <v>470</v>
      </c>
      <c r="G1105" t="s">
        <v>33</v>
      </c>
      <c r="H1105" t="s">
        <v>451</v>
      </c>
      <c r="I1105" t="s">
        <v>135</v>
      </c>
      <c r="J1105" t="s">
        <v>39</v>
      </c>
      <c r="K1105" t="s">
        <v>33</v>
      </c>
      <c r="L1105">
        <v>2.2650432449504043E-2</v>
      </c>
      <c r="M1105">
        <v>1</v>
      </c>
      <c r="N1105">
        <v>2.4239184887175904</v>
      </c>
      <c r="O1105">
        <v>2.8779545327574696</v>
      </c>
      <c r="P1105">
        <v>-0.42363157097620913</v>
      </c>
      <c r="Q1105">
        <v>0.64311448895070245</v>
      </c>
      <c r="R1105">
        <v>-0.5250915332877516</v>
      </c>
      <c r="S1105" s="2">
        <v>3.1914326075550351E-2</v>
      </c>
      <c r="T1105" s="2">
        <v>5.1512850485619155E-2</v>
      </c>
      <c r="U1105" s="2">
        <v>7.7586584485197563E-2</v>
      </c>
      <c r="V1105" s="2">
        <v>0.11026398704450847</v>
      </c>
      <c r="W1105" s="2">
        <v>0.1488331005153056</v>
      </c>
      <c r="X1105" s="2">
        <v>0.19145415066628893</v>
      </c>
      <c r="Y1105" s="2">
        <v>0.23497043118157759</v>
      </c>
      <c r="Z1105" s="2">
        <v>0.27495001997728752</v>
      </c>
      <c r="AA1105" s="2">
        <v>0.30609814537761521</v>
      </c>
      <c r="AB1105" s="2">
        <v>0.32312064795176609</v>
      </c>
      <c r="AC1105" s="2">
        <v>0.32196843770327288</v>
      </c>
      <c r="AD1105" s="2">
        <v>0.3011699273688257</v>
      </c>
      <c r="AE1105" s="2">
        <v>0.26275452889788453</v>
      </c>
      <c r="AF1105" s="2">
        <v>0.21562005816505733</v>
      </c>
      <c r="AG1105" s="2">
        <v>3.8637323268534883E-2</v>
      </c>
      <c r="AH1105" s="2">
        <v>0</v>
      </c>
      <c r="AI1105" s="2">
        <v>0</v>
      </c>
      <c r="AJ1105" s="2">
        <v>0</v>
      </c>
      <c r="AK1105" s="2">
        <v>0</v>
      </c>
      <c r="AL1105" s="2">
        <v>0</v>
      </c>
      <c r="AM1105" s="2">
        <v>0</v>
      </c>
      <c r="AN1105" s="2">
        <v>0</v>
      </c>
      <c r="AO1105" s="2">
        <v>0</v>
      </c>
      <c r="AP1105" s="2">
        <v>0</v>
      </c>
      <c r="AQ1105" s="2">
        <v>0</v>
      </c>
      <c r="AR1105" s="2">
        <v>2.8908545191642925</v>
      </c>
    </row>
    <row r="1106" spans="1:44" x14ac:dyDescent="0.25">
      <c r="A1106" t="s">
        <v>435</v>
      </c>
      <c r="B1106" t="s">
        <v>469</v>
      </c>
      <c r="C1106" t="s">
        <v>47</v>
      </c>
      <c r="D1106" t="s">
        <v>470</v>
      </c>
      <c r="E1106" t="s">
        <v>134</v>
      </c>
      <c r="F1106" t="s">
        <v>470</v>
      </c>
      <c r="G1106" t="s">
        <v>33</v>
      </c>
      <c r="H1106" t="s">
        <v>452</v>
      </c>
      <c r="I1106" t="s">
        <v>135</v>
      </c>
      <c r="J1106" t="s">
        <v>39</v>
      </c>
      <c r="K1106" t="s">
        <v>31</v>
      </c>
      <c r="L1106">
        <v>2.2650432449504043E-2</v>
      </c>
      <c r="M1106">
        <v>1</v>
      </c>
      <c r="N1106">
        <v>2.4239184887175904</v>
      </c>
      <c r="O1106">
        <v>2.8779545327574696</v>
      </c>
      <c r="P1106">
        <v>-0.42363157097620913</v>
      </c>
      <c r="Q1106">
        <v>0.64311448895070245</v>
      </c>
      <c r="R1106">
        <v>-0.5250915332877516</v>
      </c>
      <c r="S1106" s="2">
        <v>0.16045898541064293</v>
      </c>
      <c r="T1106" s="2">
        <v>0.2589965304285391</v>
      </c>
      <c r="U1106" s="2">
        <v>0.39009016196990914</v>
      </c>
      <c r="V1106" s="2">
        <v>0.55438574659574735</v>
      </c>
      <c r="W1106" s="2">
        <v>0.74830370059112528</v>
      </c>
      <c r="X1106" s="2">
        <v>0.96259399919160993</v>
      </c>
      <c r="Y1106" s="2">
        <v>1.1813853408542347</v>
      </c>
      <c r="Z1106" s="2">
        <v>1.3823948887327642</v>
      </c>
      <c r="AA1106" s="2">
        <v>1.5390015671049895</v>
      </c>
      <c r="AB1106" s="2">
        <v>1.6245873784967853</v>
      </c>
      <c r="AC1106" s="2">
        <v>1.6187942908716448</v>
      </c>
      <c r="AD1106" s="2">
        <v>1.5142234514806514</v>
      </c>
      <c r="AE1106" s="2">
        <v>1.3210783464202909</v>
      </c>
      <c r="AF1106" s="2">
        <v>1.0840954524762678</v>
      </c>
      <c r="AG1106" s="2">
        <v>0.1942608995087548</v>
      </c>
      <c r="AH1106" s="2">
        <v>0</v>
      </c>
      <c r="AI1106" s="2">
        <v>0</v>
      </c>
      <c r="AJ1106" s="2">
        <v>0</v>
      </c>
      <c r="AK1106" s="2">
        <v>0</v>
      </c>
      <c r="AL1106" s="2">
        <v>0</v>
      </c>
      <c r="AM1106" s="2">
        <v>0</v>
      </c>
      <c r="AN1106" s="2">
        <v>0</v>
      </c>
      <c r="AO1106" s="2">
        <v>0</v>
      </c>
      <c r="AP1106" s="2">
        <v>0</v>
      </c>
      <c r="AQ1106" s="2">
        <v>0</v>
      </c>
      <c r="AR1106" s="2">
        <v>14.534650740133959</v>
      </c>
    </row>
    <row r="1107" spans="1:44" x14ac:dyDescent="0.25">
      <c r="A1107" t="s">
        <v>435</v>
      </c>
      <c r="B1107" t="s">
        <v>469</v>
      </c>
      <c r="C1107" t="s">
        <v>47</v>
      </c>
      <c r="D1107" t="s">
        <v>470</v>
      </c>
      <c r="E1107" t="s">
        <v>134</v>
      </c>
      <c r="F1107" t="s">
        <v>470</v>
      </c>
      <c r="G1107" t="s">
        <v>33</v>
      </c>
      <c r="H1107" t="s">
        <v>452</v>
      </c>
      <c r="I1107" t="s">
        <v>135</v>
      </c>
      <c r="J1107" t="s">
        <v>39</v>
      </c>
      <c r="K1107" t="s">
        <v>33</v>
      </c>
      <c r="L1107">
        <v>2.2650432449504043E-2</v>
      </c>
      <c r="M1107">
        <v>1</v>
      </c>
      <c r="N1107">
        <v>2.4239184887175904</v>
      </c>
      <c r="O1107">
        <v>2.8779545327574696</v>
      </c>
      <c r="P1107">
        <v>-0.42363157097620913</v>
      </c>
      <c r="Q1107">
        <v>0.64311448895070245</v>
      </c>
      <c r="R1107">
        <v>-0.5250915332877516</v>
      </c>
      <c r="S1107" s="2">
        <v>0.31730232052087842</v>
      </c>
      <c r="T1107" s="2">
        <v>0.51215704687100005</v>
      </c>
      <c r="U1107" s="2">
        <v>0.7713903542930397</v>
      </c>
      <c r="V1107" s="2">
        <v>1.0962794224851351</v>
      </c>
      <c r="W1107" s="2">
        <v>1.4797457434015155</v>
      </c>
      <c r="X1107" s="2">
        <v>1.9034976999344262</v>
      </c>
      <c r="Y1107" s="2">
        <v>2.3361503198033695</v>
      </c>
      <c r="Z1107" s="2">
        <v>2.7336400323643928</v>
      </c>
      <c r="AA1107" s="2">
        <v>3.0433245435147311</v>
      </c>
      <c r="AB1107" s="2">
        <v>3.2125676462850761</v>
      </c>
      <c r="AC1107" s="2">
        <v>3.2011120076884994</v>
      </c>
      <c r="AD1107" s="2">
        <v>2.9943266418664272</v>
      </c>
      <c r="AE1107" s="2">
        <v>2.6123886040802535</v>
      </c>
      <c r="AF1107" s="2">
        <v>2.1437627930684626</v>
      </c>
      <c r="AG1107" s="2">
        <v>0.3841444842920807</v>
      </c>
      <c r="AH1107" s="2">
        <v>0</v>
      </c>
      <c r="AI1107" s="2">
        <v>0</v>
      </c>
      <c r="AJ1107" s="2">
        <v>0</v>
      </c>
      <c r="AK1107" s="2">
        <v>0</v>
      </c>
      <c r="AL1107" s="2">
        <v>0</v>
      </c>
      <c r="AM1107" s="2">
        <v>0</v>
      </c>
      <c r="AN1107" s="2">
        <v>0</v>
      </c>
      <c r="AO1107" s="2">
        <v>0</v>
      </c>
      <c r="AP1107" s="2">
        <v>0</v>
      </c>
      <c r="AQ1107" s="2">
        <v>0</v>
      </c>
      <c r="AR1107" s="2">
        <v>28.741789660469284</v>
      </c>
    </row>
    <row r="1108" spans="1:44" x14ac:dyDescent="0.25">
      <c r="A1108" t="s">
        <v>435</v>
      </c>
      <c r="B1108" t="s">
        <v>469</v>
      </c>
      <c r="C1108" t="s">
        <v>47</v>
      </c>
      <c r="D1108" t="s">
        <v>470</v>
      </c>
      <c r="E1108" t="s">
        <v>134</v>
      </c>
      <c r="F1108" t="s">
        <v>470</v>
      </c>
      <c r="G1108" t="s">
        <v>33</v>
      </c>
      <c r="H1108" t="s">
        <v>452</v>
      </c>
      <c r="I1108" t="s">
        <v>135</v>
      </c>
      <c r="J1108" t="s">
        <v>40</v>
      </c>
      <c r="K1108" t="s">
        <v>33</v>
      </c>
      <c r="L1108">
        <v>2.2650432449504043E-2</v>
      </c>
      <c r="M1108">
        <v>1</v>
      </c>
      <c r="N1108">
        <v>2.4239184887175904</v>
      </c>
      <c r="O1108">
        <v>1.7054155637884916</v>
      </c>
      <c r="P1108">
        <v>-0.42363157097620913</v>
      </c>
      <c r="Q1108">
        <v>1.3498045353129324</v>
      </c>
      <c r="R1108">
        <v>-0.38209153328775158</v>
      </c>
      <c r="S1108" s="2">
        <v>2.323370666606317E-2</v>
      </c>
      <c r="T1108" s="2">
        <v>3.7501479895968824E-2</v>
      </c>
      <c r="U1108" s="2">
        <v>5.6483221387269182E-2</v>
      </c>
      <c r="V1108" s="2">
        <v>8.0272449581360025E-2</v>
      </c>
      <c r="W1108" s="2">
        <v>0.10835085758625641</v>
      </c>
      <c r="X1108" s="2">
        <v>0.13937908530641319</v>
      </c>
      <c r="Y1108" s="2">
        <v>0.17105904289965537</v>
      </c>
      <c r="Z1108" s="2">
        <v>0.20016428035666567</v>
      </c>
      <c r="AA1108" s="2">
        <v>0.22284019107575129</v>
      </c>
      <c r="AB1108" s="2">
        <v>0.23523261417106822</v>
      </c>
      <c r="AC1108" s="2">
        <v>0.23439380231999701</v>
      </c>
      <c r="AD1108" s="2">
        <v>0.21925243643128314</v>
      </c>
      <c r="AE1108" s="2">
        <v>0.19128593331851501</v>
      </c>
      <c r="AF1108" s="2">
        <v>0.15697192448517119</v>
      </c>
      <c r="AG1108" s="2">
        <v>2.812806490282492E-2</v>
      </c>
      <c r="AH1108" s="2">
        <v>0</v>
      </c>
      <c r="AI1108" s="2">
        <v>0</v>
      </c>
      <c r="AJ1108" s="2">
        <v>0</v>
      </c>
      <c r="AK1108" s="2">
        <v>0</v>
      </c>
      <c r="AL1108" s="2">
        <v>0</v>
      </c>
      <c r="AM1108" s="2">
        <v>0</v>
      </c>
      <c r="AN1108" s="2">
        <v>0</v>
      </c>
      <c r="AO1108" s="2">
        <v>0</v>
      </c>
      <c r="AP1108" s="2">
        <v>0</v>
      </c>
      <c r="AQ1108" s="2">
        <v>0</v>
      </c>
      <c r="AR1108" s="2">
        <v>2.1045490903842623</v>
      </c>
    </row>
    <row r="1109" spans="1:44" x14ac:dyDescent="0.25">
      <c r="A1109" t="s">
        <v>435</v>
      </c>
      <c r="B1109" t="s">
        <v>469</v>
      </c>
      <c r="C1109" t="s">
        <v>47</v>
      </c>
      <c r="D1109" t="s">
        <v>470</v>
      </c>
      <c r="E1109" t="s">
        <v>134</v>
      </c>
      <c r="F1109" t="s">
        <v>470</v>
      </c>
      <c r="G1109" t="s">
        <v>33</v>
      </c>
      <c r="H1109" t="s">
        <v>452</v>
      </c>
      <c r="I1109" t="s">
        <v>256</v>
      </c>
      <c r="J1109" t="s">
        <v>40</v>
      </c>
      <c r="K1109" t="s">
        <v>33</v>
      </c>
      <c r="L1109">
        <v>2.2650432449504043E-2</v>
      </c>
      <c r="M1109">
        <v>1</v>
      </c>
      <c r="N1109">
        <v>2.2288115627035432</v>
      </c>
      <c r="O1109">
        <v>1.4737622038640092</v>
      </c>
      <c r="P1109">
        <v>-0.29815547996194269</v>
      </c>
      <c r="Q1109">
        <v>1.3498045353129324</v>
      </c>
      <c r="R1109">
        <v>-0.25661544227348515</v>
      </c>
      <c r="S1109" s="2">
        <v>0.14010186421220336</v>
      </c>
      <c r="T1109" s="2">
        <v>0.22613814143638611</v>
      </c>
      <c r="U1109" s="2">
        <v>0.3406001774407309</v>
      </c>
      <c r="V1109" s="2">
        <v>0.48405189894455508</v>
      </c>
      <c r="W1109" s="2">
        <v>0.65336785709697864</v>
      </c>
      <c r="X1109" s="2">
        <v>0.84047155988859756</v>
      </c>
      <c r="Y1109" s="2">
        <v>1.0315052671127594</v>
      </c>
      <c r="Z1109" s="2">
        <v>1.2070131223454408</v>
      </c>
      <c r="AA1109" s="2">
        <v>1.3437514142639595</v>
      </c>
      <c r="AB1109" s="2">
        <v>1.4184791192623307</v>
      </c>
      <c r="AC1109" s="2">
        <v>1.4134209894620604</v>
      </c>
      <c r="AD1109" s="2">
        <v>1.3221168502552734</v>
      </c>
      <c r="AE1109" s="2">
        <v>1.1534756911879454</v>
      </c>
      <c r="AF1109" s="2">
        <v>0.94655835874319993</v>
      </c>
      <c r="AG1109" s="2">
        <v>0.16961539483167384</v>
      </c>
      <c r="AH1109" s="2">
        <v>0</v>
      </c>
      <c r="AI1109" s="2">
        <v>0</v>
      </c>
      <c r="AJ1109" s="2">
        <v>0</v>
      </c>
      <c r="AK1109" s="2">
        <v>0</v>
      </c>
      <c r="AL1109" s="2">
        <v>0</v>
      </c>
      <c r="AM1109" s="2">
        <v>0</v>
      </c>
      <c r="AN1109" s="2">
        <v>0</v>
      </c>
      <c r="AO1109" s="2">
        <v>0</v>
      </c>
      <c r="AP1109" s="2">
        <v>0</v>
      </c>
      <c r="AQ1109" s="2">
        <v>0</v>
      </c>
      <c r="AR1109" s="2">
        <v>12.690667706484097</v>
      </c>
    </row>
    <row r="1110" spans="1:44" x14ac:dyDescent="0.25">
      <c r="A1110" t="s">
        <v>435</v>
      </c>
      <c r="B1110" t="s">
        <v>469</v>
      </c>
      <c r="C1110" t="s">
        <v>47</v>
      </c>
      <c r="D1110" t="s">
        <v>470</v>
      </c>
      <c r="E1110" t="s">
        <v>134</v>
      </c>
      <c r="F1110" t="s">
        <v>470</v>
      </c>
      <c r="G1110" t="s">
        <v>33</v>
      </c>
      <c r="H1110" t="s">
        <v>453</v>
      </c>
      <c r="I1110" t="s">
        <v>135</v>
      </c>
      <c r="J1110" t="s">
        <v>39</v>
      </c>
      <c r="K1110" t="s">
        <v>31</v>
      </c>
      <c r="L1110">
        <v>2.2650432449504043E-2</v>
      </c>
      <c r="M1110">
        <v>1</v>
      </c>
      <c r="N1110">
        <v>2.4239184887175904</v>
      </c>
      <c r="O1110">
        <v>2.8779545327574696</v>
      </c>
      <c r="P1110">
        <v>-0.42363157097620913</v>
      </c>
      <c r="Q1110">
        <v>0.64311448895070245</v>
      </c>
      <c r="R1110">
        <v>-0.5250915332877516</v>
      </c>
      <c r="S1110" s="2">
        <v>4.9073152066190104E-2</v>
      </c>
      <c r="T1110" s="2">
        <v>7.9208877519752252E-2</v>
      </c>
      <c r="U1110" s="2">
        <v>0.11930122697014363</v>
      </c>
      <c r="V1110" s="2">
        <v>0.16954772570945692</v>
      </c>
      <c r="W1110" s="2">
        <v>0.22885363008387444</v>
      </c>
      <c r="X1110" s="2">
        <v>0.2943900061404649</v>
      </c>
      <c r="Y1110" s="2">
        <v>0.36130293565138283</v>
      </c>
      <c r="Z1110" s="2">
        <v>0.42277766132383432</v>
      </c>
      <c r="AA1110" s="2">
        <v>0.47067266279522851</v>
      </c>
      <c r="AB1110" s="2">
        <v>0.49684736112321159</v>
      </c>
      <c r="AC1110" s="2">
        <v>0.49507566183673213</v>
      </c>
      <c r="AD1110" s="2">
        <v>0.46309477469606719</v>
      </c>
      <c r="AE1110" s="2">
        <v>0.40402523061780427</v>
      </c>
      <c r="AF1110" s="2">
        <v>0.33154878087683837</v>
      </c>
      <c r="AG1110" s="2">
        <v>5.9410787359221201E-2</v>
      </c>
      <c r="AH1110" s="2">
        <v>0</v>
      </c>
      <c r="AI1110" s="2">
        <v>0</v>
      </c>
      <c r="AJ1110" s="2">
        <v>0</v>
      </c>
      <c r="AK1110" s="2">
        <v>0</v>
      </c>
      <c r="AL1110" s="2">
        <v>0</v>
      </c>
      <c r="AM1110" s="2">
        <v>0</v>
      </c>
      <c r="AN1110" s="2">
        <v>0</v>
      </c>
      <c r="AO1110" s="2">
        <v>0</v>
      </c>
      <c r="AP1110" s="2">
        <v>0</v>
      </c>
      <c r="AQ1110" s="2">
        <v>0</v>
      </c>
      <c r="AR1110" s="2">
        <v>4.4451304747702025</v>
      </c>
    </row>
    <row r="1111" spans="1:44" x14ac:dyDescent="0.25">
      <c r="A1111" t="s">
        <v>435</v>
      </c>
      <c r="B1111" t="s">
        <v>469</v>
      </c>
      <c r="C1111" t="s">
        <v>47</v>
      </c>
      <c r="D1111" t="s">
        <v>470</v>
      </c>
      <c r="E1111" t="s">
        <v>134</v>
      </c>
      <c r="F1111" t="s">
        <v>470</v>
      </c>
      <c r="G1111" t="s">
        <v>33</v>
      </c>
      <c r="H1111" t="s">
        <v>453</v>
      </c>
      <c r="I1111" t="s">
        <v>135</v>
      </c>
      <c r="J1111" t="s">
        <v>39</v>
      </c>
      <c r="K1111" t="s">
        <v>33</v>
      </c>
      <c r="L1111">
        <v>2.2650432449504043E-2</v>
      </c>
      <c r="M1111">
        <v>1</v>
      </c>
      <c r="N1111">
        <v>2.4239184887175904</v>
      </c>
      <c r="O1111">
        <v>2.8779545327574696</v>
      </c>
      <c r="P1111">
        <v>-0.42363157097620913</v>
      </c>
      <c r="Q1111">
        <v>0.64311448895070245</v>
      </c>
      <c r="R1111">
        <v>-0.5250915332877516</v>
      </c>
      <c r="S1111" s="2">
        <v>4.4650872154947216E-2</v>
      </c>
      <c r="T1111" s="2">
        <v>7.2070884277026889E-2</v>
      </c>
      <c r="U1111" s="2">
        <v>0.10855026850908762</v>
      </c>
      <c r="V1111" s="2">
        <v>0.15426874993894735</v>
      </c>
      <c r="W1111" s="2">
        <v>0.20823023891532133</v>
      </c>
      <c r="X1111" s="2">
        <v>0.26786073391296117</v>
      </c>
      <c r="Y1111" s="2">
        <v>0.32874373276893715</v>
      </c>
      <c r="Z1111" s="2">
        <v>0.38467859737797533</v>
      </c>
      <c r="AA1111" s="2">
        <v>0.42825748924690882</v>
      </c>
      <c r="AB1111" s="2">
        <v>0.45207342646571042</v>
      </c>
      <c r="AC1111" s="2">
        <v>0.45046138576714462</v>
      </c>
      <c r="AD1111" s="2">
        <v>0.42136249068916865</v>
      </c>
      <c r="AE1111" s="2">
        <v>0.36761606214648895</v>
      </c>
      <c r="AF1111" s="2">
        <v>0.30167090567348698</v>
      </c>
      <c r="AG1111" s="2">
        <v>5.405692031812568E-2</v>
      </c>
      <c r="AH1111" s="2">
        <v>0</v>
      </c>
      <c r="AI1111" s="2">
        <v>0</v>
      </c>
      <c r="AJ1111" s="2">
        <v>0</v>
      </c>
      <c r="AK1111" s="2">
        <v>0</v>
      </c>
      <c r="AL1111" s="2">
        <v>0</v>
      </c>
      <c r="AM1111" s="2">
        <v>0</v>
      </c>
      <c r="AN1111" s="2">
        <v>0</v>
      </c>
      <c r="AO1111" s="2">
        <v>0</v>
      </c>
      <c r="AP1111" s="2">
        <v>0</v>
      </c>
      <c r="AQ1111" s="2">
        <v>0</v>
      </c>
      <c r="AR1111" s="2">
        <v>4.0445527581622374</v>
      </c>
    </row>
    <row r="1112" spans="1:44" x14ac:dyDescent="0.25">
      <c r="A1112" t="s">
        <v>435</v>
      </c>
      <c r="B1112" t="s">
        <v>469</v>
      </c>
      <c r="C1112" t="s">
        <v>47</v>
      </c>
      <c r="D1112" t="s">
        <v>470</v>
      </c>
      <c r="E1112" t="s">
        <v>134</v>
      </c>
      <c r="F1112" t="s">
        <v>470</v>
      </c>
      <c r="G1112" t="s">
        <v>33</v>
      </c>
      <c r="H1112" t="s">
        <v>453</v>
      </c>
      <c r="I1112" t="s">
        <v>135</v>
      </c>
      <c r="J1112" t="s">
        <v>40</v>
      </c>
      <c r="K1112" t="s">
        <v>33</v>
      </c>
      <c r="L1112">
        <v>2.2650432449504043E-2</v>
      </c>
      <c r="M1112">
        <v>1</v>
      </c>
      <c r="N1112">
        <v>2.4239184887175904</v>
      </c>
      <c r="O1112">
        <v>1.7054155637884916</v>
      </c>
      <c r="P1112">
        <v>-0.42363157097620913</v>
      </c>
      <c r="Q1112">
        <v>1.3498045353129324</v>
      </c>
      <c r="R1112">
        <v>-0.38209153328775158</v>
      </c>
      <c r="S1112" s="2">
        <v>0.90929787940275364</v>
      </c>
      <c r="T1112" s="2">
        <v>1.4676959055215415</v>
      </c>
      <c r="U1112" s="2">
        <v>2.210584568681861</v>
      </c>
      <c r="V1112" s="2">
        <v>3.1416239013386491</v>
      </c>
      <c r="W1112" s="2">
        <v>4.2405289199317844</v>
      </c>
      <c r="X1112" s="2">
        <v>5.4548810710147437</v>
      </c>
      <c r="Y1112" s="2">
        <v>6.6947399826012077</v>
      </c>
      <c r="Z1112" s="2">
        <v>7.8338320387917211</v>
      </c>
      <c r="AA1112" s="2">
        <v>8.7212994509764741</v>
      </c>
      <c r="AB1112" s="2">
        <v>9.2063018745326257</v>
      </c>
      <c r="AC1112" s="2">
        <v>9.1734732842280486</v>
      </c>
      <c r="AD1112" s="2">
        <v>8.5808854508807642</v>
      </c>
      <c r="AE1112" s="2">
        <v>7.4863600555035665</v>
      </c>
      <c r="AF1112" s="2">
        <v>6.1434122463387801</v>
      </c>
      <c r="AG1112" s="2">
        <v>1.100848441251983</v>
      </c>
      <c r="AH1112" s="2">
        <v>0</v>
      </c>
      <c r="AI1112" s="2">
        <v>0</v>
      </c>
      <c r="AJ1112" s="2">
        <v>0</v>
      </c>
      <c r="AK1112" s="2">
        <v>0</v>
      </c>
      <c r="AL1112" s="2">
        <v>0</v>
      </c>
      <c r="AM1112" s="2">
        <v>0</v>
      </c>
      <c r="AN1112" s="2">
        <v>0</v>
      </c>
      <c r="AO1112" s="2">
        <v>0</v>
      </c>
      <c r="AP1112" s="2">
        <v>0</v>
      </c>
      <c r="AQ1112" s="2">
        <v>0</v>
      </c>
      <c r="AR1112" s="2">
        <v>82.365765070996503</v>
      </c>
    </row>
    <row r="1113" spans="1:44" x14ac:dyDescent="0.25">
      <c r="A1113" t="s">
        <v>435</v>
      </c>
      <c r="B1113" t="s">
        <v>469</v>
      </c>
      <c r="C1113" t="s">
        <v>47</v>
      </c>
      <c r="D1113" t="s">
        <v>470</v>
      </c>
      <c r="E1113" t="s">
        <v>134</v>
      </c>
      <c r="F1113" t="s">
        <v>470</v>
      </c>
      <c r="G1113" t="s">
        <v>33</v>
      </c>
      <c r="H1113" t="s">
        <v>453</v>
      </c>
      <c r="I1113" t="s">
        <v>256</v>
      </c>
      <c r="J1113" t="s">
        <v>40</v>
      </c>
      <c r="K1113" t="s">
        <v>33</v>
      </c>
      <c r="L1113">
        <v>2.2650432449504043E-2</v>
      </c>
      <c r="M1113">
        <v>1</v>
      </c>
      <c r="N1113">
        <v>2.2288115627035432</v>
      </c>
      <c r="O1113">
        <v>1.4737622038640092</v>
      </c>
      <c r="P1113">
        <v>-0.29815547996194269</v>
      </c>
      <c r="Q1113">
        <v>1.3498045353129324</v>
      </c>
      <c r="R1113">
        <v>-0.25661544227348515</v>
      </c>
      <c r="S1113" s="2">
        <v>0.46810403967139103</v>
      </c>
      <c r="T1113" s="2">
        <v>0.75556580296332854</v>
      </c>
      <c r="U1113" s="2">
        <v>1.1380028372164315</v>
      </c>
      <c r="V1113" s="2">
        <v>1.6172993170409051</v>
      </c>
      <c r="W1113" s="2">
        <v>2.183012588863865</v>
      </c>
      <c r="X1113" s="2">
        <v>2.8081577259876229</v>
      </c>
      <c r="Y1113" s="2">
        <v>3.4464336730484537</v>
      </c>
      <c r="Z1113" s="2">
        <v>4.0328351209552684</v>
      </c>
      <c r="AA1113" s="2">
        <v>4.489700896330505</v>
      </c>
      <c r="AB1113" s="2">
        <v>4.7393788059129731</v>
      </c>
      <c r="AC1113" s="2">
        <v>4.7224787381943667</v>
      </c>
      <c r="AD1113" s="2">
        <v>4.4174161564668282</v>
      </c>
      <c r="AE1113" s="2">
        <v>3.853957502592571</v>
      </c>
      <c r="AF1113" s="2">
        <v>3.1626116754684768</v>
      </c>
      <c r="AG1113" s="2">
        <v>0.56671374044605671</v>
      </c>
      <c r="AH1113" s="2">
        <v>0</v>
      </c>
      <c r="AI1113" s="2">
        <v>0</v>
      </c>
      <c r="AJ1113" s="2">
        <v>0</v>
      </c>
      <c r="AK1113" s="2">
        <v>0</v>
      </c>
      <c r="AL1113" s="2">
        <v>0</v>
      </c>
      <c r="AM1113" s="2">
        <v>0</v>
      </c>
      <c r="AN1113" s="2">
        <v>0</v>
      </c>
      <c r="AO1113" s="2">
        <v>0</v>
      </c>
      <c r="AP1113" s="2">
        <v>0</v>
      </c>
      <c r="AQ1113" s="2">
        <v>0</v>
      </c>
      <c r="AR1113" s="2">
        <v>42.40166862115904</v>
      </c>
    </row>
    <row r="1114" spans="1:44" x14ac:dyDescent="0.25">
      <c r="A1114" t="s">
        <v>435</v>
      </c>
      <c r="B1114" t="s">
        <v>469</v>
      </c>
      <c r="C1114" t="s">
        <v>47</v>
      </c>
      <c r="D1114" t="s">
        <v>470</v>
      </c>
      <c r="E1114" t="s">
        <v>134</v>
      </c>
      <c r="F1114" t="s">
        <v>470</v>
      </c>
      <c r="G1114" t="s">
        <v>33</v>
      </c>
      <c r="H1114" t="s">
        <v>454</v>
      </c>
      <c r="I1114" t="s">
        <v>135</v>
      </c>
      <c r="J1114" t="s">
        <v>39</v>
      </c>
      <c r="K1114" t="s">
        <v>31</v>
      </c>
      <c r="L1114">
        <v>2.2650432449504043E-2</v>
      </c>
      <c r="M1114">
        <v>1</v>
      </c>
      <c r="N1114">
        <v>2.4239184887175904</v>
      </c>
      <c r="O1114">
        <v>2.8779545327574696</v>
      </c>
      <c r="P1114">
        <v>-0.42363157097620913</v>
      </c>
      <c r="Q1114">
        <v>0.64311448895070245</v>
      </c>
      <c r="R1114">
        <v>-0.5250915332877516</v>
      </c>
      <c r="S1114" s="2">
        <v>2.7021693505061384E-3</v>
      </c>
      <c r="T1114" s="2">
        <v>4.3615661947530235E-3</v>
      </c>
      <c r="U1114" s="2">
        <v>6.5692156591384511E-3</v>
      </c>
      <c r="V1114" s="2">
        <v>9.3359942977000072E-3</v>
      </c>
      <c r="W1114" s="2">
        <v>1.2601621027534822E-2</v>
      </c>
      <c r="X1114" s="2">
        <v>1.6210323123632148E-2</v>
      </c>
      <c r="Y1114" s="2">
        <v>1.9894823907953125E-2</v>
      </c>
      <c r="Z1114" s="2">
        <v>2.3279874848206861E-2</v>
      </c>
      <c r="AA1114" s="2">
        <v>2.5917170386995255E-2</v>
      </c>
      <c r="AB1114" s="2">
        <v>2.7358456805385942E-2</v>
      </c>
      <c r="AC1114" s="2">
        <v>2.7260899764342771E-2</v>
      </c>
      <c r="AD1114" s="2">
        <v>2.5499900737483039E-2</v>
      </c>
      <c r="AE1114" s="2">
        <v>2.2247288976547794E-2</v>
      </c>
      <c r="AF1114" s="2">
        <v>1.8256437912825996E-2</v>
      </c>
      <c r="AG1114" s="2">
        <v>3.2714020178485855E-3</v>
      </c>
      <c r="AH1114" s="2">
        <v>0</v>
      </c>
      <c r="AI1114" s="2">
        <v>0</v>
      </c>
      <c r="AJ1114" s="2">
        <v>0</v>
      </c>
      <c r="AK1114" s="2">
        <v>0</v>
      </c>
      <c r="AL1114" s="2">
        <v>0</v>
      </c>
      <c r="AM1114" s="2">
        <v>0</v>
      </c>
      <c r="AN1114" s="2">
        <v>0</v>
      </c>
      <c r="AO1114" s="2">
        <v>0</v>
      </c>
      <c r="AP1114" s="2">
        <v>0</v>
      </c>
      <c r="AQ1114" s="2">
        <v>0</v>
      </c>
      <c r="AR1114" s="2">
        <v>0.24476714501085398</v>
      </c>
    </row>
    <row r="1115" spans="1:44" x14ac:dyDescent="0.25">
      <c r="A1115" t="s">
        <v>435</v>
      </c>
      <c r="B1115" t="s">
        <v>469</v>
      </c>
      <c r="C1115" t="s">
        <v>47</v>
      </c>
      <c r="D1115" t="s">
        <v>470</v>
      </c>
      <c r="E1115" t="s">
        <v>134</v>
      </c>
      <c r="F1115" t="s">
        <v>470</v>
      </c>
      <c r="G1115" t="s">
        <v>33</v>
      </c>
      <c r="H1115" t="s">
        <v>454</v>
      </c>
      <c r="I1115" t="s">
        <v>135</v>
      </c>
      <c r="J1115" t="s">
        <v>39</v>
      </c>
      <c r="K1115" t="s">
        <v>33</v>
      </c>
      <c r="L1115">
        <v>2.2650432449504043E-2</v>
      </c>
      <c r="M1115">
        <v>1</v>
      </c>
      <c r="N1115">
        <v>2.4239184887175904</v>
      </c>
      <c r="O1115">
        <v>2.8779545327574696</v>
      </c>
      <c r="P1115">
        <v>-0.42363157097620913</v>
      </c>
      <c r="Q1115">
        <v>0.64311448895070245</v>
      </c>
      <c r="R1115">
        <v>-0.5250915332877516</v>
      </c>
      <c r="S1115" s="2">
        <v>2.1684920345401558E-2</v>
      </c>
      <c r="T1115" s="2">
        <v>3.5001586964451298E-2</v>
      </c>
      <c r="U1115" s="2">
        <v>5.2717983154349418E-2</v>
      </c>
      <c r="V1115" s="2">
        <v>7.4921393306761924E-2</v>
      </c>
      <c r="W1115" s="2">
        <v>0.10112806147913904</v>
      </c>
      <c r="X1115" s="2">
        <v>0.13008791090141764</v>
      </c>
      <c r="Y1115" s="2">
        <v>0.15965604511388082</v>
      </c>
      <c r="Z1115" s="2">
        <v>0.18682109307461633</v>
      </c>
      <c r="AA1115" s="2">
        <v>0.20798540080950992</v>
      </c>
      <c r="AB1115" s="2">
        <v>0.21955173034835126</v>
      </c>
      <c r="AC1115" s="2">
        <v>0.21876883468573946</v>
      </c>
      <c r="AD1115" s="2">
        <v>0.20463681012605359</v>
      </c>
      <c r="AE1115" s="2">
        <v>0.17853458713355844</v>
      </c>
      <c r="AF1115" s="2">
        <v>0.14650799064693984</v>
      </c>
      <c r="AG1115" s="2">
        <v>2.6253014882854812E-2</v>
      </c>
      <c r="AH1115" s="2">
        <v>0</v>
      </c>
      <c r="AI1115" s="2">
        <v>0</v>
      </c>
      <c r="AJ1115" s="2">
        <v>0</v>
      </c>
      <c r="AK1115" s="2">
        <v>0</v>
      </c>
      <c r="AL1115" s="2">
        <v>0</v>
      </c>
      <c r="AM1115" s="2">
        <v>0</v>
      </c>
      <c r="AN1115" s="2">
        <v>0</v>
      </c>
      <c r="AO1115" s="2">
        <v>0</v>
      </c>
      <c r="AP1115" s="2">
        <v>0</v>
      </c>
      <c r="AQ1115" s="2">
        <v>0</v>
      </c>
      <c r="AR1115" s="2">
        <v>1.9642573629730253</v>
      </c>
    </row>
    <row r="1116" spans="1:44" x14ac:dyDescent="0.25">
      <c r="A1116" t="s">
        <v>435</v>
      </c>
      <c r="B1116" t="s">
        <v>469</v>
      </c>
      <c r="C1116" t="s">
        <v>47</v>
      </c>
      <c r="D1116" t="s">
        <v>470</v>
      </c>
      <c r="E1116" t="s">
        <v>134</v>
      </c>
      <c r="F1116" t="s">
        <v>470</v>
      </c>
      <c r="G1116" t="s">
        <v>33</v>
      </c>
      <c r="H1116" t="s">
        <v>455</v>
      </c>
      <c r="I1116" t="s">
        <v>135</v>
      </c>
      <c r="J1116" t="s">
        <v>39</v>
      </c>
      <c r="K1116" t="s">
        <v>31</v>
      </c>
      <c r="L1116">
        <v>2.2650432449504043E-2</v>
      </c>
      <c r="M1116">
        <v>1</v>
      </c>
      <c r="N1116">
        <v>2.4239184887175904</v>
      </c>
      <c r="O1116">
        <v>2.8779545327574696</v>
      </c>
      <c r="P1116">
        <v>-0.42363157097620913</v>
      </c>
      <c r="Q1116">
        <v>0.64311448895070245</v>
      </c>
      <c r="R1116">
        <v>-0.5250915332877516</v>
      </c>
      <c r="S1116" s="2">
        <v>6.3667115153923949E-4</v>
      </c>
      <c r="T1116" s="2">
        <v>1.0276496442415399E-3</v>
      </c>
      <c r="U1116" s="2">
        <v>1.547804580652903E-3</v>
      </c>
      <c r="V1116" s="2">
        <v>2.1996986381209176E-3</v>
      </c>
      <c r="W1116" s="2">
        <v>2.9691287000050155E-3</v>
      </c>
      <c r="X1116" s="2">
        <v>3.8193924033713511E-3</v>
      </c>
      <c r="Y1116" s="2">
        <v>4.6875154011995499E-3</v>
      </c>
      <c r="Z1116" s="2">
        <v>5.4850835772084485E-3</v>
      </c>
      <c r="AA1116" s="2">
        <v>6.1064694971232009E-3</v>
      </c>
      <c r="AB1116" s="2">
        <v>6.4460579405798569E-3</v>
      </c>
      <c r="AC1116" s="2">
        <v>6.4230720556833097E-3</v>
      </c>
      <c r="AD1116" s="2">
        <v>6.0081545827720502E-3</v>
      </c>
      <c r="AE1116" s="2">
        <v>5.2417910404734033E-3</v>
      </c>
      <c r="AF1116" s="2">
        <v>4.3014873759804903E-3</v>
      </c>
      <c r="AG1116" s="2">
        <v>7.7079080534360662E-4</v>
      </c>
      <c r="AH1116" s="2">
        <v>0</v>
      </c>
      <c r="AI1116" s="2">
        <v>0</v>
      </c>
      <c r="AJ1116" s="2">
        <v>0</v>
      </c>
      <c r="AK1116" s="2">
        <v>0</v>
      </c>
      <c r="AL1116" s="2">
        <v>0</v>
      </c>
      <c r="AM1116" s="2">
        <v>0</v>
      </c>
      <c r="AN1116" s="2">
        <v>0</v>
      </c>
      <c r="AO1116" s="2">
        <v>0</v>
      </c>
      <c r="AP1116" s="2">
        <v>0</v>
      </c>
      <c r="AQ1116" s="2">
        <v>0</v>
      </c>
      <c r="AR1116" s="2">
        <v>5.7670767394294879E-2</v>
      </c>
    </row>
    <row r="1117" spans="1:44" x14ac:dyDescent="0.25">
      <c r="A1117" t="s">
        <v>435</v>
      </c>
      <c r="B1117" t="s">
        <v>469</v>
      </c>
      <c r="C1117" t="s">
        <v>47</v>
      </c>
      <c r="D1117" t="s">
        <v>470</v>
      </c>
      <c r="E1117" t="s">
        <v>134</v>
      </c>
      <c r="F1117" t="s">
        <v>470</v>
      </c>
      <c r="G1117" t="s">
        <v>33</v>
      </c>
      <c r="H1117" t="s">
        <v>455</v>
      </c>
      <c r="I1117" t="s">
        <v>135</v>
      </c>
      <c r="J1117" t="s">
        <v>39</v>
      </c>
      <c r="K1117" t="s">
        <v>33</v>
      </c>
      <c r="L1117">
        <v>2.2650432449504043E-2</v>
      </c>
      <c r="M1117">
        <v>1</v>
      </c>
      <c r="N1117">
        <v>2.4239184887175904</v>
      </c>
      <c r="O1117">
        <v>2.8779545327574696</v>
      </c>
      <c r="P1117">
        <v>-0.42363157097620913</v>
      </c>
      <c r="Q1117">
        <v>0.64311448895070245</v>
      </c>
      <c r="R1117">
        <v>-0.5250915332877516</v>
      </c>
      <c r="S1117" s="2">
        <v>1.618785940800984E-2</v>
      </c>
      <c r="T1117" s="2">
        <v>2.6128791796918873E-2</v>
      </c>
      <c r="U1117" s="2">
        <v>3.9354135776542391E-2</v>
      </c>
      <c r="V1117" s="2">
        <v>5.5929049412406902E-2</v>
      </c>
      <c r="W1117" s="2">
        <v>7.5492407412786552E-2</v>
      </c>
      <c r="X1117" s="2">
        <v>9.7111023642769287E-2</v>
      </c>
      <c r="Y1117" s="2">
        <v>0.11918372633037773</v>
      </c>
      <c r="Z1117" s="2">
        <v>0.1394625177760416</v>
      </c>
      <c r="AA1117" s="2">
        <v>0.15526173827688899</v>
      </c>
      <c r="AB1117" s="2">
        <v>0.16389603867823588</v>
      </c>
      <c r="AC1117" s="2">
        <v>0.16331160466991868</v>
      </c>
      <c r="AD1117" s="2">
        <v>0.15276200508279142</v>
      </c>
      <c r="AE1117" s="2">
        <v>0.13327661572886482</v>
      </c>
      <c r="AF1117" s="2">
        <v>0.10936866342908232</v>
      </c>
      <c r="AG1117" s="2">
        <v>1.959795596160287E-2</v>
      </c>
      <c r="AH1117" s="2">
        <v>0</v>
      </c>
      <c r="AI1117" s="2">
        <v>0</v>
      </c>
      <c r="AJ1117" s="2">
        <v>0</v>
      </c>
      <c r="AK1117" s="2">
        <v>0</v>
      </c>
      <c r="AL1117" s="2">
        <v>0</v>
      </c>
      <c r="AM1117" s="2">
        <v>0</v>
      </c>
      <c r="AN1117" s="2">
        <v>0</v>
      </c>
      <c r="AO1117" s="2">
        <v>0</v>
      </c>
      <c r="AP1117" s="2">
        <v>0</v>
      </c>
      <c r="AQ1117" s="2">
        <v>0</v>
      </c>
      <c r="AR1117" s="2">
        <v>1.4663241333832382</v>
      </c>
    </row>
    <row r="1118" spans="1:44" x14ac:dyDescent="0.25">
      <c r="A1118" t="s">
        <v>435</v>
      </c>
      <c r="B1118" t="s">
        <v>469</v>
      </c>
      <c r="C1118" t="s">
        <v>47</v>
      </c>
      <c r="D1118" t="s">
        <v>470</v>
      </c>
      <c r="E1118" t="s">
        <v>134</v>
      </c>
      <c r="F1118" t="s">
        <v>470</v>
      </c>
      <c r="G1118" t="s">
        <v>33</v>
      </c>
      <c r="H1118" t="s">
        <v>456</v>
      </c>
      <c r="I1118" t="s">
        <v>135</v>
      </c>
      <c r="J1118" t="s">
        <v>39</v>
      </c>
      <c r="K1118" t="s">
        <v>31</v>
      </c>
      <c r="L1118">
        <v>2.2650432449504043E-2</v>
      </c>
      <c r="M1118">
        <v>1</v>
      </c>
      <c r="N1118">
        <v>2.4239184887175904</v>
      </c>
      <c r="O1118">
        <v>2.8779545327574696</v>
      </c>
      <c r="P1118">
        <v>-0.42363157097620913</v>
      </c>
      <c r="Q1118">
        <v>0.64311448895070245</v>
      </c>
      <c r="R1118">
        <v>-0.5250915332877516</v>
      </c>
      <c r="S1118" s="2">
        <v>0.11476148274358823</v>
      </c>
      <c r="T1118" s="2">
        <v>0.18523628191564367</v>
      </c>
      <c r="U1118" s="2">
        <v>0.27899544096446682</v>
      </c>
      <c r="V1118" s="2">
        <v>0.39650088855054672</v>
      </c>
      <c r="W1118" s="2">
        <v>0.53519247926551849</v>
      </c>
      <c r="X1118" s="2">
        <v>0.68845452527697693</v>
      </c>
      <c r="Y1118" s="2">
        <v>0.84493575140715527</v>
      </c>
      <c r="Z1118" s="2">
        <v>0.98869930382600424</v>
      </c>
      <c r="AA1118" s="2">
        <v>1.1007055873728577</v>
      </c>
      <c r="AB1118" s="2">
        <v>1.1619172084734111</v>
      </c>
      <c r="AC1118" s="2">
        <v>1.1577739482887399</v>
      </c>
      <c r="AD1118" s="2">
        <v>1.0829840912449595</v>
      </c>
      <c r="AE1118" s="2">
        <v>0.94484524794698321</v>
      </c>
      <c r="AF1118" s="2">
        <v>0.7753532857219827</v>
      </c>
      <c r="AG1118" s="2">
        <v>0.13893686794587767</v>
      </c>
      <c r="AH1118" s="2">
        <v>0</v>
      </c>
      <c r="AI1118" s="2">
        <v>0</v>
      </c>
      <c r="AJ1118" s="2">
        <v>0</v>
      </c>
      <c r="AK1118" s="2">
        <v>0</v>
      </c>
      <c r="AL1118" s="2">
        <v>0</v>
      </c>
      <c r="AM1118" s="2">
        <v>0</v>
      </c>
      <c r="AN1118" s="2">
        <v>0</v>
      </c>
      <c r="AO1118" s="2">
        <v>0</v>
      </c>
      <c r="AP1118" s="2">
        <v>0</v>
      </c>
      <c r="AQ1118" s="2">
        <v>0</v>
      </c>
      <c r="AR1118" s="2">
        <v>10.395292390944713</v>
      </c>
    </row>
    <row r="1119" spans="1:44" x14ac:dyDescent="0.25">
      <c r="A1119" t="s">
        <v>435</v>
      </c>
      <c r="B1119" t="s">
        <v>469</v>
      </c>
      <c r="C1119" t="s">
        <v>47</v>
      </c>
      <c r="D1119" t="s">
        <v>470</v>
      </c>
      <c r="E1119" t="s">
        <v>134</v>
      </c>
      <c r="F1119" t="s">
        <v>470</v>
      </c>
      <c r="G1119" t="s">
        <v>33</v>
      </c>
      <c r="H1119" t="s">
        <v>456</v>
      </c>
      <c r="I1119" t="s">
        <v>135</v>
      </c>
      <c r="J1119" t="s">
        <v>39</v>
      </c>
      <c r="K1119" t="s">
        <v>33</v>
      </c>
      <c r="L1119">
        <v>2.2650432449504043E-2</v>
      </c>
      <c r="M1119">
        <v>1</v>
      </c>
      <c r="N1119">
        <v>2.4239184887175904</v>
      </c>
      <c r="O1119">
        <v>2.8779545327574696</v>
      </c>
      <c r="P1119">
        <v>-0.42363157097620913</v>
      </c>
      <c r="Q1119">
        <v>0.64311448895070245</v>
      </c>
      <c r="R1119">
        <v>-0.5250915332877516</v>
      </c>
      <c r="S1119" s="2">
        <v>0.10595924561436276</v>
      </c>
      <c r="T1119" s="2">
        <v>0.17102860840552905</v>
      </c>
      <c r="U1119" s="2">
        <v>0.25759641429949226</v>
      </c>
      <c r="V1119" s="2">
        <v>0.36608916190208191</v>
      </c>
      <c r="W1119" s="2">
        <v>0.49414306965830085</v>
      </c>
      <c r="X1119" s="2">
        <v>0.63564987480277513</v>
      </c>
      <c r="Y1119" s="2">
        <v>0.78012894806998245</v>
      </c>
      <c r="Z1119" s="2">
        <v>0.91286579667952339</v>
      </c>
      <c r="AA1119" s="2">
        <v>1.0162811676294605</v>
      </c>
      <c r="AB1119" s="2">
        <v>1.0727978406419416</v>
      </c>
      <c r="AC1119" s="2">
        <v>1.0689723696471771</v>
      </c>
      <c r="AD1119" s="2">
        <v>0.99991891510379927</v>
      </c>
      <c r="AE1119" s="2">
        <v>0.87237535888644102</v>
      </c>
      <c r="AF1119" s="2">
        <v>0.71588347654308127</v>
      </c>
      <c r="AG1119" s="2">
        <v>0.12828037215639826</v>
      </c>
      <c r="AH1119" s="2">
        <v>0</v>
      </c>
      <c r="AI1119" s="2">
        <v>0</v>
      </c>
      <c r="AJ1119" s="2">
        <v>0</v>
      </c>
      <c r="AK1119" s="2">
        <v>0</v>
      </c>
      <c r="AL1119" s="2">
        <v>0</v>
      </c>
      <c r="AM1119" s="2">
        <v>0</v>
      </c>
      <c r="AN1119" s="2">
        <v>0</v>
      </c>
      <c r="AO1119" s="2">
        <v>0</v>
      </c>
      <c r="AP1119" s="2">
        <v>0</v>
      </c>
      <c r="AQ1119" s="2">
        <v>0</v>
      </c>
      <c r="AR1119" s="2">
        <v>9.5979706200403481</v>
      </c>
    </row>
    <row r="1120" spans="1:44" x14ac:dyDescent="0.25">
      <c r="A1120" t="s">
        <v>435</v>
      </c>
      <c r="B1120" t="s">
        <v>469</v>
      </c>
      <c r="C1120" t="s">
        <v>47</v>
      </c>
      <c r="D1120" t="s">
        <v>470</v>
      </c>
      <c r="E1120" t="s">
        <v>134</v>
      </c>
      <c r="F1120" t="s">
        <v>470</v>
      </c>
      <c r="G1120" t="s">
        <v>33</v>
      </c>
      <c r="H1120" t="s">
        <v>456</v>
      </c>
      <c r="I1120" t="s">
        <v>135</v>
      </c>
      <c r="J1120" t="s">
        <v>40</v>
      </c>
      <c r="K1120" t="s">
        <v>33</v>
      </c>
      <c r="L1120">
        <v>2.2650432449504043E-2</v>
      </c>
      <c r="M1120">
        <v>1</v>
      </c>
      <c r="N1120">
        <v>2.4239184887175904</v>
      </c>
      <c r="O1120">
        <v>1.7054155637884916</v>
      </c>
      <c r="P1120">
        <v>-0.42363157097620913</v>
      </c>
      <c r="Q1120">
        <v>1.3498045353129324</v>
      </c>
      <c r="R1120">
        <v>-0.38209153328775158</v>
      </c>
      <c r="S1120" s="2">
        <v>0.39117120661587845</v>
      </c>
      <c r="T1120" s="2">
        <v>0.63138866955803308</v>
      </c>
      <c r="U1120" s="2">
        <v>0.95097223104236139</v>
      </c>
      <c r="V1120" s="2">
        <v>1.3514964018469933</v>
      </c>
      <c r="W1120" s="2">
        <v>1.8242347770444165</v>
      </c>
      <c r="X1120" s="2">
        <v>2.3466373988428009</v>
      </c>
      <c r="Y1120" s="2">
        <v>2.8800127838126666</v>
      </c>
      <c r="Z1120" s="2">
        <v>3.3700392362654887</v>
      </c>
      <c r="AA1120" s="2">
        <v>3.7518191857410081</v>
      </c>
      <c r="AB1120" s="2">
        <v>3.9604625660144754</v>
      </c>
      <c r="AC1120" s="2">
        <v>3.9463400220475031</v>
      </c>
      <c r="AD1120" s="2">
        <v>3.6914144327031178</v>
      </c>
      <c r="AE1120" s="2">
        <v>3.2205601293117638</v>
      </c>
      <c r="AF1120" s="2">
        <v>2.6428368915998441</v>
      </c>
      <c r="AG1120" s="2">
        <v>0.47357441694308916</v>
      </c>
      <c r="AH1120" s="2">
        <v>0</v>
      </c>
      <c r="AI1120" s="2">
        <v>0</v>
      </c>
      <c r="AJ1120" s="2">
        <v>0</v>
      </c>
      <c r="AK1120" s="2">
        <v>0</v>
      </c>
      <c r="AL1120" s="2">
        <v>0</v>
      </c>
      <c r="AM1120" s="2">
        <v>0</v>
      </c>
      <c r="AN1120" s="2">
        <v>0</v>
      </c>
      <c r="AO1120" s="2">
        <v>0</v>
      </c>
      <c r="AP1120" s="2">
        <v>0</v>
      </c>
      <c r="AQ1120" s="2">
        <v>0</v>
      </c>
      <c r="AR1120" s="2">
        <v>35.43296034938944</v>
      </c>
    </row>
    <row r="1121" spans="1:44" x14ac:dyDescent="0.25">
      <c r="A1121" t="s">
        <v>435</v>
      </c>
      <c r="B1121" t="s">
        <v>469</v>
      </c>
      <c r="C1121" t="s">
        <v>47</v>
      </c>
      <c r="D1121" t="s">
        <v>470</v>
      </c>
      <c r="E1121" t="s">
        <v>134</v>
      </c>
      <c r="F1121" t="s">
        <v>470</v>
      </c>
      <c r="G1121" t="s">
        <v>33</v>
      </c>
      <c r="H1121" t="s">
        <v>456</v>
      </c>
      <c r="I1121" t="s">
        <v>256</v>
      </c>
      <c r="J1121" t="s">
        <v>40</v>
      </c>
      <c r="K1121" t="s">
        <v>33</v>
      </c>
      <c r="L1121">
        <v>2.2650432449504043E-2</v>
      </c>
      <c r="M1121">
        <v>1</v>
      </c>
      <c r="N1121">
        <v>2.2288115627035432</v>
      </c>
      <c r="O1121">
        <v>1.4737622038640092</v>
      </c>
      <c r="P1121">
        <v>-0.29815547996194269</v>
      </c>
      <c r="Q1121">
        <v>1.3498045353129324</v>
      </c>
      <c r="R1121">
        <v>-0.25661544227348515</v>
      </c>
      <c r="S1121" s="2">
        <v>0.58741401083112144</v>
      </c>
      <c r="T1121" s="2">
        <v>0.9481437910193945</v>
      </c>
      <c r="U1121" s="2">
        <v>1.4280560608188129</v>
      </c>
      <c r="V1121" s="2">
        <v>2.0295152317086358</v>
      </c>
      <c r="W1121" s="2">
        <v>2.7394170351948897</v>
      </c>
      <c r="X1121" s="2">
        <v>3.5238986487422235</v>
      </c>
      <c r="Y1121" s="2">
        <v>4.3248578422224551</v>
      </c>
      <c r="Z1121" s="2">
        <v>5.0607208070324345</v>
      </c>
      <c r="AA1121" s="2">
        <v>5.6340321540420293</v>
      </c>
      <c r="AB1121" s="2">
        <v>5.947347763082119</v>
      </c>
      <c r="AC1121" s="2">
        <v>5.9261402200562721</v>
      </c>
      <c r="AD1121" s="2">
        <v>5.5433235393609559</v>
      </c>
      <c r="AE1121" s="2">
        <v>4.8362510089847346</v>
      </c>
      <c r="AF1121" s="2">
        <v>3.9686955282257781</v>
      </c>
      <c r="AG1121" s="2">
        <v>0.71115727072602364</v>
      </c>
      <c r="AH1121" s="2">
        <v>0</v>
      </c>
      <c r="AI1121" s="2">
        <v>0</v>
      </c>
      <c r="AJ1121" s="2">
        <v>0</v>
      </c>
      <c r="AK1121" s="2">
        <v>0</v>
      </c>
      <c r="AL1121" s="2">
        <v>0</v>
      </c>
      <c r="AM1121" s="2">
        <v>0</v>
      </c>
      <c r="AN1121" s="2">
        <v>0</v>
      </c>
      <c r="AO1121" s="2">
        <v>0</v>
      </c>
      <c r="AP1121" s="2">
        <v>0</v>
      </c>
      <c r="AQ1121" s="2">
        <v>0</v>
      </c>
      <c r="AR1121" s="2">
        <v>53.208970912047889</v>
      </c>
    </row>
    <row r="1122" spans="1:44" x14ac:dyDescent="0.25">
      <c r="A1122" t="s">
        <v>435</v>
      </c>
      <c r="B1122" t="s">
        <v>469</v>
      </c>
      <c r="C1122" t="s">
        <v>47</v>
      </c>
      <c r="D1122" t="s">
        <v>470</v>
      </c>
      <c r="E1122" t="s">
        <v>134</v>
      </c>
      <c r="F1122" t="s">
        <v>470</v>
      </c>
      <c r="G1122" t="s">
        <v>33</v>
      </c>
      <c r="H1122" t="s">
        <v>457</v>
      </c>
      <c r="I1122" t="s">
        <v>135</v>
      </c>
      <c r="J1122" t="s">
        <v>39</v>
      </c>
      <c r="K1122" t="s">
        <v>31</v>
      </c>
      <c r="L1122">
        <v>2.2650432449504043E-2</v>
      </c>
      <c r="M1122">
        <v>1</v>
      </c>
      <c r="N1122">
        <v>2.4239184887175904</v>
      </c>
      <c r="O1122">
        <v>2.8779545327574696</v>
      </c>
      <c r="P1122">
        <v>-0.42363157097620913</v>
      </c>
      <c r="Q1122">
        <v>0.64311448895070245</v>
      </c>
      <c r="R1122">
        <v>-0.5250915332877516</v>
      </c>
      <c r="S1122" s="2">
        <v>4.2427196928344867E-2</v>
      </c>
      <c r="T1122" s="2">
        <v>6.8481654499610495E-2</v>
      </c>
      <c r="U1122" s="2">
        <v>0.10314431491232351</v>
      </c>
      <c r="V1122" s="2">
        <v>0.1465859526962032</v>
      </c>
      <c r="W1122" s="2">
        <v>0.19786008484310832</v>
      </c>
      <c r="X1122" s="2">
        <v>0.25452089866596289</v>
      </c>
      <c r="Y1122" s="2">
        <v>0.31237183992164197</v>
      </c>
      <c r="Z1122" s="2">
        <v>0.36552107086370828</v>
      </c>
      <c r="AA1122" s="2">
        <v>0.40692967360781923</v>
      </c>
      <c r="AB1122" s="2">
        <v>0.42955954419374537</v>
      </c>
      <c r="AC1122" s="2">
        <v>0.42802778535290542</v>
      </c>
      <c r="AD1122" s="2">
        <v>0.40037805552038869</v>
      </c>
      <c r="AE1122" s="2">
        <v>0.34930827349995325</v>
      </c>
      <c r="AF1122" s="2">
        <v>0.28664727708220306</v>
      </c>
      <c r="AG1122" s="2">
        <v>5.1364810875769065E-2</v>
      </c>
      <c r="AH1122" s="2">
        <v>0</v>
      </c>
      <c r="AI1122" s="2">
        <v>0</v>
      </c>
      <c r="AJ1122" s="2">
        <v>0</v>
      </c>
      <c r="AK1122" s="2">
        <v>0</v>
      </c>
      <c r="AL1122" s="2">
        <v>0</v>
      </c>
      <c r="AM1122" s="2">
        <v>0</v>
      </c>
      <c r="AN1122" s="2">
        <v>0</v>
      </c>
      <c r="AO1122" s="2">
        <v>0</v>
      </c>
      <c r="AP1122" s="2">
        <v>0</v>
      </c>
      <c r="AQ1122" s="2">
        <v>0</v>
      </c>
      <c r="AR1122" s="2">
        <v>3.8431284334636873</v>
      </c>
    </row>
    <row r="1123" spans="1:44" x14ac:dyDescent="0.25">
      <c r="A1123" t="s">
        <v>435</v>
      </c>
      <c r="B1123" t="s">
        <v>469</v>
      </c>
      <c r="C1123" t="s">
        <v>47</v>
      </c>
      <c r="D1123" t="s">
        <v>470</v>
      </c>
      <c r="E1123" t="s">
        <v>134</v>
      </c>
      <c r="F1123" t="s">
        <v>470</v>
      </c>
      <c r="G1123" t="s">
        <v>33</v>
      </c>
      <c r="H1123" t="s">
        <v>457</v>
      </c>
      <c r="I1123" t="s">
        <v>135</v>
      </c>
      <c r="J1123" t="s">
        <v>39</v>
      </c>
      <c r="K1123" t="s">
        <v>33</v>
      </c>
      <c r="L1123">
        <v>2.2650432449504043E-2</v>
      </c>
      <c r="M1123">
        <v>1</v>
      </c>
      <c r="N1123">
        <v>2.4239184887175904</v>
      </c>
      <c r="O1123">
        <v>2.8779545327574696</v>
      </c>
      <c r="P1123">
        <v>-0.42363157097620913</v>
      </c>
      <c r="Q1123">
        <v>0.64311448895070245</v>
      </c>
      <c r="R1123">
        <v>-0.5250915332877516</v>
      </c>
      <c r="S1123" s="2">
        <v>1.2413967465168081E-2</v>
      </c>
      <c r="T1123" s="2">
        <v>2.0037360289316908E-2</v>
      </c>
      <c r="U1123" s="2">
        <v>3.0179466527122889E-2</v>
      </c>
      <c r="V1123" s="2">
        <v>4.2890253878771205E-2</v>
      </c>
      <c r="W1123" s="2">
        <v>5.7892786554955729E-2</v>
      </c>
      <c r="X1123" s="2">
        <v>7.447143304283961E-2</v>
      </c>
      <c r="Y1123" s="2">
        <v>9.1398304355838358E-2</v>
      </c>
      <c r="Z1123" s="2">
        <v>0.10694948075874423</v>
      </c>
      <c r="AA1123" s="2">
        <v>0.11906541309600495</v>
      </c>
      <c r="AB1123" s="2">
        <v>0.12568679036184474</v>
      </c>
      <c r="AC1123" s="2">
        <v>0.12523860604161297</v>
      </c>
      <c r="AD1123" s="2">
        <v>0.11714844521526256</v>
      </c>
      <c r="AE1123" s="2">
        <v>0.10220570427657562</v>
      </c>
      <c r="AF1123" s="2">
        <v>8.3871436939077254E-2</v>
      </c>
      <c r="AG1123" s="2">
        <v>1.5029064779914789E-2</v>
      </c>
      <c r="AH1123" s="2">
        <v>0</v>
      </c>
      <c r="AI1123" s="2">
        <v>0</v>
      </c>
      <c r="AJ1123" s="2">
        <v>0</v>
      </c>
      <c r="AK1123" s="2">
        <v>0</v>
      </c>
      <c r="AL1123" s="2">
        <v>0</v>
      </c>
      <c r="AM1123" s="2">
        <v>0</v>
      </c>
      <c r="AN1123" s="2">
        <v>0</v>
      </c>
      <c r="AO1123" s="2">
        <v>0</v>
      </c>
      <c r="AP1123" s="2">
        <v>0</v>
      </c>
      <c r="AQ1123" s="2">
        <v>0</v>
      </c>
      <c r="AR1123" s="2">
        <v>1.12447851358305</v>
      </c>
    </row>
    <row r="1124" spans="1:44" x14ac:dyDescent="0.25">
      <c r="A1124" t="s">
        <v>435</v>
      </c>
      <c r="B1124" t="s">
        <v>469</v>
      </c>
      <c r="C1124" t="s">
        <v>47</v>
      </c>
      <c r="D1124" t="s">
        <v>470</v>
      </c>
      <c r="E1124" t="s">
        <v>134</v>
      </c>
      <c r="F1124" t="s">
        <v>470</v>
      </c>
      <c r="G1124" t="s">
        <v>33</v>
      </c>
      <c r="H1124" t="s">
        <v>457</v>
      </c>
      <c r="I1124" t="s">
        <v>256</v>
      </c>
      <c r="J1124" t="s">
        <v>39</v>
      </c>
      <c r="K1124" t="s">
        <v>33</v>
      </c>
      <c r="L1124">
        <v>2.2650432449504043E-2</v>
      </c>
      <c r="M1124">
        <v>1</v>
      </c>
      <c r="N1124">
        <v>2.2288115627035432</v>
      </c>
      <c r="O1124">
        <v>2.6463011728329873</v>
      </c>
      <c r="P1124">
        <v>-0.29815547996194269</v>
      </c>
      <c r="Q1124">
        <v>1.3498045353129324</v>
      </c>
      <c r="R1124">
        <v>-0.39961544227348522</v>
      </c>
      <c r="S1124" s="2">
        <v>3.4139243494404677E-2</v>
      </c>
      <c r="T1124" s="2">
        <v>5.5104085283088272E-2</v>
      </c>
      <c r="U1124" s="2">
        <v>8.2995557962559405E-2</v>
      </c>
      <c r="V1124" s="2">
        <v>0.1179510760611116</v>
      </c>
      <c r="W1124" s="2">
        <v>0.1592090475760298</v>
      </c>
      <c r="X1124" s="2">
        <v>0.2048014378288314</v>
      </c>
      <c r="Y1124" s="2">
        <v>0.25135146971624733</v>
      </c>
      <c r="Z1124" s="2">
        <v>0.29411824829311178</v>
      </c>
      <c r="AA1124" s="2">
        <v>0.32743787518790285</v>
      </c>
      <c r="AB1124" s="2">
        <v>0.34564710695696327</v>
      </c>
      <c r="AC1124" s="2">
        <v>0.34441457000359199</v>
      </c>
      <c r="AD1124" s="2">
        <v>0.32216608488917331</v>
      </c>
      <c r="AE1124" s="2">
        <v>0.28107254466434117</v>
      </c>
      <c r="AF1124" s="2">
        <v>0.23065207927464126</v>
      </c>
      <c r="AG1124" s="2">
        <v>4.1330936580455703E-2</v>
      </c>
      <c r="AH1124" s="2">
        <v>0</v>
      </c>
      <c r="AI1124" s="2">
        <v>0</v>
      </c>
      <c r="AJ1124" s="2">
        <v>0</v>
      </c>
      <c r="AK1124" s="2">
        <v>0</v>
      </c>
      <c r="AL1124" s="2">
        <v>0</v>
      </c>
      <c r="AM1124" s="2">
        <v>0</v>
      </c>
      <c r="AN1124" s="2">
        <v>0</v>
      </c>
      <c r="AO1124" s="2">
        <v>0</v>
      </c>
      <c r="AP1124" s="2">
        <v>0</v>
      </c>
      <c r="AQ1124" s="2">
        <v>0</v>
      </c>
      <c r="AR1124" s="2">
        <v>3.0923913637724545</v>
      </c>
    </row>
    <row r="1125" spans="1:44" x14ac:dyDescent="0.25">
      <c r="A1125" t="s">
        <v>435</v>
      </c>
      <c r="B1125" t="s">
        <v>469</v>
      </c>
      <c r="C1125" t="s">
        <v>47</v>
      </c>
      <c r="D1125" t="s">
        <v>470</v>
      </c>
      <c r="E1125" t="s">
        <v>134</v>
      </c>
      <c r="F1125" t="s">
        <v>470</v>
      </c>
      <c r="G1125" t="s">
        <v>33</v>
      </c>
      <c r="H1125" t="s">
        <v>457</v>
      </c>
      <c r="I1125" t="s">
        <v>256</v>
      </c>
      <c r="J1125" t="s">
        <v>40</v>
      </c>
      <c r="K1125" t="s">
        <v>33</v>
      </c>
      <c r="L1125">
        <v>2.2650432449504043E-2</v>
      </c>
      <c r="M1125">
        <v>1</v>
      </c>
      <c r="N1125">
        <v>2.2288115627035432</v>
      </c>
      <c r="O1125">
        <v>1.4737622038640092</v>
      </c>
      <c r="P1125">
        <v>-0.29815547996194269</v>
      </c>
      <c r="Q1125">
        <v>1.3498045353129324</v>
      </c>
      <c r="R1125">
        <v>-0.25661544227348515</v>
      </c>
      <c r="S1125" s="2">
        <v>0.31238717428811608</v>
      </c>
      <c r="T1125" s="2">
        <v>0.50422351907524254</v>
      </c>
      <c r="U1125" s="2">
        <v>0.75944119367023466</v>
      </c>
      <c r="V1125" s="2">
        <v>1.0792975937212061</v>
      </c>
      <c r="W1125" s="2">
        <v>1.456823860245456</v>
      </c>
      <c r="X1125" s="2">
        <v>1.8740117209679121</v>
      </c>
      <c r="Y1125" s="2">
        <v>2.2999623700124614</v>
      </c>
      <c r="Z1125" s="2">
        <v>2.6912947999540289</v>
      </c>
      <c r="AA1125" s="2">
        <v>2.9961821679387355</v>
      </c>
      <c r="AB1125" s="2">
        <v>3.1628036239539079</v>
      </c>
      <c r="AC1125" s="2">
        <v>3.1515254380113151</v>
      </c>
      <c r="AD1125" s="2">
        <v>2.9479432643693131</v>
      </c>
      <c r="AE1125" s="2">
        <v>2.5719216072276052</v>
      </c>
      <c r="AF1125" s="2">
        <v>2.1105550068821226</v>
      </c>
      <c r="AG1125" s="2">
        <v>0.37819392486438508</v>
      </c>
      <c r="AH1125" s="2">
        <v>0</v>
      </c>
      <c r="AI1125" s="2">
        <v>0</v>
      </c>
      <c r="AJ1125" s="2">
        <v>0</v>
      </c>
      <c r="AK1125" s="2">
        <v>0</v>
      </c>
      <c r="AL1125" s="2">
        <v>0</v>
      </c>
      <c r="AM1125" s="2">
        <v>0</v>
      </c>
      <c r="AN1125" s="2">
        <v>0</v>
      </c>
      <c r="AO1125" s="2">
        <v>0</v>
      </c>
      <c r="AP1125" s="2">
        <v>0</v>
      </c>
      <c r="AQ1125" s="2">
        <v>0</v>
      </c>
      <c r="AR1125" s="2">
        <v>28.296567265182045</v>
      </c>
    </row>
    <row r="1126" spans="1:44" x14ac:dyDescent="0.25">
      <c r="A1126" t="s">
        <v>435</v>
      </c>
      <c r="B1126" t="s">
        <v>471</v>
      </c>
      <c r="C1126" t="s">
        <v>44</v>
      </c>
      <c r="D1126" t="s">
        <v>472</v>
      </c>
      <c r="E1126" t="s">
        <v>145</v>
      </c>
      <c r="F1126" t="s">
        <v>472</v>
      </c>
      <c r="G1126" t="s">
        <v>33</v>
      </c>
      <c r="H1126" t="s">
        <v>450</v>
      </c>
      <c r="I1126" t="s">
        <v>135</v>
      </c>
      <c r="J1126" t="s">
        <v>39</v>
      </c>
      <c r="K1126" t="s">
        <v>31</v>
      </c>
      <c r="L1126">
        <v>8.3279735676544231E-2</v>
      </c>
      <c r="M1126">
        <v>1</v>
      </c>
      <c r="N1126">
        <v>3.5354592691557718</v>
      </c>
      <c r="O1126">
        <v>5.3471683850504306</v>
      </c>
      <c r="P1126">
        <v>-1.584987198022715</v>
      </c>
      <c r="Q1126">
        <v>0.81921972223879724</v>
      </c>
      <c r="R1126">
        <v>-1.8625523936223525</v>
      </c>
      <c r="S1126" s="2">
        <v>3.3122576434154775E-2</v>
      </c>
      <c r="T1126" s="2">
        <v>6.1845142994837843E-2</v>
      </c>
      <c r="U1126" s="2">
        <v>0.10501374477055628</v>
      </c>
      <c r="V1126" s="2">
        <v>0.16623183267525865</v>
      </c>
      <c r="W1126" s="2">
        <v>0.24867457752091851</v>
      </c>
      <c r="X1126" s="2">
        <v>0.35445773267162695</v>
      </c>
      <c r="Y1126" s="2">
        <v>0.48390497735993604</v>
      </c>
      <c r="Z1126" s="2">
        <v>0.634844374716652</v>
      </c>
      <c r="AA1126" s="2">
        <v>0.80214222441201555</v>
      </c>
      <c r="AB1126" s="2">
        <v>0.97772623802153114</v>
      </c>
      <c r="AC1126" s="2">
        <v>1.1513085891940986</v>
      </c>
      <c r="AD1126" s="2">
        <v>1.3118529334233922</v>
      </c>
      <c r="AE1126" s="2">
        <v>1.4495496203127114</v>
      </c>
      <c r="AF1126" s="2">
        <v>1.5577677295199033</v>
      </c>
      <c r="AG1126" s="2">
        <v>1.6343113835802592</v>
      </c>
      <c r="AH1126" s="2">
        <v>1.6860917444104857</v>
      </c>
      <c r="AI1126" s="2">
        <v>1.7079505245832731</v>
      </c>
      <c r="AJ1126" s="2">
        <v>1.722454625530216</v>
      </c>
      <c r="AK1126" s="2">
        <v>1.7160411313292721</v>
      </c>
      <c r="AL1126" s="2">
        <v>1.7028129114596171</v>
      </c>
      <c r="AM1126" s="2">
        <v>1.6896866622232563</v>
      </c>
      <c r="AN1126" s="2">
        <v>1.6766615975726216</v>
      </c>
      <c r="AO1126" s="2">
        <v>1.6637369375194464</v>
      </c>
      <c r="AP1126" s="2">
        <v>1.650911908088057</v>
      </c>
      <c r="AQ1126" s="2">
        <v>1.6381857412690228</v>
      </c>
      <c r="AR1126" s="2">
        <v>27.827287461593116</v>
      </c>
    </row>
    <row r="1127" spans="1:44" x14ac:dyDescent="0.25">
      <c r="A1127" t="s">
        <v>435</v>
      </c>
      <c r="B1127" t="s">
        <v>471</v>
      </c>
      <c r="C1127" t="s">
        <v>44</v>
      </c>
      <c r="D1127" t="s">
        <v>472</v>
      </c>
      <c r="E1127" t="s">
        <v>145</v>
      </c>
      <c r="F1127" t="s">
        <v>472</v>
      </c>
      <c r="G1127" t="s">
        <v>33</v>
      </c>
      <c r="H1127" t="s">
        <v>450</v>
      </c>
      <c r="I1127" t="s">
        <v>135</v>
      </c>
      <c r="J1127" t="s">
        <v>39</v>
      </c>
      <c r="K1127" t="s">
        <v>33</v>
      </c>
      <c r="L1127">
        <v>8.3279735676544231E-2</v>
      </c>
      <c r="M1127">
        <v>1</v>
      </c>
      <c r="N1127">
        <v>3.5354592691557718</v>
      </c>
      <c r="O1127">
        <v>5.3471683850504306</v>
      </c>
      <c r="P1127">
        <v>-1.584987198022715</v>
      </c>
      <c r="Q1127">
        <v>0.81921972223879724</v>
      </c>
      <c r="R1127">
        <v>-1.8625523936223525</v>
      </c>
      <c r="S1127" s="2">
        <v>2.0406164380983714E-2</v>
      </c>
      <c r="T1127" s="2">
        <v>3.8075010168782071E-2</v>
      </c>
      <c r="U1127" s="2">
        <v>6.4606726358420394E-2</v>
      </c>
      <c r="V1127" s="2">
        <v>0.10219812858855264</v>
      </c>
      <c r="W1127" s="2">
        <v>0.15277676131691328</v>
      </c>
      <c r="X1127" s="2">
        <v>0.21761434771083282</v>
      </c>
      <c r="Y1127" s="2">
        <v>0.29687957527769954</v>
      </c>
      <c r="Z1127" s="2">
        <v>0.38921060636296634</v>
      </c>
      <c r="AA1127" s="2">
        <v>0.49143482513978259</v>
      </c>
      <c r="AB1127" s="2">
        <v>0.5985893439454939</v>
      </c>
      <c r="AC1127" s="2">
        <v>0.70436961987047397</v>
      </c>
      <c r="AD1127" s="2">
        <v>0.80203105080443837</v>
      </c>
      <c r="AE1127" s="2">
        <v>0.8855972888670125</v>
      </c>
      <c r="AF1127" s="2">
        <v>0.95104935378216771</v>
      </c>
      <c r="AG1127" s="2">
        <v>0.99708531007369483</v>
      </c>
      <c r="AH1127" s="2">
        <v>1.0279591918757318</v>
      </c>
      <c r="AI1127" s="2">
        <v>1.0405599791025124</v>
      </c>
      <c r="AJ1127" s="2">
        <v>1.048665022887163</v>
      </c>
      <c r="AK1127" s="2">
        <v>1.0440320860276269</v>
      </c>
      <c r="AL1127" s="2">
        <v>1.0352619387262547</v>
      </c>
      <c r="AM1127" s="2">
        <v>1.0265654629956296</v>
      </c>
      <c r="AN1127" s="2">
        <v>1.0179420399749559</v>
      </c>
      <c r="AO1127" s="2">
        <v>1.0093910560020334</v>
      </c>
      <c r="AP1127" s="2">
        <v>1.000911902569587</v>
      </c>
      <c r="AQ1127" s="2">
        <v>0.99250397628196596</v>
      </c>
      <c r="AR1127" s="2">
        <v>16.955716769091676</v>
      </c>
    </row>
    <row r="1128" spans="1:44" x14ac:dyDescent="0.25">
      <c r="A1128" t="s">
        <v>435</v>
      </c>
      <c r="B1128" t="s">
        <v>471</v>
      </c>
      <c r="C1128" t="s">
        <v>44</v>
      </c>
      <c r="D1128" t="s">
        <v>472</v>
      </c>
      <c r="E1128" t="s">
        <v>145</v>
      </c>
      <c r="F1128" t="s">
        <v>472</v>
      </c>
      <c r="G1128" t="s">
        <v>33</v>
      </c>
      <c r="H1128" t="s">
        <v>450</v>
      </c>
      <c r="I1128" t="s">
        <v>256</v>
      </c>
      <c r="J1128" t="s">
        <v>40</v>
      </c>
      <c r="K1128" t="s">
        <v>33</v>
      </c>
      <c r="L1128">
        <v>8.3279735676544231E-2</v>
      </c>
      <c r="M1128">
        <v>1</v>
      </c>
      <c r="N1128">
        <v>1.749690553345449</v>
      </c>
      <c r="O1128">
        <v>1.4737622038640097</v>
      </c>
      <c r="P1128">
        <v>-0.12205024667384824</v>
      </c>
      <c r="Q1128">
        <v>1.3498045353129324</v>
      </c>
      <c r="R1128">
        <v>-0.25661544227348537</v>
      </c>
      <c r="S1128" s="2">
        <v>0.53304991447132755</v>
      </c>
      <c r="T1128" s="2">
        <v>0.99528936854898309</v>
      </c>
      <c r="U1128" s="2">
        <v>1.6900124837673203</v>
      </c>
      <c r="V1128" s="2">
        <v>2.6752104977735804</v>
      </c>
      <c r="W1128" s="2">
        <v>4.0019822293181377</v>
      </c>
      <c r="X1128" s="2">
        <v>5.7043770269476894</v>
      </c>
      <c r="Y1128" s="2">
        <v>7.7876039415816631</v>
      </c>
      <c r="Z1128" s="2">
        <v>10.21670944946074</v>
      </c>
      <c r="AA1128" s="2">
        <v>12.909075626005912</v>
      </c>
      <c r="AB1128" s="2">
        <v>15.734793112782482</v>
      </c>
      <c r="AC1128" s="2">
        <v>18.528297344864423</v>
      </c>
      <c r="AD1128" s="2">
        <v>21.1119776672694</v>
      </c>
      <c r="AE1128" s="2">
        <v>23.327964920412253</v>
      </c>
      <c r="AF1128" s="2">
        <v>25.069546043239978</v>
      </c>
      <c r="AG1128" s="2">
        <v>26.301382229996346</v>
      </c>
      <c r="AH1128" s="2">
        <v>27.134696539549424</v>
      </c>
      <c r="AI1128" s="2">
        <v>27.486475361004171</v>
      </c>
      <c r="AJ1128" s="2">
        <v>27.719893488504646</v>
      </c>
      <c r="AK1128" s="2">
        <v>27.616679520772639</v>
      </c>
      <c r="AL1128" s="2">
        <v>27.403794466853451</v>
      </c>
      <c r="AM1128" s="2">
        <v>27.19255045186323</v>
      </c>
      <c r="AN1128" s="2">
        <v>26.98293482574168</v>
      </c>
      <c r="AO1128" s="2">
        <v>26.774935035942359</v>
      </c>
      <c r="AP1128" s="2">
        <v>26.568538626680994</v>
      </c>
      <c r="AQ1128" s="2">
        <v>26.363733238189582</v>
      </c>
      <c r="AR1128" s="2">
        <v>447.83150341154237</v>
      </c>
    </row>
    <row r="1129" spans="1:44" x14ac:dyDescent="0.25">
      <c r="A1129" t="s">
        <v>435</v>
      </c>
      <c r="B1129" t="s">
        <v>471</v>
      </c>
      <c r="C1129" t="s">
        <v>44</v>
      </c>
      <c r="D1129" t="s">
        <v>472</v>
      </c>
      <c r="E1129" t="s">
        <v>145</v>
      </c>
      <c r="F1129" t="s">
        <v>472</v>
      </c>
      <c r="G1129" t="s">
        <v>33</v>
      </c>
      <c r="H1129" t="s">
        <v>451</v>
      </c>
      <c r="I1129" t="s">
        <v>135</v>
      </c>
      <c r="J1129" t="s">
        <v>39</v>
      </c>
      <c r="K1129" t="s">
        <v>31</v>
      </c>
      <c r="L1129">
        <v>8.3279735676544231E-2</v>
      </c>
      <c r="M1129">
        <v>1</v>
      </c>
      <c r="N1129">
        <v>3.5354592691557718</v>
      </c>
      <c r="O1129">
        <v>5.3471683850504306</v>
      </c>
      <c r="P1129">
        <v>-1.584987198022715</v>
      </c>
      <c r="Q1129">
        <v>0.81921972223879724</v>
      </c>
      <c r="R1129">
        <v>-1.8625523936223525</v>
      </c>
      <c r="S1129" s="2">
        <v>8.6642967097414168E-3</v>
      </c>
      <c r="T1129" s="2">
        <v>1.6177626460576831E-2</v>
      </c>
      <c r="U1129" s="2">
        <v>2.7469790736294616E-2</v>
      </c>
      <c r="V1129" s="2">
        <v>4.348339036263385E-2</v>
      </c>
      <c r="W1129" s="2">
        <v>6.5048995451606723E-2</v>
      </c>
      <c r="X1129" s="2">
        <v>9.2720050719313801E-2</v>
      </c>
      <c r="Y1129" s="2">
        <v>0.1265812250898404</v>
      </c>
      <c r="Z1129" s="2">
        <v>0.16606437720778994</v>
      </c>
      <c r="AA1129" s="2">
        <v>0.20982661930100049</v>
      </c>
      <c r="AB1129" s="2">
        <v>0.25575637945792468</v>
      </c>
      <c r="AC1129" s="2">
        <v>0.30116253912438151</v>
      </c>
      <c r="AD1129" s="2">
        <v>0.34315818026173911</v>
      </c>
      <c r="AE1129" s="2">
        <v>0.37917726692696613</v>
      </c>
      <c r="AF1129" s="2">
        <v>0.4074852643257269</v>
      </c>
      <c r="AG1129" s="2">
        <v>0.42750776865431112</v>
      </c>
      <c r="AH1129" s="2">
        <v>0.44105262108638027</v>
      </c>
      <c r="AI1129" s="2">
        <v>0.44677050228763693</v>
      </c>
      <c r="AJ1129" s="2">
        <v>0.45056452580999717</v>
      </c>
      <c r="AK1129" s="2">
        <v>0.44888686595724825</v>
      </c>
      <c r="AL1129" s="2">
        <v>0.44542659099584153</v>
      </c>
      <c r="AM1129" s="2">
        <v>0.44199298979951152</v>
      </c>
      <c r="AN1129" s="2">
        <v>0.4385858567517244</v>
      </c>
      <c r="AO1129" s="2">
        <v>0.43520498782095562</v>
      </c>
      <c r="AP1129" s="2">
        <v>0.43185018054847107</v>
      </c>
      <c r="AQ1129" s="2">
        <v>0.42852123403620401</v>
      </c>
      <c r="AR1129" s="2">
        <v>7.279140125883818</v>
      </c>
    </row>
    <row r="1130" spans="1:44" x14ac:dyDescent="0.25">
      <c r="A1130" t="s">
        <v>435</v>
      </c>
      <c r="B1130" t="s">
        <v>471</v>
      </c>
      <c r="C1130" t="s">
        <v>44</v>
      </c>
      <c r="D1130" t="s">
        <v>472</v>
      </c>
      <c r="E1130" t="s">
        <v>145</v>
      </c>
      <c r="F1130" t="s">
        <v>472</v>
      </c>
      <c r="G1130" t="s">
        <v>33</v>
      </c>
      <c r="H1130" t="s">
        <v>451</v>
      </c>
      <c r="I1130" t="s">
        <v>135</v>
      </c>
      <c r="J1130" t="s">
        <v>39</v>
      </c>
      <c r="K1130" t="s">
        <v>33</v>
      </c>
      <c r="L1130">
        <v>8.3279735676544231E-2</v>
      </c>
      <c r="M1130">
        <v>1</v>
      </c>
      <c r="N1130">
        <v>3.5354592691557718</v>
      </c>
      <c r="O1130">
        <v>5.3471683850504306</v>
      </c>
      <c r="P1130">
        <v>-1.584987198022715</v>
      </c>
      <c r="Q1130">
        <v>0.81921972223879724</v>
      </c>
      <c r="R1130">
        <v>-1.8625523936223525</v>
      </c>
      <c r="S1130" s="2">
        <v>3.9031033270885696E-2</v>
      </c>
      <c r="T1130" s="2">
        <v>7.2877176045553493E-2</v>
      </c>
      <c r="U1130" s="2">
        <v>0.12374626032452454</v>
      </c>
      <c r="V1130" s="2">
        <v>0.19588452621511446</v>
      </c>
      <c r="W1130" s="2">
        <v>0.29303353645019942</v>
      </c>
      <c r="X1130" s="2">
        <v>0.41768645577833102</v>
      </c>
      <c r="Y1130" s="2">
        <v>0.5702247018383193</v>
      </c>
      <c r="Z1130" s="2">
        <v>0.74808890427525576</v>
      </c>
      <c r="AA1130" s="2">
        <v>0.94522960528890254</v>
      </c>
      <c r="AB1130" s="2">
        <v>1.1521345690574172</v>
      </c>
      <c r="AC1130" s="2">
        <v>1.3566808107220241</v>
      </c>
      <c r="AD1130" s="2">
        <v>1.5458633054329307</v>
      </c>
      <c r="AE1130" s="2">
        <v>1.7081225420581896</v>
      </c>
      <c r="AF1130" s="2">
        <v>1.8356447663445457</v>
      </c>
      <c r="AG1130" s="2">
        <v>1.9258423967808134</v>
      </c>
      <c r="AH1130" s="2">
        <v>1.9868594191238882</v>
      </c>
      <c r="AI1130" s="2">
        <v>2.0126174025911792</v>
      </c>
      <c r="AJ1130" s="2">
        <v>2.0297087676831973</v>
      </c>
      <c r="AK1130" s="2">
        <v>2.0221512243852806</v>
      </c>
      <c r="AL1130" s="2">
        <v>2.006563334026767</v>
      </c>
      <c r="AM1130" s="2">
        <v>1.9910956039821306</v>
      </c>
      <c r="AN1130" s="2">
        <v>1.9757471079874129</v>
      </c>
      <c r="AO1130" s="2">
        <v>1.9605169269188241</v>
      </c>
      <c r="AP1130" s="2">
        <v>1.945404148737701</v>
      </c>
      <c r="AQ1130" s="2">
        <v>1.9304078684358958</v>
      </c>
      <c r="AR1130" s="2">
        <v>32.791162393755286</v>
      </c>
    </row>
    <row r="1131" spans="1:44" x14ac:dyDescent="0.25">
      <c r="A1131" t="s">
        <v>435</v>
      </c>
      <c r="B1131" t="s">
        <v>471</v>
      </c>
      <c r="C1131" t="s">
        <v>44</v>
      </c>
      <c r="D1131" t="s">
        <v>472</v>
      </c>
      <c r="E1131" t="s">
        <v>145</v>
      </c>
      <c r="F1131" t="s">
        <v>472</v>
      </c>
      <c r="G1131" t="s">
        <v>33</v>
      </c>
      <c r="H1131" t="s">
        <v>452</v>
      </c>
      <c r="I1131" t="s">
        <v>135</v>
      </c>
      <c r="J1131" t="s">
        <v>39</v>
      </c>
      <c r="K1131" t="s">
        <v>31</v>
      </c>
      <c r="L1131">
        <v>8.3279735676544231E-2</v>
      </c>
      <c r="M1131">
        <v>1</v>
      </c>
      <c r="N1131">
        <v>3.5354592691557718</v>
      </c>
      <c r="O1131">
        <v>5.3471683850504306</v>
      </c>
      <c r="P1131">
        <v>-1.584987198022715</v>
      </c>
      <c r="Q1131">
        <v>0.81921972223879724</v>
      </c>
      <c r="R1131">
        <v>-1.8625523936223525</v>
      </c>
      <c r="S1131" s="2">
        <v>0.19624039634580828</v>
      </c>
      <c r="T1131" s="2">
        <v>0.3664121780350228</v>
      </c>
      <c r="U1131" s="2">
        <v>0.62217197797093371</v>
      </c>
      <c r="V1131" s="2">
        <v>0.98486906036225108</v>
      </c>
      <c r="W1131" s="2">
        <v>1.4733152703516963</v>
      </c>
      <c r="X1131" s="2">
        <v>2.1000457523464284</v>
      </c>
      <c r="Y1131" s="2">
        <v>2.8669781995854131</v>
      </c>
      <c r="Z1131" s="2">
        <v>3.7612445988301246</v>
      </c>
      <c r="AA1131" s="2">
        <v>4.7524294602277379</v>
      </c>
      <c r="AB1131" s="2">
        <v>5.7927071237487642</v>
      </c>
      <c r="AC1131" s="2">
        <v>6.8211255941675253</v>
      </c>
      <c r="AD1131" s="2">
        <v>7.772298151811543</v>
      </c>
      <c r="AE1131" s="2">
        <v>8.5881058370736394</v>
      </c>
      <c r="AF1131" s="2">
        <v>9.2292626228336605</v>
      </c>
      <c r="AG1131" s="2">
        <v>9.6827586556806597</v>
      </c>
      <c r="AH1131" s="2">
        <v>9.9895403021039915</v>
      </c>
      <c r="AI1131" s="2">
        <v>10.119046401765983</v>
      </c>
      <c r="AJ1131" s="2">
        <v>10.204978440420224</v>
      </c>
      <c r="AK1131" s="2">
        <v>10.166980591839307</v>
      </c>
      <c r="AL1131" s="2">
        <v>10.088607729893287</v>
      </c>
      <c r="AM1131" s="2">
        <v>10.010839010488318</v>
      </c>
      <c r="AN1131" s="2">
        <v>9.9336697765505111</v>
      </c>
      <c r="AO1131" s="2">
        <v>9.8570954069053212</v>
      </c>
      <c r="AP1131" s="2">
        <v>9.7811113160008656</v>
      </c>
      <c r="AQ1131" s="2">
        <v>9.7057129536332933</v>
      </c>
      <c r="AR1131" s="2">
        <v>164.86754680897232</v>
      </c>
    </row>
    <row r="1132" spans="1:44" x14ac:dyDescent="0.25">
      <c r="A1132" t="s">
        <v>435</v>
      </c>
      <c r="B1132" t="s">
        <v>471</v>
      </c>
      <c r="C1132" t="s">
        <v>44</v>
      </c>
      <c r="D1132" t="s">
        <v>472</v>
      </c>
      <c r="E1132" t="s">
        <v>145</v>
      </c>
      <c r="F1132" t="s">
        <v>472</v>
      </c>
      <c r="G1132" t="s">
        <v>33</v>
      </c>
      <c r="H1132" t="s">
        <v>452</v>
      </c>
      <c r="I1132" t="s">
        <v>135</v>
      </c>
      <c r="J1132" t="s">
        <v>39</v>
      </c>
      <c r="K1132" t="s">
        <v>33</v>
      </c>
      <c r="L1132">
        <v>8.3279735676544231E-2</v>
      </c>
      <c r="M1132">
        <v>1</v>
      </c>
      <c r="N1132">
        <v>3.5354592691557718</v>
      </c>
      <c r="O1132">
        <v>5.3471683850504306</v>
      </c>
      <c r="P1132">
        <v>-1.584987198022715</v>
      </c>
      <c r="Q1132">
        <v>0.81921972223879724</v>
      </c>
      <c r="R1132">
        <v>-1.8625523936223525</v>
      </c>
      <c r="S1132" s="2">
        <v>0.38805887361875235</v>
      </c>
      <c r="T1132" s="2">
        <v>0.72456792656443214</v>
      </c>
      <c r="U1132" s="2">
        <v>1.2303244462628138</v>
      </c>
      <c r="V1132" s="2">
        <v>1.947545894437843</v>
      </c>
      <c r="W1132" s="2">
        <v>2.9134320707877999</v>
      </c>
      <c r="X1132" s="2">
        <v>4.1527708075320913</v>
      </c>
      <c r="Y1132" s="2">
        <v>5.6693542794324756</v>
      </c>
      <c r="Z1132" s="2">
        <v>7.4377364171982334</v>
      </c>
      <c r="AA1132" s="2">
        <v>9.3977715986606771</v>
      </c>
      <c r="AB1132" s="2">
        <v>11.454886167698485</v>
      </c>
      <c r="AC1132" s="2">
        <v>13.488549575798043</v>
      </c>
      <c r="AD1132" s="2">
        <v>15.369461753971438</v>
      </c>
      <c r="AE1132" s="2">
        <v>16.982694387656412</v>
      </c>
      <c r="AF1132" s="2">
        <v>18.250560661512761</v>
      </c>
      <c r="AG1132" s="2">
        <v>19.14733402201427</v>
      </c>
      <c r="AH1132" s="2">
        <v>19.75398455052299</v>
      </c>
      <c r="AI1132" s="2">
        <v>20.01007856631896</v>
      </c>
      <c r="AJ1132" s="2">
        <v>20.180006322014904</v>
      </c>
      <c r="AK1132" s="2">
        <v>20.104866837001527</v>
      </c>
      <c r="AL1132" s="2">
        <v>19.949887102475014</v>
      </c>
      <c r="AM1132" s="2">
        <v>19.796102039781378</v>
      </c>
      <c r="AN1132" s="2">
        <v>19.643502439711479</v>
      </c>
      <c r="AO1132" s="2">
        <v>19.492079164045986</v>
      </c>
      <c r="AP1132" s="2">
        <v>19.341823145008149</v>
      </c>
      <c r="AQ1132" s="2">
        <v>19.192725384720813</v>
      </c>
      <c r="AR1132" s="2">
        <v>326.02010443474774</v>
      </c>
    </row>
    <row r="1133" spans="1:44" x14ac:dyDescent="0.25">
      <c r="A1133" t="s">
        <v>435</v>
      </c>
      <c r="B1133" t="s">
        <v>471</v>
      </c>
      <c r="C1133" t="s">
        <v>44</v>
      </c>
      <c r="D1133" t="s">
        <v>472</v>
      </c>
      <c r="E1133" t="s">
        <v>145</v>
      </c>
      <c r="F1133" t="s">
        <v>472</v>
      </c>
      <c r="G1133" t="s">
        <v>33</v>
      </c>
      <c r="H1133" t="s">
        <v>452</v>
      </c>
      <c r="I1133" t="s">
        <v>135</v>
      </c>
      <c r="J1133" t="s">
        <v>40</v>
      </c>
      <c r="K1133" t="s">
        <v>33</v>
      </c>
      <c r="L1133">
        <v>8.3279735676544231E-2</v>
      </c>
      <c r="M1133">
        <v>1</v>
      </c>
      <c r="N1133">
        <v>3.5354592691557718</v>
      </c>
      <c r="O1133">
        <v>4.1746294160814532</v>
      </c>
      <c r="P1133">
        <v>-1.584987198022715</v>
      </c>
      <c r="Q1133">
        <v>1.3498045353129324</v>
      </c>
      <c r="R1133">
        <v>-1.7195523936223525</v>
      </c>
      <c r="S1133" s="2">
        <v>2.8414686737936144E-2</v>
      </c>
      <c r="T1133" s="2">
        <v>5.3054760639003606E-2</v>
      </c>
      <c r="U1133" s="2">
        <v>9.0087577177601894E-2</v>
      </c>
      <c r="V1133" s="2">
        <v>0.14260440943446265</v>
      </c>
      <c r="W1133" s="2">
        <v>0.21332912413960972</v>
      </c>
      <c r="X1133" s="2">
        <v>0.30407675126738387</v>
      </c>
      <c r="Y1133" s="2">
        <v>0.4151249637824721</v>
      </c>
      <c r="Z1133" s="2">
        <v>0.54461053386878311</v>
      </c>
      <c r="AA1133" s="2">
        <v>0.68812944159850398</v>
      </c>
      <c r="AB1133" s="2">
        <v>0.83875675625870216</v>
      </c>
      <c r="AC1133" s="2">
        <v>0.98766691551542385</v>
      </c>
      <c r="AD1133" s="2">
        <v>1.125392229785324</v>
      </c>
      <c r="AE1133" s="2">
        <v>1.2435173469720766</v>
      </c>
      <c r="AF1133" s="2">
        <v>1.3363538350576867</v>
      </c>
      <c r="AG1133" s="2">
        <v>1.4020179284359791</v>
      </c>
      <c r="AH1133" s="2">
        <v>1.4464384684592788</v>
      </c>
      <c r="AI1133" s="2">
        <v>1.4651903427984589</v>
      </c>
      <c r="AJ1133" s="2">
        <v>1.4776328979735398</v>
      </c>
      <c r="AK1133" s="2">
        <v>1.4721309881514679</v>
      </c>
      <c r="AL1133" s="2">
        <v>1.4607829662231619</v>
      </c>
      <c r="AM1133" s="2">
        <v>1.4495224212943363</v>
      </c>
      <c r="AN1133" s="2">
        <v>1.4383486790425855</v>
      </c>
      <c r="AO1133" s="2">
        <v>1.4272610703435655</v>
      </c>
      <c r="AP1133" s="2">
        <v>1.4162589312309215</v>
      </c>
      <c r="AQ1133" s="2">
        <v>1.4053416028565295</v>
      </c>
      <c r="AR1133" s="2">
        <v>23.872045629044798</v>
      </c>
    </row>
    <row r="1134" spans="1:44" x14ac:dyDescent="0.25">
      <c r="A1134" t="s">
        <v>435</v>
      </c>
      <c r="B1134" t="s">
        <v>471</v>
      </c>
      <c r="C1134" t="s">
        <v>44</v>
      </c>
      <c r="D1134" t="s">
        <v>472</v>
      </c>
      <c r="E1134" t="s">
        <v>145</v>
      </c>
      <c r="F1134" t="s">
        <v>472</v>
      </c>
      <c r="G1134" t="s">
        <v>33</v>
      </c>
      <c r="H1134" t="s">
        <v>452</v>
      </c>
      <c r="I1134" t="s">
        <v>256</v>
      </c>
      <c r="J1134" t="s">
        <v>40</v>
      </c>
      <c r="K1134" t="s">
        <v>33</v>
      </c>
      <c r="L1134">
        <v>8.3279735676544231E-2</v>
      </c>
      <c r="M1134">
        <v>1</v>
      </c>
      <c r="N1134">
        <v>1.749690553345449</v>
      </c>
      <c r="O1134">
        <v>1.4737622038640097</v>
      </c>
      <c r="P1134">
        <v>-0.12205024667384824</v>
      </c>
      <c r="Q1134">
        <v>1.3498045353129324</v>
      </c>
      <c r="R1134">
        <v>-0.25661544227348537</v>
      </c>
      <c r="S1134" s="2">
        <v>0.17134375673277694</v>
      </c>
      <c r="T1134" s="2">
        <v>0.31992617354138836</v>
      </c>
      <c r="U1134" s="2">
        <v>0.54323822222385865</v>
      </c>
      <c r="V1134" s="2">
        <v>0.85992062712195305</v>
      </c>
      <c r="W1134" s="2">
        <v>1.2863986109617269</v>
      </c>
      <c r="X1134" s="2">
        <v>1.8336170086186943</v>
      </c>
      <c r="Y1134" s="2">
        <v>2.5032502192988484</v>
      </c>
      <c r="Z1134" s="2">
        <v>3.2840627697202751</v>
      </c>
      <c r="AA1134" s="2">
        <v>4.1494979244131436</v>
      </c>
      <c r="AB1134" s="2">
        <v>5.0577975723551027</v>
      </c>
      <c r="AC1134" s="2">
        <v>5.9557425800914787</v>
      </c>
      <c r="AD1134" s="2">
        <v>6.7862417146359091</v>
      </c>
      <c r="AE1134" s="2">
        <v>7.4985494564015589</v>
      </c>
      <c r="AF1134" s="2">
        <v>8.0583639205613515</v>
      </c>
      <c r="AG1134" s="2">
        <v>8.454325788649351</v>
      </c>
      <c r="AH1134" s="2">
        <v>8.7221866408166662</v>
      </c>
      <c r="AI1134" s="2">
        <v>8.8352625520413515</v>
      </c>
      <c r="AJ1134" s="2">
        <v>8.9102925591188793</v>
      </c>
      <c r="AK1134" s="2">
        <v>8.8771154241107322</v>
      </c>
      <c r="AL1134" s="2">
        <v>8.8086855756096778</v>
      </c>
      <c r="AM1134" s="2">
        <v>8.7407832232537324</v>
      </c>
      <c r="AN1134" s="2">
        <v>8.6734043008029467</v>
      </c>
      <c r="AO1134" s="2">
        <v>8.6065447733622769</v>
      </c>
      <c r="AP1134" s="2">
        <v>8.5402006371399271</v>
      </c>
      <c r="AQ1134" s="2">
        <v>8.4743679192076122</v>
      </c>
      <c r="AR1134" s="2">
        <v>143.95111995079122</v>
      </c>
    </row>
    <row r="1135" spans="1:44" x14ac:dyDescent="0.25">
      <c r="A1135" t="s">
        <v>435</v>
      </c>
      <c r="B1135" t="s">
        <v>471</v>
      </c>
      <c r="C1135" t="s">
        <v>44</v>
      </c>
      <c r="D1135" t="s">
        <v>472</v>
      </c>
      <c r="E1135" t="s">
        <v>145</v>
      </c>
      <c r="F1135" t="s">
        <v>472</v>
      </c>
      <c r="G1135" t="s">
        <v>33</v>
      </c>
      <c r="H1135" t="s">
        <v>453</v>
      </c>
      <c r="I1135" t="s">
        <v>135</v>
      </c>
      <c r="J1135" t="s">
        <v>39</v>
      </c>
      <c r="K1135" t="s">
        <v>31</v>
      </c>
      <c r="L1135">
        <v>8.3279735676544231E-2</v>
      </c>
      <c r="M1135">
        <v>1</v>
      </c>
      <c r="N1135">
        <v>3.5354592691557718</v>
      </c>
      <c r="O1135">
        <v>5.3471683850504306</v>
      </c>
      <c r="P1135">
        <v>-1.584987198022715</v>
      </c>
      <c r="Q1135">
        <v>0.81921972223879724</v>
      </c>
      <c r="R1135">
        <v>-1.8625523936223525</v>
      </c>
      <c r="S1135" s="2">
        <v>6.0016176637051832E-2</v>
      </c>
      <c r="T1135" s="2">
        <v>0.11205979201227048</v>
      </c>
      <c r="U1135" s="2">
        <v>0.19027878063763939</v>
      </c>
      <c r="V1135" s="2">
        <v>0.30120238539933342</v>
      </c>
      <c r="W1135" s="2">
        <v>0.45058383061802187</v>
      </c>
      <c r="X1135" s="2">
        <v>0.64225673798893024</v>
      </c>
      <c r="Y1135" s="2">
        <v>0.8768075954029747</v>
      </c>
      <c r="Z1135" s="2">
        <v>1.1503009799305652</v>
      </c>
      <c r="AA1135" s="2">
        <v>1.453434925995293</v>
      </c>
      <c r="AB1135" s="2">
        <v>1.7715829177851139</v>
      </c>
      <c r="AC1135" s="2">
        <v>2.0861040139853828</v>
      </c>
      <c r="AD1135" s="2">
        <v>2.3770010020412227</v>
      </c>
      <c r="AE1135" s="2">
        <v>2.6264993675779271</v>
      </c>
      <c r="AF1135" s="2">
        <v>2.8225842696814172</v>
      </c>
      <c r="AG1135" s="2">
        <v>2.9612769064593545</v>
      </c>
      <c r="AH1135" s="2">
        <v>3.0550999002139299</v>
      </c>
      <c r="AI1135" s="2">
        <v>3.0947067349820045</v>
      </c>
      <c r="AJ1135" s="2">
        <v>3.12098731995171</v>
      </c>
      <c r="AK1135" s="2">
        <v>3.1093664425242027</v>
      </c>
      <c r="AL1135" s="2">
        <v>3.0853976796512668</v>
      </c>
      <c r="AM1135" s="2">
        <v>3.0616136816184611</v>
      </c>
      <c r="AN1135" s="2">
        <v>3.0380130241534382</v>
      </c>
      <c r="AO1135" s="2">
        <v>3.0145942939629529</v>
      </c>
      <c r="AP1135" s="2">
        <v>2.9913560886482236</v>
      </c>
      <c r="AQ1135" s="2">
        <v>2.9682970166209603</v>
      </c>
      <c r="AR1135" s="2">
        <v>50.421421864479655</v>
      </c>
    </row>
    <row r="1136" spans="1:44" x14ac:dyDescent="0.25">
      <c r="A1136" t="s">
        <v>435</v>
      </c>
      <c r="B1136" t="s">
        <v>471</v>
      </c>
      <c r="C1136" t="s">
        <v>44</v>
      </c>
      <c r="D1136" t="s">
        <v>472</v>
      </c>
      <c r="E1136" t="s">
        <v>145</v>
      </c>
      <c r="F1136" t="s">
        <v>472</v>
      </c>
      <c r="G1136" t="s">
        <v>33</v>
      </c>
      <c r="H1136" t="s">
        <v>453</v>
      </c>
      <c r="I1136" t="s">
        <v>135</v>
      </c>
      <c r="J1136" t="s">
        <v>39</v>
      </c>
      <c r="K1136" t="s">
        <v>33</v>
      </c>
      <c r="L1136">
        <v>8.3279735676544231E-2</v>
      </c>
      <c r="M1136">
        <v>1</v>
      </c>
      <c r="N1136">
        <v>3.5354592691557718</v>
      </c>
      <c r="O1136">
        <v>5.3471683850504306</v>
      </c>
      <c r="P1136">
        <v>-1.584987198022715</v>
      </c>
      <c r="Q1136">
        <v>0.81921972223879724</v>
      </c>
      <c r="R1136">
        <v>-1.8625523936223525</v>
      </c>
      <c r="S1136" s="2">
        <v>5.4607754289662067E-2</v>
      </c>
      <c r="T1136" s="2">
        <v>0.10196140325571568</v>
      </c>
      <c r="U1136" s="2">
        <v>0.17313160354140048</v>
      </c>
      <c r="V1136" s="2">
        <v>0.27405920828339636</v>
      </c>
      <c r="W1136" s="2">
        <v>0.40997898380106368</v>
      </c>
      <c r="X1136" s="2">
        <v>0.58437908084479762</v>
      </c>
      <c r="Y1136" s="2">
        <v>0.7977931353180433</v>
      </c>
      <c r="Z1136" s="2">
        <v>1.0466403691638342</v>
      </c>
      <c r="AA1136" s="2">
        <v>1.3224570734445062</v>
      </c>
      <c r="AB1136" s="2">
        <v>1.6119348165615566</v>
      </c>
      <c r="AC1136" s="2">
        <v>1.8981125056883916</v>
      </c>
      <c r="AD1136" s="2">
        <v>2.1627949986006283</v>
      </c>
      <c r="AE1136" s="2">
        <v>2.3898095504154697</v>
      </c>
      <c r="AF1136" s="2">
        <v>2.5682240505382454</v>
      </c>
      <c r="AG1136" s="2">
        <v>2.6944182510911543</v>
      </c>
      <c r="AH1136" s="2">
        <v>2.7797862847907111</v>
      </c>
      <c r="AI1136" s="2">
        <v>2.8158239070185656</v>
      </c>
      <c r="AJ1136" s="2">
        <v>2.8397361887904156</v>
      </c>
      <c r="AK1136" s="2">
        <v>2.8291625392387401</v>
      </c>
      <c r="AL1136" s="2">
        <v>2.8073537472274142</v>
      </c>
      <c r="AM1136" s="2">
        <v>2.7857130697738044</v>
      </c>
      <c r="AN1136" s="2">
        <v>2.764239210955401</v>
      </c>
      <c r="AO1136" s="2">
        <v>2.742930884839399</v>
      </c>
      <c r="AP1136" s="2">
        <v>2.7217868154056926</v>
      </c>
      <c r="AQ1136" s="2">
        <v>2.7008057364704663</v>
      </c>
      <c r="AR1136" s="2">
        <v>45.877641169348472</v>
      </c>
    </row>
    <row r="1137" spans="1:44" x14ac:dyDescent="0.25">
      <c r="A1137" t="s">
        <v>435</v>
      </c>
      <c r="B1137" t="s">
        <v>471</v>
      </c>
      <c r="C1137" t="s">
        <v>44</v>
      </c>
      <c r="D1137" t="s">
        <v>472</v>
      </c>
      <c r="E1137" t="s">
        <v>145</v>
      </c>
      <c r="F1137" t="s">
        <v>472</v>
      </c>
      <c r="G1137" t="s">
        <v>33</v>
      </c>
      <c r="H1137" t="s">
        <v>453</v>
      </c>
      <c r="I1137" t="s">
        <v>135</v>
      </c>
      <c r="J1137" t="s">
        <v>40</v>
      </c>
      <c r="K1137" t="s">
        <v>33</v>
      </c>
      <c r="L1137">
        <v>8.3279735676544231E-2</v>
      </c>
      <c r="M1137">
        <v>1</v>
      </c>
      <c r="N1137">
        <v>3.5354592691557718</v>
      </c>
      <c r="O1137">
        <v>4.1746294160814532</v>
      </c>
      <c r="P1137">
        <v>-1.584987198022715</v>
      </c>
      <c r="Q1137">
        <v>1.3498045353129324</v>
      </c>
      <c r="R1137">
        <v>-1.7195523936223525</v>
      </c>
      <c r="S1137" s="2">
        <v>1.1120659637335821</v>
      </c>
      <c r="T1137" s="2">
        <v>2.0764048558697388</v>
      </c>
      <c r="U1137" s="2">
        <v>3.5257586774898209</v>
      </c>
      <c r="V1137" s="2">
        <v>5.5811106232844097</v>
      </c>
      <c r="W1137" s="2">
        <v>8.3490647008268706</v>
      </c>
      <c r="X1137" s="2">
        <v>11.900655761785154</v>
      </c>
      <c r="Y1137" s="2">
        <v>16.246751096582884</v>
      </c>
      <c r="Z1137" s="2">
        <v>21.314429533993831</v>
      </c>
      <c r="AA1137" s="2">
        <v>26.931330888931505</v>
      </c>
      <c r="AB1137" s="2">
        <v>32.826434058186486</v>
      </c>
      <c r="AC1137" s="2">
        <v>38.654332894124003</v>
      </c>
      <c r="AD1137" s="2">
        <v>44.044490306613994</v>
      </c>
      <c r="AE1137" s="2">
        <v>48.667554551416899</v>
      </c>
      <c r="AF1137" s="2">
        <v>52.30089739079898</v>
      </c>
      <c r="AG1137" s="2">
        <v>54.870793865776825</v>
      </c>
      <c r="AH1137" s="2">
        <v>56.609281117322922</v>
      </c>
      <c r="AI1137" s="2">
        <v>57.343173466766643</v>
      </c>
      <c r="AJ1137" s="2">
        <v>57.830137910179303</v>
      </c>
      <c r="AK1137" s="2">
        <v>57.614809594048729</v>
      </c>
      <c r="AL1137" s="2">
        <v>57.170681912523982</v>
      </c>
      <c r="AM1137" s="2">
        <v>56.729977819463492</v>
      </c>
      <c r="AN1137" s="2">
        <v>56.292670923902577</v>
      </c>
      <c r="AO1137" s="2">
        <v>55.858735038313</v>
      </c>
      <c r="AP1137" s="2">
        <v>55.428144177034966</v>
      </c>
      <c r="AQ1137" s="2">
        <v>55.000872554720885</v>
      </c>
      <c r="AR1137" s="2">
        <v>934.28055968369154</v>
      </c>
    </row>
    <row r="1138" spans="1:44" x14ac:dyDescent="0.25">
      <c r="A1138" t="s">
        <v>435</v>
      </c>
      <c r="B1138" t="s">
        <v>471</v>
      </c>
      <c r="C1138" t="s">
        <v>44</v>
      </c>
      <c r="D1138" t="s">
        <v>472</v>
      </c>
      <c r="E1138" t="s">
        <v>145</v>
      </c>
      <c r="F1138" t="s">
        <v>472</v>
      </c>
      <c r="G1138" t="s">
        <v>33</v>
      </c>
      <c r="H1138" t="s">
        <v>453</v>
      </c>
      <c r="I1138" t="s">
        <v>256</v>
      </c>
      <c r="J1138" t="s">
        <v>40</v>
      </c>
      <c r="K1138" t="s">
        <v>33</v>
      </c>
      <c r="L1138">
        <v>8.3279735676544231E-2</v>
      </c>
      <c r="M1138">
        <v>1</v>
      </c>
      <c r="N1138">
        <v>1.749690553345449</v>
      </c>
      <c r="O1138">
        <v>1.4737622038640097</v>
      </c>
      <c r="P1138">
        <v>-0.12205024667384824</v>
      </c>
      <c r="Q1138">
        <v>1.3498045353129324</v>
      </c>
      <c r="R1138">
        <v>-0.25661544227348537</v>
      </c>
      <c r="S1138" s="2">
        <v>0.5724884900717736</v>
      </c>
      <c r="T1138" s="2">
        <v>1.0689274912466857</v>
      </c>
      <c r="U1138" s="2">
        <v>1.81505084002118</v>
      </c>
      <c r="V1138" s="2">
        <v>2.8731403512436646</v>
      </c>
      <c r="W1138" s="2">
        <v>4.2980754739050751</v>
      </c>
      <c r="X1138" s="2">
        <v>6.1264247536673349</v>
      </c>
      <c r="Y1138" s="2">
        <v>8.363782641658954</v>
      </c>
      <c r="Z1138" s="2">
        <v>10.972609520113545</v>
      </c>
      <c r="AA1138" s="2">
        <v>13.86417484126992</v>
      </c>
      <c r="AB1138" s="2">
        <v>16.898957688910993</v>
      </c>
      <c r="AC1138" s="2">
        <v>19.899143931169029</v>
      </c>
      <c r="AD1138" s="2">
        <v>22.673982096313015</v>
      </c>
      <c r="AE1138" s="2">
        <v>25.053922815050882</v>
      </c>
      <c r="AF1138" s="2">
        <v>26.924357684802231</v>
      </c>
      <c r="AG1138" s="2">
        <v>28.247333300080857</v>
      </c>
      <c r="AH1138" s="2">
        <v>29.142301740896372</v>
      </c>
      <c r="AI1138" s="2">
        <v>29.520107497667933</v>
      </c>
      <c r="AJ1138" s="2">
        <v>29.770795449659552</v>
      </c>
      <c r="AK1138" s="2">
        <v>29.659945026580854</v>
      </c>
      <c r="AL1138" s="2">
        <v>29.431309321427584</v>
      </c>
      <c r="AM1138" s="2">
        <v>29.204436070170438</v>
      </c>
      <c r="AN1138" s="2">
        <v>28.979311686813592</v>
      </c>
      <c r="AO1138" s="2">
        <v>28.75592269008979</v>
      </c>
      <c r="AP1138" s="2">
        <v>28.534255702653049</v>
      </c>
      <c r="AQ1138" s="2">
        <v>28.314297450277557</v>
      </c>
      <c r="AR1138" s="2">
        <v>480.96505455576187</v>
      </c>
    </row>
    <row r="1139" spans="1:44" x14ac:dyDescent="0.25">
      <c r="A1139" t="s">
        <v>435</v>
      </c>
      <c r="B1139" t="s">
        <v>471</v>
      </c>
      <c r="C1139" t="s">
        <v>44</v>
      </c>
      <c r="D1139" t="s">
        <v>472</v>
      </c>
      <c r="E1139" t="s">
        <v>145</v>
      </c>
      <c r="F1139" t="s">
        <v>472</v>
      </c>
      <c r="G1139" t="s">
        <v>33</v>
      </c>
      <c r="H1139" t="s">
        <v>454</v>
      </c>
      <c r="I1139" t="s">
        <v>135</v>
      </c>
      <c r="J1139" t="s">
        <v>39</v>
      </c>
      <c r="K1139" t="s">
        <v>31</v>
      </c>
      <c r="L1139">
        <v>8.3279735676544231E-2</v>
      </c>
      <c r="M1139">
        <v>1</v>
      </c>
      <c r="N1139">
        <v>3.5354592691557718</v>
      </c>
      <c r="O1139">
        <v>5.3471683850504306</v>
      </c>
      <c r="P1139">
        <v>-1.584987198022715</v>
      </c>
      <c r="Q1139">
        <v>0.81921972223879724</v>
      </c>
      <c r="R1139">
        <v>-1.8625523936223525</v>
      </c>
      <c r="S1139" s="2">
        <v>3.304737238489655E-3</v>
      </c>
      <c r="T1139" s="2">
        <v>6.1704725017709414E-3</v>
      </c>
      <c r="U1139" s="2">
        <v>1.0477531347430081E-2</v>
      </c>
      <c r="V1139" s="2">
        <v>1.6585440711605896E-2</v>
      </c>
      <c r="W1139" s="2">
        <v>2.4810996760253459E-2</v>
      </c>
      <c r="X1139" s="2">
        <v>3.5365294452838612E-2</v>
      </c>
      <c r="Y1139" s="2">
        <v>4.8280628221990023E-2</v>
      </c>
      <c r="Z1139" s="2">
        <v>6.3340297514067348E-2</v>
      </c>
      <c r="AA1139" s="2">
        <v>8.0032097890967047E-2</v>
      </c>
      <c r="AB1139" s="2">
        <v>9.7550633304791287E-2</v>
      </c>
      <c r="AC1139" s="2">
        <v>0.11486945694778093</v>
      </c>
      <c r="AD1139" s="2">
        <v>0.1308874401459828</v>
      </c>
      <c r="AE1139" s="2">
        <v>0.14462584511832527</v>
      </c>
      <c r="AF1139" s="2">
        <v>0.15542308536583116</v>
      </c>
      <c r="AG1139" s="2">
        <v>0.16306007171096606</v>
      </c>
      <c r="AH1139" s="2">
        <v>0.16822635118195636</v>
      </c>
      <c r="AI1139" s="2">
        <v>0.17040726621338737</v>
      </c>
      <c r="AJ1139" s="2">
        <v>0.17185438318526486</v>
      </c>
      <c r="AK1139" s="2">
        <v>0.17121448993430258</v>
      </c>
      <c r="AL1139" s="2">
        <v>0.16989467138428491</v>
      </c>
      <c r="AM1139" s="2">
        <v>0.16858502674539844</v>
      </c>
      <c r="AN1139" s="2">
        <v>0.16728547759135673</v>
      </c>
      <c r="AO1139" s="2">
        <v>0.16599594610042762</v>
      </c>
      <c r="AP1139" s="2">
        <v>0.16471635505077323</v>
      </c>
      <c r="AQ1139" s="2">
        <v>0.16344662781582525</v>
      </c>
      <c r="AR1139" s="2">
        <v>2.776410624436068</v>
      </c>
    </row>
    <row r="1140" spans="1:44" x14ac:dyDescent="0.25">
      <c r="A1140" t="s">
        <v>435</v>
      </c>
      <c r="B1140" t="s">
        <v>471</v>
      </c>
      <c r="C1140" t="s">
        <v>44</v>
      </c>
      <c r="D1140" t="s">
        <v>472</v>
      </c>
      <c r="E1140" t="s">
        <v>145</v>
      </c>
      <c r="F1140" t="s">
        <v>472</v>
      </c>
      <c r="G1140" t="s">
        <v>33</v>
      </c>
      <c r="H1140" t="s">
        <v>454</v>
      </c>
      <c r="I1140" t="s">
        <v>135</v>
      </c>
      <c r="J1140" t="s">
        <v>39</v>
      </c>
      <c r="K1140" t="s">
        <v>33</v>
      </c>
      <c r="L1140">
        <v>8.3279735676544231E-2</v>
      </c>
      <c r="M1140">
        <v>1</v>
      </c>
      <c r="N1140">
        <v>3.5354592691557718</v>
      </c>
      <c r="O1140">
        <v>5.3471683850504306</v>
      </c>
      <c r="P1140">
        <v>-1.584987198022715</v>
      </c>
      <c r="Q1140">
        <v>0.81921972223879724</v>
      </c>
      <c r="R1140">
        <v>-1.8625523936223525</v>
      </c>
      <c r="S1140" s="2">
        <v>2.6520530167995368E-2</v>
      </c>
      <c r="T1140" s="2">
        <v>4.9518067647880977E-2</v>
      </c>
      <c r="U1140" s="2">
        <v>8.4082232907760568E-2</v>
      </c>
      <c r="V1140" s="2">
        <v>0.13309823111463681</v>
      </c>
      <c r="W1140" s="2">
        <v>0.19910835282597517</v>
      </c>
      <c r="X1140" s="2">
        <v>0.28380663597484429</v>
      </c>
      <c r="Y1140" s="2">
        <v>0.38745224351822932</v>
      </c>
      <c r="Z1140" s="2">
        <v>0.50830615260635459</v>
      </c>
      <c r="AA1140" s="2">
        <v>0.64225792048005015</v>
      </c>
      <c r="AB1140" s="2">
        <v>0.78284424048464907</v>
      </c>
      <c r="AC1140" s="2">
        <v>0.92182787269257982</v>
      </c>
      <c r="AD1140" s="2">
        <v>1.0503722548875472</v>
      </c>
      <c r="AE1140" s="2">
        <v>1.1606230122807921</v>
      </c>
      <c r="AF1140" s="2">
        <v>1.2472709104495259</v>
      </c>
      <c r="AG1140" s="2">
        <v>1.3085577578272263</v>
      </c>
      <c r="AH1140" s="2">
        <v>1.3500171722009124</v>
      </c>
      <c r="AI1140" s="2">
        <v>1.3675190244544775</v>
      </c>
      <c r="AJ1140" s="2">
        <v>1.3791321442094493</v>
      </c>
      <c r="AK1140" s="2">
        <v>1.3739969981927582</v>
      </c>
      <c r="AL1140" s="2">
        <v>1.3634054488059084</v>
      </c>
      <c r="AM1140" s="2">
        <v>1.3528955450984612</v>
      </c>
      <c r="AN1140" s="2">
        <v>1.3424666576991386</v>
      </c>
      <c r="AO1140" s="2">
        <v>1.3321181620882159</v>
      </c>
      <c r="AP1140" s="2">
        <v>1.3218494385601187</v>
      </c>
      <c r="AQ1140" s="2">
        <v>1.3116598721863171</v>
      </c>
      <c r="AR1140" s="2">
        <v>22.280706879361805</v>
      </c>
    </row>
    <row r="1141" spans="1:44" x14ac:dyDescent="0.25">
      <c r="A1141" t="s">
        <v>435</v>
      </c>
      <c r="B1141" t="s">
        <v>471</v>
      </c>
      <c r="C1141" t="s">
        <v>44</v>
      </c>
      <c r="D1141" t="s">
        <v>472</v>
      </c>
      <c r="E1141" t="s">
        <v>145</v>
      </c>
      <c r="F1141" t="s">
        <v>472</v>
      </c>
      <c r="G1141" t="s">
        <v>33</v>
      </c>
      <c r="H1141" t="s">
        <v>455</v>
      </c>
      <c r="I1141" t="s">
        <v>135</v>
      </c>
      <c r="J1141" t="s">
        <v>39</v>
      </c>
      <c r="K1141" t="s">
        <v>31</v>
      </c>
      <c r="L1141">
        <v>8.3279735676544231E-2</v>
      </c>
      <c r="M1141">
        <v>1</v>
      </c>
      <c r="N1141">
        <v>3.5354592691557718</v>
      </c>
      <c r="O1141">
        <v>5.3471683850504306</v>
      </c>
      <c r="P1141">
        <v>-1.584987198022715</v>
      </c>
      <c r="Q1141">
        <v>0.81921972223879724</v>
      </c>
      <c r="R1141">
        <v>-1.8625523936223525</v>
      </c>
      <c r="S1141" s="2">
        <v>7.7864507743369716E-4</v>
      </c>
      <c r="T1141" s="2">
        <v>1.4538547824576079E-3</v>
      </c>
      <c r="U1141" s="2">
        <v>2.4686616873244101E-3</v>
      </c>
      <c r="V1141" s="2">
        <v>3.9077756672304918E-3</v>
      </c>
      <c r="W1141" s="2">
        <v>5.8458385945455689E-3</v>
      </c>
      <c r="X1141" s="2">
        <v>8.332587570647856E-3</v>
      </c>
      <c r="Y1141" s="2">
        <v>1.1375631642544771E-2</v>
      </c>
      <c r="Z1141" s="2">
        <v>1.4923912947782393E-2</v>
      </c>
      <c r="AA1141" s="2">
        <v>1.8856748528658651E-2</v>
      </c>
      <c r="AB1141" s="2">
        <v>2.29843751384088E-2</v>
      </c>
      <c r="AC1141" s="2">
        <v>2.7064946694748116E-2</v>
      </c>
      <c r="AD1141" s="2">
        <v>3.0839020960754113E-2</v>
      </c>
      <c r="AE1141" s="2">
        <v>3.4075992807990604E-2</v>
      </c>
      <c r="AF1141" s="2">
        <v>3.6619982651017208E-2</v>
      </c>
      <c r="AG1141" s="2">
        <v>3.8419369832185468E-2</v>
      </c>
      <c r="AH1141" s="2">
        <v>3.9636621852068239E-2</v>
      </c>
      <c r="AI1141" s="2">
        <v>4.0150477759807818E-2</v>
      </c>
      <c r="AJ1141" s="2">
        <v>4.0491439968088613E-2</v>
      </c>
      <c r="AK1141" s="2">
        <v>4.0340671633425931E-2</v>
      </c>
      <c r="AL1141" s="2">
        <v>4.0029702820199922E-2</v>
      </c>
      <c r="AM1141" s="2">
        <v>3.9721131131237909E-2</v>
      </c>
      <c r="AN1141" s="2">
        <v>3.941493808814437E-2</v>
      </c>
      <c r="AO1141" s="2">
        <v>3.9111105354965696E-2</v>
      </c>
      <c r="AP1141" s="2">
        <v>3.8809614737092248E-2</v>
      </c>
      <c r="AQ1141" s="2">
        <v>3.8510448180168765E-2</v>
      </c>
      <c r="AR1141" s="2">
        <v>0.65416349610892921</v>
      </c>
    </row>
    <row r="1142" spans="1:44" x14ac:dyDescent="0.25">
      <c r="A1142" t="s">
        <v>435</v>
      </c>
      <c r="B1142" t="s">
        <v>471</v>
      </c>
      <c r="C1142" t="s">
        <v>44</v>
      </c>
      <c r="D1142" t="s">
        <v>472</v>
      </c>
      <c r="E1142" t="s">
        <v>145</v>
      </c>
      <c r="F1142" t="s">
        <v>472</v>
      </c>
      <c r="G1142" t="s">
        <v>33</v>
      </c>
      <c r="H1142" t="s">
        <v>455</v>
      </c>
      <c r="I1142" t="s">
        <v>135</v>
      </c>
      <c r="J1142" t="s">
        <v>39</v>
      </c>
      <c r="K1142" t="s">
        <v>33</v>
      </c>
      <c r="L1142">
        <v>8.3279735676544231E-2</v>
      </c>
      <c r="M1142">
        <v>1</v>
      </c>
      <c r="N1142">
        <v>3.5354592691557718</v>
      </c>
      <c r="O1142">
        <v>5.3471683850504306</v>
      </c>
      <c r="P1142">
        <v>-1.584987198022715</v>
      </c>
      <c r="Q1142">
        <v>0.81921972223879724</v>
      </c>
      <c r="R1142">
        <v>-1.8625523936223525</v>
      </c>
      <c r="S1142" s="2">
        <v>1.9797656940733516E-2</v>
      </c>
      <c r="T1142" s="2">
        <v>3.6965389057110415E-2</v>
      </c>
      <c r="U1142" s="2">
        <v>6.2767644212767398E-2</v>
      </c>
      <c r="V1142" s="2">
        <v>9.9358236895503979E-2</v>
      </c>
      <c r="W1142" s="2">
        <v>0.14863499478755496</v>
      </c>
      <c r="X1142" s="2">
        <v>0.21186252239083017</v>
      </c>
      <c r="Y1142" s="2">
        <v>0.28923428564592885</v>
      </c>
      <c r="Z1142" s="2">
        <v>0.37945209867293561</v>
      </c>
      <c r="AA1142" s="2">
        <v>0.47944750337146286</v>
      </c>
      <c r="AB1142" s="2">
        <v>0.58439562154181723</v>
      </c>
      <c r="AC1142" s="2">
        <v>0.68814732836667669</v>
      </c>
      <c r="AD1142" s="2">
        <v>0.78410610310586448</v>
      </c>
      <c r="AE1142" s="2">
        <v>0.86640863094000109</v>
      </c>
      <c r="AF1142" s="2">
        <v>0.93109155212271411</v>
      </c>
      <c r="AG1142" s="2">
        <v>0.9768423712683677</v>
      </c>
      <c r="AH1142" s="2">
        <v>1.0077919509914941</v>
      </c>
      <c r="AI1142" s="2">
        <v>1.0208571372659989</v>
      </c>
      <c r="AJ1142" s="2">
        <v>1.0295263667068963</v>
      </c>
      <c r="AK1142" s="2">
        <v>1.0256929644885004</v>
      </c>
      <c r="AL1142" s="2">
        <v>1.0177863404540859</v>
      </c>
      <c r="AM1142" s="2">
        <v>1.0099406651692349</v>
      </c>
      <c r="AN1142" s="2">
        <v>1.0021554688063625</v>
      </c>
      <c r="AO1142" s="2">
        <v>0.99443028515958221</v>
      </c>
      <c r="AP1142" s="2">
        <v>0.98676465161678673</v>
      </c>
      <c r="AQ1142" s="2">
        <v>0.97915810913194623</v>
      </c>
      <c r="AR1142" s="2">
        <v>16.632615879111157</v>
      </c>
    </row>
    <row r="1143" spans="1:44" x14ac:dyDescent="0.25">
      <c r="A1143" t="s">
        <v>435</v>
      </c>
      <c r="B1143" t="s">
        <v>471</v>
      </c>
      <c r="C1143" t="s">
        <v>44</v>
      </c>
      <c r="D1143" t="s">
        <v>472</v>
      </c>
      <c r="E1143" t="s">
        <v>145</v>
      </c>
      <c r="F1143" t="s">
        <v>472</v>
      </c>
      <c r="G1143" t="s">
        <v>33</v>
      </c>
      <c r="H1143" t="s">
        <v>456</v>
      </c>
      <c r="I1143" t="s">
        <v>135</v>
      </c>
      <c r="J1143" t="s">
        <v>39</v>
      </c>
      <c r="K1143" t="s">
        <v>31</v>
      </c>
      <c r="L1143">
        <v>8.3279735676544231E-2</v>
      </c>
      <c r="M1143">
        <v>1</v>
      </c>
      <c r="N1143">
        <v>3.5354592691557718</v>
      </c>
      <c r="O1143">
        <v>5.3471683850504306</v>
      </c>
      <c r="P1143">
        <v>-1.584987198022715</v>
      </c>
      <c r="Q1143">
        <v>0.81921972223879724</v>
      </c>
      <c r="R1143">
        <v>-1.8625523936223525</v>
      </c>
      <c r="S1143" s="2">
        <v>0.14035261908954233</v>
      </c>
      <c r="T1143" s="2">
        <v>0.26206076736054046</v>
      </c>
      <c r="U1143" s="2">
        <v>0.44498211509144675</v>
      </c>
      <c r="V1143" s="2">
        <v>0.70438581788489651</v>
      </c>
      <c r="W1143" s="2">
        <v>1.053726249992333</v>
      </c>
      <c r="X1143" s="2">
        <v>1.501968641717867</v>
      </c>
      <c r="Y1143" s="2">
        <v>2.0504845418033022</v>
      </c>
      <c r="Z1143" s="2">
        <v>2.6900706496329847</v>
      </c>
      <c r="AA1143" s="2">
        <v>3.3989735762960329</v>
      </c>
      <c r="AB1143" s="2">
        <v>4.1429880471914107</v>
      </c>
      <c r="AC1143" s="2">
        <v>4.8785207332800615</v>
      </c>
      <c r="AD1143" s="2">
        <v>5.5588065569806417</v>
      </c>
      <c r="AE1143" s="2">
        <v>6.1422783978046027</v>
      </c>
      <c r="AF1143" s="2">
        <v>6.6008385913433347</v>
      </c>
      <c r="AG1143" s="2">
        <v>6.9251823918146327</v>
      </c>
      <c r="AH1143" s="2">
        <v>7.1445949509303501</v>
      </c>
      <c r="AI1143" s="2">
        <v>7.2372186951445743</v>
      </c>
      <c r="AJ1143" s="2">
        <v>7.2986779406078428</v>
      </c>
      <c r="AK1143" s="2">
        <v>7.271501591255686</v>
      </c>
      <c r="AL1143" s="2">
        <v>7.2154487262773497</v>
      </c>
      <c r="AM1143" s="2">
        <v>7.1598279486241445</v>
      </c>
      <c r="AN1143" s="2">
        <v>7.1046359275215201</v>
      </c>
      <c r="AO1143" s="2">
        <v>7.049869357870417</v>
      </c>
      <c r="AP1143" s="2">
        <v>6.9955249600493623</v>
      </c>
      <c r="AQ1143" s="2">
        <v>6.941599479718068</v>
      </c>
      <c r="AR1143" s="2">
        <v>117.91451927528294</v>
      </c>
    </row>
    <row r="1144" spans="1:44" x14ac:dyDescent="0.25">
      <c r="A1144" t="s">
        <v>435</v>
      </c>
      <c r="B1144" t="s">
        <v>471</v>
      </c>
      <c r="C1144" t="s">
        <v>44</v>
      </c>
      <c r="D1144" t="s">
        <v>472</v>
      </c>
      <c r="E1144" t="s">
        <v>145</v>
      </c>
      <c r="F1144" t="s">
        <v>472</v>
      </c>
      <c r="G1144" t="s">
        <v>33</v>
      </c>
      <c r="H1144" t="s">
        <v>456</v>
      </c>
      <c r="I1144" t="s">
        <v>135</v>
      </c>
      <c r="J1144" t="s">
        <v>39</v>
      </c>
      <c r="K1144" t="s">
        <v>33</v>
      </c>
      <c r="L1144">
        <v>8.3279735676544231E-2</v>
      </c>
      <c r="M1144">
        <v>1</v>
      </c>
      <c r="N1144">
        <v>3.5354592691557718</v>
      </c>
      <c r="O1144">
        <v>5.3471683850504306</v>
      </c>
      <c r="P1144">
        <v>-1.584987198022715</v>
      </c>
      <c r="Q1144">
        <v>0.81921972223879724</v>
      </c>
      <c r="R1144">
        <v>-1.8625523936223525</v>
      </c>
      <c r="S1144" s="2">
        <v>0.129587534799944</v>
      </c>
      <c r="T1144" s="2">
        <v>0.24196063479491148</v>
      </c>
      <c r="U1144" s="2">
        <v>0.41085186510112015</v>
      </c>
      <c r="V1144" s="2">
        <v>0.65035923290830366</v>
      </c>
      <c r="W1144" s="2">
        <v>0.97290515828122726</v>
      </c>
      <c r="X1144" s="2">
        <v>1.3867672359064733</v>
      </c>
      <c r="Y1144" s="2">
        <v>1.8932118163620455</v>
      </c>
      <c r="Z1144" s="2">
        <v>2.4837414947078567</v>
      </c>
      <c r="AA1144" s="2">
        <v>3.1382713729149878</v>
      </c>
      <c r="AB1144" s="2">
        <v>3.8252197303040703</v>
      </c>
      <c r="AC1144" s="2">
        <v>4.5043368581020173</v>
      </c>
      <c r="AD1144" s="2">
        <v>5.1324445729745518</v>
      </c>
      <c r="AE1144" s="2">
        <v>5.6711639639488247</v>
      </c>
      <c r="AF1144" s="2">
        <v>6.0945524651648828</v>
      </c>
      <c r="AG1144" s="2">
        <v>6.3940190073881196</v>
      </c>
      <c r="AH1144" s="2">
        <v>6.5966025631806406</v>
      </c>
      <c r="AI1144" s="2">
        <v>6.6821220408685091</v>
      </c>
      <c r="AJ1144" s="2">
        <v>6.7388673453873258</v>
      </c>
      <c r="AK1144" s="2">
        <v>6.7137754294668879</v>
      </c>
      <c r="AL1144" s="2">
        <v>6.6620218345704316</v>
      </c>
      <c r="AM1144" s="2">
        <v>6.6106671857830364</v>
      </c>
      <c r="AN1144" s="2">
        <v>6.5597084078014678</v>
      </c>
      <c r="AO1144" s="2">
        <v>6.50914244902867</v>
      </c>
      <c r="AP1144" s="2">
        <v>6.4589662813910351</v>
      </c>
      <c r="AQ1144" s="2">
        <v>6.4091769001570666</v>
      </c>
      <c r="AR1144" s="2">
        <v>108.87044338129441</v>
      </c>
    </row>
    <row r="1145" spans="1:44" x14ac:dyDescent="0.25">
      <c r="A1145" t="s">
        <v>435</v>
      </c>
      <c r="B1145" t="s">
        <v>471</v>
      </c>
      <c r="C1145" t="s">
        <v>44</v>
      </c>
      <c r="D1145" t="s">
        <v>472</v>
      </c>
      <c r="E1145" t="s">
        <v>145</v>
      </c>
      <c r="F1145" t="s">
        <v>472</v>
      </c>
      <c r="G1145" t="s">
        <v>33</v>
      </c>
      <c r="H1145" t="s">
        <v>456</v>
      </c>
      <c r="I1145" t="s">
        <v>135</v>
      </c>
      <c r="J1145" t="s">
        <v>40</v>
      </c>
      <c r="K1145" t="s">
        <v>33</v>
      </c>
      <c r="L1145">
        <v>8.3279735676544231E-2</v>
      </c>
      <c r="M1145">
        <v>1</v>
      </c>
      <c r="N1145">
        <v>3.5354592691557718</v>
      </c>
      <c r="O1145">
        <v>4.1746294160814532</v>
      </c>
      <c r="P1145">
        <v>-1.584987198022715</v>
      </c>
      <c r="Q1145">
        <v>1.3498045353129324</v>
      </c>
      <c r="R1145">
        <v>-1.7195523936223525</v>
      </c>
      <c r="S1145" s="2">
        <v>0.47840008728035044</v>
      </c>
      <c r="T1145" s="2">
        <v>0.89324940846351086</v>
      </c>
      <c r="U1145" s="2">
        <v>1.5167474898500464</v>
      </c>
      <c r="V1145" s="2">
        <v>2.4009401387813778</v>
      </c>
      <c r="W1145" s="2">
        <v>3.5916873745285827</v>
      </c>
      <c r="X1145" s="2">
        <v>5.1195477074194171</v>
      </c>
      <c r="Y1145" s="2">
        <v>6.9891961413265857</v>
      </c>
      <c r="Z1145" s="2">
        <v>9.169262689381604</v>
      </c>
      <c r="AA1145" s="2">
        <v>11.585599656863018</v>
      </c>
      <c r="AB1145" s="2">
        <v>14.121616370502766</v>
      </c>
      <c r="AC1145" s="2">
        <v>16.628722425986268</v>
      </c>
      <c r="AD1145" s="2">
        <v>18.947516329121861</v>
      </c>
      <c r="AE1145" s="2">
        <v>20.93631412560422</v>
      </c>
      <c r="AF1145" s="2">
        <v>22.499343287691083</v>
      </c>
      <c r="AG1145" s="2">
        <v>23.604888046747675</v>
      </c>
      <c r="AH1145" s="2">
        <v>24.352768550241503</v>
      </c>
      <c r="AI1145" s="2">
        <v>24.668481984046736</v>
      </c>
      <c r="AJ1145" s="2">
        <v>24.877969406401533</v>
      </c>
      <c r="AK1145" s="2">
        <v>24.785337234758625</v>
      </c>
      <c r="AL1145" s="2">
        <v>24.594277775577158</v>
      </c>
      <c r="AM1145" s="2">
        <v>24.404691111241977</v>
      </c>
      <c r="AN1145" s="2">
        <v>24.216565888613744</v>
      </c>
      <c r="AO1145" s="2">
        <v>24.029890842069602</v>
      </c>
      <c r="AP1145" s="2">
        <v>23.844654792828479</v>
      </c>
      <c r="AQ1145" s="2">
        <v>23.660846648281719</v>
      </c>
      <c r="AR1145" s="2">
        <v>401.91851551360941</v>
      </c>
    </row>
    <row r="1146" spans="1:44" x14ac:dyDescent="0.25">
      <c r="A1146" t="s">
        <v>435</v>
      </c>
      <c r="B1146" t="s">
        <v>471</v>
      </c>
      <c r="C1146" t="s">
        <v>44</v>
      </c>
      <c r="D1146" t="s">
        <v>472</v>
      </c>
      <c r="E1146" t="s">
        <v>145</v>
      </c>
      <c r="F1146" t="s">
        <v>472</v>
      </c>
      <c r="G1146" t="s">
        <v>33</v>
      </c>
      <c r="H1146" t="s">
        <v>456</v>
      </c>
      <c r="I1146" t="s">
        <v>256</v>
      </c>
      <c r="J1146" t="s">
        <v>40</v>
      </c>
      <c r="K1146" t="s">
        <v>33</v>
      </c>
      <c r="L1146">
        <v>8.3279735676544231E-2</v>
      </c>
      <c r="M1146">
        <v>1</v>
      </c>
      <c r="N1146">
        <v>1.749690553345449</v>
      </c>
      <c r="O1146">
        <v>1.4737622038640097</v>
      </c>
      <c r="P1146">
        <v>-0.12205024667384824</v>
      </c>
      <c r="Q1146">
        <v>1.3498045353129324</v>
      </c>
      <c r="R1146">
        <v>-0.25661544227348537</v>
      </c>
      <c r="S1146" s="2">
        <v>0.71840388376863229</v>
      </c>
      <c r="T1146" s="2">
        <v>1.3413748476976441</v>
      </c>
      <c r="U1146" s="2">
        <v>2.2776694996003464</v>
      </c>
      <c r="V1146" s="2">
        <v>3.6054439918731718</v>
      </c>
      <c r="W1146" s="2">
        <v>5.3935654021568107</v>
      </c>
      <c r="X1146" s="2">
        <v>7.6879228368401069</v>
      </c>
      <c r="Y1146" s="2">
        <v>10.495536656136371</v>
      </c>
      <c r="Z1146" s="2">
        <v>13.76929917549603</v>
      </c>
      <c r="AA1146" s="2">
        <v>17.397864278401414</v>
      </c>
      <c r="AB1146" s="2">
        <v>21.206150072699984</v>
      </c>
      <c r="AC1146" s="2">
        <v>24.971021307398821</v>
      </c>
      <c r="AD1146" s="2">
        <v>28.453107933138565</v>
      </c>
      <c r="AE1146" s="2">
        <v>31.439645977363774</v>
      </c>
      <c r="AF1146" s="2">
        <v>33.786815742466274</v>
      </c>
      <c r="AG1146" s="2">
        <v>35.446990290304257</v>
      </c>
      <c r="AH1146" s="2">
        <v>36.570067548419281</v>
      </c>
      <c r="AI1146" s="2">
        <v>37.0441681245563</v>
      </c>
      <c r="AJ1146" s="2">
        <v>37.358751214780881</v>
      </c>
      <c r="AK1146" s="2">
        <v>37.219647327387193</v>
      </c>
      <c r="AL1146" s="2">
        <v>36.932737142468547</v>
      </c>
      <c r="AM1146" s="2">
        <v>36.648038624239952</v>
      </c>
      <c r="AN1146" s="2">
        <v>36.36553472391823</v>
      </c>
      <c r="AO1146" s="2">
        <v>36.085208524141812</v>
      </c>
      <c r="AP1146" s="2">
        <v>35.807043237957835</v>
      </c>
      <c r="AQ1146" s="2">
        <v>35.531022207816775</v>
      </c>
      <c r="AR1146" s="2">
        <v>603.55303057102901</v>
      </c>
    </row>
    <row r="1147" spans="1:44" x14ac:dyDescent="0.25">
      <c r="A1147" t="s">
        <v>435</v>
      </c>
      <c r="B1147" t="s">
        <v>471</v>
      </c>
      <c r="C1147" t="s">
        <v>44</v>
      </c>
      <c r="D1147" t="s">
        <v>472</v>
      </c>
      <c r="E1147" t="s">
        <v>145</v>
      </c>
      <c r="F1147" t="s">
        <v>472</v>
      </c>
      <c r="G1147" t="s">
        <v>33</v>
      </c>
      <c r="H1147" t="s">
        <v>457</v>
      </c>
      <c r="I1147" t="s">
        <v>135</v>
      </c>
      <c r="J1147" t="s">
        <v>39</v>
      </c>
      <c r="K1147" t="s">
        <v>31</v>
      </c>
      <c r="L1147">
        <v>8.3279735676544231E-2</v>
      </c>
      <c r="M1147">
        <v>1</v>
      </c>
      <c r="N1147">
        <v>3.5354592691557718</v>
      </c>
      <c r="O1147">
        <v>5.3471683850504306</v>
      </c>
      <c r="P1147">
        <v>-1.584987198022715</v>
      </c>
      <c r="Q1147">
        <v>0.81921972223879724</v>
      </c>
      <c r="R1147">
        <v>-1.8625523936223525</v>
      </c>
      <c r="S1147" s="2">
        <v>5.1888212553211216E-2</v>
      </c>
      <c r="T1147" s="2">
        <v>9.6883584267039413E-2</v>
      </c>
      <c r="U1147" s="2">
        <v>0.1645094100845523</v>
      </c>
      <c r="V1147" s="2">
        <v>0.26041068043455079</v>
      </c>
      <c r="W1147" s="2">
        <v>0.38956146302918732</v>
      </c>
      <c r="X1147" s="2">
        <v>0.55527619388416194</v>
      </c>
      <c r="Y1147" s="2">
        <v>0.75806193309641789</v>
      </c>
      <c r="Z1147" s="2">
        <v>0.99451623031174041</v>
      </c>
      <c r="AA1147" s="2">
        <v>1.2565968810106669</v>
      </c>
      <c r="AB1147" s="2">
        <v>1.5316582319061189</v>
      </c>
      <c r="AC1147" s="2">
        <v>1.8035838760670833</v>
      </c>
      <c r="AD1147" s="2">
        <v>2.0550848145325928</v>
      </c>
      <c r="AE1147" s="2">
        <v>2.2707937274968177</v>
      </c>
      <c r="AF1147" s="2">
        <v>2.4403229386018794</v>
      </c>
      <c r="AG1147" s="2">
        <v>2.5602324933244325</v>
      </c>
      <c r="AH1147" s="2">
        <v>2.6413490808031241</v>
      </c>
      <c r="AI1147" s="2">
        <v>2.6755919795708039</v>
      </c>
      <c r="AJ1147" s="2">
        <v>2.6983133966177033</v>
      </c>
      <c r="AK1147" s="2">
        <v>2.6882663294467983</v>
      </c>
      <c r="AL1147" s="2">
        <v>2.6675436454592849</v>
      </c>
      <c r="AM1147" s="2">
        <v>2.6469807036918565</v>
      </c>
      <c r="AN1147" s="2">
        <v>2.6265762727607371</v>
      </c>
      <c r="AO1147" s="2">
        <v>2.6063291307743541</v>
      </c>
      <c r="AP1147" s="2">
        <v>2.5862380652601709</v>
      </c>
      <c r="AQ1147" s="2">
        <v>2.5663018730920779</v>
      </c>
      <c r="AR1147" s="2">
        <v>43.592871148077364</v>
      </c>
    </row>
    <row r="1148" spans="1:44" x14ac:dyDescent="0.25">
      <c r="A1148" t="s">
        <v>435</v>
      </c>
      <c r="B1148" t="s">
        <v>471</v>
      </c>
      <c r="C1148" t="s">
        <v>44</v>
      </c>
      <c r="D1148" t="s">
        <v>472</v>
      </c>
      <c r="E1148" t="s">
        <v>145</v>
      </c>
      <c r="F1148" t="s">
        <v>472</v>
      </c>
      <c r="G1148" t="s">
        <v>33</v>
      </c>
      <c r="H1148" t="s">
        <v>457</v>
      </c>
      <c r="I1148" t="s">
        <v>135</v>
      </c>
      <c r="J1148" t="s">
        <v>39</v>
      </c>
      <c r="K1148" t="s">
        <v>33</v>
      </c>
      <c r="L1148">
        <v>8.3279735676544231E-2</v>
      </c>
      <c r="M1148">
        <v>1</v>
      </c>
      <c r="N1148">
        <v>3.5354592691557718</v>
      </c>
      <c r="O1148">
        <v>5.3471683850504306</v>
      </c>
      <c r="P1148">
        <v>-1.584987198022715</v>
      </c>
      <c r="Q1148">
        <v>0.81921972223879724</v>
      </c>
      <c r="R1148">
        <v>-1.8625523936223525</v>
      </c>
      <c r="S1148" s="2">
        <v>1.5182209268954845E-2</v>
      </c>
      <c r="T1148" s="2">
        <v>2.8347610732595622E-2</v>
      </c>
      <c r="U1148" s="2">
        <v>4.8134560196204199E-2</v>
      </c>
      <c r="V1148" s="2">
        <v>7.6194751210091477E-2</v>
      </c>
      <c r="W1148" s="2">
        <v>0.11398356898041406</v>
      </c>
      <c r="X1148" s="2">
        <v>0.16247079948982285</v>
      </c>
      <c r="Y1148" s="2">
        <v>0.22180480576962938</v>
      </c>
      <c r="Z1148" s="2">
        <v>0.29099004931960226</v>
      </c>
      <c r="AA1148" s="2">
        <v>0.36767342476204101</v>
      </c>
      <c r="AB1148" s="2">
        <v>0.44815488260400566</v>
      </c>
      <c r="AC1148" s="2">
        <v>0.52771884968060179</v>
      </c>
      <c r="AD1148" s="2">
        <v>0.60130665876549183</v>
      </c>
      <c r="AE1148" s="2">
        <v>0.6644219155194836</v>
      </c>
      <c r="AF1148" s="2">
        <v>0.71402524223956332</v>
      </c>
      <c r="AG1148" s="2">
        <v>0.74911012690923795</v>
      </c>
      <c r="AH1148" s="2">
        <v>0.77284439998758003</v>
      </c>
      <c r="AI1148" s="2">
        <v>0.78286368624712155</v>
      </c>
      <c r="AJ1148" s="2">
        <v>0.78951184951039588</v>
      </c>
      <c r="AK1148" s="2">
        <v>0.78657213220617195</v>
      </c>
      <c r="AL1148" s="2">
        <v>0.78050878738406593</v>
      </c>
      <c r="AM1148" s="2">
        <v>0.77449218226824557</v>
      </c>
      <c r="AN1148" s="2">
        <v>0.76852195656250322</v>
      </c>
      <c r="AO1148" s="2">
        <v>0.76259775274799968</v>
      </c>
      <c r="AP1148" s="2">
        <v>0.75671921606185344</v>
      </c>
      <c r="AQ1148" s="2">
        <v>0.75088599447589699</v>
      </c>
      <c r="AR1148" s="2">
        <v>12.755037412899574</v>
      </c>
    </row>
    <row r="1149" spans="1:44" x14ac:dyDescent="0.25">
      <c r="A1149" t="s">
        <v>435</v>
      </c>
      <c r="B1149" t="s">
        <v>471</v>
      </c>
      <c r="C1149" t="s">
        <v>44</v>
      </c>
      <c r="D1149" t="s">
        <v>472</v>
      </c>
      <c r="E1149" t="s">
        <v>145</v>
      </c>
      <c r="F1149" t="s">
        <v>472</v>
      </c>
      <c r="G1149" t="s">
        <v>33</v>
      </c>
      <c r="H1149" t="s">
        <v>457</v>
      </c>
      <c r="I1149" t="s">
        <v>256</v>
      </c>
      <c r="J1149" t="s">
        <v>39</v>
      </c>
      <c r="K1149" t="s">
        <v>33</v>
      </c>
      <c r="L1149">
        <v>8.3279735676544231E-2</v>
      </c>
      <c r="M1149">
        <v>1</v>
      </c>
      <c r="N1149">
        <v>1.749690553345449</v>
      </c>
      <c r="O1149">
        <v>2.6463011728329882</v>
      </c>
      <c r="P1149">
        <v>-0.12205024667384824</v>
      </c>
      <c r="Q1149">
        <v>1.3498045353129324</v>
      </c>
      <c r="R1149">
        <v>-0.39961544227348544</v>
      </c>
      <c r="S1149" s="2">
        <v>4.1752094201161931E-2</v>
      </c>
      <c r="T1149" s="2">
        <v>7.7957831611859998E-2</v>
      </c>
      <c r="U1149" s="2">
        <v>0.13237327032192645</v>
      </c>
      <c r="V1149" s="2">
        <v>0.20954067842175381</v>
      </c>
      <c r="W1149" s="2">
        <v>0.31346246288321017</v>
      </c>
      <c r="X1149" s="2">
        <v>0.4468056002302857</v>
      </c>
      <c r="Y1149" s="2">
        <v>0.60997809875410292</v>
      </c>
      <c r="Z1149" s="2">
        <v>0.80024216077935595</v>
      </c>
      <c r="AA1149" s="2">
        <v>1.0111265886262772</v>
      </c>
      <c r="AB1149" s="2">
        <v>1.2324559979195451</v>
      </c>
      <c r="AC1149" s="2">
        <v>1.4512622460453073</v>
      </c>
      <c r="AD1149" s="2">
        <v>1.653633658699466</v>
      </c>
      <c r="AE1149" s="2">
        <v>1.8272048497455371</v>
      </c>
      <c r="AF1149" s="2">
        <v>1.963617326560932</v>
      </c>
      <c r="AG1149" s="2">
        <v>2.0601031135643146</v>
      </c>
      <c r="AH1149" s="2">
        <v>2.1253739570764902</v>
      </c>
      <c r="AI1149" s="2">
        <v>2.1529276665746324</v>
      </c>
      <c r="AJ1149" s="2">
        <v>2.1712105616339517</v>
      </c>
      <c r="AK1149" s="2">
        <v>2.1631261417951522</v>
      </c>
      <c r="AL1149" s="2">
        <v>2.1464515366897956</v>
      </c>
      <c r="AM1149" s="2">
        <v>2.1299054689129142</v>
      </c>
      <c r="AN1149" s="2">
        <v>2.1134869476257614</v>
      </c>
      <c r="AO1149" s="2">
        <v>2.097194989627539</v>
      </c>
      <c r="AP1149" s="2">
        <v>2.0810286192965188</v>
      </c>
      <c r="AQ1149" s="2">
        <v>2.0649868685316211</v>
      </c>
      <c r="AR1149" s="2">
        <v>35.077208736129414</v>
      </c>
    </row>
    <row r="1150" spans="1:44" x14ac:dyDescent="0.25">
      <c r="A1150" t="s">
        <v>435</v>
      </c>
      <c r="B1150" t="s">
        <v>471</v>
      </c>
      <c r="C1150" t="s">
        <v>44</v>
      </c>
      <c r="D1150" t="s">
        <v>472</v>
      </c>
      <c r="E1150" t="s">
        <v>145</v>
      </c>
      <c r="F1150" t="s">
        <v>472</v>
      </c>
      <c r="G1150" t="s">
        <v>33</v>
      </c>
      <c r="H1150" t="s">
        <v>457</v>
      </c>
      <c r="I1150" t="s">
        <v>256</v>
      </c>
      <c r="J1150" t="s">
        <v>40</v>
      </c>
      <c r="K1150" t="s">
        <v>33</v>
      </c>
      <c r="L1150">
        <v>8.3279735676544231E-2</v>
      </c>
      <c r="M1150">
        <v>1</v>
      </c>
      <c r="N1150">
        <v>1.749690553345449</v>
      </c>
      <c r="O1150">
        <v>1.4737622038640097</v>
      </c>
      <c r="P1150">
        <v>-0.12205024667384824</v>
      </c>
      <c r="Q1150">
        <v>1.3498045353129324</v>
      </c>
      <c r="R1150">
        <v>-0.25661544227348537</v>
      </c>
      <c r="S1150" s="2">
        <v>0.38204767865608663</v>
      </c>
      <c r="T1150" s="2">
        <v>0.71334406501564973</v>
      </c>
      <c r="U1150" s="2">
        <v>1.2112662037728215</v>
      </c>
      <c r="V1150" s="2">
        <v>1.9173775904353252</v>
      </c>
      <c r="W1150" s="2">
        <v>2.8683017841777469</v>
      </c>
      <c r="X1150" s="2">
        <v>4.0884426432858927</v>
      </c>
      <c r="Y1150" s="2">
        <v>5.5815336001414941</v>
      </c>
      <c r="Z1150" s="2">
        <v>7.3225227557561778</v>
      </c>
      <c r="AA1150" s="2">
        <v>9.2521961689137644</v>
      </c>
      <c r="AB1150" s="2">
        <v>11.277445169153438</v>
      </c>
      <c r="AC1150" s="2">
        <v>13.279606276788817</v>
      </c>
      <c r="AD1150" s="2">
        <v>15.131382335215193</v>
      </c>
      <c r="AE1150" s="2">
        <v>16.719625317740324</v>
      </c>
      <c r="AF1150" s="2">
        <v>17.967851810427209</v>
      </c>
      <c r="AG1150" s="2">
        <v>18.850733774870616</v>
      </c>
      <c r="AH1150" s="2">
        <v>19.447987031859515</v>
      </c>
      <c r="AI1150" s="2">
        <v>19.700114043774438</v>
      </c>
      <c r="AJ1150" s="2">
        <v>19.867409547153791</v>
      </c>
      <c r="AK1150" s="2">
        <v>19.793434004326812</v>
      </c>
      <c r="AL1150" s="2">
        <v>19.640854970989817</v>
      </c>
      <c r="AM1150" s="2">
        <v>19.489452103517173</v>
      </c>
      <c r="AN1150" s="2">
        <v>19.339216335354248</v>
      </c>
      <c r="AO1150" s="2">
        <v>19.190138669836568</v>
      </c>
      <c r="AP1150" s="2">
        <v>19.042210179651061</v>
      </c>
      <c r="AQ1150" s="2">
        <v>18.895422006301466</v>
      </c>
      <c r="AR1150" s="2">
        <v>320.96991606711543</v>
      </c>
    </row>
    <row r="1151" spans="1:44" x14ac:dyDescent="0.25">
      <c r="A1151" t="s">
        <v>435</v>
      </c>
      <c r="B1151" t="s">
        <v>473</v>
      </c>
      <c r="C1151" t="s">
        <v>46</v>
      </c>
      <c r="D1151" t="s">
        <v>417</v>
      </c>
      <c r="E1151" t="s">
        <v>134</v>
      </c>
      <c r="F1151" t="s">
        <v>417</v>
      </c>
      <c r="G1151" t="s">
        <v>33</v>
      </c>
      <c r="H1151" t="s">
        <v>450</v>
      </c>
      <c r="I1151" t="s">
        <v>135</v>
      </c>
      <c r="J1151" t="s">
        <v>39</v>
      </c>
      <c r="K1151" t="s">
        <v>31</v>
      </c>
      <c r="L1151">
        <v>3.0101591572287867E-2</v>
      </c>
      <c r="M1151">
        <v>1</v>
      </c>
      <c r="N1151">
        <v>3.1960600759959026</v>
      </c>
      <c r="O1151">
        <v>2.8779545327574696</v>
      </c>
      <c r="P1151">
        <v>-0.57900269369997159</v>
      </c>
      <c r="Q1151">
        <v>0.48774336622694031</v>
      </c>
      <c r="R1151">
        <v>-0.52509153328775182</v>
      </c>
      <c r="S1151" s="2">
        <v>1.7816315715411455E-2</v>
      </c>
      <c r="T1151" s="2">
        <v>2.8757279896180619E-2</v>
      </c>
      <c r="U1151" s="2">
        <v>4.3313058881343978E-2</v>
      </c>
      <c r="V1151" s="2">
        <v>6.1555365467360075E-2</v>
      </c>
      <c r="W1151" s="2">
        <v>8.3086746102894959E-2</v>
      </c>
      <c r="X1151" s="2">
        <v>0.10688013856917185</v>
      </c>
      <c r="Y1151" s="2">
        <v>0.13117329740277636</v>
      </c>
      <c r="Z1151" s="2">
        <v>0.15349208221654631</v>
      </c>
      <c r="AA1151" s="2">
        <v>0.17088066296745272</v>
      </c>
      <c r="AB1151" s="2">
        <v>0.18038355140098972</v>
      </c>
      <c r="AC1151" s="2">
        <v>0.17974032486037311</v>
      </c>
      <c r="AD1151" s="2">
        <v>0.16812946315357863</v>
      </c>
      <c r="AE1151" s="2">
        <v>0.14668389460635628</v>
      </c>
      <c r="AF1151" s="2">
        <v>0.12037086485078775</v>
      </c>
      <c r="AG1151" s="2">
        <v>2.1569459061145282E-2</v>
      </c>
      <c r="AH1151" s="2">
        <v>0</v>
      </c>
      <c r="AI1151" s="2">
        <v>0</v>
      </c>
      <c r="AJ1151" s="2">
        <v>0</v>
      </c>
      <c r="AK1151" s="2">
        <v>0</v>
      </c>
      <c r="AL1151" s="2">
        <v>0</v>
      </c>
      <c r="AM1151" s="2">
        <v>0</v>
      </c>
      <c r="AN1151" s="2">
        <v>0</v>
      </c>
      <c r="AO1151" s="2">
        <v>0</v>
      </c>
      <c r="AP1151" s="2">
        <v>0</v>
      </c>
      <c r="AQ1151" s="2">
        <v>0</v>
      </c>
      <c r="AR1151" s="2">
        <v>1.6138325051523692</v>
      </c>
    </row>
    <row r="1152" spans="1:44" x14ac:dyDescent="0.25">
      <c r="A1152" t="s">
        <v>435</v>
      </c>
      <c r="B1152" t="s">
        <v>473</v>
      </c>
      <c r="C1152" t="s">
        <v>46</v>
      </c>
      <c r="D1152" t="s">
        <v>417</v>
      </c>
      <c r="E1152" t="s">
        <v>134</v>
      </c>
      <c r="F1152" t="s">
        <v>417</v>
      </c>
      <c r="G1152" t="s">
        <v>33</v>
      </c>
      <c r="H1152" t="s">
        <v>450</v>
      </c>
      <c r="I1152" t="s">
        <v>135</v>
      </c>
      <c r="J1152" t="s">
        <v>39</v>
      </c>
      <c r="K1152" t="s">
        <v>33</v>
      </c>
      <c r="L1152">
        <v>3.0101591572287867E-2</v>
      </c>
      <c r="M1152">
        <v>1</v>
      </c>
      <c r="N1152">
        <v>3.1960600759959026</v>
      </c>
      <c r="O1152">
        <v>2.8779545327574696</v>
      </c>
      <c r="P1152">
        <v>-0.57900269369997159</v>
      </c>
      <c r="Q1152">
        <v>0.48774336622694031</v>
      </c>
      <c r="R1152">
        <v>-0.52509153328775182</v>
      </c>
      <c r="S1152" s="2">
        <v>1.0976279815518738E-2</v>
      </c>
      <c r="T1152" s="2">
        <v>1.770444163359736E-2</v>
      </c>
      <c r="U1152" s="2">
        <v>2.6647130325722201E-2</v>
      </c>
      <c r="V1152" s="2">
        <v>3.784379353885884E-2</v>
      </c>
      <c r="W1152" s="2">
        <v>5.1045523448785837E-2</v>
      </c>
      <c r="X1152" s="2">
        <v>6.5617560273458039E-2</v>
      </c>
      <c r="Y1152" s="2">
        <v>8.0475867458882216E-2</v>
      </c>
      <c r="Z1152" s="2">
        <v>9.4102978258380543E-2</v>
      </c>
      <c r="AA1152" s="2">
        <v>0.10469054759801064</v>
      </c>
      <c r="AB1152" s="2">
        <v>0.11043548540762278</v>
      </c>
      <c r="AC1152" s="2">
        <v>0.10996497853448431</v>
      </c>
      <c r="AD1152" s="2">
        <v>0.10278976138915291</v>
      </c>
      <c r="AE1152" s="2">
        <v>8.9616014218140236E-2</v>
      </c>
      <c r="AF1152" s="2">
        <v>7.3488897645751172E-2</v>
      </c>
      <c r="AG1152" s="2">
        <v>2.3501726859193363E-3</v>
      </c>
      <c r="AH1152" s="2">
        <v>0</v>
      </c>
      <c r="AI1152" s="2">
        <v>0</v>
      </c>
      <c r="AJ1152" s="2">
        <v>0</v>
      </c>
      <c r="AK1152" s="2">
        <v>0</v>
      </c>
      <c r="AL1152" s="2">
        <v>0</v>
      </c>
      <c r="AM1152" s="2">
        <v>0</v>
      </c>
      <c r="AN1152" s="2">
        <v>0</v>
      </c>
      <c r="AO1152" s="2">
        <v>0</v>
      </c>
      <c r="AP1152" s="2">
        <v>0</v>
      </c>
      <c r="AQ1152" s="2">
        <v>0</v>
      </c>
      <c r="AR1152" s="2">
        <v>0.97774943223228516</v>
      </c>
    </row>
    <row r="1153" spans="1:44" x14ac:dyDescent="0.25">
      <c r="A1153" t="s">
        <v>435</v>
      </c>
      <c r="B1153" t="s">
        <v>473</v>
      </c>
      <c r="C1153" t="s">
        <v>46</v>
      </c>
      <c r="D1153" t="s">
        <v>417</v>
      </c>
      <c r="E1153" t="s">
        <v>134</v>
      </c>
      <c r="F1153" t="s">
        <v>417</v>
      </c>
      <c r="G1153" t="s">
        <v>33</v>
      </c>
      <c r="H1153" t="s">
        <v>450</v>
      </c>
      <c r="I1153" t="s">
        <v>256</v>
      </c>
      <c r="J1153" t="s">
        <v>40</v>
      </c>
      <c r="K1153" t="s">
        <v>33</v>
      </c>
      <c r="L1153">
        <v>3.0101591572287867E-2</v>
      </c>
      <c r="M1153">
        <v>1</v>
      </c>
      <c r="N1153">
        <v>2.9388016493259146</v>
      </c>
      <c r="O1153">
        <v>1.4737622038640097</v>
      </c>
      <c r="P1153">
        <v>-0.45352660268570494</v>
      </c>
      <c r="Q1153">
        <v>1.3498045353129324</v>
      </c>
      <c r="R1153">
        <v>-0.25661544227348532</v>
      </c>
      <c r="S1153" s="2">
        <v>0.28672242895034294</v>
      </c>
      <c r="T1153" s="2">
        <v>0.46279810447596531</v>
      </c>
      <c r="U1153" s="2">
        <v>0.69704789958260815</v>
      </c>
      <c r="V1153" s="2">
        <v>0.99062590625628377</v>
      </c>
      <c r="W1153" s="2">
        <v>1.3371358049967241</v>
      </c>
      <c r="X1153" s="2">
        <v>1.7200488264020672</v>
      </c>
      <c r="Y1153" s="2">
        <v>2.1110047130684881</v>
      </c>
      <c r="Z1153" s="2">
        <v>2.4701865043682809</v>
      </c>
      <c r="AA1153" s="2">
        <v>2.7500252874555349</v>
      </c>
      <c r="AB1153" s="2">
        <v>2.9029576499726031</v>
      </c>
      <c r="AC1153" s="2">
        <v>2.8926060442289203</v>
      </c>
      <c r="AD1153" s="2">
        <v>2.7057495401146099</v>
      </c>
      <c r="AE1153" s="2">
        <v>2.3606206367936085</v>
      </c>
      <c r="AF1153" s="2">
        <v>1.9371584617248838</v>
      </c>
      <c r="AG1153" s="2">
        <v>0.34712270437635734</v>
      </c>
      <c r="AH1153" s="2">
        <v>0</v>
      </c>
      <c r="AI1153" s="2">
        <v>0</v>
      </c>
      <c r="AJ1153" s="2">
        <v>0</v>
      </c>
      <c r="AK1153" s="2">
        <v>0</v>
      </c>
      <c r="AL1153" s="2">
        <v>0</v>
      </c>
      <c r="AM1153" s="2">
        <v>0</v>
      </c>
      <c r="AN1153" s="2">
        <v>0</v>
      </c>
      <c r="AO1153" s="2">
        <v>0</v>
      </c>
      <c r="AP1153" s="2">
        <v>0</v>
      </c>
      <c r="AQ1153" s="2">
        <v>0</v>
      </c>
      <c r="AR1153" s="2">
        <v>25.971810512767274</v>
      </c>
    </row>
    <row r="1154" spans="1:44" x14ac:dyDescent="0.25">
      <c r="A1154" t="s">
        <v>435</v>
      </c>
      <c r="B1154" t="s">
        <v>473</v>
      </c>
      <c r="C1154" t="s">
        <v>46</v>
      </c>
      <c r="D1154" t="s">
        <v>417</v>
      </c>
      <c r="E1154" t="s">
        <v>134</v>
      </c>
      <c r="F1154" t="s">
        <v>417</v>
      </c>
      <c r="G1154" t="s">
        <v>33</v>
      </c>
      <c r="H1154" t="s">
        <v>451</v>
      </c>
      <c r="I1154" t="s">
        <v>135</v>
      </c>
      <c r="J1154" t="s">
        <v>39</v>
      </c>
      <c r="K1154" t="s">
        <v>31</v>
      </c>
      <c r="L1154">
        <v>3.0101591572287867E-2</v>
      </c>
      <c r="M1154">
        <v>1</v>
      </c>
      <c r="N1154">
        <v>3.1960600759959026</v>
      </c>
      <c r="O1154">
        <v>2.8779545327574696</v>
      </c>
      <c r="P1154">
        <v>-0.57900269369997159</v>
      </c>
      <c r="Q1154">
        <v>0.48774336622694031</v>
      </c>
      <c r="R1154">
        <v>-0.52509153328775182</v>
      </c>
      <c r="S1154" s="2">
        <v>4.660441977985064E-3</v>
      </c>
      <c r="T1154" s="2">
        <v>7.5224101627753958E-3</v>
      </c>
      <c r="U1154" s="2">
        <v>1.1329951771731525E-2</v>
      </c>
      <c r="V1154" s="2">
        <v>1.6101825639862483E-2</v>
      </c>
      <c r="W1154" s="2">
        <v>2.1734064749266029E-2</v>
      </c>
      <c r="X1154" s="2">
        <v>2.7958007275867669E-2</v>
      </c>
      <c r="Y1154" s="2">
        <v>3.4312680094561288E-2</v>
      </c>
      <c r="Z1154" s="2">
        <v>4.0150890603692174E-2</v>
      </c>
      <c r="AA1154" s="2">
        <v>4.4699444466543149E-2</v>
      </c>
      <c r="AB1154" s="2">
        <v>4.7185236752400259E-2</v>
      </c>
      <c r="AC1154" s="2">
        <v>4.7016979744659272E-2</v>
      </c>
      <c r="AD1154" s="2">
        <v>4.3979777880745467E-2</v>
      </c>
      <c r="AE1154" s="2">
        <v>3.8369985738772143E-2</v>
      </c>
      <c r="AF1154" s="2">
        <v>3.1486949402884587E-2</v>
      </c>
      <c r="AG1154" s="2">
        <v>5.6421997710805437E-3</v>
      </c>
      <c r="AH1154" s="2">
        <v>0</v>
      </c>
      <c r="AI1154" s="2">
        <v>0</v>
      </c>
      <c r="AJ1154" s="2">
        <v>0</v>
      </c>
      <c r="AK1154" s="2">
        <v>0</v>
      </c>
      <c r="AL1154" s="2">
        <v>0</v>
      </c>
      <c r="AM1154" s="2">
        <v>0</v>
      </c>
      <c r="AN1154" s="2">
        <v>0</v>
      </c>
      <c r="AO1154" s="2">
        <v>0</v>
      </c>
      <c r="AP1154" s="2">
        <v>0</v>
      </c>
      <c r="AQ1154" s="2">
        <v>0</v>
      </c>
      <c r="AR1154" s="2">
        <v>0.4221508460328271</v>
      </c>
    </row>
    <row r="1155" spans="1:44" x14ac:dyDescent="0.25">
      <c r="A1155" t="s">
        <v>435</v>
      </c>
      <c r="B1155" t="s">
        <v>473</v>
      </c>
      <c r="C1155" t="s">
        <v>46</v>
      </c>
      <c r="D1155" t="s">
        <v>417</v>
      </c>
      <c r="E1155" t="s">
        <v>134</v>
      </c>
      <c r="F1155" t="s">
        <v>417</v>
      </c>
      <c r="G1155" t="s">
        <v>33</v>
      </c>
      <c r="H1155" t="s">
        <v>451</v>
      </c>
      <c r="I1155" t="s">
        <v>135</v>
      </c>
      <c r="J1155" t="s">
        <v>39</v>
      </c>
      <c r="K1155" t="s">
        <v>33</v>
      </c>
      <c r="L1155">
        <v>3.0101591572287867E-2</v>
      </c>
      <c r="M1155">
        <v>1</v>
      </c>
      <c r="N1155">
        <v>3.1960600759959026</v>
      </c>
      <c r="O1155">
        <v>2.8779545327574696</v>
      </c>
      <c r="P1155">
        <v>-0.57900269369997159</v>
      </c>
      <c r="Q1155">
        <v>0.48774336622694031</v>
      </c>
      <c r="R1155">
        <v>-0.52509153328775182</v>
      </c>
      <c r="S1155" s="2">
        <v>2.0994417896059811E-2</v>
      </c>
      <c r="T1155" s="2">
        <v>3.3887048329084499E-2</v>
      </c>
      <c r="U1155" s="2">
        <v>5.1039309868369152E-2</v>
      </c>
      <c r="V1155" s="2">
        <v>7.2535707550835882E-2</v>
      </c>
      <c r="W1155" s="2">
        <v>9.7907889440861942E-2</v>
      </c>
      <c r="X1155" s="2">
        <v>0.12594558435945147</v>
      </c>
      <c r="Y1155" s="2">
        <v>0.15457219474932418</v>
      </c>
      <c r="Z1155" s="2">
        <v>0.18087223920280218</v>
      </c>
      <c r="AA1155" s="2">
        <v>0.20136262210436484</v>
      </c>
      <c r="AB1155" s="2">
        <v>0.2125606505957848</v>
      </c>
      <c r="AC1155" s="2">
        <v>0.21180268430178489</v>
      </c>
      <c r="AD1155" s="2">
        <v>0.1981206589773829</v>
      </c>
      <c r="AE1155" s="2">
        <v>0.17284959646980061</v>
      </c>
      <c r="AF1155" s="2">
        <v>0.14184280743305258</v>
      </c>
      <c r="AG1155" s="2">
        <v>2.54170528045773E-2</v>
      </c>
      <c r="AH1155" s="2">
        <v>0</v>
      </c>
      <c r="AI1155" s="2">
        <v>0</v>
      </c>
      <c r="AJ1155" s="2">
        <v>0</v>
      </c>
      <c r="AK1155" s="2">
        <v>0</v>
      </c>
      <c r="AL1155" s="2">
        <v>0</v>
      </c>
      <c r="AM1155" s="2">
        <v>0</v>
      </c>
      <c r="AN1155" s="2">
        <v>0</v>
      </c>
      <c r="AO1155" s="2">
        <v>0</v>
      </c>
      <c r="AP1155" s="2">
        <v>0</v>
      </c>
      <c r="AQ1155" s="2">
        <v>0</v>
      </c>
      <c r="AR1155" s="2">
        <v>1.9017104640835369</v>
      </c>
    </row>
    <row r="1156" spans="1:44" x14ac:dyDescent="0.25">
      <c r="A1156" t="s">
        <v>435</v>
      </c>
      <c r="B1156" t="s">
        <v>473</v>
      </c>
      <c r="C1156" t="s">
        <v>46</v>
      </c>
      <c r="D1156" t="s">
        <v>417</v>
      </c>
      <c r="E1156" t="s">
        <v>134</v>
      </c>
      <c r="F1156" t="s">
        <v>417</v>
      </c>
      <c r="G1156" t="s">
        <v>33</v>
      </c>
      <c r="H1156" t="s">
        <v>452</v>
      </c>
      <c r="I1156" t="s">
        <v>135</v>
      </c>
      <c r="J1156" t="s">
        <v>39</v>
      </c>
      <c r="K1156" t="s">
        <v>31</v>
      </c>
      <c r="L1156">
        <v>3.0101591572287867E-2</v>
      </c>
      <c r="M1156">
        <v>1</v>
      </c>
      <c r="N1156">
        <v>3.1960600759959026</v>
      </c>
      <c r="O1156">
        <v>2.8779545327574696</v>
      </c>
      <c r="P1156">
        <v>-0.57900269369997159</v>
      </c>
      <c r="Q1156">
        <v>0.48774336622694031</v>
      </c>
      <c r="R1156">
        <v>-0.52509153328775182</v>
      </c>
      <c r="S1156" s="2">
        <v>0.10555582426882594</v>
      </c>
      <c r="T1156" s="2">
        <v>0.17037744681101036</v>
      </c>
      <c r="U1156" s="2">
        <v>0.25661566088378396</v>
      </c>
      <c r="V1156" s="2">
        <v>0.3646953412739275</v>
      </c>
      <c r="W1156" s="2">
        <v>0.49226170611240749</v>
      </c>
      <c r="X1156" s="2">
        <v>0.63322974877888349</v>
      </c>
      <c r="Y1156" s="2">
        <v>0.77715874317565903</v>
      </c>
      <c r="Z1156" s="2">
        <v>0.90939021938699272</v>
      </c>
      <c r="AA1156" s="2">
        <v>1.0124118543504577</v>
      </c>
      <c r="AB1156" s="2">
        <v>1.06871334998847</v>
      </c>
      <c r="AC1156" s="2">
        <v>1.0649024438072532</v>
      </c>
      <c r="AD1156" s="2">
        <v>0.99611189824727109</v>
      </c>
      <c r="AE1156" s="2">
        <v>0.86905394187318641</v>
      </c>
      <c r="AF1156" s="2">
        <v>0.71315787507545969</v>
      </c>
      <c r="AG1156" s="2">
        <v>0.12779196701495679</v>
      </c>
      <c r="AH1156" s="2">
        <v>0</v>
      </c>
      <c r="AI1156" s="2">
        <v>0</v>
      </c>
      <c r="AJ1156" s="2">
        <v>0</v>
      </c>
      <c r="AK1156" s="2">
        <v>0</v>
      </c>
      <c r="AL1156" s="2">
        <v>0</v>
      </c>
      <c r="AM1156" s="2">
        <v>0</v>
      </c>
      <c r="AN1156" s="2">
        <v>0</v>
      </c>
      <c r="AO1156" s="2">
        <v>0</v>
      </c>
      <c r="AP1156" s="2">
        <v>0</v>
      </c>
      <c r="AQ1156" s="2">
        <v>0</v>
      </c>
      <c r="AR1156" s="2">
        <v>9.5614280210485454</v>
      </c>
    </row>
    <row r="1157" spans="1:44" x14ac:dyDescent="0.25">
      <c r="A1157" t="s">
        <v>435</v>
      </c>
      <c r="B1157" t="s">
        <v>473</v>
      </c>
      <c r="C1157" t="s">
        <v>46</v>
      </c>
      <c r="D1157" t="s">
        <v>417</v>
      </c>
      <c r="E1157" t="s">
        <v>134</v>
      </c>
      <c r="F1157" t="s">
        <v>417</v>
      </c>
      <c r="G1157" t="s">
        <v>33</v>
      </c>
      <c r="H1157" t="s">
        <v>452</v>
      </c>
      <c r="I1157" t="s">
        <v>135</v>
      </c>
      <c r="J1157" t="s">
        <v>39</v>
      </c>
      <c r="K1157" t="s">
        <v>33</v>
      </c>
      <c r="L1157">
        <v>3.0101591572287867E-2</v>
      </c>
      <c r="M1157">
        <v>1</v>
      </c>
      <c r="N1157">
        <v>3.1960600759959026</v>
      </c>
      <c r="O1157">
        <v>2.8779545327574696</v>
      </c>
      <c r="P1157">
        <v>-0.57900269369997159</v>
      </c>
      <c r="Q1157">
        <v>0.48774336622694031</v>
      </c>
      <c r="R1157">
        <v>-0.52509153328775182</v>
      </c>
      <c r="S1157" s="2">
        <v>0.20873314074171503</v>
      </c>
      <c r="T1157" s="2">
        <v>0.33691574890121651</v>
      </c>
      <c r="U1157" s="2">
        <v>0.50744895633013731</v>
      </c>
      <c r="V1157" s="2">
        <v>0.72117293882437516</v>
      </c>
      <c r="W1157" s="2">
        <v>0.9734311933563643</v>
      </c>
      <c r="X1157" s="2">
        <v>1.2521908212007535</v>
      </c>
      <c r="Y1157" s="2">
        <v>1.5368056328640471</v>
      </c>
      <c r="Z1157" s="2">
        <v>1.798288990373639</v>
      </c>
      <c r="AA1157" s="2">
        <v>2.0020108558341825</v>
      </c>
      <c r="AB1157" s="2">
        <v>2.1133451956906808</v>
      </c>
      <c r="AC1157" s="2">
        <v>2.1058092551418062</v>
      </c>
      <c r="AD1157" s="2">
        <v>1.9697782333812019</v>
      </c>
      <c r="AE1157" s="2">
        <v>1.7185253397214155</v>
      </c>
      <c r="AF1157" s="2">
        <v>1.4102460393855447</v>
      </c>
      <c r="AG1157" s="2">
        <v>0.2527043753517586</v>
      </c>
      <c r="AH1157" s="2">
        <v>0</v>
      </c>
      <c r="AI1157" s="2">
        <v>0</v>
      </c>
      <c r="AJ1157" s="2">
        <v>0</v>
      </c>
      <c r="AK1157" s="2">
        <v>0</v>
      </c>
      <c r="AL1157" s="2">
        <v>0</v>
      </c>
      <c r="AM1157" s="2">
        <v>0</v>
      </c>
      <c r="AN1157" s="2">
        <v>0</v>
      </c>
      <c r="AO1157" s="2">
        <v>0</v>
      </c>
      <c r="AP1157" s="2">
        <v>0</v>
      </c>
      <c r="AQ1157" s="2">
        <v>0</v>
      </c>
      <c r="AR1157" s="2">
        <v>18.907406717098837</v>
      </c>
    </row>
    <row r="1158" spans="1:44" x14ac:dyDescent="0.25">
      <c r="A1158" t="s">
        <v>435</v>
      </c>
      <c r="B1158" t="s">
        <v>473</v>
      </c>
      <c r="C1158" t="s">
        <v>46</v>
      </c>
      <c r="D1158" t="s">
        <v>417</v>
      </c>
      <c r="E1158" t="s">
        <v>134</v>
      </c>
      <c r="F1158" t="s">
        <v>417</v>
      </c>
      <c r="G1158" t="s">
        <v>33</v>
      </c>
      <c r="H1158" t="s">
        <v>452</v>
      </c>
      <c r="I1158" t="s">
        <v>135</v>
      </c>
      <c r="J1158" t="s">
        <v>40</v>
      </c>
      <c r="K1158" t="s">
        <v>33</v>
      </c>
      <c r="L1158">
        <v>3.0101591572287867E-2</v>
      </c>
      <c r="M1158">
        <v>1</v>
      </c>
      <c r="N1158">
        <v>3.1960600759959026</v>
      </c>
      <c r="O1158">
        <v>1.705415563788492</v>
      </c>
      <c r="P1158">
        <v>-0.57900269369997159</v>
      </c>
      <c r="Q1158">
        <v>1.3498045353129324</v>
      </c>
      <c r="R1158">
        <v>-0.38209153328775192</v>
      </c>
      <c r="S1158" s="2">
        <v>1.528398706797349E-2</v>
      </c>
      <c r="T1158" s="2">
        <v>2.4669853243738851E-2</v>
      </c>
      <c r="U1158" s="2">
        <v>3.7156741179894801E-2</v>
      </c>
      <c r="V1158" s="2">
        <v>5.2806170747956238E-2</v>
      </c>
      <c r="W1158" s="2">
        <v>7.1277180604638599E-2</v>
      </c>
      <c r="X1158" s="2">
        <v>9.1688690400865622E-2</v>
      </c>
      <c r="Y1158" s="2">
        <v>0.11252893208629214</v>
      </c>
      <c r="Z1158" s="2">
        <v>0.13167542813606001</v>
      </c>
      <c r="AA1158" s="2">
        <v>0.14659247650747909</v>
      </c>
      <c r="AB1158" s="2">
        <v>0.15474466836614359</v>
      </c>
      <c r="AC1158" s="2">
        <v>0.15419286706863641</v>
      </c>
      <c r="AD1158" s="2">
        <v>0.14423231950036625</v>
      </c>
      <c r="AE1158" s="2">
        <v>0.12583492479897157</v>
      </c>
      <c r="AF1158" s="2">
        <v>0.10326190729482913</v>
      </c>
      <c r="AG1158" s="2">
        <v>1.8503675991134939E-2</v>
      </c>
      <c r="AH1158" s="2">
        <v>0</v>
      </c>
      <c r="AI1158" s="2">
        <v>0</v>
      </c>
      <c r="AJ1158" s="2">
        <v>0</v>
      </c>
      <c r="AK1158" s="2">
        <v>0</v>
      </c>
      <c r="AL1158" s="2">
        <v>0</v>
      </c>
      <c r="AM1158" s="2">
        <v>0</v>
      </c>
      <c r="AN1158" s="2">
        <v>0</v>
      </c>
      <c r="AO1158" s="2">
        <v>0</v>
      </c>
      <c r="AP1158" s="2">
        <v>0</v>
      </c>
      <c r="AQ1158" s="2">
        <v>0</v>
      </c>
      <c r="AR1158" s="2">
        <v>1.3844498229949807</v>
      </c>
    </row>
    <row r="1159" spans="1:44" x14ac:dyDescent="0.25">
      <c r="A1159" t="s">
        <v>435</v>
      </c>
      <c r="B1159" t="s">
        <v>473</v>
      </c>
      <c r="C1159" t="s">
        <v>46</v>
      </c>
      <c r="D1159" t="s">
        <v>417</v>
      </c>
      <c r="E1159" t="s">
        <v>134</v>
      </c>
      <c r="F1159" t="s">
        <v>417</v>
      </c>
      <c r="G1159" t="s">
        <v>33</v>
      </c>
      <c r="H1159" t="s">
        <v>452</v>
      </c>
      <c r="I1159" t="s">
        <v>256</v>
      </c>
      <c r="J1159" t="s">
        <v>40</v>
      </c>
      <c r="K1159" t="s">
        <v>33</v>
      </c>
      <c r="L1159">
        <v>3.0101591572287867E-2</v>
      </c>
      <c r="M1159">
        <v>1</v>
      </c>
      <c r="N1159">
        <v>2.9388016493259146</v>
      </c>
      <c r="O1159">
        <v>1.4737622038640097</v>
      </c>
      <c r="P1159">
        <v>-0.45352660268570494</v>
      </c>
      <c r="Q1159">
        <v>1.3498045353129324</v>
      </c>
      <c r="R1159">
        <v>-0.25661544227348532</v>
      </c>
      <c r="S1159" s="2">
        <v>9.2164160957840371E-2</v>
      </c>
      <c r="T1159" s="2">
        <v>0.14876198959410103</v>
      </c>
      <c r="U1159" s="2">
        <v>0.22405932820687069</v>
      </c>
      <c r="V1159" s="2">
        <v>0.31842714854031445</v>
      </c>
      <c r="W1159" s="2">
        <v>0.42980941534766576</v>
      </c>
      <c r="X1159" s="2">
        <v>0.55289311503188898</v>
      </c>
      <c r="Y1159" s="2">
        <v>0.67856211622600038</v>
      </c>
      <c r="Z1159" s="2">
        <v>0.79401764074728842</v>
      </c>
      <c r="AA1159" s="2">
        <v>0.88396912009656037</v>
      </c>
      <c r="AB1159" s="2">
        <v>0.93312775385355506</v>
      </c>
      <c r="AC1159" s="2">
        <v>0.92980032997037443</v>
      </c>
      <c r="AD1159" s="2">
        <v>0.86973710790485115</v>
      </c>
      <c r="AE1159" s="2">
        <v>0.75879874876313047</v>
      </c>
      <c r="AF1159" s="2">
        <v>0.62268091450276852</v>
      </c>
      <c r="AG1159" s="2">
        <v>0.11157924727194778</v>
      </c>
      <c r="AH1159" s="2">
        <v>0</v>
      </c>
      <c r="AI1159" s="2">
        <v>0</v>
      </c>
      <c r="AJ1159" s="2">
        <v>0</v>
      </c>
      <c r="AK1159" s="2">
        <v>0</v>
      </c>
      <c r="AL1159" s="2">
        <v>0</v>
      </c>
      <c r="AM1159" s="2">
        <v>0</v>
      </c>
      <c r="AN1159" s="2">
        <v>0</v>
      </c>
      <c r="AO1159" s="2">
        <v>0</v>
      </c>
      <c r="AP1159" s="2">
        <v>0</v>
      </c>
      <c r="AQ1159" s="2">
        <v>0</v>
      </c>
      <c r="AR1159" s="2">
        <v>8.3483881370151583</v>
      </c>
    </row>
    <row r="1160" spans="1:44" x14ac:dyDescent="0.25">
      <c r="A1160" t="s">
        <v>435</v>
      </c>
      <c r="B1160" t="s">
        <v>473</v>
      </c>
      <c r="C1160" t="s">
        <v>46</v>
      </c>
      <c r="D1160" t="s">
        <v>417</v>
      </c>
      <c r="E1160" t="s">
        <v>134</v>
      </c>
      <c r="F1160" t="s">
        <v>417</v>
      </c>
      <c r="G1160" t="s">
        <v>33</v>
      </c>
      <c r="H1160" t="s">
        <v>453</v>
      </c>
      <c r="I1160" t="s">
        <v>135</v>
      </c>
      <c r="J1160" t="s">
        <v>39</v>
      </c>
      <c r="K1160" t="s">
        <v>31</v>
      </c>
      <c r="L1160">
        <v>3.0101591572287867E-2</v>
      </c>
      <c r="M1160">
        <v>1</v>
      </c>
      <c r="N1160">
        <v>3.1960600759959026</v>
      </c>
      <c r="O1160">
        <v>2.8779545327574696</v>
      </c>
      <c r="P1160">
        <v>-0.57900269369997159</v>
      </c>
      <c r="Q1160">
        <v>0.48774336622694031</v>
      </c>
      <c r="R1160">
        <v>-0.52509153328775182</v>
      </c>
      <c r="S1160" s="2">
        <v>3.2282124946507104E-2</v>
      </c>
      <c r="T1160" s="2">
        <v>5.2106513914498165E-2</v>
      </c>
      <c r="U1160" s="2">
        <v>7.8480736475356874E-2</v>
      </c>
      <c r="V1160" s="2">
        <v>0.11153473203364454</v>
      </c>
      <c r="W1160" s="2">
        <v>0.15054833793567088</v>
      </c>
      <c r="X1160" s="2">
        <v>0.19366057734402445</v>
      </c>
      <c r="Y1160" s="2">
        <v>0.23767836426129299</v>
      </c>
      <c r="Z1160" s="2">
        <v>0.27811870060923288</v>
      </c>
      <c r="AA1160" s="2">
        <v>0.30962579474753549</v>
      </c>
      <c r="AB1160" s="2">
        <v>0.32684447433676128</v>
      </c>
      <c r="AC1160" s="2">
        <v>0.32567898536110662</v>
      </c>
      <c r="AD1160" s="2">
        <v>0.30464078114747534</v>
      </c>
      <c r="AE1160" s="2">
        <v>0.26578266174451398</v>
      </c>
      <c r="AF1160" s="2">
        <v>0.21810498652484783</v>
      </c>
      <c r="AG1160" s="2">
        <v>3.9082601788323658E-2</v>
      </c>
      <c r="AH1160" s="2">
        <v>0</v>
      </c>
      <c r="AI1160" s="2">
        <v>0</v>
      </c>
      <c r="AJ1160" s="2">
        <v>0</v>
      </c>
      <c r="AK1160" s="2">
        <v>0</v>
      </c>
      <c r="AL1160" s="2">
        <v>0</v>
      </c>
      <c r="AM1160" s="2">
        <v>0</v>
      </c>
      <c r="AN1160" s="2">
        <v>0</v>
      </c>
      <c r="AO1160" s="2">
        <v>0</v>
      </c>
      <c r="AP1160" s="2">
        <v>0</v>
      </c>
      <c r="AQ1160" s="2">
        <v>0</v>
      </c>
      <c r="AR1160" s="2">
        <v>2.9241703731707918</v>
      </c>
    </row>
    <row r="1161" spans="1:44" x14ac:dyDescent="0.25">
      <c r="A1161" t="s">
        <v>435</v>
      </c>
      <c r="B1161" t="s">
        <v>473</v>
      </c>
      <c r="C1161" t="s">
        <v>46</v>
      </c>
      <c r="D1161" t="s">
        <v>417</v>
      </c>
      <c r="E1161" t="s">
        <v>134</v>
      </c>
      <c r="F1161" t="s">
        <v>417</v>
      </c>
      <c r="G1161" t="s">
        <v>33</v>
      </c>
      <c r="H1161" t="s">
        <v>453</v>
      </c>
      <c r="I1161" t="s">
        <v>135</v>
      </c>
      <c r="J1161" t="s">
        <v>39</v>
      </c>
      <c r="K1161" t="s">
        <v>33</v>
      </c>
      <c r="L1161">
        <v>3.0101591572287867E-2</v>
      </c>
      <c r="M1161">
        <v>1</v>
      </c>
      <c r="N1161">
        <v>3.1960600759959026</v>
      </c>
      <c r="O1161">
        <v>2.8779545327574696</v>
      </c>
      <c r="P1161">
        <v>-0.57900269369997159</v>
      </c>
      <c r="Q1161">
        <v>0.48774336622694031</v>
      </c>
      <c r="R1161">
        <v>-0.52509153328775182</v>
      </c>
      <c r="S1161" s="2">
        <v>2.9372986514750878E-2</v>
      </c>
      <c r="T1161" s="2">
        <v>4.7410879335774189E-2</v>
      </c>
      <c r="U1161" s="2">
        <v>7.1408360446476651E-2</v>
      </c>
      <c r="V1161" s="2">
        <v>0.10148365962213605</v>
      </c>
      <c r="W1161" s="2">
        <v>0.13698151244164242</v>
      </c>
      <c r="X1161" s="2">
        <v>0.17620864599808134</v>
      </c>
      <c r="Y1161" s="2">
        <v>0.21625972267511398</v>
      </c>
      <c r="Z1161" s="2">
        <v>0.25305573459094521</v>
      </c>
      <c r="AA1161" s="2">
        <v>0.28172353303286535</v>
      </c>
      <c r="AB1161" s="2">
        <v>0.29739053278006972</v>
      </c>
      <c r="AC1161" s="2">
        <v>0.29633007309776183</v>
      </c>
      <c r="AD1161" s="2">
        <v>0.27718774929827394</v>
      </c>
      <c r="AE1161" s="2">
        <v>0.24183137114463388</v>
      </c>
      <c r="AF1161" s="2">
        <v>0.19845022093836615</v>
      </c>
      <c r="AG1161" s="2">
        <v>3.5560631067256099E-2</v>
      </c>
      <c r="AH1161" s="2">
        <v>0</v>
      </c>
      <c r="AI1161" s="2">
        <v>0</v>
      </c>
      <c r="AJ1161" s="2">
        <v>0</v>
      </c>
      <c r="AK1161" s="2">
        <v>0</v>
      </c>
      <c r="AL1161" s="2">
        <v>0</v>
      </c>
      <c r="AM1161" s="2">
        <v>0</v>
      </c>
      <c r="AN1161" s="2">
        <v>0</v>
      </c>
      <c r="AO1161" s="2">
        <v>0</v>
      </c>
      <c r="AP1161" s="2">
        <v>0</v>
      </c>
      <c r="AQ1161" s="2">
        <v>0</v>
      </c>
      <c r="AR1161" s="2">
        <v>2.6606556129841477</v>
      </c>
    </row>
    <row r="1162" spans="1:44" x14ac:dyDescent="0.25">
      <c r="A1162" t="s">
        <v>435</v>
      </c>
      <c r="B1162" t="s">
        <v>473</v>
      </c>
      <c r="C1162" t="s">
        <v>46</v>
      </c>
      <c r="D1162" t="s">
        <v>417</v>
      </c>
      <c r="E1162" t="s">
        <v>134</v>
      </c>
      <c r="F1162" t="s">
        <v>417</v>
      </c>
      <c r="G1162" t="s">
        <v>33</v>
      </c>
      <c r="H1162" t="s">
        <v>453</v>
      </c>
      <c r="I1162" t="s">
        <v>135</v>
      </c>
      <c r="J1162" t="s">
        <v>40</v>
      </c>
      <c r="K1162" t="s">
        <v>33</v>
      </c>
      <c r="L1162">
        <v>3.0101591572287867E-2</v>
      </c>
      <c r="M1162">
        <v>1</v>
      </c>
      <c r="N1162">
        <v>3.1960600759959026</v>
      </c>
      <c r="O1162">
        <v>1.705415563788492</v>
      </c>
      <c r="P1162">
        <v>-0.57900269369997159</v>
      </c>
      <c r="Q1162">
        <v>1.3498045353129324</v>
      </c>
      <c r="R1162">
        <v>-0.38209153328775192</v>
      </c>
      <c r="S1162" s="2">
        <v>0.59816960029143307</v>
      </c>
      <c r="T1162" s="2">
        <v>0.96550436665687278</v>
      </c>
      <c r="U1162" s="2">
        <v>1.4542038619152575</v>
      </c>
      <c r="V1162" s="2">
        <v>2.0666757900766983</v>
      </c>
      <c r="W1162" s="2">
        <v>2.7895759426228079</v>
      </c>
      <c r="X1162" s="2">
        <v>3.5884214664938678</v>
      </c>
      <c r="Y1162" s="2">
        <v>4.4040462758781969</v>
      </c>
      <c r="Z1162" s="2">
        <v>5.1533829403320555</v>
      </c>
      <c r="AA1162" s="2">
        <v>5.737191656092949</v>
      </c>
      <c r="AB1162" s="2">
        <v>6.0562440946948213</v>
      </c>
      <c r="AC1162" s="2">
        <v>6.0346482401509629</v>
      </c>
      <c r="AD1162" s="2">
        <v>5.6448221606667213</v>
      </c>
      <c r="AE1162" s="2">
        <v>4.9248030854087537</v>
      </c>
      <c r="AF1162" s="2">
        <v>4.0413626063129611</v>
      </c>
      <c r="AG1162" s="2">
        <v>0.72417860747422302</v>
      </c>
      <c r="AH1162" s="2">
        <v>0</v>
      </c>
      <c r="AI1162" s="2">
        <v>0</v>
      </c>
      <c r="AJ1162" s="2">
        <v>0</v>
      </c>
      <c r="AK1162" s="2">
        <v>0</v>
      </c>
      <c r="AL1162" s="2">
        <v>0</v>
      </c>
      <c r="AM1162" s="2">
        <v>0</v>
      </c>
      <c r="AN1162" s="2">
        <v>0</v>
      </c>
      <c r="AO1162" s="2">
        <v>0</v>
      </c>
      <c r="AP1162" s="2">
        <v>0</v>
      </c>
      <c r="AQ1162" s="2">
        <v>0</v>
      </c>
      <c r="AR1162" s="2">
        <v>54.18323069506858</v>
      </c>
    </row>
    <row r="1163" spans="1:44" x14ac:dyDescent="0.25">
      <c r="A1163" t="s">
        <v>435</v>
      </c>
      <c r="B1163" t="s">
        <v>473</v>
      </c>
      <c r="C1163" t="s">
        <v>46</v>
      </c>
      <c r="D1163" t="s">
        <v>417</v>
      </c>
      <c r="E1163" t="s">
        <v>134</v>
      </c>
      <c r="F1163" t="s">
        <v>417</v>
      </c>
      <c r="G1163" t="s">
        <v>33</v>
      </c>
      <c r="H1163" t="s">
        <v>453</v>
      </c>
      <c r="I1163" t="s">
        <v>256</v>
      </c>
      <c r="J1163" t="s">
        <v>40</v>
      </c>
      <c r="K1163" t="s">
        <v>33</v>
      </c>
      <c r="L1163">
        <v>3.0101591572287867E-2</v>
      </c>
      <c r="M1163">
        <v>1</v>
      </c>
      <c r="N1163">
        <v>2.9388016493259146</v>
      </c>
      <c r="O1163">
        <v>1.4737622038640097</v>
      </c>
      <c r="P1163">
        <v>-0.45352660268570494</v>
      </c>
      <c r="Q1163">
        <v>1.3498045353129324</v>
      </c>
      <c r="R1163">
        <v>-0.25661544227348532</v>
      </c>
      <c r="S1163" s="2">
        <v>0.30793605995095324</v>
      </c>
      <c r="T1163" s="2">
        <v>0.49703898424277049</v>
      </c>
      <c r="U1163" s="2">
        <v>0.74862013613776401</v>
      </c>
      <c r="V1163" s="2">
        <v>1.0639189950177685</v>
      </c>
      <c r="W1163" s="2">
        <v>1.4360659991526095</v>
      </c>
      <c r="X1163" s="2">
        <v>1.8473094709212505</v>
      </c>
      <c r="Y1163" s="2">
        <v>2.2671908725800622</v>
      </c>
      <c r="Z1163" s="2">
        <v>2.6529473201098064</v>
      </c>
      <c r="AA1163" s="2">
        <v>2.953490436324417</v>
      </c>
      <c r="AB1163" s="2">
        <v>3.1177377514887743</v>
      </c>
      <c r="AC1163" s="2">
        <v>3.1066202651500006</v>
      </c>
      <c r="AD1163" s="2">
        <v>2.9059388749154924</v>
      </c>
      <c r="AE1163" s="2">
        <v>2.5352750414200367</v>
      </c>
      <c r="AF1163" s="2">
        <v>2.0804823200891644</v>
      </c>
      <c r="AG1163" s="2">
        <v>0.37280514920472529</v>
      </c>
      <c r="AH1163" s="2">
        <v>0</v>
      </c>
      <c r="AI1163" s="2">
        <v>0</v>
      </c>
      <c r="AJ1163" s="2">
        <v>0</v>
      </c>
      <c r="AK1163" s="2">
        <v>0</v>
      </c>
      <c r="AL1163" s="2">
        <v>0</v>
      </c>
      <c r="AM1163" s="2">
        <v>0</v>
      </c>
      <c r="AN1163" s="2">
        <v>0</v>
      </c>
      <c r="AO1163" s="2">
        <v>0</v>
      </c>
      <c r="AP1163" s="2">
        <v>0</v>
      </c>
      <c r="AQ1163" s="2">
        <v>0</v>
      </c>
      <c r="AR1163" s="2">
        <v>27.893377676705601</v>
      </c>
    </row>
    <row r="1164" spans="1:44" x14ac:dyDescent="0.25">
      <c r="A1164" t="s">
        <v>435</v>
      </c>
      <c r="B1164" t="s">
        <v>473</v>
      </c>
      <c r="C1164" t="s">
        <v>46</v>
      </c>
      <c r="D1164" t="s">
        <v>417</v>
      </c>
      <c r="E1164" t="s">
        <v>134</v>
      </c>
      <c r="F1164" t="s">
        <v>417</v>
      </c>
      <c r="G1164" t="s">
        <v>33</v>
      </c>
      <c r="H1164" t="s">
        <v>454</v>
      </c>
      <c r="I1164" t="s">
        <v>135</v>
      </c>
      <c r="J1164" t="s">
        <v>39</v>
      </c>
      <c r="K1164" t="s">
        <v>31</v>
      </c>
      <c r="L1164">
        <v>3.0101591572287867E-2</v>
      </c>
      <c r="M1164">
        <v>1</v>
      </c>
      <c r="N1164">
        <v>3.1960600759959026</v>
      </c>
      <c r="O1164">
        <v>2.8779545327574696</v>
      </c>
      <c r="P1164">
        <v>-0.57900269369997159</v>
      </c>
      <c r="Q1164">
        <v>0.48774336622694031</v>
      </c>
      <c r="R1164">
        <v>-0.52509153328775182</v>
      </c>
      <c r="S1164" s="2">
        <v>1.7775864179664369E-3</v>
      </c>
      <c r="T1164" s="2">
        <v>2.8691987152479233E-3</v>
      </c>
      <c r="U1164" s="2">
        <v>4.3214717575675559E-3</v>
      </c>
      <c r="V1164" s="2">
        <v>6.1415605423454141E-3</v>
      </c>
      <c r="W1164" s="2">
        <v>8.2898099553643297E-3</v>
      </c>
      <c r="X1164" s="2">
        <v>1.0663746966865138E-2</v>
      </c>
      <c r="Y1164" s="2">
        <v>1.3087547144292534E-2</v>
      </c>
      <c r="Z1164" s="2">
        <v>1.5314358196824262E-2</v>
      </c>
      <c r="AA1164" s="2">
        <v>1.7049268234581753E-2</v>
      </c>
      <c r="AB1164" s="2">
        <v>1.7997399468936432E-2</v>
      </c>
      <c r="AC1164" s="2">
        <v>1.7933222857983884E-2</v>
      </c>
      <c r="AD1164" s="2">
        <v>1.6774772906794983E-2</v>
      </c>
      <c r="AE1164" s="2">
        <v>1.4635085219169709E-2</v>
      </c>
      <c r="AF1164" s="2">
        <v>1.2009756556600873E-2</v>
      </c>
      <c r="AG1164" s="2">
        <v>2.1520486099608671E-3</v>
      </c>
      <c r="AH1164" s="2">
        <v>0</v>
      </c>
      <c r="AI1164" s="2">
        <v>0</v>
      </c>
      <c r="AJ1164" s="2">
        <v>0</v>
      </c>
      <c r="AK1164" s="2">
        <v>0</v>
      </c>
      <c r="AL1164" s="2">
        <v>0</v>
      </c>
      <c r="AM1164" s="2">
        <v>0</v>
      </c>
      <c r="AN1164" s="2">
        <v>0</v>
      </c>
      <c r="AO1164" s="2">
        <v>0</v>
      </c>
      <c r="AP1164" s="2">
        <v>0</v>
      </c>
      <c r="AQ1164" s="2">
        <v>0</v>
      </c>
      <c r="AR1164" s="2">
        <v>0.16101683355050209</v>
      </c>
    </row>
    <row r="1165" spans="1:44" x14ac:dyDescent="0.25">
      <c r="A1165" t="s">
        <v>435</v>
      </c>
      <c r="B1165" t="s">
        <v>473</v>
      </c>
      <c r="C1165" t="s">
        <v>46</v>
      </c>
      <c r="D1165" t="s">
        <v>417</v>
      </c>
      <c r="E1165" t="s">
        <v>134</v>
      </c>
      <c r="F1165" t="s">
        <v>417</v>
      </c>
      <c r="G1165" t="s">
        <v>33</v>
      </c>
      <c r="H1165" t="s">
        <v>454</v>
      </c>
      <c r="I1165" t="s">
        <v>135</v>
      </c>
      <c r="J1165" t="s">
        <v>39</v>
      </c>
      <c r="K1165" t="s">
        <v>33</v>
      </c>
      <c r="L1165">
        <v>3.0101591572287867E-2</v>
      </c>
      <c r="M1165">
        <v>1</v>
      </c>
      <c r="N1165">
        <v>3.1960600759959026</v>
      </c>
      <c r="O1165">
        <v>2.8779545327574696</v>
      </c>
      <c r="P1165">
        <v>-0.57900269369997159</v>
      </c>
      <c r="Q1165">
        <v>0.48774336622694031</v>
      </c>
      <c r="R1165">
        <v>-0.52509153328775182</v>
      </c>
      <c r="S1165" s="2">
        <v>1.4265138442729258E-2</v>
      </c>
      <c r="T1165" s="2">
        <v>2.3025331696411144E-2</v>
      </c>
      <c r="U1165" s="2">
        <v>3.4679828938257377E-2</v>
      </c>
      <c r="V1165" s="2">
        <v>4.9286049052505131E-2</v>
      </c>
      <c r="W1165" s="2">
        <v>6.6525759581619506E-2</v>
      </c>
      <c r="X1165" s="2">
        <v>8.5576614032971093E-2</v>
      </c>
      <c r="Y1165" s="2">
        <v>0.10502762059954263</v>
      </c>
      <c r="Z1165" s="2">
        <v>0.12289778861449903</v>
      </c>
      <c r="AA1165" s="2">
        <v>0.13682044892746648</v>
      </c>
      <c r="AB1165" s="2">
        <v>0.14442920605074502</v>
      </c>
      <c r="AC1165" s="2">
        <v>0.14391418847929519</v>
      </c>
      <c r="AD1165" s="2">
        <v>0.13461762277331518</v>
      </c>
      <c r="AE1165" s="2">
        <v>0.11744662012631242</v>
      </c>
      <c r="AF1165" s="2">
        <v>9.6378346623157848E-2</v>
      </c>
      <c r="AG1165" s="2">
        <v>1.7270199100471676E-2</v>
      </c>
      <c r="AH1165" s="2">
        <v>0</v>
      </c>
      <c r="AI1165" s="2">
        <v>0</v>
      </c>
      <c r="AJ1165" s="2">
        <v>0</v>
      </c>
      <c r="AK1165" s="2">
        <v>0</v>
      </c>
      <c r="AL1165" s="2">
        <v>0</v>
      </c>
      <c r="AM1165" s="2">
        <v>0</v>
      </c>
      <c r="AN1165" s="2">
        <v>0</v>
      </c>
      <c r="AO1165" s="2">
        <v>0</v>
      </c>
      <c r="AP1165" s="2">
        <v>0</v>
      </c>
      <c r="AQ1165" s="2">
        <v>0</v>
      </c>
      <c r="AR1165" s="2">
        <v>1.2921607630392988</v>
      </c>
    </row>
    <row r="1166" spans="1:44" x14ac:dyDescent="0.25">
      <c r="A1166" t="s">
        <v>435</v>
      </c>
      <c r="B1166" t="s">
        <v>473</v>
      </c>
      <c r="C1166" t="s">
        <v>46</v>
      </c>
      <c r="D1166" t="s">
        <v>417</v>
      </c>
      <c r="E1166" t="s">
        <v>134</v>
      </c>
      <c r="F1166" t="s">
        <v>417</v>
      </c>
      <c r="G1166" t="s">
        <v>33</v>
      </c>
      <c r="H1166" t="s">
        <v>455</v>
      </c>
      <c r="I1166" t="s">
        <v>135</v>
      </c>
      <c r="J1166" t="s">
        <v>39</v>
      </c>
      <c r="K1166" t="s">
        <v>31</v>
      </c>
      <c r="L1166">
        <v>3.0101591572287867E-2</v>
      </c>
      <c r="M1166">
        <v>1</v>
      </c>
      <c r="N1166">
        <v>3.1960600759959026</v>
      </c>
      <c r="O1166">
        <v>2.8779545327574696</v>
      </c>
      <c r="P1166">
        <v>-0.57900269369997159</v>
      </c>
      <c r="Q1166">
        <v>0.48774336622694031</v>
      </c>
      <c r="R1166">
        <v>-0.52509153328775182</v>
      </c>
      <c r="S1166" s="2">
        <v>4.1882570812048445E-4</v>
      </c>
      <c r="T1166" s="2">
        <v>6.7602574564382481E-4</v>
      </c>
      <c r="U1166" s="2">
        <v>1.0182028005459704E-3</v>
      </c>
      <c r="V1166" s="2">
        <v>1.4470426962731287E-3</v>
      </c>
      <c r="W1166" s="2">
        <v>1.9532021001328688E-3</v>
      </c>
      <c r="X1166" s="2">
        <v>2.5125368474205392E-3</v>
      </c>
      <c r="Y1166" s="2">
        <v>3.0836200956909205E-3</v>
      </c>
      <c r="Z1166" s="2">
        <v>3.6082897862897466E-3</v>
      </c>
      <c r="AA1166" s="2">
        <v>4.0170603066678077E-3</v>
      </c>
      <c r="AB1166" s="2">
        <v>4.2404540790358667E-3</v>
      </c>
      <c r="AC1166" s="2">
        <v>4.2253331182458293E-3</v>
      </c>
      <c r="AD1166" s="2">
        <v>3.9523851387693173E-3</v>
      </c>
      <c r="AE1166" s="2">
        <v>3.4482430043173981E-3</v>
      </c>
      <c r="AF1166" s="2">
        <v>2.8296766578174673E-3</v>
      </c>
      <c r="AG1166" s="2">
        <v>5.0705455097237932E-4</v>
      </c>
      <c r="AH1166" s="2">
        <v>0</v>
      </c>
      <c r="AI1166" s="2">
        <v>0</v>
      </c>
      <c r="AJ1166" s="2">
        <v>0</v>
      </c>
      <c r="AK1166" s="2">
        <v>0</v>
      </c>
      <c r="AL1166" s="2">
        <v>0</v>
      </c>
      <c r="AM1166" s="2">
        <v>0</v>
      </c>
      <c r="AN1166" s="2">
        <v>0</v>
      </c>
      <c r="AO1166" s="2">
        <v>0</v>
      </c>
      <c r="AP1166" s="2">
        <v>0</v>
      </c>
      <c r="AQ1166" s="2">
        <v>0</v>
      </c>
      <c r="AR1166" s="2">
        <v>3.7937952635943552E-2</v>
      </c>
    </row>
    <row r="1167" spans="1:44" x14ac:dyDescent="0.25">
      <c r="A1167" t="s">
        <v>435</v>
      </c>
      <c r="B1167" t="s">
        <v>473</v>
      </c>
      <c r="C1167" t="s">
        <v>46</v>
      </c>
      <c r="D1167" t="s">
        <v>417</v>
      </c>
      <c r="E1167" t="s">
        <v>134</v>
      </c>
      <c r="F1167" t="s">
        <v>417</v>
      </c>
      <c r="G1167" t="s">
        <v>33</v>
      </c>
      <c r="H1167" t="s">
        <v>455</v>
      </c>
      <c r="I1167" t="s">
        <v>135</v>
      </c>
      <c r="J1167" t="s">
        <v>39</v>
      </c>
      <c r="K1167" t="s">
        <v>33</v>
      </c>
      <c r="L1167">
        <v>3.0101591572287867E-2</v>
      </c>
      <c r="M1167">
        <v>1</v>
      </c>
      <c r="N1167">
        <v>3.1960600759959026</v>
      </c>
      <c r="O1167">
        <v>2.8779545327574696</v>
      </c>
      <c r="P1167">
        <v>-0.57900269369997159</v>
      </c>
      <c r="Q1167">
        <v>0.48774336622694031</v>
      </c>
      <c r="R1167">
        <v>-0.52509153328775182</v>
      </c>
      <c r="S1167" s="2">
        <v>1.0648969508235535E-2</v>
      </c>
      <c r="T1167" s="2">
        <v>1.7188480584081858E-2</v>
      </c>
      <c r="U1167" s="2">
        <v>2.5888598445573209E-2</v>
      </c>
      <c r="V1167" s="2">
        <v>3.6792186465532326E-2</v>
      </c>
      <c r="W1167" s="2">
        <v>4.9661683140408072E-2</v>
      </c>
      <c r="X1167" s="2">
        <v>6.3883204296529564E-2</v>
      </c>
      <c r="Y1167" s="2">
        <v>7.8403440231392327E-2</v>
      </c>
      <c r="Z1167" s="2">
        <v>9.1743575349065118E-2</v>
      </c>
      <c r="AA1167" s="2">
        <v>0.10213688388522435</v>
      </c>
      <c r="AB1167" s="2">
        <v>0.10781684436557006</v>
      </c>
      <c r="AC1167" s="2">
        <v>0.10743238217218914</v>
      </c>
      <c r="AD1167" s="2">
        <v>0.1004924674190486</v>
      </c>
      <c r="AE1167" s="2">
        <v>8.7674261388460642E-2</v>
      </c>
      <c r="AF1167" s="2">
        <v>7.1946730735534509E-2</v>
      </c>
      <c r="AG1167" s="2">
        <v>1.2892256486709228E-2</v>
      </c>
      <c r="AH1167" s="2">
        <v>0</v>
      </c>
      <c r="AI1167" s="2">
        <v>0</v>
      </c>
      <c r="AJ1167" s="2">
        <v>0</v>
      </c>
      <c r="AK1167" s="2">
        <v>0</v>
      </c>
      <c r="AL1167" s="2">
        <v>0</v>
      </c>
      <c r="AM1167" s="2">
        <v>0</v>
      </c>
      <c r="AN1167" s="2">
        <v>0</v>
      </c>
      <c r="AO1167" s="2">
        <v>0</v>
      </c>
      <c r="AP1167" s="2">
        <v>0</v>
      </c>
      <c r="AQ1167" s="2">
        <v>0</v>
      </c>
      <c r="AR1167" s="2">
        <v>0.96460196447355451</v>
      </c>
    </row>
    <row r="1168" spans="1:44" x14ac:dyDescent="0.25">
      <c r="A1168" t="s">
        <v>435</v>
      </c>
      <c r="B1168" t="s">
        <v>473</v>
      </c>
      <c r="C1168" t="s">
        <v>46</v>
      </c>
      <c r="D1168" t="s">
        <v>417</v>
      </c>
      <c r="E1168" t="s">
        <v>134</v>
      </c>
      <c r="F1168" t="s">
        <v>417</v>
      </c>
      <c r="G1168" t="s">
        <v>33</v>
      </c>
      <c r="H1168" t="s">
        <v>456</v>
      </c>
      <c r="I1168" t="s">
        <v>135</v>
      </c>
      <c r="J1168" t="s">
        <v>39</v>
      </c>
      <c r="K1168" t="s">
        <v>31</v>
      </c>
      <c r="L1168">
        <v>3.0101591572287867E-2</v>
      </c>
      <c r="M1168">
        <v>1</v>
      </c>
      <c r="N1168">
        <v>3.1960600759959026</v>
      </c>
      <c r="O1168">
        <v>2.8779545327574696</v>
      </c>
      <c r="P1168">
        <v>-0.57900269369997159</v>
      </c>
      <c r="Q1168">
        <v>0.48774336622694031</v>
      </c>
      <c r="R1168">
        <v>-0.52509153328775182</v>
      </c>
      <c r="S1168" s="2">
        <v>7.5494325695197997E-2</v>
      </c>
      <c r="T1168" s="2">
        <v>0.12185524152517477</v>
      </c>
      <c r="U1168" s="2">
        <v>0.1835334659687779</v>
      </c>
      <c r="V1168" s="2">
        <v>0.26083287269432542</v>
      </c>
      <c r="W1168" s="2">
        <v>0.35206930385838836</v>
      </c>
      <c r="X1168" s="2">
        <v>0.4528907165980029</v>
      </c>
      <c r="Y1168" s="2">
        <v>0.55582982446096441</v>
      </c>
      <c r="Z1168" s="2">
        <v>0.65040277864330864</v>
      </c>
      <c r="AA1168" s="2">
        <v>0.72408463293659742</v>
      </c>
      <c r="AB1168" s="2">
        <v>0.76435188941690291</v>
      </c>
      <c r="AC1168" s="2">
        <v>0.76162630042708146</v>
      </c>
      <c r="AD1168" s="2">
        <v>0.71242678076789601</v>
      </c>
      <c r="AE1168" s="2">
        <v>0.62155396719161782</v>
      </c>
      <c r="AF1168" s="2">
        <v>0.51005591842971931</v>
      </c>
      <c r="AG1168" s="2">
        <v>9.1397783550882683E-2</v>
      </c>
      <c r="AH1168" s="2">
        <v>0</v>
      </c>
      <c r="AI1168" s="2">
        <v>0</v>
      </c>
      <c r="AJ1168" s="2">
        <v>0</v>
      </c>
      <c r="AK1168" s="2">
        <v>0</v>
      </c>
      <c r="AL1168" s="2">
        <v>0</v>
      </c>
      <c r="AM1168" s="2">
        <v>0</v>
      </c>
      <c r="AN1168" s="2">
        <v>0</v>
      </c>
      <c r="AO1168" s="2">
        <v>0</v>
      </c>
      <c r="AP1168" s="2">
        <v>0</v>
      </c>
      <c r="AQ1168" s="2">
        <v>0</v>
      </c>
      <c r="AR1168" s="2">
        <v>6.8384058021648384</v>
      </c>
    </row>
    <row r="1169" spans="1:44" x14ac:dyDescent="0.25">
      <c r="A1169" t="s">
        <v>435</v>
      </c>
      <c r="B1169" t="s">
        <v>473</v>
      </c>
      <c r="C1169" t="s">
        <v>46</v>
      </c>
      <c r="D1169" t="s">
        <v>417</v>
      </c>
      <c r="E1169" t="s">
        <v>134</v>
      </c>
      <c r="F1169" t="s">
        <v>417</v>
      </c>
      <c r="G1169" t="s">
        <v>33</v>
      </c>
      <c r="H1169" t="s">
        <v>456</v>
      </c>
      <c r="I1169" t="s">
        <v>135</v>
      </c>
      <c r="J1169" t="s">
        <v>39</v>
      </c>
      <c r="K1169" t="s">
        <v>33</v>
      </c>
      <c r="L1169">
        <v>3.0101591572287867E-2</v>
      </c>
      <c r="M1169">
        <v>1</v>
      </c>
      <c r="N1169">
        <v>3.1960600759959026</v>
      </c>
      <c r="O1169">
        <v>2.8779545327574696</v>
      </c>
      <c r="P1169">
        <v>-0.57900269369997159</v>
      </c>
      <c r="Q1169">
        <v>0.48774336622694031</v>
      </c>
      <c r="R1169">
        <v>-0.52509153328775182</v>
      </c>
      <c r="S1169" s="2">
        <v>6.9703890256464174E-2</v>
      </c>
      <c r="T1169" s="2">
        <v>0.11250891115629882</v>
      </c>
      <c r="U1169" s="2">
        <v>0.16945639890773839</v>
      </c>
      <c r="V1169" s="2">
        <v>0.24082691998559042</v>
      </c>
      <c r="W1169" s="2">
        <v>0.32506549191386186</v>
      </c>
      <c r="X1169" s="2">
        <v>0.41815387470805099</v>
      </c>
      <c r="Y1169" s="2">
        <v>0.51319752483015013</v>
      </c>
      <c r="Z1169" s="2">
        <v>0.60051670754821018</v>
      </c>
      <c r="AA1169" s="2">
        <v>0.66854714345524768</v>
      </c>
      <c r="AB1169" s="2">
        <v>0.70572589034497135</v>
      </c>
      <c r="AC1169" s="2">
        <v>0.70320935477648661</v>
      </c>
      <c r="AD1169" s="2">
        <v>0.65778345173788555</v>
      </c>
      <c r="AE1169" s="2">
        <v>0.57388060782891714</v>
      </c>
      <c r="AF1169" s="2">
        <v>0.47093448991685782</v>
      </c>
      <c r="AG1169" s="2">
        <v>8.4387548542870588E-2</v>
      </c>
      <c r="AH1169" s="2">
        <v>0</v>
      </c>
      <c r="AI1169" s="2">
        <v>0</v>
      </c>
      <c r="AJ1169" s="2">
        <v>0</v>
      </c>
      <c r="AK1169" s="2">
        <v>0</v>
      </c>
      <c r="AL1169" s="2">
        <v>0</v>
      </c>
      <c r="AM1169" s="2">
        <v>0</v>
      </c>
      <c r="AN1169" s="2">
        <v>0</v>
      </c>
      <c r="AO1169" s="2">
        <v>0</v>
      </c>
      <c r="AP1169" s="2">
        <v>0</v>
      </c>
      <c r="AQ1169" s="2">
        <v>0</v>
      </c>
      <c r="AR1169" s="2">
        <v>6.3138982059096023</v>
      </c>
    </row>
    <row r="1170" spans="1:44" x14ac:dyDescent="0.25">
      <c r="A1170" t="s">
        <v>435</v>
      </c>
      <c r="B1170" t="s">
        <v>473</v>
      </c>
      <c r="C1170" t="s">
        <v>46</v>
      </c>
      <c r="D1170" t="s">
        <v>417</v>
      </c>
      <c r="E1170" t="s">
        <v>134</v>
      </c>
      <c r="F1170" t="s">
        <v>417</v>
      </c>
      <c r="G1170" t="s">
        <v>33</v>
      </c>
      <c r="H1170" t="s">
        <v>456</v>
      </c>
      <c r="I1170" t="s">
        <v>135</v>
      </c>
      <c r="J1170" t="s">
        <v>40</v>
      </c>
      <c r="K1170" t="s">
        <v>33</v>
      </c>
      <c r="L1170">
        <v>3.0101591572287867E-2</v>
      </c>
      <c r="M1170">
        <v>1</v>
      </c>
      <c r="N1170">
        <v>3.1960600759959026</v>
      </c>
      <c r="O1170">
        <v>1.705415563788492</v>
      </c>
      <c r="P1170">
        <v>-0.57900269369997159</v>
      </c>
      <c r="Q1170">
        <v>1.3498045353129324</v>
      </c>
      <c r="R1170">
        <v>-0.38209153328775192</v>
      </c>
      <c r="S1170" s="2">
        <v>0.25732681182609274</v>
      </c>
      <c r="T1170" s="2">
        <v>0.41535069711823708</v>
      </c>
      <c r="U1170" s="2">
        <v>0.62558452209796167</v>
      </c>
      <c r="V1170" s="2">
        <v>0.88906405788509701</v>
      </c>
      <c r="W1170" s="2">
        <v>1.200048754253243</v>
      </c>
      <c r="X1170" s="2">
        <v>1.543704419300634</v>
      </c>
      <c r="Y1170" s="2">
        <v>1.8945783716761444</v>
      </c>
      <c r="Z1170" s="2">
        <v>2.2169358013321556</v>
      </c>
      <c r="AA1170" s="2">
        <v>2.4680846986847511</v>
      </c>
      <c r="AB1170" s="2">
        <v>2.6053379907122305</v>
      </c>
      <c r="AC1170" s="2">
        <v>2.5960476616889498</v>
      </c>
      <c r="AD1170" s="2">
        <v>2.42834822970265</v>
      </c>
      <c r="AE1170" s="2">
        <v>2.118602945087996</v>
      </c>
      <c r="AF1170" s="2">
        <v>1.7385553435163383</v>
      </c>
      <c r="AG1170" s="2">
        <v>0.31153467538840451</v>
      </c>
      <c r="AH1170" s="2">
        <v>0</v>
      </c>
      <c r="AI1170" s="2">
        <v>0</v>
      </c>
      <c r="AJ1170" s="2">
        <v>0</v>
      </c>
      <c r="AK1170" s="2">
        <v>0</v>
      </c>
      <c r="AL1170" s="2">
        <v>0</v>
      </c>
      <c r="AM1170" s="2">
        <v>0</v>
      </c>
      <c r="AN1170" s="2">
        <v>0</v>
      </c>
      <c r="AO1170" s="2">
        <v>0</v>
      </c>
      <c r="AP1170" s="2">
        <v>0</v>
      </c>
      <c r="AQ1170" s="2">
        <v>0</v>
      </c>
      <c r="AR1170" s="2">
        <v>23.309104980270885</v>
      </c>
    </row>
    <row r="1171" spans="1:44" x14ac:dyDescent="0.25">
      <c r="A1171" t="s">
        <v>435</v>
      </c>
      <c r="B1171" t="s">
        <v>473</v>
      </c>
      <c r="C1171" t="s">
        <v>46</v>
      </c>
      <c r="D1171" t="s">
        <v>417</v>
      </c>
      <c r="E1171" t="s">
        <v>134</v>
      </c>
      <c r="F1171" t="s">
        <v>417</v>
      </c>
      <c r="G1171" t="s">
        <v>33</v>
      </c>
      <c r="H1171" t="s">
        <v>456</v>
      </c>
      <c r="I1171" t="s">
        <v>256</v>
      </c>
      <c r="J1171" t="s">
        <v>40</v>
      </c>
      <c r="K1171" t="s">
        <v>33</v>
      </c>
      <c r="L1171">
        <v>3.0101591572287867E-2</v>
      </c>
      <c r="M1171">
        <v>1</v>
      </c>
      <c r="N1171">
        <v>2.9388016493259146</v>
      </c>
      <c r="O1171">
        <v>1.4737622038640097</v>
      </c>
      <c r="P1171">
        <v>-0.45352660268570494</v>
      </c>
      <c r="Q1171">
        <v>1.3498045353129324</v>
      </c>
      <c r="R1171">
        <v>-0.25661544227348532</v>
      </c>
      <c r="S1171" s="2">
        <v>0.38642254867593973</v>
      </c>
      <c r="T1171" s="2">
        <v>0.62372387018585373</v>
      </c>
      <c r="U1171" s="2">
        <v>0.93942781836774725</v>
      </c>
      <c r="V1171" s="2">
        <v>1.335089790084969</v>
      </c>
      <c r="W1171" s="2">
        <v>1.8020893153851418</v>
      </c>
      <c r="X1171" s="2">
        <v>2.3181501837111544</v>
      </c>
      <c r="Y1171" s="2">
        <v>2.8450506103661772</v>
      </c>
      <c r="Z1171" s="2">
        <v>3.3291283427576444</v>
      </c>
      <c r="AA1171" s="2">
        <v>3.7062736403014163</v>
      </c>
      <c r="AB1171" s="2">
        <v>3.9123841755505198</v>
      </c>
      <c r="AC1171" s="2">
        <v>3.8984330734724346</v>
      </c>
      <c r="AD1171" s="2">
        <v>3.6466021761796634</v>
      </c>
      <c r="AE1171" s="2">
        <v>3.1814638508269213</v>
      </c>
      <c r="AF1171" s="2">
        <v>2.6107539361649827</v>
      </c>
      <c r="AG1171" s="2">
        <v>0.46782541784211001</v>
      </c>
      <c r="AH1171" s="2">
        <v>0</v>
      </c>
      <c r="AI1171" s="2">
        <v>0</v>
      </c>
      <c r="AJ1171" s="2">
        <v>0</v>
      </c>
      <c r="AK1171" s="2">
        <v>0</v>
      </c>
      <c r="AL1171" s="2">
        <v>0</v>
      </c>
      <c r="AM1171" s="2">
        <v>0</v>
      </c>
      <c r="AN1171" s="2">
        <v>0</v>
      </c>
      <c r="AO1171" s="2">
        <v>0</v>
      </c>
      <c r="AP1171" s="2">
        <v>0</v>
      </c>
      <c r="AQ1171" s="2">
        <v>0</v>
      </c>
      <c r="AR1171" s="2">
        <v>35.002818749872674</v>
      </c>
    </row>
    <row r="1172" spans="1:44" x14ac:dyDescent="0.25">
      <c r="A1172" t="s">
        <v>435</v>
      </c>
      <c r="B1172" t="s">
        <v>473</v>
      </c>
      <c r="C1172" t="s">
        <v>46</v>
      </c>
      <c r="D1172" t="s">
        <v>417</v>
      </c>
      <c r="E1172" t="s">
        <v>134</v>
      </c>
      <c r="F1172" t="s">
        <v>417</v>
      </c>
      <c r="G1172" t="s">
        <v>33</v>
      </c>
      <c r="H1172" t="s">
        <v>457</v>
      </c>
      <c r="I1172" t="s">
        <v>135</v>
      </c>
      <c r="J1172" t="s">
        <v>39</v>
      </c>
      <c r="K1172" t="s">
        <v>31</v>
      </c>
      <c r="L1172">
        <v>3.0101591572287867E-2</v>
      </c>
      <c r="M1172">
        <v>1</v>
      </c>
      <c r="N1172">
        <v>3.1960600759959026</v>
      </c>
      <c r="O1172">
        <v>2.8779545327574696</v>
      </c>
      <c r="P1172">
        <v>-0.57900269369997159</v>
      </c>
      <c r="Q1172">
        <v>0.48774336622694031</v>
      </c>
      <c r="R1172">
        <v>-0.52509153328775182</v>
      </c>
      <c r="S1172" s="2">
        <v>2.7910171136419241E-2</v>
      </c>
      <c r="T1172" s="2">
        <v>4.5049751931934355E-2</v>
      </c>
      <c r="U1172" s="2">
        <v>6.785212527270236E-2</v>
      </c>
      <c r="V1172" s="2">
        <v>9.6429632927571576E-2</v>
      </c>
      <c r="W1172" s="2">
        <v>0.13015964355043749</v>
      </c>
      <c r="X1172" s="2">
        <v>0.16743321156850627</v>
      </c>
      <c r="Y1172" s="2">
        <v>0.20548968919949098</v>
      </c>
      <c r="Z1172" s="2">
        <v>0.24045320879913495</v>
      </c>
      <c r="AA1172" s="2">
        <v>0.2676933112046751</v>
      </c>
      <c r="AB1172" s="2">
        <v>0.28258007268257651</v>
      </c>
      <c r="AC1172" s="2">
        <v>0.28157242536004018</v>
      </c>
      <c r="AD1172" s="2">
        <v>0.26338341577723345</v>
      </c>
      <c r="AE1172" s="2">
        <v>0.22978783418608381</v>
      </c>
      <c r="AF1172" s="2">
        <v>0.18856712529617917</v>
      </c>
      <c r="AG1172" s="2">
        <v>3.3789662426997727E-2</v>
      </c>
      <c r="AH1172" s="2">
        <v>0</v>
      </c>
      <c r="AI1172" s="2">
        <v>0</v>
      </c>
      <c r="AJ1172" s="2">
        <v>0</v>
      </c>
      <c r="AK1172" s="2">
        <v>0</v>
      </c>
      <c r="AL1172" s="2">
        <v>0</v>
      </c>
      <c r="AM1172" s="2">
        <v>0</v>
      </c>
      <c r="AN1172" s="2">
        <v>0</v>
      </c>
      <c r="AO1172" s="2">
        <v>0</v>
      </c>
      <c r="AP1172" s="2">
        <v>0</v>
      </c>
      <c r="AQ1172" s="2">
        <v>0</v>
      </c>
      <c r="AR1172" s="2">
        <v>2.5281512813199831</v>
      </c>
    </row>
    <row r="1173" spans="1:44" x14ac:dyDescent="0.25">
      <c r="A1173" t="s">
        <v>435</v>
      </c>
      <c r="B1173" t="s">
        <v>473</v>
      </c>
      <c r="C1173" t="s">
        <v>46</v>
      </c>
      <c r="D1173" t="s">
        <v>417</v>
      </c>
      <c r="E1173" t="s">
        <v>134</v>
      </c>
      <c r="F1173" t="s">
        <v>417</v>
      </c>
      <c r="G1173" t="s">
        <v>33</v>
      </c>
      <c r="H1173" t="s">
        <v>457</v>
      </c>
      <c r="I1173" t="s">
        <v>135</v>
      </c>
      <c r="J1173" t="s">
        <v>39</v>
      </c>
      <c r="K1173" t="s">
        <v>33</v>
      </c>
      <c r="L1173">
        <v>3.0101591572287867E-2</v>
      </c>
      <c r="M1173">
        <v>1</v>
      </c>
      <c r="N1173">
        <v>3.1960600759959026</v>
      </c>
      <c r="O1173">
        <v>2.8779545327574696</v>
      </c>
      <c r="P1173">
        <v>-0.57900269369997159</v>
      </c>
      <c r="Q1173">
        <v>0.48774336622694031</v>
      </c>
      <c r="R1173">
        <v>-0.52509153328775182</v>
      </c>
      <c r="S1173" s="2">
        <v>8.166364537820955E-3</v>
      </c>
      <c r="T1173" s="2">
        <v>1.3181312820204329E-2</v>
      </c>
      <c r="U1173" s="2">
        <v>1.9853163455516919E-2</v>
      </c>
      <c r="V1173" s="2">
        <v>2.8214787035370451E-2</v>
      </c>
      <c r="W1173" s="2">
        <v>3.808400500843645E-2</v>
      </c>
      <c r="X1173" s="2">
        <v>4.8990048635794384E-2</v>
      </c>
      <c r="Y1173" s="2">
        <v>6.0125167365128039E-2</v>
      </c>
      <c r="Z1173" s="2">
        <v>7.0355303367532082E-2</v>
      </c>
      <c r="AA1173" s="2">
        <v>7.8325609432798107E-2</v>
      </c>
      <c r="AB1173" s="2">
        <v>8.2681395014402734E-2</v>
      </c>
      <c r="AC1173" s="2">
        <v>8.2386562878792743E-2</v>
      </c>
      <c r="AD1173" s="2">
        <v>7.7064557431062039E-2</v>
      </c>
      <c r="AE1173" s="2">
        <v>6.7234672662801434E-2</v>
      </c>
      <c r="AF1173" s="2">
        <v>5.5173717047122421E-2</v>
      </c>
      <c r="AG1173" s="2">
        <v>9.8866717670788012E-3</v>
      </c>
      <c r="AH1173" s="2">
        <v>0</v>
      </c>
      <c r="AI1173" s="2">
        <v>0</v>
      </c>
      <c r="AJ1173" s="2">
        <v>0</v>
      </c>
      <c r="AK1173" s="2">
        <v>0</v>
      </c>
      <c r="AL1173" s="2">
        <v>0</v>
      </c>
      <c r="AM1173" s="2">
        <v>0</v>
      </c>
      <c r="AN1173" s="2">
        <v>0</v>
      </c>
      <c r="AO1173" s="2">
        <v>0</v>
      </c>
      <c r="AP1173" s="2">
        <v>0</v>
      </c>
      <c r="AQ1173" s="2">
        <v>0</v>
      </c>
      <c r="AR1173" s="2">
        <v>0.73972333845986193</v>
      </c>
    </row>
    <row r="1174" spans="1:44" x14ac:dyDescent="0.25">
      <c r="A1174" t="s">
        <v>435</v>
      </c>
      <c r="B1174" t="s">
        <v>473</v>
      </c>
      <c r="C1174" t="s">
        <v>46</v>
      </c>
      <c r="D1174" t="s">
        <v>417</v>
      </c>
      <c r="E1174" t="s">
        <v>134</v>
      </c>
      <c r="F1174" t="s">
        <v>417</v>
      </c>
      <c r="G1174" t="s">
        <v>33</v>
      </c>
      <c r="H1174" t="s">
        <v>457</v>
      </c>
      <c r="I1174" t="s">
        <v>256</v>
      </c>
      <c r="J1174" t="s">
        <v>39</v>
      </c>
      <c r="K1174" t="s">
        <v>33</v>
      </c>
      <c r="L1174">
        <v>3.0101591572287867E-2</v>
      </c>
      <c r="M1174">
        <v>1</v>
      </c>
      <c r="N1174">
        <v>2.9388016493259146</v>
      </c>
      <c r="O1174">
        <v>2.6463011728329877</v>
      </c>
      <c r="P1174">
        <v>-0.45352660268570494</v>
      </c>
      <c r="Q1174">
        <v>1.3498045353129324</v>
      </c>
      <c r="R1174">
        <v>-0.39961544227348528</v>
      </c>
      <c r="S1174" s="2">
        <v>2.2458050434157988E-2</v>
      </c>
      <c r="T1174" s="2">
        <v>3.6249494708884424E-2</v>
      </c>
      <c r="U1174" s="2">
        <v>5.4597531630709156E-2</v>
      </c>
      <c r="V1174" s="2">
        <v>7.7592557532149331E-2</v>
      </c>
      <c r="W1174" s="2">
        <v>0.10473356917304727</v>
      </c>
      <c r="X1174" s="2">
        <v>0.13472592093324509</v>
      </c>
      <c r="Y1174" s="2">
        <v>0.16534824459459369</v>
      </c>
      <c r="Z1174" s="2">
        <v>0.19348180503342141</v>
      </c>
      <c r="AA1174" s="2">
        <v>0.21540068151271971</v>
      </c>
      <c r="AB1174" s="2">
        <v>0.22737938413112585</v>
      </c>
      <c r="AC1174" s="2">
        <v>0.22656857597524763</v>
      </c>
      <c r="AD1174" s="2">
        <v>0.21193270389257776</v>
      </c>
      <c r="AE1174" s="2">
        <v>0.18489986120411459</v>
      </c>
      <c r="AF1174" s="2">
        <v>0.15173142398255796</v>
      </c>
      <c r="AG1174" s="2">
        <v>2.7189010745566192E-2</v>
      </c>
      <c r="AH1174" s="2">
        <v>0</v>
      </c>
      <c r="AI1174" s="2">
        <v>0</v>
      </c>
      <c r="AJ1174" s="2">
        <v>0</v>
      </c>
      <c r="AK1174" s="2">
        <v>0</v>
      </c>
      <c r="AL1174" s="2">
        <v>0</v>
      </c>
      <c r="AM1174" s="2">
        <v>0</v>
      </c>
      <c r="AN1174" s="2">
        <v>0</v>
      </c>
      <c r="AO1174" s="2">
        <v>0</v>
      </c>
      <c r="AP1174" s="2">
        <v>0</v>
      </c>
      <c r="AQ1174" s="2">
        <v>0</v>
      </c>
      <c r="AR1174" s="2">
        <v>2.0342888154841181</v>
      </c>
    </row>
    <row r="1175" spans="1:44" x14ac:dyDescent="0.25">
      <c r="A1175" t="s">
        <v>435</v>
      </c>
      <c r="B1175" t="s">
        <v>473</v>
      </c>
      <c r="C1175" t="s">
        <v>46</v>
      </c>
      <c r="D1175" t="s">
        <v>417</v>
      </c>
      <c r="E1175" t="s">
        <v>134</v>
      </c>
      <c r="F1175" t="s">
        <v>417</v>
      </c>
      <c r="G1175" t="s">
        <v>33</v>
      </c>
      <c r="H1175" t="s">
        <v>457</v>
      </c>
      <c r="I1175" t="s">
        <v>256</v>
      </c>
      <c r="J1175" t="s">
        <v>40</v>
      </c>
      <c r="K1175" t="s">
        <v>33</v>
      </c>
      <c r="L1175">
        <v>3.0101591572287867E-2</v>
      </c>
      <c r="M1175">
        <v>1</v>
      </c>
      <c r="N1175">
        <v>2.9388016493259146</v>
      </c>
      <c r="O1175">
        <v>1.4737622038640097</v>
      </c>
      <c r="P1175">
        <v>-0.45352660268570494</v>
      </c>
      <c r="Q1175">
        <v>1.3498045353129324</v>
      </c>
      <c r="R1175">
        <v>-0.25661544227348532</v>
      </c>
      <c r="S1175" s="2">
        <v>0.20549977670994526</v>
      </c>
      <c r="T1175" s="2">
        <v>0.3316967824239096</v>
      </c>
      <c r="U1175" s="2">
        <v>0.4995883588345662</v>
      </c>
      <c r="V1175" s="2">
        <v>0.71000166706180501</v>
      </c>
      <c r="W1175" s="2">
        <v>0.95835233526599573</v>
      </c>
      <c r="X1175" s="2">
        <v>1.2327938593776533</v>
      </c>
      <c r="Y1175" s="2">
        <v>1.512999868051297</v>
      </c>
      <c r="Z1175" s="2">
        <v>1.770432738512816</v>
      </c>
      <c r="AA1175" s="2">
        <v>1.9709988667007612</v>
      </c>
      <c r="AB1175" s="2">
        <v>2.0806085908651202</v>
      </c>
      <c r="AC1175" s="2">
        <v>2.073189385200938</v>
      </c>
      <c r="AD1175" s="2">
        <v>1.9392655411094037</v>
      </c>
      <c r="AE1175" s="2">
        <v>1.691904660315187</v>
      </c>
      <c r="AF1175" s="2">
        <v>1.3884007358391501</v>
      </c>
      <c r="AG1175" s="2">
        <v>0.24878987842505795</v>
      </c>
      <c r="AH1175" s="2">
        <v>0</v>
      </c>
      <c r="AI1175" s="2">
        <v>0</v>
      </c>
      <c r="AJ1175" s="2">
        <v>0</v>
      </c>
      <c r="AK1175" s="2">
        <v>0</v>
      </c>
      <c r="AL1175" s="2">
        <v>0</v>
      </c>
      <c r="AM1175" s="2">
        <v>0</v>
      </c>
      <c r="AN1175" s="2">
        <v>0</v>
      </c>
      <c r="AO1175" s="2">
        <v>0</v>
      </c>
      <c r="AP1175" s="2">
        <v>0</v>
      </c>
      <c r="AQ1175" s="2">
        <v>0</v>
      </c>
      <c r="AR1175" s="2">
        <v>18.614523044693609</v>
      </c>
    </row>
    <row r="1176" spans="1:44" x14ac:dyDescent="0.25">
      <c r="A1176" t="s">
        <v>435</v>
      </c>
      <c r="B1176" t="s">
        <v>474</v>
      </c>
      <c r="C1176" t="s">
        <v>44</v>
      </c>
      <c r="D1176" t="s">
        <v>475</v>
      </c>
      <c r="E1176" t="s">
        <v>134</v>
      </c>
      <c r="F1176" t="s">
        <v>475</v>
      </c>
      <c r="G1176" t="s">
        <v>33</v>
      </c>
      <c r="H1176" t="s">
        <v>450</v>
      </c>
      <c r="I1176" t="s">
        <v>135</v>
      </c>
      <c r="J1176" t="s">
        <v>39</v>
      </c>
      <c r="K1176" t="s">
        <v>31</v>
      </c>
      <c r="L1176">
        <v>7.9536631333358532E-2</v>
      </c>
      <c r="M1176">
        <v>1</v>
      </c>
      <c r="N1176">
        <v>5.0242646361273096</v>
      </c>
      <c r="O1176">
        <v>2.8779545327574687</v>
      </c>
      <c r="P1176">
        <v>-0.75648033687548133</v>
      </c>
      <c r="Q1176">
        <v>0.31026572305143058</v>
      </c>
      <c r="R1176">
        <v>-0.52509153328775171</v>
      </c>
      <c r="S1176" s="2">
        <v>9.5102171924872206E-2</v>
      </c>
      <c r="T1176" s="2">
        <v>0.15350422727480725</v>
      </c>
      <c r="U1176" s="2">
        <v>0.23120189595442173</v>
      </c>
      <c r="V1176" s="2">
        <v>0.32857797555256363</v>
      </c>
      <c r="W1176" s="2">
        <v>0.44351088848973269</v>
      </c>
      <c r="X1176" s="2">
        <v>0.57051825281514457</v>
      </c>
      <c r="Y1176" s="2">
        <v>0.70019333294370356</v>
      </c>
      <c r="Z1176" s="2">
        <v>0.81932935098571191</v>
      </c>
      <c r="AA1176" s="2">
        <v>0.91214830539342662</v>
      </c>
      <c r="AB1176" s="2">
        <v>0.96287401906089121</v>
      </c>
      <c r="AC1176" s="2">
        <v>0.95944052349258768</v>
      </c>
      <c r="AD1176" s="2">
        <v>0.89746260483231655</v>
      </c>
      <c r="AE1176" s="2">
        <v>0.78298775045822466</v>
      </c>
      <c r="AF1176" s="2">
        <v>0.64253074915386899</v>
      </c>
      <c r="AG1176" s="2">
        <v>0.11513617274895564</v>
      </c>
      <c r="AH1176" s="2">
        <v>0</v>
      </c>
      <c r="AI1176" s="2">
        <v>0</v>
      </c>
      <c r="AJ1176" s="2">
        <v>0</v>
      </c>
      <c r="AK1176" s="2">
        <v>0</v>
      </c>
      <c r="AL1176" s="2">
        <v>0</v>
      </c>
      <c r="AM1176" s="2">
        <v>0</v>
      </c>
      <c r="AN1176" s="2">
        <v>0</v>
      </c>
      <c r="AO1176" s="2">
        <v>0</v>
      </c>
      <c r="AP1176" s="2">
        <v>0</v>
      </c>
      <c r="AQ1176" s="2">
        <v>0</v>
      </c>
      <c r="AR1176" s="2">
        <v>8.6145182210812283</v>
      </c>
    </row>
    <row r="1177" spans="1:44" x14ac:dyDescent="0.25">
      <c r="A1177" t="s">
        <v>435</v>
      </c>
      <c r="B1177" t="s">
        <v>474</v>
      </c>
      <c r="C1177" t="s">
        <v>44</v>
      </c>
      <c r="D1177" t="s">
        <v>475</v>
      </c>
      <c r="E1177" t="s">
        <v>134</v>
      </c>
      <c r="F1177" t="s">
        <v>475</v>
      </c>
      <c r="G1177" t="s">
        <v>33</v>
      </c>
      <c r="H1177" t="s">
        <v>450</v>
      </c>
      <c r="I1177" t="s">
        <v>135</v>
      </c>
      <c r="J1177" t="s">
        <v>39</v>
      </c>
      <c r="K1177" t="s">
        <v>33</v>
      </c>
      <c r="L1177">
        <v>7.9536631333358532E-2</v>
      </c>
      <c r="M1177">
        <v>1</v>
      </c>
      <c r="N1177">
        <v>5.0242646361273096</v>
      </c>
      <c r="O1177">
        <v>2.8779545327574687</v>
      </c>
      <c r="P1177">
        <v>-0.75648033687548133</v>
      </c>
      <c r="Q1177">
        <v>0.31026572305143058</v>
      </c>
      <c r="R1177">
        <v>-0.52509153328775171</v>
      </c>
      <c r="S1177" s="2">
        <v>5.8590567589010649E-2</v>
      </c>
      <c r="T1177" s="2">
        <v>9.4504996373396197E-2</v>
      </c>
      <c r="U1177" s="2">
        <v>0.14224040536894939</v>
      </c>
      <c r="V1177" s="2">
        <v>0.20200736318950016</v>
      </c>
      <c r="W1177" s="2">
        <v>0.27247721832983995</v>
      </c>
      <c r="X1177" s="2">
        <v>0.35026167015097454</v>
      </c>
      <c r="Y1177" s="2">
        <v>0.42957421192628964</v>
      </c>
      <c r="Z1177" s="2">
        <v>0.50231471870638311</v>
      </c>
      <c r="AA1177" s="2">
        <v>0.55883037860418228</v>
      </c>
      <c r="AB1177" s="2">
        <v>0.58949643055311718</v>
      </c>
      <c r="AC1177" s="2">
        <v>0.58698489975989354</v>
      </c>
      <c r="AD1177" s="2">
        <v>0.54868412279491596</v>
      </c>
      <c r="AE1177" s="2">
        <v>0.47836363743953442</v>
      </c>
      <c r="AF1177" s="2">
        <v>0.39227828525905517</v>
      </c>
      <c r="AG1177" s="2">
        <v>1.2545047494647025E-2</v>
      </c>
      <c r="AH1177" s="2">
        <v>0</v>
      </c>
      <c r="AI1177" s="2">
        <v>0</v>
      </c>
      <c r="AJ1177" s="2">
        <v>0</v>
      </c>
      <c r="AK1177" s="2">
        <v>0</v>
      </c>
      <c r="AL1177" s="2">
        <v>0</v>
      </c>
      <c r="AM1177" s="2">
        <v>0</v>
      </c>
      <c r="AN1177" s="2">
        <v>0</v>
      </c>
      <c r="AO1177" s="2">
        <v>0</v>
      </c>
      <c r="AP1177" s="2">
        <v>0</v>
      </c>
      <c r="AQ1177" s="2">
        <v>0</v>
      </c>
      <c r="AR1177" s="2">
        <v>5.2191539535396885</v>
      </c>
    </row>
    <row r="1178" spans="1:44" x14ac:dyDescent="0.25">
      <c r="A1178" t="s">
        <v>435</v>
      </c>
      <c r="B1178" t="s">
        <v>474</v>
      </c>
      <c r="C1178" t="s">
        <v>44</v>
      </c>
      <c r="D1178" t="s">
        <v>475</v>
      </c>
      <c r="E1178" t="s">
        <v>134</v>
      </c>
      <c r="F1178" t="s">
        <v>475</v>
      </c>
      <c r="G1178" t="s">
        <v>33</v>
      </c>
      <c r="H1178" t="s">
        <v>450</v>
      </c>
      <c r="I1178" t="s">
        <v>256</v>
      </c>
      <c r="J1178" t="s">
        <v>40</v>
      </c>
      <c r="K1178" t="s">
        <v>33</v>
      </c>
      <c r="L1178">
        <v>7.9536631333358532E-2</v>
      </c>
      <c r="M1178">
        <v>1</v>
      </c>
      <c r="N1178">
        <v>4.6198497050152856</v>
      </c>
      <c r="O1178">
        <v>1.473762203864009</v>
      </c>
      <c r="P1178">
        <v>-0.63100424586121473</v>
      </c>
      <c r="Q1178">
        <v>1.3498045353129324</v>
      </c>
      <c r="R1178">
        <v>-0.25661544227348515</v>
      </c>
      <c r="S1178" s="2">
        <v>1.5305030606953822</v>
      </c>
      <c r="T1178" s="2">
        <v>2.4703819578312722</v>
      </c>
      <c r="U1178" s="2">
        <v>3.7207899907517619</v>
      </c>
      <c r="V1178" s="2">
        <v>5.2878876168838547</v>
      </c>
      <c r="W1178" s="2">
        <v>7.1375317571242372</v>
      </c>
      <c r="X1178" s="2">
        <v>9.1814930662776639</v>
      </c>
      <c r="Y1178" s="2">
        <v>11.268386593687977</v>
      </c>
      <c r="Z1178" s="2">
        <v>13.185672356587224</v>
      </c>
      <c r="AA1178" s="2">
        <v>14.679431026197575</v>
      </c>
      <c r="AB1178" s="2">
        <v>15.495772634939621</v>
      </c>
      <c r="AC1178" s="2">
        <v>15.440516531216517</v>
      </c>
      <c r="AD1178" s="2">
        <v>14.443090370644615</v>
      </c>
      <c r="AE1178" s="2">
        <v>12.600817881530361</v>
      </c>
      <c r="AF1178" s="2">
        <v>10.340408197488335</v>
      </c>
      <c r="AG1178" s="2">
        <v>1.8529152512756044</v>
      </c>
      <c r="AH1178" s="2">
        <v>0</v>
      </c>
      <c r="AI1178" s="2">
        <v>0</v>
      </c>
      <c r="AJ1178" s="2">
        <v>0</v>
      </c>
      <c r="AK1178" s="2">
        <v>0</v>
      </c>
      <c r="AL1178" s="2">
        <v>0</v>
      </c>
      <c r="AM1178" s="2">
        <v>0</v>
      </c>
      <c r="AN1178" s="2">
        <v>0</v>
      </c>
      <c r="AO1178" s="2">
        <v>0</v>
      </c>
      <c r="AP1178" s="2">
        <v>0</v>
      </c>
      <c r="AQ1178" s="2">
        <v>0</v>
      </c>
      <c r="AR1178" s="2">
        <v>138.63559829313203</v>
      </c>
    </row>
    <row r="1179" spans="1:44" x14ac:dyDescent="0.25">
      <c r="A1179" t="s">
        <v>435</v>
      </c>
      <c r="B1179" t="s">
        <v>474</v>
      </c>
      <c r="C1179" t="s">
        <v>44</v>
      </c>
      <c r="D1179" t="s">
        <v>475</v>
      </c>
      <c r="E1179" t="s">
        <v>134</v>
      </c>
      <c r="F1179" t="s">
        <v>475</v>
      </c>
      <c r="G1179" t="s">
        <v>33</v>
      </c>
      <c r="H1179" t="s">
        <v>451</v>
      </c>
      <c r="I1179" t="s">
        <v>135</v>
      </c>
      <c r="J1179" t="s">
        <v>39</v>
      </c>
      <c r="K1179" t="s">
        <v>31</v>
      </c>
      <c r="L1179">
        <v>7.9536631333358532E-2</v>
      </c>
      <c r="M1179">
        <v>1</v>
      </c>
      <c r="N1179">
        <v>5.0242646361273096</v>
      </c>
      <c r="O1179">
        <v>2.8779545327574687</v>
      </c>
      <c r="P1179">
        <v>-0.75648033687548133</v>
      </c>
      <c r="Q1179">
        <v>0.31026572305143058</v>
      </c>
      <c r="R1179">
        <v>-0.52509153328775171</v>
      </c>
      <c r="S1179" s="2">
        <v>2.4877093632373986E-2</v>
      </c>
      <c r="T1179" s="2">
        <v>4.0154067542193299E-2</v>
      </c>
      <c r="U1179" s="2">
        <v>6.0478442260857627E-2</v>
      </c>
      <c r="V1179" s="2">
        <v>8.5950351058378324E-2</v>
      </c>
      <c r="W1179" s="2">
        <v>0.11601482570400597</v>
      </c>
      <c r="X1179" s="2">
        <v>0.14923776930639052</v>
      </c>
      <c r="Y1179" s="2">
        <v>0.18315854151222571</v>
      </c>
      <c r="Z1179" s="2">
        <v>0.21432247621353323</v>
      </c>
      <c r="AA1179" s="2">
        <v>0.23860231938560983</v>
      </c>
      <c r="AB1179" s="2">
        <v>0.25187129424636678</v>
      </c>
      <c r="AC1179" s="2">
        <v>0.25097315081798638</v>
      </c>
      <c r="AD1179" s="2">
        <v>0.2347607925253784</v>
      </c>
      <c r="AE1179" s="2">
        <v>0.20481613812709257</v>
      </c>
      <c r="AF1179" s="2">
        <v>0.1680750006530588</v>
      </c>
      <c r="AG1179" s="2">
        <v>3.0117643918917813E-2</v>
      </c>
      <c r="AH1179" s="2">
        <v>0</v>
      </c>
      <c r="AI1179" s="2">
        <v>0</v>
      </c>
      <c r="AJ1179" s="2">
        <v>0</v>
      </c>
      <c r="AK1179" s="2">
        <v>0</v>
      </c>
      <c r="AL1179" s="2">
        <v>0</v>
      </c>
      <c r="AM1179" s="2">
        <v>0</v>
      </c>
      <c r="AN1179" s="2">
        <v>0</v>
      </c>
      <c r="AO1179" s="2">
        <v>0</v>
      </c>
      <c r="AP1179" s="2">
        <v>0</v>
      </c>
      <c r="AQ1179" s="2">
        <v>0</v>
      </c>
      <c r="AR1179" s="2">
        <v>2.2534099069043689</v>
      </c>
    </row>
    <row r="1180" spans="1:44" x14ac:dyDescent="0.25">
      <c r="A1180" t="s">
        <v>435</v>
      </c>
      <c r="B1180" t="s">
        <v>474</v>
      </c>
      <c r="C1180" t="s">
        <v>44</v>
      </c>
      <c r="D1180" t="s">
        <v>475</v>
      </c>
      <c r="E1180" t="s">
        <v>134</v>
      </c>
      <c r="F1180" t="s">
        <v>475</v>
      </c>
      <c r="G1180" t="s">
        <v>33</v>
      </c>
      <c r="H1180" t="s">
        <v>451</v>
      </c>
      <c r="I1180" t="s">
        <v>135</v>
      </c>
      <c r="J1180" t="s">
        <v>39</v>
      </c>
      <c r="K1180" t="s">
        <v>33</v>
      </c>
      <c r="L1180">
        <v>7.9536631333358532E-2</v>
      </c>
      <c r="M1180">
        <v>1</v>
      </c>
      <c r="N1180">
        <v>5.0242646361273096</v>
      </c>
      <c r="O1180">
        <v>2.8779545327574687</v>
      </c>
      <c r="P1180">
        <v>-0.75648033687548133</v>
      </c>
      <c r="Q1180">
        <v>0.31026572305143058</v>
      </c>
      <c r="R1180">
        <v>-0.52509153328775171</v>
      </c>
      <c r="S1180" s="2">
        <v>0.11206664565820329</v>
      </c>
      <c r="T1180" s="2">
        <v>0.18088655071549511</v>
      </c>
      <c r="U1180" s="2">
        <v>0.27244405069841188</v>
      </c>
      <c r="V1180" s="2">
        <v>0.38719022722664709</v>
      </c>
      <c r="W1180" s="2">
        <v>0.52262505240361334</v>
      </c>
      <c r="X1180" s="2">
        <v>0.67228818843674332</v>
      </c>
      <c r="Y1180" s="2">
        <v>0.82509491157810733</v>
      </c>
      <c r="Z1180" s="2">
        <v>0.96548259830297034</v>
      </c>
      <c r="AA1180" s="2">
        <v>1.0748587425427829</v>
      </c>
      <c r="AB1180" s="2">
        <v>1.1346329881175528</v>
      </c>
      <c r="AC1180" s="2">
        <v>1.130587020255472</v>
      </c>
      <c r="AD1180" s="2">
        <v>1.0575533838142306</v>
      </c>
      <c r="AE1180" s="2">
        <v>0.92265832640113421</v>
      </c>
      <c r="AF1180" s="2">
        <v>0.75714638617096253</v>
      </c>
      <c r="AG1180" s="2">
        <v>0.13567434279094936</v>
      </c>
      <c r="AH1180" s="2">
        <v>0</v>
      </c>
      <c r="AI1180" s="2">
        <v>0</v>
      </c>
      <c r="AJ1180" s="2">
        <v>0</v>
      </c>
      <c r="AK1180" s="2">
        <v>0</v>
      </c>
      <c r="AL1180" s="2">
        <v>0</v>
      </c>
      <c r="AM1180" s="2">
        <v>0</v>
      </c>
      <c r="AN1180" s="2">
        <v>0</v>
      </c>
      <c r="AO1180" s="2">
        <v>0</v>
      </c>
      <c r="AP1180" s="2">
        <v>0</v>
      </c>
      <c r="AQ1180" s="2">
        <v>0</v>
      </c>
      <c r="AR1180" s="2">
        <v>10.151189415113272</v>
      </c>
    </row>
    <row r="1181" spans="1:44" x14ac:dyDescent="0.25">
      <c r="A1181" t="s">
        <v>435</v>
      </c>
      <c r="B1181" t="s">
        <v>474</v>
      </c>
      <c r="C1181" t="s">
        <v>44</v>
      </c>
      <c r="D1181" t="s">
        <v>475</v>
      </c>
      <c r="E1181" t="s">
        <v>134</v>
      </c>
      <c r="F1181" t="s">
        <v>475</v>
      </c>
      <c r="G1181" t="s">
        <v>33</v>
      </c>
      <c r="H1181" t="s">
        <v>452</v>
      </c>
      <c r="I1181" t="s">
        <v>135</v>
      </c>
      <c r="J1181" t="s">
        <v>39</v>
      </c>
      <c r="K1181" t="s">
        <v>31</v>
      </c>
      <c r="L1181">
        <v>7.9536631333358532E-2</v>
      </c>
      <c r="M1181">
        <v>1</v>
      </c>
      <c r="N1181">
        <v>5.0242646361273096</v>
      </c>
      <c r="O1181">
        <v>2.8779545327574687</v>
      </c>
      <c r="P1181">
        <v>-0.75648033687548133</v>
      </c>
      <c r="Q1181">
        <v>0.31026572305143058</v>
      </c>
      <c r="R1181">
        <v>-0.52509153328775171</v>
      </c>
      <c r="S1181" s="2">
        <v>0.56344916129892741</v>
      </c>
      <c r="T1181" s="2">
        <v>0.90946217487184189</v>
      </c>
      <c r="U1181" s="2">
        <v>1.3697953656531685</v>
      </c>
      <c r="V1181" s="2">
        <v>1.9467166837435006</v>
      </c>
      <c r="W1181" s="2">
        <v>2.6276564781705725</v>
      </c>
      <c r="X1181" s="2">
        <v>3.3801334348953103</v>
      </c>
      <c r="Y1181" s="2">
        <v>4.1484157323545858</v>
      </c>
      <c r="Z1181" s="2">
        <v>4.8542575452975312</v>
      </c>
      <c r="AA1181" s="2">
        <v>5.4041793920350001</v>
      </c>
      <c r="AB1181" s="2">
        <v>5.7047126000967578</v>
      </c>
      <c r="AC1181" s="2">
        <v>5.6843702655409025</v>
      </c>
      <c r="AD1181" s="2">
        <v>5.3171714352579329</v>
      </c>
      <c r="AE1181" s="2">
        <v>4.6389454875072058</v>
      </c>
      <c r="AF1181" s="2">
        <v>3.8067838451209535</v>
      </c>
      <c r="AG1181" s="2">
        <v>0.6821440421131012</v>
      </c>
      <c r="AH1181" s="2">
        <v>0</v>
      </c>
      <c r="AI1181" s="2">
        <v>0</v>
      </c>
      <c r="AJ1181" s="2">
        <v>0</v>
      </c>
      <c r="AK1181" s="2">
        <v>0</v>
      </c>
      <c r="AL1181" s="2">
        <v>0</v>
      </c>
      <c r="AM1181" s="2">
        <v>0</v>
      </c>
      <c r="AN1181" s="2">
        <v>0</v>
      </c>
      <c r="AO1181" s="2">
        <v>0</v>
      </c>
      <c r="AP1181" s="2">
        <v>0</v>
      </c>
      <c r="AQ1181" s="2">
        <v>0</v>
      </c>
      <c r="AR1181" s="2">
        <v>51.038193643957285</v>
      </c>
    </row>
    <row r="1182" spans="1:44" x14ac:dyDescent="0.25">
      <c r="A1182" t="s">
        <v>435</v>
      </c>
      <c r="B1182" t="s">
        <v>474</v>
      </c>
      <c r="C1182" t="s">
        <v>44</v>
      </c>
      <c r="D1182" t="s">
        <v>475</v>
      </c>
      <c r="E1182" t="s">
        <v>134</v>
      </c>
      <c r="F1182" t="s">
        <v>475</v>
      </c>
      <c r="G1182" t="s">
        <v>33</v>
      </c>
      <c r="H1182" t="s">
        <v>452</v>
      </c>
      <c r="I1182" t="s">
        <v>135</v>
      </c>
      <c r="J1182" t="s">
        <v>39</v>
      </c>
      <c r="K1182" t="s">
        <v>33</v>
      </c>
      <c r="L1182">
        <v>7.9536631333358532E-2</v>
      </c>
      <c r="M1182">
        <v>1</v>
      </c>
      <c r="N1182">
        <v>5.0242646361273096</v>
      </c>
      <c r="O1182">
        <v>2.8779545327574687</v>
      </c>
      <c r="P1182">
        <v>-0.75648033687548133</v>
      </c>
      <c r="Q1182">
        <v>0.31026572305143058</v>
      </c>
      <c r="R1182">
        <v>-0.52509153328775171</v>
      </c>
      <c r="S1182" s="2">
        <v>1.1142020243874358</v>
      </c>
      <c r="T1182" s="2">
        <v>1.798431279957849</v>
      </c>
      <c r="U1182" s="2">
        <v>2.7087248934559627</v>
      </c>
      <c r="V1182" s="2">
        <v>3.8495676609678418</v>
      </c>
      <c r="W1182" s="2">
        <v>5.1961035146863139</v>
      </c>
      <c r="X1182" s="2">
        <v>6.6841017336468296</v>
      </c>
      <c r="Y1182" s="2">
        <v>8.203354489577384</v>
      </c>
      <c r="Z1182" s="2">
        <v>9.5991332588017659</v>
      </c>
      <c r="AA1182" s="2">
        <v>10.686585467404305</v>
      </c>
      <c r="AB1182" s="2">
        <v>11.280879916341124</v>
      </c>
      <c r="AC1182" s="2">
        <v>11.240653624601425</v>
      </c>
      <c r="AD1182" s="2">
        <v>10.514530119313385</v>
      </c>
      <c r="AE1182" s="2">
        <v>9.1733608073671835</v>
      </c>
      <c r="AF1182" s="2">
        <v>7.5277887660017173</v>
      </c>
      <c r="AG1182" s="2">
        <v>1.348917213567433</v>
      </c>
      <c r="AH1182" s="2">
        <v>0</v>
      </c>
      <c r="AI1182" s="2">
        <v>0</v>
      </c>
      <c r="AJ1182" s="2">
        <v>0</v>
      </c>
      <c r="AK1182" s="2">
        <v>0</v>
      </c>
      <c r="AL1182" s="2">
        <v>0</v>
      </c>
      <c r="AM1182" s="2">
        <v>0</v>
      </c>
      <c r="AN1182" s="2">
        <v>0</v>
      </c>
      <c r="AO1182" s="2">
        <v>0</v>
      </c>
      <c r="AP1182" s="2">
        <v>0</v>
      </c>
      <c r="AQ1182" s="2">
        <v>0</v>
      </c>
      <c r="AR1182" s="2">
        <v>100.92633477007794</v>
      </c>
    </row>
    <row r="1183" spans="1:44" x14ac:dyDescent="0.25">
      <c r="A1183" t="s">
        <v>435</v>
      </c>
      <c r="B1183" t="s">
        <v>474</v>
      </c>
      <c r="C1183" t="s">
        <v>44</v>
      </c>
      <c r="D1183" t="s">
        <v>475</v>
      </c>
      <c r="E1183" t="s">
        <v>134</v>
      </c>
      <c r="F1183" t="s">
        <v>475</v>
      </c>
      <c r="G1183" t="s">
        <v>33</v>
      </c>
      <c r="H1183" t="s">
        <v>452</v>
      </c>
      <c r="I1183" t="s">
        <v>135</v>
      </c>
      <c r="J1183" t="s">
        <v>40</v>
      </c>
      <c r="K1183" t="s">
        <v>33</v>
      </c>
      <c r="L1183">
        <v>7.9536631333358532E-2</v>
      </c>
      <c r="M1183">
        <v>1</v>
      </c>
      <c r="N1183">
        <v>5.0242646361273096</v>
      </c>
      <c r="O1183">
        <v>1.7054155637884916</v>
      </c>
      <c r="P1183">
        <v>-0.75648033687548133</v>
      </c>
      <c r="Q1183">
        <v>1.3498045353129324</v>
      </c>
      <c r="R1183">
        <v>-0.38209153328775169</v>
      </c>
      <c r="S1183" s="2">
        <v>8.1584789417410139E-2</v>
      </c>
      <c r="T1183" s="2">
        <v>0.13168584695195695</v>
      </c>
      <c r="U1183" s="2">
        <v>0.1983399286532416</v>
      </c>
      <c r="V1183" s="2">
        <v>0.28187542303273067</v>
      </c>
      <c r="W1183" s="2">
        <v>0.38047230372769369</v>
      </c>
      <c r="X1183" s="2">
        <v>0.4894274291809228</v>
      </c>
      <c r="Y1183" s="2">
        <v>0.60067109366139082</v>
      </c>
      <c r="Z1183" s="2">
        <v>0.70287366955696839</v>
      </c>
      <c r="AA1183" s="2">
        <v>0.78249976742652827</v>
      </c>
      <c r="AB1183" s="2">
        <v>0.82601556295301948</v>
      </c>
      <c r="AC1183" s="2">
        <v>0.82307008855179409</v>
      </c>
      <c r="AD1183" s="2">
        <v>0.76990142436584841</v>
      </c>
      <c r="AE1183" s="2">
        <v>0.67169749591007311</v>
      </c>
      <c r="AF1183" s="2">
        <v>0.55120440262226567</v>
      </c>
      <c r="AG1183" s="2">
        <v>9.8771250097953567E-2</v>
      </c>
      <c r="AH1183" s="2">
        <v>0</v>
      </c>
      <c r="AI1183" s="2">
        <v>0</v>
      </c>
      <c r="AJ1183" s="2">
        <v>0</v>
      </c>
      <c r="AK1183" s="2">
        <v>0</v>
      </c>
      <c r="AL1183" s="2">
        <v>0</v>
      </c>
      <c r="AM1183" s="2">
        <v>0</v>
      </c>
      <c r="AN1183" s="2">
        <v>0</v>
      </c>
      <c r="AO1183" s="2">
        <v>0</v>
      </c>
      <c r="AP1183" s="2">
        <v>0</v>
      </c>
      <c r="AQ1183" s="2">
        <v>0</v>
      </c>
      <c r="AR1183" s="2">
        <v>7.3900904761097976</v>
      </c>
    </row>
    <row r="1184" spans="1:44" x14ac:dyDescent="0.25">
      <c r="A1184" t="s">
        <v>435</v>
      </c>
      <c r="B1184" t="s">
        <v>474</v>
      </c>
      <c r="C1184" t="s">
        <v>44</v>
      </c>
      <c r="D1184" t="s">
        <v>475</v>
      </c>
      <c r="E1184" t="s">
        <v>134</v>
      </c>
      <c r="F1184" t="s">
        <v>475</v>
      </c>
      <c r="G1184" t="s">
        <v>33</v>
      </c>
      <c r="H1184" t="s">
        <v>452</v>
      </c>
      <c r="I1184" t="s">
        <v>256</v>
      </c>
      <c r="J1184" t="s">
        <v>40</v>
      </c>
      <c r="K1184" t="s">
        <v>33</v>
      </c>
      <c r="L1184">
        <v>7.9536631333358532E-2</v>
      </c>
      <c r="M1184">
        <v>1</v>
      </c>
      <c r="N1184">
        <v>4.6198497050152856</v>
      </c>
      <c r="O1184">
        <v>1.473762203864009</v>
      </c>
      <c r="P1184">
        <v>-0.63100424586121473</v>
      </c>
      <c r="Q1184">
        <v>1.3498045353129324</v>
      </c>
      <c r="R1184">
        <v>-0.25661544227348515</v>
      </c>
      <c r="S1184" s="2">
        <v>0.49196545575032802</v>
      </c>
      <c r="T1184" s="2">
        <v>0.79408046737891569</v>
      </c>
      <c r="U1184" s="2">
        <v>1.196012076395172</v>
      </c>
      <c r="V1184" s="2">
        <v>1.699740502455978</v>
      </c>
      <c r="W1184" s="2">
        <v>2.2942907819019029</v>
      </c>
      <c r="X1184" s="2">
        <v>2.9513024421966767</v>
      </c>
      <c r="Y1184" s="2">
        <v>3.6221142502098886</v>
      </c>
      <c r="Z1184" s="2">
        <v>4.2384072772357761</v>
      </c>
      <c r="AA1184" s="2">
        <v>4.7185616026652015</v>
      </c>
      <c r="AB1184" s="2">
        <v>4.9809667437632283</v>
      </c>
      <c r="AC1184" s="2">
        <v>4.9632052018563675</v>
      </c>
      <c r="AD1184" s="2">
        <v>4.6425921771165735</v>
      </c>
      <c r="AE1184" s="2">
        <v>4.0504114438669507</v>
      </c>
      <c r="AF1184" s="2">
        <v>3.3238245398937316</v>
      </c>
      <c r="AG1184" s="2">
        <v>0.59560174655668796</v>
      </c>
      <c r="AH1184" s="2">
        <v>0</v>
      </c>
      <c r="AI1184" s="2">
        <v>0</v>
      </c>
      <c r="AJ1184" s="2">
        <v>0</v>
      </c>
      <c r="AK1184" s="2">
        <v>0</v>
      </c>
      <c r="AL1184" s="2">
        <v>0</v>
      </c>
      <c r="AM1184" s="2">
        <v>0</v>
      </c>
      <c r="AN1184" s="2">
        <v>0</v>
      </c>
      <c r="AO1184" s="2">
        <v>0</v>
      </c>
      <c r="AP1184" s="2">
        <v>0</v>
      </c>
      <c r="AQ1184" s="2">
        <v>0</v>
      </c>
      <c r="AR1184" s="2">
        <v>44.563076709243376</v>
      </c>
    </row>
    <row r="1185" spans="1:44" x14ac:dyDescent="0.25">
      <c r="A1185" t="s">
        <v>435</v>
      </c>
      <c r="B1185" t="s">
        <v>474</v>
      </c>
      <c r="C1185" t="s">
        <v>44</v>
      </c>
      <c r="D1185" t="s">
        <v>475</v>
      </c>
      <c r="E1185" t="s">
        <v>134</v>
      </c>
      <c r="F1185" t="s">
        <v>475</v>
      </c>
      <c r="G1185" t="s">
        <v>33</v>
      </c>
      <c r="H1185" t="s">
        <v>453</v>
      </c>
      <c r="I1185" t="s">
        <v>135</v>
      </c>
      <c r="J1185" t="s">
        <v>39</v>
      </c>
      <c r="K1185" t="s">
        <v>31</v>
      </c>
      <c r="L1185">
        <v>7.9536631333358532E-2</v>
      </c>
      <c r="M1185">
        <v>1</v>
      </c>
      <c r="N1185">
        <v>5.0242646361273096</v>
      </c>
      <c r="O1185">
        <v>2.8779545327574687</v>
      </c>
      <c r="P1185">
        <v>-0.75648033687548133</v>
      </c>
      <c r="Q1185">
        <v>0.31026572305143058</v>
      </c>
      <c r="R1185">
        <v>-0.52509153328775171</v>
      </c>
      <c r="S1185" s="2">
        <v>0.17231958872996561</v>
      </c>
      <c r="T1185" s="2">
        <v>0.27814070674644586</v>
      </c>
      <c r="U1185" s="2">
        <v>0.41892435070701767</v>
      </c>
      <c r="V1185" s="2">
        <v>0.59536412751615009</v>
      </c>
      <c r="W1185" s="2">
        <v>0.80361586233999205</v>
      </c>
      <c r="X1185" s="2">
        <v>1.0337457988415584</v>
      </c>
      <c r="Y1185" s="2">
        <v>1.2687094807849206</v>
      </c>
      <c r="Z1185" s="2">
        <v>1.4845769969142293</v>
      </c>
      <c r="AA1185" s="2">
        <v>1.6527595286708958</v>
      </c>
      <c r="AB1185" s="2">
        <v>1.7446715632784402</v>
      </c>
      <c r="AC1185" s="2">
        <v>1.7384502695659938</v>
      </c>
      <c r="AD1185" s="2">
        <v>1.6261498957920482</v>
      </c>
      <c r="AE1185" s="2">
        <v>1.418728136368411</v>
      </c>
      <c r="AF1185" s="2">
        <v>1.1642282421059458</v>
      </c>
      <c r="AG1185" s="2">
        <v>0.20862002974774993</v>
      </c>
      <c r="AH1185" s="2">
        <v>0</v>
      </c>
      <c r="AI1185" s="2">
        <v>0</v>
      </c>
      <c r="AJ1185" s="2">
        <v>0</v>
      </c>
      <c r="AK1185" s="2">
        <v>0</v>
      </c>
      <c r="AL1185" s="2">
        <v>0</v>
      </c>
      <c r="AM1185" s="2">
        <v>0</v>
      </c>
      <c r="AN1185" s="2">
        <v>0</v>
      </c>
      <c r="AO1185" s="2">
        <v>0</v>
      </c>
      <c r="AP1185" s="2">
        <v>0</v>
      </c>
      <c r="AQ1185" s="2">
        <v>0</v>
      </c>
      <c r="AR1185" s="2">
        <v>15.609004578109765</v>
      </c>
    </row>
    <row r="1186" spans="1:44" x14ac:dyDescent="0.25">
      <c r="A1186" t="s">
        <v>435</v>
      </c>
      <c r="B1186" t="s">
        <v>474</v>
      </c>
      <c r="C1186" t="s">
        <v>44</v>
      </c>
      <c r="D1186" t="s">
        <v>475</v>
      </c>
      <c r="E1186" t="s">
        <v>134</v>
      </c>
      <c r="F1186" t="s">
        <v>475</v>
      </c>
      <c r="G1186" t="s">
        <v>33</v>
      </c>
      <c r="H1186" t="s">
        <v>453</v>
      </c>
      <c r="I1186" t="s">
        <v>135</v>
      </c>
      <c r="J1186" t="s">
        <v>39</v>
      </c>
      <c r="K1186" t="s">
        <v>33</v>
      </c>
      <c r="L1186">
        <v>7.9536631333358532E-2</v>
      </c>
      <c r="M1186">
        <v>1</v>
      </c>
      <c r="N1186">
        <v>5.0242646361273096</v>
      </c>
      <c r="O1186">
        <v>2.8779545327574687</v>
      </c>
      <c r="P1186">
        <v>-0.75648033687548133</v>
      </c>
      <c r="Q1186">
        <v>0.31026572305143058</v>
      </c>
      <c r="R1186">
        <v>-0.52509153328775171</v>
      </c>
      <c r="S1186" s="2">
        <v>0.15679082354026855</v>
      </c>
      <c r="T1186" s="2">
        <v>0.25307575762142009</v>
      </c>
      <c r="U1186" s="2">
        <v>0.38117253199434725</v>
      </c>
      <c r="V1186" s="2">
        <v>0.5417122484308593</v>
      </c>
      <c r="W1186" s="2">
        <v>0.73119715404937979</v>
      </c>
      <c r="X1186" s="2">
        <v>0.94058868365599479</v>
      </c>
      <c r="Y1186" s="2">
        <v>1.1543783605318145</v>
      </c>
      <c r="Z1186" s="2">
        <v>1.3507927431273135</v>
      </c>
      <c r="AA1186" s="2">
        <v>1.5038193250357552</v>
      </c>
      <c r="AB1186" s="2">
        <v>1.5874486077284007</v>
      </c>
      <c r="AC1186" s="2">
        <v>1.5817879525942418</v>
      </c>
      <c r="AD1186" s="2">
        <v>1.4796076478612197</v>
      </c>
      <c r="AE1186" s="2">
        <v>1.29087792351649</v>
      </c>
      <c r="AF1186" s="2">
        <v>1.0593125611196834</v>
      </c>
      <c r="AG1186" s="2">
        <v>0.18982001124899683</v>
      </c>
      <c r="AH1186" s="2">
        <v>0</v>
      </c>
      <c r="AI1186" s="2">
        <v>0</v>
      </c>
      <c r="AJ1186" s="2">
        <v>0</v>
      </c>
      <c r="AK1186" s="2">
        <v>0</v>
      </c>
      <c r="AL1186" s="2">
        <v>0</v>
      </c>
      <c r="AM1186" s="2">
        <v>0</v>
      </c>
      <c r="AN1186" s="2">
        <v>0</v>
      </c>
      <c r="AO1186" s="2">
        <v>0</v>
      </c>
      <c r="AP1186" s="2">
        <v>0</v>
      </c>
      <c r="AQ1186" s="2">
        <v>0</v>
      </c>
      <c r="AR1186" s="2">
        <v>14.202382332056184</v>
      </c>
    </row>
    <row r="1187" spans="1:44" x14ac:dyDescent="0.25">
      <c r="A1187" t="s">
        <v>435</v>
      </c>
      <c r="B1187" t="s">
        <v>474</v>
      </c>
      <c r="C1187" t="s">
        <v>44</v>
      </c>
      <c r="D1187" t="s">
        <v>475</v>
      </c>
      <c r="E1187" t="s">
        <v>134</v>
      </c>
      <c r="F1187" t="s">
        <v>475</v>
      </c>
      <c r="G1187" t="s">
        <v>33</v>
      </c>
      <c r="H1187" t="s">
        <v>453</v>
      </c>
      <c r="I1187" t="s">
        <v>135</v>
      </c>
      <c r="J1187" t="s">
        <v>40</v>
      </c>
      <c r="K1187" t="s">
        <v>33</v>
      </c>
      <c r="L1187">
        <v>7.9536631333358532E-2</v>
      </c>
      <c r="M1187">
        <v>1</v>
      </c>
      <c r="N1187">
        <v>5.0242646361273096</v>
      </c>
      <c r="O1187">
        <v>1.7054155637884916</v>
      </c>
      <c r="P1187">
        <v>-0.75648033687548133</v>
      </c>
      <c r="Q1187">
        <v>1.3498045353129324</v>
      </c>
      <c r="R1187">
        <v>-0.38209153328775169</v>
      </c>
      <c r="S1187" s="2">
        <v>3.1929849625385454</v>
      </c>
      <c r="T1187" s="2">
        <v>5.1537907016650673</v>
      </c>
      <c r="U1187" s="2">
        <v>7.7624323624916203</v>
      </c>
      <c r="V1187" s="2">
        <v>11.031762090454524</v>
      </c>
      <c r="W1187" s="2">
        <v>14.890549490168539</v>
      </c>
      <c r="X1187" s="2">
        <v>19.154727649454461</v>
      </c>
      <c r="Y1187" s="2">
        <v>23.508472390358556</v>
      </c>
      <c r="Z1187" s="2">
        <v>27.508375929947089</v>
      </c>
      <c r="AA1187" s="2">
        <v>30.624703555950273</v>
      </c>
      <c r="AB1187" s="2">
        <v>32.327781810379619</v>
      </c>
      <c r="AC1187" s="2">
        <v>32.212504740501586</v>
      </c>
      <c r="AD1187" s="2">
        <v>30.131642040036514</v>
      </c>
      <c r="AE1187" s="2">
        <v>26.288233617208778</v>
      </c>
      <c r="AF1187" s="2">
        <v>21.572493860998513</v>
      </c>
      <c r="AG1187" s="2">
        <v>3.8656116973024299</v>
      </c>
      <c r="AH1187" s="2">
        <v>0</v>
      </c>
      <c r="AI1187" s="2">
        <v>0</v>
      </c>
      <c r="AJ1187" s="2">
        <v>0</v>
      </c>
      <c r="AK1187" s="2">
        <v>0</v>
      </c>
      <c r="AL1187" s="2">
        <v>0</v>
      </c>
      <c r="AM1187" s="2">
        <v>0</v>
      </c>
      <c r="AN1187" s="2">
        <v>0</v>
      </c>
      <c r="AO1187" s="2">
        <v>0</v>
      </c>
      <c r="AP1187" s="2">
        <v>0</v>
      </c>
      <c r="AQ1187" s="2">
        <v>0</v>
      </c>
      <c r="AR1187" s="2">
        <v>289.2260668994561</v>
      </c>
    </row>
    <row r="1188" spans="1:44" x14ac:dyDescent="0.25">
      <c r="A1188" t="s">
        <v>435</v>
      </c>
      <c r="B1188" t="s">
        <v>474</v>
      </c>
      <c r="C1188" t="s">
        <v>44</v>
      </c>
      <c r="D1188" t="s">
        <v>475</v>
      </c>
      <c r="E1188" t="s">
        <v>134</v>
      </c>
      <c r="F1188" t="s">
        <v>475</v>
      </c>
      <c r="G1188" t="s">
        <v>33</v>
      </c>
      <c r="H1188" t="s">
        <v>453</v>
      </c>
      <c r="I1188" t="s">
        <v>256</v>
      </c>
      <c r="J1188" t="s">
        <v>40</v>
      </c>
      <c r="K1188" t="s">
        <v>33</v>
      </c>
      <c r="L1188">
        <v>7.9536631333358532E-2</v>
      </c>
      <c r="M1188">
        <v>1</v>
      </c>
      <c r="N1188">
        <v>4.6198497050152856</v>
      </c>
      <c r="O1188">
        <v>1.473762203864009</v>
      </c>
      <c r="P1188">
        <v>-0.63100424586121473</v>
      </c>
      <c r="Q1188">
        <v>1.3498045353129324</v>
      </c>
      <c r="R1188">
        <v>-0.25661544227348515</v>
      </c>
      <c r="S1188" s="2">
        <v>1.643739849647528</v>
      </c>
      <c r="T1188" s="2">
        <v>2.6531572345190759</v>
      </c>
      <c r="U1188" s="2">
        <v>3.9960787645792264</v>
      </c>
      <c r="V1188" s="2">
        <v>5.6791206888410475</v>
      </c>
      <c r="W1188" s="2">
        <v>7.6656137962764426</v>
      </c>
      <c r="X1188" s="2">
        <v>9.8608009483143686</v>
      </c>
      <c r="Y1188" s="2">
        <v>12.102096729465741</v>
      </c>
      <c r="Z1188" s="2">
        <v>14.161236036385825</v>
      </c>
      <c r="AA1188" s="2">
        <v>15.765512900673459</v>
      </c>
      <c r="AB1188" s="2">
        <v>16.642252887462504</v>
      </c>
      <c r="AC1188" s="2">
        <v>16.58290856992507</v>
      </c>
      <c r="AD1188" s="2">
        <v>15.511686192579377</v>
      </c>
      <c r="AE1188" s="2">
        <v>13.533110140016261</v>
      </c>
      <c r="AF1188" s="2">
        <v>11.105460323686643</v>
      </c>
      <c r="AG1188" s="2">
        <v>1.9900062370064642</v>
      </c>
      <c r="AH1188" s="2">
        <v>0</v>
      </c>
      <c r="AI1188" s="2">
        <v>0</v>
      </c>
      <c r="AJ1188" s="2">
        <v>0</v>
      </c>
      <c r="AK1188" s="2">
        <v>0</v>
      </c>
      <c r="AL1188" s="2">
        <v>0</v>
      </c>
      <c r="AM1188" s="2">
        <v>0</v>
      </c>
      <c r="AN1188" s="2">
        <v>0</v>
      </c>
      <c r="AO1188" s="2">
        <v>0</v>
      </c>
      <c r="AP1188" s="2">
        <v>0</v>
      </c>
      <c r="AQ1188" s="2">
        <v>0</v>
      </c>
      <c r="AR1188" s="2">
        <v>148.89278129937901</v>
      </c>
    </row>
    <row r="1189" spans="1:44" x14ac:dyDescent="0.25">
      <c r="A1189" t="s">
        <v>435</v>
      </c>
      <c r="B1189" t="s">
        <v>474</v>
      </c>
      <c r="C1189" t="s">
        <v>44</v>
      </c>
      <c r="D1189" t="s">
        <v>475</v>
      </c>
      <c r="E1189" t="s">
        <v>134</v>
      </c>
      <c r="F1189" t="s">
        <v>475</v>
      </c>
      <c r="G1189" t="s">
        <v>33</v>
      </c>
      <c r="H1189" t="s">
        <v>454</v>
      </c>
      <c r="I1189" t="s">
        <v>135</v>
      </c>
      <c r="J1189" t="s">
        <v>39</v>
      </c>
      <c r="K1189" t="s">
        <v>31</v>
      </c>
      <c r="L1189">
        <v>7.9536631333358532E-2</v>
      </c>
      <c r="M1189">
        <v>1</v>
      </c>
      <c r="N1189">
        <v>5.0242646361273096</v>
      </c>
      <c r="O1189">
        <v>2.8779545327574687</v>
      </c>
      <c r="P1189">
        <v>-0.75648033687548133</v>
      </c>
      <c r="Q1189">
        <v>0.31026572305143058</v>
      </c>
      <c r="R1189">
        <v>-0.52509153328775171</v>
      </c>
      <c r="S1189" s="2">
        <v>9.4886244627180854E-3</v>
      </c>
      <c r="T1189" s="2">
        <v>1.5315569945142771E-2</v>
      </c>
      <c r="U1189" s="2">
        <v>2.3067695735834014E-2</v>
      </c>
      <c r="V1189" s="2">
        <v>3.2783194680363024E-2</v>
      </c>
      <c r="W1189" s="2">
        <v>4.4250390720097801E-2</v>
      </c>
      <c r="X1189" s="2">
        <v>5.6922290422193607E-2</v>
      </c>
      <c r="Y1189" s="2">
        <v>6.9860356005856425E-2</v>
      </c>
      <c r="Z1189" s="2">
        <v>8.1746908250711917E-2</v>
      </c>
      <c r="AA1189" s="2">
        <v>9.1007729361008941E-2</v>
      </c>
      <c r="AB1189" s="2">
        <v>9.6068783570939786E-2</v>
      </c>
      <c r="AC1189" s="2">
        <v>9.5726213581394451E-2</v>
      </c>
      <c r="AD1189" s="2">
        <v>8.9542493659490144E-2</v>
      </c>
      <c r="AE1189" s="2">
        <v>7.8120999474918087E-2</v>
      </c>
      <c r="AF1189" s="2">
        <v>6.4107189784121985E-2</v>
      </c>
      <c r="AG1189" s="2">
        <v>1.1487475871239952E-2</v>
      </c>
      <c r="AH1189" s="2">
        <v>0</v>
      </c>
      <c r="AI1189" s="2">
        <v>0</v>
      </c>
      <c r="AJ1189" s="2">
        <v>0</v>
      </c>
      <c r="AK1189" s="2">
        <v>0</v>
      </c>
      <c r="AL1189" s="2">
        <v>0</v>
      </c>
      <c r="AM1189" s="2">
        <v>0</v>
      </c>
      <c r="AN1189" s="2">
        <v>0</v>
      </c>
      <c r="AO1189" s="2">
        <v>0</v>
      </c>
      <c r="AP1189" s="2">
        <v>0</v>
      </c>
      <c r="AQ1189" s="2">
        <v>0</v>
      </c>
      <c r="AR1189" s="2">
        <v>0.85949591552603111</v>
      </c>
    </row>
    <row r="1190" spans="1:44" x14ac:dyDescent="0.25">
      <c r="A1190" t="s">
        <v>435</v>
      </c>
      <c r="B1190" t="s">
        <v>474</v>
      </c>
      <c r="C1190" t="s">
        <v>44</v>
      </c>
      <c r="D1190" t="s">
        <v>475</v>
      </c>
      <c r="E1190" t="s">
        <v>134</v>
      </c>
      <c r="F1190" t="s">
        <v>475</v>
      </c>
      <c r="G1190" t="s">
        <v>33</v>
      </c>
      <c r="H1190" t="s">
        <v>454</v>
      </c>
      <c r="I1190" t="s">
        <v>135</v>
      </c>
      <c r="J1190" t="s">
        <v>39</v>
      </c>
      <c r="K1190" t="s">
        <v>33</v>
      </c>
      <c r="L1190">
        <v>7.9536631333358532E-2</v>
      </c>
      <c r="M1190">
        <v>1</v>
      </c>
      <c r="N1190">
        <v>5.0242646361273096</v>
      </c>
      <c r="O1190">
        <v>2.8779545327574687</v>
      </c>
      <c r="P1190">
        <v>-0.75648033687548133</v>
      </c>
      <c r="Q1190">
        <v>0.31026572305143058</v>
      </c>
      <c r="R1190">
        <v>-0.52509153328775171</v>
      </c>
      <c r="S1190" s="2">
        <v>7.6146251019733394E-2</v>
      </c>
      <c r="T1190" s="2">
        <v>0.12290751289982578</v>
      </c>
      <c r="U1190" s="2">
        <v>0.18511835480993238</v>
      </c>
      <c r="V1190" s="2">
        <v>0.26308527449558505</v>
      </c>
      <c r="W1190" s="2">
        <v>0.35510957070047533</v>
      </c>
      <c r="X1190" s="2">
        <v>0.45680161883705678</v>
      </c>
      <c r="Y1190" s="2">
        <v>0.56062964928702042</v>
      </c>
      <c r="Z1190" s="2">
        <v>0.65601928079285643</v>
      </c>
      <c r="AA1190" s="2">
        <v>0.73033740895613741</v>
      </c>
      <c r="AB1190" s="2">
        <v>0.7709523901694918</v>
      </c>
      <c r="AC1190" s="2">
        <v>0.76820326456986099</v>
      </c>
      <c r="AD1190" s="2">
        <v>0.71857888631997391</v>
      </c>
      <c r="AE1190" s="2">
        <v>0.62692134769401009</v>
      </c>
      <c r="AF1190" s="2">
        <v>0.51446046628270636</v>
      </c>
      <c r="AG1190" s="2">
        <v>9.2187041937582023E-2</v>
      </c>
      <c r="AH1190" s="2">
        <v>0</v>
      </c>
      <c r="AI1190" s="2">
        <v>0</v>
      </c>
      <c r="AJ1190" s="2">
        <v>0</v>
      </c>
      <c r="AK1190" s="2">
        <v>0</v>
      </c>
      <c r="AL1190" s="2">
        <v>0</v>
      </c>
      <c r="AM1190" s="2">
        <v>0</v>
      </c>
      <c r="AN1190" s="2">
        <v>0</v>
      </c>
      <c r="AO1190" s="2">
        <v>0</v>
      </c>
      <c r="AP1190" s="2">
        <v>0</v>
      </c>
      <c r="AQ1190" s="2">
        <v>0</v>
      </c>
      <c r="AR1190" s="2">
        <v>6.8974583187722489</v>
      </c>
    </row>
    <row r="1191" spans="1:44" x14ac:dyDescent="0.25">
      <c r="A1191" t="s">
        <v>435</v>
      </c>
      <c r="B1191" t="s">
        <v>474</v>
      </c>
      <c r="C1191" t="s">
        <v>44</v>
      </c>
      <c r="D1191" t="s">
        <v>475</v>
      </c>
      <c r="E1191" t="s">
        <v>134</v>
      </c>
      <c r="F1191" t="s">
        <v>475</v>
      </c>
      <c r="G1191" t="s">
        <v>33</v>
      </c>
      <c r="H1191" t="s">
        <v>455</v>
      </c>
      <c r="I1191" t="s">
        <v>135</v>
      </c>
      <c r="J1191" t="s">
        <v>39</v>
      </c>
      <c r="K1191" t="s">
        <v>31</v>
      </c>
      <c r="L1191">
        <v>7.9536631333358532E-2</v>
      </c>
      <c r="M1191">
        <v>1</v>
      </c>
      <c r="N1191">
        <v>5.0242646361273096</v>
      </c>
      <c r="O1191">
        <v>2.8779545327574687</v>
      </c>
      <c r="P1191">
        <v>-0.75648033687548133</v>
      </c>
      <c r="Q1191">
        <v>0.31026572305143058</v>
      </c>
      <c r="R1191">
        <v>-0.52509153328775171</v>
      </c>
      <c r="S1191" s="2">
        <v>2.2356605673402993E-3</v>
      </c>
      <c r="T1191" s="2">
        <v>3.6085752921545702E-3</v>
      </c>
      <c r="U1191" s="2">
        <v>5.4350910333356185E-3</v>
      </c>
      <c r="V1191" s="2">
        <v>7.7242065914085965E-3</v>
      </c>
      <c r="W1191" s="2">
        <v>1.0426047949418461E-2</v>
      </c>
      <c r="X1191" s="2">
        <v>1.3411735346846722E-2</v>
      </c>
      <c r="Y1191" s="2">
        <v>1.6460135371181944E-2</v>
      </c>
      <c r="Z1191" s="2">
        <v>1.9260783266972031E-2</v>
      </c>
      <c r="AA1191" s="2">
        <v>2.1442769987895838E-2</v>
      </c>
      <c r="AB1191" s="2">
        <v>2.2635229376585013E-2</v>
      </c>
      <c r="AC1191" s="2">
        <v>2.2554514809348232E-2</v>
      </c>
      <c r="AD1191" s="2">
        <v>2.1097538738349013E-2</v>
      </c>
      <c r="AE1191" s="2">
        <v>1.840646541482539E-2</v>
      </c>
      <c r="AF1191" s="2">
        <v>1.5104604133769963E-2</v>
      </c>
      <c r="AG1191" s="2">
        <v>2.7066195869076804E-3</v>
      </c>
      <c r="AH1191" s="2">
        <v>0</v>
      </c>
      <c r="AI1191" s="2">
        <v>0</v>
      </c>
      <c r="AJ1191" s="2">
        <v>0</v>
      </c>
      <c r="AK1191" s="2">
        <v>0</v>
      </c>
      <c r="AL1191" s="2">
        <v>0</v>
      </c>
      <c r="AM1191" s="2">
        <v>0</v>
      </c>
      <c r="AN1191" s="2">
        <v>0</v>
      </c>
      <c r="AO1191" s="2">
        <v>0</v>
      </c>
      <c r="AP1191" s="2">
        <v>0</v>
      </c>
      <c r="AQ1191" s="2">
        <v>0</v>
      </c>
      <c r="AR1191" s="2">
        <v>0.20250997746633942</v>
      </c>
    </row>
    <row r="1192" spans="1:44" x14ac:dyDescent="0.25">
      <c r="A1192" t="s">
        <v>435</v>
      </c>
      <c r="B1192" t="s">
        <v>474</v>
      </c>
      <c r="C1192" t="s">
        <v>44</v>
      </c>
      <c r="D1192" t="s">
        <v>475</v>
      </c>
      <c r="E1192" t="s">
        <v>134</v>
      </c>
      <c r="F1192" t="s">
        <v>475</v>
      </c>
      <c r="G1192" t="s">
        <v>33</v>
      </c>
      <c r="H1192" t="s">
        <v>455</v>
      </c>
      <c r="I1192" t="s">
        <v>135</v>
      </c>
      <c r="J1192" t="s">
        <v>39</v>
      </c>
      <c r="K1192" t="s">
        <v>33</v>
      </c>
      <c r="L1192">
        <v>7.9536631333358532E-2</v>
      </c>
      <c r="M1192">
        <v>1</v>
      </c>
      <c r="N1192">
        <v>5.0242646361273096</v>
      </c>
      <c r="O1192">
        <v>2.8779545327574687</v>
      </c>
      <c r="P1192">
        <v>-0.75648033687548133</v>
      </c>
      <c r="Q1192">
        <v>0.31026572305143058</v>
      </c>
      <c r="R1192">
        <v>-0.52509153328775171</v>
      </c>
      <c r="S1192" s="2">
        <v>5.6843409444013067E-2</v>
      </c>
      <c r="T1192" s="2">
        <v>9.1750834557824235E-2</v>
      </c>
      <c r="U1192" s="2">
        <v>0.13819141844995214</v>
      </c>
      <c r="V1192" s="2">
        <v>0.19639396262552167</v>
      </c>
      <c r="W1192" s="2">
        <v>0.26509038139755164</v>
      </c>
      <c r="X1192" s="2">
        <v>0.34100380657629026</v>
      </c>
      <c r="Y1192" s="2">
        <v>0.4185117490894843</v>
      </c>
      <c r="Z1192" s="2">
        <v>0.48972040096381741</v>
      </c>
      <c r="AA1192" s="2">
        <v>0.54519911110022612</v>
      </c>
      <c r="AB1192" s="2">
        <v>0.57551831888464222</v>
      </c>
      <c r="AC1192" s="2">
        <v>0.57346608821037903</v>
      </c>
      <c r="AD1192" s="2">
        <v>0.53642133796349056</v>
      </c>
      <c r="AE1192" s="2">
        <v>0.46799870484664952</v>
      </c>
      <c r="AF1192" s="2">
        <v>0.38404631266859379</v>
      </c>
      <c r="AG1192" s="2">
        <v>6.8817908959594026E-2</v>
      </c>
      <c r="AH1192" s="2">
        <v>0</v>
      </c>
      <c r="AI1192" s="2">
        <v>0</v>
      </c>
      <c r="AJ1192" s="2">
        <v>0</v>
      </c>
      <c r="AK1192" s="2">
        <v>0</v>
      </c>
      <c r="AL1192" s="2">
        <v>0</v>
      </c>
      <c r="AM1192" s="2">
        <v>0</v>
      </c>
      <c r="AN1192" s="2">
        <v>0</v>
      </c>
      <c r="AO1192" s="2">
        <v>0</v>
      </c>
      <c r="AP1192" s="2">
        <v>0</v>
      </c>
      <c r="AQ1192" s="2">
        <v>0</v>
      </c>
      <c r="AR1192" s="2">
        <v>5.1489737457380302</v>
      </c>
    </row>
    <row r="1193" spans="1:44" x14ac:dyDescent="0.25">
      <c r="A1193" t="s">
        <v>435</v>
      </c>
      <c r="B1193" t="s">
        <v>474</v>
      </c>
      <c r="C1193" t="s">
        <v>44</v>
      </c>
      <c r="D1193" t="s">
        <v>475</v>
      </c>
      <c r="E1193" t="s">
        <v>134</v>
      </c>
      <c r="F1193" t="s">
        <v>475</v>
      </c>
      <c r="G1193" t="s">
        <v>33</v>
      </c>
      <c r="H1193" t="s">
        <v>457</v>
      </c>
      <c r="I1193" t="s">
        <v>135</v>
      </c>
      <c r="J1193" t="s">
        <v>39</v>
      </c>
      <c r="K1193" t="s">
        <v>31</v>
      </c>
      <c r="L1193">
        <v>7.9536631333358532E-2</v>
      </c>
      <c r="M1193">
        <v>1</v>
      </c>
      <c r="N1193">
        <v>5.0242646361273096</v>
      </c>
      <c r="O1193">
        <v>2.8779545327574687</v>
      </c>
      <c r="P1193">
        <v>-0.75648033687548133</v>
      </c>
      <c r="Q1193">
        <v>0.31026572305143058</v>
      </c>
      <c r="R1193">
        <v>-0.52509153328775171</v>
      </c>
      <c r="S1193" s="2">
        <v>0.14898242354182761</v>
      </c>
      <c r="T1193" s="2">
        <v>0.24047223465498194</v>
      </c>
      <c r="U1193" s="2">
        <v>0.36218961238830299</v>
      </c>
      <c r="V1193" s="2">
        <v>0.51473422877196906</v>
      </c>
      <c r="W1193" s="2">
        <v>0.69478252385852035</v>
      </c>
      <c r="X1193" s="2">
        <v>0.89374606550936098</v>
      </c>
      <c r="Y1193" s="2">
        <v>1.096888720608711</v>
      </c>
      <c r="Z1193" s="2">
        <v>1.2835213951289375</v>
      </c>
      <c r="AA1193" s="2">
        <v>1.4289270414816173</v>
      </c>
      <c r="AB1193" s="2">
        <v>1.508391470159836</v>
      </c>
      <c r="AC1193" s="2">
        <v>1.5030127234852591</v>
      </c>
      <c r="AD1193" s="2">
        <v>1.4059211393374251</v>
      </c>
      <c r="AE1193" s="2">
        <v>1.2265904164521189</v>
      </c>
      <c r="AF1193" s="2">
        <v>1.0065573295708738</v>
      </c>
      <c r="AG1193" s="2">
        <v>0.18036671199287335</v>
      </c>
      <c r="AH1193" s="2">
        <v>0</v>
      </c>
      <c r="AI1193" s="2">
        <v>0</v>
      </c>
      <c r="AJ1193" s="2">
        <v>0</v>
      </c>
      <c r="AK1193" s="2">
        <v>0</v>
      </c>
      <c r="AL1193" s="2">
        <v>0</v>
      </c>
      <c r="AM1193" s="2">
        <v>0</v>
      </c>
      <c r="AN1193" s="2">
        <v>0</v>
      </c>
      <c r="AO1193" s="2">
        <v>0</v>
      </c>
      <c r="AP1193" s="2">
        <v>0</v>
      </c>
      <c r="AQ1193" s="2">
        <v>0</v>
      </c>
      <c r="AR1193" s="2">
        <v>13.495084036942618</v>
      </c>
    </row>
    <row r="1194" spans="1:44" x14ac:dyDescent="0.25">
      <c r="A1194" t="s">
        <v>435</v>
      </c>
      <c r="B1194" t="s">
        <v>474</v>
      </c>
      <c r="C1194" t="s">
        <v>44</v>
      </c>
      <c r="D1194" t="s">
        <v>475</v>
      </c>
      <c r="E1194" t="s">
        <v>134</v>
      </c>
      <c r="F1194" t="s">
        <v>475</v>
      </c>
      <c r="G1194" t="s">
        <v>33</v>
      </c>
      <c r="H1194" t="s">
        <v>457</v>
      </c>
      <c r="I1194" t="s">
        <v>135</v>
      </c>
      <c r="J1194" t="s">
        <v>39</v>
      </c>
      <c r="K1194" t="s">
        <v>33</v>
      </c>
      <c r="L1194">
        <v>7.9536631333358532E-2</v>
      </c>
      <c r="M1194">
        <v>1</v>
      </c>
      <c r="N1194">
        <v>5.0242646361273096</v>
      </c>
      <c r="O1194">
        <v>2.8779545327574687</v>
      </c>
      <c r="P1194">
        <v>-0.75648033687548133</v>
      </c>
      <c r="Q1194">
        <v>0.31026572305143058</v>
      </c>
      <c r="R1194">
        <v>-0.52509153328775171</v>
      </c>
      <c r="S1194" s="2">
        <v>4.3591448236698027E-2</v>
      </c>
      <c r="T1194" s="2">
        <v>7.036087022965308E-2</v>
      </c>
      <c r="U1194" s="2">
        <v>0.10597471409680595</v>
      </c>
      <c r="V1194" s="2">
        <v>0.15060844061830136</v>
      </c>
      <c r="W1194" s="2">
        <v>0.20328959419859341</v>
      </c>
      <c r="X1194" s="2">
        <v>0.2615052462243353</v>
      </c>
      <c r="Y1194" s="2">
        <v>0.32094368415485097</v>
      </c>
      <c r="Z1194" s="2">
        <v>0.37555139140792076</v>
      </c>
      <c r="AA1194" s="2">
        <v>0.41809629405898358</v>
      </c>
      <c r="AB1194" s="2">
        <v>0.44134715444261002</v>
      </c>
      <c r="AC1194" s="2">
        <v>0.43977336236922954</v>
      </c>
      <c r="AD1194" s="2">
        <v>0.41136489200083715</v>
      </c>
      <c r="AE1194" s="2">
        <v>0.35889369615061179</v>
      </c>
      <c r="AF1194" s="2">
        <v>0.29451320958635746</v>
      </c>
      <c r="AG1194" s="2">
        <v>5.2774320638254289E-2</v>
      </c>
      <c r="AH1194" s="2">
        <v>0</v>
      </c>
      <c r="AI1194" s="2">
        <v>0</v>
      </c>
      <c r="AJ1194" s="2">
        <v>0</v>
      </c>
      <c r="AK1194" s="2">
        <v>0</v>
      </c>
      <c r="AL1194" s="2">
        <v>0</v>
      </c>
      <c r="AM1194" s="2">
        <v>0</v>
      </c>
      <c r="AN1194" s="2">
        <v>0</v>
      </c>
      <c r="AO1194" s="2">
        <v>0</v>
      </c>
      <c r="AP1194" s="2">
        <v>0</v>
      </c>
      <c r="AQ1194" s="2">
        <v>0</v>
      </c>
      <c r="AR1194" s="2">
        <v>3.9485883184140431</v>
      </c>
    </row>
    <row r="1195" spans="1:44" x14ac:dyDescent="0.25">
      <c r="A1195" t="s">
        <v>435</v>
      </c>
      <c r="B1195" t="s">
        <v>474</v>
      </c>
      <c r="C1195" t="s">
        <v>44</v>
      </c>
      <c r="D1195" t="s">
        <v>475</v>
      </c>
      <c r="E1195" t="s">
        <v>134</v>
      </c>
      <c r="F1195" t="s">
        <v>475</v>
      </c>
      <c r="G1195" t="s">
        <v>33</v>
      </c>
      <c r="H1195" t="s">
        <v>457</v>
      </c>
      <c r="I1195" t="s">
        <v>256</v>
      </c>
      <c r="J1195" t="s">
        <v>39</v>
      </c>
      <c r="K1195" t="s">
        <v>33</v>
      </c>
      <c r="L1195">
        <v>7.9536631333358532E-2</v>
      </c>
      <c r="M1195">
        <v>1</v>
      </c>
      <c r="N1195">
        <v>4.6198497050152856</v>
      </c>
      <c r="O1195">
        <v>2.6463011728329868</v>
      </c>
      <c r="P1195">
        <v>-0.63100424586121473</v>
      </c>
      <c r="Q1195">
        <v>1.3498045353129324</v>
      </c>
      <c r="R1195">
        <v>-0.39961544227348506</v>
      </c>
      <c r="S1195" s="2">
        <v>0.11987940759487258</v>
      </c>
      <c r="T1195" s="2">
        <v>0.19349711427778526</v>
      </c>
      <c r="U1195" s="2">
        <v>0.2914375745668828</v>
      </c>
      <c r="V1195" s="2">
        <v>0.41418331738081154</v>
      </c>
      <c r="W1195" s="2">
        <v>0.55906002458099158</v>
      </c>
      <c r="X1195" s="2">
        <v>0.71915697386564381</v>
      </c>
      <c r="Y1195" s="2">
        <v>0.88261666643617376</v>
      </c>
      <c r="Z1195" s="2">
        <v>1.0327915255063778</v>
      </c>
      <c r="AA1195" s="2">
        <v>1.1497928625185583</v>
      </c>
      <c r="AB1195" s="2">
        <v>1.2137342886837419</v>
      </c>
      <c r="AC1195" s="2">
        <v>1.2094062548820217</v>
      </c>
      <c r="AD1195" s="2">
        <v>1.1312810551880979</v>
      </c>
      <c r="AE1195" s="2">
        <v>0.98698174583356157</v>
      </c>
      <c r="AF1195" s="2">
        <v>0.80993108791357393</v>
      </c>
      <c r="AG1195" s="2">
        <v>0.14513292286099849</v>
      </c>
      <c r="AH1195" s="2">
        <v>0</v>
      </c>
      <c r="AI1195" s="2">
        <v>0</v>
      </c>
      <c r="AJ1195" s="2">
        <v>0</v>
      </c>
      <c r="AK1195" s="2">
        <v>0</v>
      </c>
      <c r="AL1195" s="2">
        <v>0</v>
      </c>
      <c r="AM1195" s="2">
        <v>0</v>
      </c>
      <c r="AN1195" s="2">
        <v>0</v>
      </c>
      <c r="AO1195" s="2">
        <v>0</v>
      </c>
      <c r="AP1195" s="2">
        <v>0</v>
      </c>
      <c r="AQ1195" s="2">
        <v>0</v>
      </c>
      <c r="AR1195" s="2">
        <v>10.858882822090091</v>
      </c>
    </row>
    <row r="1196" spans="1:44" x14ac:dyDescent="0.25">
      <c r="A1196" t="s">
        <v>435</v>
      </c>
      <c r="B1196" t="s">
        <v>474</v>
      </c>
      <c r="C1196" t="s">
        <v>44</v>
      </c>
      <c r="D1196" t="s">
        <v>475</v>
      </c>
      <c r="E1196" t="s">
        <v>134</v>
      </c>
      <c r="F1196" t="s">
        <v>475</v>
      </c>
      <c r="G1196" t="s">
        <v>33</v>
      </c>
      <c r="H1196" t="s">
        <v>457</v>
      </c>
      <c r="I1196" t="s">
        <v>256</v>
      </c>
      <c r="J1196" t="s">
        <v>40</v>
      </c>
      <c r="K1196" t="s">
        <v>33</v>
      </c>
      <c r="L1196">
        <v>7.9536631333358532E-2</v>
      </c>
      <c r="M1196">
        <v>1</v>
      </c>
      <c r="N1196">
        <v>4.6198497050152856</v>
      </c>
      <c r="O1196">
        <v>1.473762203864009</v>
      </c>
      <c r="P1196">
        <v>-0.63100424586121473</v>
      </c>
      <c r="Q1196">
        <v>1.3498045353129324</v>
      </c>
      <c r="R1196">
        <v>-0.25661544227348515</v>
      </c>
      <c r="S1196" s="2">
        <v>1.0969425669913662</v>
      </c>
      <c r="T1196" s="2">
        <v>1.7705728239715957</v>
      </c>
      <c r="U1196" s="2">
        <v>2.666765607013291</v>
      </c>
      <c r="V1196" s="2">
        <v>3.7899362408272346</v>
      </c>
      <c r="W1196" s="2">
        <v>5.1156136885377732</v>
      </c>
      <c r="X1196" s="2">
        <v>6.5805621900292355</v>
      </c>
      <c r="Y1196" s="2">
        <v>8.0762810825841065</v>
      </c>
      <c r="Z1196" s="2">
        <v>9.4504386523540962</v>
      </c>
      <c r="AA1196" s="2">
        <v>10.521045769443758</v>
      </c>
      <c r="AB1196" s="2">
        <v>11.106134347723701</v>
      </c>
      <c r="AC1196" s="2">
        <v>11.066531178140739</v>
      </c>
      <c r="AD1196" s="2">
        <v>10.351655630969356</v>
      </c>
      <c r="AE1196" s="2">
        <v>9.0312615950447359</v>
      </c>
      <c r="AF1196" s="2">
        <v>7.4111801558487667</v>
      </c>
      <c r="AG1196" s="2">
        <v>1.3280219192951053</v>
      </c>
      <c r="AH1196" s="2">
        <v>0</v>
      </c>
      <c r="AI1196" s="2">
        <v>0</v>
      </c>
      <c r="AJ1196" s="2">
        <v>0</v>
      </c>
      <c r="AK1196" s="2">
        <v>0</v>
      </c>
      <c r="AL1196" s="2">
        <v>0</v>
      </c>
      <c r="AM1196" s="2">
        <v>0</v>
      </c>
      <c r="AN1196" s="2">
        <v>0</v>
      </c>
      <c r="AO1196" s="2">
        <v>0</v>
      </c>
      <c r="AP1196" s="2">
        <v>0</v>
      </c>
      <c r="AQ1196" s="2">
        <v>0</v>
      </c>
      <c r="AR1196" s="2">
        <v>99.362943448774871</v>
      </c>
    </row>
    <row r="1197" spans="1:44" x14ac:dyDescent="0.25">
      <c r="A1197" t="s">
        <v>435</v>
      </c>
      <c r="B1197" t="s">
        <v>478</v>
      </c>
      <c r="C1197" t="s">
        <v>45</v>
      </c>
      <c r="D1197" t="s">
        <v>358</v>
      </c>
      <c r="E1197" t="s">
        <v>145</v>
      </c>
      <c r="F1197" t="s">
        <v>358</v>
      </c>
      <c r="G1197" t="s">
        <v>33</v>
      </c>
      <c r="H1197" t="s">
        <v>450</v>
      </c>
      <c r="I1197" t="s">
        <v>135</v>
      </c>
      <c r="J1197" t="s">
        <v>39</v>
      </c>
      <c r="K1197" t="s">
        <v>31</v>
      </c>
      <c r="L1197">
        <v>2.2326092598625055E-2</v>
      </c>
      <c r="M1197">
        <v>1</v>
      </c>
      <c r="N1197">
        <v>2.0723427924853257</v>
      </c>
      <c r="O1197">
        <v>3.1523474906593343</v>
      </c>
      <c r="P1197">
        <v>-0.39143361450399961</v>
      </c>
      <c r="Q1197">
        <v>0.82393863314836524</v>
      </c>
      <c r="R1197">
        <v>-0.67371772101320482</v>
      </c>
      <c r="S1197" s="2">
        <v>6.5433746455348272E-3</v>
      </c>
      <c r="T1197" s="2">
        <v>1.2217526055871997E-2</v>
      </c>
      <c r="U1197" s="2">
        <v>2.0745495940821972E-2</v>
      </c>
      <c r="V1197" s="2">
        <v>3.2839147080553237E-2</v>
      </c>
      <c r="W1197" s="2">
        <v>4.9125735396041967E-2</v>
      </c>
      <c r="X1197" s="2">
        <v>7.0023228582111671E-2</v>
      </c>
      <c r="Y1197" s="2">
        <v>9.5595569565659302E-2</v>
      </c>
      <c r="Z1197" s="2">
        <v>0.12541369158402407</v>
      </c>
      <c r="AA1197" s="2">
        <v>0.15846343063814949</v>
      </c>
      <c r="AB1197" s="2">
        <v>0.19315010379286909</v>
      </c>
      <c r="AC1197" s="2">
        <v>0.22744134794873402</v>
      </c>
      <c r="AD1197" s="2">
        <v>0.2591569300261819</v>
      </c>
      <c r="AE1197" s="2">
        <v>0.28635895072517081</v>
      </c>
      <c r="AF1197" s="2">
        <v>0.30773746979604483</v>
      </c>
      <c r="AG1197" s="2">
        <v>0.32285869100450898</v>
      </c>
      <c r="AH1197" s="2">
        <v>0.33308791640509627</v>
      </c>
      <c r="AI1197" s="2">
        <v>0.33740612481044996</v>
      </c>
      <c r="AJ1197" s="2">
        <v>0.34027141418735496</v>
      </c>
      <c r="AK1197" s="2">
        <v>0.33900442653537777</v>
      </c>
      <c r="AL1197" s="2">
        <v>0.33639118783781669</v>
      </c>
      <c r="AM1197" s="2">
        <v>0.33379809346863559</v>
      </c>
      <c r="AN1197" s="2">
        <v>0.33122498814390827</v>
      </c>
      <c r="AO1197" s="2">
        <v>0.32867171777672455</v>
      </c>
      <c r="AP1197" s="2">
        <v>0.32613812946796433</v>
      </c>
      <c r="AQ1197" s="2">
        <v>0.3236240714971404</v>
      </c>
      <c r="AR1197" s="2">
        <v>5.4972887629127465</v>
      </c>
    </row>
    <row r="1198" spans="1:44" x14ac:dyDescent="0.25">
      <c r="A1198" t="s">
        <v>435</v>
      </c>
      <c r="B1198" t="s">
        <v>478</v>
      </c>
      <c r="C1198" t="s">
        <v>45</v>
      </c>
      <c r="D1198" t="s">
        <v>358</v>
      </c>
      <c r="E1198" t="s">
        <v>145</v>
      </c>
      <c r="F1198" t="s">
        <v>358</v>
      </c>
      <c r="G1198" t="s">
        <v>33</v>
      </c>
      <c r="H1198" t="s">
        <v>450</v>
      </c>
      <c r="I1198" t="s">
        <v>135</v>
      </c>
      <c r="J1198" t="s">
        <v>39</v>
      </c>
      <c r="K1198" t="s">
        <v>33</v>
      </c>
      <c r="L1198">
        <v>2.2326092598625055E-2</v>
      </c>
      <c r="M1198">
        <v>1</v>
      </c>
      <c r="N1198">
        <v>2.0723427924853257</v>
      </c>
      <c r="O1198">
        <v>3.1523474906593343</v>
      </c>
      <c r="P1198">
        <v>-0.39143361450399961</v>
      </c>
      <c r="Q1198">
        <v>0.82393863314836524</v>
      </c>
      <c r="R1198">
        <v>-0.67371772101320482</v>
      </c>
      <c r="S1198" s="2">
        <v>4.0312437315552082E-3</v>
      </c>
      <c r="T1198" s="2">
        <v>7.5217293757977805E-3</v>
      </c>
      <c r="U1198" s="2">
        <v>1.2763077655661308E-2</v>
      </c>
      <c r="V1198" s="2">
        <v>2.0189270141977338E-2</v>
      </c>
      <c r="W1198" s="2">
        <v>3.0181093805166304E-2</v>
      </c>
      <c r="X1198" s="2">
        <v>4.2989777928245855E-2</v>
      </c>
      <c r="Y1198" s="2">
        <v>5.8648646777553069E-2</v>
      </c>
      <c r="Z1198" s="2">
        <v>7.6888668926809525E-2</v>
      </c>
      <c r="AA1198" s="2">
        <v>9.7083093193096021E-2</v>
      </c>
      <c r="AB1198" s="2">
        <v>0.1182514996696156</v>
      </c>
      <c r="AC1198" s="2">
        <v>0.13914842406380198</v>
      </c>
      <c r="AD1198" s="2">
        <v>0.15844146825951266</v>
      </c>
      <c r="AE1198" s="2">
        <v>0.17495000298803487</v>
      </c>
      <c r="AF1198" s="2">
        <v>0.18788007752239699</v>
      </c>
      <c r="AG1198" s="2">
        <v>0.19697449412914103</v>
      </c>
      <c r="AH1198" s="2">
        <v>0.20307363849353816</v>
      </c>
      <c r="AI1198" s="2">
        <v>0.20556292768930476</v>
      </c>
      <c r="AJ1198" s="2">
        <v>0.20716408145543347</v>
      </c>
      <c r="AK1198" s="2">
        <v>0.2062488434261299</v>
      </c>
      <c r="AL1198" s="2">
        <v>0.20451629826607923</v>
      </c>
      <c r="AM1198" s="2">
        <v>0.20279830694633988</v>
      </c>
      <c r="AN1198" s="2">
        <v>0.20109474721078099</v>
      </c>
      <c r="AO1198" s="2">
        <v>0.19940549783025577</v>
      </c>
      <c r="AP1198" s="2">
        <v>0.19773043859397429</v>
      </c>
      <c r="AQ1198" s="2">
        <v>0.19606945030094963</v>
      </c>
      <c r="AR1198" s="2">
        <v>3.3496067983811519</v>
      </c>
    </row>
    <row r="1199" spans="1:44" x14ac:dyDescent="0.25">
      <c r="A1199" t="s">
        <v>435</v>
      </c>
      <c r="B1199" t="s">
        <v>478</v>
      </c>
      <c r="C1199" t="s">
        <v>45</v>
      </c>
      <c r="D1199" t="s">
        <v>358</v>
      </c>
      <c r="E1199" t="s">
        <v>145</v>
      </c>
      <c r="F1199" t="s">
        <v>358</v>
      </c>
      <c r="G1199" t="s">
        <v>33</v>
      </c>
      <c r="H1199" t="s">
        <v>450</v>
      </c>
      <c r="I1199" t="s">
        <v>256</v>
      </c>
      <c r="J1199" t="s">
        <v>40</v>
      </c>
      <c r="K1199" t="s">
        <v>33</v>
      </c>
      <c r="L1199">
        <v>2.2326092598625055E-2</v>
      </c>
      <c r="M1199">
        <v>1</v>
      </c>
      <c r="N1199">
        <v>1.7396696203434354</v>
      </c>
      <c r="O1199">
        <v>1.4737622038640092</v>
      </c>
      <c r="P1199">
        <v>-0.11733133576427998</v>
      </c>
      <c r="Q1199">
        <v>1.3498045353129324</v>
      </c>
      <c r="R1199">
        <v>-0.25661544227348509</v>
      </c>
      <c r="S1199" s="2">
        <v>0.10530416624111259</v>
      </c>
      <c r="T1199" s="2">
        <v>0.19661970535656406</v>
      </c>
      <c r="U1199" s="2">
        <v>0.33386245960979732</v>
      </c>
      <c r="V1199" s="2">
        <v>0.52848861493002219</v>
      </c>
      <c r="W1199" s="2">
        <v>0.79059275788095773</v>
      </c>
      <c r="X1199" s="2">
        <v>1.1269013472095664</v>
      </c>
      <c r="Y1199" s="2">
        <v>1.5384434324458935</v>
      </c>
      <c r="Z1199" s="2">
        <v>2.0183139347657275</v>
      </c>
      <c r="AA1199" s="2">
        <v>2.5501916590461082</v>
      </c>
      <c r="AB1199" s="2">
        <v>3.1084129735979649</v>
      </c>
      <c r="AC1199" s="2">
        <v>3.6602705502794288</v>
      </c>
      <c r="AD1199" s="2">
        <v>4.1706773523408494</v>
      </c>
      <c r="AE1199" s="2">
        <v>4.6084462812123199</v>
      </c>
      <c r="AF1199" s="2">
        <v>4.952496140525259</v>
      </c>
      <c r="AG1199" s="2">
        <v>5.1958457388844721</v>
      </c>
      <c r="AH1199" s="2">
        <v>5.3604672240437115</v>
      </c>
      <c r="AI1199" s="2">
        <v>5.4299612329327536</v>
      </c>
      <c r="AJ1199" s="2">
        <v>5.476073052172751</v>
      </c>
      <c r="AK1199" s="2">
        <v>5.4556831027113857</v>
      </c>
      <c r="AL1199" s="2">
        <v>5.4136275981525159</v>
      </c>
      <c r="AM1199" s="2">
        <v>5.3718962813132061</v>
      </c>
      <c r="AN1199" s="2">
        <v>5.3304866531703485</v>
      </c>
      <c r="AO1199" s="2">
        <v>5.2893962339647347</v>
      </c>
      <c r="AP1199" s="2">
        <v>5.2486225630525389</v>
      </c>
      <c r="AQ1199" s="2">
        <v>5.2081631987579868</v>
      </c>
      <c r="AR1199" s="2">
        <v>88.469244254597996</v>
      </c>
    </row>
    <row r="1200" spans="1:44" x14ac:dyDescent="0.25">
      <c r="A1200" t="s">
        <v>435</v>
      </c>
      <c r="B1200" t="s">
        <v>478</v>
      </c>
      <c r="C1200" t="s">
        <v>45</v>
      </c>
      <c r="D1200" t="s">
        <v>358</v>
      </c>
      <c r="E1200" t="s">
        <v>145</v>
      </c>
      <c r="F1200" t="s">
        <v>358</v>
      </c>
      <c r="G1200" t="s">
        <v>33</v>
      </c>
      <c r="H1200" t="s">
        <v>451</v>
      </c>
      <c r="I1200" t="s">
        <v>135</v>
      </c>
      <c r="J1200" t="s">
        <v>39</v>
      </c>
      <c r="K1200" t="s">
        <v>31</v>
      </c>
      <c r="L1200">
        <v>2.2326092598625055E-2</v>
      </c>
      <c r="M1200">
        <v>1</v>
      </c>
      <c r="N1200">
        <v>2.0723427924853257</v>
      </c>
      <c r="O1200">
        <v>3.1523474906593343</v>
      </c>
      <c r="P1200">
        <v>-0.39143361450399961</v>
      </c>
      <c r="Q1200">
        <v>0.82393863314836524</v>
      </c>
      <c r="R1200">
        <v>-0.67371772101320482</v>
      </c>
      <c r="S1200" s="2">
        <v>1.7116343447683105E-3</v>
      </c>
      <c r="T1200" s="2">
        <v>3.1958948307510486E-3</v>
      </c>
      <c r="U1200" s="2">
        <v>5.4266651804498866E-3</v>
      </c>
      <c r="V1200" s="2">
        <v>8.590156462205548E-3</v>
      </c>
      <c r="W1200" s="2">
        <v>1.285044804415183E-2</v>
      </c>
      <c r="X1200" s="2">
        <v>1.8316873091546476E-2</v>
      </c>
      <c r="Y1200" s="2">
        <v>2.5006157975063763E-2</v>
      </c>
      <c r="Z1200" s="2">
        <v>3.2806066204061964E-2</v>
      </c>
      <c r="AA1200" s="2">
        <v>4.1451309907060696E-2</v>
      </c>
      <c r="AB1200" s="2">
        <v>5.0524747436407363E-2</v>
      </c>
      <c r="AC1200" s="2">
        <v>5.9494747535983904E-2</v>
      </c>
      <c r="AD1200" s="2">
        <v>6.7790998704350403E-2</v>
      </c>
      <c r="AE1200" s="2">
        <v>7.4906579791742409E-2</v>
      </c>
      <c r="AF1200" s="2">
        <v>8.0498832943097953E-2</v>
      </c>
      <c r="AG1200" s="2">
        <v>8.4454284519282455E-2</v>
      </c>
      <c r="AH1200" s="2">
        <v>8.7130074071997354E-2</v>
      </c>
      <c r="AI1200" s="2">
        <v>8.8259643172784549E-2</v>
      </c>
      <c r="AJ1200" s="2">
        <v>8.9009153627387191E-2</v>
      </c>
      <c r="AK1200" s="2">
        <v>8.8677731433641743E-2</v>
      </c>
      <c r="AL1200" s="2">
        <v>8.7994153104701739E-2</v>
      </c>
      <c r="AM1200" s="2">
        <v>8.7315844185840694E-2</v>
      </c>
      <c r="AN1200" s="2">
        <v>8.6642764057452346E-2</v>
      </c>
      <c r="AO1200" s="2">
        <v>8.5974872413049408E-2</v>
      </c>
      <c r="AP1200" s="2">
        <v>8.5312129256849903E-2</v>
      </c>
      <c r="AQ1200" s="2">
        <v>8.4654494901382063E-2</v>
      </c>
      <c r="AR1200" s="2">
        <v>1.4379962571960112</v>
      </c>
    </row>
    <row r="1201" spans="1:44" x14ac:dyDescent="0.25">
      <c r="A1201" t="s">
        <v>435</v>
      </c>
      <c r="B1201" t="s">
        <v>478</v>
      </c>
      <c r="C1201" t="s">
        <v>45</v>
      </c>
      <c r="D1201" t="s">
        <v>358</v>
      </c>
      <c r="E1201" t="s">
        <v>145</v>
      </c>
      <c r="F1201" t="s">
        <v>358</v>
      </c>
      <c r="G1201" t="s">
        <v>33</v>
      </c>
      <c r="H1201" t="s">
        <v>451</v>
      </c>
      <c r="I1201" t="s">
        <v>135</v>
      </c>
      <c r="J1201" t="s">
        <v>39</v>
      </c>
      <c r="K1201" t="s">
        <v>33</v>
      </c>
      <c r="L1201">
        <v>2.2326092598625055E-2</v>
      </c>
      <c r="M1201">
        <v>1</v>
      </c>
      <c r="N1201">
        <v>2.0723427924853257</v>
      </c>
      <c r="O1201">
        <v>3.1523474906593343</v>
      </c>
      <c r="P1201">
        <v>-0.39143361450399961</v>
      </c>
      <c r="Q1201">
        <v>0.82393863314836524</v>
      </c>
      <c r="R1201">
        <v>-0.67371772101320482</v>
      </c>
      <c r="S1201" s="2">
        <v>7.7105920187532919E-3</v>
      </c>
      <c r="T1201" s="2">
        <v>1.4396907406119822E-2</v>
      </c>
      <c r="U1201" s="2">
        <v>2.44461098579365E-2</v>
      </c>
      <c r="V1201" s="2">
        <v>3.86970453471999E-2</v>
      </c>
      <c r="W1201" s="2">
        <v>5.7888860684232865E-2</v>
      </c>
      <c r="X1201" s="2">
        <v>8.2514081293053751E-2</v>
      </c>
      <c r="Y1201" s="2">
        <v>0.11264805633957406</v>
      </c>
      <c r="Z1201" s="2">
        <v>0.14778518146290906</v>
      </c>
      <c r="AA1201" s="2">
        <v>0.18673038450833074</v>
      </c>
      <c r="AB1201" s="2">
        <v>0.2276045205118982</v>
      </c>
      <c r="AC1201" s="2">
        <v>0.26801269027515062</v>
      </c>
      <c r="AD1201" s="2">
        <v>0.30538574734186796</v>
      </c>
      <c r="AE1201" s="2">
        <v>0.33744010691284454</v>
      </c>
      <c r="AF1201" s="2">
        <v>0.36263215955392841</v>
      </c>
      <c r="AG1201" s="2">
        <v>0.38045072778207506</v>
      </c>
      <c r="AH1201" s="2">
        <v>0.39250465836140069</v>
      </c>
      <c r="AI1201" s="2">
        <v>0.39759315551605395</v>
      </c>
      <c r="AJ1201" s="2">
        <v>0.40096955968023507</v>
      </c>
      <c r="AK1201" s="2">
        <v>0.39947656479511717</v>
      </c>
      <c r="AL1201" s="2">
        <v>0.39639717250351697</v>
      </c>
      <c r="AM1201" s="2">
        <v>0.39334151791700711</v>
      </c>
      <c r="AN1201" s="2">
        <v>0.39030941805187186</v>
      </c>
      <c r="AO1201" s="2">
        <v>0.38730069133493855</v>
      </c>
      <c r="AP1201" s="2">
        <v>0.38431515759270274</v>
      </c>
      <c r="AQ1201" s="2">
        <v>0.38135263804054076</v>
      </c>
      <c r="AR1201" s="2">
        <v>6.4779037050892603</v>
      </c>
    </row>
    <row r="1202" spans="1:44" x14ac:dyDescent="0.25">
      <c r="A1202" t="s">
        <v>435</v>
      </c>
      <c r="B1202" t="s">
        <v>478</v>
      </c>
      <c r="C1202" t="s">
        <v>45</v>
      </c>
      <c r="D1202" t="s">
        <v>358</v>
      </c>
      <c r="E1202" t="s">
        <v>145</v>
      </c>
      <c r="F1202" t="s">
        <v>358</v>
      </c>
      <c r="G1202" t="s">
        <v>33</v>
      </c>
      <c r="H1202" t="s">
        <v>452</v>
      </c>
      <c r="I1202" t="s">
        <v>135</v>
      </c>
      <c r="J1202" t="s">
        <v>39</v>
      </c>
      <c r="K1202" t="s">
        <v>31</v>
      </c>
      <c r="L1202">
        <v>2.2326092598625055E-2</v>
      </c>
      <c r="M1202">
        <v>1</v>
      </c>
      <c r="N1202">
        <v>2.0723427924853257</v>
      </c>
      <c r="O1202">
        <v>3.1523474906593343</v>
      </c>
      <c r="P1202">
        <v>-0.39143361450399961</v>
      </c>
      <c r="Q1202">
        <v>0.82393863314836524</v>
      </c>
      <c r="R1202">
        <v>-0.67371772101320482</v>
      </c>
      <c r="S1202" s="2">
        <v>3.8767347595423683E-2</v>
      </c>
      <c r="T1202" s="2">
        <v>7.2384832754050901E-2</v>
      </c>
      <c r="U1202" s="2">
        <v>0.12291025590688316</v>
      </c>
      <c r="V1202" s="2">
        <v>0.1945611704318046</v>
      </c>
      <c r="W1202" s="2">
        <v>0.29105386182935034</v>
      </c>
      <c r="X1202" s="2">
        <v>0.41486465153710439</v>
      </c>
      <c r="Y1202" s="2">
        <v>0.56637238041434346</v>
      </c>
      <c r="Z1202" s="2">
        <v>0.74303496868865726</v>
      </c>
      <c r="AA1202" s="2">
        <v>0.9388438274590547</v>
      </c>
      <c r="AB1202" s="2">
        <v>1.1443509836228074</v>
      </c>
      <c r="AC1202" s="2">
        <v>1.3475153527266188</v>
      </c>
      <c r="AD1202" s="2">
        <v>1.5354197692078968</v>
      </c>
      <c r="AE1202" s="2">
        <v>1.696582815626954</v>
      </c>
      <c r="AF1202" s="2">
        <v>1.8232435258556625</v>
      </c>
      <c r="AG1202" s="2">
        <v>1.9128317995541366</v>
      </c>
      <c r="AH1202" s="2">
        <v>1.9734366033776671</v>
      </c>
      <c r="AI1202" s="2">
        <v>1.9990205711784506</v>
      </c>
      <c r="AJ1202" s="2">
        <v>2.0159964705046107</v>
      </c>
      <c r="AK1202" s="2">
        <v>2.0084899844230253</v>
      </c>
      <c r="AL1202" s="2">
        <v>1.9930074026626647</v>
      </c>
      <c r="AM1202" s="2">
        <v>1.9776441694376838</v>
      </c>
      <c r="AN1202" s="2">
        <v>1.962399364741775</v>
      </c>
      <c r="AO1202" s="2">
        <v>1.9472720756605586</v>
      </c>
      <c r="AP1202" s="2">
        <v>1.9322613963169208</v>
      </c>
      <c r="AQ1202" s="2">
        <v>1.9173664278167626</v>
      </c>
      <c r="AR1202" s="2">
        <v>32.569632009330867</v>
      </c>
    </row>
    <row r="1203" spans="1:44" x14ac:dyDescent="0.25">
      <c r="A1203" t="s">
        <v>435</v>
      </c>
      <c r="B1203" t="s">
        <v>478</v>
      </c>
      <c r="C1203" t="s">
        <v>45</v>
      </c>
      <c r="D1203" t="s">
        <v>358</v>
      </c>
      <c r="E1203" t="s">
        <v>145</v>
      </c>
      <c r="F1203" t="s">
        <v>358</v>
      </c>
      <c r="G1203" t="s">
        <v>33</v>
      </c>
      <c r="H1203" t="s">
        <v>452</v>
      </c>
      <c r="I1203" t="s">
        <v>135</v>
      </c>
      <c r="J1203" t="s">
        <v>39</v>
      </c>
      <c r="K1203" t="s">
        <v>33</v>
      </c>
      <c r="L1203">
        <v>2.2326092598625055E-2</v>
      </c>
      <c r="M1203">
        <v>1</v>
      </c>
      <c r="N1203">
        <v>2.0723427924853257</v>
      </c>
      <c r="O1203">
        <v>3.1523474906593343</v>
      </c>
      <c r="P1203">
        <v>-0.39143361450399961</v>
      </c>
      <c r="Q1203">
        <v>0.82393863314836524</v>
      </c>
      <c r="R1203">
        <v>-0.67371772101320482</v>
      </c>
      <c r="S1203" s="2">
        <v>7.6661143786912772E-2</v>
      </c>
      <c r="T1203" s="2">
        <v>0.14313860544859602</v>
      </c>
      <c r="U1203" s="2">
        <v>0.24305095358332152</v>
      </c>
      <c r="V1203" s="2">
        <v>0.38473826008110218</v>
      </c>
      <c r="W1203" s="2">
        <v>0.57554935623374859</v>
      </c>
      <c r="X1203" s="2">
        <v>0.82038108553363465</v>
      </c>
      <c r="Y1203" s="2">
        <v>1.1199825932121654</v>
      </c>
      <c r="Z1203" s="2">
        <v>1.4693270008513417</v>
      </c>
      <c r="AA1203" s="2">
        <v>1.8565325232307142</v>
      </c>
      <c r="AB1203" s="2">
        <v>2.2629161069703647</v>
      </c>
      <c r="AC1203" s="2">
        <v>2.6646669070195079</v>
      </c>
      <c r="AD1203" s="2">
        <v>3.0362416569971828</v>
      </c>
      <c r="AE1203" s="2">
        <v>3.3549362348054084</v>
      </c>
      <c r="AF1203" s="2">
        <v>3.6054035873911112</v>
      </c>
      <c r="AG1203" s="2">
        <v>3.7825614265936753</v>
      </c>
      <c r="AH1203" s="2">
        <v>3.9024054156274208</v>
      </c>
      <c r="AI1203" s="2">
        <v>3.9529968632209909</v>
      </c>
      <c r="AJ1203" s="2">
        <v>3.986566140973399</v>
      </c>
      <c r="AK1203" s="2">
        <v>3.971722313770147</v>
      </c>
      <c r="AL1203" s="2">
        <v>3.9411060219642113</v>
      </c>
      <c r="AM1203" s="2">
        <v>3.9107257379276739</v>
      </c>
      <c r="AN1203" s="2">
        <v>3.8805796423785832</v>
      </c>
      <c r="AO1203" s="2">
        <v>3.850665930059038</v>
      </c>
      <c r="AP1203" s="2">
        <v>3.8209828096270981</v>
      </c>
      <c r="AQ1203" s="2">
        <v>3.7915285035495017</v>
      </c>
      <c r="AR1203" s="2">
        <v>64.405366820836846</v>
      </c>
    </row>
    <row r="1204" spans="1:44" x14ac:dyDescent="0.25">
      <c r="A1204" t="s">
        <v>435</v>
      </c>
      <c r="B1204" t="s">
        <v>478</v>
      </c>
      <c r="C1204" t="s">
        <v>45</v>
      </c>
      <c r="D1204" t="s">
        <v>358</v>
      </c>
      <c r="E1204" t="s">
        <v>145</v>
      </c>
      <c r="F1204" t="s">
        <v>358</v>
      </c>
      <c r="G1204" t="s">
        <v>33</v>
      </c>
      <c r="H1204" t="s">
        <v>452</v>
      </c>
      <c r="I1204" t="s">
        <v>135</v>
      </c>
      <c r="J1204" t="s">
        <v>40</v>
      </c>
      <c r="K1204" t="s">
        <v>33</v>
      </c>
      <c r="L1204">
        <v>2.2326092598625055E-2</v>
      </c>
      <c r="M1204">
        <v>1</v>
      </c>
      <c r="N1204">
        <v>2.0723427924853257</v>
      </c>
      <c r="O1204">
        <v>1.979808521690356</v>
      </c>
      <c r="P1204">
        <v>-0.39143361450399961</v>
      </c>
      <c r="Q1204">
        <v>1.3498045353129324</v>
      </c>
      <c r="R1204">
        <v>-0.5307177210132048</v>
      </c>
      <c r="S1204" s="2">
        <v>5.6133296614602739E-3</v>
      </c>
      <c r="T1204" s="2">
        <v>1.048098345490418E-2</v>
      </c>
      <c r="U1204" s="2">
        <v>1.7796827174764565E-2</v>
      </c>
      <c r="V1204" s="2">
        <v>2.8171542720714739E-2</v>
      </c>
      <c r="W1204" s="2">
        <v>4.2143230760572151E-2</v>
      </c>
      <c r="X1204" s="2">
        <v>6.00704509957114E-2</v>
      </c>
      <c r="Y1204" s="2">
        <v>8.2008057801379985E-2</v>
      </c>
      <c r="Z1204" s="2">
        <v>0.10758796997849294</v>
      </c>
      <c r="AA1204" s="2">
        <v>0.13594017210444664</v>
      </c>
      <c r="AB1204" s="2">
        <v>0.16569664209499405</v>
      </c>
      <c r="AC1204" s="2">
        <v>0.19511388753421799</v>
      </c>
      <c r="AD1204" s="2">
        <v>0.22232156358059912</v>
      </c>
      <c r="AE1204" s="2">
        <v>0.24565721497043486</v>
      </c>
      <c r="AF1204" s="2">
        <v>0.26399709029768997</v>
      </c>
      <c r="AG1204" s="2">
        <v>0.27696905111685183</v>
      </c>
      <c r="AH1204" s="2">
        <v>0.28574434176814634</v>
      </c>
      <c r="AI1204" s="2">
        <v>0.28944878001893182</v>
      </c>
      <c r="AJ1204" s="2">
        <v>0.2919068104266852</v>
      </c>
      <c r="AK1204" s="2">
        <v>0.29081990653491419</v>
      </c>
      <c r="AL1204" s="2">
        <v>0.28857810148963753</v>
      </c>
      <c r="AM1204" s="2">
        <v>0.28635357755114932</v>
      </c>
      <c r="AN1204" s="2">
        <v>0.28414620150686148</v>
      </c>
      <c r="AO1204" s="2">
        <v>0.28195584117106437</v>
      </c>
      <c r="AP1204" s="2">
        <v>0.27978236537701096</v>
      </c>
      <c r="AQ1204" s="2">
        <v>0.27762564396906181</v>
      </c>
      <c r="AR1204" s="2">
        <v>4.7159295840606967</v>
      </c>
    </row>
    <row r="1205" spans="1:44" x14ac:dyDescent="0.25">
      <c r="A1205" t="s">
        <v>435</v>
      </c>
      <c r="B1205" t="s">
        <v>478</v>
      </c>
      <c r="C1205" t="s">
        <v>45</v>
      </c>
      <c r="D1205" t="s">
        <v>358</v>
      </c>
      <c r="E1205" t="s">
        <v>145</v>
      </c>
      <c r="F1205" t="s">
        <v>358</v>
      </c>
      <c r="G1205" t="s">
        <v>33</v>
      </c>
      <c r="H1205" t="s">
        <v>452</v>
      </c>
      <c r="I1205" t="s">
        <v>256</v>
      </c>
      <c r="J1205" t="s">
        <v>40</v>
      </c>
      <c r="K1205" t="s">
        <v>33</v>
      </c>
      <c r="L1205">
        <v>2.2326092598625055E-2</v>
      </c>
      <c r="M1205">
        <v>1</v>
      </c>
      <c r="N1205">
        <v>1.7396696203434354</v>
      </c>
      <c r="O1205">
        <v>1.4737622038640092</v>
      </c>
      <c r="P1205">
        <v>-0.11733133576427998</v>
      </c>
      <c r="Q1205">
        <v>1.3498045353129324</v>
      </c>
      <c r="R1205">
        <v>-0.25661544227348509</v>
      </c>
      <c r="S1205" s="2">
        <v>3.3849009170670512E-2</v>
      </c>
      <c r="T1205" s="2">
        <v>6.3201508993577626E-2</v>
      </c>
      <c r="U1205" s="2">
        <v>0.10731686941235727</v>
      </c>
      <c r="V1205" s="2">
        <v>0.16987757096335251</v>
      </c>
      <c r="W1205" s="2">
        <v>0.25412842119185164</v>
      </c>
      <c r="X1205" s="2">
        <v>0.36223157542313161</v>
      </c>
      <c r="Y1205" s="2">
        <v>0.49451781170921943</v>
      </c>
      <c r="Z1205" s="2">
        <v>0.64876755902279448</v>
      </c>
      <c r="AA1205" s="2">
        <v>0.81973452651788581</v>
      </c>
      <c r="AB1205" s="2">
        <v>0.99916938716969994</v>
      </c>
      <c r="AC1205" s="2">
        <v>1.1765586856256041</v>
      </c>
      <c r="AD1205" s="2">
        <v>1.3406240321399236</v>
      </c>
      <c r="AE1205" s="2">
        <v>1.4813406345018518</v>
      </c>
      <c r="AF1205" s="2">
        <v>1.5919321453485031</v>
      </c>
      <c r="AG1205" s="2">
        <v>1.6701545280002927</v>
      </c>
      <c r="AH1205" s="2">
        <v>1.7230705175546446</v>
      </c>
      <c r="AI1205" s="2">
        <v>1.7454086968324318</v>
      </c>
      <c r="AJ1205" s="2">
        <v>1.7602308966374918</v>
      </c>
      <c r="AK1205" s="2">
        <v>1.7536767439297345</v>
      </c>
      <c r="AL1205" s="2">
        <v>1.7401584073785399</v>
      </c>
      <c r="AM1205" s="2">
        <v>1.7267442778448261</v>
      </c>
      <c r="AN1205" s="2">
        <v>1.7134335520417061</v>
      </c>
      <c r="AO1205" s="2">
        <v>1.7002254328744844</v>
      </c>
      <c r="AP1205" s="2">
        <v>1.6871191293929237</v>
      </c>
      <c r="AQ1205" s="2">
        <v>1.6741138567438807</v>
      </c>
      <c r="AR1205" s="2">
        <v>28.437585776421379</v>
      </c>
    </row>
    <row r="1206" spans="1:44" x14ac:dyDescent="0.25">
      <c r="A1206" t="s">
        <v>435</v>
      </c>
      <c r="B1206" t="s">
        <v>478</v>
      </c>
      <c r="C1206" t="s">
        <v>45</v>
      </c>
      <c r="D1206" t="s">
        <v>358</v>
      </c>
      <c r="E1206" t="s">
        <v>145</v>
      </c>
      <c r="F1206" t="s">
        <v>358</v>
      </c>
      <c r="G1206" t="s">
        <v>33</v>
      </c>
      <c r="H1206" t="s">
        <v>453</v>
      </c>
      <c r="I1206" t="s">
        <v>135</v>
      </c>
      <c r="J1206" t="s">
        <v>39</v>
      </c>
      <c r="K1206" t="s">
        <v>31</v>
      </c>
      <c r="L1206">
        <v>2.2326092598625055E-2</v>
      </c>
      <c r="M1206">
        <v>1</v>
      </c>
      <c r="N1206">
        <v>2.0723427924853257</v>
      </c>
      <c r="O1206">
        <v>3.1523474906593343</v>
      </c>
      <c r="P1206">
        <v>-0.39143361450399961</v>
      </c>
      <c r="Q1206">
        <v>0.82393863314836524</v>
      </c>
      <c r="R1206">
        <v>-0.67371772101320482</v>
      </c>
      <c r="S1206" s="2">
        <v>1.1856213217878735E-2</v>
      </c>
      <c r="T1206" s="2">
        <v>2.2137444630692962E-2</v>
      </c>
      <c r="U1206" s="2">
        <v>3.7589628671631584E-2</v>
      </c>
      <c r="V1206" s="2">
        <v>5.9502619179234773E-2</v>
      </c>
      <c r="W1206" s="2">
        <v>8.9012967297849008E-2</v>
      </c>
      <c r="X1206" s="2">
        <v>0.12687800611268815</v>
      </c>
      <c r="Y1206" s="2">
        <v>0.17321359647784265</v>
      </c>
      <c r="Z1206" s="2">
        <v>0.22724229444452632</v>
      </c>
      <c r="AA1206" s="2">
        <v>0.28712649399717727</v>
      </c>
      <c r="AB1206" s="2">
        <v>0.349976722666548</v>
      </c>
      <c r="AC1206" s="2">
        <v>0.41211045705323957</v>
      </c>
      <c r="AD1206" s="2">
        <v>0.46957724197834744</v>
      </c>
      <c r="AE1206" s="2">
        <v>0.51886571693743389</v>
      </c>
      <c r="AF1206" s="2">
        <v>0.55760234659988706</v>
      </c>
      <c r="AG1206" s="2">
        <v>0.58500111749016503</v>
      </c>
      <c r="AH1206" s="2">
        <v>0.6035358773003594</v>
      </c>
      <c r="AI1206" s="2">
        <v>0.61136021907300198</v>
      </c>
      <c r="AJ1206" s="2">
        <v>0.61655195630704362</v>
      </c>
      <c r="AK1206" s="2">
        <v>0.61425624857823269</v>
      </c>
      <c r="AL1206" s="2">
        <v>0.60952121247440239</v>
      </c>
      <c r="AM1206" s="2">
        <v>0.60482267671868639</v>
      </c>
      <c r="AN1206" s="2">
        <v>0.60016035994566685</v>
      </c>
      <c r="AO1206" s="2">
        <v>0.59553398295885029</v>
      </c>
      <c r="AP1206" s="2">
        <v>0.5909432687139482</v>
      </c>
      <c r="AQ1206" s="2">
        <v>0.58638794230228752</v>
      </c>
      <c r="AR1206" s="2">
        <v>9.960766611127621</v>
      </c>
    </row>
    <row r="1207" spans="1:44" x14ac:dyDescent="0.25">
      <c r="A1207" t="s">
        <v>435</v>
      </c>
      <c r="B1207" t="s">
        <v>478</v>
      </c>
      <c r="C1207" t="s">
        <v>45</v>
      </c>
      <c r="D1207" t="s">
        <v>358</v>
      </c>
      <c r="E1207" t="s">
        <v>145</v>
      </c>
      <c r="F1207" t="s">
        <v>358</v>
      </c>
      <c r="G1207" t="s">
        <v>33</v>
      </c>
      <c r="H1207" t="s">
        <v>453</v>
      </c>
      <c r="I1207" t="s">
        <v>135</v>
      </c>
      <c r="J1207" t="s">
        <v>39</v>
      </c>
      <c r="K1207" t="s">
        <v>33</v>
      </c>
      <c r="L1207">
        <v>2.2326092598625055E-2</v>
      </c>
      <c r="M1207">
        <v>1</v>
      </c>
      <c r="N1207">
        <v>2.0723427924853257</v>
      </c>
      <c r="O1207">
        <v>3.1523474906593343</v>
      </c>
      <c r="P1207">
        <v>-0.39143361450399961</v>
      </c>
      <c r="Q1207">
        <v>0.82393863314836524</v>
      </c>
      <c r="R1207">
        <v>-0.67371772101320482</v>
      </c>
      <c r="S1207" s="2">
        <v>1.0787777804027234E-2</v>
      </c>
      <c r="T1207" s="2">
        <v>2.0142504983357495E-2</v>
      </c>
      <c r="U1207" s="2">
        <v>3.4202198829720844E-2</v>
      </c>
      <c r="V1207" s="2">
        <v>5.4140476614849574E-2</v>
      </c>
      <c r="W1207" s="2">
        <v>8.0991467953554733E-2</v>
      </c>
      <c r="X1207" s="2">
        <v>0.11544425804503006</v>
      </c>
      <c r="Y1207" s="2">
        <v>0.15760426681780951</v>
      </c>
      <c r="Z1207" s="2">
        <v>0.20676411052124141</v>
      </c>
      <c r="AA1207" s="2">
        <v>0.26125178098349783</v>
      </c>
      <c r="AB1207" s="2">
        <v>0.31843819365656389</v>
      </c>
      <c r="AC1207" s="2">
        <v>0.37497267970032944</v>
      </c>
      <c r="AD1207" s="2">
        <v>0.42726078345583912</v>
      </c>
      <c r="AE1207" s="2">
        <v>0.47210757444945739</v>
      </c>
      <c r="AF1207" s="2">
        <v>0.50735341104130305</v>
      </c>
      <c r="AG1207" s="2">
        <v>0.53228311220609448</v>
      </c>
      <c r="AH1207" s="2">
        <v>0.54914759218878217</v>
      </c>
      <c r="AI1207" s="2">
        <v>0.55626683498198304</v>
      </c>
      <c r="AJ1207" s="2">
        <v>0.56099071322780292</v>
      </c>
      <c r="AK1207" s="2">
        <v>0.55890188567162691</v>
      </c>
      <c r="AL1207" s="2">
        <v>0.55459355244216535</v>
      </c>
      <c r="AM1207" s="2">
        <v>0.55031843029266592</v>
      </c>
      <c r="AN1207" s="2">
        <v>0.54607626321325831</v>
      </c>
      <c r="AO1207" s="2">
        <v>0.54186679716754127</v>
      </c>
      <c r="AP1207" s="2">
        <v>0.53768978007737089</v>
      </c>
      <c r="AQ1207" s="2">
        <v>0.53354496180776434</v>
      </c>
      <c r="AR1207" s="2">
        <v>9.0631414081336388</v>
      </c>
    </row>
    <row r="1208" spans="1:44" x14ac:dyDescent="0.25">
      <c r="A1208" t="s">
        <v>435</v>
      </c>
      <c r="B1208" t="s">
        <v>478</v>
      </c>
      <c r="C1208" t="s">
        <v>45</v>
      </c>
      <c r="D1208" t="s">
        <v>358</v>
      </c>
      <c r="E1208" t="s">
        <v>145</v>
      </c>
      <c r="F1208" t="s">
        <v>358</v>
      </c>
      <c r="G1208" t="s">
        <v>33</v>
      </c>
      <c r="H1208" t="s">
        <v>453</v>
      </c>
      <c r="I1208" t="s">
        <v>135</v>
      </c>
      <c r="J1208" t="s">
        <v>40</v>
      </c>
      <c r="K1208" t="s">
        <v>33</v>
      </c>
      <c r="L1208">
        <v>2.2326092598625055E-2</v>
      </c>
      <c r="M1208">
        <v>1</v>
      </c>
      <c r="N1208">
        <v>2.0723427924853257</v>
      </c>
      <c r="O1208">
        <v>1.979808521690356</v>
      </c>
      <c r="P1208">
        <v>-0.39143361450399961</v>
      </c>
      <c r="Q1208">
        <v>1.3498045353129324</v>
      </c>
      <c r="R1208">
        <v>-0.5307177210132048</v>
      </c>
      <c r="S1208" s="2">
        <v>0.21968895583113954</v>
      </c>
      <c r="T1208" s="2">
        <v>0.4101943855355813</v>
      </c>
      <c r="U1208" s="2">
        <v>0.69651465617185493</v>
      </c>
      <c r="V1208" s="2">
        <v>1.1025500331751648</v>
      </c>
      <c r="W1208" s="2">
        <v>1.649360169367345</v>
      </c>
      <c r="X1208" s="2">
        <v>2.3509780204358077</v>
      </c>
      <c r="Y1208" s="2">
        <v>3.2095504227767173</v>
      </c>
      <c r="Z1208" s="2">
        <v>4.2106717777231655</v>
      </c>
      <c r="AA1208" s="2">
        <v>5.3202922803864352</v>
      </c>
      <c r="AB1208" s="2">
        <v>6.484871632696092</v>
      </c>
      <c r="AC1208" s="2">
        <v>7.6361747493368926</v>
      </c>
      <c r="AD1208" s="2">
        <v>8.7010019199660338</v>
      </c>
      <c r="AE1208" s="2">
        <v>9.6142896113464911</v>
      </c>
      <c r="AF1208" s="2">
        <v>10.332057550112056</v>
      </c>
      <c r="AG1208" s="2">
        <v>10.839741349089714</v>
      </c>
      <c r="AH1208" s="2">
        <v>11.183180013227629</v>
      </c>
      <c r="AI1208" s="2">
        <v>11.328160661138531</v>
      </c>
      <c r="AJ1208" s="2">
        <v>11.424360629116194</v>
      </c>
      <c r="AK1208" s="2">
        <v>11.381822457394092</v>
      </c>
      <c r="AL1208" s="2">
        <v>11.294084904234655</v>
      </c>
      <c r="AM1208" s="2">
        <v>11.207023681975935</v>
      </c>
      <c r="AN1208" s="2">
        <v>11.120633577075148</v>
      </c>
      <c r="AO1208" s="2">
        <v>11.034909416178456</v>
      </c>
      <c r="AP1208" s="2">
        <v>10.949846065811169</v>
      </c>
      <c r="AQ1208" s="2">
        <v>10.865438432070349</v>
      </c>
      <c r="AR1208" s="2">
        <v>184.56739735217263</v>
      </c>
    </row>
    <row r="1209" spans="1:44" x14ac:dyDescent="0.25">
      <c r="A1209" t="s">
        <v>435</v>
      </c>
      <c r="B1209" t="s">
        <v>478</v>
      </c>
      <c r="C1209" t="s">
        <v>45</v>
      </c>
      <c r="D1209" t="s">
        <v>358</v>
      </c>
      <c r="E1209" t="s">
        <v>145</v>
      </c>
      <c r="F1209" t="s">
        <v>358</v>
      </c>
      <c r="G1209" t="s">
        <v>33</v>
      </c>
      <c r="H1209" t="s">
        <v>453</v>
      </c>
      <c r="I1209" t="s">
        <v>256</v>
      </c>
      <c r="J1209" t="s">
        <v>40</v>
      </c>
      <c r="K1209" t="s">
        <v>33</v>
      </c>
      <c r="L1209">
        <v>2.2326092598625055E-2</v>
      </c>
      <c r="M1209">
        <v>1</v>
      </c>
      <c r="N1209">
        <v>1.7396696203434354</v>
      </c>
      <c r="O1209">
        <v>1.4737622038640092</v>
      </c>
      <c r="P1209">
        <v>-0.11733133576427998</v>
      </c>
      <c r="Q1209">
        <v>1.3498045353129324</v>
      </c>
      <c r="R1209">
        <v>-0.25661544227348509</v>
      </c>
      <c r="S1209" s="2">
        <v>0.11309526836606278</v>
      </c>
      <c r="T1209" s="2">
        <v>0.2111669379959934</v>
      </c>
      <c r="U1209" s="2">
        <v>0.35856382339583376</v>
      </c>
      <c r="V1209" s="2">
        <v>0.56758971527362589</v>
      </c>
      <c r="W1209" s="2">
        <v>0.84908606480096172</v>
      </c>
      <c r="X1209" s="2">
        <v>1.2102769988504589</v>
      </c>
      <c r="Y1209" s="2">
        <v>1.6522677028759953</v>
      </c>
      <c r="Z1209" s="2">
        <v>2.1676422144271879</v>
      </c>
      <c r="AA1209" s="2">
        <v>2.7388717878867017</v>
      </c>
      <c r="AB1209" s="2">
        <v>3.3383940255192193</v>
      </c>
      <c r="AC1209" s="2">
        <v>3.9310816936569712</v>
      </c>
      <c r="AD1209" s="2">
        <v>4.4792517833648153</v>
      </c>
      <c r="AE1209" s="2">
        <v>4.9494097672349087</v>
      </c>
      <c r="AF1209" s="2">
        <v>5.3189147218746955</v>
      </c>
      <c r="AG1209" s="2">
        <v>5.5802689409489243</v>
      </c>
      <c r="AH1209" s="2">
        <v>5.7570702177405284</v>
      </c>
      <c r="AI1209" s="2">
        <v>5.8317058553006236</v>
      </c>
      <c r="AJ1209" s="2">
        <v>5.8812293334112091</v>
      </c>
      <c r="AK1209" s="2">
        <v>5.8593307999664486</v>
      </c>
      <c r="AL1209" s="2">
        <v>5.8141637496574869</v>
      </c>
      <c r="AM1209" s="2">
        <v>5.769344872630298</v>
      </c>
      <c r="AN1209" s="2">
        <v>5.7248714849674389</v>
      </c>
      <c r="AO1209" s="2">
        <v>5.6807409234406272</v>
      </c>
      <c r="AP1209" s="2">
        <v>5.6369505453512581</v>
      </c>
      <c r="AQ1209" s="2">
        <v>5.5934977283721476</v>
      </c>
      <c r="AR1209" s="2">
        <v>95.014786957310392</v>
      </c>
    </row>
    <row r="1210" spans="1:44" x14ac:dyDescent="0.25">
      <c r="A1210" t="s">
        <v>435</v>
      </c>
      <c r="B1210" t="s">
        <v>478</v>
      </c>
      <c r="C1210" t="s">
        <v>45</v>
      </c>
      <c r="D1210" t="s">
        <v>358</v>
      </c>
      <c r="E1210" t="s">
        <v>145</v>
      </c>
      <c r="F1210" t="s">
        <v>358</v>
      </c>
      <c r="G1210" t="s">
        <v>33</v>
      </c>
      <c r="H1210" t="s">
        <v>454</v>
      </c>
      <c r="I1210" t="s">
        <v>135</v>
      </c>
      <c r="J1210" t="s">
        <v>39</v>
      </c>
      <c r="K1210" t="s">
        <v>31</v>
      </c>
      <c r="L1210">
        <v>2.2326092598625055E-2</v>
      </c>
      <c r="M1210">
        <v>1</v>
      </c>
      <c r="N1210">
        <v>2.0723427924853257</v>
      </c>
      <c r="O1210">
        <v>3.1523474906593343</v>
      </c>
      <c r="P1210">
        <v>-0.39143361450399961</v>
      </c>
      <c r="Q1210">
        <v>0.82393863314836524</v>
      </c>
      <c r="R1210">
        <v>-0.67371772101320482</v>
      </c>
      <c r="S1210" s="2">
        <v>6.5285180636461557E-4</v>
      </c>
      <c r="T1210" s="2">
        <v>1.2189786443491722E-3</v>
      </c>
      <c r="U1210" s="2">
        <v>2.0698393768630711E-3</v>
      </c>
      <c r="V1210" s="2">
        <v>3.2764586551134478E-3</v>
      </c>
      <c r="W1210" s="2">
        <v>4.90141965418132E-3</v>
      </c>
      <c r="X1210" s="2">
        <v>6.9864242449436354E-3</v>
      </c>
      <c r="Y1210" s="2">
        <v>9.5378522019953591E-3</v>
      </c>
      <c r="Z1210" s="2">
        <v>1.2512894267693676E-2</v>
      </c>
      <c r="AA1210" s="2">
        <v>1.5810364305740284E-2</v>
      </c>
      <c r="AB1210" s="2">
        <v>1.9271156091717385E-2</v>
      </c>
      <c r="AC1210" s="2">
        <v>2.2692494759055246E-2</v>
      </c>
      <c r="AD1210" s="2">
        <v>2.5856852016712267E-2</v>
      </c>
      <c r="AE1210" s="2">
        <v>2.8570877930270671E-2</v>
      </c>
      <c r="AF1210" s="2">
        <v>3.0703875893690759E-2</v>
      </c>
      <c r="AG1210" s="2">
        <v>3.2212564775982007E-2</v>
      </c>
      <c r="AH1210" s="2">
        <v>3.3233164793901107E-2</v>
      </c>
      <c r="AI1210" s="2">
        <v>3.3664005195133184E-2</v>
      </c>
      <c r="AJ1210" s="2">
        <v>3.3949883575449709E-2</v>
      </c>
      <c r="AK1210" s="2">
        <v>3.3823472476889209E-2</v>
      </c>
      <c r="AL1210" s="2">
        <v>3.3562741936979064E-2</v>
      </c>
      <c r="AM1210" s="2">
        <v>3.3304021256183425E-2</v>
      </c>
      <c r="AN1210" s="2">
        <v>3.3047294941366497E-2</v>
      </c>
      <c r="AO1210" s="2">
        <v>3.2792547618822367E-2</v>
      </c>
      <c r="AP1210" s="2">
        <v>3.2539764033354408E-2</v>
      </c>
      <c r="AQ1210" s="2">
        <v>3.2288929047361692E-2</v>
      </c>
      <c r="AR1210" s="2">
        <v>0.54848072950011351</v>
      </c>
    </row>
    <row r="1211" spans="1:44" x14ac:dyDescent="0.25">
      <c r="A1211" t="s">
        <v>435</v>
      </c>
      <c r="B1211" t="s">
        <v>478</v>
      </c>
      <c r="C1211" t="s">
        <v>45</v>
      </c>
      <c r="D1211" t="s">
        <v>358</v>
      </c>
      <c r="E1211" t="s">
        <v>145</v>
      </c>
      <c r="F1211" t="s">
        <v>358</v>
      </c>
      <c r="G1211" t="s">
        <v>33</v>
      </c>
      <c r="H1211" t="s">
        <v>454</v>
      </c>
      <c r="I1211" t="s">
        <v>135</v>
      </c>
      <c r="J1211" t="s">
        <v>39</v>
      </c>
      <c r="K1211" t="s">
        <v>33</v>
      </c>
      <c r="L1211">
        <v>2.2326092598625055E-2</v>
      </c>
      <c r="M1211">
        <v>1</v>
      </c>
      <c r="N1211">
        <v>2.0723427924853257</v>
      </c>
      <c r="O1211">
        <v>3.1523474906593343</v>
      </c>
      <c r="P1211">
        <v>-0.39143361450399961</v>
      </c>
      <c r="Q1211">
        <v>0.82393863314836524</v>
      </c>
      <c r="R1211">
        <v>-0.67371772101320482</v>
      </c>
      <c r="S1211" s="2">
        <v>5.2391384780219206E-3</v>
      </c>
      <c r="T1211" s="2">
        <v>9.782308721881617E-3</v>
      </c>
      <c r="U1211" s="2">
        <v>1.6610469660846415E-2</v>
      </c>
      <c r="V1211" s="2">
        <v>2.6293594418065776E-2</v>
      </c>
      <c r="W1211" s="2">
        <v>3.9333913235452524E-2</v>
      </c>
      <c r="X1211" s="2">
        <v>5.6066083801301278E-2</v>
      </c>
      <c r="Y1211" s="2">
        <v>7.6541303833433563E-2</v>
      </c>
      <c r="Z1211" s="2">
        <v>0.10041602886012484</v>
      </c>
      <c r="AA1211" s="2">
        <v>0.12687823971415418</v>
      </c>
      <c r="AB1211" s="2">
        <v>0.15465110827876746</v>
      </c>
      <c r="AC1211" s="2">
        <v>0.18210736540120398</v>
      </c>
      <c r="AD1211" s="2">
        <v>0.20750134563557859</v>
      </c>
      <c r="AE1211" s="2">
        <v>0.22928141494908996</v>
      </c>
      <c r="AF1211" s="2">
        <v>0.24639873253135211</v>
      </c>
      <c r="AG1211" s="2">
        <v>0.25850596712505008</v>
      </c>
      <c r="AH1211" s="2">
        <v>0.26669628653968847</v>
      </c>
      <c r="AI1211" s="2">
        <v>0.27015378256248535</v>
      </c>
      <c r="AJ1211" s="2">
        <v>0.27244795776082181</v>
      </c>
      <c r="AK1211" s="2">
        <v>0.27143350816588963</v>
      </c>
      <c r="AL1211" s="2">
        <v>0.26934114449204877</v>
      </c>
      <c r="AM1211" s="2">
        <v>0.26726490994601243</v>
      </c>
      <c r="AN1211" s="2">
        <v>0.26520468019530086</v>
      </c>
      <c r="AO1211" s="2">
        <v>0.26316033186585996</v>
      </c>
      <c r="AP1211" s="2">
        <v>0.26113174253467281</v>
      </c>
      <c r="AQ1211" s="2">
        <v>0.25911879072242866</v>
      </c>
      <c r="AR1211" s="2">
        <v>4.4015601494295336</v>
      </c>
    </row>
    <row r="1212" spans="1:44" x14ac:dyDescent="0.25">
      <c r="A1212" t="s">
        <v>435</v>
      </c>
      <c r="B1212" t="s">
        <v>478</v>
      </c>
      <c r="C1212" t="s">
        <v>45</v>
      </c>
      <c r="D1212" t="s">
        <v>358</v>
      </c>
      <c r="E1212" t="s">
        <v>145</v>
      </c>
      <c r="F1212" t="s">
        <v>358</v>
      </c>
      <c r="G1212" t="s">
        <v>33</v>
      </c>
      <c r="H1212" t="s">
        <v>455</v>
      </c>
      <c r="I1212" t="s">
        <v>135</v>
      </c>
      <c r="J1212" t="s">
        <v>39</v>
      </c>
      <c r="K1212" t="s">
        <v>31</v>
      </c>
      <c r="L1212">
        <v>2.2326092598625055E-2</v>
      </c>
      <c r="M1212">
        <v>1</v>
      </c>
      <c r="N1212">
        <v>2.0723427924853257</v>
      </c>
      <c r="O1212">
        <v>3.1523474906593343</v>
      </c>
      <c r="P1212">
        <v>-0.39143361450399961</v>
      </c>
      <c r="Q1212">
        <v>0.82393863314836524</v>
      </c>
      <c r="R1212">
        <v>-0.67371772101320482</v>
      </c>
      <c r="S1212" s="2">
        <v>1.5382156239200081E-4</v>
      </c>
      <c r="T1212" s="2">
        <v>2.8720943676389525E-4</v>
      </c>
      <c r="U1212" s="2">
        <v>4.8768483711867901E-4</v>
      </c>
      <c r="V1212" s="2">
        <v>7.7198222403457295E-4</v>
      </c>
      <c r="W1212" s="2">
        <v>1.1548471211917822E-3</v>
      </c>
      <c r="X1212" s="2">
        <v>1.6461051074895695E-3</v>
      </c>
      <c r="Y1212" s="2">
        <v>2.247259352385901E-3</v>
      </c>
      <c r="Z1212" s="2">
        <v>2.9482233602453802E-3</v>
      </c>
      <c r="AA1212" s="2">
        <v>3.7251561775375449E-3</v>
      </c>
      <c r="AB1212" s="2">
        <v>4.5405700194578761E-3</v>
      </c>
      <c r="AC1212" s="2">
        <v>5.3466881218379942E-3</v>
      </c>
      <c r="AD1212" s="2">
        <v>6.0922575950231907E-3</v>
      </c>
      <c r="AE1212" s="2">
        <v>6.7317223285599352E-3</v>
      </c>
      <c r="AF1212" s="2">
        <v>7.2342882648315284E-3</v>
      </c>
      <c r="AG1212" s="2">
        <v>7.5897577278475686E-3</v>
      </c>
      <c r="AH1212" s="2">
        <v>7.8302262197826912E-3</v>
      </c>
      <c r="AI1212" s="2">
        <v>7.9317386043897768E-3</v>
      </c>
      <c r="AJ1212" s="2">
        <v>7.9990957881881201E-3</v>
      </c>
      <c r="AK1212" s="2">
        <v>7.9693114596549094E-3</v>
      </c>
      <c r="AL1212" s="2">
        <v>7.9078794798069577E-3</v>
      </c>
      <c r="AM1212" s="2">
        <v>7.8469210525572656E-3</v>
      </c>
      <c r="AN1212" s="2">
        <v>7.7864325274933921E-3</v>
      </c>
      <c r="AO1212" s="2">
        <v>7.7264102823423495E-3</v>
      </c>
      <c r="AP1212" s="2">
        <v>7.6668507227536991E-3</v>
      </c>
      <c r="AQ1212" s="2">
        <v>7.6077502820842803E-3</v>
      </c>
      <c r="AR1212" s="2">
        <v>0.12923018965577088</v>
      </c>
    </row>
    <row r="1213" spans="1:44" x14ac:dyDescent="0.25">
      <c r="A1213" t="s">
        <v>435</v>
      </c>
      <c r="B1213" t="s">
        <v>478</v>
      </c>
      <c r="C1213" t="s">
        <v>45</v>
      </c>
      <c r="D1213" t="s">
        <v>358</v>
      </c>
      <c r="E1213" t="s">
        <v>145</v>
      </c>
      <c r="F1213" t="s">
        <v>358</v>
      </c>
      <c r="G1213" t="s">
        <v>33</v>
      </c>
      <c r="H1213" t="s">
        <v>455</v>
      </c>
      <c r="I1213" t="s">
        <v>135</v>
      </c>
      <c r="J1213" t="s">
        <v>39</v>
      </c>
      <c r="K1213" t="s">
        <v>33</v>
      </c>
      <c r="L1213">
        <v>2.2326092598625055E-2</v>
      </c>
      <c r="M1213">
        <v>1</v>
      </c>
      <c r="N1213">
        <v>2.0723427924853257</v>
      </c>
      <c r="O1213">
        <v>3.1523474906593343</v>
      </c>
      <c r="P1213">
        <v>-0.39143361450399961</v>
      </c>
      <c r="Q1213">
        <v>0.82393863314836524</v>
      </c>
      <c r="R1213">
        <v>-0.67371772101320482</v>
      </c>
      <c r="S1213" s="2">
        <v>3.911032909064761E-3</v>
      </c>
      <c r="T1213" s="2">
        <v>7.3025234012053112E-3</v>
      </c>
      <c r="U1213" s="2">
        <v>1.2399766440821367E-2</v>
      </c>
      <c r="V1213" s="2">
        <v>1.9628248708837913E-2</v>
      </c>
      <c r="W1213" s="2">
        <v>2.9362886617998876E-2</v>
      </c>
      <c r="X1213" s="2">
        <v>4.1853503156889564E-2</v>
      </c>
      <c r="Y1213" s="2">
        <v>5.7138317578562588E-2</v>
      </c>
      <c r="Z1213" s="2">
        <v>7.4960872883402696E-2</v>
      </c>
      <c r="AA1213" s="2">
        <v>9.4714994277765002E-2</v>
      </c>
      <c r="AB1213" s="2">
        <v>0.11544752566455575</v>
      </c>
      <c r="AC1213" s="2">
        <v>0.13594370564072164</v>
      </c>
      <c r="AD1213" s="2">
        <v>0.15490038960802102</v>
      </c>
      <c r="AE1213" s="2">
        <v>0.17115927801194344</v>
      </c>
      <c r="AF1213" s="2">
        <v>0.18393740797739075</v>
      </c>
      <c r="AG1213" s="2">
        <v>0.19297549565771463</v>
      </c>
      <c r="AH1213" s="2">
        <v>0.19908959416852484</v>
      </c>
      <c r="AI1213" s="2">
        <v>0.20167062553176238</v>
      </c>
      <c r="AJ1213" s="2">
        <v>0.20338323433901076</v>
      </c>
      <c r="AK1213" s="2">
        <v>0.2026259446115086</v>
      </c>
      <c r="AL1213" s="2">
        <v>0.20106398872497272</v>
      </c>
      <c r="AM1213" s="2">
        <v>0.19951407328170853</v>
      </c>
      <c r="AN1213" s="2">
        <v>0.19797610546713967</v>
      </c>
      <c r="AO1213" s="2">
        <v>0.19644999318215692</v>
      </c>
      <c r="AP1213" s="2">
        <v>0.19493564503760358</v>
      </c>
      <c r="AQ1213" s="2">
        <v>0.19343297034880233</v>
      </c>
      <c r="AR1213" s="2">
        <v>3.2857781232280856</v>
      </c>
    </row>
    <row r="1214" spans="1:44" x14ac:dyDescent="0.25">
      <c r="A1214" t="s">
        <v>435</v>
      </c>
      <c r="B1214" t="s">
        <v>478</v>
      </c>
      <c r="C1214" t="s">
        <v>45</v>
      </c>
      <c r="D1214" t="s">
        <v>358</v>
      </c>
      <c r="E1214" t="s">
        <v>145</v>
      </c>
      <c r="F1214" t="s">
        <v>358</v>
      </c>
      <c r="G1214" t="s">
        <v>33</v>
      </c>
      <c r="H1214" t="s">
        <v>457</v>
      </c>
      <c r="I1214" t="s">
        <v>135</v>
      </c>
      <c r="J1214" t="s">
        <v>39</v>
      </c>
      <c r="K1214" t="s">
        <v>31</v>
      </c>
      <c r="L1214">
        <v>2.2326092598625055E-2</v>
      </c>
      <c r="M1214">
        <v>1</v>
      </c>
      <c r="N1214">
        <v>2.0723427924853257</v>
      </c>
      <c r="O1214">
        <v>3.1523474906593343</v>
      </c>
      <c r="P1214">
        <v>-0.39143361450399961</v>
      </c>
      <c r="Q1214">
        <v>0.82393863314836524</v>
      </c>
      <c r="R1214">
        <v>-0.67371772101320482</v>
      </c>
      <c r="S1214" s="2">
        <v>1.0250531539952899E-2</v>
      </c>
      <c r="T1214" s="2">
        <v>1.9139380359547792E-2</v>
      </c>
      <c r="U1214" s="2">
        <v>3.2498881994854678E-2</v>
      </c>
      <c r="V1214" s="2">
        <v>5.1444205953279837E-2</v>
      </c>
      <c r="W1214" s="2">
        <v>7.6957980763662892E-2</v>
      </c>
      <c r="X1214" s="2">
        <v>0.10969497422863812</v>
      </c>
      <c r="Y1214" s="2">
        <v>0.14975535621840572</v>
      </c>
      <c r="Z1214" s="2">
        <v>0.19646697167205959</v>
      </c>
      <c r="AA1214" s="2">
        <v>0.24824108073865661</v>
      </c>
      <c r="AB1214" s="2">
        <v>0.30257953091911843</v>
      </c>
      <c r="AC1214" s="2">
        <v>0.35629852131863399</v>
      </c>
      <c r="AD1214" s="2">
        <v>0.4059826051445069</v>
      </c>
      <c r="AE1214" s="2">
        <v>0.44859596388222095</v>
      </c>
      <c r="AF1214" s="2">
        <v>0.4820865090343342</v>
      </c>
      <c r="AG1214" s="2">
        <v>0.50577467658037867</v>
      </c>
      <c r="AH1214" s="2">
        <v>0.52179928212081794</v>
      </c>
      <c r="AI1214" s="2">
        <v>0.52856397677044697</v>
      </c>
      <c r="AJ1214" s="2">
        <v>0.53305259934214966</v>
      </c>
      <c r="AK1214" s="2">
        <v>0.53106779828904416</v>
      </c>
      <c r="AL1214" s="2">
        <v>0.5269740260168031</v>
      </c>
      <c r="AM1214" s="2">
        <v>0.52291181086678074</v>
      </c>
      <c r="AN1214" s="2">
        <v>0.51888090957875221</v>
      </c>
      <c r="AO1214" s="2">
        <v>0.51488108076768091</v>
      </c>
      <c r="AP1214" s="2">
        <v>0.51091208490926321</v>
      </c>
      <c r="AQ1214" s="2">
        <v>0.50697368432558476</v>
      </c>
      <c r="AR1214" s="2">
        <v>8.6117844233355747</v>
      </c>
    </row>
    <row r="1215" spans="1:44" x14ac:dyDescent="0.25">
      <c r="A1215" t="s">
        <v>435</v>
      </c>
      <c r="B1215" t="s">
        <v>478</v>
      </c>
      <c r="C1215" t="s">
        <v>45</v>
      </c>
      <c r="D1215" t="s">
        <v>358</v>
      </c>
      <c r="E1215" t="s">
        <v>145</v>
      </c>
      <c r="F1215" t="s">
        <v>358</v>
      </c>
      <c r="G1215" t="s">
        <v>33</v>
      </c>
      <c r="H1215" t="s">
        <v>457</v>
      </c>
      <c r="I1215" t="s">
        <v>135</v>
      </c>
      <c r="J1215" t="s">
        <v>39</v>
      </c>
      <c r="K1215" t="s">
        <v>33</v>
      </c>
      <c r="L1215">
        <v>2.2326092598625055E-2</v>
      </c>
      <c r="M1215">
        <v>1</v>
      </c>
      <c r="N1215">
        <v>2.0723427924853257</v>
      </c>
      <c r="O1215">
        <v>3.1523474906593343</v>
      </c>
      <c r="P1215">
        <v>-0.39143361450399961</v>
      </c>
      <c r="Q1215">
        <v>0.82393863314836524</v>
      </c>
      <c r="R1215">
        <v>-0.67371772101320482</v>
      </c>
      <c r="S1215" s="2">
        <v>2.9992498739090916E-3</v>
      </c>
      <c r="T1215" s="2">
        <v>5.6000787770207304E-3</v>
      </c>
      <c r="U1215" s="2">
        <v>9.508996420853141E-3</v>
      </c>
      <c r="V1215" s="2">
        <v>1.5052295348523641E-2</v>
      </c>
      <c r="W1215" s="2">
        <v>2.2517487332444696E-2</v>
      </c>
      <c r="X1215" s="2">
        <v>3.2096153876642358E-2</v>
      </c>
      <c r="Y1215" s="2">
        <v>4.3817604141270533E-2</v>
      </c>
      <c r="Z1215" s="2">
        <v>5.7485169204936036E-2</v>
      </c>
      <c r="AA1215" s="2">
        <v>7.263399241322599E-2</v>
      </c>
      <c r="AB1215" s="2">
        <v>8.8533127908487746E-2</v>
      </c>
      <c r="AC1215" s="2">
        <v>0.10425101283516651</v>
      </c>
      <c r="AD1215" s="2">
        <v>0.11878830600569444</v>
      </c>
      <c r="AE1215" s="2">
        <v>0.1312567434055289</v>
      </c>
      <c r="AF1215" s="2">
        <v>0.14105589508201691</v>
      </c>
      <c r="AG1215" s="2">
        <v>0.14798692429242383</v>
      </c>
      <c r="AH1215" s="2">
        <v>0.15267563686886707</v>
      </c>
      <c r="AI1215" s="2">
        <v>0.15465494979482161</v>
      </c>
      <c r="AJ1215" s="2">
        <v>0.15596829638857954</v>
      </c>
      <c r="AK1215" s="2">
        <v>0.15538755437680585</v>
      </c>
      <c r="AL1215" s="2">
        <v>0.15418973883685308</v>
      </c>
      <c r="AM1215" s="2">
        <v>0.15300115673952391</v>
      </c>
      <c r="AN1215" s="2">
        <v>0.15182173690819728</v>
      </c>
      <c r="AO1215" s="2">
        <v>0.15065140871492208</v>
      </c>
      <c r="AP1215" s="2">
        <v>0.14949010207618757</v>
      </c>
      <c r="AQ1215" s="2">
        <v>0.14833774744872644</v>
      </c>
      <c r="AR1215" s="2">
        <v>2.5197613650716288</v>
      </c>
    </row>
    <row r="1216" spans="1:44" x14ac:dyDescent="0.25">
      <c r="A1216" t="s">
        <v>435</v>
      </c>
      <c r="B1216" t="s">
        <v>478</v>
      </c>
      <c r="C1216" t="s">
        <v>45</v>
      </c>
      <c r="D1216" t="s">
        <v>358</v>
      </c>
      <c r="E1216" t="s">
        <v>145</v>
      </c>
      <c r="F1216" t="s">
        <v>358</v>
      </c>
      <c r="G1216" t="s">
        <v>33</v>
      </c>
      <c r="H1216" t="s">
        <v>457</v>
      </c>
      <c r="I1216" t="s">
        <v>256</v>
      </c>
      <c r="J1216" t="s">
        <v>39</v>
      </c>
      <c r="K1216" t="s">
        <v>33</v>
      </c>
      <c r="L1216">
        <v>2.2326092598625055E-2</v>
      </c>
      <c r="M1216">
        <v>1</v>
      </c>
      <c r="N1216">
        <v>1.7396696203434354</v>
      </c>
      <c r="O1216">
        <v>2.6463011728329873</v>
      </c>
      <c r="P1216">
        <v>-0.11733133576427998</v>
      </c>
      <c r="Q1216">
        <v>1.3498045353129324</v>
      </c>
      <c r="R1216">
        <v>-0.39961544227348522</v>
      </c>
      <c r="S1216" s="2">
        <v>8.2481384000113993E-3</v>
      </c>
      <c r="T1216" s="2">
        <v>1.5400592396668585E-2</v>
      </c>
      <c r="U1216" s="2">
        <v>2.6150378201795339E-2</v>
      </c>
      <c r="V1216" s="2">
        <v>4.1394822202877907E-2</v>
      </c>
      <c r="W1216" s="2">
        <v>6.1924601065811963E-2</v>
      </c>
      <c r="X1216" s="2">
        <v>8.8266576781602546E-2</v>
      </c>
      <c r="Y1216" s="2">
        <v>0.12050135150728911</v>
      </c>
      <c r="Z1216" s="2">
        <v>0.15808807251274631</v>
      </c>
      <c r="AA1216" s="2">
        <v>0.19974835280690742</v>
      </c>
      <c r="AB1216" s="2">
        <v>0.24347204223546881</v>
      </c>
      <c r="AC1216" s="2">
        <v>0.28669728043868925</v>
      </c>
      <c r="AD1216" s="2">
        <v>0.32667581209593149</v>
      </c>
      <c r="AE1216" s="2">
        <v>0.36096485156554864</v>
      </c>
      <c r="AF1216" s="2">
        <v>0.38791317618947652</v>
      </c>
      <c r="AG1216" s="2">
        <v>0.40697397158344217</v>
      </c>
      <c r="AH1216" s="2">
        <v>0.41986824577673332</v>
      </c>
      <c r="AI1216" s="2">
        <v>0.42531148913308831</v>
      </c>
      <c r="AJ1216" s="2">
        <v>0.42892328039020688</v>
      </c>
      <c r="AK1216" s="2">
        <v>0.42732620089060286</v>
      </c>
      <c r="AL1216" s="2">
        <v>0.42403212778347033</v>
      </c>
      <c r="AM1216" s="2">
        <v>0.42076344726310755</v>
      </c>
      <c r="AN1216" s="2">
        <v>0.41751996358903115</v>
      </c>
      <c r="AO1216" s="2">
        <v>0.41430148252963611</v>
      </c>
      <c r="AP1216" s="2">
        <v>0.41110781135056551</v>
      </c>
      <c r="AQ1216" s="2">
        <v>0.40793875880316821</v>
      </c>
      <c r="AR1216" s="2">
        <v>6.9295128274938786</v>
      </c>
    </row>
    <row r="1217" spans="1:44" x14ac:dyDescent="0.25">
      <c r="A1217" t="s">
        <v>435</v>
      </c>
      <c r="B1217" t="s">
        <v>478</v>
      </c>
      <c r="C1217" t="s">
        <v>45</v>
      </c>
      <c r="D1217" t="s">
        <v>358</v>
      </c>
      <c r="E1217" t="s">
        <v>145</v>
      </c>
      <c r="F1217" t="s">
        <v>358</v>
      </c>
      <c r="G1217" t="s">
        <v>33</v>
      </c>
      <c r="H1217" t="s">
        <v>457</v>
      </c>
      <c r="I1217" t="s">
        <v>256</v>
      </c>
      <c r="J1217" t="s">
        <v>40</v>
      </c>
      <c r="K1217" t="s">
        <v>33</v>
      </c>
      <c r="L1217">
        <v>2.2326092598625055E-2</v>
      </c>
      <c r="M1217">
        <v>1</v>
      </c>
      <c r="N1217">
        <v>1.7396696203434354</v>
      </c>
      <c r="O1217">
        <v>1.4737622038640092</v>
      </c>
      <c r="P1217">
        <v>-0.11733133576427998</v>
      </c>
      <c r="Q1217">
        <v>1.3498045353129324</v>
      </c>
      <c r="R1217">
        <v>-0.25661544227348509</v>
      </c>
      <c r="S1217" s="2">
        <v>7.5473630466918906E-2</v>
      </c>
      <c r="T1217" s="2">
        <v>0.140921328322546</v>
      </c>
      <c r="U1217" s="2">
        <v>0.23928599221489125</v>
      </c>
      <c r="V1217" s="2">
        <v>0.37877850281701125</v>
      </c>
      <c r="W1217" s="2">
        <v>0.56663385493701279</v>
      </c>
      <c r="X1217" s="2">
        <v>0.80767303790457567</v>
      </c>
      <c r="Y1217" s="2">
        <v>1.1026335923767803</v>
      </c>
      <c r="Z1217" s="2">
        <v>1.4465665083939432</v>
      </c>
      <c r="AA1217" s="2">
        <v>1.8277740545798111</v>
      </c>
      <c r="AB1217" s="2">
        <v>2.2278625858994374</v>
      </c>
      <c r="AC1217" s="2">
        <v>2.6233900972939956</v>
      </c>
      <c r="AD1217" s="2">
        <v>2.9892089983086252</v>
      </c>
      <c r="AE1217" s="2">
        <v>3.3029668632338662</v>
      </c>
      <c r="AF1217" s="2">
        <v>3.549554371315216</v>
      </c>
      <c r="AG1217" s="2">
        <v>3.7239679611705601</v>
      </c>
      <c r="AH1217" s="2">
        <v>3.8419555164717965</v>
      </c>
      <c r="AI1217" s="2">
        <v>3.8917632812903982</v>
      </c>
      <c r="AJ1217" s="2">
        <v>3.9248125568291119</v>
      </c>
      <c r="AK1217" s="2">
        <v>3.9101986667446238</v>
      </c>
      <c r="AL1217" s="2">
        <v>3.8800566341596232</v>
      </c>
      <c r="AM1217" s="2">
        <v>3.8501469534845354</v>
      </c>
      <c r="AN1217" s="2">
        <v>3.8204678336188458</v>
      </c>
      <c r="AO1217" s="2">
        <v>3.7910174972688617</v>
      </c>
      <c r="AP1217" s="2">
        <v>3.7617941808412803</v>
      </c>
      <c r="AQ1217" s="2">
        <v>3.7327961343375757</v>
      </c>
      <c r="AR1217" s="2">
        <v>63.407700634281845</v>
      </c>
    </row>
    <row r="1218" spans="1:44" x14ac:dyDescent="0.25">
      <c r="A1218" t="s">
        <v>435</v>
      </c>
      <c r="B1218" t="s">
        <v>442</v>
      </c>
      <c r="C1218" t="s">
        <v>44</v>
      </c>
      <c r="D1218" t="s">
        <v>443</v>
      </c>
      <c r="E1218" t="s">
        <v>134</v>
      </c>
      <c r="F1218" t="s">
        <v>443</v>
      </c>
      <c r="G1218" t="s">
        <v>33</v>
      </c>
      <c r="H1218" t="s">
        <v>437</v>
      </c>
      <c r="I1218" t="s">
        <v>135</v>
      </c>
      <c r="J1218" t="s">
        <v>39</v>
      </c>
      <c r="K1218" t="s">
        <v>31</v>
      </c>
      <c r="L1218">
        <v>0.10334179344805128</v>
      </c>
      <c r="M1218">
        <v>1</v>
      </c>
      <c r="N1218">
        <v>5.5922831563196285</v>
      </c>
      <c r="O1218">
        <v>5.3471683850504297</v>
      </c>
      <c r="P1218">
        <v>-1.8862935958635241</v>
      </c>
      <c r="Q1218">
        <v>0.5179133243979881</v>
      </c>
      <c r="R1218">
        <v>-1.8625523936223525</v>
      </c>
      <c r="S1218" s="2">
        <v>0.71423908351617349</v>
      </c>
      <c r="T1218" s="2">
        <v>1.152851889557559</v>
      </c>
      <c r="U1218" s="2">
        <v>1.7363791691754238</v>
      </c>
      <c r="V1218" s="2">
        <v>2.4676958198983643</v>
      </c>
      <c r="W1218" s="2">
        <v>3.3308683083977448</v>
      </c>
      <c r="X1218" s="2">
        <v>4.2847226911057223</v>
      </c>
      <c r="Y1218" s="2">
        <v>5.2586122302329095</v>
      </c>
      <c r="Z1218" s="2">
        <v>6.1533510003138918</v>
      </c>
      <c r="AA1218" s="2">
        <v>6.8504425975643368</v>
      </c>
      <c r="AB1218" s="2">
        <v>7.231404320175411</v>
      </c>
      <c r="AC1218" s="2">
        <v>7.2056179824049211</v>
      </c>
      <c r="AD1218" s="2">
        <v>6.7401496242572048</v>
      </c>
      <c r="AE1218" s="2">
        <v>5.8804172604328695</v>
      </c>
      <c r="AF1218" s="2">
        <v>4.8255530248999259</v>
      </c>
      <c r="AG1218" s="2">
        <v>0.86469901621948841</v>
      </c>
      <c r="AH1218" s="2">
        <v>0</v>
      </c>
      <c r="AI1218" s="2">
        <v>0</v>
      </c>
      <c r="AJ1218" s="2">
        <v>0</v>
      </c>
      <c r="AK1218" s="2">
        <v>0</v>
      </c>
      <c r="AL1218" s="2">
        <v>0</v>
      </c>
      <c r="AM1218" s="2">
        <v>0</v>
      </c>
      <c r="AN1218" s="2">
        <v>0</v>
      </c>
      <c r="AO1218" s="2">
        <v>0</v>
      </c>
      <c r="AP1218" s="2">
        <v>0</v>
      </c>
      <c r="AQ1218" s="2">
        <v>0</v>
      </c>
      <c r="AR1218" s="2">
        <v>64.697004018151944</v>
      </c>
    </row>
    <row r="1219" spans="1:44" x14ac:dyDescent="0.25">
      <c r="A1219" t="s">
        <v>435</v>
      </c>
      <c r="B1219" t="s">
        <v>444</v>
      </c>
      <c r="C1219" t="s">
        <v>44</v>
      </c>
      <c r="D1219" t="s">
        <v>445</v>
      </c>
      <c r="E1219" t="s">
        <v>134</v>
      </c>
      <c r="F1219" t="s">
        <v>445</v>
      </c>
      <c r="G1219" t="s">
        <v>33</v>
      </c>
      <c r="H1219" t="s">
        <v>437</v>
      </c>
      <c r="I1219" t="s">
        <v>135</v>
      </c>
      <c r="J1219" t="s">
        <v>39</v>
      </c>
      <c r="K1219" t="s">
        <v>31</v>
      </c>
      <c r="L1219">
        <v>0.14174605833793252</v>
      </c>
      <c r="M1219">
        <v>1</v>
      </c>
      <c r="N1219">
        <v>5.8001361532849725</v>
      </c>
      <c r="O1219">
        <v>5.3471683850504297</v>
      </c>
      <c r="P1219">
        <v>-1.9048534768386352</v>
      </c>
      <c r="Q1219">
        <v>0.49935344342287746</v>
      </c>
      <c r="R1219">
        <v>-1.8625523936223525</v>
      </c>
      <c r="S1219" s="2">
        <v>0.97966729066113467</v>
      </c>
      <c r="T1219" s="2">
        <v>1.5812790328084148</v>
      </c>
      <c r="U1219" s="2">
        <v>2.3816589087399045</v>
      </c>
      <c r="V1219" s="2">
        <v>3.384750196186785</v>
      </c>
      <c r="W1219" s="2">
        <v>4.5686980824022116</v>
      </c>
      <c r="X1219" s="2">
        <v>5.8770274084766969</v>
      </c>
      <c r="Y1219" s="2">
        <v>7.2128374309456627</v>
      </c>
      <c r="Z1219" s="2">
        <v>8.4400823787011205</v>
      </c>
      <c r="AA1219" s="2">
        <v>9.3962297699346067</v>
      </c>
      <c r="AB1219" s="2">
        <v>9.9187659167926903</v>
      </c>
      <c r="AC1219" s="2">
        <v>9.8833967634619526</v>
      </c>
      <c r="AD1219" s="2">
        <v>9.2449493082062588</v>
      </c>
      <c r="AE1219" s="2">
        <v>8.0657199787006473</v>
      </c>
      <c r="AF1219" s="2">
        <v>6.6188431394321796</v>
      </c>
      <c r="AG1219" s="2">
        <v>1.1860417078924976</v>
      </c>
      <c r="AH1219" s="2">
        <v>0</v>
      </c>
      <c r="AI1219" s="2">
        <v>0</v>
      </c>
      <c r="AJ1219" s="2">
        <v>0</v>
      </c>
      <c r="AK1219" s="2">
        <v>0</v>
      </c>
      <c r="AL1219" s="2">
        <v>0</v>
      </c>
      <c r="AM1219" s="2">
        <v>0</v>
      </c>
      <c r="AN1219" s="2">
        <v>0</v>
      </c>
      <c r="AO1219" s="2">
        <v>0</v>
      </c>
      <c r="AP1219" s="2">
        <v>0</v>
      </c>
      <c r="AQ1219" s="2">
        <v>0</v>
      </c>
      <c r="AR1219" s="2">
        <v>88.739947313342768</v>
      </c>
    </row>
    <row r="1220" spans="1:44" x14ac:dyDescent="0.25">
      <c r="A1220" t="s">
        <v>435</v>
      </c>
      <c r="B1220" t="s">
        <v>480</v>
      </c>
      <c r="C1220" t="s">
        <v>44</v>
      </c>
      <c r="D1220" t="s">
        <v>212</v>
      </c>
      <c r="E1220" t="s">
        <v>134</v>
      </c>
      <c r="F1220" t="s">
        <v>481</v>
      </c>
      <c r="G1220" t="s">
        <v>33</v>
      </c>
      <c r="H1220" t="s">
        <v>450</v>
      </c>
      <c r="I1220" t="s">
        <v>135</v>
      </c>
      <c r="J1220" t="s">
        <v>39</v>
      </c>
      <c r="K1220" t="s">
        <v>31</v>
      </c>
      <c r="L1220">
        <v>0.10518942197789628</v>
      </c>
      <c r="M1220">
        <v>1</v>
      </c>
      <c r="N1220">
        <v>3.1302248495983953</v>
      </c>
      <c r="O1220">
        <v>5.3471683850504315</v>
      </c>
      <c r="P1220">
        <v>-1.4789321877336017</v>
      </c>
      <c r="Q1220">
        <v>0.92527473252791004</v>
      </c>
      <c r="R1220">
        <v>-1.862552393622352</v>
      </c>
      <c r="S1220" s="2">
        <v>0.1987718471455231</v>
      </c>
      <c r="T1220" s="2">
        <v>0.3942690247435453</v>
      </c>
      <c r="U1220" s="2">
        <v>0.69464618233013831</v>
      </c>
      <c r="V1220" s="2">
        <v>1.1212270265732529</v>
      </c>
      <c r="W1220" s="2">
        <v>1.6887470719291326</v>
      </c>
      <c r="X1220" s="2">
        <v>2.4000023521614278</v>
      </c>
      <c r="Y1220" s="2">
        <v>3.2394964202775172</v>
      </c>
      <c r="Z1220" s="2">
        <v>4.1671848102561988</v>
      </c>
      <c r="AA1220" s="2">
        <v>5.1143587551984577</v>
      </c>
      <c r="AB1220" s="2">
        <v>5.9845531833159509</v>
      </c>
      <c r="AC1220" s="2">
        <v>6.6625222666942818</v>
      </c>
      <c r="AD1220" s="2">
        <v>7.0330335035239919</v>
      </c>
      <c r="AE1220" s="2">
        <v>7.0079545327676378</v>
      </c>
      <c r="AF1220" s="2">
        <v>6.5552548339622776</v>
      </c>
      <c r="AG1220" s="2">
        <v>5.7191065215285795</v>
      </c>
      <c r="AH1220" s="2">
        <v>4.6931791661082896</v>
      </c>
      <c r="AI1220" s="2">
        <v>1.6998256546560402</v>
      </c>
      <c r="AJ1220" s="2">
        <v>0</v>
      </c>
      <c r="AK1220" s="2">
        <v>0</v>
      </c>
      <c r="AL1220" s="2">
        <v>0</v>
      </c>
      <c r="AM1220" s="2">
        <v>0</v>
      </c>
      <c r="AN1220" s="2">
        <v>0</v>
      </c>
      <c r="AO1220" s="2">
        <v>0</v>
      </c>
      <c r="AP1220" s="2">
        <v>0</v>
      </c>
      <c r="AQ1220" s="2">
        <v>0</v>
      </c>
      <c r="AR1220" s="2">
        <v>64.374133153172238</v>
      </c>
    </row>
    <row r="1221" spans="1:44" x14ac:dyDescent="0.25">
      <c r="A1221" t="s">
        <v>435</v>
      </c>
      <c r="B1221" t="s">
        <v>480</v>
      </c>
      <c r="C1221" t="s">
        <v>44</v>
      </c>
      <c r="D1221" t="s">
        <v>212</v>
      </c>
      <c r="E1221" t="s">
        <v>134</v>
      </c>
      <c r="F1221" t="s">
        <v>481</v>
      </c>
      <c r="G1221" t="s">
        <v>33</v>
      </c>
      <c r="H1221" t="s">
        <v>450</v>
      </c>
      <c r="I1221" t="s">
        <v>135</v>
      </c>
      <c r="J1221" t="s">
        <v>39</v>
      </c>
      <c r="K1221" t="s">
        <v>33</v>
      </c>
      <c r="L1221">
        <v>0.10518942197789628</v>
      </c>
      <c r="M1221">
        <v>1</v>
      </c>
      <c r="N1221">
        <v>3.1302248495983953</v>
      </c>
      <c r="O1221">
        <v>5.3471683850504315</v>
      </c>
      <c r="P1221">
        <v>-1.4789321877336017</v>
      </c>
      <c r="Q1221">
        <v>0.92527473252791004</v>
      </c>
      <c r="R1221">
        <v>-1.862552393622352</v>
      </c>
      <c r="S1221" s="2">
        <v>0.12245940454622178</v>
      </c>
      <c r="T1221" s="2">
        <v>0.24273203034875829</v>
      </c>
      <c r="U1221" s="2">
        <v>0.42736135080012649</v>
      </c>
      <c r="V1221" s="2">
        <v>0.68932226754995385</v>
      </c>
      <c r="W1221" s="2">
        <v>1.0375057671950811</v>
      </c>
      <c r="X1221" s="2">
        <v>1.4734477434970059</v>
      </c>
      <c r="Y1221" s="2">
        <v>1.9874569726739135</v>
      </c>
      <c r="Z1221" s="2">
        <v>2.5548190886156328</v>
      </c>
      <c r="AA1221" s="2">
        <v>3.1333271383455945</v>
      </c>
      <c r="AB1221" s="2">
        <v>3.6638985684345768</v>
      </c>
      <c r="AC1221" s="2">
        <v>4.0761254805325251</v>
      </c>
      <c r="AD1221" s="2">
        <v>4.2998045798123501</v>
      </c>
      <c r="AE1221" s="2">
        <v>4.2814853991569057</v>
      </c>
      <c r="AF1221" s="2">
        <v>4.0021183874688813</v>
      </c>
      <c r="AG1221" s="2">
        <v>3.4891986659669336</v>
      </c>
      <c r="AH1221" s="2">
        <v>2.8612895347562883</v>
      </c>
      <c r="AI1221" s="2">
        <v>0.65907555040347798</v>
      </c>
      <c r="AJ1221" s="2">
        <v>0</v>
      </c>
      <c r="AK1221" s="2">
        <v>0</v>
      </c>
      <c r="AL1221" s="2">
        <v>0</v>
      </c>
      <c r="AM1221" s="2">
        <v>0</v>
      </c>
      <c r="AN1221" s="2">
        <v>0</v>
      </c>
      <c r="AO1221" s="2">
        <v>0</v>
      </c>
      <c r="AP1221" s="2">
        <v>0</v>
      </c>
      <c r="AQ1221" s="2">
        <v>0</v>
      </c>
      <c r="AR1221" s="2">
        <v>39.001427930104221</v>
      </c>
    </row>
    <row r="1222" spans="1:44" x14ac:dyDescent="0.25">
      <c r="A1222" t="s">
        <v>435</v>
      </c>
      <c r="B1222" t="s">
        <v>480</v>
      </c>
      <c r="C1222" t="s">
        <v>44</v>
      </c>
      <c r="D1222" t="s">
        <v>212</v>
      </c>
      <c r="E1222" t="s">
        <v>134</v>
      </c>
      <c r="F1222" t="s">
        <v>481</v>
      </c>
      <c r="G1222" t="s">
        <v>33</v>
      </c>
      <c r="H1222" t="s">
        <v>450</v>
      </c>
      <c r="I1222" t="s">
        <v>256</v>
      </c>
      <c r="J1222" t="s">
        <v>40</v>
      </c>
      <c r="K1222" t="s">
        <v>33</v>
      </c>
      <c r="L1222">
        <v>0.10518942197789628</v>
      </c>
      <c r="M1222">
        <v>1</v>
      </c>
      <c r="N1222">
        <v>1.5491409834562504</v>
      </c>
      <c r="O1222">
        <v>1.4737622038640092</v>
      </c>
      <c r="P1222">
        <v>-1.5995236384734907E-2</v>
      </c>
      <c r="Q1222">
        <v>1.3498045353129324</v>
      </c>
      <c r="R1222">
        <v>-0.25661544227348509</v>
      </c>
      <c r="S1222" s="2">
        <v>3.1988850967212703</v>
      </c>
      <c r="T1222" s="2">
        <v>6.3450701166327788</v>
      </c>
      <c r="U1222" s="2">
        <v>11.179114910188394</v>
      </c>
      <c r="V1222" s="2">
        <v>18.044187226979062</v>
      </c>
      <c r="W1222" s="2">
        <v>27.177429390042555</v>
      </c>
      <c r="X1222" s="2">
        <v>38.623838670697303</v>
      </c>
      <c r="Y1222" s="2">
        <v>52.134026868105472</v>
      </c>
      <c r="Z1222" s="2">
        <v>67.063548365843346</v>
      </c>
      <c r="AA1222" s="2">
        <v>82.306655777630198</v>
      </c>
      <c r="AB1222" s="2">
        <v>96.310912554078996</v>
      </c>
      <c r="AC1222" s="2">
        <v>107.22163873588559</v>
      </c>
      <c r="AD1222" s="2">
        <v>113.18436882408875</v>
      </c>
      <c r="AE1222" s="2">
        <v>112.7807666694291</v>
      </c>
      <c r="AF1222" s="2">
        <v>105.49535708756576</v>
      </c>
      <c r="AG1222" s="2">
        <v>92.039012973931833</v>
      </c>
      <c r="AH1222" s="2">
        <v>75.528507212167852</v>
      </c>
      <c r="AI1222" s="2">
        <v>27.35571979528277</v>
      </c>
      <c r="AJ1222" s="2">
        <v>0</v>
      </c>
      <c r="AK1222" s="2">
        <v>0</v>
      </c>
      <c r="AL1222" s="2">
        <v>0</v>
      </c>
      <c r="AM1222" s="2">
        <v>0</v>
      </c>
      <c r="AN1222" s="2">
        <v>0</v>
      </c>
      <c r="AO1222" s="2">
        <v>0</v>
      </c>
      <c r="AP1222" s="2">
        <v>0</v>
      </c>
      <c r="AQ1222" s="2">
        <v>0</v>
      </c>
      <c r="AR1222" s="2">
        <v>1035.989040275271</v>
      </c>
    </row>
    <row r="1223" spans="1:44" x14ac:dyDescent="0.25">
      <c r="A1223" t="s">
        <v>435</v>
      </c>
      <c r="B1223" t="s">
        <v>480</v>
      </c>
      <c r="C1223" t="s">
        <v>44</v>
      </c>
      <c r="D1223" t="s">
        <v>212</v>
      </c>
      <c r="E1223" t="s">
        <v>134</v>
      </c>
      <c r="F1223" t="s">
        <v>481</v>
      </c>
      <c r="G1223" t="s">
        <v>33</v>
      </c>
      <c r="H1223" t="s">
        <v>451</v>
      </c>
      <c r="I1223" t="s">
        <v>135</v>
      </c>
      <c r="J1223" t="s">
        <v>39</v>
      </c>
      <c r="K1223" t="s">
        <v>31</v>
      </c>
      <c r="L1223">
        <v>0.10518942197789628</v>
      </c>
      <c r="M1223">
        <v>1</v>
      </c>
      <c r="N1223">
        <v>3.1302248495983953</v>
      </c>
      <c r="O1223">
        <v>5.3471683850504315</v>
      </c>
      <c r="P1223">
        <v>-1.4789321877336017</v>
      </c>
      <c r="Q1223">
        <v>0.92527473252791004</v>
      </c>
      <c r="R1223">
        <v>-1.862552393622352</v>
      </c>
      <c r="S1223" s="2">
        <v>5.199529887524966E-2</v>
      </c>
      <c r="T1223" s="2">
        <v>0.10313400047938111</v>
      </c>
      <c r="U1223" s="2">
        <v>0.1817075022518862</v>
      </c>
      <c r="V1223" s="2">
        <v>0.29329371936158938</v>
      </c>
      <c r="W1223" s="2">
        <v>0.44174720912752591</v>
      </c>
      <c r="X1223" s="2">
        <v>0.62779936592618346</v>
      </c>
      <c r="Y1223" s="2">
        <v>0.84739658556533481</v>
      </c>
      <c r="Z1223" s="2">
        <v>1.0900639239873953</v>
      </c>
      <c r="AA1223" s="2">
        <v>1.3378283486851577</v>
      </c>
      <c r="AB1223" s="2">
        <v>1.5654562548464399</v>
      </c>
      <c r="AC1223" s="2">
        <v>1.7428013146457164</v>
      </c>
      <c r="AD1223" s="2">
        <v>1.8397206861374709</v>
      </c>
      <c r="AE1223" s="2">
        <v>1.8331604584257188</v>
      </c>
      <c r="AF1223" s="2">
        <v>1.7147419978733669</v>
      </c>
      <c r="AG1223" s="2">
        <v>1.496019970416447</v>
      </c>
      <c r="AH1223" s="2">
        <v>1.227655007090835</v>
      </c>
      <c r="AI1223" s="2">
        <v>0.44464517595870257</v>
      </c>
      <c r="AJ1223" s="2">
        <v>0</v>
      </c>
      <c r="AK1223" s="2">
        <v>0</v>
      </c>
      <c r="AL1223" s="2">
        <v>0</v>
      </c>
      <c r="AM1223" s="2">
        <v>0</v>
      </c>
      <c r="AN1223" s="2">
        <v>0</v>
      </c>
      <c r="AO1223" s="2">
        <v>0</v>
      </c>
      <c r="AP1223" s="2">
        <v>0</v>
      </c>
      <c r="AQ1223" s="2">
        <v>0</v>
      </c>
      <c r="AR1223" s="2">
        <v>16.839166819654402</v>
      </c>
    </row>
    <row r="1224" spans="1:44" x14ac:dyDescent="0.25">
      <c r="A1224" t="s">
        <v>435</v>
      </c>
      <c r="B1224" t="s">
        <v>480</v>
      </c>
      <c r="C1224" t="s">
        <v>44</v>
      </c>
      <c r="D1224" t="s">
        <v>212</v>
      </c>
      <c r="E1224" t="s">
        <v>134</v>
      </c>
      <c r="F1224" t="s">
        <v>481</v>
      </c>
      <c r="G1224" t="s">
        <v>33</v>
      </c>
      <c r="H1224" t="s">
        <v>451</v>
      </c>
      <c r="I1224" t="s">
        <v>135</v>
      </c>
      <c r="J1224" t="s">
        <v>39</v>
      </c>
      <c r="K1224" t="s">
        <v>33</v>
      </c>
      <c r="L1224">
        <v>0.10518942197789628</v>
      </c>
      <c r="M1224">
        <v>1</v>
      </c>
      <c r="N1224">
        <v>3.1302248495983953</v>
      </c>
      <c r="O1224">
        <v>5.3471683850504315</v>
      </c>
      <c r="P1224">
        <v>-1.4789321877336017</v>
      </c>
      <c r="Q1224">
        <v>0.92527473252791004</v>
      </c>
      <c r="R1224">
        <v>-1.862552393622352</v>
      </c>
      <c r="S1224" s="2">
        <v>0.23422907921052522</v>
      </c>
      <c r="T1224" s="2">
        <v>0.46459934821304194</v>
      </c>
      <c r="U1224" s="2">
        <v>0.8185582515876898</v>
      </c>
      <c r="V1224" s="2">
        <v>1.3212332520507204</v>
      </c>
      <c r="W1224" s="2">
        <v>1.9899884081061143</v>
      </c>
      <c r="X1224" s="2">
        <v>2.828118514380507</v>
      </c>
      <c r="Y1224" s="2">
        <v>3.8173628435010771</v>
      </c>
      <c r="Z1224" s="2">
        <v>4.9105337351511382</v>
      </c>
      <c r="AA1224" s="2">
        <v>6.0266660454455803</v>
      </c>
      <c r="AB1224" s="2">
        <v>7.0520871126597271</v>
      </c>
      <c r="AC1224" s="2">
        <v>7.8509933783777832</v>
      </c>
      <c r="AD1224" s="2">
        <v>8.2875969874202688</v>
      </c>
      <c r="AE1224" s="2">
        <v>8.2580443907514418</v>
      </c>
      <c r="AF1224" s="2">
        <v>7.7245914137187768</v>
      </c>
      <c r="AG1224" s="2">
        <v>6.7392896613966986</v>
      </c>
      <c r="AH1224" s="2">
        <v>5.530355784452567</v>
      </c>
      <c r="AI1224" s="2">
        <v>2.0030432056961507</v>
      </c>
      <c r="AJ1224" s="2">
        <v>0</v>
      </c>
      <c r="AK1224" s="2">
        <v>0</v>
      </c>
      <c r="AL1224" s="2">
        <v>0</v>
      </c>
      <c r="AM1224" s="2">
        <v>0</v>
      </c>
      <c r="AN1224" s="2">
        <v>0</v>
      </c>
      <c r="AO1224" s="2">
        <v>0</v>
      </c>
      <c r="AP1224" s="2">
        <v>0</v>
      </c>
      <c r="AQ1224" s="2">
        <v>0</v>
      </c>
      <c r="AR1224" s="2">
        <v>75.857291412119807</v>
      </c>
    </row>
    <row r="1225" spans="1:44" x14ac:dyDescent="0.25">
      <c r="A1225" t="s">
        <v>435</v>
      </c>
      <c r="B1225" t="s">
        <v>480</v>
      </c>
      <c r="C1225" t="s">
        <v>44</v>
      </c>
      <c r="D1225" t="s">
        <v>212</v>
      </c>
      <c r="E1225" t="s">
        <v>134</v>
      </c>
      <c r="F1225" t="s">
        <v>481</v>
      </c>
      <c r="G1225" t="s">
        <v>33</v>
      </c>
      <c r="H1225" t="s">
        <v>452</v>
      </c>
      <c r="I1225" t="s">
        <v>135</v>
      </c>
      <c r="J1225" t="s">
        <v>39</v>
      </c>
      <c r="K1225" t="s">
        <v>31</v>
      </c>
      <c r="L1225">
        <v>0.10518942197789628</v>
      </c>
      <c r="M1225">
        <v>1</v>
      </c>
      <c r="N1225">
        <v>3.1302248495983953</v>
      </c>
      <c r="O1225">
        <v>5.3471683850504315</v>
      </c>
      <c r="P1225">
        <v>-1.4789321877336017</v>
      </c>
      <c r="Q1225">
        <v>0.92527473252791004</v>
      </c>
      <c r="R1225">
        <v>-1.862552393622352</v>
      </c>
      <c r="S1225" s="2">
        <v>1.1776579682371335</v>
      </c>
      <c r="T1225" s="2">
        <v>2.3359145939736141</v>
      </c>
      <c r="U1225" s="2">
        <v>4.1155506852420825</v>
      </c>
      <c r="V1225" s="2">
        <v>6.6429022067703789</v>
      </c>
      <c r="W1225" s="2">
        <v>10.005272246318027</v>
      </c>
      <c r="X1225" s="2">
        <v>14.219226386428575</v>
      </c>
      <c r="Y1225" s="2">
        <v>19.19295326376109</v>
      </c>
      <c r="Z1225" s="2">
        <v>24.689202557553887</v>
      </c>
      <c r="AA1225" s="2">
        <v>30.300897370407448</v>
      </c>
      <c r="AB1225" s="2">
        <v>35.456513806561304</v>
      </c>
      <c r="AC1225" s="2">
        <v>39.473258153029988</v>
      </c>
      <c r="AD1225" s="2">
        <v>41.668415649626859</v>
      </c>
      <c r="AE1225" s="2">
        <v>41.5198309774485</v>
      </c>
      <c r="AF1225" s="2">
        <v>38.837733813425189</v>
      </c>
      <c r="AG1225" s="2">
        <v>33.883829440615933</v>
      </c>
      <c r="AH1225" s="2">
        <v>27.805546513262435</v>
      </c>
      <c r="AI1225" s="2">
        <v>10.070909213587282</v>
      </c>
      <c r="AJ1225" s="2">
        <v>0</v>
      </c>
      <c r="AK1225" s="2">
        <v>0</v>
      </c>
      <c r="AL1225" s="2">
        <v>0</v>
      </c>
      <c r="AM1225" s="2">
        <v>0</v>
      </c>
      <c r="AN1225" s="2">
        <v>0</v>
      </c>
      <c r="AO1225" s="2">
        <v>0</v>
      </c>
      <c r="AP1225" s="2">
        <v>0</v>
      </c>
      <c r="AQ1225" s="2">
        <v>0</v>
      </c>
      <c r="AR1225" s="2">
        <v>381.39561484624977</v>
      </c>
    </row>
    <row r="1226" spans="1:44" x14ac:dyDescent="0.25">
      <c r="A1226" t="s">
        <v>435</v>
      </c>
      <c r="B1226" t="s">
        <v>480</v>
      </c>
      <c r="C1226" t="s">
        <v>44</v>
      </c>
      <c r="D1226" t="s">
        <v>212</v>
      </c>
      <c r="E1226" t="s">
        <v>134</v>
      </c>
      <c r="F1226" t="s">
        <v>481</v>
      </c>
      <c r="G1226" t="s">
        <v>33</v>
      </c>
      <c r="H1226" t="s">
        <v>452</v>
      </c>
      <c r="I1226" t="s">
        <v>135</v>
      </c>
      <c r="J1226" t="s">
        <v>39</v>
      </c>
      <c r="K1226" t="s">
        <v>33</v>
      </c>
      <c r="L1226">
        <v>0.10518942197789628</v>
      </c>
      <c r="M1226">
        <v>1</v>
      </c>
      <c r="N1226">
        <v>3.1302248495983953</v>
      </c>
      <c r="O1226">
        <v>5.3471683850504315</v>
      </c>
      <c r="P1226">
        <v>-1.4789321877336017</v>
      </c>
      <c r="Q1226">
        <v>0.92527473252791004</v>
      </c>
      <c r="R1226">
        <v>-1.862552393622352</v>
      </c>
      <c r="S1226" s="2">
        <v>2.3287795641063571</v>
      </c>
      <c r="T1226" s="2">
        <v>4.6191936170453403</v>
      </c>
      <c r="U1226" s="2">
        <v>8.1383649491902403</v>
      </c>
      <c r="V1226" s="2">
        <v>13.136118739672019</v>
      </c>
      <c r="W1226" s="2">
        <v>19.785093948308617</v>
      </c>
      <c r="X1226" s="2">
        <v>28.118048465026838</v>
      </c>
      <c r="Y1226" s="2">
        <v>37.953428364605784</v>
      </c>
      <c r="Z1226" s="2">
        <v>48.822079008373471</v>
      </c>
      <c r="AA1226" s="2">
        <v>59.919019336249377</v>
      </c>
      <c r="AB1226" s="2">
        <v>70.114079804322671</v>
      </c>
      <c r="AC1226" s="2">
        <v>78.057058496428368</v>
      </c>
      <c r="AD1226" s="2">
        <v>82.39790962294181</v>
      </c>
      <c r="AE1226" s="2">
        <v>82.104088362914666</v>
      </c>
      <c r="AF1226" s="2">
        <v>76.800330197991002</v>
      </c>
      <c r="AG1226" s="2">
        <v>67.004148643507364</v>
      </c>
      <c r="AH1226" s="2">
        <v>54.98454579798306</v>
      </c>
      <c r="AI1226" s="2">
        <v>19.91488887361724</v>
      </c>
      <c r="AJ1226" s="2">
        <v>0</v>
      </c>
      <c r="AK1226" s="2">
        <v>0</v>
      </c>
      <c r="AL1226" s="2">
        <v>0</v>
      </c>
      <c r="AM1226" s="2">
        <v>0</v>
      </c>
      <c r="AN1226" s="2">
        <v>0</v>
      </c>
      <c r="AO1226" s="2">
        <v>0</v>
      </c>
      <c r="AP1226" s="2">
        <v>0</v>
      </c>
      <c r="AQ1226" s="2">
        <v>0</v>
      </c>
      <c r="AR1226" s="2">
        <v>754.19717579228404</v>
      </c>
    </row>
    <row r="1227" spans="1:44" x14ac:dyDescent="0.25">
      <c r="A1227" t="s">
        <v>435</v>
      </c>
      <c r="B1227" t="s">
        <v>480</v>
      </c>
      <c r="C1227" t="s">
        <v>44</v>
      </c>
      <c r="D1227" t="s">
        <v>212</v>
      </c>
      <c r="E1227" t="s">
        <v>134</v>
      </c>
      <c r="F1227" t="s">
        <v>481</v>
      </c>
      <c r="G1227" t="s">
        <v>33</v>
      </c>
      <c r="H1227" t="s">
        <v>452</v>
      </c>
      <c r="I1227" t="s">
        <v>135</v>
      </c>
      <c r="J1227" t="s">
        <v>40</v>
      </c>
      <c r="K1227" t="s">
        <v>33</v>
      </c>
      <c r="L1227">
        <v>0.10518942197789628</v>
      </c>
      <c r="M1227">
        <v>1</v>
      </c>
      <c r="N1227">
        <v>3.1302248495983953</v>
      </c>
      <c r="O1227">
        <v>4.1746294160814532</v>
      </c>
      <c r="P1227">
        <v>-1.4789321877336017</v>
      </c>
      <c r="Q1227">
        <v>1.3498045353129324</v>
      </c>
      <c r="R1227">
        <v>-1.719552393622352</v>
      </c>
      <c r="S1227" s="2">
        <v>0.17051933686948684</v>
      </c>
      <c r="T1227" s="2">
        <v>0.33822945056312959</v>
      </c>
      <c r="U1227" s="2">
        <v>0.59591238935932822</v>
      </c>
      <c r="V1227" s="2">
        <v>0.96186100696365007</v>
      </c>
      <c r="W1227" s="2">
        <v>1.4487163800154337</v>
      </c>
      <c r="X1227" s="2">
        <v>2.058877126981475</v>
      </c>
      <c r="Y1227" s="2">
        <v>2.7790493941145642</v>
      </c>
      <c r="Z1227" s="2">
        <v>3.5748804504355065</v>
      </c>
      <c r="AA1227" s="2">
        <v>4.3874274751324478</v>
      </c>
      <c r="AB1227" s="2">
        <v>5.1339364952024917</v>
      </c>
      <c r="AC1227" s="2">
        <v>5.7155421912598907</v>
      </c>
      <c r="AD1227" s="2">
        <v>6.0333906759129574</v>
      </c>
      <c r="AE1227" s="2">
        <v>6.011876313974108</v>
      </c>
      <c r="AF1227" s="2">
        <v>5.6235212548957882</v>
      </c>
      <c r="AG1227" s="2">
        <v>4.906219193219262</v>
      </c>
      <c r="AH1227" s="2">
        <v>4.0261124032750191</v>
      </c>
      <c r="AI1227" s="2">
        <v>1.458220304274189</v>
      </c>
      <c r="AJ1227" s="2">
        <v>0</v>
      </c>
      <c r="AK1227" s="2">
        <v>0</v>
      </c>
      <c r="AL1227" s="2">
        <v>0</v>
      </c>
      <c r="AM1227" s="2">
        <v>0</v>
      </c>
      <c r="AN1227" s="2">
        <v>0</v>
      </c>
      <c r="AO1227" s="2">
        <v>0</v>
      </c>
      <c r="AP1227" s="2">
        <v>0</v>
      </c>
      <c r="AQ1227" s="2">
        <v>0</v>
      </c>
      <c r="AR1227" s="2">
        <v>55.224291842448729</v>
      </c>
    </row>
    <row r="1228" spans="1:44" x14ac:dyDescent="0.25">
      <c r="A1228" t="s">
        <v>435</v>
      </c>
      <c r="B1228" t="s">
        <v>480</v>
      </c>
      <c r="C1228" t="s">
        <v>44</v>
      </c>
      <c r="D1228" t="s">
        <v>212</v>
      </c>
      <c r="E1228" t="s">
        <v>134</v>
      </c>
      <c r="F1228" t="s">
        <v>481</v>
      </c>
      <c r="G1228" t="s">
        <v>33</v>
      </c>
      <c r="H1228" t="s">
        <v>452</v>
      </c>
      <c r="I1228" t="s">
        <v>256</v>
      </c>
      <c r="J1228" t="s">
        <v>40</v>
      </c>
      <c r="K1228" t="s">
        <v>33</v>
      </c>
      <c r="L1228">
        <v>0.10518942197789628</v>
      </c>
      <c r="M1228">
        <v>1</v>
      </c>
      <c r="N1228">
        <v>1.5491409834562504</v>
      </c>
      <c r="O1228">
        <v>1.4737622038640092</v>
      </c>
      <c r="P1228">
        <v>-1.5995236384734907E-2</v>
      </c>
      <c r="Q1228">
        <v>1.3498045353129324</v>
      </c>
      <c r="R1228">
        <v>-0.25661544227348509</v>
      </c>
      <c r="S1228" s="2">
        <v>1.0282507790519442</v>
      </c>
      <c r="T1228" s="2">
        <v>2.0395616264097884</v>
      </c>
      <c r="U1228" s="2">
        <v>3.5934187280731873</v>
      </c>
      <c r="V1228" s="2">
        <v>5.8001300492216572</v>
      </c>
      <c r="W1228" s="2">
        <v>8.7359227036892317</v>
      </c>
      <c r="X1228" s="2">
        <v>12.415260630595142</v>
      </c>
      <c r="Y1228" s="2">
        <v>16.75798039672927</v>
      </c>
      <c r="Z1228" s="2">
        <v>21.556931170752435</v>
      </c>
      <c r="AA1228" s="2">
        <v>26.456681114070893</v>
      </c>
      <c r="AB1228" s="2">
        <v>30.958214462419743</v>
      </c>
      <c r="AC1228" s="2">
        <v>34.465362220857237</v>
      </c>
      <c r="AD1228" s="2">
        <v>36.382024330651547</v>
      </c>
      <c r="AE1228" s="2">
        <v>36.252290308513281</v>
      </c>
      <c r="AF1228" s="2">
        <v>33.910465625300453</v>
      </c>
      <c r="AG1228" s="2">
        <v>29.585053520871639</v>
      </c>
      <c r="AH1228" s="2">
        <v>24.277910594895292</v>
      </c>
      <c r="AI1228" s="2">
        <v>8.7932324358436631</v>
      </c>
      <c r="AJ1228" s="2">
        <v>0</v>
      </c>
      <c r="AK1228" s="2">
        <v>0</v>
      </c>
      <c r="AL1228" s="2">
        <v>0</v>
      </c>
      <c r="AM1228" s="2">
        <v>0</v>
      </c>
      <c r="AN1228" s="2">
        <v>0</v>
      </c>
      <c r="AO1228" s="2">
        <v>0</v>
      </c>
      <c r="AP1228" s="2">
        <v>0</v>
      </c>
      <c r="AQ1228" s="2">
        <v>0</v>
      </c>
      <c r="AR1228" s="2">
        <v>333.00869069794641</v>
      </c>
    </row>
    <row r="1229" spans="1:44" x14ac:dyDescent="0.25">
      <c r="A1229" t="s">
        <v>435</v>
      </c>
      <c r="B1229" t="s">
        <v>480</v>
      </c>
      <c r="C1229" t="s">
        <v>44</v>
      </c>
      <c r="D1229" t="s">
        <v>212</v>
      </c>
      <c r="E1229" t="s">
        <v>134</v>
      </c>
      <c r="F1229" t="s">
        <v>481</v>
      </c>
      <c r="G1229" t="s">
        <v>33</v>
      </c>
      <c r="H1229" t="s">
        <v>453</v>
      </c>
      <c r="I1229" t="s">
        <v>135</v>
      </c>
      <c r="J1229" t="s">
        <v>39</v>
      </c>
      <c r="K1229" t="s">
        <v>31</v>
      </c>
      <c r="L1229">
        <v>0.10518942197789628</v>
      </c>
      <c r="M1229">
        <v>1</v>
      </c>
      <c r="N1229">
        <v>3.1302248495983953</v>
      </c>
      <c r="O1229">
        <v>5.3471683850504315</v>
      </c>
      <c r="P1229">
        <v>-1.4789321877336017</v>
      </c>
      <c r="Q1229">
        <v>0.92527473252791004</v>
      </c>
      <c r="R1229">
        <v>-1.862552393622352</v>
      </c>
      <c r="S1229" s="2">
        <v>0.36016299373552019</v>
      </c>
      <c r="T1229" s="2">
        <v>0.71439247724482124</v>
      </c>
      <c r="U1229" s="2">
        <v>1.2586583674085841</v>
      </c>
      <c r="V1229" s="2">
        <v>2.0315979770120767</v>
      </c>
      <c r="W1229" s="2">
        <v>3.0599111988067533</v>
      </c>
      <c r="X1229" s="2">
        <v>4.348664282894747</v>
      </c>
      <c r="Y1229" s="2">
        <v>5.8697785711497836</v>
      </c>
      <c r="Z1229" s="2">
        <v>7.5506958267196538</v>
      </c>
      <c r="AA1229" s="2">
        <v>9.266919771395969</v>
      </c>
      <c r="AB1229" s="2">
        <v>10.843661321386762</v>
      </c>
      <c r="AC1229" s="2">
        <v>12.072101758180107</v>
      </c>
      <c r="AD1229" s="2">
        <v>12.743446509388976</v>
      </c>
      <c r="AE1229" s="2">
        <v>12.698004877099866</v>
      </c>
      <c r="AF1229" s="2">
        <v>11.877739426401815</v>
      </c>
      <c r="AG1229" s="2">
        <v>10.362687452303344</v>
      </c>
      <c r="AH1229" s="2">
        <v>8.5037669211034661</v>
      </c>
      <c r="AI1229" s="2">
        <v>3.0799849445538334</v>
      </c>
      <c r="AJ1229" s="2">
        <v>0</v>
      </c>
      <c r="AK1229" s="2">
        <v>0</v>
      </c>
      <c r="AL1229" s="2">
        <v>0</v>
      </c>
      <c r="AM1229" s="2">
        <v>0</v>
      </c>
      <c r="AN1229" s="2">
        <v>0</v>
      </c>
      <c r="AO1229" s="2">
        <v>0</v>
      </c>
      <c r="AP1229" s="2">
        <v>0</v>
      </c>
      <c r="AQ1229" s="2">
        <v>0</v>
      </c>
      <c r="AR1229" s="2">
        <v>116.64217467678608</v>
      </c>
    </row>
    <row r="1230" spans="1:44" x14ac:dyDescent="0.25">
      <c r="A1230" t="s">
        <v>435</v>
      </c>
      <c r="B1230" t="s">
        <v>480</v>
      </c>
      <c r="C1230" t="s">
        <v>44</v>
      </c>
      <c r="D1230" t="s">
        <v>212</v>
      </c>
      <c r="E1230" t="s">
        <v>134</v>
      </c>
      <c r="F1230" t="s">
        <v>481</v>
      </c>
      <c r="G1230" t="s">
        <v>33</v>
      </c>
      <c r="H1230" t="s">
        <v>453</v>
      </c>
      <c r="I1230" t="s">
        <v>135</v>
      </c>
      <c r="J1230" t="s">
        <v>39</v>
      </c>
      <c r="K1230" t="s">
        <v>33</v>
      </c>
      <c r="L1230">
        <v>0.10518942197789628</v>
      </c>
      <c r="M1230">
        <v>1</v>
      </c>
      <c r="N1230">
        <v>3.1302248495983953</v>
      </c>
      <c r="O1230">
        <v>5.3471683850504315</v>
      </c>
      <c r="P1230">
        <v>-1.4789321877336017</v>
      </c>
      <c r="Q1230">
        <v>0.92527473252791004</v>
      </c>
      <c r="R1230">
        <v>-1.862552393622352</v>
      </c>
      <c r="S1230" s="2">
        <v>0.32770651794563432</v>
      </c>
      <c r="T1230" s="2">
        <v>0.65001423032476191</v>
      </c>
      <c r="U1230" s="2">
        <v>1.1452330140544504</v>
      </c>
      <c r="V1230" s="2">
        <v>1.8485183388966342</v>
      </c>
      <c r="W1230" s="2">
        <v>2.7841640080328967</v>
      </c>
      <c r="X1230" s="2">
        <v>3.9567797209850908</v>
      </c>
      <c r="Y1230" s="2">
        <v>5.3408171581223982</v>
      </c>
      <c r="Z1230" s="2">
        <v>6.8702567461941282</v>
      </c>
      <c r="AA1230" s="2">
        <v>8.4318213230862149</v>
      </c>
      <c r="AB1230" s="2">
        <v>9.8664731114015964</v>
      </c>
      <c r="AC1230" s="2">
        <v>10.984211316178902</v>
      </c>
      <c r="AD1230" s="2">
        <v>11.595057112627643</v>
      </c>
      <c r="AE1230" s="2">
        <v>11.553710501936804</v>
      </c>
      <c r="AF1230" s="2">
        <v>10.807364155102631</v>
      </c>
      <c r="AG1230" s="2">
        <v>9.4288427201573715</v>
      </c>
      <c r="AH1230" s="2">
        <v>7.7374408132071499</v>
      </c>
      <c r="AI1230" s="2">
        <v>2.8024287865784809</v>
      </c>
      <c r="AJ1230" s="2">
        <v>0</v>
      </c>
      <c r="AK1230" s="2">
        <v>0</v>
      </c>
      <c r="AL1230" s="2">
        <v>0</v>
      </c>
      <c r="AM1230" s="2">
        <v>0</v>
      </c>
      <c r="AN1230" s="2">
        <v>0</v>
      </c>
      <c r="AO1230" s="2">
        <v>0</v>
      </c>
      <c r="AP1230" s="2">
        <v>0</v>
      </c>
      <c r="AQ1230" s="2">
        <v>0</v>
      </c>
      <c r="AR1230" s="2">
        <v>106.13083957483281</v>
      </c>
    </row>
    <row r="1231" spans="1:44" x14ac:dyDescent="0.25">
      <c r="A1231" t="s">
        <v>435</v>
      </c>
      <c r="B1231" t="s">
        <v>480</v>
      </c>
      <c r="C1231" t="s">
        <v>44</v>
      </c>
      <c r="D1231" t="s">
        <v>212</v>
      </c>
      <c r="E1231" t="s">
        <v>134</v>
      </c>
      <c r="F1231" t="s">
        <v>481</v>
      </c>
      <c r="G1231" t="s">
        <v>33</v>
      </c>
      <c r="H1231" t="s">
        <v>453</v>
      </c>
      <c r="I1231" t="s">
        <v>135</v>
      </c>
      <c r="J1231" t="s">
        <v>40</v>
      </c>
      <c r="K1231" t="s">
        <v>33</v>
      </c>
      <c r="L1231">
        <v>0.10518942197789628</v>
      </c>
      <c r="M1231">
        <v>1</v>
      </c>
      <c r="N1231">
        <v>3.1302248495983953</v>
      </c>
      <c r="O1231">
        <v>4.1746294160814532</v>
      </c>
      <c r="P1231">
        <v>-1.4789321877336017</v>
      </c>
      <c r="Q1231">
        <v>1.3498045353129324</v>
      </c>
      <c r="R1231">
        <v>-1.719552393622352</v>
      </c>
      <c r="S1231" s="2">
        <v>6.6736175006921989</v>
      </c>
      <c r="T1231" s="2">
        <v>13.237290397482894</v>
      </c>
      <c r="U1231" s="2">
        <v>23.322230918312659</v>
      </c>
      <c r="V1231" s="2">
        <v>37.644366716128644</v>
      </c>
      <c r="W1231" s="2">
        <v>56.698431771467313</v>
      </c>
      <c r="X1231" s="2">
        <v>80.578300846401817</v>
      </c>
      <c r="Y1231" s="2">
        <v>108.76369221425075</v>
      </c>
      <c r="Z1231" s="2">
        <v>139.91014259672454</v>
      </c>
      <c r="AA1231" s="2">
        <v>171.71080605053149</v>
      </c>
      <c r="AB1231" s="2">
        <v>200.92693925996994</v>
      </c>
      <c r="AC1231" s="2">
        <v>223.68924893679974</v>
      </c>
      <c r="AD1231" s="2">
        <v>236.1288892068809</v>
      </c>
      <c r="AE1231" s="2">
        <v>235.28688134438704</v>
      </c>
      <c r="AF1231" s="2">
        <v>220.08782435572948</v>
      </c>
      <c r="AG1231" s="2">
        <v>192.01476425609425</v>
      </c>
      <c r="AH1231" s="2">
        <v>157.57001339276295</v>
      </c>
      <c r="AI1231" s="2">
        <v>57.070386978560329</v>
      </c>
      <c r="AJ1231" s="2">
        <v>0</v>
      </c>
      <c r="AK1231" s="2">
        <v>0</v>
      </c>
      <c r="AL1231" s="2">
        <v>0</v>
      </c>
      <c r="AM1231" s="2">
        <v>0</v>
      </c>
      <c r="AN1231" s="2">
        <v>0</v>
      </c>
      <c r="AO1231" s="2">
        <v>0</v>
      </c>
      <c r="AP1231" s="2">
        <v>0</v>
      </c>
      <c r="AQ1231" s="2">
        <v>0</v>
      </c>
      <c r="AR1231" s="2">
        <v>2161.3138267431768</v>
      </c>
    </row>
    <row r="1232" spans="1:44" x14ac:dyDescent="0.25">
      <c r="A1232" t="s">
        <v>435</v>
      </c>
      <c r="B1232" t="s">
        <v>480</v>
      </c>
      <c r="C1232" t="s">
        <v>44</v>
      </c>
      <c r="D1232" t="s">
        <v>212</v>
      </c>
      <c r="E1232" t="s">
        <v>134</v>
      </c>
      <c r="F1232" t="s">
        <v>481</v>
      </c>
      <c r="G1232" t="s">
        <v>33</v>
      </c>
      <c r="H1232" t="s">
        <v>453</v>
      </c>
      <c r="I1232" t="s">
        <v>256</v>
      </c>
      <c r="J1232" t="s">
        <v>40</v>
      </c>
      <c r="K1232" t="s">
        <v>33</v>
      </c>
      <c r="L1232">
        <v>0.10518942197789628</v>
      </c>
      <c r="M1232">
        <v>1</v>
      </c>
      <c r="N1232">
        <v>1.5491409834562504</v>
      </c>
      <c r="O1232">
        <v>1.4737622038640092</v>
      </c>
      <c r="P1232">
        <v>-1.5995236384734907E-2</v>
      </c>
      <c r="Q1232">
        <v>1.3498045353129324</v>
      </c>
      <c r="R1232">
        <v>-0.25661544227348509</v>
      </c>
      <c r="S1232" s="2">
        <v>3.4355598776361225</v>
      </c>
      <c r="T1232" s="2">
        <v>6.8145205765078884</v>
      </c>
      <c r="U1232" s="2">
        <v>12.006220133474672</v>
      </c>
      <c r="V1232" s="2">
        <v>19.379216129114074</v>
      </c>
      <c r="W1232" s="2">
        <v>29.188196251693803</v>
      </c>
      <c r="X1232" s="2">
        <v>41.481486969739777</v>
      </c>
      <c r="Y1232" s="2">
        <v>55.991248685752083</v>
      </c>
      <c r="Z1232" s="2">
        <v>72.025355413282142</v>
      </c>
      <c r="AA1232" s="2">
        <v>88.396249225038162</v>
      </c>
      <c r="AB1232" s="2">
        <v>103.43663399740605</v>
      </c>
      <c r="AC1232" s="2">
        <v>115.15460822052174</v>
      </c>
      <c r="AD1232" s="2">
        <v>121.55850071206545</v>
      </c>
      <c r="AE1232" s="2">
        <v>121.12503738745359</v>
      </c>
      <c r="AF1232" s="2">
        <v>113.30060478209062</v>
      </c>
      <c r="AG1232" s="2">
        <v>98.848670893046076</v>
      </c>
      <c r="AH1232" s="2">
        <v>81.116608177590919</v>
      </c>
      <c r="AI1232" s="2">
        <v>29.379677766124551</v>
      </c>
      <c r="AJ1232" s="2">
        <v>0</v>
      </c>
      <c r="AK1232" s="2">
        <v>0</v>
      </c>
      <c r="AL1232" s="2">
        <v>0</v>
      </c>
      <c r="AM1232" s="2">
        <v>0</v>
      </c>
      <c r="AN1232" s="2">
        <v>0</v>
      </c>
      <c r="AO1232" s="2">
        <v>0</v>
      </c>
      <c r="AP1232" s="2">
        <v>0</v>
      </c>
      <c r="AQ1232" s="2">
        <v>0</v>
      </c>
      <c r="AR1232" s="2">
        <v>1112.6383951985376</v>
      </c>
    </row>
    <row r="1233" spans="1:44" x14ac:dyDescent="0.25">
      <c r="A1233" t="s">
        <v>435</v>
      </c>
      <c r="B1233" t="s">
        <v>480</v>
      </c>
      <c r="C1233" t="s">
        <v>44</v>
      </c>
      <c r="D1233" t="s">
        <v>212</v>
      </c>
      <c r="E1233" t="s">
        <v>134</v>
      </c>
      <c r="F1233" t="s">
        <v>481</v>
      </c>
      <c r="G1233" t="s">
        <v>33</v>
      </c>
      <c r="H1233" t="s">
        <v>454</v>
      </c>
      <c r="I1233" t="s">
        <v>135</v>
      </c>
      <c r="J1233" t="s">
        <v>39</v>
      </c>
      <c r="K1233" t="s">
        <v>31</v>
      </c>
      <c r="L1233">
        <v>0.10518942197789628</v>
      </c>
      <c r="M1233">
        <v>1</v>
      </c>
      <c r="N1233">
        <v>3.1302248495983953</v>
      </c>
      <c r="O1233">
        <v>5.3471683850504315</v>
      </c>
      <c r="P1233">
        <v>-1.4789321877336017</v>
      </c>
      <c r="Q1233">
        <v>0.92527473252791004</v>
      </c>
      <c r="R1233">
        <v>-1.862552393622352</v>
      </c>
      <c r="S1233" s="2">
        <v>1.9832054023062783E-2</v>
      </c>
      <c r="T1233" s="2">
        <v>3.9337384597577192E-2</v>
      </c>
      <c r="U1233" s="2">
        <v>6.9306900412309747E-2</v>
      </c>
      <c r="V1233" s="2">
        <v>0.11186813063541845</v>
      </c>
      <c r="W1233" s="2">
        <v>0.16849128104780495</v>
      </c>
      <c r="X1233" s="2">
        <v>0.23945532019278826</v>
      </c>
      <c r="Y1233" s="2">
        <v>0.32321412180381415</v>
      </c>
      <c r="Z1233" s="2">
        <v>0.41577233128282548</v>
      </c>
      <c r="AA1233" s="2">
        <v>0.5102746721076814</v>
      </c>
      <c r="AB1233" s="2">
        <v>0.59709653927260109</v>
      </c>
      <c r="AC1233" s="2">
        <v>0.66473951628675443</v>
      </c>
      <c r="AD1233" s="2">
        <v>0.70170651624414304</v>
      </c>
      <c r="AE1233" s="2">
        <v>0.69920431329123345</v>
      </c>
      <c r="AF1233" s="2">
        <v>0.65403712783785639</v>
      </c>
      <c r="AG1233" s="2">
        <v>0.57061214214892408</v>
      </c>
      <c r="AH1233" s="2">
        <v>0.46825234105728664</v>
      </c>
      <c r="AI1233" s="2">
        <v>0.16959662395372499</v>
      </c>
      <c r="AJ1233" s="2">
        <v>0</v>
      </c>
      <c r="AK1233" s="2">
        <v>0</v>
      </c>
      <c r="AL1233" s="2">
        <v>0</v>
      </c>
      <c r="AM1233" s="2">
        <v>0</v>
      </c>
      <c r="AN1233" s="2">
        <v>0</v>
      </c>
      <c r="AO1233" s="2">
        <v>0</v>
      </c>
      <c r="AP1233" s="2">
        <v>0</v>
      </c>
      <c r="AQ1233" s="2">
        <v>0</v>
      </c>
      <c r="AR1233" s="2">
        <v>6.4227973161958065</v>
      </c>
    </row>
    <row r="1234" spans="1:44" x14ac:dyDescent="0.25">
      <c r="A1234" t="s">
        <v>435</v>
      </c>
      <c r="B1234" t="s">
        <v>480</v>
      </c>
      <c r="C1234" t="s">
        <v>44</v>
      </c>
      <c r="D1234" t="s">
        <v>212</v>
      </c>
      <c r="E1234" t="s">
        <v>134</v>
      </c>
      <c r="F1234" t="s">
        <v>481</v>
      </c>
      <c r="G1234" t="s">
        <v>33</v>
      </c>
      <c r="H1234" t="s">
        <v>454</v>
      </c>
      <c r="I1234" t="s">
        <v>135</v>
      </c>
      <c r="J1234" t="s">
        <v>39</v>
      </c>
      <c r="K1234" t="s">
        <v>33</v>
      </c>
      <c r="L1234">
        <v>0.10518942197789628</v>
      </c>
      <c r="M1234">
        <v>1</v>
      </c>
      <c r="N1234">
        <v>3.1302248495983953</v>
      </c>
      <c r="O1234">
        <v>5.3471683850504315</v>
      </c>
      <c r="P1234">
        <v>-1.4789321877336017</v>
      </c>
      <c r="Q1234">
        <v>0.92527473252791004</v>
      </c>
      <c r="R1234">
        <v>-1.862552393622352</v>
      </c>
      <c r="S1234" s="2">
        <v>0.15915231652496684</v>
      </c>
      <c r="T1234" s="2">
        <v>0.31568267600811489</v>
      </c>
      <c r="U1234" s="2">
        <v>0.55618816583279918</v>
      </c>
      <c r="V1234" s="2">
        <v>0.89774221647641861</v>
      </c>
      <c r="W1234" s="2">
        <v>1.3521432354829817</v>
      </c>
      <c r="X1234" s="2">
        <v>1.9216299465800057</v>
      </c>
      <c r="Y1234" s="2">
        <v>2.5937946800084188</v>
      </c>
      <c r="Z1234" s="2">
        <v>3.3365746983997173</v>
      </c>
      <c r="AA1234" s="2">
        <v>4.0949563789768968</v>
      </c>
      <c r="AB1234" s="2">
        <v>4.7917022262931166</v>
      </c>
      <c r="AC1234" s="2">
        <v>5.3345373998927998</v>
      </c>
      <c r="AD1234" s="2">
        <v>5.6311977292442092</v>
      </c>
      <c r="AE1234" s="2">
        <v>5.6111175400763065</v>
      </c>
      <c r="AF1234" s="2">
        <v>5.2486506878048154</v>
      </c>
      <c r="AG1234" s="2">
        <v>4.5791648285480999</v>
      </c>
      <c r="AH1234" s="2">
        <v>3.7577269964494033</v>
      </c>
      <c r="AI1234" s="2">
        <v>1.3610136169284468</v>
      </c>
      <c r="AJ1234" s="2">
        <v>0</v>
      </c>
      <c r="AK1234" s="2">
        <v>0</v>
      </c>
      <c r="AL1234" s="2">
        <v>0</v>
      </c>
      <c r="AM1234" s="2">
        <v>0</v>
      </c>
      <c r="AN1234" s="2">
        <v>0</v>
      </c>
      <c r="AO1234" s="2">
        <v>0</v>
      </c>
      <c r="AP1234" s="2">
        <v>0</v>
      </c>
      <c r="AQ1234" s="2">
        <v>0</v>
      </c>
      <c r="AR1234" s="2">
        <v>51.54297533952753</v>
      </c>
    </row>
    <row r="1235" spans="1:44" x14ac:dyDescent="0.25">
      <c r="A1235" t="s">
        <v>435</v>
      </c>
      <c r="B1235" t="s">
        <v>480</v>
      </c>
      <c r="C1235" t="s">
        <v>44</v>
      </c>
      <c r="D1235" t="s">
        <v>212</v>
      </c>
      <c r="E1235" t="s">
        <v>134</v>
      </c>
      <c r="F1235" t="s">
        <v>481</v>
      </c>
      <c r="G1235" t="s">
        <v>33</v>
      </c>
      <c r="H1235" t="s">
        <v>455</v>
      </c>
      <c r="I1235" t="s">
        <v>135</v>
      </c>
      <c r="J1235" t="s">
        <v>39</v>
      </c>
      <c r="K1235" t="s">
        <v>31</v>
      </c>
      <c r="L1235">
        <v>0.10518942197789628</v>
      </c>
      <c r="M1235">
        <v>1</v>
      </c>
      <c r="N1235">
        <v>3.1302248495983953</v>
      </c>
      <c r="O1235">
        <v>5.3471683850504315</v>
      </c>
      <c r="P1235">
        <v>-1.4789321877336017</v>
      </c>
      <c r="Q1235">
        <v>0.92527473252791004</v>
      </c>
      <c r="R1235">
        <v>-1.862552393622352</v>
      </c>
      <c r="S1235" s="2">
        <v>4.6727258859207846E-3</v>
      </c>
      <c r="T1235" s="2">
        <v>9.2684708845469973E-3</v>
      </c>
      <c r="U1235" s="2">
        <v>1.6329733029817516E-2</v>
      </c>
      <c r="V1235" s="2">
        <v>2.6357789728779672E-2</v>
      </c>
      <c r="W1235" s="2">
        <v>3.9699043255351264E-2</v>
      </c>
      <c r="X1235" s="2">
        <v>5.6419222733313838E-2</v>
      </c>
      <c r="Y1235" s="2">
        <v>7.6154037897008142E-2</v>
      </c>
      <c r="Z1235" s="2">
        <v>9.796212398249883E-2</v>
      </c>
      <c r="AA1235" s="2">
        <v>0.12022827622970898</v>
      </c>
      <c r="AB1235" s="2">
        <v>0.14068479503979855</v>
      </c>
      <c r="AC1235" s="2">
        <v>0.1566224830537184</v>
      </c>
      <c r="AD1235" s="2">
        <v>0.16533245618231349</v>
      </c>
      <c r="AE1235" s="2">
        <v>0.16474290007802436</v>
      </c>
      <c r="AF1235" s="2">
        <v>0.15410084170037253</v>
      </c>
      <c r="AG1235" s="2">
        <v>0.13444467851586733</v>
      </c>
      <c r="AH1235" s="2">
        <v>0.11032719216360239</v>
      </c>
      <c r="AI1235" s="2">
        <v>3.9959478427790004E-2</v>
      </c>
      <c r="AJ1235" s="2">
        <v>0</v>
      </c>
      <c r="AK1235" s="2">
        <v>0</v>
      </c>
      <c r="AL1235" s="2">
        <v>0</v>
      </c>
      <c r="AM1235" s="2">
        <v>0</v>
      </c>
      <c r="AN1235" s="2">
        <v>0</v>
      </c>
      <c r="AO1235" s="2">
        <v>0</v>
      </c>
      <c r="AP1235" s="2">
        <v>0</v>
      </c>
      <c r="AQ1235" s="2">
        <v>0</v>
      </c>
      <c r="AR1235" s="2">
        <v>1.5133062487884328</v>
      </c>
    </row>
    <row r="1236" spans="1:44" x14ac:dyDescent="0.25">
      <c r="A1236" t="s">
        <v>435</v>
      </c>
      <c r="B1236" t="s">
        <v>480</v>
      </c>
      <c r="C1236" t="s">
        <v>44</v>
      </c>
      <c r="D1236" t="s">
        <v>212</v>
      </c>
      <c r="E1236" t="s">
        <v>134</v>
      </c>
      <c r="F1236" t="s">
        <v>481</v>
      </c>
      <c r="G1236" t="s">
        <v>33</v>
      </c>
      <c r="H1236" t="s">
        <v>455</v>
      </c>
      <c r="I1236" t="s">
        <v>135</v>
      </c>
      <c r="J1236" t="s">
        <v>39</v>
      </c>
      <c r="K1236" t="s">
        <v>33</v>
      </c>
      <c r="L1236">
        <v>0.10518942197789628</v>
      </c>
      <c r="M1236">
        <v>1</v>
      </c>
      <c r="N1236">
        <v>3.1302248495983953</v>
      </c>
      <c r="O1236">
        <v>5.3471683850504315</v>
      </c>
      <c r="P1236">
        <v>-1.4789321877336017</v>
      </c>
      <c r="Q1236">
        <v>0.92527473252791004</v>
      </c>
      <c r="R1236">
        <v>-1.862552393622352</v>
      </c>
      <c r="S1236" s="2">
        <v>0.11880769139701149</v>
      </c>
      <c r="T1236" s="2">
        <v>0.23565808383738635</v>
      </c>
      <c r="U1236" s="2">
        <v>0.41519616809703763</v>
      </c>
      <c r="V1236" s="2">
        <v>0.67016731228330861</v>
      </c>
      <c r="W1236" s="2">
        <v>1.0093790637387159</v>
      </c>
      <c r="X1236" s="2">
        <v>1.4345026365778224</v>
      </c>
      <c r="Y1236" s="2">
        <v>1.9362756673498229</v>
      </c>
      <c r="Z1236" s="2">
        <v>2.4907632244759927</v>
      </c>
      <c r="AA1236" s="2">
        <v>3.0568974701753069</v>
      </c>
      <c r="AB1236" s="2">
        <v>3.5770203776989868</v>
      </c>
      <c r="AC1236" s="2">
        <v>3.9822484962250337</v>
      </c>
      <c r="AD1236" s="2">
        <v>4.2037063400622552</v>
      </c>
      <c r="AE1236" s="2">
        <v>4.1887164173897853</v>
      </c>
      <c r="AF1236" s="2">
        <v>3.9181338027813317</v>
      </c>
      <c r="AG1236" s="2">
        <v>3.4183605597776268</v>
      </c>
      <c r="AH1236" s="2">
        <v>2.8051547039740621</v>
      </c>
      <c r="AI1236" s="2">
        <v>1.0160008306369848</v>
      </c>
      <c r="AJ1236" s="2">
        <v>0</v>
      </c>
      <c r="AK1236" s="2">
        <v>0</v>
      </c>
      <c r="AL1236" s="2">
        <v>0</v>
      </c>
      <c r="AM1236" s="2">
        <v>0</v>
      </c>
      <c r="AN1236" s="2">
        <v>0</v>
      </c>
      <c r="AO1236" s="2">
        <v>0</v>
      </c>
      <c r="AP1236" s="2">
        <v>0</v>
      </c>
      <c r="AQ1236" s="2">
        <v>0</v>
      </c>
      <c r="AR1236" s="2">
        <v>38.476988846478477</v>
      </c>
    </row>
    <row r="1237" spans="1:44" x14ac:dyDescent="0.25">
      <c r="A1237" t="s">
        <v>435</v>
      </c>
      <c r="B1237" t="s">
        <v>480</v>
      </c>
      <c r="C1237" t="s">
        <v>44</v>
      </c>
      <c r="D1237" t="s">
        <v>212</v>
      </c>
      <c r="E1237" t="s">
        <v>134</v>
      </c>
      <c r="F1237" t="s">
        <v>481</v>
      </c>
      <c r="G1237" t="s">
        <v>33</v>
      </c>
      <c r="H1237" t="s">
        <v>456</v>
      </c>
      <c r="I1237" t="s">
        <v>135</v>
      </c>
      <c r="J1237" t="s">
        <v>39</v>
      </c>
      <c r="K1237" t="s">
        <v>31</v>
      </c>
      <c r="L1237">
        <v>0.10518942197789628</v>
      </c>
      <c r="M1237">
        <v>1</v>
      </c>
      <c r="N1237">
        <v>3.1302248495983953</v>
      </c>
      <c r="O1237">
        <v>5.3471683850504315</v>
      </c>
      <c r="P1237">
        <v>-1.4789321877336017</v>
      </c>
      <c r="Q1237">
        <v>0.92527473252791004</v>
      </c>
      <c r="R1237">
        <v>-1.862552393622352</v>
      </c>
      <c r="S1237" s="2">
        <v>0.84226990625562537</v>
      </c>
      <c r="T1237" s="2">
        <v>1.6706638252806627</v>
      </c>
      <c r="U1237" s="2">
        <v>2.943473048493082</v>
      </c>
      <c r="V1237" s="2">
        <v>4.751054015570622</v>
      </c>
      <c r="W1237" s="2">
        <v>7.15584655669005</v>
      </c>
      <c r="X1237" s="2">
        <v>10.169698502063831</v>
      </c>
      <c r="Y1237" s="2">
        <v>13.726945668643861</v>
      </c>
      <c r="Z1237" s="2">
        <v>17.657904828517903</v>
      </c>
      <c r="AA1237" s="2">
        <v>21.671431498772304</v>
      </c>
      <c r="AB1237" s="2">
        <v>25.358767456656192</v>
      </c>
      <c r="AC1237" s="2">
        <v>28.231573462645652</v>
      </c>
      <c r="AD1237" s="2">
        <v>29.801566744857023</v>
      </c>
      <c r="AE1237" s="2">
        <v>29.695297860951761</v>
      </c>
      <c r="AF1237" s="2">
        <v>27.777041637294545</v>
      </c>
      <c r="AG1237" s="2">
        <v>24.233971676216346</v>
      </c>
      <c r="AH1237" s="2">
        <v>19.886737649446413</v>
      </c>
      <c r="AI1237" s="2">
        <v>7.2027906132495829</v>
      </c>
      <c r="AJ1237" s="2">
        <v>0</v>
      </c>
      <c r="AK1237" s="2">
        <v>0</v>
      </c>
      <c r="AL1237" s="2">
        <v>0</v>
      </c>
      <c r="AM1237" s="2">
        <v>0</v>
      </c>
      <c r="AN1237" s="2">
        <v>0</v>
      </c>
      <c r="AO1237" s="2">
        <v>0</v>
      </c>
      <c r="AP1237" s="2">
        <v>0</v>
      </c>
      <c r="AQ1237" s="2">
        <v>0</v>
      </c>
      <c r="AR1237" s="2">
        <v>272.77703495160546</v>
      </c>
    </row>
    <row r="1238" spans="1:44" x14ac:dyDescent="0.25">
      <c r="A1238" t="s">
        <v>435</v>
      </c>
      <c r="B1238" t="s">
        <v>480</v>
      </c>
      <c r="C1238" t="s">
        <v>44</v>
      </c>
      <c r="D1238" t="s">
        <v>212</v>
      </c>
      <c r="E1238" t="s">
        <v>134</v>
      </c>
      <c r="F1238" t="s">
        <v>481</v>
      </c>
      <c r="G1238" t="s">
        <v>33</v>
      </c>
      <c r="H1238" t="s">
        <v>456</v>
      </c>
      <c r="I1238" t="s">
        <v>135</v>
      </c>
      <c r="J1238" t="s">
        <v>39</v>
      </c>
      <c r="K1238" t="s">
        <v>33</v>
      </c>
      <c r="L1238">
        <v>0.10518942197789628</v>
      </c>
      <c r="M1238">
        <v>1</v>
      </c>
      <c r="N1238">
        <v>3.1302248495983953</v>
      </c>
      <c r="O1238">
        <v>5.3471683850504315</v>
      </c>
      <c r="P1238">
        <v>-1.4789321877336017</v>
      </c>
      <c r="Q1238">
        <v>0.92527473252791004</v>
      </c>
      <c r="R1238">
        <v>-1.862552393622352</v>
      </c>
      <c r="S1238" s="2">
        <v>0.77766757397104413</v>
      </c>
      <c r="T1238" s="2">
        <v>1.5425234527290463</v>
      </c>
      <c r="U1238" s="2">
        <v>2.7177078602355444</v>
      </c>
      <c r="V1238" s="2">
        <v>4.3866468725202861</v>
      </c>
      <c r="W1238" s="2">
        <v>6.6069911676997348</v>
      </c>
      <c r="X1238" s="2">
        <v>9.3896798441670768</v>
      </c>
      <c r="Y1238" s="2">
        <v>12.674085179682043</v>
      </c>
      <c r="Z1238" s="2">
        <v>16.303538696344571</v>
      </c>
      <c r="AA1238" s="2">
        <v>20.009226772747901</v>
      </c>
      <c r="AB1238" s="2">
        <v>23.413743053676832</v>
      </c>
      <c r="AC1238" s="2">
        <v>26.066204052905793</v>
      </c>
      <c r="AD1238" s="2">
        <v>27.515778420765969</v>
      </c>
      <c r="AE1238" s="2">
        <v>27.417660389335165</v>
      </c>
      <c r="AF1238" s="2">
        <v>25.646534942935059</v>
      </c>
      <c r="AG1238" s="2">
        <v>22.375219417380553</v>
      </c>
      <c r="AH1238" s="2">
        <v>18.361419430020543</v>
      </c>
      <c r="AI1238" s="2">
        <v>6.6503346022756027</v>
      </c>
      <c r="AJ1238" s="2">
        <v>0</v>
      </c>
      <c r="AK1238" s="2">
        <v>0</v>
      </c>
      <c r="AL1238" s="2">
        <v>0</v>
      </c>
      <c r="AM1238" s="2">
        <v>0</v>
      </c>
      <c r="AN1238" s="2">
        <v>0</v>
      </c>
      <c r="AO1238" s="2">
        <v>0</v>
      </c>
      <c r="AP1238" s="2">
        <v>0</v>
      </c>
      <c r="AQ1238" s="2">
        <v>0</v>
      </c>
      <c r="AR1238" s="2">
        <v>251.85496172939278</v>
      </c>
    </row>
    <row r="1239" spans="1:44" x14ac:dyDescent="0.25">
      <c r="A1239" t="s">
        <v>435</v>
      </c>
      <c r="B1239" t="s">
        <v>480</v>
      </c>
      <c r="C1239" t="s">
        <v>44</v>
      </c>
      <c r="D1239" t="s">
        <v>212</v>
      </c>
      <c r="E1239" t="s">
        <v>134</v>
      </c>
      <c r="F1239" t="s">
        <v>481</v>
      </c>
      <c r="G1239" t="s">
        <v>33</v>
      </c>
      <c r="H1239" t="s">
        <v>456</v>
      </c>
      <c r="I1239" t="s">
        <v>135</v>
      </c>
      <c r="J1239" t="s">
        <v>40</v>
      </c>
      <c r="K1239" t="s">
        <v>33</v>
      </c>
      <c r="L1239">
        <v>0.10518942197789628</v>
      </c>
      <c r="M1239">
        <v>1</v>
      </c>
      <c r="N1239">
        <v>3.1302248495983953</v>
      </c>
      <c r="O1239">
        <v>4.1746294160814532</v>
      </c>
      <c r="P1239">
        <v>-1.4789321877336017</v>
      </c>
      <c r="Q1239">
        <v>1.3498045353129324</v>
      </c>
      <c r="R1239">
        <v>-1.719552393622352</v>
      </c>
      <c r="S1239" s="2">
        <v>2.8709260951463569</v>
      </c>
      <c r="T1239" s="2">
        <v>5.6945550785945045</v>
      </c>
      <c r="U1239" s="2">
        <v>10.032999543870794</v>
      </c>
      <c r="V1239" s="2">
        <v>16.194244685042708</v>
      </c>
      <c r="W1239" s="2">
        <v>24.39112030464695</v>
      </c>
      <c r="X1239" s="2">
        <v>34.664010422906962</v>
      </c>
      <c r="Y1239" s="2">
        <v>46.789094842485618</v>
      </c>
      <c r="Z1239" s="2">
        <v>60.187998385421743</v>
      </c>
      <c r="AA1239" s="2">
        <v>73.868338102678806</v>
      </c>
      <c r="AB1239" s="2">
        <v>86.436837753962237</v>
      </c>
      <c r="AC1239" s="2">
        <v>96.228964562283977</v>
      </c>
      <c r="AD1239" s="2">
        <v>101.58037822390081</v>
      </c>
      <c r="AE1239" s="2">
        <v>101.21815453569856</v>
      </c>
      <c r="AF1239" s="2">
        <v>94.679666328091841</v>
      </c>
      <c r="AG1239" s="2">
        <v>82.602905740255423</v>
      </c>
      <c r="AH1239" s="2">
        <v>67.785105037099186</v>
      </c>
      <c r="AI1239" s="2">
        <v>24.551131859123686</v>
      </c>
      <c r="AJ1239" s="2">
        <v>0</v>
      </c>
      <c r="AK1239" s="2">
        <v>0</v>
      </c>
      <c r="AL1239" s="2">
        <v>0</v>
      </c>
      <c r="AM1239" s="2">
        <v>0</v>
      </c>
      <c r="AN1239" s="2">
        <v>0</v>
      </c>
      <c r="AO1239" s="2">
        <v>0</v>
      </c>
      <c r="AP1239" s="2">
        <v>0</v>
      </c>
      <c r="AQ1239" s="2">
        <v>0</v>
      </c>
      <c r="AR1239" s="2">
        <v>929.77643150121014</v>
      </c>
    </row>
    <row r="1240" spans="1:44" x14ac:dyDescent="0.25">
      <c r="A1240" t="s">
        <v>435</v>
      </c>
      <c r="B1240" t="s">
        <v>480</v>
      </c>
      <c r="C1240" t="s">
        <v>44</v>
      </c>
      <c r="D1240" t="s">
        <v>212</v>
      </c>
      <c r="E1240" t="s">
        <v>134</v>
      </c>
      <c r="F1240" t="s">
        <v>481</v>
      </c>
      <c r="G1240" t="s">
        <v>33</v>
      </c>
      <c r="H1240" t="s">
        <v>456</v>
      </c>
      <c r="I1240" t="s">
        <v>256</v>
      </c>
      <c r="J1240" t="s">
        <v>40</v>
      </c>
      <c r="K1240" t="s">
        <v>33</v>
      </c>
      <c r="L1240">
        <v>0.10518942197789628</v>
      </c>
      <c r="M1240">
        <v>1</v>
      </c>
      <c r="N1240">
        <v>1.5491409834562504</v>
      </c>
      <c r="O1240">
        <v>1.4737622038640092</v>
      </c>
      <c r="P1240">
        <v>-1.5995236384734907E-2</v>
      </c>
      <c r="Q1240">
        <v>1.3498045353129324</v>
      </c>
      <c r="R1240">
        <v>-0.25661544227348509</v>
      </c>
      <c r="S1240" s="2">
        <v>4.3112125428129495</v>
      </c>
      <c r="T1240" s="2">
        <v>8.5513999549069748</v>
      </c>
      <c r="U1240" s="2">
        <v>15.066355608630639</v>
      </c>
      <c r="V1240" s="2">
        <v>24.318574736414075</v>
      </c>
      <c r="W1240" s="2">
        <v>36.627659614237778</v>
      </c>
      <c r="X1240" s="2">
        <v>52.054254121026695</v>
      </c>
      <c r="Y1240" s="2">
        <v>70.262251923801387</v>
      </c>
      <c r="Z1240" s="2">
        <v>90.383118536113898</v>
      </c>
      <c r="AA1240" s="2">
        <v>110.92661224662483</v>
      </c>
      <c r="AB1240" s="2">
        <v>129.80047787227096</v>
      </c>
      <c r="AC1240" s="2">
        <v>144.50511969088922</v>
      </c>
      <c r="AD1240" s="2">
        <v>152.54123101355529</v>
      </c>
      <c r="AE1240" s="2">
        <v>151.99728691463835</v>
      </c>
      <c r="AF1240" s="2">
        <v>142.17856938675592</v>
      </c>
      <c r="AG1240" s="2">
        <v>124.04313851974324</v>
      </c>
      <c r="AH1240" s="2">
        <v>101.79154229915396</v>
      </c>
      <c r="AI1240" s="2">
        <v>36.867945778977564</v>
      </c>
      <c r="AJ1240" s="2">
        <v>0</v>
      </c>
      <c r="AK1240" s="2">
        <v>0</v>
      </c>
      <c r="AL1240" s="2">
        <v>0</v>
      </c>
      <c r="AM1240" s="2">
        <v>0</v>
      </c>
      <c r="AN1240" s="2">
        <v>0</v>
      </c>
      <c r="AO1240" s="2">
        <v>0</v>
      </c>
      <c r="AP1240" s="2">
        <v>0</v>
      </c>
      <c r="AQ1240" s="2">
        <v>0</v>
      </c>
      <c r="AR1240" s="2">
        <v>1396.2267507605538</v>
      </c>
    </row>
    <row r="1241" spans="1:44" x14ac:dyDescent="0.25">
      <c r="A1241" t="s">
        <v>435</v>
      </c>
      <c r="B1241" t="s">
        <v>480</v>
      </c>
      <c r="C1241" t="s">
        <v>44</v>
      </c>
      <c r="D1241" t="s">
        <v>212</v>
      </c>
      <c r="E1241" t="s">
        <v>134</v>
      </c>
      <c r="F1241" t="s">
        <v>481</v>
      </c>
      <c r="G1241" t="s">
        <v>33</v>
      </c>
      <c r="H1241" t="s">
        <v>457</v>
      </c>
      <c r="I1241" t="s">
        <v>135</v>
      </c>
      <c r="J1241" t="s">
        <v>39</v>
      </c>
      <c r="K1241" t="s">
        <v>31</v>
      </c>
      <c r="L1241">
        <v>0.10518942197789628</v>
      </c>
      <c r="M1241">
        <v>1</v>
      </c>
      <c r="N1241">
        <v>3.1302248495983953</v>
      </c>
      <c r="O1241">
        <v>5.3471683850504315</v>
      </c>
      <c r="P1241">
        <v>-1.4789321877336017</v>
      </c>
      <c r="Q1241">
        <v>0.92527473252791004</v>
      </c>
      <c r="R1241">
        <v>-1.862552393622352</v>
      </c>
      <c r="S1241" s="2">
        <v>0.31138627983196321</v>
      </c>
      <c r="T1241" s="2">
        <v>0.61764262208615284</v>
      </c>
      <c r="U1241" s="2">
        <v>1.0881988250423582</v>
      </c>
      <c r="V1241" s="2">
        <v>1.7564595674159713</v>
      </c>
      <c r="W1241" s="2">
        <v>2.6455087873694256</v>
      </c>
      <c r="X1241" s="2">
        <v>3.7597266150089226</v>
      </c>
      <c r="Y1241" s="2">
        <v>5.0748370723781235</v>
      </c>
      <c r="Z1241" s="2">
        <v>6.5281084523400983</v>
      </c>
      <c r="AA1241" s="2">
        <v>8.0119049522207284</v>
      </c>
      <c r="AB1241" s="2">
        <v>9.3751090960330643</v>
      </c>
      <c r="AC1241" s="2">
        <v>10.437182391350927</v>
      </c>
      <c r="AD1241" s="2">
        <v>11.01760722177411</v>
      </c>
      <c r="AE1241" s="2">
        <v>10.978319729516121</v>
      </c>
      <c r="AF1241" s="2">
        <v>10.269142463638778</v>
      </c>
      <c r="AG1241" s="2">
        <v>8.9592733039187511</v>
      </c>
      <c r="AH1241" s="2">
        <v>7.3521055527015085</v>
      </c>
      <c r="AI1241" s="2">
        <v>2.6628639546664217</v>
      </c>
      <c r="AJ1241" s="2">
        <v>0</v>
      </c>
      <c r="AK1241" s="2">
        <v>0</v>
      </c>
      <c r="AL1241" s="2">
        <v>0</v>
      </c>
      <c r="AM1241" s="2">
        <v>0</v>
      </c>
      <c r="AN1241" s="2">
        <v>0</v>
      </c>
      <c r="AO1241" s="2">
        <v>0</v>
      </c>
      <c r="AP1241" s="2">
        <v>0</v>
      </c>
      <c r="AQ1241" s="2">
        <v>0</v>
      </c>
      <c r="AR1241" s="2">
        <v>100.84537688729341</v>
      </c>
    </row>
    <row r="1242" spans="1:44" x14ac:dyDescent="0.25">
      <c r="A1242" t="s">
        <v>435</v>
      </c>
      <c r="B1242" t="s">
        <v>480</v>
      </c>
      <c r="C1242" t="s">
        <v>44</v>
      </c>
      <c r="D1242" t="s">
        <v>212</v>
      </c>
      <c r="E1242" t="s">
        <v>134</v>
      </c>
      <c r="F1242" t="s">
        <v>481</v>
      </c>
      <c r="G1242" t="s">
        <v>33</v>
      </c>
      <c r="H1242" t="s">
        <v>457</v>
      </c>
      <c r="I1242" t="s">
        <v>135</v>
      </c>
      <c r="J1242" t="s">
        <v>39</v>
      </c>
      <c r="K1242" t="s">
        <v>33</v>
      </c>
      <c r="L1242">
        <v>0.10518942197789628</v>
      </c>
      <c r="M1242">
        <v>1</v>
      </c>
      <c r="N1242">
        <v>3.1302248495983953</v>
      </c>
      <c r="O1242">
        <v>5.3471683850504315</v>
      </c>
      <c r="P1242">
        <v>-1.4789321877336017</v>
      </c>
      <c r="Q1242">
        <v>0.92527473252791004</v>
      </c>
      <c r="R1242">
        <v>-1.862552393622352</v>
      </c>
      <c r="S1242" s="2">
        <v>9.1109934824641109E-2</v>
      </c>
      <c r="T1242" s="2">
        <v>0.18071887776673157</v>
      </c>
      <c r="U1242" s="2">
        <v>0.31840106789343248</v>
      </c>
      <c r="V1242" s="2">
        <v>0.51393053282805423</v>
      </c>
      <c r="W1242" s="2">
        <v>0.77406150754398839</v>
      </c>
      <c r="X1242" s="2">
        <v>1.1000755943286413</v>
      </c>
      <c r="Y1242" s="2">
        <v>1.4848697738370362</v>
      </c>
      <c r="Z1242" s="2">
        <v>1.910089089159164</v>
      </c>
      <c r="AA1242" s="2">
        <v>2.3442398888350788</v>
      </c>
      <c r="AB1242" s="2">
        <v>2.7431060198747845</v>
      </c>
      <c r="AC1242" s="2">
        <v>3.0538628996179158</v>
      </c>
      <c r="AD1242" s="2">
        <v>3.2236920536159563</v>
      </c>
      <c r="AE1242" s="2">
        <v>3.2121967466904859</v>
      </c>
      <c r="AF1242" s="2">
        <v>3.0046953291326224</v>
      </c>
      <c r="AG1242" s="2">
        <v>2.6214347248590464</v>
      </c>
      <c r="AH1242" s="2">
        <v>2.1511861668792691</v>
      </c>
      <c r="AI1242" s="2">
        <v>0.77913953526619562</v>
      </c>
      <c r="AJ1242" s="2">
        <v>0</v>
      </c>
      <c r="AK1242" s="2">
        <v>0</v>
      </c>
      <c r="AL1242" s="2">
        <v>0</v>
      </c>
      <c r="AM1242" s="2">
        <v>0</v>
      </c>
      <c r="AN1242" s="2">
        <v>0</v>
      </c>
      <c r="AO1242" s="2">
        <v>0</v>
      </c>
      <c r="AP1242" s="2">
        <v>0</v>
      </c>
      <c r="AQ1242" s="2">
        <v>0</v>
      </c>
      <c r="AR1242" s="2">
        <v>29.506809742953042</v>
      </c>
    </row>
    <row r="1243" spans="1:44" x14ac:dyDescent="0.25">
      <c r="A1243" t="s">
        <v>435</v>
      </c>
      <c r="B1243" t="s">
        <v>480</v>
      </c>
      <c r="C1243" t="s">
        <v>44</v>
      </c>
      <c r="D1243" t="s">
        <v>212</v>
      </c>
      <c r="E1243" t="s">
        <v>134</v>
      </c>
      <c r="F1243" t="s">
        <v>481</v>
      </c>
      <c r="G1243" t="s">
        <v>33</v>
      </c>
      <c r="H1243" t="s">
        <v>457</v>
      </c>
      <c r="I1243" t="s">
        <v>256</v>
      </c>
      <c r="J1243" t="s">
        <v>39</v>
      </c>
      <c r="K1243" t="s">
        <v>33</v>
      </c>
      <c r="L1243">
        <v>0.10518942197789628</v>
      </c>
      <c r="M1243">
        <v>1</v>
      </c>
      <c r="N1243">
        <v>1.5491409834562504</v>
      </c>
      <c r="O1243">
        <v>2.6463011728329877</v>
      </c>
      <c r="P1243">
        <v>-1.5995236384734907E-2</v>
      </c>
      <c r="Q1243">
        <v>1.3498045353129324</v>
      </c>
      <c r="R1243">
        <v>-0.39961544227348506</v>
      </c>
      <c r="S1243" s="2">
        <v>0.25055843415613871</v>
      </c>
      <c r="T1243" s="2">
        <v>0.49698903992016152</v>
      </c>
      <c r="U1243" s="2">
        <v>0.87562430111018441</v>
      </c>
      <c r="V1243" s="2">
        <v>1.4133434495180972</v>
      </c>
      <c r="W1243" s="2">
        <v>2.1287210845233506</v>
      </c>
      <c r="X1243" s="2">
        <v>3.0252816984105846</v>
      </c>
      <c r="Y1243" s="2">
        <v>4.0834915113753958</v>
      </c>
      <c r="Z1243" s="2">
        <v>5.2528731603154268</v>
      </c>
      <c r="AA1243" s="2">
        <v>6.446816990522322</v>
      </c>
      <c r="AB1243" s="2">
        <v>7.5437256144125548</v>
      </c>
      <c r="AC1243" s="2">
        <v>8.3983278851917902</v>
      </c>
      <c r="AD1243" s="2">
        <v>8.8653694540581345</v>
      </c>
      <c r="AE1243" s="2">
        <v>8.833756588689134</v>
      </c>
      <c r="AF1243" s="2">
        <v>8.2631137672608794</v>
      </c>
      <c r="AG1243" s="2">
        <v>7.2091213890932355</v>
      </c>
      <c r="AH1243" s="2">
        <v>5.9159063014260997</v>
      </c>
      <c r="AI1243" s="2">
        <v>2.1426860014901425</v>
      </c>
      <c r="AJ1243" s="2">
        <v>0</v>
      </c>
      <c r="AK1243" s="2">
        <v>0</v>
      </c>
      <c r="AL1243" s="2">
        <v>0</v>
      </c>
      <c r="AM1243" s="2">
        <v>0</v>
      </c>
      <c r="AN1243" s="2">
        <v>0</v>
      </c>
      <c r="AO1243" s="2">
        <v>0</v>
      </c>
      <c r="AP1243" s="2">
        <v>0</v>
      </c>
      <c r="AQ1243" s="2">
        <v>0</v>
      </c>
      <c r="AR1243" s="2">
        <v>81.145706671473619</v>
      </c>
    </row>
    <row r="1244" spans="1:44" x14ac:dyDescent="0.25">
      <c r="A1244" t="s">
        <v>435</v>
      </c>
      <c r="B1244" t="s">
        <v>480</v>
      </c>
      <c r="C1244" t="s">
        <v>44</v>
      </c>
      <c r="D1244" t="s">
        <v>212</v>
      </c>
      <c r="E1244" t="s">
        <v>134</v>
      </c>
      <c r="F1244" t="s">
        <v>481</v>
      </c>
      <c r="G1244" t="s">
        <v>33</v>
      </c>
      <c r="H1244" t="s">
        <v>457</v>
      </c>
      <c r="I1244" t="s">
        <v>256</v>
      </c>
      <c r="J1244" t="s">
        <v>40</v>
      </c>
      <c r="K1244" t="s">
        <v>33</v>
      </c>
      <c r="L1244">
        <v>0.10518942197789628</v>
      </c>
      <c r="M1244">
        <v>1</v>
      </c>
      <c r="N1244">
        <v>1.5491409834562504</v>
      </c>
      <c r="O1244">
        <v>1.4737622038640092</v>
      </c>
      <c r="P1244">
        <v>-1.5995236384734907E-2</v>
      </c>
      <c r="Q1244">
        <v>1.3498045353129324</v>
      </c>
      <c r="R1244">
        <v>-0.25661544227348509</v>
      </c>
      <c r="S1244" s="2">
        <v>2.2927057904173993</v>
      </c>
      <c r="T1244" s="2">
        <v>4.5476403675514501</v>
      </c>
      <c r="U1244" s="2">
        <v>8.0122982574774504</v>
      </c>
      <c r="V1244" s="2">
        <v>12.932634742358577</v>
      </c>
      <c r="W1244" s="2">
        <v>19.478614532005448</v>
      </c>
      <c r="X1244" s="2">
        <v>27.682488082869426</v>
      </c>
      <c r="Y1244" s="2">
        <v>37.365513816295909</v>
      </c>
      <c r="Z1244" s="2">
        <v>48.065804496041814</v>
      </c>
      <c r="AA1244" s="2">
        <v>58.990848556792344</v>
      </c>
      <c r="AB1244" s="2">
        <v>69.027983255617656</v>
      </c>
      <c r="AC1244" s="2">
        <v>76.847921871207902</v>
      </c>
      <c r="AD1244" s="2">
        <v>81.121531390327974</v>
      </c>
      <c r="AE1244" s="2">
        <v>80.832261545042968</v>
      </c>
      <c r="AF1244" s="2">
        <v>75.610660822022083</v>
      </c>
      <c r="AG1244" s="2">
        <v>65.966226234859477</v>
      </c>
      <c r="AH1244" s="2">
        <v>54.132812086438001</v>
      </c>
      <c r="AI1244" s="2">
        <v>19.606398879398579</v>
      </c>
      <c r="AJ1244" s="2">
        <v>0</v>
      </c>
      <c r="AK1244" s="2">
        <v>0</v>
      </c>
      <c r="AL1244" s="2">
        <v>0</v>
      </c>
      <c r="AM1244" s="2">
        <v>0</v>
      </c>
      <c r="AN1244" s="2">
        <v>0</v>
      </c>
      <c r="AO1244" s="2">
        <v>0</v>
      </c>
      <c r="AP1244" s="2">
        <v>0</v>
      </c>
      <c r="AQ1244" s="2">
        <v>0</v>
      </c>
      <c r="AR1244" s="2">
        <v>742.51434472672463</v>
      </c>
    </row>
    <row r="1245" spans="1:44" x14ac:dyDescent="0.25">
      <c r="A1245" t="s">
        <v>435</v>
      </c>
      <c r="B1245" t="s">
        <v>482</v>
      </c>
      <c r="C1245" t="s">
        <v>44</v>
      </c>
      <c r="D1245" t="s">
        <v>212</v>
      </c>
      <c r="E1245" t="s">
        <v>134</v>
      </c>
      <c r="F1245" t="s">
        <v>483</v>
      </c>
      <c r="G1245" t="s">
        <v>33</v>
      </c>
      <c r="H1245" t="s">
        <v>450</v>
      </c>
      <c r="I1245" t="s">
        <v>135</v>
      </c>
      <c r="J1245" t="s">
        <v>39</v>
      </c>
      <c r="K1245" t="s">
        <v>31</v>
      </c>
      <c r="L1245">
        <v>8.2931909248260549E-3</v>
      </c>
      <c r="M1245">
        <v>0</v>
      </c>
      <c r="N1245">
        <v>0.54981264760003967</v>
      </c>
      <c r="O1245">
        <v>5.3471683850504297</v>
      </c>
      <c r="P1245">
        <v>2.8636201715795879</v>
      </c>
      <c r="Q1245">
        <v>5.2678270918411005</v>
      </c>
      <c r="R1245">
        <v>-1.8625523936223525</v>
      </c>
      <c r="S1245" s="2">
        <v>1.5671279943001847E-2</v>
      </c>
      <c r="T1245" s="2">
        <v>3.108438316763704E-2</v>
      </c>
      <c r="U1245" s="2">
        <v>5.4766280743285253E-2</v>
      </c>
      <c r="V1245" s="2">
        <v>8.8398145237464379E-2</v>
      </c>
      <c r="W1245" s="2">
        <v>0.13314173258022258</v>
      </c>
      <c r="X1245" s="2">
        <v>0.18921748358583768</v>
      </c>
      <c r="Y1245" s="2">
        <v>0.25540364999151116</v>
      </c>
      <c r="Z1245" s="2">
        <v>0.3285431044364111</v>
      </c>
      <c r="AA1245" s="2">
        <v>0.40321881057421499</v>
      </c>
      <c r="AB1245" s="2">
        <v>0.47182540996797007</v>
      </c>
      <c r="AC1245" s="2">
        <v>0.52527685920938993</v>
      </c>
      <c r="AD1245" s="2">
        <v>0.55448816552750912</v>
      </c>
      <c r="AE1245" s="2">
        <v>0.55251092590807027</v>
      </c>
      <c r="AF1245" s="2">
        <v>0.51681983679273114</v>
      </c>
      <c r="AG1245" s="2">
        <v>0.45089745157474892</v>
      </c>
      <c r="AH1245" s="2">
        <v>0.37001278395778842</v>
      </c>
      <c r="AI1245" s="2">
        <v>0.13401517403472576</v>
      </c>
      <c r="AJ1245" s="2">
        <v>0</v>
      </c>
      <c r="AK1245" s="2">
        <v>0</v>
      </c>
      <c r="AL1245" s="2">
        <v>0</v>
      </c>
      <c r="AM1245" s="2">
        <v>0</v>
      </c>
      <c r="AN1245" s="2">
        <v>0</v>
      </c>
      <c r="AO1245" s="2">
        <v>0</v>
      </c>
      <c r="AP1245" s="2">
        <v>0</v>
      </c>
      <c r="AQ1245" s="2">
        <v>0</v>
      </c>
      <c r="AR1245" s="2">
        <v>5.0752914772325193</v>
      </c>
    </row>
    <row r="1246" spans="1:44" x14ac:dyDescent="0.25">
      <c r="A1246" t="s">
        <v>435</v>
      </c>
      <c r="B1246" t="s">
        <v>482</v>
      </c>
      <c r="C1246" t="s">
        <v>44</v>
      </c>
      <c r="D1246" t="s">
        <v>212</v>
      </c>
      <c r="E1246" t="s">
        <v>134</v>
      </c>
      <c r="F1246" t="s">
        <v>483</v>
      </c>
      <c r="G1246" t="s">
        <v>33</v>
      </c>
      <c r="H1246" t="s">
        <v>450</v>
      </c>
      <c r="I1246" t="s">
        <v>135</v>
      </c>
      <c r="J1246" t="s">
        <v>39</v>
      </c>
      <c r="K1246" t="s">
        <v>33</v>
      </c>
      <c r="L1246">
        <v>8.2931909248260549E-3</v>
      </c>
      <c r="M1246">
        <v>0</v>
      </c>
      <c r="N1246">
        <v>0.54981264760003967</v>
      </c>
      <c r="O1246">
        <v>5.3471683850504297</v>
      </c>
      <c r="P1246">
        <v>2.8636201715795879</v>
      </c>
      <c r="Q1246">
        <v>5.2678270918411005</v>
      </c>
      <c r="R1246">
        <v>-1.8625523936223525</v>
      </c>
      <c r="S1246" s="2">
        <v>9.6547656917036328E-3</v>
      </c>
      <c r="T1246" s="2">
        <v>1.9137124564444573E-2</v>
      </c>
      <c r="U1246" s="2">
        <v>3.3693400053303485E-2</v>
      </c>
      <c r="V1246" s="2">
        <v>5.4346540422354025E-2</v>
      </c>
      <c r="W1246" s="2">
        <v>8.1797515863952286E-2</v>
      </c>
      <c r="X1246" s="2">
        <v>0.11616741707300691</v>
      </c>
      <c r="Y1246" s="2">
        <v>0.1566921827246569</v>
      </c>
      <c r="Z1246" s="2">
        <v>0.20142331882697997</v>
      </c>
      <c r="AA1246" s="2">
        <v>0.24703320637791157</v>
      </c>
      <c r="AB1246" s="2">
        <v>0.28886374490782701</v>
      </c>
      <c r="AC1246" s="2">
        <v>0.32136393762775806</v>
      </c>
      <c r="AD1246" s="2">
        <v>0.33899891880115501</v>
      </c>
      <c r="AE1246" s="2">
        <v>0.33755462468958636</v>
      </c>
      <c r="AF1246" s="2">
        <v>0.31552917838079553</v>
      </c>
      <c r="AG1246" s="2">
        <v>0.27509031010354507</v>
      </c>
      <c r="AH1246" s="2">
        <v>0.22558561456803988</v>
      </c>
      <c r="AI1246" s="2">
        <v>5.1961872882326614E-2</v>
      </c>
      <c r="AJ1246" s="2">
        <v>0</v>
      </c>
      <c r="AK1246" s="2">
        <v>0</v>
      </c>
      <c r="AL1246" s="2">
        <v>0</v>
      </c>
      <c r="AM1246" s="2">
        <v>0</v>
      </c>
      <c r="AN1246" s="2">
        <v>0</v>
      </c>
      <c r="AO1246" s="2">
        <v>0</v>
      </c>
      <c r="AP1246" s="2">
        <v>0</v>
      </c>
      <c r="AQ1246" s="2">
        <v>0</v>
      </c>
      <c r="AR1246" s="2">
        <v>3.0748936735593468</v>
      </c>
    </row>
    <row r="1247" spans="1:44" x14ac:dyDescent="0.25">
      <c r="A1247" t="s">
        <v>435</v>
      </c>
      <c r="B1247" t="s">
        <v>482</v>
      </c>
      <c r="C1247" t="s">
        <v>44</v>
      </c>
      <c r="D1247" t="s">
        <v>212</v>
      </c>
      <c r="E1247" t="s">
        <v>134</v>
      </c>
      <c r="F1247" t="s">
        <v>483</v>
      </c>
      <c r="G1247" t="s">
        <v>33</v>
      </c>
      <c r="H1247" t="s">
        <v>450</v>
      </c>
      <c r="I1247" t="s">
        <v>256</v>
      </c>
      <c r="J1247" t="s">
        <v>40</v>
      </c>
      <c r="K1247" t="s">
        <v>33</v>
      </c>
      <c r="L1247">
        <v>8.2931909248260549E-3</v>
      </c>
      <c r="M1247">
        <v>0</v>
      </c>
      <c r="N1247">
        <v>0.27210099802545729</v>
      </c>
      <c r="O1247">
        <v>1.4737622038640097</v>
      </c>
      <c r="P1247">
        <v>4.3265571229284552</v>
      </c>
      <c r="Q1247">
        <v>1.3498045353129324</v>
      </c>
      <c r="R1247">
        <v>-0.25661544227348526</v>
      </c>
      <c r="S1247" s="2">
        <v>0.25220183127600754</v>
      </c>
      <c r="T1247" s="2">
        <v>0.50024875999129759</v>
      </c>
      <c r="U1247" s="2">
        <v>0.88136746621008644</v>
      </c>
      <c r="V1247" s="2">
        <v>1.422613480926723</v>
      </c>
      <c r="W1247" s="2">
        <v>2.1426832331578276</v>
      </c>
      <c r="X1247" s="2">
        <v>3.0451243321127963</v>
      </c>
      <c r="Y1247" s="2">
        <v>4.1102748771455593</v>
      </c>
      <c r="Z1247" s="2">
        <v>5.2873264272819647</v>
      </c>
      <c r="AA1247" s="2">
        <v>6.4891012604980185</v>
      </c>
      <c r="AB1247" s="2">
        <v>7.5932044395399529</v>
      </c>
      <c r="AC1247" s="2">
        <v>8.4534119932351768</v>
      </c>
      <c r="AD1247" s="2">
        <v>8.9235168585805216</v>
      </c>
      <c r="AE1247" s="2">
        <v>8.891696646402087</v>
      </c>
      <c r="AF1247" s="2">
        <v>8.3173110143501692</v>
      </c>
      <c r="AG1247" s="2">
        <v>7.2564055660059861</v>
      </c>
      <c r="AH1247" s="2">
        <v>5.954708361352445</v>
      </c>
      <c r="AI1247" s="2">
        <v>2.1567397451427723</v>
      </c>
      <c r="AJ1247" s="2">
        <v>0</v>
      </c>
      <c r="AK1247" s="2">
        <v>0</v>
      </c>
      <c r="AL1247" s="2">
        <v>0</v>
      </c>
      <c r="AM1247" s="2">
        <v>0</v>
      </c>
      <c r="AN1247" s="2">
        <v>0</v>
      </c>
      <c r="AO1247" s="2">
        <v>0</v>
      </c>
      <c r="AP1247" s="2">
        <v>0</v>
      </c>
      <c r="AQ1247" s="2">
        <v>0</v>
      </c>
      <c r="AR1247" s="2">
        <v>81.677936293209385</v>
      </c>
    </row>
    <row r="1248" spans="1:44" x14ac:dyDescent="0.25">
      <c r="A1248" t="s">
        <v>435</v>
      </c>
      <c r="B1248" t="s">
        <v>482</v>
      </c>
      <c r="C1248" t="s">
        <v>44</v>
      </c>
      <c r="D1248" t="s">
        <v>212</v>
      </c>
      <c r="E1248" t="s">
        <v>134</v>
      </c>
      <c r="F1248" t="s">
        <v>483</v>
      </c>
      <c r="G1248" t="s">
        <v>33</v>
      </c>
      <c r="H1248" t="s">
        <v>451</v>
      </c>
      <c r="I1248" t="s">
        <v>135</v>
      </c>
      <c r="J1248" t="s">
        <v>39</v>
      </c>
      <c r="K1248" t="s">
        <v>31</v>
      </c>
      <c r="L1248">
        <v>8.2931909248260549E-3</v>
      </c>
      <c r="M1248">
        <v>0</v>
      </c>
      <c r="N1248">
        <v>0.54981264760003967</v>
      </c>
      <c r="O1248">
        <v>5.3471683850504297</v>
      </c>
      <c r="P1248">
        <v>2.8636201715795879</v>
      </c>
      <c r="Q1248">
        <v>5.2678270918411005</v>
      </c>
      <c r="R1248">
        <v>-1.8625523936223525</v>
      </c>
      <c r="S1248" s="2">
        <v>4.0993374871519817E-3</v>
      </c>
      <c r="T1248" s="2">
        <v>8.131140382122622E-3</v>
      </c>
      <c r="U1248" s="2">
        <v>1.4325917761624439E-2</v>
      </c>
      <c r="V1248" s="2">
        <v>2.3123435474615751E-2</v>
      </c>
      <c r="W1248" s="2">
        <v>3.482758890502749E-2</v>
      </c>
      <c r="X1248" s="2">
        <v>4.9496041581107111E-2</v>
      </c>
      <c r="Y1248" s="2">
        <v>6.6809205155778414E-2</v>
      </c>
      <c r="Z1248" s="2">
        <v>8.594122937373079E-2</v>
      </c>
      <c r="AA1248" s="2">
        <v>0.10547511063063135</v>
      </c>
      <c r="AB1248" s="2">
        <v>0.12342141787443943</v>
      </c>
      <c r="AC1248" s="2">
        <v>0.13740339831349105</v>
      </c>
      <c r="AD1248" s="2">
        <v>0.14504457398478776</v>
      </c>
      <c r="AE1248" s="2">
        <v>0.14452736208362027</v>
      </c>
      <c r="AF1248" s="2">
        <v>0.13519118660210655</v>
      </c>
      <c r="AG1248" s="2">
        <v>0.11794702365246659</v>
      </c>
      <c r="AH1248" s="2">
        <v>9.6788984787485335E-2</v>
      </c>
      <c r="AI1248" s="2">
        <v>3.5056066177483754E-2</v>
      </c>
      <c r="AJ1248" s="2">
        <v>0</v>
      </c>
      <c r="AK1248" s="2">
        <v>0</v>
      </c>
      <c r="AL1248" s="2">
        <v>0</v>
      </c>
      <c r="AM1248" s="2">
        <v>0</v>
      </c>
      <c r="AN1248" s="2">
        <v>0</v>
      </c>
      <c r="AO1248" s="2">
        <v>0</v>
      </c>
      <c r="AP1248" s="2">
        <v>0</v>
      </c>
      <c r="AQ1248" s="2">
        <v>0</v>
      </c>
      <c r="AR1248" s="2">
        <v>1.3276090202276707</v>
      </c>
    </row>
    <row r="1249" spans="1:44" x14ac:dyDescent="0.25">
      <c r="A1249" t="s">
        <v>435</v>
      </c>
      <c r="B1249" t="s">
        <v>482</v>
      </c>
      <c r="C1249" t="s">
        <v>44</v>
      </c>
      <c r="D1249" t="s">
        <v>212</v>
      </c>
      <c r="E1249" t="s">
        <v>134</v>
      </c>
      <c r="F1249" t="s">
        <v>483</v>
      </c>
      <c r="G1249" t="s">
        <v>33</v>
      </c>
      <c r="H1249" t="s">
        <v>451</v>
      </c>
      <c r="I1249" t="s">
        <v>135</v>
      </c>
      <c r="J1249" t="s">
        <v>39</v>
      </c>
      <c r="K1249" t="s">
        <v>33</v>
      </c>
      <c r="L1249">
        <v>8.2931909248260549E-3</v>
      </c>
      <c r="M1249">
        <v>0</v>
      </c>
      <c r="N1249">
        <v>0.54981264760003967</v>
      </c>
      <c r="O1249">
        <v>5.3471683850504297</v>
      </c>
      <c r="P1249">
        <v>2.8636201715795879</v>
      </c>
      <c r="Q1249">
        <v>5.2678270918411005</v>
      </c>
      <c r="R1249">
        <v>-1.8625523936223525</v>
      </c>
      <c r="S1249" s="2">
        <v>1.8466747297530305E-2</v>
      </c>
      <c r="T1249" s="2">
        <v>3.6629263911062679E-2</v>
      </c>
      <c r="U1249" s="2">
        <v>6.4535575306564452E-2</v>
      </c>
      <c r="V1249" s="2">
        <v>0.10416674423582174</v>
      </c>
      <c r="W1249" s="2">
        <v>0.15689176246336412</v>
      </c>
      <c r="X1249" s="2">
        <v>0.22297039337968261</v>
      </c>
      <c r="Y1249" s="2">
        <v>0.30096295136162754</v>
      </c>
      <c r="Z1249" s="2">
        <v>0.38714913574641607</v>
      </c>
      <c r="AA1249" s="2">
        <v>0.47514561079676904</v>
      </c>
      <c r="AB1249" s="2">
        <v>0.55599036237771016</v>
      </c>
      <c r="AC1249" s="2">
        <v>0.61897656448871607</v>
      </c>
      <c r="AD1249" s="2">
        <v>0.65339862918090819</v>
      </c>
      <c r="AE1249" s="2">
        <v>0.65106868647478267</v>
      </c>
      <c r="AF1249" s="2">
        <v>0.60901096522522236</v>
      </c>
      <c r="AG1249" s="2">
        <v>0.53132924213057764</v>
      </c>
      <c r="AH1249" s="2">
        <v>0.43601624136996292</v>
      </c>
      <c r="AI1249" s="2">
        <v>0.15792100976659465</v>
      </c>
      <c r="AJ1249" s="2">
        <v>0</v>
      </c>
      <c r="AK1249" s="2">
        <v>0</v>
      </c>
      <c r="AL1249" s="2">
        <v>0</v>
      </c>
      <c r="AM1249" s="2">
        <v>0</v>
      </c>
      <c r="AN1249" s="2">
        <v>0</v>
      </c>
      <c r="AO1249" s="2">
        <v>0</v>
      </c>
      <c r="AP1249" s="2">
        <v>0</v>
      </c>
      <c r="AQ1249" s="2">
        <v>0</v>
      </c>
      <c r="AR1249" s="2">
        <v>5.9806298855133138</v>
      </c>
    </row>
    <row r="1250" spans="1:44" x14ac:dyDescent="0.25">
      <c r="A1250" t="s">
        <v>435</v>
      </c>
      <c r="B1250" t="s">
        <v>482</v>
      </c>
      <c r="C1250" t="s">
        <v>44</v>
      </c>
      <c r="D1250" t="s">
        <v>212</v>
      </c>
      <c r="E1250" t="s">
        <v>134</v>
      </c>
      <c r="F1250" t="s">
        <v>483</v>
      </c>
      <c r="G1250" t="s">
        <v>33</v>
      </c>
      <c r="H1250" t="s">
        <v>452</v>
      </c>
      <c r="I1250" t="s">
        <v>135</v>
      </c>
      <c r="J1250" t="s">
        <v>39</v>
      </c>
      <c r="K1250" t="s">
        <v>31</v>
      </c>
      <c r="L1250">
        <v>8.2931909248260549E-3</v>
      </c>
      <c r="M1250">
        <v>0</v>
      </c>
      <c r="N1250">
        <v>0.54981264760003967</v>
      </c>
      <c r="O1250">
        <v>5.3471683850504297</v>
      </c>
      <c r="P1250">
        <v>2.8636201715795879</v>
      </c>
      <c r="Q1250">
        <v>5.2678270918411005</v>
      </c>
      <c r="R1250">
        <v>-1.8625523936223525</v>
      </c>
      <c r="S1250" s="2">
        <v>9.284719120127452E-2</v>
      </c>
      <c r="T1250" s="2">
        <v>0.18416477006577181</v>
      </c>
      <c r="U1250" s="2">
        <v>0.32447224209182679</v>
      </c>
      <c r="V1250" s="2">
        <v>0.52373000307266127</v>
      </c>
      <c r="W1250" s="2">
        <v>0.78882107566875437</v>
      </c>
      <c r="X1250" s="2">
        <v>1.1210514993680263</v>
      </c>
      <c r="Y1250" s="2">
        <v>1.5131828166246704</v>
      </c>
      <c r="Z1250" s="2">
        <v>1.946510083823098</v>
      </c>
      <c r="AA1250" s="2">
        <v>2.3889391381878036</v>
      </c>
      <c r="AB1250" s="2">
        <v>2.7954107266444805</v>
      </c>
      <c r="AC1250" s="2">
        <v>3.1120930235438804</v>
      </c>
      <c r="AD1250" s="2">
        <v>3.2851604279181199</v>
      </c>
      <c r="AE1250" s="2">
        <v>3.273445931995357</v>
      </c>
      <c r="AF1250" s="2">
        <v>3.0619879408595772</v>
      </c>
      <c r="AG1250" s="2">
        <v>2.671419440581376</v>
      </c>
      <c r="AH1250" s="2">
        <v>2.1922043268958418</v>
      </c>
      <c r="AI1250" s="2">
        <v>0.79399592967075527</v>
      </c>
      <c r="AJ1250" s="2">
        <v>0</v>
      </c>
      <c r="AK1250" s="2">
        <v>0</v>
      </c>
      <c r="AL1250" s="2">
        <v>0</v>
      </c>
      <c r="AM1250" s="2">
        <v>0</v>
      </c>
      <c r="AN1250" s="2">
        <v>0</v>
      </c>
      <c r="AO1250" s="2">
        <v>0</v>
      </c>
      <c r="AP1250" s="2">
        <v>0</v>
      </c>
      <c r="AQ1250" s="2">
        <v>0</v>
      </c>
      <c r="AR1250" s="2">
        <v>30.06943656821327</v>
      </c>
    </row>
    <row r="1251" spans="1:44" x14ac:dyDescent="0.25">
      <c r="A1251" t="s">
        <v>435</v>
      </c>
      <c r="B1251" t="s">
        <v>482</v>
      </c>
      <c r="C1251" t="s">
        <v>44</v>
      </c>
      <c r="D1251" t="s">
        <v>212</v>
      </c>
      <c r="E1251" t="s">
        <v>134</v>
      </c>
      <c r="F1251" t="s">
        <v>483</v>
      </c>
      <c r="G1251" t="s">
        <v>33</v>
      </c>
      <c r="H1251" t="s">
        <v>452</v>
      </c>
      <c r="I1251" t="s">
        <v>135</v>
      </c>
      <c r="J1251" t="s">
        <v>39</v>
      </c>
      <c r="K1251" t="s">
        <v>33</v>
      </c>
      <c r="L1251">
        <v>8.2931909248260549E-3</v>
      </c>
      <c r="M1251">
        <v>0</v>
      </c>
      <c r="N1251">
        <v>0.54981264760003967</v>
      </c>
      <c r="O1251">
        <v>5.3471683850504297</v>
      </c>
      <c r="P1251">
        <v>2.8636201715795879</v>
      </c>
      <c r="Q1251">
        <v>5.2678270918411005</v>
      </c>
      <c r="R1251">
        <v>-1.8625523936223525</v>
      </c>
      <c r="S1251" s="2">
        <v>0.18360224045175863</v>
      </c>
      <c r="T1251" s="2">
        <v>0.36417972325149367</v>
      </c>
      <c r="U1251" s="2">
        <v>0.64163309456847695</v>
      </c>
      <c r="V1251" s="2">
        <v>1.0356587066537677</v>
      </c>
      <c r="W1251" s="2">
        <v>1.5598675084783979</v>
      </c>
      <c r="X1251" s="2">
        <v>2.2168421498026696</v>
      </c>
      <c r="Y1251" s="2">
        <v>2.9922688209611494</v>
      </c>
      <c r="Z1251" s="2">
        <v>3.8491591164790719</v>
      </c>
      <c r="AA1251" s="2">
        <v>4.7240478941720898</v>
      </c>
      <c r="AB1251" s="2">
        <v>5.5278319758989092</v>
      </c>
      <c r="AC1251" s="2">
        <v>6.1540607122760296</v>
      </c>
      <c r="AD1251" s="2">
        <v>6.4962957630208367</v>
      </c>
      <c r="AE1251" s="2">
        <v>6.4731307359548058</v>
      </c>
      <c r="AF1251" s="2">
        <v>6.0549795734732808</v>
      </c>
      <c r="AG1251" s="2">
        <v>5.2826433210441763</v>
      </c>
      <c r="AH1251" s="2">
        <v>4.3350113313992304</v>
      </c>
      <c r="AI1251" s="2">
        <v>1.5701006105947319</v>
      </c>
      <c r="AJ1251" s="2">
        <v>0</v>
      </c>
      <c r="AK1251" s="2">
        <v>0</v>
      </c>
      <c r="AL1251" s="2">
        <v>0</v>
      </c>
      <c r="AM1251" s="2">
        <v>0</v>
      </c>
      <c r="AN1251" s="2">
        <v>0</v>
      </c>
      <c r="AO1251" s="2">
        <v>0</v>
      </c>
      <c r="AP1251" s="2">
        <v>0</v>
      </c>
      <c r="AQ1251" s="2">
        <v>0</v>
      </c>
      <c r="AR1251" s="2">
        <v>59.461313278480873</v>
      </c>
    </row>
    <row r="1252" spans="1:44" x14ac:dyDescent="0.25">
      <c r="A1252" t="s">
        <v>435</v>
      </c>
      <c r="B1252" t="s">
        <v>482</v>
      </c>
      <c r="C1252" t="s">
        <v>44</v>
      </c>
      <c r="D1252" t="s">
        <v>212</v>
      </c>
      <c r="E1252" t="s">
        <v>134</v>
      </c>
      <c r="F1252" t="s">
        <v>483</v>
      </c>
      <c r="G1252" t="s">
        <v>33</v>
      </c>
      <c r="H1252" t="s">
        <v>452</v>
      </c>
      <c r="I1252" t="s">
        <v>135</v>
      </c>
      <c r="J1252" t="s">
        <v>40</v>
      </c>
      <c r="K1252" t="s">
        <v>33</v>
      </c>
      <c r="L1252">
        <v>8.2931909248260549E-3</v>
      </c>
      <c r="M1252">
        <v>0</v>
      </c>
      <c r="N1252">
        <v>0.54981264760003967</v>
      </c>
      <c r="O1252">
        <v>4.1746294160814532</v>
      </c>
      <c r="P1252">
        <v>2.8636201715795879</v>
      </c>
      <c r="Q1252">
        <v>1.3498045353129324</v>
      </c>
      <c r="R1252">
        <v>-1.7195523936223529</v>
      </c>
      <c r="S1252" s="2">
        <v>1.3443836751289915E-2</v>
      </c>
      <c r="T1252" s="2">
        <v>2.6666192827910693E-2</v>
      </c>
      <c r="U1252" s="2">
        <v>4.6982055101174237E-2</v>
      </c>
      <c r="V1252" s="2">
        <v>7.5833642051680833E-2</v>
      </c>
      <c r="W1252" s="2">
        <v>0.11421758299912972</v>
      </c>
      <c r="X1252" s="2">
        <v>0.16232298632083603</v>
      </c>
      <c r="Y1252" s="2">
        <v>0.21910175739683418</v>
      </c>
      <c r="Z1252" s="2">
        <v>0.28184550833561622</v>
      </c>
      <c r="AA1252" s="2">
        <v>0.34590715526269117</v>
      </c>
      <c r="AB1252" s="2">
        <v>0.40476233018557073</v>
      </c>
      <c r="AC1252" s="2">
        <v>0.45061643784844879</v>
      </c>
      <c r="AD1252" s="2">
        <v>0.47567578430011415</v>
      </c>
      <c r="AE1252" s="2">
        <v>0.47397958036791465</v>
      </c>
      <c r="AF1252" s="2">
        <v>0.44336145745213917</v>
      </c>
      <c r="AG1252" s="2">
        <v>0.38680897492680688</v>
      </c>
      <c r="AH1252" s="2">
        <v>0.31742087956511617</v>
      </c>
      <c r="AI1252" s="2">
        <v>0.11496687752828405</v>
      </c>
      <c r="AJ1252" s="2">
        <v>0</v>
      </c>
      <c r="AK1252" s="2">
        <v>0</v>
      </c>
      <c r="AL1252" s="2">
        <v>0</v>
      </c>
      <c r="AM1252" s="2">
        <v>0</v>
      </c>
      <c r="AN1252" s="2">
        <v>0</v>
      </c>
      <c r="AO1252" s="2">
        <v>0</v>
      </c>
      <c r="AP1252" s="2">
        <v>0</v>
      </c>
      <c r="AQ1252" s="2">
        <v>0</v>
      </c>
      <c r="AR1252" s="2">
        <v>4.3539130392215579</v>
      </c>
    </row>
    <row r="1253" spans="1:44" x14ac:dyDescent="0.25">
      <c r="A1253" t="s">
        <v>435</v>
      </c>
      <c r="B1253" t="s">
        <v>482</v>
      </c>
      <c r="C1253" t="s">
        <v>44</v>
      </c>
      <c r="D1253" t="s">
        <v>212</v>
      </c>
      <c r="E1253" t="s">
        <v>134</v>
      </c>
      <c r="F1253" t="s">
        <v>483</v>
      </c>
      <c r="G1253" t="s">
        <v>33</v>
      </c>
      <c r="H1253" t="s">
        <v>452</v>
      </c>
      <c r="I1253" t="s">
        <v>256</v>
      </c>
      <c r="J1253" t="s">
        <v>40</v>
      </c>
      <c r="K1253" t="s">
        <v>33</v>
      </c>
      <c r="L1253">
        <v>8.2931909248260549E-3</v>
      </c>
      <c r="M1253">
        <v>0</v>
      </c>
      <c r="N1253">
        <v>0.27210099802545729</v>
      </c>
      <c r="O1253">
        <v>1.4737622038640097</v>
      </c>
      <c r="P1253">
        <v>4.3265571229284552</v>
      </c>
      <c r="Q1253">
        <v>1.3498045353129324</v>
      </c>
      <c r="R1253">
        <v>-0.25661544227348526</v>
      </c>
      <c r="S1253" s="2">
        <v>8.1067847592800779E-2</v>
      </c>
      <c r="T1253" s="2">
        <v>0.16080014180816971</v>
      </c>
      <c r="U1253" s="2">
        <v>0.28330707617177214</v>
      </c>
      <c r="V1253" s="2">
        <v>0.45728539032302756</v>
      </c>
      <c r="W1253" s="2">
        <v>0.68874487114722671</v>
      </c>
      <c r="X1253" s="2">
        <v>0.97882586342795508</v>
      </c>
      <c r="Y1253" s="2">
        <v>1.3212082387311883</v>
      </c>
      <c r="Z1253" s="2">
        <v>1.6995601134679736</v>
      </c>
      <c r="AA1253" s="2">
        <v>2.0858590492334379</v>
      </c>
      <c r="AB1253" s="2">
        <v>2.4407623732594335</v>
      </c>
      <c r="AC1253" s="2">
        <v>2.7172677995218733</v>
      </c>
      <c r="AD1253" s="2">
        <v>2.8683784769647458</v>
      </c>
      <c r="AE1253" s="2">
        <v>2.8581501764873054</v>
      </c>
      <c r="AF1253" s="2">
        <v>2.6735194517891951</v>
      </c>
      <c r="AG1253" s="2">
        <v>2.3325016218963799</v>
      </c>
      <c r="AH1253" s="2">
        <v>1.9140836030226722</v>
      </c>
      <c r="AI1253" s="2">
        <v>0.69326320142864239</v>
      </c>
      <c r="AJ1253" s="2">
        <v>0</v>
      </c>
      <c r="AK1253" s="2">
        <v>0</v>
      </c>
      <c r="AL1253" s="2">
        <v>0</v>
      </c>
      <c r="AM1253" s="2">
        <v>0</v>
      </c>
      <c r="AN1253" s="2">
        <v>0</v>
      </c>
      <c r="AO1253" s="2">
        <v>0</v>
      </c>
      <c r="AP1253" s="2">
        <v>0</v>
      </c>
      <c r="AQ1253" s="2">
        <v>0</v>
      </c>
      <c r="AR1253" s="2">
        <v>26.254585296273795</v>
      </c>
    </row>
    <row r="1254" spans="1:44" x14ac:dyDescent="0.25">
      <c r="A1254" t="s">
        <v>435</v>
      </c>
      <c r="B1254" t="s">
        <v>482</v>
      </c>
      <c r="C1254" t="s">
        <v>44</v>
      </c>
      <c r="D1254" t="s">
        <v>212</v>
      </c>
      <c r="E1254" t="s">
        <v>134</v>
      </c>
      <c r="F1254" t="s">
        <v>483</v>
      </c>
      <c r="G1254" t="s">
        <v>33</v>
      </c>
      <c r="H1254" t="s">
        <v>453</v>
      </c>
      <c r="I1254" t="s">
        <v>135</v>
      </c>
      <c r="J1254" t="s">
        <v>39</v>
      </c>
      <c r="K1254" t="s">
        <v>31</v>
      </c>
      <c r="L1254">
        <v>8.2931909248260549E-3</v>
      </c>
      <c r="M1254">
        <v>0</v>
      </c>
      <c r="N1254">
        <v>0.54981264760003967</v>
      </c>
      <c r="O1254">
        <v>5.3471683850504297</v>
      </c>
      <c r="P1254">
        <v>2.8636201715795879</v>
      </c>
      <c r="Q1254">
        <v>5.2678270918411005</v>
      </c>
      <c r="R1254">
        <v>-1.8625523936223525</v>
      </c>
      <c r="S1254" s="2">
        <v>2.8395445235294137E-2</v>
      </c>
      <c r="T1254" s="2">
        <v>5.6323089314966525E-2</v>
      </c>
      <c r="U1254" s="2">
        <v>9.9233306484397946E-2</v>
      </c>
      <c r="V1254" s="2">
        <v>0.16017228338218203</v>
      </c>
      <c r="W1254" s="2">
        <v>0.24124505399459459</v>
      </c>
      <c r="X1254" s="2">
        <v>0.34285104421998064</v>
      </c>
      <c r="Y1254" s="2">
        <v>0.46277651746415066</v>
      </c>
      <c r="Z1254" s="2">
        <v>0.59530094308752612</v>
      </c>
      <c r="AA1254" s="2">
        <v>0.73060896717714985</v>
      </c>
      <c r="AB1254" s="2">
        <v>0.85492012382489291</v>
      </c>
      <c r="AC1254" s="2">
        <v>0.95177103231495641</v>
      </c>
      <c r="AD1254" s="2">
        <v>1.0047002156250895</v>
      </c>
      <c r="AE1254" s="2">
        <v>1.001117572756413</v>
      </c>
      <c r="AF1254" s="2">
        <v>0.93644740094857759</v>
      </c>
      <c r="AG1254" s="2">
        <v>0.81699988383156696</v>
      </c>
      <c r="AH1254" s="2">
        <v>0.67044158367702145</v>
      </c>
      <c r="AI1254" s="2">
        <v>0.24282767896701746</v>
      </c>
      <c r="AJ1254" s="2">
        <v>0</v>
      </c>
      <c r="AK1254" s="2">
        <v>0</v>
      </c>
      <c r="AL1254" s="2">
        <v>0</v>
      </c>
      <c r="AM1254" s="2">
        <v>0</v>
      </c>
      <c r="AN1254" s="2">
        <v>0</v>
      </c>
      <c r="AO1254" s="2">
        <v>0</v>
      </c>
      <c r="AP1254" s="2">
        <v>0</v>
      </c>
      <c r="AQ1254" s="2">
        <v>0</v>
      </c>
      <c r="AR1254" s="2">
        <v>9.1961321423057765</v>
      </c>
    </row>
    <row r="1255" spans="1:44" x14ac:dyDescent="0.25">
      <c r="A1255" t="s">
        <v>435</v>
      </c>
      <c r="B1255" t="s">
        <v>482</v>
      </c>
      <c r="C1255" t="s">
        <v>44</v>
      </c>
      <c r="D1255" t="s">
        <v>212</v>
      </c>
      <c r="E1255" t="s">
        <v>134</v>
      </c>
      <c r="F1255" t="s">
        <v>483</v>
      </c>
      <c r="G1255" t="s">
        <v>33</v>
      </c>
      <c r="H1255" t="s">
        <v>453</v>
      </c>
      <c r="I1255" t="s">
        <v>135</v>
      </c>
      <c r="J1255" t="s">
        <v>39</v>
      </c>
      <c r="K1255" t="s">
        <v>33</v>
      </c>
      <c r="L1255">
        <v>8.2931909248260549E-3</v>
      </c>
      <c r="M1255">
        <v>0</v>
      </c>
      <c r="N1255">
        <v>0.54981264760003967</v>
      </c>
      <c r="O1255">
        <v>5.3471683850504297</v>
      </c>
      <c r="P1255">
        <v>2.8636201715795879</v>
      </c>
      <c r="Q1255">
        <v>5.2678270918411005</v>
      </c>
      <c r="R1255">
        <v>-1.8625523936223525</v>
      </c>
      <c r="S1255" s="2">
        <v>2.583655912858011E-2</v>
      </c>
      <c r="T1255" s="2">
        <v>5.1247473506127524E-2</v>
      </c>
      <c r="U1255" s="2">
        <v>9.0290790275122157E-2</v>
      </c>
      <c r="V1255" s="2">
        <v>0.14573818568689784</v>
      </c>
      <c r="W1255" s="2">
        <v>0.21950499632460793</v>
      </c>
      <c r="X1255" s="2">
        <v>0.31195465339190365</v>
      </c>
      <c r="Y1255" s="2">
        <v>0.42107291355021642</v>
      </c>
      <c r="Z1255" s="2">
        <v>0.54165475793502038</v>
      </c>
      <c r="AA1255" s="2">
        <v>0.66476935381456226</v>
      </c>
      <c r="AB1255" s="2">
        <v>0.77787807679663845</v>
      </c>
      <c r="AC1255" s="2">
        <v>0.86600116143663541</v>
      </c>
      <c r="AD1255" s="2">
        <v>0.91416057443009546</v>
      </c>
      <c r="AE1255" s="2">
        <v>0.91090078527918994</v>
      </c>
      <c r="AF1255" s="2">
        <v>0.85205843560221484</v>
      </c>
      <c r="AG1255" s="2">
        <v>0.7433750600402832</v>
      </c>
      <c r="AH1255" s="2">
        <v>0.61002401883101953</v>
      </c>
      <c r="AI1255" s="2">
        <v>0.22094500134440948</v>
      </c>
      <c r="AJ1255" s="2">
        <v>0</v>
      </c>
      <c r="AK1255" s="2">
        <v>0</v>
      </c>
      <c r="AL1255" s="2">
        <v>0</v>
      </c>
      <c r="AM1255" s="2">
        <v>0</v>
      </c>
      <c r="AN1255" s="2">
        <v>0</v>
      </c>
      <c r="AO1255" s="2">
        <v>0</v>
      </c>
      <c r="AP1255" s="2">
        <v>0</v>
      </c>
      <c r="AQ1255" s="2">
        <v>0</v>
      </c>
      <c r="AR1255" s="2">
        <v>8.3674127973735253</v>
      </c>
    </row>
    <row r="1256" spans="1:44" x14ac:dyDescent="0.25">
      <c r="A1256" t="s">
        <v>435</v>
      </c>
      <c r="B1256" t="s">
        <v>482</v>
      </c>
      <c r="C1256" t="s">
        <v>44</v>
      </c>
      <c r="D1256" t="s">
        <v>212</v>
      </c>
      <c r="E1256" t="s">
        <v>134</v>
      </c>
      <c r="F1256" t="s">
        <v>483</v>
      </c>
      <c r="G1256" t="s">
        <v>33</v>
      </c>
      <c r="H1256" t="s">
        <v>453</v>
      </c>
      <c r="I1256" t="s">
        <v>135</v>
      </c>
      <c r="J1256" t="s">
        <v>40</v>
      </c>
      <c r="K1256" t="s">
        <v>33</v>
      </c>
      <c r="L1256">
        <v>8.2931909248260549E-3</v>
      </c>
      <c r="M1256">
        <v>0</v>
      </c>
      <c r="N1256">
        <v>0.54981264760003967</v>
      </c>
      <c r="O1256">
        <v>4.1746294160814532</v>
      </c>
      <c r="P1256">
        <v>2.8636201715795879</v>
      </c>
      <c r="Q1256">
        <v>1.3498045353129324</v>
      </c>
      <c r="R1256">
        <v>-1.7195523936223529</v>
      </c>
      <c r="S1256" s="2">
        <v>0.5261516134591061</v>
      </c>
      <c r="T1256" s="2">
        <v>1.0436351348784902</v>
      </c>
      <c r="U1256" s="2">
        <v>1.8387373004016609</v>
      </c>
      <c r="V1256" s="2">
        <v>2.9679022334263205</v>
      </c>
      <c r="W1256" s="2">
        <v>4.4701350285754833</v>
      </c>
      <c r="X1256" s="2">
        <v>6.3528368228670793</v>
      </c>
      <c r="Y1256" s="2">
        <v>8.5749883235534625</v>
      </c>
      <c r="Z1256" s="2">
        <v>11.030591318565209</v>
      </c>
      <c r="AA1256" s="2">
        <v>13.537772825979305</v>
      </c>
      <c r="AB1256" s="2">
        <v>15.841188570976344</v>
      </c>
      <c r="AC1256" s="2">
        <v>17.635781377842726</v>
      </c>
      <c r="AD1256" s="2">
        <v>18.616529345234508</v>
      </c>
      <c r="AE1256" s="2">
        <v>18.550144989920401</v>
      </c>
      <c r="AF1256" s="2">
        <v>17.351843115890368</v>
      </c>
      <c r="AG1256" s="2">
        <v>15.138547873149006</v>
      </c>
      <c r="AH1256" s="2">
        <v>12.422905084202991</v>
      </c>
      <c r="AI1256" s="2">
        <v>4.4994601782901933</v>
      </c>
      <c r="AJ1256" s="2">
        <v>0</v>
      </c>
      <c r="AK1256" s="2">
        <v>0</v>
      </c>
      <c r="AL1256" s="2">
        <v>0</v>
      </c>
      <c r="AM1256" s="2">
        <v>0</v>
      </c>
      <c r="AN1256" s="2">
        <v>0</v>
      </c>
      <c r="AO1256" s="2">
        <v>0</v>
      </c>
      <c r="AP1256" s="2">
        <v>0</v>
      </c>
      <c r="AQ1256" s="2">
        <v>0</v>
      </c>
      <c r="AR1256" s="2">
        <v>170.39915113721267</v>
      </c>
    </row>
    <row r="1257" spans="1:44" x14ac:dyDescent="0.25">
      <c r="A1257" t="s">
        <v>435</v>
      </c>
      <c r="B1257" t="s">
        <v>482</v>
      </c>
      <c r="C1257" t="s">
        <v>44</v>
      </c>
      <c r="D1257" t="s">
        <v>212</v>
      </c>
      <c r="E1257" t="s">
        <v>134</v>
      </c>
      <c r="F1257" t="s">
        <v>483</v>
      </c>
      <c r="G1257" t="s">
        <v>33</v>
      </c>
      <c r="H1257" t="s">
        <v>453</v>
      </c>
      <c r="I1257" t="s">
        <v>256</v>
      </c>
      <c r="J1257" t="s">
        <v>40</v>
      </c>
      <c r="K1257" t="s">
        <v>33</v>
      </c>
      <c r="L1257">
        <v>8.2931909248260549E-3</v>
      </c>
      <c r="M1257">
        <v>0</v>
      </c>
      <c r="N1257">
        <v>0.27210099802545729</v>
      </c>
      <c r="O1257">
        <v>1.4737622038640097</v>
      </c>
      <c r="P1257">
        <v>4.3265571229284552</v>
      </c>
      <c r="Q1257">
        <v>1.3498045353129324</v>
      </c>
      <c r="R1257">
        <v>-0.25661544227348526</v>
      </c>
      <c r="S1257" s="2">
        <v>0.27086139901876677</v>
      </c>
      <c r="T1257" s="2">
        <v>0.53726048816972383</v>
      </c>
      <c r="U1257" s="2">
        <v>0.94657688938835394</v>
      </c>
      <c r="V1257" s="2">
        <v>1.5278678816771434</v>
      </c>
      <c r="W1257" s="2">
        <v>2.3012131801375837</v>
      </c>
      <c r="X1257" s="2">
        <v>3.2704228696876445</v>
      </c>
      <c r="Y1257" s="2">
        <v>4.4143803315882097</v>
      </c>
      <c r="Z1257" s="2">
        <v>5.6785179787024491</v>
      </c>
      <c r="AA1257" s="2">
        <v>6.9692081017024137</v>
      </c>
      <c r="AB1257" s="2">
        <v>8.1550001723756758</v>
      </c>
      <c r="AC1257" s="2">
        <v>9.0788515982814992</v>
      </c>
      <c r="AD1257" s="2">
        <v>9.5837379461273109</v>
      </c>
      <c r="AE1257" s="2">
        <v>9.5495634631581829</v>
      </c>
      <c r="AF1257" s="2">
        <v>8.9326809643804577</v>
      </c>
      <c r="AG1257" s="2">
        <v>7.7932826796366239</v>
      </c>
      <c r="AH1257" s="2">
        <v>6.3952772640240134</v>
      </c>
      <c r="AI1257" s="2">
        <v>2.3163096863060719</v>
      </c>
      <c r="AJ1257" s="2">
        <v>0</v>
      </c>
      <c r="AK1257" s="2">
        <v>0</v>
      </c>
      <c r="AL1257" s="2">
        <v>0</v>
      </c>
      <c r="AM1257" s="2">
        <v>0</v>
      </c>
      <c r="AN1257" s="2">
        <v>0</v>
      </c>
      <c r="AO1257" s="2">
        <v>0</v>
      </c>
      <c r="AP1257" s="2">
        <v>0</v>
      </c>
      <c r="AQ1257" s="2">
        <v>0</v>
      </c>
      <c r="AR1257" s="2">
        <v>87.721012894362104</v>
      </c>
    </row>
    <row r="1258" spans="1:44" x14ac:dyDescent="0.25">
      <c r="A1258" t="s">
        <v>435</v>
      </c>
      <c r="B1258" t="s">
        <v>482</v>
      </c>
      <c r="C1258" t="s">
        <v>44</v>
      </c>
      <c r="D1258" t="s">
        <v>212</v>
      </c>
      <c r="E1258" t="s">
        <v>134</v>
      </c>
      <c r="F1258" t="s">
        <v>483</v>
      </c>
      <c r="G1258" t="s">
        <v>33</v>
      </c>
      <c r="H1258" t="s">
        <v>454</v>
      </c>
      <c r="I1258" t="s">
        <v>135</v>
      </c>
      <c r="J1258" t="s">
        <v>39</v>
      </c>
      <c r="K1258" t="s">
        <v>31</v>
      </c>
      <c r="L1258">
        <v>8.2931909248260549E-3</v>
      </c>
      <c r="M1258">
        <v>0</v>
      </c>
      <c r="N1258">
        <v>0.54981264760003967</v>
      </c>
      <c r="O1258">
        <v>5.3471683850504297</v>
      </c>
      <c r="P1258">
        <v>2.8636201715795879</v>
      </c>
      <c r="Q1258">
        <v>5.2678270918411005</v>
      </c>
      <c r="R1258">
        <v>-1.8625523936223525</v>
      </c>
      <c r="S1258" s="2">
        <v>1.5635698661723325E-3</v>
      </c>
      <c r="T1258" s="2">
        <v>3.1013806789390998E-3</v>
      </c>
      <c r="U1258" s="2">
        <v>5.4641935160359501E-3</v>
      </c>
      <c r="V1258" s="2">
        <v>8.8197439278434007E-3</v>
      </c>
      <c r="W1258" s="2">
        <v>1.3283943733349885E-2</v>
      </c>
      <c r="X1258" s="2">
        <v>1.8878786963402464E-2</v>
      </c>
      <c r="Y1258" s="2">
        <v>2.5482376186859074E-2</v>
      </c>
      <c r="Z1258" s="2">
        <v>3.2779715486154624E-2</v>
      </c>
      <c r="AA1258" s="2">
        <v>4.0230331152321129E-2</v>
      </c>
      <c r="AB1258" s="2">
        <v>4.7075414120833568E-2</v>
      </c>
      <c r="AC1258" s="2">
        <v>5.2408423016156454E-2</v>
      </c>
      <c r="AD1258" s="2">
        <v>5.5322921287941626E-2</v>
      </c>
      <c r="AE1258" s="2">
        <v>5.5125646253713349E-2</v>
      </c>
      <c r="AF1258" s="2">
        <v>5.1564640922011906E-2</v>
      </c>
      <c r="AG1258" s="2">
        <v>4.4987369926411433E-2</v>
      </c>
      <c r="AH1258" s="2">
        <v>3.691726784277656E-2</v>
      </c>
      <c r="AI1258" s="2">
        <v>1.3371089565923464E-2</v>
      </c>
      <c r="AJ1258" s="2">
        <v>0</v>
      </c>
      <c r="AK1258" s="2">
        <v>0</v>
      </c>
      <c r="AL1258" s="2">
        <v>0</v>
      </c>
      <c r="AM1258" s="2">
        <v>0</v>
      </c>
      <c r="AN1258" s="2">
        <v>0</v>
      </c>
      <c r="AO1258" s="2">
        <v>0</v>
      </c>
      <c r="AP1258" s="2">
        <v>0</v>
      </c>
      <c r="AQ1258" s="2">
        <v>0</v>
      </c>
      <c r="AR1258" s="2">
        <v>0.50637681444684635</v>
      </c>
    </row>
    <row r="1259" spans="1:44" x14ac:dyDescent="0.25">
      <c r="A1259" t="s">
        <v>435</v>
      </c>
      <c r="B1259" t="s">
        <v>482</v>
      </c>
      <c r="C1259" t="s">
        <v>44</v>
      </c>
      <c r="D1259" t="s">
        <v>212</v>
      </c>
      <c r="E1259" t="s">
        <v>134</v>
      </c>
      <c r="F1259" t="s">
        <v>483</v>
      </c>
      <c r="G1259" t="s">
        <v>33</v>
      </c>
      <c r="H1259" t="s">
        <v>454</v>
      </c>
      <c r="I1259" t="s">
        <v>135</v>
      </c>
      <c r="J1259" t="s">
        <v>39</v>
      </c>
      <c r="K1259" t="s">
        <v>33</v>
      </c>
      <c r="L1259">
        <v>8.2931909248260549E-3</v>
      </c>
      <c r="M1259">
        <v>0</v>
      </c>
      <c r="N1259">
        <v>0.54981264760003967</v>
      </c>
      <c r="O1259">
        <v>5.3471683850504297</v>
      </c>
      <c r="P1259">
        <v>2.8636201715795879</v>
      </c>
      <c r="Q1259">
        <v>5.2678270918411005</v>
      </c>
      <c r="R1259">
        <v>-1.8625523936223525</v>
      </c>
      <c r="S1259" s="2">
        <v>1.2547654719000628E-2</v>
      </c>
      <c r="T1259" s="2">
        <v>2.4888592926629378E-2</v>
      </c>
      <c r="U1259" s="2">
        <v>4.3850175831838589E-2</v>
      </c>
      <c r="V1259" s="2">
        <v>7.0778481928343809E-2</v>
      </c>
      <c r="W1259" s="2">
        <v>0.10660370404857572</v>
      </c>
      <c r="X1259" s="2">
        <v>0.15150234438211901</v>
      </c>
      <c r="Y1259" s="2">
        <v>0.20449617553396243</v>
      </c>
      <c r="Z1259" s="2">
        <v>0.26305735394750351</v>
      </c>
      <c r="AA1259" s="2">
        <v>0.32284857584658955</v>
      </c>
      <c r="AB1259" s="2">
        <v>0.3777803953130689</v>
      </c>
      <c r="AC1259" s="2">
        <v>0.42057781401472555</v>
      </c>
      <c r="AD1259" s="2">
        <v>0.44396667484191027</v>
      </c>
      <c r="AE1259" s="2">
        <v>0.44238354186670442</v>
      </c>
      <c r="AF1259" s="2">
        <v>0.41380645917829634</v>
      </c>
      <c r="AG1259" s="2">
        <v>0.36102383191513043</v>
      </c>
      <c r="AH1259" s="2">
        <v>0.29626122892353701</v>
      </c>
      <c r="AI1259" s="2">
        <v>0.1073030497196522</v>
      </c>
      <c r="AJ1259" s="2">
        <v>0</v>
      </c>
      <c r="AK1259" s="2">
        <v>0</v>
      </c>
      <c r="AL1259" s="2">
        <v>0</v>
      </c>
      <c r="AM1259" s="2">
        <v>0</v>
      </c>
      <c r="AN1259" s="2">
        <v>0</v>
      </c>
      <c r="AO1259" s="2">
        <v>0</v>
      </c>
      <c r="AP1259" s="2">
        <v>0</v>
      </c>
      <c r="AQ1259" s="2">
        <v>0</v>
      </c>
      <c r="AR1259" s="2">
        <v>4.0636760549375879</v>
      </c>
    </row>
    <row r="1260" spans="1:44" x14ac:dyDescent="0.25">
      <c r="A1260" t="s">
        <v>435</v>
      </c>
      <c r="B1260" t="s">
        <v>482</v>
      </c>
      <c r="C1260" t="s">
        <v>44</v>
      </c>
      <c r="D1260" t="s">
        <v>212</v>
      </c>
      <c r="E1260" t="s">
        <v>134</v>
      </c>
      <c r="F1260" t="s">
        <v>483</v>
      </c>
      <c r="G1260" t="s">
        <v>33</v>
      </c>
      <c r="H1260" t="s">
        <v>455</v>
      </c>
      <c r="I1260" t="s">
        <v>135</v>
      </c>
      <c r="J1260" t="s">
        <v>39</v>
      </c>
      <c r="K1260" t="s">
        <v>31</v>
      </c>
      <c r="L1260">
        <v>8.2931909248260549E-3</v>
      </c>
      <c r="M1260">
        <v>0</v>
      </c>
      <c r="N1260">
        <v>0.54981264760003967</v>
      </c>
      <c r="O1260">
        <v>5.3471683850504297</v>
      </c>
      <c r="P1260">
        <v>2.8636201715795879</v>
      </c>
      <c r="Q1260">
        <v>5.2678270918411005</v>
      </c>
      <c r="R1260">
        <v>-1.8625523936223525</v>
      </c>
      <c r="S1260" s="2">
        <v>3.6840023628479545E-4</v>
      </c>
      <c r="T1260" s="2">
        <v>7.3073125777696122E-4</v>
      </c>
      <c r="U1260" s="2">
        <v>1.2874449846884057E-3</v>
      </c>
      <c r="V1260" s="2">
        <v>2.078062398927545E-3</v>
      </c>
      <c r="W1260" s="2">
        <v>3.1298940431361845E-3</v>
      </c>
      <c r="X1260" s="2">
        <v>4.4481220369856035E-3</v>
      </c>
      <c r="Y1260" s="2">
        <v>6.0040255388896305E-3</v>
      </c>
      <c r="Z1260" s="2">
        <v>7.7233868416831837E-3</v>
      </c>
      <c r="AA1260" s="2">
        <v>9.4788623284309016E-3</v>
      </c>
      <c r="AB1260" s="2">
        <v>1.1091665336180266E-2</v>
      </c>
      <c r="AC1260" s="2">
        <v>1.2348201279761392E-2</v>
      </c>
      <c r="AD1260" s="2">
        <v>1.3034900272372286E-2</v>
      </c>
      <c r="AE1260" s="2">
        <v>1.2988419350224109E-2</v>
      </c>
      <c r="AF1260" s="2">
        <v>1.2149393711528639E-2</v>
      </c>
      <c r="AG1260" s="2">
        <v>1.059969117420609E-2</v>
      </c>
      <c r="AH1260" s="2">
        <v>8.6982555052445426E-3</v>
      </c>
      <c r="AI1260" s="2">
        <v>3.1504268929984868E-3</v>
      </c>
      <c r="AJ1260" s="2">
        <v>0</v>
      </c>
      <c r="AK1260" s="2">
        <v>0</v>
      </c>
      <c r="AL1260" s="2">
        <v>0</v>
      </c>
      <c r="AM1260" s="2">
        <v>0</v>
      </c>
      <c r="AN1260" s="2">
        <v>0</v>
      </c>
      <c r="AO1260" s="2">
        <v>0</v>
      </c>
      <c r="AP1260" s="2">
        <v>0</v>
      </c>
      <c r="AQ1260" s="2">
        <v>0</v>
      </c>
      <c r="AR1260" s="2">
        <v>0.11930988318931901</v>
      </c>
    </row>
    <row r="1261" spans="1:44" x14ac:dyDescent="0.25">
      <c r="A1261" t="s">
        <v>435</v>
      </c>
      <c r="B1261" t="s">
        <v>482</v>
      </c>
      <c r="C1261" t="s">
        <v>44</v>
      </c>
      <c r="D1261" t="s">
        <v>212</v>
      </c>
      <c r="E1261" t="s">
        <v>134</v>
      </c>
      <c r="F1261" t="s">
        <v>483</v>
      </c>
      <c r="G1261" t="s">
        <v>33</v>
      </c>
      <c r="H1261" t="s">
        <v>455</v>
      </c>
      <c r="I1261" t="s">
        <v>135</v>
      </c>
      <c r="J1261" t="s">
        <v>39</v>
      </c>
      <c r="K1261" t="s">
        <v>33</v>
      </c>
      <c r="L1261">
        <v>8.2931909248260549E-3</v>
      </c>
      <c r="M1261">
        <v>0</v>
      </c>
      <c r="N1261">
        <v>0.54981264760003967</v>
      </c>
      <c r="O1261">
        <v>5.3471683850504297</v>
      </c>
      <c r="P1261">
        <v>2.8636201715795879</v>
      </c>
      <c r="Q1261">
        <v>5.2678270918411005</v>
      </c>
      <c r="R1261">
        <v>-1.8625523936223525</v>
      </c>
      <c r="S1261" s="2">
        <v>9.3668626518384392E-3</v>
      </c>
      <c r="T1261" s="2">
        <v>1.8579410795248819E-2</v>
      </c>
      <c r="U1261" s="2">
        <v>3.2734290468945208E-2</v>
      </c>
      <c r="V1261" s="2">
        <v>5.2836353388374765E-2</v>
      </c>
      <c r="W1261" s="2">
        <v>7.9579991349951057E-2</v>
      </c>
      <c r="X1261" s="2">
        <v>0.11309696377841214</v>
      </c>
      <c r="Y1261" s="2">
        <v>0.15265702092936068</v>
      </c>
      <c r="Z1261" s="2">
        <v>0.19637311985092343</v>
      </c>
      <c r="AA1261" s="2">
        <v>0.24100744999919041</v>
      </c>
      <c r="AB1261" s="2">
        <v>0.28201422135853799</v>
      </c>
      <c r="AC1261" s="2">
        <v>0.31396262540767073</v>
      </c>
      <c r="AD1261" s="2">
        <v>0.33142248160051413</v>
      </c>
      <c r="AE1261" s="2">
        <v>0.3302406679890913</v>
      </c>
      <c r="AF1261" s="2">
        <v>0.30890778829746163</v>
      </c>
      <c r="AG1261" s="2">
        <v>0.26950539549583419</v>
      </c>
      <c r="AH1261" s="2">
        <v>0.22115991414630329</v>
      </c>
      <c r="AI1261" s="2">
        <v>8.0102055033869551E-2</v>
      </c>
      <c r="AJ1261" s="2">
        <v>0</v>
      </c>
      <c r="AK1261" s="2">
        <v>0</v>
      </c>
      <c r="AL1261" s="2">
        <v>0</v>
      </c>
      <c r="AM1261" s="2">
        <v>0</v>
      </c>
      <c r="AN1261" s="2">
        <v>0</v>
      </c>
      <c r="AO1261" s="2">
        <v>0</v>
      </c>
      <c r="AP1261" s="2">
        <v>0</v>
      </c>
      <c r="AQ1261" s="2">
        <v>0</v>
      </c>
      <c r="AR1261" s="2">
        <v>3.0335466125415271</v>
      </c>
    </row>
    <row r="1262" spans="1:44" x14ac:dyDescent="0.25">
      <c r="A1262" t="s">
        <v>435</v>
      </c>
      <c r="B1262" t="s">
        <v>482</v>
      </c>
      <c r="C1262" t="s">
        <v>44</v>
      </c>
      <c r="D1262" t="s">
        <v>212</v>
      </c>
      <c r="E1262" t="s">
        <v>134</v>
      </c>
      <c r="F1262" t="s">
        <v>483</v>
      </c>
      <c r="G1262" t="s">
        <v>33</v>
      </c>
      <c r="H1262" t="s">
        <v>456</v>
      </c>
      <c r="I1262" t="s">
        <v>135</v>
      </c>
      <c r="J1262" t="s">
        <v>39</v>
      </c>
      <c r="K1262" t="s">
        <v>31</v>
      </c>
      <c r="L1262">
        <v>8.2931909248260549E-3</v>
      </c>
      <c r="M1262">
        <v>0</v>
      </c>
      <c r="N1262">
        <v>0.54981264760003967</v>
      </c>
      <c r="O1262">
        <v>5.3471683850504297</v>
      </c>
      <c r="P1262">
        <v>2.8636201715795879</v>
      </c>
      <c r="Q1262">
        <v>5.2678270918411005</v>
      </c>
      <c r="R1262">
        <v>-1.8625523936223525</v>
      </c>
      <c r="S1262" s="2">
        <v>6.640501498602247E-2</v>
      </c>
      <c r="T1262" s="2">
        <v>0.13171603963337861</v>
      </c>
      <c r="U1262" s="2">
        <v>0.23206500724343182</v>
      </c>
      <c r="V1262" s="2">
        <v>0.37457566839342632</v>
      </c>
      <c r="W1262" s="2">
        <v>0.56417081306768624</v>
      </c>
      <c r="X1262" s="2">
        <v>0.80178453060855581</v>
      </c>
      <c r="Y1262" s="2">
        <v>1.082239821307309</v>
      </c>
      <c r="Z1262" s="2">
        <v>1.3921587676950895</v>
      </c>
      <c r="AA1262" s="2">
        <v>1.708587381261341</v>
      </c>
      <c r="AB1262" s="2">
        <v>1.9992989426304422</v>
      </c>
      <c r="AC1262" s="2">
        <v>2.2257925220196695</v>
      </c>
      <c r="AD1262" s="2">
        <v>2.3495716415856007</v>
      </c>
      <c r="AE1262" s="2">
        <v>2.3411933452985494</v>
      </c>
      <c r="AF1262" s="2">
        <v>2.1899569870564815</v>
      </c>
      <c r="AG1262" s="2">
        <v>1.9106194349078263</v>
      </c>
      <c r="AH1262" s="2">
        <v>1.5678811528543397</v>
      </c>
      <c r="AI1262" s="2">
        <v>0.56787190787849195</v>
      </c>
      <c r="AJ1262" s="2">
        <v>0</v>
      </c>
      <c r="AK1262" s="2">
        <v>0</v>
      </c>
      <c r="AL1262" s="2">
        <v>0</v>
      </c>
      <c r="AM1262" s="2">
        <v>0</v>
      </c>
      <c r="AN1262" s="2">
        <v>0</v>
      </c>
      <c r="AO1262" s="2">
        <v>0</v>
      </c>
      <c r="AP1262" s="2">
        <v>0</v>
      </c>
      <c r="AQ1262" s="2">
        <v>0</v>
      </c>
      <c r="AR1262" s="2">
        <v>21.505888978427642</v>
      </c>
    </row>
    <row r="1263" spans="1:44" x14ac:dyDescent="0.25">
      <c r="A1263" t="s">
        <v>435</v>
      </c>
      <c r="B1263" t="s">
        <v>482</v>
      </c>
      <c r="C1263" t="s">
        <v>44</v>
      </c>
      <c r="D1263" t="s">
        <v>212</v>
      </c>
      <c r="E1263" t="s">
        <v>134</v>
      </c>
      <c r="F1263" t="s">
        <v>483</v>
      </c>
      <c r="G1263" t="s">
        <v>33</v>
      </c>
      <c r="H1263" t="s">
        <v>456</v>
      </c>
      <c r="I1263" t="s">
        <v>135</v>
      </c>
      <c r="J1263" t="s">
        <v>39</v>
      </c>
      <c r="K1263" t="s">
        <v>33</v>
      </c>
      <c r="L1263">
        <v>8.2931909248260549E-3</v>
      </c>
      <c r="M1263">
        <v>0</v>
      </c>
      <c r="N1263">
        <v>0.54981264760003967</v>
      </c>
      <c r="O1263">
        <v>5.3471683850504297</v>
      </c>
      <c r="P1263">
        <v>2.8636201715795879</v>
      </c>
      <c r="Q1263">
        <v>5.2678270918411005</v>
      </c>
      <c r="R1263">
        <v>-1.8625523936223525</v>
      </c>
      <c r="S1263" s="2">
        <v>6.1311732165838649E-2</v>
      </c>
      <c r="T1263" s="2">
        <v>0.12161338335134103</v>
      </c>
      <c r="U1263" s="2">
        <v>0.21426555768668371</v>
      </c>
      <c r="V1263" s="2">
        <v>0.34584561213052684</v>
      </c>
      <c r="W1263" s="2">
        <v>0.52089875732834756</v>
      </c>
      <c r="X1263" s="2">
        <v>0.74028743771433247</v>
      </c>
      <c r="Y1263" s="2">
        <v>0.99923173087402528</v>
      </c>
      <c r="Z1263" s="2">
        <v>1.2853798092691002</v>
      </c>
      <c r="AA1263" s="2">
        <v>1.5775382615887832</v>
      </c>
      <c r="AB1263" s="2">
        <v>1.8459521666519301</v>
      </c>
      <c r="AC1263" s="2">
        <v>2.0550736265253668</v>
      </c>
      <c r="AD1263" s="2">
        <v>2.1693588537502548</v>
      </c>
      <c r="AE1263" s="2">
        <v>2.1616231750810182</v>
      </c>
      <c r="AF1263" s="2">
        <v>2.0219866868997221</v>
      </c>
      <c r="AG1263" s="2">
        <v>1.7640744014374821</v>
      </c>
      <c r="AH1263" s="2">
        <v>1.4476242394027894</v>
      </c>
      <c r="AI1263" s="2">
        <v>0.52431597715441425</v>
      </c>
      <c r="AJ1263" s="2">
        <v>0</v>
      </c>
      <c r="AK1263" s="2">
        <v>0</v>
      </c>
      <c r="AL1263" s="2">
        <v>0</v>
      </c>
      <c r="AM1263" s="2">
        <v>0</v>
      </c>
      <c r="AN1263" s="2">
        <v>0</v>
      </c>
      <c r="AO1263" s="2">
        <v>0</v>
      </c>
      <c r="AP1263" s="2">
        <v>0</v>
      </c>
      <c r="AQ1263" s="2">
        <v>0</v>
      </c>
      <c r="AR1263" s="2">
        <v>19.856381409011952</v>
      </c>
    </row>
    <row r="1264" spans="1:44" x14ac:dyDescent="0.25">
      <c r="A1264" t="s">
        <v>435</v>
      </c>
      <c r="B1264" t="s">
        <v>482</v>
      </c>
      <c r="C1264" t="s">
        <v>44</v>
      </c>
      <c r="D1264" t="s">
        <v>212</v>
      </c>
      <c r="E1264" t="s">
        <v>134</v>
      </c>
      <c r="F1264" t="s">
        <v>483</v>
      </c>
      <c r="G1264" t="s">
        <v>33</v>
      </c>
      <c r="H1264" t="s">
        <v>456</v>
      </c>
      <c r="I1264" t="s">
        <v>135</v>
      </c>
      <c r="J1264" t="s">
        <v>40</v>
      </c>
      <c r="K1264" t="s">
        <v>33</v>
      </c>
      <c r="L1264">
        <v>8.2931909248260549E-3</v>
      </c>
      <c r="M1264">
        <v>0</v>
      </c>
      <c r="N1264">
        <v>0.54981264760003967</v>
      </c>
      <c r="O1264">
        <v>4.1746294160814532</v>
      </c>
      <c r="P1264">
        <v>2.8636201715795879</v>
      </c>
      <c r="Q1264">
        <v>1.3498045353129324</v>
      </c>
      <c r="R1264">
        <v>-1.7195523936223529</v>
      </c>
      <c r="S1264" s="2">
        <v>0.22634536620152876</v>
      </c>
      <c r="T1264" s="2">
        <v>0.44896180253415402</v>
      </c>
      <c r="U1264" s="2">
        <v>0.79100711080528052</v>
      </c>
      <c r="V1264" s="2">
        <v>1.2767630103018341</v>
      </c>
      <c r="W1264" s="2">
        <v>1.9230091177736892</v>
      </c>
      <c r="X1264" s="2">
        <v>2.7329293312186431</v>
      </c>
      <c r="Y1264" s="2">
        <v>3.6888775452161453</v>
      </c>
      <c r="Z1264" s="2">
        <v>4.7452543478973821</v>
      </c>
      <c r="AA1264" s="2">
        <v>5.8238197307885837</v>
      </c>
      <c r="AB1264" s="2">
        <v>6.8147270414933221</v>
      </c>
      <c r="AC1264" s="2">
        <v>7.5867436155418444</v>
      </c>
      <c r="AD1264" s="2">
        <v>8.0086519631591244</v>
      </c>
      <c r="AE1264" s="2">
        <v>7.9800940516574581</v>
      </c>
      <c r="AF1264" s="2">
        <v>7.4645961047555298</v>
      </c>
      <c r="AG1264" s="2">
        <v>6.5124577677905471</v>
      </c>
      <c r="AH1264" s="2">
        <v>5.3442143455278126</v>
      </c>
      <c r="AI1264" s="2">
        <v>1.9356245152775617</v>
      </c>
      <c r="AJ1264" s="2">
        <v>0</v>
      </c>
      <c r="AK1264" s="2">
        <v>0</v>
      </c>
      <c r="AL1264" s="2">
        <v>0</v>
      </c>
      <c r="AM1264" s="2">
        <v>0</v>
      </c>
      <c r="AN1264" s="2">
        <v>0</v>
      </c>
      <c r="AO1264" s="2">
        <v>0</v>
      </c>
      <c r="AP1264" s="2">
        <v>0</v>
      </c>
      <c r="AQ1264" s="2">
        <v>0</v>
      </c>
      <c r="AR1264" s="2">
        <v>73.304076767940444</v>
      </c>
    </row>
    <row r="1265" spans="1:44" x14ac:dyDescent="0.25">
      <c r="A1265" t="s">
        <v>435</v>
      </c>
      <c r="B1265" t="s">
        <v>482</v>
      </c>
      <c r="C1265" t="s">
        <v>44</v>
      </c>
      <c r="D1265" t="s">
        <v>212</v>
      </c>
      <c r="E1265" t="s">
        <v>134</v>
      </c>
      <c r="F1265" t="s">
        <v>483</v>
      </c>
      <c r="G1265" t="s">
        <v>33</v>
      </c>
      <c r="H1265" t="s">
        <v>456</v>
      </c>
      <c r="I1265" t="s">
        <v>256</v>
      </c>
      <c r="J1265" t="s">
        <v>40</v>
      </c>
      <c r="K1265" t="s">
        <v>33</v>
      </c>
      <c r="L1265">
        <v>8.2931909248260549E-3</v>
      </c>
      <c r="M1265">
        <v>0</v>
      </c>
      <c r="N1265">
        <v>0.27210099802545729</v>
      </c>
      <c r="O1265">
        <v>1.4737622038640097</v>
      </c>
      <c r="P1265">
        <v>4.3265571229284552</v>
      </c>
      <c r="Q1265">
        <v>1.3498045353129324</v>
      </c>
      <c r="R1265">
        <v>-0.25661544227348526</v>
      </c>
      <c r="S1265" s="2">
        <v>0.33989832877459514</v>
      </c>
      <c r="T1265" s="2">
        <v>0.67419699782640419</v>
      </c>
      <c r="U1265" s="2">
        <v>1.1878396254516299</v>
      </c>
      <c r="V1265" s="2">
        <v>1.9172895859349106</v>
      </c>
      <c r="W1265" s="2">
        <v>2.8877444955847786</v>
      </c>
      <c r="X1265" s="2">
        <v>4.1039855506174492</v>
      </c>
      <c r="Y1265" s="2">
        <v>5.5395139459436846</v>
      </c>
      <c r="Z1265" s="2">
        <v>7.125853952868809</v>
      </c>
      <c r="AA1265" s="2">
        <v>8.7455141088113972</v>
      </c>
      <c r="AB1265" s="2">
        <v>10.23353988345522</v>
      </c>
      <c r="AC1265" s="2">
        <v>11.392861798054275</v>
      </c>
      <c r="AD1265" s="2">
        <v>12.026433161399446</v>
      </c>
      <c r="AE1265" s="2">
        <v>11.983548314425967</v>
      </c>
      <c r="AF1265" s="2">
        <v>11.209435313664581</v>
      </c>
      <c r="AG1265" s="2">
        <v>9.7796281348046765</v>
      </c>
      <c r="AH1265" s="2">
        <v>8.0253002530689823</v>
      </c>
      <c r="AI1265" s="2">
        <v>2.9066887867816633</v>
      </c>
      <c r="AJ1265" s="2">
        <v>0</v>
      </c>
      <c r="AK1265" s="2">
        <v>0</v>
      </c>
      <c r="AL1265" s="2">
        <v>0</v>
      </c>
      <c r="AM1265" s="2">
        <v>0</v>
      </c>
      <c r="AN1265" s="2">
        <v>0</v>
      </c>
      <c r="AO1265" s="2">
        <v>0</v>
      </c>
      <c r="AP1265" s="2">
        <v>0</v>
      </c>
      <c r="AQ1265" s="2">
        <v>0</v>
      </c>
      <c r="AR1265" s="2">
        <v>110.07927223746847</v>
      </c>
    </row>
    <row r="1266" spans="1:44" x14ac:dyDescent="0.25">
      <c r="A1266" t="s">
        <v>435</v>
      </c>
      <c r="B1266" t="s">
        <v>482</v>
      </c>
      <c r="C1266" t="s">
        <v>44</v>
      </c>
      <c r="D1266" t="s">
        <v>212</v>
      </c>
      <c r="E1266" t="s">
        <v>134</v>
      </c>
      <c r="F1266" t="s">
        <v>483</v>
      </c>
      <c r="G1266" t="s">
        <v>33</v>
      </c>
      <c r="H1266" t="s">
        <v>457</v>
      </c>
      <c r="I1266" t="s">
        <v>135</v>
      </c>
      <c r="J1266" t="s">
        <v>39</v>
      </c>
      <c r="K1266" t="s">
        <v>31</v>
      </c>
      <c r="L1266">
        <v>8.2931909248260549E-3</v>
      </c>
      <c r="M1266">
        <v>0</v>
      </c>
      <c r="N1266">
        <v>0.54981264760003967</v>
      </c>
      <c r="O1266">
        <v>5.3471683850504297</v>
      </c>
      <c r="P1266">
        <v>2.8636201715795879</v>
      </c>
      <c r="Q1266">
        <v>5.2678270918411005</v>
      </c>
      <c r="R1266">
        <v>-1.8625523936223525</v>
      </c>
      <c r="S1266" s="2">
        <v>2.4549862728216409E-2</v>
      </c>
      <c r="T1266" s="2">
        <v>4.8695278403060323E-2</v>
      </c>
      <c r="U1266" s="2">
        <v>8.5794183964087486E-2</v>
      </c>
      <c r="V1266" s="2">
        <v>0.13848022234953394</v>
      </c>
      <c r="W1266" s="2">
        <v>0.2085733437300373</v>
      </c>
      <c r="X1266" s="2">
        <v>0.29641887993234661</v>
      </c>
      <c r="Y1266" s="2">
        <v>0.40010289972370833</v>
      </c>
      <c r="Z1266" s="2">
        <v>0.51467960138238522</v>
      </c>
      <c r="AA1266" s="2">
        <v>0.63166292000623381</v>
      </c>
      <c r="AB1266" s="2">
        <v>0.73913867205024952</v>
      </c>
      <c r="AC1266" s="2">
        <v>0.82287310511977485</v>
      </c>
      <c r="AD1266" s="2">
        <v>0.86863411269733093</v>
      </c>
      <c r="AE1266" s="2">
        <v>0.86553666555743136</v>
      </c>
      <c r="AF1266" s="2">
        <v>0.80962474632754122</v>
      </c>
      <c r="AG1266" s="2">
        <v>0.70635395327781525</v>
      </c>
      <c r="AH1266" s="2">
        <v>0.57964397846809812</v>
      </c>
      <c r="AI1266" s="2">
        <v>0.20994163450699896</v>
      </c>
      <c r="AJ1266" s="2">
        <v>0</v>
      </c>
      <c r="AK1266" s="2">
        <v>0</v>
      </c>
      <c r="AL1266" s="2">
        <v>0</v>
      </c>
      <c r="AM1266" s="2">
        <v>0</v>
      </c>
      <c r="AN1266" s="2">
        <v>0</v>
      </c>
      <c r="AO1266" s="2">
        <v>0</v>
      </c>
      <c r="AP1266" s="2">
        <v>0</v>
      </c>
      <c r="AQ1266" s="2">
        <v>0</v>
      </c>
      <c r="AR1266" s="2">
        <v>7.95070406022485</v>
      </c>
    </row>
    <row r="1267" spans="1:44" x14ac:dyDescent="0.25">
      <c r="A1267" t="s">
        <v>435</v>
      </c>
      <c r="B1267" t="s">
        <v>482</v>
      </c>
      <c r="C1267" t="s">
        <v>44</v>
      </c>
      <c r="D1267" t="s">
        <v>212</v>
      </c>
      <c r="E1267" t="s">
        <v>134</v>
      </c>
      <c r="F1267" t="s">
        <v>483</v>
      </c>
      <c r="G1267" t="s">
        <v>33</v>
      </c>
      <c r="H1267" t="s">
        <v>457</v>
      </c>
      <c r="I1267" t="s">
        <v>135</v>
      </c>
      <c r="J1267" t="s">
        <v>39</v>
      </c>
      <c r="K1267" t="s">
        <v>33</v>
      </c>
      <c r="L1267">
        <v>8.2931909248260549E-3</v>
      </c>
      <c r="M1267">
        <v>0</v>
      </c>
      <c r="N1267">
        <v>0.54981264760003967</v>
      </c>
      <c r="O1267">
        <v>5.3471683850504297</v>
      </c>
      <c r="P1267">
        <v>2.8636201715795879</v>
      </c>
      <c r="Q1267">
        <v>5.2678270918411005</v>
      </c>
      <c r="R1267">
        <v>-1.8625523936223525</v>
      </c>
      <c r="S1267" s="2">
        <v>7.1831565421852164E-3</v>
      </c>
      <c r="T1267" s="2">
        <v>1.4247974072476037E-2</v>
      </c>
      <c r="U1267" s="2">
        <v>2.5102912413223512E-2</v>
      </c>
      <c r="V1267" s="2">
        <v>4.0518561188940164E-2</v>
      </c>
      <c r="W1267" s="2">
        <v>6.1027427938238052E-2</v>
      </c>
      <c r="X1267" s="2">
        <v>8.6730554878664365E-2</v>
      </c>
      <c r="Y1267" s="2">
        <v>0.11706793612309668</v>
      </c>
      <c r="Z1267" s="2">
        <v>0.15059245694070547</v>
      </c>
      <c r="AA1267" s="2">
        <v>0.18482114081573289</v>
      </c>
      <c r="AB1267" s="2">
        <v>0.21626796233029599</v>
      </c>
      <c r="AC1267" s="2">
        <v>0.24076820281507158</v>
      </c>
      <c r="AD1267" s="2">
        <v>0.25415762517546248</v>
      </c>
      <c r="AE1267" s="2">
        <v>0.25325132895974189</v>
      </c>
      <c r="AF1267" s="2">
        <v>0.23689180496367862</v>
      </c>
      <c r="AG1267" s="2">
        <v>0.20667533162025764</v>
      </c>
      <c r="AH1267" s="2">
        <v>0.16960068095557465</v>
      </c>
      <c r="AI1267" s="2">
        <v>6.1427782390520082E-2</v>
      </c>
      <c r="AJ1267" s="2">
        <v>0</v>
      </c>
      <c r="AK1267" s="2">
        <v>0</v>
      </c>
      <c r="AL1267" s="2">
        <v>0</v>
      </c>
      <c r="AM1267" s="2">
        <v>0</v>
      </c>
      <c r="AN1267" s="2">
        <v>0</v>
      </c>
      <c r="AO1267" s="2">
        <v>0</v>
      </c>
      <c r="AP1267" s="2">
        <v>0</v>
      </c>
      <c r="AQ1267" s="2">
        <v>0</v>
      </c>
      <c r="AR1267" s="2">
        <v>2.3263328401238654</v>
      </c>
    </row>
    <row r="1268" spans="1:44" x14ac:dyDescent="0.25">
      <c r="A1268" t="s">
        <v>435</v>
      </c>
      <c r="B1268" t="s">
        <v>482</v>
      </c>
      <c r="C1268" t="s">
        <v>44</v>
      </c>
      <c r="D1268" t="s">
        <v>212</v>
      </c>
      <c r="E1268" t="s">
        <v>134</v>
      </c>
      <c r="F1268" t="s">
        <v>483</v>
      </c>
      <c r="G1268" t="s">
        <v>33</v>
      </c>
      <c r="H1268" t="s">
        <v>457</v>
      </c>
      <c r="I1268" t="s">
        <v>256</v>
      </c>
      <c r="J1268" t="s">
        <v>39</v>
      </c>
      <c r="K1268" t="s">
        <v>33</v>
      </c>
      <c r="L1268">
        <v>8.2931909248260549E-3</v>
      </c>
      <c r="M1268">
        <v>0</v>
      </c>
      <c r="N1268">
        <v>0.27210099802545729</v>
      </c>
      <c r="O1268">
        <v>2.6463011728329868</v>
      </c>
      <c r="P1268">
        <v>4.3265571229284552</v>
      </c>
      <c r="Q1268">
        <v>1.3498045353129324</v>
      </c>
      <c r="R1268">
        <v>-0.39961544227348522</v>
      </c>
      <c r="S1268" s="2">
        <v>1.9754162473855558E-2</v>
      </c>
      <c r="T1268" s="2">
        <v>3.9182884724568448E-2</v>
      </c>
      <c r="U1268" s="2">
        <v>6.9034693517472337E-2</v>
      </c>
      <c r="V1268" s="2">
        <v>0.11142876202579405</v>
      </c>
      <c r="W1268" s="2">
        <v>0.16782952171145674</v>
      </c>
      <c r="X1268" s="2">
        <v>0.23851484545255017</v>
      </c>
      <c r="Y1268" s="2">
        <v>0.32194467948363509</v>
      </c>
      <c r="Z1268" s="2">
        <v>0.41413936119493344</v>
      </c>
      <c r="AA1268" s="2">
        <v>0.50827053856279214</v>
      </c>
      <c r="AB1268" s="2">
        <v>0.59475140777910407</v>
      </c>
      <c r="AC1268" s="2">
        <v>0.66212871305464205</v>
      </c>
      <c r="AD1268" s="2">
        <v>0.6989505229629881</v>
      </c>
      <c r="AE1268" s="2">
        <v>0.69645814755815849</v>
      </c>
      <c r="AF1268" s="2">
        <v>0.65146835886077059</v>
      </c>
      <c r="AG1268" s="2">
        <v>0.56837102967026987</v>
      </c>
      <c r="AH1268" s="2">
        <v>0.46641325266924333</v>
      </c>
      <c r="AI1268" s="2">
        <v>0.16893052331862676</v>
      </c>
      <c r="AJ1268" s="2">
        <v>0</v>
      </c>
      <c r="AK1268" s="2">
        <v>0</v>
      </c>
      <c r="AL1268" s="2">
        <v>0</v>
      </c>
      <c r="AM1268" s="2">
        <v>0</v>
      </c>
      <c r="AN1268" s="2">
        <v>0</v>
      </c>
      <c r="AO1268" s="2">
        <v>0</v>
      </c>
      <c r="AP1268" s="2">
        <v>0</v>
      </c>
      <c r="AQ1268" s="2">
        <v>0</v>
      </c>
      <c r="AR1268" s="2">
        <v>6.3975714050208614</v>
      </c>
    </row>
    <row r="1269" spans="1:44" x14ac:dyDescent="0.25">
      <c r="A1269" t="s">
        <v>435</v>
      </c>
      <c r="B1269" t="s">
        <v>482</v>
      </c>
      <c r="C1269" t="s">
        <v>44</v>
      </c>
      <c r="D1269" t="s">
        <v>212</v>
      </c>
      <c r="E1269" t="s">
        <v>134</v>
      </c>
      <c r="F1269" t="s">
        <v>483</v>
      </c>
      <c r="G1269" t="s">
        <v>33</v>
      </c>
      <c r="H1269" t="s">
        <v>457</v>
      </c>
      <c r="I1269" t="s">
        <v>256</v>
      </c>
      <c r="J1269" t="s">
        <v>40</v>
      </c>
      <c r="K1269" t="s">
        <v>33</v>
      </c>
      <c r="L1269">
        <v>8.2931909248260549E-3</v>
      </c>
      <c r="M1269">
        <v>0</v>
      </c>
      <c r="N1269">
        <v>0.27210099802545729</v>
      </c>
      <c r="O1269">
        <v>1.4737622038640097</v>
      </c>
      <c r="P1269">
        <v>4.3265571229284552</v>
      </c>
      <c r="Q1269">
        <v>1.3498045353129324</v>
      </c>
      <c r="R1269">
        <v>-0.25661544227348526</v>
      </c>
      <c r="S1269" s="2">
        <v>0.18075816462211525</v>
      </c>
      <c r="T1269" s="2">
        <v>0.35853842635883426</v>
      </c>
      <c r="U1269" s="2">
        <v>0.63169392840540928</v>
      </c>
      <c r="V1269" s="2">
        <v>1.0196159182427638</v>
      </c>
      <c r="W1269" s="2">
        <v>1.5357045055248735</v>
      </c>
      <c r="X1269" s="2">
        <v>2.1825023336823692</v>
      </c>
      <c r="Y1269" s="2">
        <v>2.9459173199742796</v>
      </c>
      <c r="Z1269" s="2">
        <v>3.7895340248642122</v>
      </c>
      <c r="AA1269" s="2">
        <v>4.650870407879796</v>
      </c>
      <c r="AB1269" s="2">
        <v>5.4422035365383623</v>
      </c>
      <c r="AC1269" s="2">
        <v>6.0587317267316427</v>
      </c>
      <c r="AD1269" s="2">
        <v>6.3956654127791284</v>
      </c>
      <c r="AE1269" s="2">
        <v>6.3728592217131901</v>
      </c>
      <c r="AF1269" s="2">
        <v>5.9611853963895607</v>
      </c>
      <c r="AG1269" s="2">
        <v>5.2008129569427268</v>
      </c>
      <c r="AH1269" s="2">
        <v>4.2678601848852953</v>
      </c>
      <c r="AI1269" s="2">
        <v>1.5457790925908454</v>
      </c>
      <c r="AJ1269" s="2">
        <v>0</v>
      </c>
      <c r="AK1269" s="2">
        <v>0</v>
      </c>
      <c r="AL1269" s="2">
        <v>0</v>
      </c>
      <c r="AM1269" s="2">
        <v>0</v>
      </c>
      <c r="AN1269" s="2">
        <v>0</v>
      </c>
      <c r="AO1269" s="2">
        <v>0</v>
      </c>
      <c r="AP1269" s="2">
        <v>0</v>
      </c>
      <c r="AQ1269" s="2">
        <v>0</v>
      </c>
      <c r="AR1269" s="2">
        <v>58.540232558125417</v>
      </c>
    </row>
    <row r="1270" spans="1:44" x14ac:dyDescent="0.25">
      <c r="A1270" t="s">
        <v>131</v>
      </c>
      <c r="B1270" t="s">
        <v>237</v>
      </c>
      <c r="C1270" t="s">
        <v>46</v>
      </c>
      <c r="D1270" t="s">
        <v>238</v>
      </c>
      <c r="E1270" t="s">
        <v>148</v>
      </c>
      <c r="F1270" t="s">
        <v>238</v>
      </c>
      <c r="G1270" t="s">
        <v>28</v>
      </c>
      <c r="H1270" t="s">
        <v>55</v>
      </c>
      <c r="I1270" t="s">
        <v>135</v>
      </c>
      <c r="J1270" t="s">
        <v>39</v>
      </c>
      <c r="K1270" t="s">
        <v>28</v>
      </c>
      <c r="L1270">
        <v>3.72</v>
      </c>
      <c r="M1270">
        <v>1</v>
      </c>
      <c r="N1270">
        <v>1.0975767883104532</v>
      </c>
      <c r="O1270">
        <v>3.688844026831072</v>
      </c>
      <c r="P1270">
        <v>0.27234300754259277</v>
      </c>
      <c r="Q1270">
        <v>2.4468562968171641</v>
      </c>
      <c r="R1270">
        <v>-1.4464769027578752</v>
      </c>
      <c r="S1270" s="2">
        <v>4.1024198091059807E-4</v>
      </c>
      <c r="T1270" s="2">
        <v>2.5965276703951472E-4</v>
      </c>
      <c r="U1270" s="2">
        <v>6.7983903248703726E-4</v>
      </c>
      <c r="V1270" s="2">
        <v>1.2982819653337904E-3</v>
      </c>
      <c r="W1270" s="2">
        <v>2.1796182235956727E-3</v>
      </c>
      <c r="X1270" s="2">
        <v>3.3697871809580874E-3</v>
      </c>
      <c r="Y1270" s="2">
        <v>4.8575225678754485E-3</v>
      </c>
      <c r="Z1270" s="2">
        <v>6.6809997893259917E-3</v>
      </c>
      <c r="AA1270" s="2">
        <v>8.7820568659086138E-3</v>
      </c>
      <c r="AB1270" s="2">
        <v>1.1055213291858511E-2</v>
      </c>
      <c r="AC1270" s="2">
        <v>1.3365544387162552E-2</v>
      </c>
      <c r="AD1270" s="2">
        <v>1.5539078930980043E-2</v>
      </c>
      <c r="AE1270" s="2">
        <v>1.7392050509528315E-2</v>
      </c>
      <c r="AF1270" s="2">
        <v>1.8762198680611478E-2</v>
      </c>
      <c r="AG1270" s="2">
        <v>1.9540274331353979E-2</v>
      </c>
      <c r="AH1270" s="2">
        <v>1.9691507455185758E-2</v>
      </c>
      <c r="AI1270" s="2">
        <v>1.9258522254412675E-2</v>
      </c>
      <c r="AJ1270" s="2">
        <v>1.8394088208897548E-2</v>
      </c>
      <c r="AK1270" s="2">
        <v>1.710876488431071E-2</v>
      </c>
      <c r="AL1270" s="2">
        <v>1.5687022577753462E-2</v>
      </c>
      <c r="AM1270" s="2">
        <v>1.4037269274505255E-2</v>
      </c>
      <c r="AN1270" s="2">
        <v>1.2320160497818542E-2</v>
      </c>
      <c r="AO1270" s="2">
        <v>1.0599244454137536E-2</v>
      </c>
      <c r="AP1270" s="2">
        <v>8.8751426981031611E-3</v>
      </c>
      <c r="AQ1270" s="2">
        <v>7.1485826785932941E-3</v>
      </c>
      <c r="AR1270" s="2">
        <v>0.2672926654886475</v>
      </c>
    </row>
    <row r="1271" spans="1:44" x14ac:dyDescent="0.25">
      <c r="A1271" t="s">
        <v>131</v>
      </c>
      <c r="B1271" t="s">
        <v>237</v>
      </c>
      <c r="C1271" t="s">
        <v>46</v>
      </c>
      <c r="D1271" t="s">
        <v>238</v>
      </c>
      <c r="E1271" t="s">
        <v>148</v>
      </c>
      <c r="F1271" t="s">
        <v>238</v>
      </c>
      <c r="G1271" t="s">
        <v>28</v>
      </c>
      <c r="H1271" t="s">
        <v>136</v>
      </c>
      <c r="I1271" t="s">
        <v>135</v>
      </c>
      <c r="J1271" t="s">
        <v>39</v>
      </c>
      <c r="K1271" t="s">
        <v>28</v>
      </c>
      <c r="L1271">
        <v>3.72</v>
      </c>
      <c r="M1271">
        <v>1</v>
      </c>
      <c r="N1271">
        <v>1.0975767883104532</v>
      </c>
      <c r="O1271">
        <v>3.688844026831072</v>
      </c>
      <c r="P1271">
        <v>0.27234300754259277</v>
      </c>
      <c r="Q1271">
        <v>2.4468562968171641</v>
      </c>
      <c r="R1271">
        <v>-1.4464769027578752</v>
      </c>
      <c r="S1271" s="2">
        <v>5.1508159825441749E-4</v>
      </c>
      <c r="T1271" s="2">
        <v>3.2600847417183518E-4</v>
      </c>
      <c r="U1271" s="2">
        <v>8.5357567412261361E-4</v>
      </c>
      <c r="V1271" s="2">
        <v>1.6300651342524254E-3</v>
      </c>
      <c r="W1271" s="2">
        <v>2.7366317696256815E-3</v>
      </c>
      <c r="X1271" s="2">
        <v>4.2309550160918195E-3</v>
      </c>
      <c r="Y1271" s="2">
        <v>6.0988894463325019E-3</v>
      </c>
      <c r="Z1271" s="2">
        <v>8.3883664021537387E-3</v>
      </c>
      <c r="AA1271" s="2">
        <v>1.1026360287196359E-2</v>
      </c>
      <c r="AB1271" s="2">
        <v>1.3880434466444588E-2</v>
      </c>
      <c r="AC1271" s="2">
        <v>1.6781183508326299E-2</v>
      </c>
      <c r="AD1271" s="2">
        <v>1.9510176880008272E-2</v>
      </c>
      <c r="AE1271" s="2">
        <v>2.1836685639741178E-2</v>
      </c>
      <c r="AF1271" s="2">
        <v>2.3556982787878978E-2</v>
      </c>
      <c r="AG1271" s="2">
        <v>2.4533899993811038E-2</v>
      </c>
      <c r="AH1271" s="2">
        <v>2.4723781582621958E-2</v>
      </c>
      <c r="AI1271" s="2">
        <v>2.4180144608318053E-2</v>
      </c>
      <c r="AJ1271" s="2">
        <v>2.3094799640060528E-2</v>
      </c>
      <c r="AK1271" s="2">
        <v>2.1481004799190021E-2</v>
      </c>
      <c r="AL1271" s="2">
        <v>1.9695928347623879E-2</v>
      </c>
      <c r="AM1271" s="2">
        <v>1.7624571422434069E-2</v>
      </c>
      <c r="AN1271" s="2">
        <v>1.5468645958372471E-2</v>
      </c>
      <c r="AO1271" s="2">
        <v>1.33079402590838E-2</v>
      </c>
      <c r="AP1271" s="2">
        <v>1.1143234720951646E-2</v>
      </c>
      <c r="AQ1271" s="2">
        <v>8.975442696455907E-3</v>
      </c>
      <c r="AR1271" s="2">
        <v>0.33560079111352414</v>
      </c>
    </row>
    <row r="1272" spans="1:44" x14ac:dyDescent="0.25">
      <c r="A1272" t="s">
        <v>131</v>
      </c>
      <c r="B1272" t="s">
        <v>237</v>
      </c>
      <c r="C1272" t="s">
        <v>46</v>
      </c>
      <c r="D1272" t="s">
        <v>238</v>
      </c>
      <c r="E1272" t="s">
        <v>148</v>
      </c>
      <c r="F1272" t="s">
        <v>238</v>
      </c>
      <c r="G1272" t="s">
        <v>28</v>
      </c>
      <c r="H1272" t="s">
        <v>54</v>
      </c>
      <c r="I1272" t="s">
        <v>135</v>
      </c>
      <c r="J1272" t="s">
        <v>39</v>
      </c>
      <c r="K1272" t="s">
        <v>28</v>
      </c>
      <c r="L1272">
        <v>3.72</v>
      </c>
      <c r="M1272">
        <v>1</v>
      </c>
      <c r="N1272">
        <v>1.0975767883104532</v>
      </c>
      <c r="O1272">
        <v>3.688844026831072</v>
      </c>
      <c r="P1272">
        <v>0.27234300754259277</v>
      </c>
      <c r="Q1272">
        <v>2.4468562968171641</v>
      </c>
      <c r="R1272">
        <v>-1.4464769027578752</v>
      </c>
      <c r="S1272" s="2">
        <v>5.1632984388850917E-2</v>
      </c>
      <c r="T1272" s="2">
        <v>3.2679852113903562E-2</v>
      </c>
      <c r="U1272" s="2">
        <v>8.5564422425564238E-2</v>
      </c>
      <c r="V1272" s="2">
        <v>0.16340154242530958</v>
      </c>
      <c r="W1272" s="2">
        <v>0.27432637065268023</v>
      </c>
      <c r="X1272" s="2">
        <v>0.42412082869226336</v>
      </c>
      <c r="Y1272" s="2">
        <v>0.61136694581791517</v>
      </c>
      <c r="Z1272" s="2">
        <v>0.84086947186265593</v>
      </c>
      <c r="AA1272" s="2">
        <v>1.1053081502116548</v>
      </c>
      <c r="AB1272" s="2">
        <v>1.391407222749196</v>
      </c>
      <c r="AC1272" s="2">
        <v>1.6821850927081103</v>
      </c>
      <c r="AD1272" s="2">
        <v>1.9557457724816933</v>
      </c>
      <c r="AE1272" s="2">
        <v>2.1889604531825917</v>
      </c>
      <c r="AF1272" s="2">
        <v>2.3614070637682021</v>
      </c>
      <c r="AG1272" s="2">
        <v>2.4593355298870265</v>
      </c>
      <c r="AH1272" s="2">
        <v>2.4783697045576356</v>
      </c>
      <c r="AI1272" s="2">
        <v>2.4238742624712399</v>
      </c>
      <c r="AJ1272" s="2">
        <v>2.3150767438014546</v>
      </c>
      <c r="AK1272" s="2">
        <v>2.1533061736474326</v>
      </c>
      <c r="AL1272" s="2">
        <v>1.9743659341416755</v>
      </c>
      <c r="AM1272" s="2">
        <v>1.7667282702366358</v>
      </c>
      <c r="AN1272" s="2">
        <v>1.5506132581555865</v>
      </c>
      <c r="AO1272" s="2">
        <v>1.3340190641126657</v>
      </c>
      <c r="AP1272" s="2">
        <v>1.1170239168669023</v>
      </c>
      <c r="AQ1272" s="2">
        <v>0.89971937300745608</v>
      </c>
      <c r="AR1272" s="2">
        <v>33.64140840436631</v>
      </c>
    </row>
    <row r="1273" spans="1:44" x14ac:dyDescent="0.25">
      <c r="A1273" t="s">
        <v>131</v>
      </c>
      <c r="B1273" t="s">
        <v>237</v>
      </c>
      <c r="C1273" t="s">
        <v>46</v>
      </c>
      <c r="D1273" t="s">
        <v>238</v>
      </c>
      <c r="E1273" t="s">
        <v>148</v>
      </c>
      <c r="F1273" t="s">
        <v>238</v>
      </c>
      <c r="G1273" t="s">
        <v>28</v>
      </c>
      <c r="H1273" t="s">
        <v>142</v>
      </c>
      <c r="I1273" t="s">
        <v>135</v>
      </c>
      <c r="J1273" t="s">
        <v>39</v>
      </c>
      <c r="K1273" t="s">
        <v>28</v>
      </c>
      <c r="L1273">
        <v>3.72</v>
      </c>
      <c r="M1273">
        <v>1</v>
      </c>
      <c r="N1273">
        <v>1.0975767883104532</v>
      </c>
      <c r="O1273">
        <v>3.688844026831072</v>
      </c>
      <c r="P1273">
        <v>0.27234300754259277</v>
      </c>
      <c r="Q1273">
        <v>2.4468562968171641</v>
      </c>
      <c r="R1273">
        <v>-1.4464769027578752</v>
      </c>
      <c r="S1273" s="2">
        <v>4.1384226181013679E-2</v>
      </c>
      <c r="T1273" s="2">
        <v>2.6193147799837273E-2</v>
      </c>
      <c r="U1273" s="2">
        <v>6.8580529532047699E-2</v>
      </c>
      <c r="V1273" s="2">
        <v>0.1309675679238036</v>
      </c>
      <c r="W1273" s="2">
        <v>0.2198746538648364</v>
      </c>
      <c r="X1273" s="2">
        <v>0.33993604108751813</v>
      </c>
      <c r="Y1273" s="2">
        <v>0.49001521536661885</v>
      </c>
      <c r="Z1273" s="2">
        <v>0.67396321991001906</v>
      </c>
      <c r="AA1273" s="2">
        <v>0.88591281386311216</v>
      </c>
      <c r="AB1273" s="2">
        <v>1.1152233770276225</v>
      </c>
      <c r="AC1273" s="2">
        <v>1.3482840315926761</v>
      </c>
      <c r="AD1273" s="2">
        <v>1.5675449784463813</v>
      </c>
      <c r="AE1273" s="2">
        <v>1.7544683029277672</v>
      </c>
      <c r="AF1273" s="2">
        <v>1.8926855611609417</v>
      </c>
      <c r="AG1273" s="2">
        <v>1.9711759649094529</v>
      </c>
      <c r="AH1273" s="2">
        <v>1.986431999381614</v>
      </c>
      <c r="AI1273" s="2">
        <v>1.9427534917797229</v>
      </c>
      <c r="AJ1273" s="2">
        <v>1.8555514604840768</v>
      </c>
      <c r="AK1273" s="2">
        <v>1.7258911291294674</v>
      </c>
      <c r="AL1273" s="2">
        <v>1.5824691783698228</v>
      </c>
      <c r="AM1273" s="2">
        <v>1.416046025641948</v>
      </c>
      <c r="AN1273" s="2">
        <v>1.2428282144513483</v>
      </c>
      <c r="AO1273" s="2">
        <v>1.0692263353063629</v>
      </c>
      <c r="AP1273" s="2">
        <v>0.89530308914708256</v>
      </c>
      <c r="AQ1273" s="2">
        <v>0.72113185926979317</v>
      </c>
      <c r="AR1273" s="2">
        <v>26.963842414554883</v>
      </c>
    </row>
    <row r="1274" spans="1:44" x14ac:dyDescent="0.25">
      <c r="A1274" t="s">
        <v>131</v>
      </c>
      <c r="B1274" t="s">
        <v>237</v>
      </c>
      <c r="C1274" t="s">
        <v>46</v>
      </c>
      <c r="D1274" t="s">
        <v>238</v>
      </c>
      <c r="E1274" t="s">
        <v>148</v>
      </c>
      <c r="F1274" t="s">
        <v>238</v>
      </c>
      <c r="G1274" t="s">
        <v>28</v>
      </c>
      <c r="H1274" t="s">
        <v>53</v>
      </c>
      <c r="I1274" t="s">
        <v>135</v>
      </c>
      <c r="J1274" t="s">
        <v>39</v>
      </c>
      <c r="K1274" t="s">
        <v>28</v>
      </c>
      <c r="L1274">
        <v>3.72</v>
      </c>
      <c r="M1274">
        <v>1</v>
      </c>
      <c r="N1274">
        <v>1.0975767883104532</v>
      </c>
      <c r="O1274">
        <v>3.688844026831072</v>
      </c>
      <c r="P1274">
        <v>0.27234300754259277</v>
      </c>
      <c r="Q1274">
        <v>2.4468562968171641</v>
      </c>
      <c r="R1274">
        <v>-1.4464769027578752</v>
      </c>
      <c r="S1274" s="2">
        <v>2.2461221674695608E-2</v>
      </c>
      <c r="T1274" s="2">
        <v>1.4216288508497613E-2</v>
      </c>
      <c r="U1274" s="2">
        <v>3.7221971232460578E-2</v>
      </c>
      <c r="V1274" s="2">
        <v>7.1082435188359189E-2</v>
      </c>
      <c r="W1274" s="2">
        <v>0.11933661196184994</v>
      </c>
      <c r="X1274" s="2">
        <v>0.18449973525391547</v>
      </c>
      <c r="Y1274" s="2">
        <v>0.26595496381113576</v>
      </c>
      <c r="Z1274" s="2">
        <v>0.36579244509193204</v>
      </c>
      <c r="AA1274" s="2">
        <v>0.48082774363343894</v>
      </c>
      <c r="AB1274" s="2">
        <v>0.60528568007179973</v>
      </c>
      <c r="AC1274" s="2">
        <v>0.73177897253879953</v>
      </c>
      <c r="AD1274" s="2">
        <v>0.85078249601519362</v>
      </c>
      <c r="AE1274" s="2">
        <v>0.95223482736924814</v>
      </c>
      <c r="AF1274" s="2">
        <v>1.0272520202210627</v>
      </c>
      <c r="AG1274" s="2">
        <v>1.0698525596202997</v>
      </c>
      <c r="AH1274" s="2">
        <v>1.078132747599595</v>
      </c>
      <c r="AI1274" s="2">
        <v>1.0544263084028112</v>
      </c>
      <c r="AJ1274" s="2">
        <v>1.0070975472741566</v>
      </c>
      <c r="AK1274" s="2">
        <v>0.93672461261466944</v>
      </c>
      <c r="AL1274" s="2">
        <v>0.85888258133107465</v>
      </c>
      <c r="AM1274" s="2">
        <v>0.76855668496485052</v>
      </c>
      <c r="AN1274" s="2">
        <v>0.67454299873232537</v>
      </c>
      <c r="AO1274" s="2">
        <v>0.58032086024014895</v>
      </c>
      <c r="AP1274" s="2">
        <v>0.48592430032190298</v>
      </c>
      <c r="AQ1274" s="2">
        <v>0.39139314764270083</v>
      </c>
      <c r="AR1274" s="2">
        <v>14.634581761316923</v>
      </c>
    </row>
    <row r="1275" spans="1:44" x14ac:dyDescent="0.25">
      <c r="A1275" t="s">
        <v>131</v>
      </c>
      <c r="B1275" t="s">
        <v>237</v>
      </c>
      <c r="C1275" t="s">
        <v>46</v>
      </c>
      <c r="D1275" t="s">
        <v>238</v>
      </c>
      <c r="E1275" t="s">
        <v>148</v>
      </c>
      <c r="F1275" t="s">
        <v>238</v>
      </c>
      <c r="G1275" t="s">
        <v>28</v>
      </c>
      <c r="H1275" t="s">
        <v>141</v>
      </c>
      <c r="I1275" t="s">
        <v>135</v>
      </c>
      <c r="J1275" t="s">
        <v>39</v>
      </c>
      <c r="K1275" t="s">
        <v>28</v>
      </c>
      <c r="L1275">
        <v>3.72</v>
      </c>
      <c r="M1275">
        <v>1</v>
      </c>
      <c r="N1275">
        <v>1.0975767883104532</v>
      </c>
      <c r="O1275">
        <v>3.688844026831072</v>
      </c>
      <c r="P1275">
        <v>0.27234300754259277</v>
      </c>
      <c r="Q1275">
        <v>2.4468562968171641</v>
      </c>
      <c r="R1275">
        <v>-1.4464769027578752</v>
      </c>
      <c r="S1275" s="2">
        <v>1.890486157620213E-2</v>
      </c>
      <c r="T1275" s="2">
        <v>1.1965376161318823E-2</v>
      </c>
      <c r="U1275" s="2">
        <v>3.1328492453987625E-2</v>
      </c>
      <c r="V1275" s="2">
        <v>5.9827716283535691E-2</v>
      </c>
      <c r="W1275" s="2">
        <v>0.10044164840122363</v>
      </c>
      <c r="X1275" s="2">
        <v>0.15528727717204538</v>
      </c>
      <c r="Y1275" s="2">
        <v>0.22384542787437256</v>
      </c>
      <c r="Z1275" s="2">
        <v>0.30787530795237616</v>
      </c>
      <c r="AA1275" s="2">
        <v>0.40469668422481153</v>
      </c>
      <c r="AB1275" s="2">
        <v>0.50944878072709832</v>
      </c>
      <c r="AC1275" s="2">
        <v>0.61591396855348857</v>
      </c>
      <c r="AD1275" s="2">
        <v>0.71607526747945704</v>
      </c>
      <c r="AE1275" s="2">
        <v>0.80146431303577959</v>
      </c>
      <c r="AF1275" s="2">
        <v>0.86460378368605939</v>
      </c>
      <c r="AG1275" s="2">
        <v>0.90045923768042735</v>
      </c>
      <c r="AH1275" s="2">
        <v>0.90742839589632285</v>
      </c>
      <c r="AI1275" s="2">
        <v>0.88747547623903145</v>
      </c>
      <c r="AJ1275" s="2">
        <v>0.84764043562241687</v>
      </c>
      <c r="AK1275" s="2">
        <v>0.78840988228400954</v>
      </c>
      <c r="AL1275" s="2">
        <v>0.72289283928699133</v>
      </c>
      <c r="AM1275" s="2">
        <v>0.64686854317874387</v>
      </c>
      <c r="AN1275" s="2">
        <v>0.56774035726637662</v>
      </c>
      <c r="AO1275" s="2">
        <v>0.48843672403546168</v>
      </c>
      <c r="AP1275" s="2">
        <v>0.40898628610426419</v>
      </c>
      <c r="AQ1275" s="2">
        <v>0.32942256593260605</v>
      </c>
      <c r="AR1275" s="2">
        <v>12.317439649108406</v>
      </c>
    </row>
    <row r="1276" spans="1:44" x14ac:dyDescent="0.25">
      <c r="A1276" t="s">
        <v>131</v>
      </c>
      <c r="B1276" t="s">
        <v>237</v>
      </c>
      <c r="C1276" t="s">
        <v>46</v>
      </c>
      <c r="D1276" t="s">
        <v>238</v>
      </c>
      <c r="E1276" t="s">
        <v>148</v>
      </c>
      <c r="F1276" t="s">
        <v>238</v>
      </c>
      <c r="G1276" t="s">
        <v>28</v>
      </c>
      <c r="H1276" t="s">
        <v>52</v>
      </c>
      <c r="I1276" t="s">
        <v>135</v>
      </c>
      <c r="J1276" t="s">
        <v>39</v>
      </c>
      <c r="K1276" t="s">
        <v>28</v>
      </c>
      <c r="L1276">
        <v>3.72</v>
      </c>
      <c r="M1276">
        <v>1</v>
      </c>
      <c r="N1276">
        <v>1.0975767883104532</v>
      </c>
      <c r="O1276">
        <v>3.688844026831072</v>
      </c>
      <c r="P1276">
        <v>0.27234300754259277</v>
      </c>
      <c r="Q1276">
        <v>2.4468562968171641</v>
      </c>
      <c r="R1276">
        <v>-1.4464769027578752</v>
      </c>
      <c r="S1276" s="2">
        <v>0.21373151381018921</v>
      </c>
      <c r="T1276" s="2">
        <v>0.13527620659684234</v>
      </c>
      <c r="U1276" s="2">
        <v>0.35418858215871857</v>
      </c>
      <c r="V1276" s="2">
        <v>0.67639047858373458</v>
      </c>
      <c r="W1276" s="2">
        <v>1.1355568765130839</v>
      </c>
      <c r="X1276" s="2">
        <v>1.7556216791993748</v>
      </c>
      <c r="Y1276" s="2">
        <v>2.5307152853901242</v>
      </c>
      <c r="Z1276" s="2">
        <v>3.4807266569078537</v>
      </c>
      <c r="AA1276" s="2">
        <v>4.5753540487287623</v>
      </c>
      <c r="AB1276" s="2">
        <v>5.7596432893550373</v>
      </c>
      <c r="AC1276" s="2">
        <v>6.963300119662942</v>
      </c>
      <c r="AD1276" s="2">
        <v>8.0956874666080534</v>
      </c>
      <c r="AE1276" s="2">
        <v>9.0610650704586035</v>
      </c>
      <c r="AF1276" s="2">
        <v>9.7748970437243443</v>
      </c>
      <c r="AG1276" s="2">
        <v>10.180265812476199</v>
      </c>
      <c r="AH1276" s="2">
        <v>10.259056589624484</v>
      </c>
      <c r="AI1276" s="2">
        <v>10.033476110968362</v>
      </c>
      <c r="AJ1276" s="2">
        <v>9.5831155780778143</v>
      </c>
      <c r="AK1276" s="2">
        <v>8.9134764073382424</v>
      </c>
      <c r="AL1276" s="2">
        <v>8.1727644627587619</v>
      </c>
      <c r="AM1276" s="2">
        <v>7.3132613223585459</v>
      </c>
      <c r="AN1276" s="2">
        <v>6.4186667286913162</v>
      </c>
      <c r="AO1276" s="2">
        <v>5.5220885912228068</v>
      </c>
      <c r="AP1276" s="2">
        <v>4.623850733015054</v>
      </c>
      <c r="AQ1276" s="2">
        <v>3.7243321468506623</v>
      </c>
      <c r="AR1276" s="2">
        <v>139.25650880107992</v>
      </c>
    </row>
    <row r="1277" spans="1:44" x14ac:dyDescent="0.25">
      <c r="A1277" t="s">
        <v>131</v>
      </c>
      <c r="B1277" t="s">
        <v>237</v>
      </c>
      <c r="C1277" t="s">
        <v>46</v>
      </c>
      <c r="D1277" t="s">
        <v>238</v>
      </c>
      <c r="E1277" t="s">
        <v>148</v>
      </c>
      <c r="F1277" t="s">
        <v>238</v>
      </c>
      <c r="G1277" t="s">
        <v>28</v>
      </c>
      <c r="H1277" t="s">
        <v>138</v>
      </c>
      <c r="I1277" t="s">
        <v>135</v>
      </c>
      <c r="J1277" t="s">
        <v>39</v>
      </c>
      <c r="K1277" t="s">
        <v>28</v>
      </c>
      <c r="L1277">
        <v>3.72</v>
      </c>
      <c r="M1277">
        <v>1</v>
      </c>
      <c r="N1277">
        <v>1.0975767883104532</v>
      </c>
      <c r="O1277">
        <v>3.688844026831072</v>
      </c>
      <c r="P1277">
        <v>0.27234300754259277</v>
      </c>
      <c r="Q1277">
        <v>2.4468562968171641</v>
      </c>
      <c r="R1277">
        <v>-1.4464769027578752</v>
      </c>
      <c r="S1277" s="2">
        <v>7.4139842439009729E-2</v>
      </c>
      <c r="T1277" s="2">
        <v>4.6925025065530111E-2</v>
      </c>
      <c r="U1277" s="2">
        <v>0.12286202070446285</v>
      </c>
      <c r="V1277" s="2">
        <v>0.2346284018461568</v>
      </c>
      <c r="W1277" s="2">
        <v>0.39390544896426272</v>
      </c>
      <c r="X1277" s="2">
        <v>0.60899542775870308</v>
      </c>
      <c r="Y1277" s="2">
        <v>0.87786227296104491</v>
      </c>
      <c r="Z1277" s="2">
        <v>1.2074051285931922</v>
      </c>
      <c r="AA1277" s="2">
        <v>1.5871128324889265</v>
      </c>
      <c r="AB1277" s="2">
        <v>1.9979227132453208</v>
      </c>
      <c r="AC1277" s="2">
        <v>2.4154508828577561</v>
      </c>
      <c r="AD1277" s="2">
        <v>2.8082568756932442</v>
      </c>
      <c r="AE1277" s="2">
        <v>3.1431300170830854</v>
      </c>
      <c r="AF1277" s="2">
        <v>3.3907462393349594</v>
      </c>
      <c r="AG1277" s="2">
        <v>3.5313617999941407</v>
      </c>
      <c r="AH1277" s="2">
        <v>3.5586929862066161</v>
      </c>
      <c r="AI1277" s="2">
        <v>3.4804429385335682</v>
      </c>
      <c r="AJ1277" s="2">
        <v>3.3242204968635742</v>
      </c>
      <c r="AK1277" s="2">
        <v>3.0919340093701337</v>
      </c>
      <c r="AL1277" s="2">
        <v>2.834993580301763</v>
      </c>
      <c r="AM1277" s="2">
        <v>2.5368464972203131</v>
      </c>
      <c r="AN1277" s="2">
        <v>2.2265267833002187</v>
      </c>
      <c r="AO1277" s="2">
        <v>1.9155190116282839</v>
      </c>
      <c r="AP1277" s="2">
        <v>1.6039355109405538</v>
      </c>
      <c r="AQ1277" s="2">
        <v>1.291907747414641</v>
      </c>
      <c r="AR1277" s="2">
        <v>48.305724490809453</v>
      </c>
    </row>
    <row r="1278" spans="1:44" x14ac:dyDescent="0.25">
      <c r="A1278" t="s">
        <v>131</v>
      </c>
      <c r="B1278" t="s">
        <v>237</v>
      </c>
      <c r="C1278" t="s">
        <v>46</v>
      </c>
      <c r="D1278" t="s">
        <v>238</v>
      </c>
      <c r="E1278" t="s">
        <v>134</v>
      </c>
      <c r="F1278" t="s">
        <v>238</v>
      </c>
      <c r="G1278" t="s">
        <v>28</v>
      </c>
      <c r="H1278" t="s">
        <v>55</v>
      </c>
      <c r="I1278" t="s">
        <v>135</v>
      </c>
      <c r="J1278" t="s">
        <v>39</v>
      </c>
      <c r="K1278" t="s">
        <v>28</v>
      </c>
      <c r="L1278">
        <v>3.72</v>
      </c>
      <c r="M1278">
        <v>1</v>
      </c>
      <c r="N1278">
        <v>1.0975767883104532</v>
      </c>
      <c r="O1278">
        <v>3.688844026831072</v>
      </c>
      <c r="P1278">
        <v>0.27234300754259277</v>
      </c>
      <c r="Q1278">
        <v>2.4468562968171641</v>
      </c>
      <c r="R1278">
        <v>-1.4464769027578752</v>
      </c>
      <c r="S1278" s="2">
        <v>3.7044873277372825E-2</v>
      </c>
      <c r="T1278" s="2">
        <v>6.7317373200130232E-2</v>
      </c>
      <c r="U1278" s="2">
        <v>0.10625422395504214</v>
      </c>
      <c r="V1278" s="2">
        <v>0.15131510309332885</v>
      </c>
      <c r="W1278" s="2">
        <v>0.19581309406508579</v>
      </c>
      <c r="X1278" s="2">
        <v>0.23202174536873169</v>
      </c>
      <c r="Y1278" s="2">
        <v>0.25342396673585904</v>
      </c>
      <c r="Z1278" s="2">
        <v>0.25660305284395074</v>
      </c>
      <c r="AA1278" s="2">
        <v>0.24209258896339042</v>
      </c>
      <c r="AB1278" s="2">
        <v>0.21375414140076113</v>
      </c>
      <c r="AC1278" s="2">
        <v>0.17731444703932184</v>
      </c>
      <c r="AD1278" s="2">
        <v>0.13867085481138106</v>
      </c>
      <c r="AE1278" s="2">
        <v>0.10256907700575467</v>
      </c>
      <c r="AF1278" s="2">
        <v>7.1962610098314395E-2</v>
      </c>
      <c r="AG1278" s="2">
        <v>1.3292883272744142E-2</v>
      </c>
      <c r="AH1278" s="2">
        <v>5.3188437737484526E-3</v>
      </c>
      <c r="AI1278" s="2">
        <v>3.2590498696967113E-3</v>
      </c>
      <c r="AJ1278" s="2">
        <v>2.2147947623986329E-3</v>
      </c>
      <c r="AK1278" s="2">
        <v>0</v>
      </c>
      <c r="AL1278" s="2">
        <v>0</v>
      </c>
      <c r="AM1278" s="2">
        <v>0</v>
      </c>
      <c r="AN1278" s="2">
        <v>0</v>
      </c>
      <c r="AO1278" s="2">
        <v>0</v>
      </c>
      <c r="AP1278" s="2">
        <v>0</v>
      </c>
      <c r="AQ1278" s="2">
        <v>0</v>
      </c>
      <c r="AR1278" s="2">
        <v>2.2702427235370131</v>
      </c>
    </row>
    <row r="1279" spans="1:44" x14ac:dyDescent="0.25">
      <c r="A1279" t="s">
        <v>131</v>
      </c>
      <c r="B1279" t="s">
        <v>237</v>
      </c>
      <c r="C1279" t="s">
        <v>46</v>
      </c>
      <c r="D1279" t="s">
        <v>238</v>
      </c>
      <c r="E1279" t="s">
        <v>134</v>
      </c>
      <c r="F1279" t="s">
        <v>238</v>
      </c>
      <c r="G1279" t="s">
        <v>28</v>
      </c>
      <c r="H1279" t="s">
        <v>136</v>
      </c>
      <c r="I1279" t="s">
        <v>135</v>
      </c>
      <c r="J1279" t="s">
        <v>39</v>
      </c>
      <c r="K1279" t="s">
        <v>28</v>
      </c>
      <c r="L1279">
        <v>3.72</v>
      </c>
      <c r="M1279">
        <v>1</v>
      </c>
      <c r="N1279">
        <v>1.0975767883104532</v>
      </c>
      <c r="O1279">
        <v>3.688844026831072</v>
      </c>
      <c r="P1279">
        <v>0.27234300754259277</v>
      </c>
      <c r="Q1279">
        <v>2.4468562968171641</v>
      </c>
      <c r="R1279">
        <v>-1.4464769027578752</v>
      </c>
      <c r="S1279" s="2">
        <v>4.6511896448256984E-2</v>
      </c>
      <c r="T1279" s="2">
        <v>8.4520701906830198E-2</v>
      </c>
      <c r="U1279" s="2">
        <v>0.13340808118799735</v>
      </c>
      <c r="V1279" s="2">
        <v>0.18998451832829072</v>
      </c>
      <c r="W1279" s="2">
        <v>0.24585421810394095</v>
      </c>
      <c r="X1279" s="2">
        <v>0.29131619140740761</v>
      </c>
      <c r="Y1279" s="2">
        <v>0.31818786934613413</v>
      </c>
      <c r="Z1279" s="2">
        <v>0.32217938857073813</v>
      </c>
      <c r="AA1279" s="2">
        <v>0.30396069503181244</v>
      </c>
      <c r="AB1279" s="2">
        <v>0.2683801997587334</v>
      </c>
      <c r="AC1279" s="2">
        <v>0.22262813906048182</v>
      </c>
      <c r="AD1279" s="2">
        <v>0.17410896215206734</v>
      </c>
      <c r="AE1279" s="2">
        <v>0.12878117446278084</v>
      </c>
      <c r="AF1279" s="2">
        <v>9.035305490121695E-2</v>
      </c>
      <c r="AG1279" s="2">
        <v>1.6689953442444998E-2</v>
      </c>
      <c r="AH1279" s="2">
        <v>6.678103849261945E-3</v>
      </c>
      <c r="AI1279" s="2">
        <v>4.0919181697303148E-3</v>
      </c>
      <c r="AJ1279" s="2">
        <v>2.7807978683449504E-3</v>
      </c>
      <c r="AK1279" s="2">
        <v>0</v>
      </c>
      <c r="AL1279" s="2">
        <v>0</v>
      </c>
      <c r="AM1279" s="2">
        <v>0</v>
      </c>
      <c r="AN1279" s="2">
        <v>0</v>
      </c>
      <c r="AO1279" s="2">
        <v>0</v>
      </c>
      <c r="AP1279" s="2">
        <v>0</v>
      </c>
      <c r="AQ1279" s="2">
        <v>0</v>
      </c>
      <c r="AR1279" s="2">
        <v>2.8504158639964712</v>
      </c>
    </row>
    <row r="1280" spans="1:44" x14ac:dyDescent="0.25">
      <c r="A1280" t="s">
        <v>131</v>
      </c>
      <c r="B1280" t="s">
        <v>237</v>
      </c>
      <c r="C1280" t="s">
        <v>46</v>
      </c>
      <c r="D1280" t="s">
        <v>238</v>
      </c>
      <c r="E1280" t="s">
        <v>134</v>
      </c>
      <c r="F1280" t="s">
        <v>238</v>
      </c>
      <c r="G1280" t="s">
        <v>28</v>
      </c>
      <c r="H1280" t="s">
        <v>54</v>
      </c>
      <c r="I1280" t="s">
        <v>135</v>
      </c>
      <c r="J1280" t="s">
        <v>39</v>
      </c>
      <c r="K1280" t="s">
        <v>28</v>
      </c>
      <c r="L1280">
        <v>3.72</v>
      </c>
      <c r="M1280">
        <v>1</v>
      </c>
      <c r="N1280">
        <v>1.0975767883104532</v>
      </c>
      <c r="O1280">
        <v>3.688844026831072</v>
      </c>
      <c r="P1280">
        <v>0.27234300754259277</v>
      </c>
      <c r="Q1280">
        <v>2.4468562968171641</v>
      </c>
      <c r="R1280">
        <v>-1.4464769027578752</v>
      </c>
      <c r="S1280" s="2">
        <v>4.1916838703648436</v>
      </c>
      <c r="T1280" s="2">
        <v>7.6492367012962754</v>
      </c>
      <c r="U1280" s="2">
        <v>12.093413631415221</v>
      </c>
      <c r="V1280" s="2">
        <v>17.25451899775517</v>
      </c>
      <c r="W1280" s="2">
        <v>22.369267204564384</v>
      </c>
      <c r="X1280" s="2">
        <v>26.550379214730295</v>
      </c>
      <c r="Y1280" s="2">
        <v>29.043894534932257</v>
      </c>
      <c r="Z1280" s="2">
        <v>29.448214301330221</v>
      </c>
      <c r="AA1280" s="2">
        <v>27.816045279925991</v>
      </c>
      <c r="AB1280" s="2">
        <v>24.585103294631807</v>
      </c>
      <c r="AC1280" s="2">
        <v>20.411402651541888</v>
      </c>
      <c r="AD1280" s="2">
        <v>15.974070813062742</v>
      </c>
      <c r="AE1280" s="2">
        <v>11.821807228502841</v>
      </c>
      <c r="AF1280" s="2">
        <v>8.2976228304497042</v>
      </c>
      <c r="AG1280" s="2">
        <v>1.6091701280033082</v>
      </c>
      <c r="AH1280" s="2">
        <v>0.66942875257941648</v>
      </c>
      <c r="AI1280" s="2">
        <v>0.41018344995074485</v>
      </c>
      <c r="AJ1280" s="2">
        <v>0.27875368371029385</v>
      </c>
      <c r="AK1280" s="2">
        <v>0</v>
      </c>
      <c r="AL1280" s="2">
        <v>0</v>
      </c>
      <c r="AM1280" s="2">
        <v>0</v>
      </c>
      <c r="AN1280" s="2">
        <v>0</v>
      </c>
      <c r="AO1280" s="2">
        <v>0</v>
      </c>
      <c r="AP1280" s="2">
        <v>0</v>
      </c>
      <c r="AQ1280" s="2">
        <v>0</v>
      </c>
      <c r="AR1280" s="2">
        <v>260.4741965687474</v>
      </c>
    </row>
    <row r="1281" spans="1:44" x14ac:dyDescent="0.25">
      <c r="A1281" t="s">
        <v>131</v>
      </c>
      <c r="B1281" t="s">
        <v>237</v>
      </c>
      <c r="C1281" t="s">
        <v>46</v>
      </c>
      <c r="D1281" t="s">
        <v>238</v>
      </c>
      <c r="E1281" t="s">
        <v>134</v>
      </c>
      <c r="F1281" t="s">
        <v>238</v>
      </c>
      <c r="G1281" t="s">
        <v>28</v>
      </c>
      <c r="H1281" t="s">
        <v>142</v>
      </c>
      <c r="I1281" t="s">
        <v>135</v>
      </c>
      <c r="J1281" t="s">
        <v>39</v>
      </c>
      <c r="K1281" t="s">
        <v>28</v>
      </c>
      <c r="L1281">
        <v>3.72</v>
      </c>
      <c r="M1281">
        <v>1</v>
      </c>
      <c r="N1281">
        <v>1.0975767883104532</v>
      </c>
      <c r="O1281">
        <v>3.688844026831072</v>
      </c>
      <c r="P1281">
        <v>0.27234300754259277</v>
      </c>
      <c r="Q1281">
        <v>2.4468562968171641</v>
      </c>
      <c r="R1281">
        <v>-1.4464769027578752</v>
      </c>
      <c r="S1281" s="2">
        <v>3.3596662177044863</v>
      </c>
      <c r="T1281" s="2">
        <v>6.1309208736520393</v>
      </c>
      <c r="U1281" s="2">
        <v>9.6929621819634555</v>
      </c>
      <c r="V1281" s="2">
        <v>13.829627035889192</v>
      </c>
      <c r="W1281" s="2">
        <v>17.929136277025222</v>
      </c>
      <c r="X1281" s="2">
        <v>21.280329069092872</v>
      </c>
      <c r="Y1281" s="2">
        <v>23.278900393576361</v>
      </c>
      <c r="Z1281" s="2">
        <v>23.602965733980756</v>
      </c>
      <c r="AA1281" s="2">
        <v>22.29476996054369</v>
      </c>
      <c r="AB1281" s="2">
        <v>19.705145605496348</v>
      </c>
      <c r="AC1281" s="2">
        <v>16.359893080004678</v>
      </c>
      <c r="AD1281" s="2">
        <v>12.803338164238733</v>
      </c>
      <c r="AE1281" s="2">
        <v>9.4752676027447418</v>
      </c>
      <c r="AF1281" s="2">
        <v>6.6506072435011463</v>
      </c>
      <c r="AG1281" s="2">
        <v>1.2897619870176678</v>
      </c>
      <c r="AH1281" s="2">
        <v>0.53655219113777342</v>
      </c>
      <c r="AI1281" s="2">
        <v>0.32876512697057186</v>
      </c>
      <c r="AJ1281" s="2">
        <v>0.22342317865222042</v>
      </c>
      <c r="AK1281" s="2">
        <v>0</v>
      </c>
      <c r="AL1281" s="2">
        <v>0</v>
      </c>
      <c r="AM1281" s="2">
        <v>0</v>
      </c>
      <c r="AN1281" s="2">
        <v>0</v>
      </c>
      <c r="AO1281" s="2">
        <v>0</v>
      </c>
      <c r="AP1281" s="2">
        <v>0</v>
      </c>
      <c r="AQ1281" s="2">
        <v>0</v>
      </c>
      <c r="AR1281" s="2">
        <v>208.77203192319197</v>
      </c>
    </row>
    <row r="1282" spans="1:44" x14ac:dyDescent="0.25">
      <c r="A1282" t="s">
        <v>131</v>
      </c>
      <c r="B1282" t="s">
        <v>237</v>
      </c>
      <c r="C1282" t="s">
        <v>46</v>
      </c>
      <c r="D1282" t="s">
        <v>238</v>
      </c>
      <c r="E1282" t="s">
        <v>134</v>
      </c>
      <c r="F1282" t="s">
        <v>238</v>
      </c>
      <c r="G1282" t="s">
        <v>28</v>
      </c>
      <c r="H1282" t="s">
        <v>53</v>
      </c>
      <c r="I1282" t="s">
        <v>135</v>
      </c>
      <c r="J1282" t="s">
        <v>39</v>
      </c>
      <c r="K1282" t="s">
        <v>28</v>
      </c>
      <c r="L1282">
        <v>3.72</v>
      </c>
      <c r="M1282">
        <v>1</v>
      </c>
      <c r="N1282">
        <v>1.0975767883104532</v>
      </c>
      <c r="O1282">
        <v>3.688844026831072</v>
      </c>
      <c r="P1282">
        <v>0.27234300754259277</v>
      </c>
      <c r="Q1282">
        <v>2.4468562968171641</v>
      </c>
      <c r="R1282">
        <v>-1.4464769027578752</v>
      </c>
      <c r="S1282" s="2">
        <v>1.8234533935412152</v>
      </c>
      <c r="T1282" s="2">
        <v>3.3275473657713293</v>
      </c>
      <c r="U1282" s="2">
        <v>5.2608395116834732</v>
      </c>
      <c r="V1282" s="2">
        <v>7.5060076554960959</v>
      </c>
      <c r="W1282" s="2">
        <v>9.7310096506974499</v>
      </c>
      <c r="X1282" s="2">
        <v>11.549864106209947</v>
      </c>
      <c r="Y1282" s="2">
        <v>12.634585452830375</v>
      </c>
      <c r="Z1282" s="2">
        <v>12.810471391015401</v>
      </c>
      <c r="AA1282" s="2">
        <v>12.100450255606317</v>
      </c>
      <c r="AB1282" s="2">
        <v>10.694935834761724</v>
      </c>
      <c r="AC1282" s="2">
        <v>8.8793054493039953</v>
      </c>
      <c r="AD1282" s="2">
        <v>6.9489910340523009</v>
      </c>
      <c r="AE1282" s="2">
        <v>5.1426861317018409</v>
      </c>
      <c r="AF1282" s="2">
        <v>3.6096063005800185</v>
      </c>
      <c r="AG1282" s="2">
        <v>0.70001622771169691</v>
      </c>
      <c r="AH1282" s="2">
        <v>0.2912128319731212</v>
      </c>
      <c r="AI1282" s="2">
        <v>0.17843673972532365</v>
      </c>
      <c r="AJ1282" s="2">
        <v>0.12126256803793939</v>
      </c>
      <c r="AK1282" s="2">
        <v>0</v>
      </c>
      <c r="AL1282" s="2">
        <v>0</v>
      </c>
      <c r="AM1282" s="2">
        <v>0</v>
      </c>
      <c r="AN1282" s="2">
        <v>0</v>
      </c>
      <c r="AO1282" s="2">
        <v>0</v>
      </c>
      <c r="AP1282" s="2">
        <v>0</v>
      </c>
      <c r="AQ1282" s="2">
        <v>0</v>
      </c>
      <c r="AR1282" s="2">
        <v>113.31068190069955</v>
      </c>
    </row>
    <row r="1283" spans="1:44" x14ac:dyDescent="0.25">
      <c r="A1283" t="s">
        <v>131</v>
      </c>
      <c r="B1283" t="s">
        <v>237</v>
      </c>
      <c r="C1283" t="s">
        <v>46</v>
      </c>
      <c r="D1283" t="s">
        <v>238</v>
      </c>
      <c r="E1283" t="s">
        <v>134</v>
      </c>
      <c r="F1283" t="s">
        <v>238</v>
      </c>
      <c r="G1283" t="s">
        <v>28</v>
      </c>
      <c r="H1283" t="s">
        <v>141</v>
      </c>
      <c r="I1283" t="s">
        <v>135</v>
      </c>
      <c r="J1283" t="s">
        <v>39</v>
      </c>
      <c r="K1283" t="s">
        <v>28</v>
      </c>
      <c r="L1283">
        <v>3.72</v>
      </c>
      <c r="M1283">
        <v>1</v>
      </c>
      <c r="N1283">
        <v>1.0975767883104532</v>
      </c>
      <c r="O1283">
        <v>3.688844026831072</v>
      </c>
      <c r="P1283">
        <v>0.27234300754259277</v>
      </c>
      <c r="Q1283">
        <v>2.4468562968171641</v>
      </c>
      <c r="R1283">
        <v>-1.4464769027578752</v>
      </c>
      <c r="S1283" s="2">
        <v>1.5347399395638566</v>
      </c>
      <c r="T1283" s="2">
        <v>2.8006856995242009</v>
      </c>
      <c r="U1283" s="2">
        <v>4.4278732556669231</v>
      </c>
      <c r="V1283" s="2">
        <v>6.3175564433758806</v>
      </c>
      <c r="W1283" s="2">
        <v>8.190266456003684</v>
      </c>
      <c r="X1283" s="2">
        <v>9.7211356227267061</v>
      </c>
      <c r="Y1283" s="2">
        <v>10.634109422798897</v>
      </c>
      <c r="Z1283" s="2">
        <v>10.782146754104627</v>
      </c>
      <c r="AA1283" s="2">
        <v>10.184545631801978</v>
      </c>
      <c r="AB1283" s="2">
        <v>9.0015709942577828</v>
      </c>
      <c r="AC1283" s="2">
        <v>7.47341541983086</v>
      </c>
      <c r="AD1283" s="2">
        <v>5.848734120327352</v>
      </c>
      <c r="AE1283" s="2">
        <v>4.3284274941823817</v>
      </c>
      <c r="AF1283" s="2">
        <v>3.0380853029881818</v>
      </c>
      <c r="AG1283" s="2">
        <v>0.58918032499067285</v>
      </c>
      <c r="AH1283" s="2">
        <v>0.24510413357737698</v>
      </c>
      <c r="AI1283" s="2">
        <v>0.15018425593548074</v>
      </c>
      <c r="AJ1283" s="2">
        <v>0.10206266143193229</v>
      </c>
      <c r="AK1283" s="2">
        <v>0</v>
      </c>
      <c r="AL1283" s="2">
        <v>0</v>
      </c>
      <c r="AM1283" s="2">
        <v>0</v>
      </c>
      <c r="AN1283" s="2">
        <v>0</v>
      </c>
      <c r="AO1283" s="2">
        <v>0</v>
      </c>
      <c r="AP1283" s="2">
        <v>0</v>
      </c>
      <c r="AQ1283" s="2">
        <v>0</v>
      </c>
      <c r="AR1283" s="2">
        <v>95.369823933088767</v>
      </c>
    </row>
    <row r="1284" spans="1:44" x14ac:dyDescent="0.25">
      <c r="A1284" t="s">
        <v>131</v>
      </c>
      <c r="B1284" t="s">
        <v>237</v>
      </c>
      <c r="C1284" t="s">
        <v>46</v>
      </c>
      <c r="D1284" t="s">
        <v>238</v>
      </c>
      <c r="E1284" t="s">
        <v>134</v>
      </c>
      <c r="F1284" t="s">
        <v>238</v>
      </c>
      <c r="G1284" t="s">
        <v>28</v>
      </c>
      <c r="H1284" t="s">
        <v>52</v>
      </c>
      <c r="I1284" t="s">
        <v>135</v>
      </c>
      <c r="J1284" t="s">
        <v>39</v>
      </c>
      <c r="K1284" t="s">
        <v>28</v>
      </c>
      <c r="L1284">
        <v>3.72</v>
      </c>
      <c r="M1284">
        <v>1</v>
      </c>
      <c r="N1284">
        <v>1.0975767883104532</v>
      </c>
      <c r="O1284">
        <v>3.688844026831072</v>
      </c>
      <c r="P1284">
        <v>0.27234300754259277</v>
      </c>
      <c r="Q1284">
        <v>2.4468562968171641</v>
      </c>
      <c r="R1284">
        <v>-1.4464769027578752</v>
      </c>
      <c r="S1284" s="2">
        <v>19.299967367808158</v>
      </c>
      <c r="T1284" s="2">
        <v>35.071603466454519</v>
      </c>
      <c r="U1284" s="2">
        <v>55.357270078088575</v>
      </c>
      <c r="V1284" s="2">
        <v>78.833487432701077</v>
      </c>
      <c r="W1284" s="2">
        <v>102.01644630686447</v>
      </c>
      <c r="X1284" s="2">
        <v>120.88075131771623</v>
      </c>
      <c r="Y1284" s="2">
        <v>132.03107084752992</v>
      </c>
      <c r="Z1284" s="2">
        <v>133.68733938666671</v>
      </c>
      <c r="AA1284" s="2">
        <v>126.12754893227125</v>
      </c>
      <c r="AB1284" s="2">
        <v>111.36353262378096</v>
      </c>
      <c r="AC1284" s="2">
        <v>92.378856746964004</v>
      </c>
      <c r="AD1284" s="2">
        <v>72.24597456945385</v>
      </c>
      <c r="AE1284" s="2">
        <v>53.43734946358699</v>
      </c>
      <c r="AF1284" s="2">
        <v>37.491720276665141</v>
      </c>
      <c r="AG1284" s="2">
        <v>6.9254444863965334</v>
      </c>
      <c r="AH1284" s="2">
        <v>2.7710585078587893</v>
      </c>
      <c r="AI1284" s="2">
        <v>1.6979287704467672</v>
      </c>
      <c r="AJ1284" s="2">
        <v>1.153883462378994</v>
      </c>
      <c r="AK1284" s="2">
        <v>0</v>
      </c>
      <c r="AL1284" s="2">
        <v>0</v>
      </c>
      <c r="AM1284" s="2">
        <v>0</v>
      </c>
      <c r="AN1284" s="2">
        <v>0</v>
      </c>
      <c r="AO1284" s="2">
        <v>0</v>
      </c>
      <c r="AP1284" s="2">
        <v>0</v>
      </c>
      <c r="AQ1284" s="2">
        <v>0</v>
      </c>
      <c r="AR1284" s="2">
        <v>1182.7712340436328</v>
      </c>
    </row>
    <row r="1285" spans="1:44" x14ac:dyDescent="0.25">
      <c r="A1285" t="s">
        <v>131</v>
      </c>
      <c r="B1285" t="s">
        <v>237</v>
      </c>
      <c r="C1285" t="s">
        <v>46</v>
      </c>
      <c r="D1285" t="s">
        <v>238</v>
      </c>
      <c r="E1285" t="s">
        <v>134</v>
      </c>
      <c r="F1285" t="s">
        <v>238</v>
      </c>
      <c r="G1285" t="s">
        <v>28</v>
      </c>
      <c r="H1285" t="s">
        <v>138</v>
      </c>
      <c r="I1285" t="s">
        <v>135</v>
      </c>
      <c r="J1285" t="s">
        <v>39</v>
      </c>
      <c r="K1285" t="s">
        <v>28</v>
      </c>
      <c r="L1285">
        <v>3.72</v>
      </c>
      <c r="M1285">
        <v>1</v>
      </c>
      <c r="N1285">
        <v>1.0975767883104532</v>
      </c>
      <c r="O1285">
        <v>3.688844026831072</v>
      </c>
      <c r="P1285">
        <v>0.27234300754259277</v>
      </c>
      <c r="Q1285">
        <v>2.4468562968171641</v>
      </c>
      <c r="R1285">
        <v>-1.4464769027578752</v>
      </c>
      <c r="S1285" s="2">
        <v>6.6948318206274307</v>
      </c>
      <c r="T1285" s="2">
        <v>12.165745278890201</v>
      </c>
      <c r="U1285" s="2">
        <v>19.202499473652892</v>
      </c>
      <c r="V1285" s="2">
        <v>27.34600168681105</v>
      </c>
      <c r="W1285" s="2">
        <v>35.387777499651321</v>
      </c>
      <c r="X1285" s="2">
        <v>41.931485426915799</v>
      </c>
      <c r="Y1285" s="2">
        <v>45.799342432874965</v>
      </c>
      <c r="Z1285" s="2">
        <v>46.373873938965083</v>
      </c>
      <c r="AA1285" s="2">
        <v>43.751510660994953</v>
      </c>
      <c r="AB1285" s="2">
        <v>38.630123443148655</v>
      </c>
      <c r="AC1285" s="2">
        <v>32.044660901050776</v>
      </c>
      <c r="AD1285" s="2">
        <v>25.060905038967924</v>
      </c>
      <c r="AE1285" s="2">
        <v>18.536511527762219</v>
      </c>
      <c r="AF1285" s="2">
        <v>13.005242813878704</v>
      </c>
      <c r="AG1285" s="2">
        <v>2.4023194047908554</v>
      </c>
      <c r="AH1285" s="2">
        <v>0.96123326644465046</v>
      </c>
      <c r="AI1285" s="2">
        <v>0.58898273478463326</v>
      </c>
      <c r="AJ1285" s="2">
        <v>0.40026263122681954</v>
      </c>
      <c r="AK1285" s="2">
        <v>0</v>
      </c>
      <c r="AL1285" s="2">
        <v>0</v>
      </c>
      <c r="AM1285" s="2">
        <v>0</v>
      </c>
      <c r="AN1285" s="2">
        <v>0</v>
      </c>
      <c r="AO1285" s="2">
        <v>0</v>
      </c>
      <c r="AP1285" s="2">
        <v>0</v>
      </c>
      <c r="AQ1285" s="2">
        <v>0</v>
      </c>
      <c r="AR1285" s="2">
        <v>410.28330998143895</v>
      </c>
    </row>
    <row r="1286" spans="1:44" x14ac:dyDescent="0.25">
      <c r="A1286" t="s">
        <v>131</v>
      </c>
      <c r="B1286" t="s">
        <v>169</v>
      </c>
      <c r="C1286" t="s">
        <v>44</v>
      </c>
      <c r="D1286" t="s">
        <v>170</v>
      </c>
      <c r="E1286" t="s">
        <v>134</v>
      </c>
      <c r="F1286" t="s">
        <v>170</v>
      </c>
      <c r="G1286" t="s">
        <v>28</v>
      </c>
      <c r="H1286" t="s">
        <v>54</v>
      </c>
      <c r="I1286" t="s">
        <v>135</v>
      </c>
      <c r="J1286" t="s">
        <v>39</v>
      </c>
      <c r="K1286" t="s">
        <v>28</v>
      </c>
      <c r="L1286">
        <v>0.18512678951486083</v>
      </c>
      <c r="M1286">
        <v>0</v>
      </c>
      <c r="N1286">
        <v>6.2430348562854286E-3</v>
      </c>
      <c r="O1286">
        <v>3.7403155854968446</v>
      </c>
      <c r="P1286">
        <v>434.00531046353086</v>
      </c>
      <c r="Q1286">
        <v>436.17982375280542</v>
      </c>
      <c r="R1286">
        <v>-1.4464769027578743</v>
      </c>
      <c r="S1286" s="2">
        <v>0</v>
      </c>
      <c r="T1286" s="2">
        <v>0</v>
      </c>
      <c r="U1286" s="2">
        <v>0</v>
      </c>
      <c r="V1286" s="2">
        <v>0</v>
      </c>
      <c r="W1286" s="2">
        <v>0</v>
      </c>
      <c r="X1286" s="2">
        <v>0</v>
      </c>
      <c r="Y1286" s="2">
        <v>0</v>
      </c>
      <c r="Z1286" s="2">
        <v>0</v>
      </c>
      <c r="AA1286" s="2">
        <v>0</v>
      </c>
      <c r="AB1286" s="2">
        <v>0</v>
      </c>
      <c r="AC1286" s="2">
        <v>0</v>
      </c>
      <c r="AD1286" s="2">
        <v>0</v>
      </c>
      <c r="AE1286" s="2">
        <v>0</v>
      </c>
      <c r="AF1286" s="2">
        <v>0</v>
      </c>
      <c r="AG1286" s="2">
        <v>0</v>
      </c>
      <c r="AH1286" s="2">
        <v>0</v>
      </c>
      <c r="AI1286" s="2">
        <v>0</v>
      </c>
      <c r="AJ1286" s="2">
        <v>0</v>
      </c>
      <c r="AK1286" s="2">
        <v>0</v>
      </c>
      <c r="AL1286" s="2">
        <v>0</v>
      </c>
      <c r="AM1286" s="2">
        <v>0</v>
      </c>
      <c r="AN1286" s="2">
        <v>0</v>
      </c>
      <c r="AO1286" s="2">
        <v>0</v>
      </c>
      <c r="AP1286" s="2">
        <v>0</v>
      </c>
      <c r="AQ1286" s="2">
        <v>0</v>
      </c>
      <c r="AR1286" s="2">
        <v>0</v>
      </c>
    </row>
    <row r="1287" spans="1:44" x14ac:dyDescent="0.25">
      <c r="A1287" t="s">
        <v>131</v>
      </c>
      <c r="B1287" t="s">
        <v>169</v>
      </c>
      <c r="C1287" t="s">
        <v>44</v>
      </c>
      <c r="D1287" t="s">
        <v>170</v>
      </c>
      <c r="E1287" t="s">
        <v>134</v>
      </c>
      <c r="F1287" t="s">
        <v>170</v>
      </c>
      <c r="G1287" t="s">
        <v>28</v>
      </c>
      <c r="H1287" t="s">
        <v>142</v>
      </c>
      <c r="I1287" t="s">
        <v>135</v>
      </c>
      <c r="J1287" t="s">
        <v>39</v>
      </c>
      <c r="K1287" t="s">
        <v>28</v>
      </c>
      <c r="L1287">
        <v>0.18512678951486083</v>
      </c>
      <c r="M1287">
        <v>0</v>
      </c>
      <c r="N1287">
        <v>6.2430348562854286E-3</v>
      </c>
      <c r="O1287">
        <v>3.7403155854968446</v>
      </c>
      <c r="P1287">
        <v>434.00531046353086</v>
      </c>
      <c r="Q1287">
        <v>436.17982375280542</v>
      </c>
      <c r="R1287">
        <v>-1.4464769027578743</v>
      </c>
      <c r="S1287" s="2">
        <v>0</v>
      </c>
      <c r="T1287" s="2">
        <v>0</v>
      </c>
      <c r="U1287" s="2">
        <v>0</v>
      </c>
      <c r="V1287" s="2">
        <v>0</v>
      </c>
      <c r="W1287" s="2">
        <v>0</v>
      </c>
      <c r="X1287" s="2">
        <v>0</v>
      </c>
      <c r="Y1287" s="2">
        <v>0</v>
      </c>
      <c r="Z1287" s="2">
        <v>0</v>
      </c>
      <c r="AA1287" s="2">
        <v>0</v>
      </c>
      <c r="AB1287" s="2">
        <v>0</v>
      </c>
      <c r="AC1287" s="2">
        <v>0</v>
      </c>
      <c r="AD1287" s="2">
        <v>0</v>
      </c>
      <c r="AE1287" s="2">
        <v>0</v>
      </c>
      <c r="AF1287" s="2">
        <v>0</v>
      </c>
      <c r="AG1287" s="2">
        <v>0</v>
      </c>
      <c r="AH1287" s="2">
        <v>0</v>
      </c>
      <c r="AI1287" s="2">
        <v>0</v>
      </c>
      <c r="AJ1287" s="2">
        <v>0</v>
      </c>
      <c r="AK1287" s="2">
        <v>0</v>
      </c>
      <c r="AL1287" s="2">
        <v>0</v>
      </c>
      <c r="AM1287" s="2">
        <v>0</v>
      </c>
      <c r="AN1287" s="2">
        <v>0</v>
      </c>
      <c r="AO1287" s="2">
        <v>0</v>
      </c>
      <c r="AP1287" s="2">
        <v>0</v>
      </c>
      <c r="AQ1287" s="2">
        <v>0</v>
      </c>
      <c r="AR1287" s="2">
        <v>0</v>
      </c>
    </row>
    <row r="1288" spans="1:44" x14ac:dyDescent="0.25">
      <c r="A1288" t="s">
        <v>131</v>
      </c>
      <c r="B1288" t="s">
        <v>169</v>
      </c>
      <c r="C1288" t="s">
        <v>44</v>
      </c>
      <c r="D1288" t="s">
        <v>170</v>
      </c>
      <c r="E1288" t="s">
        <v>134</v>
      </c>
      <c r="F1288" t="s">
        <v>170</v>
      </c>
      <c r="G1288" t="s">
        <v>28</v>
      </c>
      <c r="H1288" t="s">
        <v>53</v>
      </c>
      <c r="I1288" t="s">
        <v>135</v>
      </c>
      <c r="J1288" t="s">
        <v>39</v>
      </c>
      <c r="K1288" t="s">
        <v>28</v>
      </c>
      <c r="L1288">
        <v>0.18512678951486083</v>
      </c>
      <c r="M1288">
        <v>0</v>
      </c>
      <c r="N1288">
        <v>6.2430348562854286E-3</v>
      </c>
      <c r="O1288">
        <v>3.7403155854968446</v>
      </c>
      <c r="P1288">
        <v>434.00531046353086</v>
      </c>
      <c r="Q1288">
        <v>436.17982375280542</v>
      </c>
      <c r="R1288">
        <v>-1.4464769027578743</v>
      </c>
      <c r="S1288" s="2">
        <v>0.24853516753381247</v>
      </c>
      <c r="T1288" s="2">
        <v>0.24837095763765224</v>
      </c>
      <c r="U1288" s="2">
        <v>0.24817905362348833</v>
      </c>
      <c r="V1288" s="2">
        <v>0.22315659402387727</v>
      </c>
      <c r="W1288" s="2">
        <v>0.17833615029488928</v>
      </c>
      <c r="X1288" s="2">
        <v>0.14249768786516978</v>
      </c>
      <c r="Y1288" s="2">
        <v>0.11384554682415256</v>
      </c>
      <c r="Z1288" s="2">
        <v>9.0942296465796463E-2</v>
      </c>
      <c r="AA1288" s="2">
        <v>7.2637176414307517E-2</v>
      </c>
      <c r="AB1288" s="2">
        <v>5.8009152557216177E-2</v>
      </c>
      <c r="AC1288" s="2">
        <v>4.6321214200866691E-2</v>
      </c>
      <c r="AD1288" s="2">
        <v>1.026561352360697E-2</v>
      </c>
      <c r="AE1288" s="2">
        <v>0</v>
      </c>
      <c r="AF1288" s="2">
        <v>0</v>
      </c>
      <c r="AG1288" s="2">
        <v>0</v>
      </c>
      <c r="AH1288" s="2">
        <v>0</v>
      </c>
      <c r="AI1288" s="2">
        <v>0</v>
      </c>
      <c r="AJ1288" s="2">
        <v>0</v>
      </c>
      <c r="AK1288" s="2">
        <v>0</v>
      </c>
      <c r="AL1288" s="2">
        <v>0</v>
      </c>
      <c r="AM1288" s="2">
        <v>0</v>
      </c>
      <c r="AN1288" s="2">
        <v>0</v>
      </c>
      <c r="AO1288" s="2">
        <v>0</v>
      </c>
      <c r="AP1288" s="2">
        <v>0</v>
      </c>
      <c r="AQ1288" s="2">
        <v>0</v>
      </c>
      <c r="AR1288" s="2">
        <v>1.6810966109648358</v>
      </c>
    </row>
    <row r="1289" spans="1:44" x14ac:dyDescent="0.25">
      <c r="A1289" t="s">
        <v>131</v>
      </c>
      <c r="B1289" t="s">
        <v>169</v>
      </c>
      <c r="C1289" t="s">
        <v>44</v>
      </c>
      <c r="D1289" t="s">
        <v>170</v>
      </c>
      <c r="E1289" t="s">
        <v>134</v>
      </c>
      <c r="F1289" t="s">
        <v>170</v>
      </c>
      <c r="G1289" t="s">
        <v>28</v>
      </c>
      <c r="H1289" t="s">
        <v>141</v>
      </c>
      <c r="I1289" t="s">
        <v>135</v>
      </c>
      <c r="J1289" t="s">
        <v>39</v>
      </c>
      <c r="K1289" t="s">
        <v>28</v>
      </c>
      <c r="L1289">
        <v>0.18512678951486083</v>
      </c>
      <c r="M1289">
        <v>0</v>
      </c>
      <c r="N1289">
        <v>6.2430348562854286E-3</v>
      </c>
      <c r="O1289">
        <v>3.7403155854968446</v>
      </c>
      <c r="P1289">
        <v>434.00531046353086</v>
      </c>
      <c r="Q1289">
        <v>436.17982375280542</v>
      </c>
      <c r="R1289">
        <v>-1.4464769027578743</v>
      </c>
      <c r="S1289" s="2">
        <v>0.20918376600762553</v>
      </c>
      <c r="T1289" s="2">
        <v>0.20904555601169064</v>
      </c>
      <c r="U1289" s="2">
        <v>0.20888403679976933</v>
      </c>
      <c r="V1289" s="2">
        <v>0.18782346663676333</v>
      </c>
      <c r="W1289" s="2">
        <v>0.1500995931648651</v>
      </c>
      <c r="X1289" s="2">
        <v>0.11993555395318459</v>
      </c>
      <c r="Y1289" s="2">
        <v>9.5820001910328412E-2</v>
      </c>
      <c r="Z1289" s="2">
        <v>7.6543099525378674E-2</v>
      </c>
      <c r="AA1289" s="2">
        <v>6.1136290148708798E-2</v>
      </c>
      <c r="AB1289" s="2">
        <v>4.8824370068990285E-2</v>
      </c>
      <c r="AC1289" s="2">
        <v>3.8987021952396124E-2</v>
      </c>
      <c r="AD1289" s="2">
        <v>8.6402247157020967E-3</v>
      </c>
      <c r="AE1289" s="2">
        <v>0</v>
      </c>
      <c r="AF1289" s="2">
        <v>0</v>
      </c>
      <c r="AG1289" s="2">
        <v>0</v>
      </c>
      <c r="AH1289" s="2">
        <v>0</v>
      </c>
      <c r="AI1289" s="2">
        <v>0</v>
      </c>
      <c r="AJ1289" s="2">
        <v>0</v>
      </c>
      <c r="AK1289" s="2">
        <v>0</v>
      </c>
      <c r="AL1289" s="2">
        <v>0</v>
      </c>
      <c r="AM1289" s="2">
        <v>0</v>
      </c>
      <c r="AN1289" s="2">
        <v>0</v>
      </c>
      <c r="AO1289" s="2">
        <v>0</v>
      </c>
      <c r="AP1289" s="2">
        <v>0</v>
      </c>
      <c r="AQ1289" s="2">
        <v>0</v>
      </c>
      <c r="AR1289" s="2">
        <v>1.4149229808954034</v>
      </c>
    </row>
    <row r="1290" spans="1:44" x14ac:dyDescent="0.25">
      <c r="A1290" t="s">
        <v>131</v>
      </c>
      <c r="B1290" t="s">
        <v>194</v>
      </c>
      <c r="C1290" t="s">
        <v>44</v>
      </c>
      <c r="D1290" t="s">
        <v>191</v>
      </c>
      <c r="E1290" t="s">
        <v>134</v>
      </c>
      <c r="F1290" t="s">
        <v>192</v>
      </c>
      <c r="G1290" t="s">
        <v>28</v>
      </c>
      <c r="H1290" t="s">
        <v>55</v>
      </c>
      <c r="I1290" t="s">
        <v>135</v>
      </c>
      <c r="J1290" t="s">
        <v>39</v>
      </c>
      <c r="K1290" t="s">
        <v>28</v>
      </c>
      <c r="L1290">
        <v>0.04</v>
      </c>
      <c r="M1290">
        <v>1</v>
      </c>
      <c r="N1290">
        <v>1.3188966528496373</v>
      </c>
      <c r="O1290">
        <v>3.8461052289768833</v>
      </c>
      <c r="P1290">
        <v>-0.13956329883334065</v>
      </c>
      <c r="Q1290">
        <v>2.1230659331929727</v>
      </c>
      <c r="R1290">
        <v>-1.5345928455096165</v>
      </c>
      <c r="S1290" s="2">
        <v>9.4628042130458598E-2</v>
      </c>
      <c r="T1290" s="2">
        <v>0.15382378011203587</v>
      </c>
      <c r="U1290" s="2">
        <v>0.23330261245972408</v>
      </c>
      <c r="V1290" s="2">
        <v>0.33383318778087967</v>
      </c>
      <c r="W1290" s="2">
        <v>0.45362374668395988</v>
      </c>
      <c r="X1290" s="2">
        <v>0.58735441850032599</v>
      </c>
      <c r="Y1290" s="2">
        <v>0.72548371672894563</v>
      </c>
      <c r="Z1290" s="2">
        <v>0.85425760137815321</v>
      </c>
      <c r="AA1290" s="2">
        <v>0.95688468384933933</v>
      </c>
      <c r="AB1290" s="2">
        <v>1.0161830694052316</v>
      </c>
      <c r="AC1290" s="2">
        <v>1.0185321206315836</v>
      </c>
      <c r="AD1290" s="2">
        <v>0.95823998122311815</v>
      </c>
      <c r="AE1290" s="2">
        <v>0.84074122961094755</v>
      </c>
      <c r="AF1290" s="2">
        <v>0.69374519175647109</v>
      </c>
      <c r="AG1290" s="2">
        <v>0.52927641857475649</v>
      </c>
      <c r="AH1290" s="2">
        <v>0.3626399653297484</v>
      </c>
      <c r="AI1290" s="2">
        <v>0</v>
      </c>
      <c r="AJ1290" s="2">
        <v>0</v>
      </c>
      <c r="AK1290" s="2">
        <v>0</v>
      </c>
      <c r="AL1290" s="2">
        <v>0</v>
      </c>
      <c r="AM1290" s="2">
        <v>0</v>
      </c>
      <c r="AN1290" s="2">
        <v>0</v>
      </c>
      <c r="AO1290" s="2">
        <v>0</v>
      </c>
      <c r="AP1290" s="2">
        <v>0</v>
      </c>
      <c r="AQ1290" s="2">
        <v>0</v>
      </c>
      <c r="AR1290" s="2">
        <v>9.8125497661556764</v>
      </c>
    </row>
    <row r="1291" spans="1:44" x14ac:dyDescent="0.25">
      <c r="A1291" t="s">
        <v>131</v>
      </c>
      <c r="B1291" t="s">
        <v>194</v>
      </c>
      <c r="C1291" t="s">
        <v>44</v>
      </c>
      <c r="D1291" t="s">
        <v>191</v>
      </c>
      <c r="E1291" t="s">
        <v>134</v>
      </c>
      <c r="F1291" t="s">
        <v>192</v>
      </c>
      <c r="G1291" t="s">
        <v>28</v>
      </c>
      <c r="H1291" t="s">
        <v>136</v>
      </c>
      <c r="I1291" t="s">
        <v>135</v>
      </c>
      <c r="J1291" t="s">
        <v>39</v>
      </c>
      <c r="K1291" t="s">
        <v>28</v>
      </c>
      <c r="L1291">
        <v>0.04</v>
      </c>
      <c r="M1291">
        <v>1</v>
      </c>
      <c r="N1291">
        <v>1.3188966528496373</v>
      </c>
      <c r="O1291">
        <v>3.8461052289768833</v>
      </c>
      <c r="P1291">
        <v>-0.13956329883334065</v>
      </c>
      <c r="Q1291">
        <v>2.1230659331929727</v>
      </c>
      <c r="R1291">
        <v>-1.5345928455096165</v>
      </c>
      <c r="S1291" s="2">
        <v>0.11881076400824249</v>
      </c>
      <c r="T1291" s="2">
        <v>0.19313430169622281</v>
      </c>
      <c r="U1291" s="2">
        <v>0.29292439119943142</v>
      </c>
      <c r="V1291" s="2">
        <v>0.41914611354710463</v>
      </c>
      <c r="W1291" s="2">
        <v>0.56954981528097193</v>
      </c>
      <c r="X1291" s="2">
        <v>0.73745610322818722</v>
      </c>
      <c r="Y1291" s="2">
        <v>0.91088511100412051</v>
      </c>
      <c r="Z1291" s="2">
        <v>1.0725678772859033</v>
      </c>
      <c r="AA1291" s="2">
        <v>1.2014218808330601</v>
      </c>
      <c r="AB1291" s="2">
        <v>1.2758742982532347</v>
      </c>
      <c r="AC1291" s="2">
        <v>1.2788236625707659</v>
      </c>
      <c r="AD1291" s="2">
        <v>1.2031235319801374</v>
      </c>
      <c r="AE1291" s="2">
        <v>1.0555973216226342</v>
      </c>
      <c r="AF1291" s="2">
        <v>0.87103562964979109</v>
      </c>
      <c r="AG1291" s="2">
        <v>0.66453594776608305</v>
      </c>
      <c r="AH1291" s="2">
        <v>0.45531462313623916</v>
      </c>
      <c r="AI1291" s="2">
        <v>0</v>
      </c>
      <c r="AJ1291" s="2">
        <v>0</v>
      </c>
      <c r="AK1291" s="2">
        <v>0</v>
      </c>
      <c r="AL1291" s="2">
        <v>0</v>
      </c>
      <c r="AM1291" s="2">
        <v>0</v>
      </c>
      <c r="AN1291" s="2">
        <v>0</v>
      </c>
      <c r="AO1291" s="2">
        <v>0</v>
      </c>
      <c r="AP1291" s="2">
        <v>0</v>
      </c>
      <c r="AQ1291" s="2">
        <v>0</v>
      </c>
      <c r="AR1291" s="2">
        <v>12.320201373062128</v>
      </c>
    </row>
    <row r="1292" spans="1:44" x14ac:dyDescent="0.25">
      <c r="A1292" t="s">
        <v>131</v>
      </c>
      <c r="B1292" t="s">
        <v>198</v>
      </c>
      <c r="C1292" t="s">
        <v>44</v>
      </c>
      <c r="D1292" t="s">
        <v>191</v>
      </c>
      <c r="E1292" t="s">
        <v>134</v>
      </c>
      <c r="F1292" t="s">
        <v>196</v>
      </c>
      <c r="G1292" t="s">
        <v>28</v>
      </c>
      <c r="H1292" t="s">
        <v>55</v>
      </c>
      <c r="I1292" t="s">
        <v>135</v>
      </c>
      <c r="J1292" t="s">
        <v>39</v>
      </c>
      <c r="K1292" t="s">
        <v>28</v>
      </c>
      <c r="L1292">
        <v>0.02</v>
      </c>
      <c r="M1292">
        <v>0</v>
      </c>
      <c r="N1292">
        <v>-3.8181723353430251E-2</v>
      </c>
      <c r="O1292">
        <v>3.8057611178016471</v>
      </c>
      <c r="P1292">
        <v>-74.800242939593787</v>
      </c>
      <c r="Q1292">
        <v>-72.566985688484721</v>
      </c>
      <c r="R1292">
        <v>-1.5052208645923697</v>
      </c>
      <c r="S1292" s="2">
        <v>1.5310501863572501E-2</v>
      </c>
      <c r="T1292" s="2">
        <v>2.4888174995951143E-2</v>
      </c>
      <c r="U1292" s="2">
        <v>3.7747585202243125E-2</v>
      </c>
      <c r="V1292" s="2">
        <v>5.4013097265555102E-2</v>
      </c>
      <c r="W1292" s="2">
        <v>7.3394810487471804E-2</v>
      </c>
      <c r="X1292" s="2">
        <v>9.5031987522568043E-2</v>
      </c>
      <c r="Y1292" s="2">
        <v>0.1173808476525033</v>
      </c>
      <c r="Z1292" s="2">
        <v>0.13821603304271809</v>
      </c>
      <c r="AA1292" s="2">
        <v>0.15482075297618003</v>
      </c>
      <c r="AB1292" s="2">
        <v>0.16441503414400419</v>
      </c>
      <c r="AC1292" s="2">
        <v>0.16479510280408605</v>
      </c>
      <c r="AD1292" s="2">
        <v>0.15504003557465473</v>
      </c>
      <c r="AE1292" s="2">
        <v>0.13602912913483381</v>
      </c>
      <c r="AF1292" s="2">
        <v>0.11224566008233051</v>
      </c>
      <c r="AG1292" s="2">
        <v>8.5635160682728084E-2</v>
      </c>
      <c r="AH1292" s="2">
        <v>5.8673937872797649E-2</v>
      </c>
      <c r="AI1292" s="2">
        <v>0</v>
      </c>
      <c r="AJ1292" s="2">
        <v>0</v>
      </c>
      <c r="AK1292" s="2">
        <v>0</v>
      </c>
      <c r="AL1292" s="2">
        <v>0</v>
      </c>
      <c r="AM1292" s="2">
        <v>0</v>
      </c>
      <c r="AN1292" s="2">
        <v>0</v>
      </c>
      <c r="AO1292" s="2">
        <v>0</v>
      </c>
      <c r="AP1292" s="2">
        <v>0</v>
      </c>
      <c r="AQ1292" s="2">
        <v>0</v>
      </c>
      <c r="AR1292" s="2">
        <v>1.587637851304198</v>
      </c>
    </row>
    <row r="1293" spans="1:44" x14ac:dyDescent="0.25">
      <c r="A1293" t="s">
        <v>131</v>
      </c>
      <c r="B1293" t="s">
        <v>198</v>
      </c>
      <c r="C1293" t="s">
        <v>44</v>
      </c>
      <c r="D1293" t="s">
        <v>191</v>
      </c>
      <c r="E1293" t="s">
        <v>134</v>
      </c>
      <c r="F1293" t="s">
        <v>196</v>
      </c>
      <c r="G1293" t="s">
        <v>28</v>
      </c>
      <c r="H1293" t="s">
        <v>136</v>
      </c>
      <c r="I1293" t="s">
        <v>135</v>
      </c>
      <c r="J1293" t="s">
        <v>39</v>
      </c>
      <c r="K1293" t="s">
        <v>28</v>
      </c>
      <c r="L1293">
        <v>0.02</v>
      </c>
      <c r="M1293">
        <v>0</v>
      </c>
      <c r="N1293">
        <v>-3.8181723353430251E-2</v>
      </c>
      <c r="O1293">
        <v>3.8057611178016471</v>
      </c>
      <c r="P1293">
        <v>-74.800242939593787</v>
      </c>
      <c r="Q1293">
        <v>-72.566985688484721</v>
      </c>
      <c r="R1293">
        <v>-1.5052208645923697</v>
      </c>
      <c r="S1293" s="2">
        <v>1.9223185673152142E-2</v>
      </c>
      <c r="T1293" s="2">
        <v>3.1248486383805327E-2</v>
      </c>
      <c r="U1293" s="2">
        <v>4.7394190309483032E-2</v>
      </c>
      <c r="V1293" s="2">
        <v>6.7816444344530297E-2</v>
      </c>
      <c r="W1293" s="2">
        <v>9.2151262056492378E-2</v>
      </c>
      <c r="X1293" s="2">
        <v>0.11931793988944654</v>
      </c>
      <c r="Y1293" s="2">
        <v>0.1473781753859208</v>
      </c>
      <c r="Z1293" s="2">
        <v>0.1735379081536349</v>
      </c>
      <c r="AA1293" s="2">
        <v>0.19438605651453722</v>
      </c>
      <c r="AB1293" s="2">
        <v>0.20643220953636074</v>
      </c>
      <c r="AC1293" s="2">
        <v>0.20690940685401904</v>
      </c>
      <c r="AD1293" s="2">
        <v>0.19466137799928873</v>
      </c>
      <c r="AE1293" s="2">
        <v>0.17079212880262465</v>
      </c>
      <c r="AF1293" s="2">
        <v>0.14093066210337055</v>
      </c>
      <c r="AG1293" s="2">
        <v>0.10751970174609193</v>
      </c>
      <c r="AH1293" s="2">
        <v>7.3668388662512171E-2</v>
      </c>
      <c r="AI1293" s="2">
        <v>0</v>
      </c>
      <c r="AJ1293" s="2">
        <v>0</v>
      </c>
      <c r="AK1293" s="2">
        <v>0</v>
      </c>
      <c r="AL1293" s="2">
        <v>0</v>
      </c>
      <c r="AM1293" s="2">
        <v>0</v>
      </c>
      <c r="AN1293" s="2">
        <v>0</v>
      </c>
      <c r="AO1293" s="2">
        <v>0</v>
      </c>
      <c r="AP1293" s="2">
        <v>0</v>
      </c>
      <c r="AQ1293" s="2">
        <v>0</v>
      </c>
      <c r="AR1293" s="2">
        <v>1.9933675244152707</v>
      </c>
    </row>
    <row r="1294" spans="1:44" x14ac:dyDescent="0.25">
      <c r="A1294" t="s">
        <v>131</v>
      </c>
      <c r="B1294" t="s">
        <v>193</v>
      </c>
      <c r="C1294" t="s">
        <v>44</v>
      </c>
      <c r="D1294" t="s">
        <v>191</v>
      </c>
      <c r="E1294" t="s">
        <v>134</v>
      </c>
      <c r="F1294" t="s">
        <v>192</v>
      </c>
      <c r="G1294" t="s">
        <v>28</v>
      </c>
      <c r="H1294" t="s">
        <v>53</v>
      </c>
      <c r="I1294" t="s">
        <v>135</v>
      </c>
      <c r="J1294" t="s">
        <v>39</v>
      </c>
      <c r="K1294" t="s">
        <v>28</v>
      </c>
      <c r="L1294">
        <v>0.11</v>
      </c>
      <c r="M1294">
        <v>1</v>
      </c>
      <c r="N1294">
        <v>2.8725566782435208</v>
      </c>
      <c r="O1294">
        <v>3.8323065028823287</v>
      </c>
      <c r="P1294">
        <v>-1.2779614084288315</v>
      </c>
      <c r="Q1294">
        <v>0.97128060153331008</v>
      </c>
      <c r="R1294">
        <v>-1.5212056234454441</v>
      </c>
      <c r="S1294" s="2">
        <v>1.6895732807153394</v>
      </c>
      <c r="T1294" s="2">
        <v>2.7465066693192486</v>
      </c>
      <c r="U1294" s="2">
        <v>4.1655924761668226</v>
      </c>
      <c r="V1294" s="2">
        <v>5.9605548375712472</v>
      </c>
      <c r="W1294" s="2">
        <v>8.0994020867362515</v>
      </c>
      <c r="X1294" s="2">
        <v>10.487148518196198</v>
      </c>
      <c r="Y1294" s="2">
        <v>12.953431940284634</v>
      </c>
      <c r="Z1294" s="2">
        <v>15.25267548224933</v>
      </c>
      <c r="AA1294" s="2">
        <v>17.085070748147729</v>
      </c>
      <c r="AB1294" s="2">
        <v>18.143836897897142</v>
      </c>
      <c r="AC1294" s="2">
        <v>18.185778949087474</v>
      </c>
      <c r="AD1294" s="2">
        <v>17.1092694336389</v>
      </c>
      <c r="AE1294" s="2">
        <v>15.011342151495199</v>
      </c>
      <c r="AF1294" s="2">
        <v>12.386744068957018</v>
      </c>
      <c r="AG1294" s="2">
        <v>9.4501722196023046</v>
      </c>
      <c r="AH1294" s="2">
        <v>6.4748966812181736</v>
      </c>
      <c r="AI1294" s="2">
        <v>0</v>
      </c>
      <c r="AJ1294" s="2">
        <v>0</v>
      </c>
      <c r="AK1294" s="2">
        <v>0</v>
      </c>
      <c r="AL1294" s="2">
        <v>0</v>
      </c>
      <c r="AM1294" s="2">
        <v>0</v>
      </c>
      <c r="AN1294" s="2">
        <v>0</v>
      </c>
      <c r="AO1294" s="2">
        <v>0</v>
      </c>
      <c r="AP1294" s="2">
        <v>0</v>
      </c>
      <c r="AQ1294" s="2">
        <v>0</v>
      </c>
      <c r="AR1294" s="2">
        <v>175.20199644128303</v>
      </c>
    </row>
    <row r="1295" spans="1:44" x14ac:dyDescent="0.25">
      <c r="A1295" t="s">
        <v>131</v>
      </c>
      <c r="B1295" t="s">
        <v>193</v>
      </c>
      <c r="C1295" t="s">
        <v>44</v>
      </c>
      <c r="D1295" t="s">
        <v>191</v>
      </c>
      <c r="E1295" t="s">
        <v>134</v>
      </c>
      <c r="F1295" t="s">
        <v>192</v>
      </c>
      <c r="G1295" t="s">
        <v>28</v>
      </c>
      <c r="H1295" t="s">
        <v>141</v>
      </c>
      <c r="I1295" t="s">
        <v>135</v>
      </c>
      <c r="J1295" t="s">
        <v>39</v>
      </c>
      <c r="K1295" t="s">
        <v>28</v>
      </c>
      <c r="L1295">
        <v>0.11</v>
      </c>
      <c r="M1295">
        <v>1</v>
      </c>
      <c r="N1295">
        <v>2.8725566782435208</v>
      </c>
      <c r="O1295">
        <v>3.8323065028823287</v>
      </c>
      <c r="P1295">
        <v>-1.2779614084288315</v>
      </c>
      <c r="Q1295">
        <v>0.97128060153331008</v>
      </c>
      <c r="R1295">
        <v>-1.5212056234454441</v>
      </c>
      <c r="S1295" s="2">
        <v>1.4220575112687441</v>
      </c>
      <c r="T1295" s="2">
        <v>2.3116431133437003</v>
      </c>
      <c r="U1295" s="2">
        <v>3.5060403341070758</v>
      </c>
      <c r="V1295" s="2">
        <v>5.0168003216224673</v>
      </c>
      <c r="W1295" s="2">
        <v>6.8169967563363407</v>
      </c>
      <c r="X1295" s="2">
        <v>8.8266833361484682</v>
      </c>
      <c r="Y1295" s="2">
        <v>10.902471883072899</v>
      </c>
      <c r="Z1295" s="2">
        <v>12.837668530893184</v>
      </c>
      <c r="AA1295" s="2">
        <v>14.379934546357669</v>
      </c>
      <c r="AB1295" s="2">
        <v>15.27106272239676</v>
      </c>
      <c r="AC1295" s="2">
        <v>15.306363948815285</v>
      </c>
      <c r="AD1295" s="2">
        <v>14.400301773312735</v>
      </c>
      <c r="AE1295" s="2">
        <v>12.634546310841792</v>
      </c>
      <c r="AF1295" s="2">
        <v>10.425509591372153</v>
      </c>
      <c r="AG1295" s="2">
        <v>7.9538949514986053</v>
      </c>
      <c r="AH1295" s="2">
        <v>5.4497047066919242</v>
      </c>
      <c r="AI1295" s="2">
        <v>0</v>
      </c>
      <c r="AJ1295" s="2">
        <v>0</v>
      </c>
      <c r="AK1295" s="2">
        <v>0</v>
      </c>
      <c r="AL1295" s="2">
        <v>0</v>
      </c>
      <c r="AM1295" s="2">
        <v>0</v>
      </c>
      <c r="AN1295" s="2">
        <v>0</v>
      </c>
      <c r="AO1295" s="2">
        <v>0</v>
      </c>
      <c r="AP1295" s="2">
        <v>0</v>
      </c>
      <c r="AQ1295" s="2">
        <v>0</v>
      </c>
      <c r="AR1295" s="2">
        <v>147.46168033807979</v>
      </c>
    </row>
    <row r="1296" spans="1:44" x14ac:dyDescent="0.25">
      <c r="A1296" t="s">
        <v>131</v>
      </c>
      <c r="B1296" t="s">
        <v>197</v>
      </c>
      <c r="C1296" t="s">
        <v>44</v>
      </c>
      <c r="D1296" t="s">
        <v>191</v>
      </c>
      <c r="E1296" t="s">
        <v>134</v>
      </c>
      <c r="F1296" t="s">
        <v>196</v>
      </c>
      <c r="G1296" t="s">
        <v>28</v>
      </c>
      <c r="H1296" t="s">
        <v>53</v>
      </c>
      <c r="I1296" t="s">
        <v>135</v>
      </c>
      <c r="J1296" t="s">
        <v>39</v>
      </c>
      <c r="K1296" t="s">
        <v>28</v>
      </c>
      <c r="L1296">
        <v>0.06</v>
      </c>
      <c r="M1296">
        <v>0</v>
      </c>
      <c r="N1296">
        <v>-19.148169275544213</v>
      </c>
      <c r="O1296">
        <v>3.8640773301877118</v>
      </c>
      <c r="P1296">
        <v>-2.419289187851335</v>
      </c>
      <c r="Q1296">
        <v>-0.14691685958113598</v>
      </c>
      <c r="R1296">
        <v>-1.544335941753501</v>
      </c>
      <c r="S1296" s="2">
        <v>0.28893395124605187</v>
      </c>
      <c r="T1296" s="2">
        <v>0.46968014536431557</v>
      </c>
      <c r="U1296" s="2">
        <v>0.71235802978023366</v>
      </c>
      <c r="V1296" s="2">
        <v>1.019314569243823</v>
      </c>
      <c r="W1296" s="2">
        <v>1.3850788683521444</v>
      </c>
      <c r="X1296" s="2">
        <v>1.7934074202355463</v>
      </c>
      <c r="Y1296" s="2">
        <v>2.2151665840256749</v>
      </c>
      <c r="Z1296" s="2">
        <v>2.6083602554925682</v>
      </c>
      <c r="AA1296" s="2">
        <v>2.9217181964967165</v>
      </c>
      <c r="AB1296" s="2">
        <v>3.1027778111250601</v>
      </c>
      <c r="AC1296" s="2">
        <v>3.1099503219075793</v>
      </c>
      <c r="AD1296" s="2">
        <v>2.9258564140536159</v>
      </c>
      <c r="AE1296" s="2">
        <v>2.5670898390992414</v>
      </c>
      <c r="AF1296" s="2">
        <v>2.1182572829289033</v>
      </c>
      <c r="AG1296" s="2">
        <v>1.6160740883694158</v>
      </c>
      <c r="AH1296" s="2">
        <v>1.1072721753875239</v>
      </c>
      <c r="AI1296" s="2">
        <v>0</v>
      </c>
      <c r="AJ1296" s="2">
        <v>0</v>
      </c>
      <c r="AK1296" s="2">
        <v>0</v>
      </c>
      <c r="AL1296" s="2">
        <v>0</v>
      </c>
      <c r="AM1296" s="2">
        <v>0</v>
      </c>
      <c r="AN1296" s="2">
        <v>0</v>
      </c>
      <c r="AO1296" s="2">
        <v>0</v>
      </c>
      <c r="AP1296" s="2">
        <v>0</v>
      </c>
      <c r="AQ1296" s="2">
        <v>0</v>
      </c>
      <c r="AR1296" s="2">
        <v>29.961295953108415</v>
      </c>
    </row>
    <row r="1297" spans="1:44" x14ac:dyDescent="0.25">
      <c r="A1297" t="s">
        <v>131</v>
      </c>
      <c r="B1297" t="s">
        <v>197</v>
      </c>
      <c r="C1297" t="s">
        <v>44</v>
      </c>
      <c r="D1297" t="s">
        <v>191</v>
      </c>
      <c r="E1297" t="s">
        <v>134</v>
      </c>
      <c r="F1297" t="s">
        <v>196</v>
      </c>
      <c r="G1297" t="s">
        <v>28</v>
      </c>
      <c r="H1297" t="s">
        <v>141</v>
      </c>
      <c r="I1297" t="s">
        <v>135</v>
      </c>
      <c r="J1297" t="s">
        <v>39</v>
      </c>
      <c r="K1297" t="s">
        <v>28</v>
      </c>
      <c r="L1297">
        <v>0.06</v>
      </c>
      <c r="M1297">
        <v>0</v>
      </c>
      <c r="N1297">
        <v>-19.148169275544213</v>
      </c>
      <c r="O1297">
        <v>3.8640773301877118</v>
      </c>
      <c r="P1297">
        <v>-2.419289187851335</v>
      </c>
      <c r="Q1297">
        <v>-0.14691685958113598</v>
      </c>
      <c r="R1297">
        <v>-1.544335941753501</v>
      </c>
      <c r="S1297" s="2">
        <v>0.24318607563209368</v>
      </c>
      <c r="T1297" s="2">
        <v>0.39531412234829877</v>
      </c>
      <c r="U1297" s="2">
        <v>0.59956800839836344</v>
      </c>
      <c r="V1297" s="2">
        <v>0.85792309578021797</v>
      </c>
      <c r="W1297" s="2">
        <v>1.1657747141963879</v>
      </c>
      <c r="X1297" s="2">
        <v>1.5094512453649185</v>
      </c>
      <c r="Y1297" s="2">
        <v>1.864431874888276</v>
      </c>
      <c r="Z1297" s="2">
        <v>2.1953698817062439</v>
      </c>
      <c r="AA1297" s="2">
        <v>2.4591128153847355</v>
      </c>
      <c r="AB1297" s="2">
        <v>2.6115046576969263</v>
      </c>
      <c r="AC1297" s="2">
        <v>2.6175415209388788</v>
      </c>
      <c r="AD1297" s="2">
        <v>2.462595815161793</v>
      </c>
      <c r="AE1297" s="2">
        <v>2.1606339479085275</v>
      </c>
      <c r="AF1297" s="2">
        <v>1.7828665464651601</v>
      </c>
      <c r="AG1297" s="2">
        <v>1.3601956910442583</v>
      </c>
      <c r="AH1297" s="2">
        <v>0.93195408095116239</v>
      </c>
      <c r="AI1297" s="2">
        <v>0</v>
      </c>
      <c r="AJ1297" s="2">
        <v>0</v>
      </c>
      <c r="AK1297" s="2">
        <v>0</v>
      </c>
      <c r="AL1297" s="2">
        <v>0</v>
      </c>
      <c r="AM1297" s="2">
        <v>0</v>
      </c>
      <c r="AN1297" s="2">
        <v>0</v>
      </c>
      <c r="AO1297" s="2">
        <v>0</v>
      </c>
      <c r="AP1297" s="2">
        <v>0</v>
      </c>
      <c r="AQ1297" s="2">
        <v>0</v>
      </c>
      <c r="AR1297" s="2">
        <v>25.217424093866242</v>
      </c>
    </row>
    <row r="1298" spans="1:44" x14ac:dyDescent="0.25">
      <c r="A1298" t="s">
        <v>131</v>
      </c>
      <c r="B1298" t="s">
        <v>190</v>
      </c>
      <c r="C1298" t="s">
        <v>44</v>
      </c>
      <c r="D1298" t="s">
        <v>191</v>
      </c>
      <c r="E1298" t="s">
        <v>134</v>
      </c>
      <c r="F1298" t="s">
        <v>192</v>
      </c>
      <c r="G1298" t="s">
        <v>28</v>
      </c>
      <c r="H1298" t="s">
        <v>52</v>
      </c>
      <c r="I1298" t="s">
        <v>135</v>
      </c>
      <c r="J1298" t="s">
        <v>39</v>
      </c>
      <c r="K1298" t="s">
        <v>28</v>
      </c>
      <c r="L1298">
        <v>0.11</v>
      </c>
      <c r="M1298">
        <v>1</v>
      </c>
      <c r="N1298">
        <v>2.8725566782435208</v>
      </c>
      <c r="O1298">
        <v>3.8323065028823287</v>
      </c>
      <c r="P1298">
        <v>-1.2779614084288315</v>
      </c>
      <c r="Q1298">
        <v>0.97128060153331008</v>
      </c>
      <c r="R1298">
        <v>-1.5212056234454441</v>
      </c>
      <c r="S1298" s="2">
        <v>31.268985370135308</v>
      </c>
      <c r="T1298" s="2">
        <v>50.829684537602382</v>
      </c>
      <c r="U1298" s="2">
        <v>77.092749797782432</v>
      </c>
      <c r="V1298" s="2">
        <v>110.31217416920438</v>
      </c>
      <c r="W1298" s="2">
        <v>149.89588687729051</v>
      </c>
      <c r="X1298" s="2">
        <v>194.08598451028755</v>
      </c>
      <c r="Y1298" s="2">
        <v>239.72956867684098</v>
      </c>
      <c r="Z1298" s="2">
        <v>282.2817405753176</v>
      </c>
      <c r="AA1298" s="2">
        <v>316.1939368769917</v>
      </c>
      <c r="AB1298" s="2">
        <v>335.78855501210586</v>
      </c>
      <c r="AC1298" s="2">
        <v>336.5647778608174</v>
      </c>
      <c r="AD1298" s="2">
        <v>316.64178270364903</v>
      </c>
      <c r="AE1298" s="2">
        <v>277.8153771007</v>
      </c>
      <c r="AF1298" s="2">
        <v>229.2418585785409</v>
      </c>
      <c r="AG1298" s="2">
        <v>174.89463182969752</v>
      </c>
      <c r="AH1298" s="2">
        <v>119.8311147015927</v>
      </c>
      <c r="AI1298" s="2">
        <v>0</v>
      </c>
      <c r="AJ1298" s="2">
        <v>0</v>
      </c>
      <c r="AK1298" s="2">
        <v>0</v>
      </c>
      <c r="AL1298" s="2">
        <v>0</v>
      </c>
      <c r="AM1298" s="2">
        <v>0</v>
      </c>
      <c r="AN1298" s="2">
        <v>0</v>
      </c>
      <c r="AO1298" s="2">
        <v>0</v>
      </c>
      <c r="AP1298" s="2">
        <v>0</v>
      </c>
      <c r="AQ1298" s="2">
        <v>0</v>
      </c>
      <c r="AR1298" s="2">
        <v>3242.4688091785565</v>
      </c>
    </row>
    <row r="1299" spans="1:44" x14ac:dyDescent="0.25">
      <c r="A1299" t="s">
        <v>131</v>
      </c>
      <c r="B1299" t="s">
        <v>190</v>
      </c>
      <c r="C1299" t="s">
        <v>44</v>
      </c>
      <c r="D1299" t="s">
        <v>191</v>
      </c>
      <c r="E1299" t="s">
        <v>134</v>
      </c>
      <c r="F1299" t="s">
        <v>192</v>
      </c>
      <c r="G1299" t="s">
        <v>28</v>
      </c>
      <c r="H1299" t="s">
        <v>138</v>
      </c>
      <c r="I1299" t="s">
        <v>135</v>
      </c>
      <c r="J1299" t="s">
        <v>39</v>
      </c>
      <c r="K1299" t="s">
        <v>28</v>
      </c>
      <c r="L1299">
        <v>0.11</v>
      </c>
      <c r="M1299">
        <v>1</v>
      </c>
      <c r="N1299">
        <v>2.8725566782435208</v>
      </c>
      <c r="O1299">
        <v>3.8323065028823287</v>
      </c>
      <c r="P1299">
        <v>-1.2779614084288315</v>
      </c>
      <c r="Q1299">
        <v>0.97128060153331008</v>
      </c>
      <c r="R1299">
        <v>-1.5212056234454441</v>
      </c>
      <c r="S1299" s="2">
        <v>10.846681461435535</v>
      </c>
      <c r="T1299" s="2">
        <v>17.631956727678194</v>
      </c>
      <c r="U1299" s="2">
        <v>26.742169281940988</v>
      </c>
      <c r="V1299" s="2">
        <v>38.265425000791431</v>
      </c>
      <c r="W1299" s="2">
        <v>51.996344559686285</v>
      </c>
      <c r="X1299" s="2">
        <v>67.325141036486741</v>
      </c>
      <c r="Y1299" s="2">
        <v>83.15812737590521</v>
      </c>
      <c r="Z1299" s="2">
        <v>97.918755154887961</v>
      </c>
      <c r="AA1299" s="2">
        <v>109.68232172373629</v>
      </c>
      <c r="AB1299" s="2">
        <v>116.4793629054128</v>
      </c>
      <c r="AC1299" s="2">
        <v>116.74862146572107</v>
      </c>
      <c r="AD1299" s="2">
        <v>109.83767185640238</v>
      </c>
      <c r="AE1299" s="2">
        <v>96.369449306721961</v>
      </c>
      <c r="AF1299" s="2">
        <v>79.520118359955788</v>
      </c>
      <c r="AG1299" s="2">
        <v>60.66798581138498</v>
      </c>
      <c r="AH1299" s="2">
        <v>41.567384261157741</v>
      </c>
      <c r="AI1299" s="2">
        <v>0</v>
      </c>
      <c r="AJ1299" s="2">
        <v>0</v>
      </c>
      <c r="AK1299" s="2">
        <v>0</v>
      </c>
      <c r="AL1299" s="2">
        <v>0</v>
      </c>
      <c r="AM1299" s="2">
        <v>0</v>
      </c>
      <c r="AN1299" s="2">
        <v>0</v>
      </c>
      <c r="AO1299" s="2">
        <v>0</v>
      </c>
      <c r="AP1299" s="2">
        <v>0</v>
      </c>
      <c r="AQ1299" s="2">
        <v>0</v>
      </c>
      <c r="AR1299" s="2">
        <v>1124.7575162893054</v>
      </c>
    </row>
    <row r="1300" spans="1:44" x14ac:dyDescent="0.25">
      <c r="A1300" t="s">
        <v>131</v>
      </c>
      <c r="B1300" t="s">
        <v>195</v>
      </c>
      <c r="C1300" t="s">
        <v>44</v>
      </c>
      <c r="D1300" t="s">
        <v>191</v>
      </c>
      <c r="E1300" t="s">
        <v>134</v>
      </c>
      <c r="F1300" t="s">
        <v>196</v>
      </c>
      <c r="G1300" t="s">
        <v>28</v>
      </c>
      <c r="H1300" t="s">
        <v>52</v>
      </c>
      <c r="I1300" t="s">
        <v>135</v>
      </c>
      <c r="J1300" t="s">
        <v>39</v>
      </c>
      <c r="K1300" t="s">
        <v>28</v>
      </c>
      <c r="L1300">
        <v>0.06</v>
      </c>
      <c r="M1300">
        <v>1</v>
      </c>
      <c r="N1300">
        <v>1.8510868588862583</v>
      </c>
      <c r="O1300">
        <v>3.8640773301877118</v>
      </c>
      <c r="P1300">
        <v>-0.75262252118466844</v>
      </c>
      <c r="Q1300">
        <v>1.5197498070855304</v>
      </c>
      <c r="R1300">
        <v>-1.544335941753501</v>
      </c>
      <c r="S1300" s="2">
        <v>98.037538980484911</v>
      </c>
      <c r="T1300" s="2">
        <v>159.36612973634783</v>
      </c>
      <c r="U1300" s="2">
        <v>241.70862514238851</v>
      </c>
      <c r="V1300" s="2">
        <v>345.86136860917975</v>
      </c>
      <c r="W1300" s="2">
        <v>469.96804273611576</v>
      </c>
      <c r="X1300" s="2">
        <v>608.51709918820359</v>
      </c>
      <c r="Y1300" s="2">
        <v>751.62326681625041</v>
      </c>
      <c r="Z1300" s="2">
        <v>885.03694051944501</v>
      </c>
      <c r="AA1300" s="2">
        <v>991.36172936323601</v>
      </c>
      <c r="AB1300" s="2">
        <v>1052.7966661381179</v>
      </c>
      <c r="AC1300" s="2">
        <v>1055.230354883925</v>
      </c>
      <c r="AD1300" s="2">
        <v>992.76585879591312</v>
      </c>
      <c r="AE1300" s="2">
        <v>871.03356695101286</v>
      </c>
      <c r="AF1300" s="2">
        <v>718.74118652463551</v>
      </c>
      <c r="AG1300" s="2">
        <v>548.34651916328971</v>
      </c>
      <c r="AH1300" s="2">
        <v>375.70606911514238</v>
      </c>
      <c r="AI1300" s="2">
        <v>0</v>
      </c>
      <c r="AJ1300" s="2">
        <v>0</v>
      </c>
      <c r="AK1300" s="2">
        <v>0</v>
      </c>
      <c r="AL1300" s="2">
        <v>0</v>
      </c>
      <c r="AM1300" s="2">
        <v>0</v>
      </c>
      <c r="AN1300" s="2">
        <v>0</v>
      </c>
      <c r="AO1300" s="2">
        <v>0</v>
      </c>
      <c r="AP1300" s="2">
        <v>0</v>
      </c>
      <c r="AQ1300" s="2">
        <v>0</v>
      </c>
      <c r="AR1300" s="2">
        <v>10166.100962663688</v>
      </c>
    </row>
    <row r="1301" spans="1:44" x14ac:dyDescent="0.25">
      <c r="A1301" t="s">
        <v>131</v>
      </c>
      <c r="B1301" t="s">
        <v>195</v>
      </c>
      <c r="C1301" t="s">
        <v>44</v>
      </c>
      <c r="D1301" t="s">
        <v>191</v>
      </c>
      <c r="E1301" t="s">
        <v>134</v>
      </c>
      <c r="F1301" t="s">
        <v>196</v>
      </c>
      <c r="G1301" t="s">
        <v>28</v>
      </c>
      <c r="H1301" t="s">
        <v>138</v>
      </c>
      <c r="I1301" t="s">
        <v>135</v>
      </c>
      <c r="J1301" t="s">
        <v>39</v>
      </c>
      <c r="K1301" t="s">
        <v>28</v>
      </c>
      <c r="L1301">
        <v>0.06</v>
      </c>
      <c r="M1301">
        <v>1</v>
      </c>
      <c r="N1301">
        <v>1.8510868588862583</v>
      </c>
      <c r="O1301">
        <v>3.8640773301877118</v>
      </c>
      <c r="P1301">
        <v>-0.75262252118466844</v>
      </c>
      <c r="Q1301">
        <v>1.5197498070855304</v>
      </c>
      <c r="R1301">
        <v>-1.544335941753501</v>
      </c>
      <c r="S1301" s="2">
        <v>34.007561933877611</v>
      </c>
      <c r="T1301" s="2">
        <v>55.28141142190487</v>
      </c>
      <c r="U1301" s="2">
        <v>83.844628547014196</v>
      </c>
      <c r="V1301" s="2">
        <v>119.9734513516669</v>
      </c>
      <c r="W1301" s="2">
        <v>163.02395476770502</v>
      </c>
      <c r="X1301" s="2">
        <v>211.0842760198795</v>
      </c>
      <c r="Y1301" s="2">
        <v>260.72538196093569</v>
      </c>
      <c r="Z1301" s="2">
        <v>307.00432590903569</v>
      </c>
      <c r="AA1301" s="2">
        <v>343.88659446976988</v>
      </c>
      <c r="AB1301" s="2">
        <v>365.19733359074593</v>
      </c>
      <c r="AC1301" s="2">
        <v>366.04153900034208</v>
      </c>
      <c r="AD1301" s="2">
        <v>344.37366318999187</v>
      </c>
      <c r="AE1301" s="2">
        <v>302.14679277566648</v>
      </c>
      <c r="AF1301" s="2">
        <v>249.31914519019799</v>
      </c>
      <c r="AG1301" s="2">
        <v>190.21212084264778</v>
      </c>
      <c r="AH1301" s="2">
        <v>130.32607251504169</v>
      </c>
      <c r="AI1301" s="2">
        <v>0</v>
      </c>
      <c r="AJ1301" s="2">
        <v>0</v>
      </c>
      <c r="AK1301" s="2">
        <v>0</v>
      </c>
      <c r="AL1301" s="2">
        <v>0</v>
      </c>
      <c r="AM1301" s="2">
        <v>0</v>
      </c>
      <c r="AN1301" s="2">
        <v>0</v>
      </c>
      <c r="AO1301" s="2">
        <v>0</v>
      </c>
      <c r="AP1301" s="2">
        <v>0</v>
      </c>
      <c r="AQ1301" s="2">
        <v>0</v>
      </c>
      <c r="AR1301" s="2">
        <v>3526.4482534864233</v>
      </c>
    </row>
    <row r="1302" spans="1:44" x14ac:dyDescent="0.25">
      <c r="A1302" t="s">
        <v>131</v>
      </c>
      <c r="B1302" t="s">
        <v>199</v>
      </c>
      <c r="C1302" t="s">
        <v>44</v>
      </c>
      <c r="D1302" t="s">
        <v>191</v>
      </c>
      <c r="E1302" t="s">
        <v>134</v>
      </c>
      <c r="F1302" t="s">
        <v>200</v>
      </c>
      <c r="G1302" t="s">
        <v>28</v>
      </c>
      <c r="H1302" t="s">
        <v>55</v>
      </c>
      <c r="I1302" t="s">
        <v>135</v>
      </c>
      <c r="J1302" t="s">
        <v>39</v>
      </c>
      <c r="K1302" t="s">
        <v>28</v>
      </c>
      <c r="L1302">
        <v>9.8838117015195223E-3</v>
      </c>
      <c r="M1302">
        <v>0</v>
      </c>
      <c r="N1302">
        <v>0.27106254108678052</v>
      </c>
      <c r="O1302">
        <v>3.8137772217585497</v>
      </c>
      <c r="P1302">
        <v>8.0075245929314374</v>
      </c>
      <c r="Q1302">
        <v>10.243276612019471</v>
      </c>
      <c r="R1302">
        <v>-1.5077156325713348</v>
      </c>
      <c r="S1302" s="2">
        <v>0</v>
      </c>
      <c r="T1302" s="2">
        <v>0</v>
      </c>
      <c r="U1302" s="2">
        <v>4.1409681084420271E-3</v>
      </c>
      <c r="V1302" s="2">
        <v>6.7296834979527868E-3</v>
      </c>
      <c r="W1302" s="2">
        <v>1.0203898397631144E-2</v>
      </c>
      <c r="X1302" s="2">
        <v>1.4596622816304841E-2</v>
      </c>
      <c r="Y1302" s="2">
        <v>1.9828836155301933E-2</v>
      </c>
      <c r="Z1302" s="2">
        <v>2.56674734918243E-2</v>
      </c>
      <c r="AA1302" s="2">
        <v>3.1695335882096339E-2</v>
      </c>
      <c r="AB1302" s="2">
        <v>3.7311631456391395E-2</v>
      </c>
      <c r="AC1302" s="2">
        <v>4.178355304063671E-2</v>
      </c>
      <c r="AD1302" s="2">
        <v>4.4361950584132087E-2</v>
      </c>
      <c r="AE1302" s="2">
        <v>4.4453777875788303E-2</v>
      </c>
      <c r="AF1302" s="2">
        <v>4.1812455328705943E-2</v>
      </c>
      <c r="AG1302" s="2">
        <v>3.667694581453057E-2</v>
      </c>
      <c r="AH1302" s="2">
        <v>3.0257431691400404E-2</v>
      </c>
      <c r="AI1302" s="2">
        <v>2.3079028798640534E-2</v>
      </c>
      <c r="AJ1302" s="2">
        <v>1.5935300774862143E-2</v>
      </c>
      <c r="AK1302" s="2">
        <v>4.6489935449861809E-3</v>
      </c>
      <c r="AL1302" s="2">
        <v>0</v>
      </c>
      <c r="AM1302" s="2">
        <v>0</v>
      </c>
      <c r="AN1302" s="2">
        <v>0</v>
      </c>
      <c r="AO1302" s="2">
        <v>0</v>
      </c>
      <c r="AP1302" s="2">
        <v>0</v>
      </c>
      <c r="AQ1302" s="2">
        <v>0</v>
      </c>
      <c r="AR1302" s="2">
        <v>0.43318388725962759</v>
      </c>
    </row>
    <row r="1303" spans="1:44" x14ac:dyDescent="0.25">
      <c r="A1303" t="s">
        <v>131</v>
      </c>
      <c r="B1303" t="s">
        <v>199</v>
      </c>
      <c r="C1303" t="s">
        <v>44</v>
      </c>
      <c r="D1303" t="s">
        <v>191</v>
      </c>
      <c r="E1303" t="s">
        <v>134</v>
      </c>
      <c r="F1303" t="s">
        <v>200</v>
      </c>
      <c r="G1303" t="s">
        <v>28</v>
      </c>
      <c r="H1303" t="s">
        <v>136</v>
      </c>
      <c r="I1303" t="s">
        <v>135</v>
      </c>
      <c r="J1303" t="s">
        <v>39</v>
      </c>
      <c r="K1303" t="s">
        <v>28</v>
      </c>
      <c r="L1303">
        <v>9.8838117015195223E-3</v>
      </c>
      <c r="M1303">
        <v>0</v>
      </c>
      <c r="N1303">
        <v>0.27106254108678052</v>
      </c>
      <c r="O1303">
        <v>3.8137772217585497</v>
      </c>
      <c r="P1303">
        <v>8.0075245929314374</v>
      </c>
      <c r="Q1303">
        <v>10.243276612019471</v>
      </c>
      <c r="R1303">
        <v>-1.5077156325713348</v>
      </c>
      <c r="S1303" s="2">
        <v>0</v>
      </c>
      <c r="T1303" s="2">
        <v>0</v>
      </c>
      <c r="U1303" s="2">
        <v>5.1992155139327671E-3</v>
      </c>
      <c r="V1303" s="2">
        <v>8.4494915029851674E-3</v>
      </c>
      <c r="W1303" s="2">
        <v>1.2811561321470212E-2</v>
      </c>
      <c r="X1303" s="2">
        <v>1.8326870869360523E-2</v>
      </c>
      <c r="Y1303" s="2">
        <v>2.4896205394990201E-2</v>
      </c>
      <c r="Z1303" s="2">
        <v>3.2226938939734946E-2</v>
      </c>
      <c r="AA1303" s="2">
        <v>3.9795255051965413E-2</v>
      </c>
      <c r="AB1303" s="2">
        <v>4.6846826161913616E-2</v>
      </c>
      <c r="AC1303" s="2">
        <v>5.2461572151021638E-2</v>
      </c>
      <c r="AD1303" s="2">
        <v>5.5698893511188063E-2</v>
      </c>
      <c r="AE1303" s="2">
        <v>5.5814187777378635E-2</v>
      </c>
      <c r="AF1303" s="2">
        <v>5.2497860579375222E-2</v>
      </c>
      <c r="AG1303" s="2">
        <v>4.6049943078243942E-2</v>
      </c>
      <c r="AH1303" s="2">
        <v>3.7989886456980503E-2</v>
      </c>
      <c r="AI1303" s="2">
        <v>2.8977002824959779E-2</v>
      </c>
      <c r="AJ1303" s="2">
        <v>2.0007655417326915E-2</v>
      </c>
      <c r="AK1303" s="2">
        <v>5.8370696731494202E-3</v>
      </c>
      <c r="AL1303" s="2">
        <v>0</v>
      </c>
      <c r="AM1303" s="2">
        <v>0</v>
      </c>
      <c r="AN1303" s="2">
        <v>0</v>
      </c>
      <c r="AO1303" s="2">
        <v>0</v>
      </c>
      <c r="AP1303" s="2">
        <v>0</v>
      </c>
      <c r="AQ1303" s="2">
        <v>0</v>
      </c>
      <c r="AR1303" s="2">
        <v>0.54388643622597688</v>
      </c>
    </row>
    <row r="1304" spans="1:44" x14ac:dyDescent="0.25">
      <c r="A1304" t="s">
        <v>131</v>
      </c>
      <c r="B1304" t="s">
        <v>199</v>
      </c>
      <c r="C1304" t="s">
        <v>44</v>
      </c>
      <c r="D1304" t="s">
        <v>191</v>
      </c>
      <c r="E1304" t="s">
        <v>134</v>
      </c>
      <c r="F1304" t="s">
        <v>200</v>
      </c>
      <c r="G1304" t="s">
        <v>28</v>
      </c>
      <c r="H1304" t="s">
        <v>52</v>
      </c>
      <c r="I1304" t="s">
        <v>135</v>
      </c>
      <c r="J1304" t="s">
        <v>39</v>
      </c>
      <c r="K1304" t="s">
        <v>28</v>
      </c>
      <c r="L1304">
        <v>9.8838117015195223E-3</v>
      </c>
      <c r="M1304">
        <v>0</v>
      </c>
      <c r="N1304">
        <v>0.27106254108678052</v>
      </c>
      <c r="O1304">
        <v>3.8137772217585497</v>
      </c>
      <c r="P1304">
        <v>8.0075245929314374</v>
      </c>
      <c r="Q1304">
        <v>10.243276612019471</v>
      </c>
      <c r="R1304">
        <v>-1.5077156325713348</v>
      </c>
      <c r="S1304" s="2">
        <v>0</v>
      </c>
      <c r="T1304" s="2">
        <v>0</v>
      </c>
      <c r="U1304" s="2">
        <v>15.794287312753198</v>
      </c>
      <c r="V1304" s="2">
        <v>25.668044743901792</v>
      </c>
      <c r="W1304" s="2">
        <v>38.91923308314572</v>
      </c>
      <c r="X1304" s="2">
        <v>55.67375756567845</v>
      </c>
      <c r="Y1304" s="2">
        <v>75.630221511697911</v>
      </c>
      <c r="Z1304" s="2">
        <v>97.899679569103114</v>
      </c>
      <c r="AA1304" s="2">
        <v>120.89087099595901</v>
      </c>
      <c r="AB1304" s="2">
        <v>142.31228347989486</v>
      </c>
      <c r="AC1304" s="2">
        <v>159.36887809545857</v>
      </c>
      <c r="AD1304" s="2">
        <v>169.20328167983791</v>
      </c>
      <c r="AE1304" s="2">
        <v>169.55352505037081</v>
      </c>
      <c r="AF1304" s="2">
        <v>159.47911585382977</v>
      </c>
      <c r="AG1304" s="2">
        <v>139.89149512357</v>
      </c>
      <c r="AH1304" s="2">
        <v>115.40648393444933</v>
      </c>
      <c r="AI1304" s="2">
        <v>88.026954615252393</v>
      </c>
      <c r="AJ1304" s="2">
        <v>60.779680563153264</v>
      </c>
      <c r="AK1304" s="2">
        <v>17.731974224808468</v>
      </c>
      <c r="AL1304" s="2">
        <v>0</v>
      </c>
      <c r="AM1304" s="2">
        <v>0</v>
      </c>
      <c r="AN1304" s="2">
        <v>0</v>
      </c>
      <c r="AO1304" s="2">
        <v>0</v>
      </c>
      <c r="AP1304" s="2">
        <v>0</v>
      </c>
      <c r="AQ1304" s="2">
        <v>0</v>
      </c>
      <c r="AR1304" s="2">
        <v>1652.2297674028646</v>
      </c>
    </row>
    <row r="1305" spans="1:44" x14ac:dyDescent="0.25">
      <c r="A1305" t="s">
        <v>131</v>
      </c>
      <c r="B1305" t="s">
        <v>199</v>
      </c>
      <c r="C1305" t="s">
        <v>44</v>
      </c>
      <c r="D1305" t="s">
        <v>191</v>
      </c>
      <c r="E1305" t="s">
        <v>134</v>
      </c>
      <c r="F1305" t="s">
        <v>200</v>
      </c>
      <c r="G1305" t="s">
        <v>28</v>
      </c>
      <c r="H1305" t="s">
        <v>138</v>
      </c>
      <c r="I1305" t="s">
        <v>135</v>
      </c>
      <c r="J1305" t="s">
        <v>39</v>
      </c>
      <c r="K1305" t="s">
        <v>28</v>
      </c>
      <c r="L1305">
        <v>9.8838117015195223E-3</v>
      </c>
      <c r="M1305">
        <v>0</v>
      </c>
      <c r="N1305">
        <v>0.27106254108678052</v>
      </c>
      <c r="O1305">
        <v>3.8137772217585497</v>
      </c>
      <c r="P1305">
        <v>8.0075245929314374</v>
      </c>
      <c r="Q1305">
        <v>10.243276612019471</v>
      </c>
      <c r="R1305">
        <v>-1.5077156325713348</v>
      </c>
      <c r="S1305" s="2">
        <v>0</v>
      </c>
      <c r="T1305" s="2">
        <v>0</v>
      </c>
      <c r="U1305" s="2">
        <v>5.4787707808213186</v>
      </c>
      <c r="V1305" s="2">
        <v>8.9038100142797383</v>
      </c>
      <c r="W1305" s="2">
        <v>13.500422830458426</v>
      </c>
      <c r="X1305" s="2">
        <v>19.312283623147433</v>
      </c>
      <c r="Y1305" s="2">
        <v>26.234842988499789</v>
      </c>
      <c r="Z1305" s="2">
        <v>33.959740838820679</v>
      </c>
      <c r="AA1305" s="2">
        <v>41.934995771913961</v>
      </c>
      <c r="AB1305" s="2">
        <v>49.365720975079221</v>
      </c>
      <c r="AC1305" s="2">
        <v>55.282364781134888</v>
      </c>
      <c r="AD1305" s="2">
        <v>58.693752831635649</v>
      </c>
      <c r="AE1305" s="2">
        <v>58.815246325242228</v>
      </c>
      <c r="AF1305" s="2">
        <v>55.320604392555616</v>
      </c>
      <c r="AG1305" s="2">
        <v>48.525990492116833</v>
      </c>
      <c r="AH1305" s="2">
        <v>40.032554782439774</v>
      </c>
      <c r="AI1305" s="2">
        <v>30.535059754251119</v>
      </c>
      <c r="AJ1305" s="2">
        <v>21.083441838377617</v>
      </c>
      <c r="AK1305" s="2">
        <v>6.1509215544478586</v>
      </c>
      <c r="AL1305" s="2">
        <v>0</v>
      </c>
      <c r="AM1305" s="2">
        <v>0</v>
      </c>
      <c r="AN1305" s="2">
        <v>0</v>
      </c>
      <c r="AO1305" s="2">
        <v>0</v>
      </c>
      <c r="AP1305" s="2">
        <v>0</v>
      </c>
      <c r="AQ1305" s="2">
        <v>0</v>
      </c>
      <c r="AR1305" s="2">
        <v>573.13052457522224</v>
      </c>
    </row>
    <row r="1306" spans="1:44" x14ac:dyDescent="0.25">
      <c r="A1306" t="s">
        <v>131</v>
      </c>
      <c r="B1306" t="s">
        <v>171</v>
      </c>
      <c r="C1306" t="s">
        <v>43</v>
      </c>
      <c r="D1306" t="s">
        <v>172</v>
      </c>
      <c r="E1306" t="s">
        <v>145</v>
      </c>
      <c r="F1306" t="s">
        <v>172</v>
      </c>
      <c r="G1306" t="s">
        <v>28</v>
      </c>
      <c r="H1306" t="s">
        <v>55</v>
      </c>
      <c r="I1306" t="s">
        <v>135</v>
      </c>
      <c r="J1306" t="s">
        <v>39</v>
      </c>
      <c r="K1306" t="s">
        <v>28</v>
      </c>
      <c r="L1306">
        <v>1.6000000000000014</v>
      </c>
      <c r="M1306">
        <v>1</v>
      </c>
      <c r="N1306">
        <v>1.0868938912758126</v>
      </c>
      <c r="O1306">
        <v>2.2991652021706153</v>
      </c>
      <c r="P1306">
        <v>0.35237906657670803</v>
      </c>
      <c r="Q1306">
        <v>1.5400545897156579</v>
      </c>
      <c r="R1306">
        <v>-0.4596391366222527</v>
      </c>
      <c r="S1306" s="2">
        <v>3.7539504350099571E-6</v>
      </c>
      <c r="T1306" s="2">
        <v>5.7701052117418141E-6</v>
      </c>
      <c r="U1306" s="2">
        <v>1.2589212585061199E-5</v>
      </c>
      <c r="V1306" s="2">
        <v>2.3666983258999256E-5</v>
      </c>
      <c r="W1306" s="2">
        <v>4.0456088055922431E-5</v>
      </c>
      <c r="X1306" s="2">
        <v>6.4460123770908822E-5</v>
      </c>
      <c r="Y1306" s="2">
        <v>9.7048165948392882E-5</v>
      </c>
      <c r="Z1306" s="2">
        <v>1.3920057833547776E-4</v>
      </c>
      <c r="AA1306" s="2">
        <v>1.9120554479661199E-4</v>
      </c>
      <c r="AB1306" s="2">
        <v>2.5235737871484755E-4</v>
      </c>
      <c r="AC1306" s="2">
        <v>3.2074086450055531E-4</v>
      </c>
      <c r="AD1306" s="2">
        <v>3.9320718146267975E-4</v>
      </c>
      <c r="AE1306" s="2">
        <v>4.6563473290580119E-4</v>
      </c>
      <c r="AF1306" s="2">
        <v>5.335037373582946E-4</v>
      </c>
      <c r="AG1306" s="2">
        <v>5.9269912799685956E-4</v>
      </c>
      <c r="AH1306" s="2">
        <v>6.4033000675191049E-4</v>
      </c>
      <c r="AI1306" s="2">
        <v>6.7528600943963103E-4</v>
      </c>
      <c r="AJ1306" s="2">
        <v>7.0022640848590946E-4</v>
      </c>
      <c r="AK1306" s="2">
        <v>7.1283670988493816E-4</v>
      </c>
      <c r="AL1306" s="2">
        <v>7.223933056229937E-4</v>
      </c>
      <c r="AM1306" s="2">
        <v>7.2313411005080382E-4</v>
      </c>
      <c r="AN1306" s="2">
        <v>7.209044548600991E-4</v>
      </c>
      <c r="AO1306" s="2">
        <v>5.3429854979309777E-4</v>
      </c>
      <c r="AP1306" s="2">
        <v>0</v>
      </c>
      <c r="AQ1306" s="2">
        <v>0</v>
      </c>
      <c r="AR1306" s="2">
        <v>8.5657033302265484E-3</v>
      </c>
    </row>
    <row r="1307" spans="1:44" x14ac:dyDescent="0.25">
      <c r="A1307" t="s">
        <v>131</v>
      </c>
      <c r="B1307" t="s">
        <v>171</v>
      </c>
      <c r="C1307" t="s">
        <v>43</v>
      </c>
      <c r="D1307" t="s">
        <v>172</v>
      </c>
      <c r="E1307" t="s">
        <v>145</v>
      </c>
      <c r="F1307" t="s">
        <v>172</v>
      </c>
      <c r="G1307" t="s">
        <v>28</v>
      </c>
      <c r="H1307" t="s">
        <v>136</v>
      </c>
      <c r="I1307" t="s">
        <v>135</v>
      </c>
      <c r="J1307" t="s">
        <v>39</v>
      </c>
      <c r="K1307" t="s">
        <v>28</v>
      </c>
      <c r="L1307">
        <v>1.6000000000000014</v>
      </c>
      <c r="M1307">
        <v>1</v>
      </c>
      <c r="N1307">
        <v>1.0868938912758126</v>
      </c>
      <c r="O1307">
        <v>2.2991652021706153</v>
      </c>
      <c r="P1307">
        <v>0.35237906657670803</v>
      </c>
      <c r="Q1307">
        <v>1.5400545897156579</v>
      </c>
      <c r="R1307">
        <v>-0.4596391366222527</v>
      </c>
      <c r="S1307" s="2">
        <v>4.7132933239569463E-6</v>
      </c>
      <c r="T1307" s="2">
        <v>7.2446876547425004E-6</v>
      </c>
      <c r="U1307" s="2">
        <v>1.5806455801243504E-5</v>
      </c>
      <c r="V1307" s="2">
        <v>2.9715212314076845E-5</v>
      </c>
      <c r="W1307" s="2">
        <v>5.0794866114658145E-5</v>
      </c>
      <c r="X1307" s="2">
        <v>8.0933266512363305E-5</v>
      </c>
      <c r="Y1307" s="2">
        <v>1.2184936391298219E-4</v>
      </c>
      <c r="Z1307" s="2">
        <v>1.7477405946565535E-4</v>
      </c>
      <c r="AA1307" s="2">
        <v>2.4006918402241288E-4</v>
      </c>
      <c r="AB1307" s="2">
        <v>3.1684870883086412E-4</v>
      </c>
      <c r="AC1307" s="2">
        <v>4.0270797431736375E-4</v>
      </c>
      <c r="AD1307" s="2">
        <v>4.9369346116980906E-4</v>
      </c>
      <c r="AE1307" s="2">
        <v>5.8463027575950599E-4</v>
      </c>
      <c r="AF1307" s="2">
        <v>6.698435813498586E-4</v>
      </c>
      <c r="AG1307" s="2">
        <v>7.4416668292939022E-4</v>
      </c>
      <c r="AH1307" s="2">
        <v>8.039698973662877E-4</v>
      </c>
      <c r="AI1307" s="2">
        <v>8.4785910074086993E-4</v>
      </c>
      <c r="AJ1307" s="2">
        <v>8.7917315732119754E-4</v>
      </c>
      <c r="AK1307" s="2">
        <v>8.9500609129997762E-4</v>
      </c>
      <c r="AL1307" s="2">
        <v>9.0700492817109195E-4</v>
      </c>
      <c r="AM1307" s="2">
        <v>9.0793504928600921E-4</v>
      </c>
      <c r="AN1307" s="2">
        <v>9.0513559332434663E-4</v>
      </c>
      <c r="AO1307" s="2">
        <v>6.7084151251800095E-4</v>
      </c>
      <c r="AP1307" s="2">
        <v>0</v>
      </c>
      <c r="AQ1307" s="2">
        <v>0</v>
      </c>
      <c r="AR1307" s="2">
        <v>1.0754716403506665E-2</v>
      </c>
    </row>
    <row r="1308" spans="1:44" x14ac:dyDescent="0.25">
      <c r="A1308" t="s">
        <v>131</v>
      </c>
      <c r="B1308" t="s">
        <v>171</v>
      </c>
      <c r="C1308" t="s">
        <v>43</v>
      </c>
      <c r="D1308" t="s">
        <v>172</v>
      </c>
      <c r="E1308" t="s">
        <v>145</v>
      </c>
      <c r="F1308" t="s">
        <v>172</v>
      </c>
      <c r="G1308" t="s">
        <v>28</v>
      </c>
      <c r="H1308" t="s">
        <v>54</v>
      </c>
      <c r="I1308" t="s">
        <v>135</v>
      </c>
      <c r="J1308" t="s">
        <v>39</v>
      </c>
      <c r="K1308" t="s">
        <v>28</v>
      </c>
      <c r="L1308">
        <v>1.6000000000000014</v>
      </c>
      <c r="M1308">
        <v>1</v>
      </c>
      <c r="N1308">
        <v>1.0868938912758126</v>
      </c>
      <c r="O1308">
        <v>2.2991652021706153</v>
      </c>
      <c r="P1308">
        <v>0.35237906657670803</v>
      </c>
      <c r="Q1308">
        <v>1.5400545897156579</v>
      </c>
      <c r="R1308">
        <v>-0.4596391366222527</v>
      </c>
      <c r="S1308" s="2">
        <v>0</v>
      </c>
      <c r="T1308" s="2">
        <v>0</v>
      </c>
      <c r="U1308" s="2">
        <v>0</v>
      </c>
      <c r="V1308" s="2">
        <v>0</v>
      </c>
      <c r="W1308" s="2">
        <v>0</v>
      </c>
      <c r="X1308" s="2">
        <v>0</v>
      </c>
      <c r="Y1308" s="2">
        <v>0</v>
      </c>
      <c r="Z1308" s="2">
        <v>0</v>
      </c>
      <c r="AA1308" s="2">
        <v>0</v>
      </c>
      <c r="AB1308" s="2">
        <v>0</v>
      </c>
      <c r="AC1308" s="2">
        <v>0</v>
      </c>
      <c r="AD1308" s="2">
        <v>0</v>
      </c>
      <c r="AE1308" s="2">
        <v>8.4851726971867415E-3</v>
      </c>
      <c r="AF1308" s="2">
        <v>3.9986146763847947E-3</v>
      </c>
      <c r="AG1308" s="2">
        <v>5.2902853567910494E-3</v>
      </c>
      <c r="AH1308" s="2">
        <v>5.7271810450848035E-3</v>
      </c>
      <c r="AI1308" s="2">
        <v>5.8029294927976977E-3</v>
      </c>
      <c r="AJ1308" s="2">
        <v>5.6482510315589256E-3</v>
      </c>
      <c r="AK1308" s="2">
        <v>5.2490439418085184E-3</v>
      </c>
      <c r="AL1308" s="2">
        <v>4.7747174513998606E-3</v>
      </c>
      <c r="AM1308" s="2">
        <v>4.1848665137087151E-3</v>
      </c>
      <c r="AN1308" s="2">
        <v>3.5406888716387965E-3</v>
      </c>
      <c r="AO1308" s="2">
        <v>2.8888623875487937E-3</v>
      </c>
      <c r="AP1308" s="2">
        <v>2.2581370269944513E-3</v>
      </c>
      <c r="AQ1308" s="2">
        <v>1.6788744558017626E-3</v>
      </c>
      <c r="AR1308" s="2">
        <v>5.9527624948704908E-2</v>
      </c>
    </row>
    <row r="1309" spans="1:44" x14ac:dyDescent="0.25">
      <c r="A1309" t="s">
        <v>131</v>
      </c>
      <c r="B1309" t="s">
        <v>171</v>
      </c>
      <c r="C1309" t="s">
        <v>43</v>
      </c>
      <c r="D1309" t="s">
        <v>172</v>
      </c>
      <c r="E1309" t="s">
        <v>145</v>
      </c>
      <c r="F1309" t="s">
        <v>172</v>
      </c>
      <c r="G1309" t="s">
        <v>28</v>
      </c>
      <c r="H1309" t="s">
        <v>142</v>
      </c>
      <c r="I1309" t="s">
        <v>135</v>
      </c>
      <c r="J1309" t="s">
        <v>39</v>
      </c>
      <c r="K1309" t="s">
        <v>28</v>
      </c>
      <c r="L1309">
        <v>1.6000000000000014</v>
      </c>
      <c r="M1309">
        <v>1</v>
      </c>
      <c r="N1309">
        <v>1.0868938912758126</v>
      </c>
      <c r="O1309">
        <v>2.2991652021706153</v>
      </c>
      <c r="P1309">
        <v>0.35237906657670803</v>
      </c>
      <c r="Q1309">
        <v>1.5400545897156579</v>
      </c>
      <c r="R1309">
        <v>-0.4596391366222527</v>
      </c>
      <c r="S1309" s="2">
        <v>0</v>
      </c>
      <c r="T1309" s="2">
        <v>0</v>
      </c>
      <c r="U1309" s="2">
        <v>0</v>
      </c>
      <c r="V1309" s="2">
        <v>0</v>
      </c>
      <c r="W1309" s="2">
        <v>0</v>
      </c>
      <c r="X1309" s="2">
        <v>0</v>
      </c>
      <c r="Y1309" s="2">
        <v>0</v>
      </c>
      <c r="Z1309" s="2">
        <v>0</v>
      </c>
      <c r="AA1309" s="2">
        <v>0</v>
      </c>
      <c r="AB1309" s="2">
        <v>0</v>
      </c>
      <c r="AC1309" s="2">
        <v>0</v>
      </c>
      <c r="AD1309" s="2">
        <v>0</v>
      </c>
      <c r="AE1309" s="2">
        <v>6.8009298753833429E-3</v>
      </c>
      <c r="AF1309" s="2">
        <v>3.2049198034340442E-3</v>
      </c>
      <c r="AG1309" s="2">
        <v>4.2402035899908146E-3</v>
      </c>
      <c r="AH1309" s="2">
        <v>4.5903787773418463E-3</v>
      </c>
      <c r="AI1309" s="2">
        <v>4.6510917291519181E-3</v>
      </c>
      <c r="AJ1309" s="2">
        <v>4.5271157765510075E-3</v>
      </c>
      <c r="AK1309" s="2">
        <v>4.2071482850173664E-3</v>
      </c>
      <c r="AL1309" s="2">
        <v>3.8269720276295407E-3</v>
      </c>
      <c r="AM1309" s="2">
        <v>3.3542020549574944E-3</v>
      </c>
      <c r="AN1309" s="2">
        <v>2.8378888192280823E-3</v>
      </c>
      <c r="AO1309" s="2">
        <v>2.3154449789649788E-3</v>
      </c>
      <c r="AP1309" s="2">
        <v>1.8099138482694204E-3</v>
      </c>
      <c r="AQ1309" s="2">
        <v>1.3456305311577033E-3</v>
      </c>
      <c r="AR1309" s="2">
        <v>4.7711840097077567E-2</v>
      </c>
    </row>
    <row r="1310" spans="1:44" x14ac:dyDescent="0.25">
      <c r="A1310" t="s">
        <v>131</v>
      </c>
      <c r="B1310" t="s">
        <v>171</v>
      </c>
      <c r="C1310" t="s">
        <v>43</v>
      </c>
      <c r="D1310" t="s">
        <v>172</v>
      </c>
      <c r="E1310" t="s">
        <v>145</v>
      </c>
      <c r="F1310" t="s">
        <v>172</v>
      </c>
      <c r="G1310" t="s">
        <v>28</v>
      </c>
      <c r="H1310" t="s">
        <v>53</v>
      </c>
      <c r="I1310" t="s">
        <v>135</v>
      </c>
      <c r="J1310" t="s">
        <v>39</v>
      </c>
      <c r="K1310" t="s">
        <v>28</v>
      </c>
      <c r="L1310">
        <v>1.6000000000000014</v>
      </c>
      <c r="M1310">
        <v>1</v>
      </c>
      <c r="N1310">
        <v>1.0868938912758126</v>
      </c>
      <c r="O1310">
        <v>2.2991652021706153</v>
      </c>
      <c r="P1310">
        <v>0.35237906657670803</v>
      </c>
      <c r="Q1310">
        <v>1.5400545897156579</v>
      </c>
      <c r="R1310">
        <v>-0.4596391366222527</v>
      </c>
      <c r="S1310" s="2">
        <v>0</v>
      </c>
      <c r="T1310" s="2">
        <v>0</v>
      </c>
      <c r="U1310" s="2">
        <v>0</v>
      </c>
      <c r="V1310" s="2">
        <v>0</v>
      </c>
      <c r="W1310" s="2">
        <v>0</v>
      </c>
      <c r="X1310" s="2">
        <v>0</v>
      </c>
      <c r="Y1310" s="2">
        <v>0</v>
      </c>
      <c r="Z1310" s="2">
        <v>0</v>
      </c>
      <c r="AA1310" s="2">
        <v>0</v>
      </c>
      <c r="AB1310" s="2">
        <v>0</v>
      </c>
      <c r="AC1310" s="2">
        <v>0</v>
      </c>
      <c r="AD1310" s="2">
        <v>0</v>
      </c>
      <c r="AE1310" s="2">
        <v>0</v>
      </c>
      <c r="AF1310" s="2">
        <v>0</v>
      </c>
      <c r="AG1310" s="2">
        <v>0</v>
      </c>
      <c r="AH1310" s="2">
        <v>0</v>
      </c>
      <c r="AI1310" s="2">
        <v>0</v>
      </c>
      <c r="AJ1310" s="2">
        <v>0</v>
      </c>
      <c r="AK1310" s="2">
        <v>0</v>
      </c>
      <c r="AL1310" s="2">
        <v>0</v>
      </c>
      <c r="AM1310" s="2">
        <v>0</v>
      </c>
      <c r="AN1310" s="2">
        <v>0</v>
      </c>
      <c r="AO1310" s="2">
        <v>0</v>
      </c>
      <c r="AP1310" s="2">
        <v>0</v>
      </c>
      <c r="AQ1310" s="2">
        <v>0</v>
      </c>
      <c r="AR1310" s="2">
        <v>0</v>
      </c>
    </row>
    <row r="1311" spans="1:44" x14ac:dyDescent="0.25">
      <c r="A1311" t="s">
        <v>131</v>
      </c>
      <c r="B1311" t="s">
        <v>171</v>
      </c>
      <c r="C1311" t="s">
        <v>43</v>
      </c>
      <c r="D1311" t="s">
        <v>172</v>
      </c>
      <c r="E1311" t="s">
        <v>145</v>
      </c>
      <c r="F1311" t="s">
        <v>172</v>
      </c>
      <c r="G1311" t="s">
        <v>28</v>
      </c>
      <c r="H1311" t="s">
        <v>141</v>
      </c>
      <c r="I1311" t="s">
        <v>135</v>
      </c>
      <c r="J1311" t="s">
        <v>39</v>
      </c>
      <c r="K1311" t="s">
        <v>28</v>
      </c>
      <c r="L1311">
        <v>1.6000000000000014</v>
      </c>
      <c r="M1311">
        <v>1</v>
      </c>
      <c r="N1311">
        <v>1.0868938912758126</v>
      </c>
      <c r="O1311">
        <v>2.2991652021706153</v>
      </c>
      <c r="P1311">
        <v>0.35237906657670803</v>
      </c>
      <c r="Q1311">
        <v>1.5400545897156579</v>
      </c>
      <c r="R1311">
        <v>-0.4596391366222527</v>
      </c>
      <c r="S1311" s="2">
        <v>0</v>
      </c>
      <c r="T1311" s="2">
        <v>0</v>
      </c>
      <c r="U1311" s="2">
        <v>0</v>
      </c>
      <c r="V1311" s="2">
        <v>0</v>
      </c>
      <c r="W1311" s="2">
        <v>0</v>
      </c>
      <c r="X1311" s="2">
        <v>0</v>
      </c>
      <c r="Y1311" s="2">
        <v>0</v>
      </c>
      <c r="Z1311" s="2">
        <v>0</v>
      </c>
      <c r="AA1311" s="2">
        <v>0</v>
      </c>
      <c r="AB1311" s="2">
        <v>0</v>
      </c>
      <c r="AC1311" s="2">
        <v>0</v>
      </c>
      <c r="AD1311" s="2">
        <v>0</v>
      </c>
      <c r="AE1311" s="2">
        <v>0</v>
      </c>
      <c r="AF1311" s="2">
        <v>0</v>
      </c>
      <c r="AG1311" s="2">
        <v>0</v>
      </c>
      <c r="AH1311" s="2">
        <v>0</v>
      </c>
      <c r="AI1311" s="2">
        <v>0</v>
      </c>
      <c r="AJ1311" s="2">
        <v>0</v>
      </c>
      <c r="AK1311" s="2">
        <v>0</v>
      </c>
      <c r="AL1311" s="2">
        <v>0</v>
      </c>
      <c r="AM1311" s="2">
        <v>0</v>
      </c>
      <c r="AN1311" s="2">
        <v>0</v>
      </c>
      <c r="AO1311" s="2">
        <v>0</v>
      </c>
      <c r="AP1311" s="2">
        <v>0</v>
      </c>
      <c r="AQ1311" s="2">
        <v>0</v>
      </c>
      <c r="AR1311" s="2">
        <v>0</v>
      </c>
    </row>
    <row r="1312" spans="1:44" x14ac:dyDescent="0.25">
      <c r="A1312" t="s">
        <v>131</v>
      </c>
      <c r="B1312" t="s">
        <v>171</v>
      </c>
      <c r="C1312" t="s">
        <v>43</v>
      </c>
      <c r="D1312" t="s">
        <v>172</v>
      </c>
      <c r="E1312" t="s">
        <v>145</v>
      </c>
      <c r="F1312" t="s">
        <v>172</v>
      </c>
      <c r="G1312" t="s">
        <v>28</v>
      </c>
      <c r="H1312" t="s">
        <v>52</v>
      </c>
      <c r="I1312" t="s">
        <v>135</v>
      </c>
      <c r="J1312" t="s">
        <v>39</v>
      </c>
      <c r="K1312" t="s">
        <v>28</v>
      </c>
      <c r="L1312">
        <v>1.6000000000000014</v>
      </c>
      <c r="M1312">
        <v>1</v>
      </c>
      <c r="N1312">
        <v>1.0868938912758126</v>
      </c>
      <c r="O1312">
        <v>2.2991652021706153</v>
      </c>
      <c r="P1312">
        <v>0.35237906657670803</v>
      </c>
      <c r="Q1312">
        <v>1.5400545897156579</v>
      </c>
      <c r="R1312">
        <v>-0.4596391366222527</v>
      </c>
      <c r="S1312" s="2">
        <v>1.9557664660797987E-3</v>
      </c>
      <c r="T1312" s="2">
        <v>3.0061607030373535E-3</v>
      </c>
      <c r="U1312" s="2">
        <v>6.5588398766770507E-3</v>
      </c>
      <c r="V1312" s="2">
        <v>1.2330235311457953E-2</v>
      </c>
      <c r="W1312" s="2">
        <v>2.1077172365046068E-2</v>
      </c>
      <c r="X1312" s="2">
        <v>3.3583008261046036E-2</v>
      </c>
      <c r="Y1312" s="2">
        <v>5.0561016146157697E-2</v>
      </c>
      <c r="Z1312" s="2">
        <v>7.2521954639691272E-2</v>
      </c>
      <c r="AA1312" s="2">
        <v>9.9615964332981574E-2</v>
      </c>
      <c r="AB1312" s="2">
        <v>0.13147539033956096</v>
      </c>
      <c r="AC1312" s="2">
        <v>0.16710242661740593</v>
      </c>
      <c r="AD1312" s="2">
        <v>0.20485657257337328</v>
      </c>
      <c r="AE1312" s="2">
        <v>0.35818803889090234</v>
      </c>
      <c r="AF1312" s="2">
        <v>0.33242453636415731</v>
      </c>
      <c r="AG1312" s="2">
        <v>0.38086171713381861</v>
      </c>
      <c r="AH1312" s="2">
        <v>0.41162891212127467</v>
      </c>
      <c r="AI1312" s="2">
        <v>0.43087255801470609</v>
      </c>
      <c r="AJ1312" s="2">
        <v>0.44175897104164341</v>
      </c>
      <c r="AK1312" s="2">
        <v>0.44289021115325061</v>
      </c>
      <c r="AL1312" s="2">
        <v>0.44140711745763578</v>
      </c>
      <c r="AM1312" s="2">
        <v>0.43375725031378104</v>
      </c>
      <c r="AN1312" s="2">
        <v>0.42381968835150996</v>
      </c>
      <c r="AO1312" s="2">
        <v>0.31771994503988826</v>
      </c>
      <c r="AP1312" s="2">
        <v>3.0763667653457623E-2</v>
      </c>
      <c r="AQ1312" s="2">
        <v>2.2872099953521446E-2</v>
      </c>
      <c r="AR1312" s="2">
        <v>5.2736092211220615</v>
      </c>
    </row>
    <row r="1313" spans="1:44" x14ac:dyDescent="0.25">
      <c r="A1313" t="s">
        <v>131</v>
      </c>
      <c r="B1313" t="s">
        <v>171</v>
      </c>
      <c r="C1313" t="s">
        <v>43</v>
      </c>
      <c r="D1313" t="s">
        <v>172</v>
      </c>
      <c r="E1313" t="s">
        <v>145</v>
      </c>
      <c r="F1313" t="s">
        <v>172</v>
      </c>
      <c r="G1313" t="s">
        <v>28</v>
      </c>
      <c r="H1313" t="s">
        <v>138</v>
      </c>
      <c r="I1313" t="s">
        <v>135</v>
      </c>
      <c r="J1313" t="s">
        <v>39</v>
      </c>
      <c r="K1313" t="s">
        <v>28</v>
      </c>
      <c r="L1313">
        <v>1.6000000000000014</v>
      </c>
      <c r="M1313">
        <v>1</v>
      </c>
      <c r="N1313">
        <v>1.0868938912758126</v>
      </c>
      <c r="O1313">
        <v>2.2991652021706153</v>
      </c>
      <c r="P1313">
        <v>0.35237906657670803</v>
      </c>
      <c r="Q1313">
        <v>1.5400545897156579</v>
      </c>
      <c r="R1313">
        <v>-0.4596391366222527</v>
      </c>
      <c r="S1313" s="2">
        <v>6.7842226472707731E-4</v>
      </c>
      <c r="T1313" s="2">
        <v>1.0427862363220066E-3</v>
      </c>
      <c r="U1313" s="2">
        <v>2.2751504744002258E-3</v>
      </c>
      <c r="V1313" s="2">
        <v>4.2771498078624775E-3</v>
      </c>
      <c r="W1313" s="2">
        <v>7.3113141358842008E-3</v>
      </c>
      <c r="X1313" s="2">
        <v>1.1649376812598132E-2</v>
      </c>
      <c r="Y1313" s="2">
        <v>1.7538760212784554E-2</v>
      </c>
      <c r="Z1313" s="2">
        <v>2.5156637851406059E-2</v>
      </c>
      <c r="AA1313" s="2">
        <v>3.4555090956854384E-2</v>
      </c>
      <c r="AB1313" s="2">
        <v>4.5606586275522165E-2</v>
      </c>
      <c r="AC1313" s="2">
        <v>5.7965001790017012E-2</v>
      </c>
      <c r="AD1313" s="2">
        <v>7.1061275627672088E-2</v>
      </c>
      <c r="AE1313" s="2">
        <v>0.12424936451109062</v>
      </c>
      <c r="AF1313" s="2">
        <v>0.11531244180859088</v>
      </c>
      <c r="AG1313" s="2">
        <v>0.13211447949799657</v>
      </c>
      <c r="AH1313" s="2">
        <v>0.14278709837387304</v>
      </c>
      <c r="AI1313" s="2">
        <v>0.14946239322888516</v>
      </c>
      <c r="AJ1313" s="2">
        <v>0.1532387055384489</v>
      </c>
      <c r="AK1313" s="2">
        <v>0.15363111357477496</v>
      </c>
      <c r="AL1313" s="2">
        <v>0.15311665348905806</v>
      </c>
      <c r="AM1313" s="2">
        <v>0.1504630441330301</v>
      </c>
      <c r="AN1313" s="2">
        <v>0.14701587218830237</v>
      </c>
      <c r="AO1313" s="2">
        <v>0.11021166811136512</v>
      </c>
      <c r="AP1313" s="2">
        <v>1.0671395303450498E-2</v>
      </c>
      <c r="AQ1313" s="2">
        <v>7.9339441178959934E-3</v>
      </c>
      <c r="AR1313" s="2">
        <v>1.8293257263228127</v>
      </c>
    </row>
    <row r="1314" spans="1:44" x14ac:dyDescent="0.25">
      <c r="A1314" t="s">
        <v>131</v>
      </c>
      <c r="B1314" t="s">
        <v>171</v>
      </c>
      <c r="C1314" t="s">
        <v>43</v>
      </c>
      <c r="D1314" t="s">
        <v>172</v>
      </c>
      <c r="E1314" t="s">
        <v>148</v>
      </c>
      <c r="F1314" t="s">
        <v>172</v>
      </c>
      <c r="G1314" t="s">
        <v>28</v>
      </c>
      <c r="H1314" t="s">
        <v>55</v>
      </c>
      <c r="I1314" t="s">
        <v>135</v>
      </c>
      <c r="J1314" t="s">
        <v>39</v>
      </c>
      <c r="K1314" t="s">
        <v>28</v>
      </c>
      <c r="L1314">
        <v>1.6000000000000014</v>
      </c>
      <c r="M1314">
        <v>1</v>
      </c>
      <c r="N1314">
        <v>1.0868938912758126</v>
      </c>
      <c r="O1314">
        <v>2.2991652021706153</v>
      </c>
      <c r="P1314">
        <v>0.35237906657670803</v>
      </c>
      <c r="Q1314">
        <v>1.5400545897156579</v>
      </c>
      <c r="R1314">
        <v>-0.4596391366222527</v>
      </c>
      <c r="S1314" s="2">
        <v>0</v>
      </c>
      <c r="T1314" s="2">
        <v>0</v>
      </c>
      <c r="U1314" s="2">
        <v>0</v>
      </c>
      <c r="V1314" s="2">
        <v>0</v>
      </c>
      <c r="W1314" s="2">
        <v>0</v>
      </c>
      <c r="X1314" s="2">
        <v>0</v>
      </c>
      <c r="Y1314" s="2">
        <v>0</v>
      </c>
      <c r="Z1314" s="2">
        <v>0</v>
      </c>
      <c r="AA1314" s="2">
        <v>0</v>
      </c>
      <c r="AB1314" s="2">
        <v>0</v>
      </c>
      <c r="AC1314" s="2">
        <v>0</v>
      </c>
      <c r="AD1314" s="2">
        <v>0</v>
      </c>
      <c r="AE1314" s="2">
        <v>0</v>
      </c>
      <c r="AF1314" s="2">
        <v>0</v>
      </c>
      <c r="AG1314" s="2">
        <v>0</v>
      </c>
      <c r="AH1314" s="2">
        <v>0</v>
      </c>
      <c r="AI1314" s="2">
        <v>0</v>
      </c>
      <c r="AJ1314" s="2">
        <v>0</v>
      </c>
      <c r="AK1314" s="2">
        <v>0</v>
      </c>
      <c r="AL1314" s="2">
        <v>0</v>
      </c>
      <c r="AM1314" s="2">
        <v>0</v>
      </c>
      <c r="AN1314" s="2">
        <v>0</v>
      </c>
      <c r="AO1314" s="2">
        <v>0</v>
      </c>
      <c r="AP1314" s="2">
        <v>0</v>
      </c>
      <c r="AQ1314" s="2">
        <v>0</v>
      </c>
      <c r="AR1314" s="2">
        <v>0</v>
      </c>
    </row>
    <row r="1315" spans="1:44" x14ac:dyDescent="0.25">
      <c r="A1315" t="s">
        <v>131</v>
      </c>
      <c r="B1315" t="s">
        <v>171</v>
      </c>
      <c r="C1315" t="s">
        <v>43</v>
      </c>
      <c r="D1315" t="s">
        <v>172</v>
      </c>
      <c r="E1315" t="s">
        <v>148</v>
      </c>
      <c r="F1315" t="s">
        <v>172</v>
      </c>
      <c r="G1315" t="s">
        <v>28</v>
      </c>
      <c r="H1315" t="s">
        <v>136</v>
      </c>
      <c r="I1315" t="s">
        <v>135</v>
      </c>
      <c r="J1315" t="s">
        <v>39</v>
      </c>
      <c r="K1315" t="s">
        <v>28</v>
      </c>
      <c r="L1315">
        <v>1.6000000000000014</v>
      </c>
      <c r="M1315">
        <v>1</v>
      </c>
      <c r="N1315">
        <v>1.0868938912758126</v>
      </c>
      <c r="O1315">
        <v>2.2991652021706153</v>
      </c>
      <c r="P1315">
        <v>0.35237906657670803</v>
      </c>
      <c r="Q1315">
        <v>1.5400545897156579</v>
      </c>
      <c r="R1315">
        <v>-0.4596391366222527</v>
      </c>
      <c r="S1315" s="2">
        <v>0</v>
      </c>
      <c r="T1315" s="2">
        <v>0</v>
      </c>
      <c r="U1315" s="2">
        <v>0</v>
      </c>
      <c r="V1315" s="2">
        <v>0</v>
      </c>
      <c r="W1315" s="2">
        <v>0</v>
      </c>
      <c r="X1315" s="2">
        <v>0</v>
      </c>
      <c r="Y1315" s="2">
        <v>0</v>
      </c>
      <c r="Z1315" s="2">
        <v>0</v>
      </c>
      <c r="AA1315" s="2">
        <v>0</v>
      </c>
      <c r="AB1315" s="2">
        <v>0</v>
      </c>
      <c r="AC1315" s="2">
        <v>0</v>
      </c>
      <c r="AD1315" s="2">
        <v>0</v>
      </c>
      <c r="AE1315" s="2">
        <v>0</v>
      </c>
      <c r="AF1315" s="2">
        <v>0</v>
      </c>
      <c r="AG1315" s="2">
        <v>0</v>
      </c>
      <c r="AH1315" s="2">
        <v>0</v>
      </c>
      <c r="AI1315" s="2">
        <v>0</v>
      </c>
      <c r="AJ1315" s="2">
        <v>0</v>
      </c>
      <c r="AK1315" s="2">
        <v>0</v>
      </c>
      <c r="AL1315" s="2">
        <v>0</v>
      </c>
      <c r="AM1315" s="2">
        <v>0</v>
      </c>
      <c r="AN1315" s="2">
        <v>0</v>
      </c>
      <c r="AO1315" s="2">
        <v>0</v>
      </c>
      <c r="AP1315" s="2">
        <v>0</v>
      </c>
      <c r="AQ1315" s="2">
        <v>0</v>
      </c>
      <c r="AR1315" s="2">
        <v>0</v>
      </c>
    </row>
    <row r="1316" spans="1:44" x14ac:dyDescent="0.25">
      <c r="A1316" t="s">
        <v>131</v>
      </c>
      <c r="B1316" t="s">
        <v>171</v>
      </c>
      <c r="C1316" t="s">
        <v>43</v>
      </c>
      <c r="D1316" t="s">
        <v>172</v>
      </c>
      <c r="E1316" t="s">
        <v>148</v>
      </c>
      <c r="F1316" t="s">
        <v>172</v>
      </c>
      <c r="G1316" t="s">
        <v>28</v>
      </c>
      <c r="H1316" t="s">
        <v>54</v>
      </c>
      <c r="I1316" t="s">
        <v>135</v>
      </c>
      <c r="J1316" t="s">
        <v>39</v>
      </c>
      <c r="K1316" t="s">
        <v>28</v>
      </c>
      <c r="L1316">
        <v>1.6000000000000014</v>
      </c>
      <c r="M1316">
        <v>1</v>
      </c>
      <c r="N1316">
        <v>1.0868938912758126</v>
      </c>
      <c r="O1316">
        <v>2.2991652021706153</v>
      </c>
      <c r="P1316">
        <v>0.35237906657670803</v>
      </c>
      <c r="Q1316">
        <v>1.5400545897156579</v>
      </c>
      <c r="R1316">
        <v>-0.4596391366222527</v>
      </c>
      <c r="S1316" s="2">
        <v>6.7612909799877175E-5</v>
      </c>
      <c r="T1316" s="2">
        <v>4.279396047708992E-5</v>
      </c>
      <c r="U1316" s="2">
        <v>1.1204581032870668E-4</v>
      </c>
      <c r="V1316" s="2">
        <v>2.1397279045425201E-4</v>
      </c>
      <c r="W1316" s="2">
        <v>3.5922781482048912E-4</v>
      </c>
      <c r="X1316" s="2">
        <v>5.5538225562671835E-4</v>
      </c>
      <c r="Y1316" s="2">
        <v>8.0057929347850793E-4</v>
      </c>
      <c r="Z1316" s="2">
        <v>1.1011107033122897E-3</v>
      </c>
      <c r="AA1316" s="2">
        <v>1.4473906776046592E-3</v>
      </c>
      <c r="AB1316" s="2">
        <v>1.8220347353571338E-3</v>
      </c>
      <c r="AC1316" s="2">
        <v>2.2028056345418366E-3</v>
      </c>
      <c r="AD1316" s="2">
        <v>2.5610307843226083E-3</v>
      </c>
      <c r="AE1316" s="2">
        <v>2.8664232259348319E-3</v>
      </c>
      <c r="AF1316" s="2">
        <v>3.0922404484879621E-3</v>
      </c>
      <c r="AG1316" s="2">
        <v>3.2204768583121075E-3</v>
      </c>
      <c r="AH1316" s="2">
        <v>3.2454019318935009E-3</v>
      </c>
      <c r="AI1316" s="2">
        <v>3.1740406605297714E-3</v>
      </c>
      <c r="AJ1316" s="2">
        <v>3.0315713281187043E-3</v>
      </c>
      <c r="AK1316" s="2">
        <v>2.819734280588669E-3</v>
      </c>
      <c r="AL1316" s="2">
        <v>2.5854137117415268E-3</v>
      </c>
      <c r="AM1316" s="2">
        <v>2.3135141342361812E-3</v>
      </c>
      <c r="AN1316" s="2">
        <v>2.030513548637829E-3</v>
      </c>
      <c r="AO1316" s="2">
        <v>1.7468854787452961E-3</v>
      </c>
      <c r="AP1316" s="2">
        <v>1.4627323643863492E-3</v>
      </c>
      <c r="AQ1316" s="2">
        <v>1.1781740980575728E-3</v>
      </c>
      <c r="AR1316" s="2">
        <v>4.4053109439794465E-2</v>
      </c>
    </row>
    <row r="1317" spans="1:44" x14ac:dyDescent="0.25">
      <c r="A1317" t="s">
        <v>131</v>
      </c>
      <c r="B1317" t="s">
        <v>171</v>
      </c>
      <c r="C1317" t="s">
        <v>43</v>
      </c>
      <c r="D1317" t="s">
        <v>172</v>
      </c>
      <c r="E1317" t="s">
        <v>148</v>
      </c>
      <c r="F1317" t="s">
        <v>172</v>
      </c>
      <c r="G1317" t="s">
        <v>28</v>
      </c>
      <c r="H1317" t="s">
        <v>142</v>
      </c>
      <c r="I1317" t="s">
        <v>135</v>
      </c>
      <c r="J1317" t="s">
        <v>39</v>
      </c>
      <c r="K1317" t="s">
        <v>28</v>
      </c>
      <c r="L1317">
        <v>1.6000000000000014</v>
      </c>
      <c r="M1317">
        <v>1</v>
      </c>
      <c r="N1317">
        <v>1.0868938912758126</v>
      </c>
      <c r="O1317">
        <v>2.2991652021706153</v>
      </c>
      <c r="P1317">
        <v>0.35237906657670803</v>
      </c>
      <c r="Q1317">
        <v>1.5400545897156579</v>
      </c>
      <c r="R1317">
        <v>-0.4596391366222527</v>
      </c>
      <c r="S1317" s="2">
        <v>5.4192256849650299E-5</v>
      </c>
      <c r="T1317" s="2">
        <v>3.4299681889928845E-5</v>
      </c>
      <c r="U1317" s="2">
        <v>8.9805561544867882E-5</v>
      </c>
      <c r="V1317" s="2">
        <v>1.7150080440931273E-4</v>
      </c>
      <c r="W1317" s="2">
        <v>2.879238013259696E-4</v>
      </c>
      <c r="X1317" s="2">
        <v>4.4514306418322476E-4</v>
      </c>
      <c r="Y1317" s="2">
        <v>6.4167033824030946E-4</v>
      </c>
      <c r="Z1317" s="2">
        <v>8.8254852853422315E-4</v>
      </c>
      <c r="AA1317" s="2">
        <v>1.1600945380801186E-3</v>
      </c>
      <c r="AB1317" s="2">
        <v>1.4603745743189097E-3</v>
      </c>
      <c r="AC1317" s="2">
        <v>1.7655653201478468E-3</v>
      </c>
      <c r="AD1317" s="2">
        <v>2.0526854778867122E-3</v>
      </c>
      <c r="AE1317" s="2">
        <v>2.2974598217920033E-3</v>
      </c>
      <c r="AF1317" s="2">
        <v>2.4784540278081843E-3</v>
      </c>
      <c r="AG1317" s="2">
        <v>2.5812364768883493E-3</v>
      </c>
      <c r="AH1317" s="2">
        <v>2.6012141112412611E-3</v>
      </c>
      <c r="AI1317" s="2">
        <v>2.5440175143442282E-3</v>
      </c>
      <c r="AJ1317" s="2">
        <v>2.4298272705272979E-3</v>
      </c>
      <c r="AK1317" s="2">
        <v>2.2600382801703052E-3</v>
      </c>
      <c r="AL1317" s="2">
        <v>2.0722285780038706E-3</v>
      </c>
      <c r="AM1317" s="2">
        <v>1.8542990171390777E-3</v>
      </c>
      <c r="AN1317" s="2">
        <v>1.6274719146117424E-3</v>
      </c>
      <c r="AO1317" s="2">
        <v>1.4001418786928118E-3</v>
      </c>
      <c r="AP1317" s="2">
        <v>1.1723910156764862E-3</v>
      </c>
      <c r="AQ1317" s="2">
        <v>9.4431542030242409E-4</v>
      </c>
      <c r="AR1317" s="2">
        <v>3.5308899274609125E-2</v>
      </c>
    </row>
    <row r="1318" spans="1:44" x14ac:dyDescent="0.25">
      <c r="A1318" t="s">
        <v>131</v>
      </c>
      <c r="B1318" t="s">
        <v>171</v>
      </c>
      <c r="C1318" t="s">
        <v>43</v>
      </c>
      <c r="D1318" t="s">
        <v>172</v>
      </c>
      <c r="E1318" t="s">
        <v>148</v>
      </c>
      <c r="F1318" t="s">
        <v>172</v>
      </c>
      <c r="G1318" t="s">
        <v>28</v>
      </c>
      <c r="H1318" t="s">
        <v>53</v>
      </c>
      <c r="I1318" t="s">
        <v>135</v>
      </c>
      <c r="J1318" t="s">
        <v>39</v>
      </c>
      <c r="K1318" t="s">
        <v>28</v>
      </c>
      <c r="L1318">
        <v>1.6000000000000014</v>
      </c>
      <c r="M1318">
        <v>1</v>
      </c>
      <c r="N1318">
        <v>1.0868938912758126</v>
      </c>
      <c r="O1318">
        <v>2.2991652021706153</v>
      </c>
      <c r="P1318">
        <v>0.35237906657670803</v>
      </c>
      <c r="Q1318">
        <v>1.5400545897156579</v>
      </c>
      <c r="R1318">
        <v>-0.4596391366222527</v>
      </c>
      <c r="S1318" s="2">
        <v>0</v>
      </c>
      <c r="T1318" s="2">
        <v>0</v>
      </c>
      <c r="U1318" s="2">
        <v>0</v>
      </c>
      <c r="V1318" s="2">
        <v>0</v>
      </c>
      <c r="W1318" s="2">
        <v>0</v>
      </c>
      <c r="X1318" s="2">
        <v>0</v>
      </c>
      <c r="Y1318" s="2">
        <v>0</v>
      </c>
      <c r="Z1318" s="2">
        <v>0</v>
      </c>
      <c r="AA1318" s="2">
        <v>0</v>
      </c>
      <c r="AB1318" s="2">
        <v>0</v>
      </c>
      <c r="AC1318" s="2">
        <v>0</v>
      </c>
      <c r="AD1318" s="2">
        <v>0</v>
      </c>
      <c r="AE1318" s="2">
        <v>0</v>
      </c>
      <c r="AF1318" s="2">
        <v>0</v>
      </c>
      <c r="AG1318" s="2">
        <v>0</v>
      </c>
      <c r="AH1318" s="2">
        <v>0</v>
      </c>
      <c r="AI1318" s="2">
        <v>0</v>
      </c>
      <c r="AJ1318" s="2">
        <v>0</v>
      </c>
      <c r="AK1318" s="2">
        <v>0</v>
      </c>
      <c r="AL1318" s="2">
        <v>0</v>
      </c>
      <c r="AM1318" s="2">
        <v>0</v>
      </c>
      <c r="AN1318" s="2">
        <v>0</v>
      </c>
      <c r="AO1318" s="2">
        <v>0</v>
      </c>
      <c r="AP1318" s="2">
        <v>0</v>
      </c>
      <c r="AQ1318" s="2">
        <v>0</v>
      </c>
      <c r="AR1318" s="2">
        <v>0</v>
      </c>
    </row>
    <row r="1319" spans="1:44" x14ac:dyDescent="0.25">
      <c r="A1319" t="s">
        <v>131</v>
      </c>
      <c r="B1319" t="s">
        <v>171</v>
      </c>
      <c r="C1319" t="s">
        <v>43</v>
      </c>
      <c r="D1319" t="s">
        <v>172</v>
      </c>
      <c r="E1319" t="s">
        <v>148</v>
      </c>
      <c r="F1319" t="s">
        <v>172</v>
      </c>
      <c r="G1319" t="s">
        <v>28</v>
      </c>
      <c r="H1319" t="s">
        <v>141</v>
      </c>
      <c r="I1319" t="s">
        <v>135</v>
      </c>
      <c r="J1319" t="s">
        <v>39</v>
      </c>
      <c r="K1319" t="s">
        <v>28</v>
      </c>
      <c r="L1319">
        <v>1.6000000000000014</v>
      </c>
      <c r="M1319">
        <v>1</v>
      </c>
      <c r="N1319">
        <v>1.0868938912758126</v>
      </c>
      <c r="O1319">
        <v>2.2991652021706153</v>
      </c>
      <c r="P1319">
        <v>0.35237906657670803</v>
      </c>
      <c r="Q1319">
        <v>1.5400545897156579</v>
      </c>
      <c r="R1319">
        <v>-0.4596391366222527</v>
      </c>
      <c r="S1319" s="2">
        <v>0</v>
      </c>
      <c r="T1319" s="2">
        <v>0</v>
      </c>
      <c r="U1319" s="2">
        <v>0</v>
      </c>
      <c r="V1319" s="2">
        <v>0</v>
      </c>
      <c r="W1319" s="2">
        <v>0</v>
      </c>
      <c r="X1319" s="2">
        <v>0</v>
      </c>
      <c r="Y1319" s="2">
        <v>0</v>
      </c>
      <c r="Z1319" s="2">
        <v>0</v>
      </c>
      <c r="AA1319" s="2">
        <v>0</v>
      </c>
      <c r="AB1319" s="2">
        <v>0</v>
      </c>
      <c r="AC1319" s="2">
        <v>0</v>
      </c>
      <c r="AD1319" s="2">
        <v>0</v>
      </c>
      <c r="AE1319" s="2">
        <v>0</v>
      </c>
      <c r="AF1319" s="2">
        <v>0</v>
      </c>
      <c r="AG1319" s="2">
        <v>0</v>
      </c>
      <c r="AH1319" s="2">
        <v>0</v>
      </c>
      <c r="AI1319" s="2">
        <v>0</v>
      </c>
      <c r="AJ1319" s="2">
        <v>0</v>
      </c>
      <c r="AK1319" s="2">
        <v>0</v>
      </c>
      <c r="AL1319" s="2">
        <v>0</v>
      </c>
      <c r="AM1319" s="2">
        <v>0</v>
      </c>
      <c r="AN1319" s="2">
        <v>0</v>
      </c>
      <c r="AO1319" s="2">
        <v>0</v>
      </c>
      <c r="AP1319" s="2">
        <v>0</v>
      </c>
      <c r="AQ1319" s="2">
        <v>0</v>
      </c>
      <c r="AR1319" s="2">
        <v>0</v>
      </c>
    </row>
    <row r="1320" spans="1:44" x14ac:dyDescent="0.25">
      <c r="A1320" t="s">
        <v>131</v>
      </c>
      <c r="B1320" t="s">
        <v>171</v>
      </c>
      <c r="C1320" t="s">
        <v>43</v>
      </c>
      <c r="D1320" t="s">
        <v>172</v>
      </c>
      <c r="E1320" t="s">
        <v>148</v>
      </c>
      <c r="F1320" t="s">
        <v>172</v>
      </c>
      <c r="G1320" t="s">
        <v>28</v>
      </c>
      <c r="H1320" t="s">
        <v>52</v>
      </c>
      <c r="I1320" t="s">
        <v>135</v>
      </c>
      <c r="J1320" t="s">
        <v>39</v>
      </c>
      <c r="K1320" t="s">
        <v>28</v>
      </c>
      <c r="L1320">
        <v>1.6000000000000014</v>
      </c>
      <c r="M1320">
        <v>1</v>
      </c>
      <c r="N1320">
        <v>1.0868938912758126</v>
      </c>
      <c r="O1320">
        <v>2.2991652021706153</v>
      </c>
      <c r="P1320">
        <v>0.35237906657670803</v>
      </c>
      <c r="Q1320">
        <v>1.5400545897156579</v>
      </c>
      <c r="R1320">
        <v>-0.4596391366222527</v>
      </c>
      <c r="S1320" s="2">
        <v>9.2112261625465301E-4</v>
      </c>
      <c r="T1320" s="2">
        <v>5.8300234306181203E-4</v>
      </c>
      <c r="U1320" s="2">
        <v>1.5264530140150607E-3</v>
      </c>
      <c r="V1320" s="2">
        <v>2.9150524231821738E-3</v>
      </c>
      <c r="W1320" s="2">
        <v>4.8939302508689215E-3</v>
      </c>
      <c r="X1320" s="2">
        <v>7.5662348779023192E-3</v>
      </c>
      <c r="Y1320" s="2">
        <v>1.0906669976353586E-2</v>
      </c>
      <c r="Z1320" s="2">
        <v>1.5000951368947944E-2</v>
      </c>
      <c r="AA1320" s="2">
        <v>1.9718487070648542E-2</v>
      </c>
      <c r="AB1320" s="2">
        <v>2.4822440082915585E-2</v>
      </c>
      <c r="AC1320" s="2">
        <v>3.0009861950851393E-2</v>
      </c>
      <c r="AD1320" s="2">
        <v>3.4890132422140313E-2</v>
      </c>
      <c r="AE1320" s="2">
        <v>3.9050637947414313E-2</v>
      </c>
      <c r="AF1320" s="2">
        <v>4.2127052665389388E-2</v>
      </c>
      <c r="AG1320" s="2">
        <v>4.3874077866138395E-2</v>
      </c>
      <c r="AH1320" s="2">
        <v>4.4213643920248791E-2</v>
      </c>
      <c r="AI1320" s="2">
        <v>4.324145560336709E-2</v>
      </c>
      <c r="AJ1320" s="2">
        <v>4.1300528573381283E-2</v>
      </c>
      <c r="AK1320" s="2">
        <v>3.8414572385160883E-2</v>
      </c>
      <c r="AL1320" s="2">
        <v>3.5222312562924053E-2</v>
      </c>
      <c r="AM1320" s="2">
        <v>3.1518096150235195E-2</v>
      </c>
      <c r="AN1320" s="2">
        <v>2.7662645459244298E-2</v>
      </c>
      <c r="AO1320" s="2">
        <v>2.3798646253235089E-2</v>
      </c>
      <c r="AP1320" s="2">
        <v>1.9927494118383848E-2</v>
      </c>
      <c r="AQ1320" s="2">
        <v>1.6050822406821156E-2</v>
      </c>
      <c r="AR1320" s="2">
        <v>0.60015632430908616</v>
      </c>
    </row>
    <row r="1321" spans="1:44" x14ac:dyDescent="0.25">
      <c r="A1321" t="s">
        <v>131</v>
      </c>
      <c r="B1321" t="s">
        <v>171</v>
      </c>
      <c r="C1321" t="s">
        <v>43</v>
      </c>
      <c r="D1321" t="s">
        <v>172</v>
      </c>
      <c r="E1321" t="s">
        <v>148</v>
      </c>
      <c r="F1321" t="s">
        <v>172</v>
      </c>
      <c r="G1321" t="s">
        <v>28</v>
      </c>
      <c r="H1321" t="s">
        <v>138</v>
      </c>
      <c r="I1321" t="s">
        <v>135</v>
      </c>
      <c r="J1321" t="s">
        <v>39</v>
      </c>
      <c r="K1321" t="s">
        <v>28</v>
      </c>
      <c r="L1321">
        <v>1.6000000000000014</v>
      </c>
      <c r="M1321">
        <v>1</v>
      </c>
      <c r="N1321">
        <v>1.0868938912758126</v>
      </c>
      <c r="O1321">
        <v>2.2991652021706153</v>
      </c>
      <c r="P1321">
        <v>0.35237906657670803</v>
      </c>
      <c r="Q1321">
        <v>1.5400545897156579</v>
      </c>
      <c r="R1321">
        <v>-0.4596391366222527</v>
      </c>
      <c r="S1321" s="2">
        <v>3.1952183568389027E-4</v>
      </c>
      <c r="T1321" s="2">
        <v>2.0223363923095768E-4</v>
      </c>
      <c r="U1321" s="2">
        <v>5.2950069894762029E-4</v>
      </c>
      <c r="V1321" s="2">
        <v>1.0111823170265537E-3</v>
      </c>
      <c r="W1321" s="2">
        <v>1.6976215216870274E-3</v>
      </c>
      <c r="X1321" s="2">
        <v>2.6245987393435817E-3</v>
      </c>
      <c r="Y1321" s="2">
        <v>3.7833391022498082E-3</v>
      </c>
      <c r="Z1321" s="2">
        <v>5.2035759776480209E-3</v>
      </c>
      <c r="AA1321" s="2">
        <v>6.8400092176011075E-3</v>
      </c>
      <c r="AB1321" s="2">
        <v>8.6104840783258908E-3</v>
      </c>
      <c r="AC1321" s="2">
        <v>1.0409912871475106E-2</v>
      </c>
      <c r="AD1321" s="2">
        <v>1.2102796046964417E-2</v>
      </c>
      <c r="AE1321" s="2">
        <v>1.3546004952434302E-2</v>
      </c>
      <c r="AF1321" s="2">
        <v>1.4613161116734422E-2</v>
      </c>
      <c r="AG1321" s="2">
        <v>1.5219174571706384E-2</v>
      </c>
      <c r="AH1321" s="2">
        <v>1.5336964285074235E-2</v>
      </c>
      <c r="AI1321" s="2">
        <v>1.4999728622678366E-2</v>
      </c>
      <c r="AJ1321" s="2">
        <v>1.4326453907015474E-2</v>
      </c>
      <c r="AK1321" s="2">
        <v>1.3325364581130766E-2</v>
      </c>
      <c r="AL1321" s="2">
        <v>1.2218023712084957E-2</v>
      </c>
      <c r="AM1321" s="2">
        <v>1.0933093772176458E-2</v>
      </c>
      <c r="AN1321" s="2">
        <v>9.5957032223891996E-3</v>
      </c>
      <c r="AO1321" s="2">
        <v>8.255347337517694E-3</v>
      </c>
      <c r="AP1321" s="2">
        <v>6.9125102227712417E-3</v>
      </c>
      <c r="AQ1321" s="2">
        <v>5.5677584603412763E-3</v>
      </c>
      <c r="AR1321" s="2">
        <v>0.20818406481023879</v>
      </c>
    </row>
    <row r="1322" spans="1:44" x14ac:dyDescent="0.25">
      <c r="A1322" t="s">
        <v>131</v>
      </c>
      <c r="B1322" t="s">
        <v>173</v>
      </c>
      <c r="C1322" t="s">
        <v>43</v>
      </c>
      <c r="D1322" t="s">
        <v>174</v>
      </c>
      <c r="E1322" t="s">
        <v>145</v>
      </c>
      <c r="F1322" t="s">
        <v>174</v>
      </c>
      <c r="G1322" t="s">
        <v>28</v>
      </c>
      <c r="H1322" t="s">
        <v>55</v>
      </c>
      <c r="I1322" t="s">
        <v>135</v>
      </c>
      <c r="J1322" t="s">
        <v>39</v>
      </c>
      <c r="K1322" t="s">
        <v>28</v>
      </c>
      <c r="L1322">
        <v>5.5</v>
      </c>
      <c r="M1322">
        <v>0</v>
      </c>
      <c r="N1322">
        <v>-0.36087965082923606</v>
      </c>
      <c r="O1322">
        <v>2.2991652021706162</v>
      </c>
      <c r="P1322">
        <v>-5.8259972515793415</v>
      </c>
      <c r="Q1322">
        <v>-4.638321728440391</v>
      </c>
      <c r="R1322">
        <v>-0.45963913662225314</v>
      </c>
      <c r="S1322" s="2">
        <v>1.4290397311820326E-2</v>
      </c>
      <c r="T1322" s="2">
        <v>1.9041273987252909E-2</v>
      </c>
      <c r="U1322" s="2">
        <v>2.3783202165066568E-2</v>
      </c>
      <c r="V1322" s="2">
        <v>2.80384773677845E-2</v>
      </c>
      <c r="W1322" s="2">
        <v>3.142679404767057E-2</v>
      </c>
      <c r="X1322" s="2">
        <v>3.4120209409397473E-2</v>
      </c>
      <c r="Y1322" s="2">
        <v>3.6256516854203412E-2</v>
      </c>
      <c r="Z1322" s="2">
        <v>3.794613178141712E-2</v>
      </c>
      <c r="AA1322" s="2">
        <v>3.9277461202013871E-2</v>
      </c>
      <c r="AB1322" s="2">
        <v>4.0321284431839043E-2</v>
      </c>
      <c r="AC1322" s="2">
        <v>4.1134269092467375E-2</v>
      </c>
      <c r="AD1322" s="2">
        <v>4.1761777213473746E-2</v>
      </c>
      <c r="AE1322" s="2">
        <v>4.2240117760973743E-2</v>
      </c>
      <c r="AF1322" s="2">
        <v>4.2598351536144954E-2</v>
      </c>
      <c r="AG1322" s="2">
        <v>4.5601328445699751E-2</v>
      </c>
      <c r="AH1322" s="2">
        <v>4.3467380977405039E-2</v>
      </c>
      <c r="AI1322" s="2">
        <v>2.358586572519732E-2</v>
      </c>
      <c r="AJ1322" s="2">
        <v>8.1932595277869576E-4</v>
      </c>
      <c r="AK1322" s="2">
        <v>6.2731524069389497E-4</v>
      </c>
      <c r="AL1322" s="2">
        <v>4.6916135047921141E-4</v>
      </c>
      <c r="AM1322" s="2">
        <v>3.4242100267469145E-4</v>
      </c>
      <c r="AN1322" s="2">
        <v>2.4653369650707527E-4</v>
      </c>
      <c r="AO1322" s="2">
        <v>1.7338147586342328E-4</v>
      </c>
      <c r="AP1322" s="2">
        <v>1.1773298511344655E-4</v>
      </c>
      <c r="AQ1322" s="2">
        <v>7.5815906834582149E-5</v>
      </c>
      <c r="AR1322" s="2">
        <v>0.58776252692077269</v>
      </c>
    </row>
    <row r="1323" spans="1:44" x14ac:dyDescent="0.25">
      <c r="A1323" t="s">
        <v>131</v>
      </c>
      <c r="B1323" t="s">
        <v>173</v>
      </c>
      <c r="C1323" t="s">
        <v>43</v>
      </c>
      <c r="D1323" t="s">
        <v>174</v>
      </c>
      <c r="E1323" t="s">
        <v>145</v>
      </c>
      <c r="F1323" t="s">
        <v>174</v>
      </c>
      <c r="G1323" t="s">
        <v>28</v>
      </c>
      <c r="H1323" t="s">
        <v>136</v>
      </c>
      <c r="I1323" t="s">
        <v>135</v>
      </c>
      <c r="J1323" t="s">
        <v>39</v>
      </c>
      <c r="K1323" t="s">
        <v>28</v>
      </c>
      <c r="L1323">
        <v>5.5</v>
      </c>
      <c r="M1323">
        <v>0</v>
      </c>
      <c r="N1323">
        <v>-0.36087965082923606</v>
      </c>
      <c r="O1323">
        <v>2.2991652021706162</v>
      </c>
      <c r="P1323">
        <v>-5.8259972515793415</v>
      </c>
      <c r="Q1323">
        <v>-4.638321728440391</v>
      </c>
      <c r="R1323">
        <v>-0.45963913662225314</v>
      </c>
      <c r="S1323" s="2">
        <v>1.7942387735952185E-2</v>
      </c>
      <c r="T1323" s="2">
        <v>2.3907377339550877E-2</v>
      </c>
      <c r="U1323" s="2">
        <v>2.9861131607250239E-2</v>
      </c>
      <c r="V1323" s="2">
        <v>3.5203866028440542E-2</v>
      </c>
      <c r="W1323" s="2">
        <v>3.945808585985304E-2</v>
      </c>
      <c r="X1323" s="2">
        <v>4.2839818480687929E-2</v>
      </c>
      <c r="Y1323" s="2">
        <v>4.5522071161388733E-2</v>
      </c>
      <c r="Z1323" s="2">
        <v>4.7643476570001474E-2</v>
      </c>
      <c r="AA1323" s="2">
        <v>4.9315034620306314E-2</v>
      </c>
      <c r="AB1323" s="2">
        <v>5.0625612675531242E-2</v>
      </c>
      <c r="AC1323" s="2">
        <v>5.1646360082764582E-2</v>
      </c>
      <c r="AD1323" s="2">
        <v>5.2434231390250365E-2</v>
      </c>
      <c r="AE1323" s="2">
        <v>5.3034814522111465E-2</v>
      </c>
      <c r="AF1323" s="2">
        <v>5.3484596928715329E-2</v>
      </c>
      <c r="AG1323" s="2">
        <v>5.725500127071189E-2</v>
      </c>
      <c r="AH1323" s="2">
        <v>5.4575711671630785E-2</v>
      </c>
      <c r="AI1323" s="2">
        <v>2.9613364743858849E-2</v>
      </c>
      <c r="AJ1323" s="2">
        <v>1.02870925182214E-3</v>
      </c>
      <c r="AK1323" s="2">
        <v>7.87629135537891E-4</v>
      </c>
      <c r="AL1323" s="2">
        <v>5.890581400461208E-4</v>
      </c>
      <c r="AM1323" s="2">
        <v>4.2992859224711219E-4</v>
      </c>
      <c r="AN1323" s="2">
        <v>3.0953675228110542E-4</v>
      </c>
      <c r="AO1323" s="2">
        <v>2.1769007525074236E-4</v>
      </c>
      <c r="AP1323" s="2">
        <v>1.4782030353132752E-4</v>
      </c>
      <c r="AQ1323" s="2">
        <v>9.5191083025641935E-5</v>
      </c>
      <c r="AR1323" s="2">
        <v>0.73796850602274799</v>
      </c>
    </row>
    <row r="1324" spans="1:44" x14ac:dyDescent="0.25">
      <c r="A1324" t="s">
        <v>131</v>
      </c>
      <c r="B1324" t="s">
        <v>173</v>
      </c>
      <c r="C1324" t="s">
        <v>43</v>
      </c>
      <c r="D1324" t="s">
        <v>174</v>
      </c>
      <c r="E1324" t="s">
        <v>145</v>
      </c>
      <c r="F1324" t="s">
        <v>174</v>
      </c>
      <c r="G1324" t="s">
        <v>28</v>
      </c>
      <c r="H1324" t="s">
        <v>54</v>
      </c>
      <c r="I1324" t="s">
        <v>135</v>
      </c>
      <c r="J1324" t="s">
        <v>39</v>
      </c>
      <c r="K1324" t="s">
        <v>28</v>
      </c>
      <c r="L1324">
        <v>5.5</v>
      </c>
      <c r="M1324">
        <v>0</v>
      </c>
      <c r="N1324">
        <v>-0.36087965082923606</v>
      </c>
      <c r="O1324">
        <v>2.2991652021706162</v>
      </c>
      <c r="P1324">
        <v>-5.8259972515793415</v>
      </c>
      <c r="Q1324">
        <v>-4.638321728440391</v>
      </c>
      <c r="R1324">
        <v>-0.45963913662225314</v>
      </c>
      <c r="S1324" s="2">
        <v>0</v>
      </c>
      <c r="T1324" s="2">
        <v>0</v>
      </c>
      <c r="U1324" s="2">
        <v>0</v>
      </c>
      <c r="V1324" s="2">
        <v>0</v>
      </c>
      <c r="W1324" s="2">
        <v>0</v>
      </c>
      <c r="X1324" s="2">
        <v>0</v>
      </c>
      <c r="Y1324" s="2">
        <v>0</v>
      </c>
      <c r="Z1324" s="2">
        <v>0</v>
      </c>
      <c r="AA1324" s="2">
        <v>0</v>
      </c>
      <c r="AB1324" s="2">
        <v>0</v>
      </c>
      <c r="AC1324" s="2">
        <v>0</v>
      </c>
      <c r="AD1324" s="2">
        <v>0</v>
      </c>
      <c r="AE1324" s="2">
        <v>0</v>
      </c>
      <c r="AF1324" s="2">
        <v>0</v>
      </c>
      <c r="AG1324" s="2">
        <v>0</v>
      </c>
      <c r="AH1324" s="2">
        <v>0</v>
      </c>
      <c r="AI1324" s="2">
        <v>0</v>
      </c>
      <c r="AJ1324" s="2">
        <v>0</v>
      </c>
      <c r="AK1324" s="2">
        <v>0</v>
      </c>
      <c r="AL1324" s="2">
        <v>0</v>
      </c>
      <c r="AM1324" s="2">
        <v>0</v>
      </c>
      <c r="AN1324" s="2">
        <v>0</v>
      </c>
      <c r="AO1324" s="2">
        <v>0</v>
      </c>
      <c r="AP1324" s="2">
        <v>0</v>
      </c>
      <c r="AQ1324" s="2">
        <v>0</v>
      </c>
      <c r="AR1324" s="2">
        <v>0</v>
      </c>
    </row>
    <row r="1325" spans="1:44" x14ac:dyDescent="0.25">
      <c r="A1325" t="s">
        <v>131</v>
      </c>
      <c r="B1325" t="s">
        <v>173</v>
      </c>
      <c r="C1325" t="s">
        <v>43</v>
      </c>
      <c r="D1325" t="s">
        <v>174</v>
      </c>
      <c r="E1325" t="s">
        <v>145</v>
      </c>
      <c r="F1325" t="s">
        <v>174</v>
      </c>
      <c r="G1325" t="s">
        <v>28</v>
      </c>
      <c r="H1325" t="s">
        <v>142</v>
      </c>
      <c r="I1325" t="s">
        <v>135</v>
      </c>
      <c r="J1325" t="s">
        <v>39</v>
      </c>
      <c r="K1325" t="s">
        <v>28</v>
      </c>
      <c r="L1325">
        <v>5.5</v>
      </c>
      <c r="M1325">
        <v>0</v>
      </c>
      <c r="N1325">
        <v>-0.36087965082923606</v>
      </c>
      <c r="O1325">
        <v>2.2991652021706162</v>
      </c>
      <c r="P1325">
        <v>-5.8259972515793415</v>
      </c>
      <c r="Q1325">
        <v>-4.638321728440391</v>
      </c>
      <c r="R1325">
        <v>-0.45963913662225314</v>
      </c>
      <c r="S1325" s="2">
        <v>0</v>
      </c>
      <c r="T1325" s="2">
        <v>0</v>
      </c>
      <c r="U1325" s="2">
        <v>0</v>
      </c>
      <c r="V1325" s="2">
        <v>0</v>
      </c>
      <c r="W1325" s="2">
        <v>0</v>
      </c>
      <c r="X1325" s="2">
        <v>0</v>
      </c>
      <c r="Y1325" s="2">
        <v>0</v>
      </c>
      <c r="Z1325" s="2">
        <v>0</v>
      </c>
      <c r="AA1325" s="2">
        <v>0</v>
      </c>
      <c r="AB1325" s="2">
        <v>0</v>
      </c>
      <c r="AC1325" s="2">
        <v>0</v>
      </c>
      <c r="AD1325" s="2">
        <v>0</v>
      </c>
      <c r="AE1325" s="2">
        <v>0</v>
      </c>
      <c r="AF1325" s="2">
        <v>0</v>
      </c>
      <c r="AG1325" s="2">
        <v>0</v>
      </c>
      <c r="AH1325" s="2">
        <v>0</v>
      </c>
      <c r="AI1325" s="2">
        <v>0</v>
      </c>
      <c r="AJ1325" s="2">
        <v>0</v>
      </c>
      <c r="AK1325" s="2">
        <v>0</v>
      </c>
      <c r="AL1325" s="2">
        <v>0</v>
      </c>
      <c r="AM1325" s="2">
        <v>0</v>
      </c>
      <c r="AN1325" s="2">
        <v>0</v>
      </c>
      <c r="AO1325" s="2">
        <v>0</v>
      </c>
      <c r="AP1325" s="2">
        <v>0</v>
      </c>
      <c r="AQ1325" s="2">
        <v>0</v>
      </c>
      <c r="AR1325" s="2">
        <v>0</v>
      </c>
    </row>
    <row r="1326" spans="1:44" x14ac:dyDescent="0.25">
      <c r="A1326" t="s">
        <v>131</v>
      </c>
      <c r="B1326" t="s">
        <v>173</v>
      </c>
      <c r="C1326" t="s">
        <v>43</v>
      </c>
      <c r="D1326" t="s">
        <v>174</v>
      </c>
      <c r="E1326" t="s">
        <v>145</v>
      </c>
      <c r="F1326" t="s">
        <v>174</v>
      </c>
      <c r="G1326" t="s">
        <v>28</v>
      </c>
      <c r="H1326" t="s">
        <v>53</v>
      </c>
      <c r="I1326" t="s">
        <v>135</v>
      </c>
      <c r="J1326" t="s">
        <v>39</v>
      </c>
      <c r="K1326" t="s">
        <v>28</v>
      </c>
      <c r="L1326">
        <v>5.5</v>
      </c>
      <c r="M1326">
        <v>0</v>
      </c>
      <c r="N1326">
        <v>-0.36087965082923606</v>
      </c>
      <c r="O1326">
        <v>2.2991652021706162</v>
      </c>
      <c r="P1326">
        <v>-5.8259972515793415</v>
      </c>
      <c r="Q1326">
        <v>-4.638321728440391</v>
      </c>
      <c r="R1326">
        <v>-0.45963913662225314</v>
      </c>
      <c r="S1326" s="2">
        <v>9.6898371465249461E-2</v>
      </c>
      <c r="T1326" s="2">
        <v>0.12911246620569977</v>
      </c>
      <c r="U1326" s="2">
        <v>0.16126588419746249</v>
      </c>
      <c r="V1326" s="2">
        <v>0.19011947225961998</v>
      </c>
      <c r="W1326" s="2">
        <v>0.21309450655190862</v>
      </c>
      <c r="X1326" s="2">
        <v>0.23135764903395462</v>
      </c>
      <c r="Y1326" s="2">
        <v>0.24584323035362587</v>
      </c>
      <c r="Z1326" s="2">
        <v>0.2572999401481787</v>
      </c>
      <c r="AA1326" s="2">
        <v>0.26632723658540897</v>
      </c>
      <c r="AB1326" s="2">
        <v>0.27340505036907425</v>
      </c>
      <c r="AC1326" s="2">
        <v>0.27891762555660615</v>
      </c>
      <c r="AD1326" s="2">
        <v>0.28317254679357151</v>
      </c>
      <c r="AE1326" s="2">
        <v>0.28641601295110142</v>
      </c>
      <c r="AF1326" s="2">
        <v>0.28884507553491257</v>
      </c>
      <c r="AG1326" s="2">
        <v>0.40907882625000058</v>
      </c>
      <c r="AH1326" s="2">
        <v>0.3291455779200218</v>
      </c>
      <c r="AI1326" s="2">
        <v>0.19316474037541803</v>
      </c>
      <c r="AJ1326" s="2">
        <v>3.1959690611086153E-2</v>
      </c>
      <c r="AK1326" s="2">
        <v>2.4469871777162262E-2</v>
      </c>
      <c r="AL1326" s="2">
        <v>1.8300716042428375E-2</v>
      </c>
      <c r="AM1326" s="2">
        <v>1.3356917679839417E-2</v>
      </c>
      <c r="AN1326" s="2">
        <v>9.6166130693796474E-3</v>
      </c>
      <c r="AO1326" s="2">
        <v>6.7631426875906829E-3</v>
      </c>
      <c r="AP1326" s="2">
        <v>4.5924454927667533E-3</v>
      </c>
      <c r="AQ1326" s="2">
        <v>2.9573735796047007E-3</v>
      </c>
      <c r="AR1326" s="2">
        <v>4.2454809834916709</v>
      </c>
    </row>
    <row r="1327" spans="1:44" x14ac:dyDescent="0.25">
      <c r="A1327" t="s">
        <v>131</v>
      </c>
      <c r="B1327" t="s">
        <v>173</v>
      </c>
      <c r="C1327" t="s">
        <v>43</v>
      </c>
      <c r="D1327" t="s">
        <v>174</v>
      </c>
      <c r="E1327" t="s">
        <v>145</v>
      </c>
      <c r="F1327" t="s">
        <v>174</v>
      </c>
      <c r="G1327" t="s">
        <v>28</v>
      </c>
      <c r="H1327" t="s">
        <v>141</v>
      </c>
      <c r="I1327" t="s">
        <v>135</v>
      </c>
      <c r="J1327" t="s">
        <v>39</v>
      </c>
      <c r="K1327" t="s">
        <v>28</v>
      </c>
      <c r="L1327">
        <v>5.5</v>
      </c>
      <c r="M1327">
        <v>0</v>
      </c>
      <c r="N1327">
        <v>-0.36087965082923606</v>
      </c>
      <c r="O1327">
        <v>2.2991652021706162</v>
      </c>
      <c r="P1327">
        <v>-5.8259972515793415</v>
      </c>
      <c r="Q1327">
        <v>-4.638321728440391</v>
      </c>
      <c r="R1327">
        <v>-0.45963913662225314</v>
      </c>
      <c r="S1327" s="2">
        <v>8.1556129316584972E-2</v>
      </c>
      <c r="T1327" s="2">
        <v>0.10866965905646393</v>
      </c>
      <c r="U1327" s="2">
        <v>0.13573211919953088</v>
      </c>
      <c r="V1327" s="2">
        <v>0.16001722248518016</v>
      </c>
      <c r="W1327" s="2">
        <v>0.17935454301452303</v>
      </c>
      <c r="X1327" s="2">
        <v>0.19472602127024513</v>
      </c>
      <c r="Y1327" s="2">
        <v>0.20691805221430179</v>
      </c>
      <c r="Z1327" s="2">
        <v>0.21656078295805034</v>
      </c>
      <c r="AA1327" s="2">
        <v>0.22415875745938582</v>
      </c>
      <c r="AB1327" s="2">
        <v>0.23011591739397078</v>
      </c>
      <c r="AC1327" s="2">
        <v>0.23475566817681018</v>
      </c>
      <c r="AD1327" s="2">
        <v>0.23833689355125595</v>
      </c>
      <c r="AE1327" s="2">
        <v>0.24106681090051024</v>
      </c>
      <c r="AF1327" s="2">
        <v>0.24311127190855139</v>
      </c>
      <c r="AG1327" s="2">
        <v>0.34430801209375045</v>
      </c>
      <c r="AH1327" s="2">
        <v>0.27703086141601829</v>
      </c>
      <c r="AI1327" s="2">
        <v>0.16258032314931042</v>
      </c>
      <c r="AJ1327" s="2">
        <v>2.6899406264330881E-2</v>
      </c>
      <c r="AK1327" s="2">
        <v>2.0595475412444886E-2</v>
      </c>
      <c r="AL1327" s="2">
        <v>1.5403102669043869E-2</v>
      </c>
      <c r="AM1327" s="2">
        <v>1.1242072380531506E-2</v>
      </c>
      <c r="AN1327" s="2">
        <v>8.0939826667278704E-3</v>
      </c>
      <c r="AO1327" s="2">
        <v>5.6923117620554953E-3</v>
      </c>
      <c r="AP1327" s="2">
        <v>3.8653082897453523E-3</v>
      </c>
      <c r="AQ1327" s="2">
        <v>2.4891227628339521E-3</v>
      </c>
      <c r="AR1327" s="2">
        <v>3.5732798277721574</v>
      </c>
    </row>
    <row r="1328" spans="1:44" x14ac:dyDescent="0.25">
      <c r="A1328" t="s">
        <v>131</v>
      </c>
      <c r="B1328" t="s">
        <v>173</v>
      </c>
      <c r="C1328" t="s">
        <v>43</v>
      </c>
      <c r="D1328" t="s">
        <v>174</v>
      </c>
      <c r="E1328" t="s">
        <v>145</v>
      </c>
      <c r="F1328" t="s">
        <v>174</v>
      </c>
      <c r="G1328" t="s">
        <v>28</v>
      </c>
      <c r="H1328" t="s">
        <v>52</v>
      </c>
      <c r="I1328" t="s">
        <v>135</v>
      </c>
      <c r="J1328" t="s">
        <v>39</v>
      </c>
      <c r="K1328" t="s">
        <v>28</v>
      </c>
      <c r="L1328">
        <v>5.5</v>
      </c>
      <c r="M1328">
        <v>0</v>
      </c>
      <c r="N1328">
        <v>-0.36087965082923606</v>
      </c>
      <c r="O1328">
        <v>2.2991652021706162</v>
      </c>
      <c r="P1328">
        <v>-5.8259972515793415</v>
      </c>
      <c r="Q1328">
        <v>-4.638321728440391</v>
      </c>
      <c r="R1328">
        <v>-0.45963913662225314</v>
      </c>
      <c r="S1328" s="2">
        <v>6.4895661944687246</v>
      </c>
      <c r="T1328" s="2">
        <v>8.6470379563962396</v>
      </c>
      <c r="U1328" s="2">
        <v>10.800446019717489</v>
      </c>
      <c r="V1328" s="2">
        <v>12.732854860504416</v>
      </c>
      <c r="W1328" s="2">
        <v>14.271559831552009</v>
      </c>
      <c r="X1328" s="2">
        <v>15.494695682692257</v>
      </c>
      <c r="Y1328" s="2">
        <v>16.464837259045577</v>
      </c>
      <c r="Z1328" s="2">
        <v>17.232126486493858</v>
      </c>
      <c r="AA1328" s="2">
        <v>17.836710824709563</v>
      </c>
      <c r="AB1328" s="2">
        <v>18.310732630924253</v>
      </c>
      <c r="AC1328" s="2">
        <v>18.679925848937245</v>
      </c>
      <c r="AD1328" s="2">
        <v>18.964890318432378</v>
      </c>
      <c r="AE1328" s="2">
        <v>19.182114694967517</v>
      </c>
      <c r="AF1328" s="2">
        <v>19.34479609187628</v>
      </c>
      <c r="AG1328" s="2">
        <v>20.708510270690415</v>
      </c>
      <c r="AH1328" s="2">
        <v>19.739440408681563</v>
      </c>
      <c r="AI1328" s="2">
        <v>10.710831444197368</v>
      </c>
      <c r="AJ1328" s="2">
        <v>0.37207293047097295</v>
      </c>
      <c r="AK1328" s="2">
        <v>0.28487687853960331</v>
      </c>
      <c r="AL1328" s="2">
        <v>0.21305591253945</v>
      </c>
      <c r="AM1328" s="2">
        <v>0.15550048852705367</v>
      </c>
      <c r="AN1328" s="2">
        <v>0.11195607146110438</v>
      </c>
      <c r="AO1328" s="2">
        <v>7.873612888143279E-2</v>
      </c>
      <c r="AP1328" s="2">
        <v>5.3464993554387601E-2</v>
      </c>
      <c r="AQ1328" s="2">
        <v>3.4429577796953589E-2</v>
      </c>
      <c r="AR1328" s="2">
        <v>266.91516980605809</v>
      </c>
    </row>
    <row r="1329" spans="1:44" x14ac:dyDescent="0.25">
      <c r="A1329" t="s">
        <v>131</v>
      </c>
      <c r="B1329" t="s">
        <v>173</v>
      </c>
      <c r="C1329" t="s">
        <v>43</v>
      </c>
      <c r="D1329" t="s">
        <v>174</v>
      </c>
      <c r="E1329" t="s">
        <v>145</v>
      </c>
      <c r="F1329" t="s">
        <v>174</v>
      </c>
      <c r="G1329" t="s">
        <v>28</v>
      </c>
      <c r="H1329" t="s">
        <v>138</v>
      </c>
      <c r="I1329" t="s">
        <v>135</v>
      </c>
      <c r="J1329" t="s">
        <v>39</v>
      </c>
      <c r="K1329" t="s">
        <v>28</v>
      </c>
      <c r="L1329">
        <v>5.5</v>
      </c>
      <c r="M1329">
        <v>0</v>
      </c>
      <c r="N1329">
        <v>-0.36087965082923606</v>
      </c>
      <c r="O1329">
        <v>2.2991652021706162</v>
      </c>
      <c r="P1329">
        <v>-5.8259972515793415</v>
      </c>
      <c r="Q1329">
        <v>-4.638321728440391</v>
      </c>
      <c r="R1329">
        <v>-0.45963913662225314</v>
      </c>
      <c r="S1329" s="2">
        <v>2.2511206072433572</v>
      </c>
      <c r="T1329" s="2">
        <v>2.9995110230711863</v>
      </c>
      <c r="U1329" s="2">
        <v>3.7464918106742502</v>
      </c>
      <c r="V1329" s="2">
        <v>4.4168117107659439</v>
      </c>
      <c r="W1329" s="2">
        <v>4.9505624061121667</v>
      </c>
      <c r="X1329" s="2">
        <v>5.3748475181596875</v>
      </c>
      <c r="Y1329" s="2">
        <v>5.7113732009293487</v>
      </c>
      <c r="Z1329" s="2">
        <v>5.9775328393188731</v>
      </c>
      <c r="AA1329" s="2">
        <v>6.1872529071616178</v>
      </c>
      <c r="AB1329" s="2">
        <v>6.3516830438265472</v>
      </c>
      <c r="AC1329" s="2">
        <v>6.4797499185942202</v>
      </c>
      <c r="AD1329" s="2">
        <v>6.5785992669773856</v>
      </c>
      <c r="AE1329" s="2">
        <v>6.6539507243414597</v>
      </c>
      <c r="AF1329" s="2">
        <v>6.710382145798965</v>
      </c>
      <c r="AG1329" s="2">
        <v>7.1834314989182912</v>
      </c>
      <c r="AH1329" s="2">
        <v>6.8472775757044442</v>
      </c>
      <c r="AI1329" s="2">
        <v>3.7154060321156339</v>
      </c>
      <c r="AJ1329" s="2">
        <v>0.12906579824927758</v>
      </c>
      <c r="AK1329" s="2">
        <v>9.881896456411203E-2</v>
      </c>
      <c r="AL1329" s="2">
        <v>7.3905487799999017E-2</v>
      </c>
      <c r="AM1329" s="2">
        <v>5.3940485953902439E-2</v>
      </c>
      <c r="AN1329" s="2">
        <v>3.8835665130731313E-2</v>
      </c>
      <c r="AO1329" s="2">
        <v>2.7312229654215349E-2</v>
      </c>
      <c r="AP1329" s="2">
        <v>1.8546100794687801E-2</v>
      </c>
      <c r="AQ1329" s="2">
        <v>1.1943037447321295E-2</v>
      </c>
      <c r="AR1329" s="2">
        <v>92.588351999307619</v>
      </c>
    </row>
    <row r="1330" spans="1:44" x14ac:dyDescent="0.25">
      <c r="A1330" t="s">
        <v>131</v>
      </c>
      <c r="B1330" t="s">
        <v>173</v>
      </c>
      <c r="C1330" t="s">
        <v>43</v>
      </c>
      <c r="D1330" t="s">
        <v>174</v>
      </c>
      <c r="E1330" t="s">
        <v>148</v>
      </c>
      <c r="F1330" t="s">
        <v>174</v>
      </c>
      <c r="G1330" t="s">
        <v>28</v>
      </c>
      <c r="H1330" t="s">
        <v>55</v>
      </c>
      <c r="I1330" t="s">
        <v>135</v>
      </c>
      <c r="J1330" t="s">
        <v>39</v>
      </c>
      <c r="K1330" t="s">
        <v>28</v>
      </c>
      <c r="L1330">
        <v>5.5</v>
      </c>
      <c r="M1330">
        <v>0</v>
      </c>
      <c r="N1330">
        <v>-0.36087965082923606</v>
      </c>
      <c r="O1330">
        <v>2.2991652021706162</v>
      </c>
      <c r="P1330">
        <v>-5.8259972515793415</v>
      </c>
      <c r="Q1330">
        <v>-4.638321728440391</v>
      </c>
      <c r="R1330">
        <v>-0.45963913662225314</v>
      </c>
      <c r="S1330" s="2">
        <v>1.5182545199664246E-3</v>
      </c>
      <c r="T1330" s="2">
        <v>8.3301714096357753E-4</v>
      </c>
      <c r="U1330" s="2">
        <v>1.2486093098327377E-3</v>
      </c>
      <c r="V1330" s="2">
        <v>1.4953031872689839E-3</v>
      </c>
      <c r="W1330" s="2">
        <v>1.6460587689039084E-3</v>
      </c>
      <c r="X1330" s="2">
        <v>1.734090422145936E-3</v>
      </c>
      <c r="Y1330" s="2">
        <v>1.7642587772638766E-3</v>
      </c>
      <c r="Z1330" s="2">
        <v>1.7705844340609642E-3</v>
      </c>
      <c r="AA1330" s="2">
        <v>1.7538315715108035E-3</v>
      </c>
      <c r="AB1330" s="2">
        <v>1.7172526261267822E-3</v>
      </c>
      <c r="AC1330" s="2">
        <v>1.6664214789519495E-3</v>
      </c>
      <c r="AD1330" s="2">
        <v>1.6044696875615707E-3</v>
      </c>
      <c r="AE1330" s="2">
        <v>1.5338371527844168E-3</v>
      </c>
      <c r="AF1330" s="2">
        <v>1.4564238104056778E-3</v>
      </c>
      <c r="AG1330" s="2">
        <v>1.3622518663805336E-3</v>
      </c>
      <c r="AH1330" s="2">
        <v>1.2676126409002589E-3</v>
      </c>
      <c r="AI1330" s="2">
        <v>1.1725773999564869E-3</v>
      </c>
      <c r="AJ1330" s="2">
        <v>1.0771865363530808E-3</v>
      </c>
      <c r="AK1330" s="2">
        <v>9.8453091429728497E-4</v>
      </c>
      <c r="AL1330" s="2">
        <v>8.8821470377011469E-4</v>
      </c>
      <c r="AM1330" s="2">
        <v>7.9162482701627176E-4</v>
      </c>
      <c r="AN1330" s="2">
        <v>6.947893306151633E-4</v>
      </c>
      <c r="AO1330" s="2">
        <v>5.9773912528336345E-4</v>
      </c>
      <c r="AP1330" s="2">
        <v>5.0050926328605778E-4</v>
      </c>
      <c r="AQ1330" s="2">
        <v>4.0314076874131802E-4</v>
      </c>
      <c r="AR1330" s="2">
        <v>3.1482590264347542E-2</v>
      </c>
    </row>
    <row r="1331" spans="1:44" x14ac:dyDescent="0.25">
      <c r="A1331" t="s">
        <v>131</v>
      </c>
      <c r="B1331" t="s">
        <v>173</v>
      </c>
      <c r="C1331" t="s">
        <v>43</v>
      </c>
      <c r="D1331" t="s">
        <v>174</v>
      </c>
      <c r="E1331" t="s">
        <v>148</v>
      </c>
      <c r="F1331" t="s">
        <v>174</v>
      </c>
      <c r="G1331" t="s">
        <v>28</v>
      </c>
      <c r="H1331" t="s">
        <v>136</v>
      </c>
      <c r="I1331" t="s">
        <v>135</v>
      </c>
      <c r="J1331" t="s">
        <v>39</v>
      </c>
      <c r="K1331" t="s">
        <v>28</v>
      </c>
      <c r="L1331">
        <v>5.5</v>
      </c>
      <c r="M1331">
        <v>0</v>
      </c>
      <c r="N1331">
        <v>-0.36087965082923606</v>
      </c>
      <c r="O1331">
        <v>2.2991652021706162</v>
      </c>
      <c r="P1331">
        <v>-5.8259972515793415</v>
      </c>
      <c r="Q1331">
        <v>-4.638321728440391</v>
      </c>
      <c r="R1331">
        <v>-0.45963913662225314</v>
      </c>
      <c r="S1331" s="2">
        <v>1.9062528972911775E-3</v>
      </c>
      <c r="T1331" s="2">
        <v>1.045899299209825E-3</v>
      </c>
      <c r="U1331" s="2">
        <v>1.5676983556788824E-3</v>
      </c>
      <c r="V1331" s="2">
        <v>1.8774362240155016E-3</v>
      </c>
      <c r="W1331" s="2">
        <v>2.0667182320682426E-3</v>
      </c>
      <c r="X1331" s="2">
        <v>2.1772468633610076E-3</v>
      </c>
      <c r="Y1331" s="2">
        <v>2.2151249092313098E-3</v>
      </c>
      <c r="Z1331" s="2">
        <v>2.2230671227654319E-3</v>
      </c>
      <c r="AA1331" s="2">
        <v>2.2020329731191174E-3</v>
      </c>
      <c r="AB1331" s="2">
        <v>2.1561060750258515E-3</v>
      </c>
      <c r="AC1331" s="2">
        <v>2.0922847457952236E-3</v>
      </c>
      <c r="AD1331" s="2">
        <v>2.014500829938416E-3</v>
      </c>
      <c r="AE1331" s="2">
        <v>1.9258177584959965E-3</v>
      </c>
      <c r="AF1331" s="2">
        <v>1.8286210063982492E-3</v>
      </c>
      <c r="AG1331" s="2">
        <v>1.7103828988999984E-3</v>
      </c>
      <c r="AH1331" s="2">
        <v>1.5915580935747589E-3</v>
      </c>
      <c r="AI1331" s="2">
        <v>1.4722360688342508E-3</v>
      </c>
      <c r="AJ1331" s="2">
        <v>1.3524675400877725E-3</v>
      </c>
      <c r="AK1331" s="2">
        <v>1.2361332590621413E-3</v>
      </c>
      <c r="AL1331" s="2">
        <v>1.1152029058447044E-3</v>
      </c>
      <c r="AM1331" s="2">
        <v>9.9392894947596838E-4</v>
      </c>
      <c r="AN1331" s="2">
        <v>8.7234660399461103E-4</v>
      </c>
      <c r="AO1331" s="2">
        <v>7.5049467952244546E-4</v>
      </c>
      <c r="AP1331" s="2">
        <v>6.2841718612582258E-4</v>
      </c>
      <c r="AQ1331" s="2">
        <v>5.0616563186409267E-4</v>
      </c>
      <c r="AR1331" s="2">
        <v>3.9528141109680802E-2</v>
      </c>
    </row>
    <row r="1332" spans="1:44" x14ac:dyDescent="0.25">
      <c r="A1332" t="s">
        <v>131</v>
      </c>
      <c r="B1332" t="s">
        <v>173</v>
      </c>
      <c r="C1332" t="s">
        <v>43</v>
      </c>
      <c r="D1332" t="s">
        <v>174</v>
      </c>
      <c r="E1332" t="s">
        <v>148</v>
      </c>
      <c r="F1332" t="s">
        <v>174</v>
      </c>
      <c r="G1332" t="s">
        <v>28</v>
      </c>
      <c r="H1332" t="s">
        <v>54</v>
      </c>
      <c r="I1332" t="s">
        <v>135</v>
      </c>
      <c r="J1332" t="s">
        <v>39</v>
      </c>
      <c r="K1332" t="s">
        <v>28</v>
      </c>
      <c r="L1332">
        <v>5.5</v>
      </c>
      <c r="M1332">
        <v>0</v>
      </c>
      <c r="N1332">
        <v>-0.36087965082923606</v>
      </c>
      <c r="O1332">
        <v>2.2991652021706162</v>
      </c>
      <c r="P1332">
        <v>-5.8259972515793415</v>
      </c>
      <c r="Q1332">
        <v>-4.638321728440391</v>
      </c>
      <c r="R1332">
        <v>-0.45963913662225314</v>
      </c>
      <c r="S1332" s="2">
        <v>0</v>
      </c>
      <c r="T1332" s="2">
        <v>0</v>
      </c>
      <c r="U1332" s="2">
        <v>0</v>
      </c>
      <c r="V1332" s="2">
        <v>0</v>
      </c>
      <c r="W1332" s="2">
        <v>0</v>
      </c>
      <c r="X1332" s="2">
        <v>0</v>
      </c>
      <c r="Y1332" s="2">
        <v>0</v>
      </c>
      <c r="Z1332" s="2">
        <v>0</v>
      </c>
      <c r="AA1332" s="2">
        <v>0</v>
      </c>
      <c r="AB1332" s="2">
        <v>0</v>
      </c>
      <c r="AC1332" s="2">
        <v>0</v>
      </c>
      <c r="AD1332" s="2">
        <v>0</v>
      </c>
      <c r="AE1332" s="2">
        <v>0</v>
      </c>
      <c r="AF1332" s="2">
        <v>0</v>
      </c>
      <c r="AG1332" s="2">
        <v>0</v>
      </c>
      <c r="AH1332" s="2">
        <v>0</v>
      </c>
      <c r="AI1332" s="2">
        <v>0</v>
      </c>
      <c r="AJ1332" s="2">
        <v>0</v>
      </c>
      <c r="AK1332" s="2">
        <v>0</v>
      </c>
      <c r="AL1332" s="2">
        <v>0</v>
      </c>
      <c r="AM1332" s="2">
        <v>0</v>
      </c>
      <c r="AN1332" s="2">
        <v>0</v>
      </c>
      <c r="AO1332" s="2">
        <v>0</v>
      </c>
      <c r="AP1332" s="2">
        <v>0</v>
      </c>
      <c r="AQ1332" s="2">
        <v>0</v>
      </c>
      <c r="AR1332" s="2">
        <v>0</v>
      </c>
    </row>
    <row r="1333" spans="1:44" x14ac:dyDescent="0.25">
      <c r="A1333" t="s">
        <v>131</v>
      </c>
      <c r="B1333" t="s">
        <v>173</v>
      </c>
      <c r="C1333" t="s">
        <v>43</v>
      </c>
      <c r="D1333" t="s">
        <v>174</v>
      </c>
      <c r="E1333" t="s">
        <v>148</v>
      </c>
      <c r="F1333" t="s">
        <v>174</v>
      </c>
      <c r="G1333" t="s">
        <v>28</v>
      </c>
      <c r="H1333" t="s">
        <v>142</v>
      </c>
      <c r="I1333" t="s">
        <v>135</v>
      </c>
      <c r="J1333" t="s">
        <v>39</v>
      </c>
      <c r="K1333" t="s">
        <v>28</v>
      </c>
      <c r="L1333">
        <v>5.5</v>
      </c>
      <c r="M1333">
        <v>0</v>
      </c>
      <c r="N1333">
        <v>-0.36087965082923606</v>
      </c>
      <c r="O1333">
        <v>2.2991652021706162</v>
      </c>
      <c r="P1333">
        <v>-5.8259972515793415</v>
      </c>
      <c r="Q1333">
        <v>-4.638321728440391</v>
      </c>
      <c r="R1333">
        <v>-0.45963913662225314</v>
      </c>
      <c r="S1333" s="2">
        <v>0</v>
      </c>
      <c r="T1333" s="2">
        <v>0</v>
      </c>
      <c r="U1333" s="2">
        <v>0</v>
      </c>
      <c r="V1333" s="2">
        <v>0</v>
      </c>
      <c r="W1333" s="2">
        <v>0</v>
      </c>
      <c r="X1333" s="2">
        <v>0</v>
      </c>
      <c r="Y1333" s="2">
        <v>0</v>
      </c>
      <c r="Z1333" s="2">
        <v>0</v>
      </c>
      <c r="AA1333" s="2">
        <v>0</v>
      </c>
      <c r="AB1333" s="2">
        <v>0</v>
      </c>
      <c r="AC1333" s="2">
        <v>0</v>
      </c>
      <c r="AD1333" s="2">
        <v>0</v>
      </c>
      <c r="AE1333" s="2">
        <v>0</v>
      </c>
      <c r="AF1333" s="2">
        <v>0</v>
      </c>
      <c r="AG1333" s="2">
        <v>0</v>
      </c>
      <c r="AH1333" s="2">
        <v>0</v>
      </c>
      <c r="AI1333" s="2">
        <v>0</v>
      </c>
      <c r="AJ1333" s="2">
        <v>0</v>
      </c>
      <c r="AK1333" s="2">
        <v>0</v>
      </c>
      <c r="AL1333" s="2">
        <v>0</v>
      </c>
      <c r="AM1333" s="2">
        <v>0</v>
      </c>
      <c r="AN1333" s="2">
        <v>0</v>
      </c>
      <c r="AO1333" s="2">
        <v>0</v>
      </c>
      <c r="AP1333" s="2">
        <v>0</v>
      </c>
      <c r="AQ1333" s="2">
        <v>0</v>
      </c>
      <c r="AR1333" s="2">
        <v>0</v>
      </c>
    </row>
    <row r="1334" spans="1:44" x14ac:dyDescent="0.25">
      <c r="A1334" t="s">
        <v>131</v>
      </c>
      <c r="B1334" t="s">
        <v>173</v>
      </c>
      <c r="C1334" t="s">
        <v>43</v>
      </c>
      <c r="D1334" t="s">
        <v>174</v>
      </c>
      <c r="E1334" t="s">
        <v>148</v>
      </c>
      <c r="F1334" t="s">
        <v>174</v>
      </c>
      <c r="G1334" t="s">
        <v>28</v>
      </c>
      <c r="H1334" t="s">
        <v>53</v>
      </c>
      <c r="I1334" t="s">
        <v>135</v>
      </c>
      <c r="J1334" t="s">
        <v>39</v>
      </c>
      <c r="K1334" t="s">
        <v>28</v>
      </c>
      <c r="L1334">
        <v>5.5</v>
      </c>
      <c r="M1334">
        <v>0</v>
      </c>
      <c r="N1334">
        <v>-0.36087965082923606</v>
      </c>
      <c r="O1334">
        <v>2.2991652021706162</v>
      </c>
      <c r="P1334">
        <v>-5.8259972515793415</v>
      </c>
      <c r="Q1334">
        <v>-4.638321728440391</v>
      </c>
      <c r="R1334">
        <v>-0.45963913662225314</v>
      </c>
      <c r="S1334" s="2">
        <v>5.9223004669200906E-2</v>
      </c>
      <c r="T1334" s="2">
        <v>3.2493746852076739E-2</v>
      </c>
      <c r="U1334" s="2">
        <v>4.8704873928428788E-2</v>
      </c>
      <c r="V1334" s="2">
        <v>5.8327735222853262E-2</v>
      </c>
      <c r="W1334" s="2">
        <v>6.420830293904288E-2</v>
      </c>
      <c r="X1334" s="2">
        <v>6.7642179764323324E-2</v>
      </c>
      <c r="Y1334" s="2">
        <v>6.8818965746196198E-2</v>
      </c>
      <c r="Z1334" s="2">
        <v>6.9065712518297379E-2</v>
      </c>
      <c r="AA1334" s="2">
        <v>6.8412228636653694E-2</v>
      </c>
      <c r="AB1334" s="2">
        <v>6.6985382857646492E-2</v>
      </c>
      <c r="AC1334" s="2">
        <v>6.5002597213416932E-2</v>
      </c>
      <c r="AD1334" s="2">
        <v>6.2586025299731646E-2</v>
      </c>
      <c r="AE1334" s="2">
        <v>5.9830841052365212E-2</v>
      </c>
      <c r="AF1334" s="2">
        <v>5.6811155830380572E-2</v>
      </c>
      <c r="AG1334" s="2">
        <v>5.3137762860120431E-2</v>
      </c>
      <c r="AH1334" s="2">
        <v>4.9446142503454207E-2</v>
      </c>
      <c r="AI1334" s="2">
        <v>4.573907465406897E-2</v>
      </c>
      <c r="AJ1334" s="2">
        <v>4.2018134926053094E-2</v>
      </c>
      <c r="AK1334" s="2">
        <v>3.840388957688777E-2</v>
      </c>
      <c r="AL1334" s="2">
        <v>3.4646854566777484E-2</v>
      </c>
      <c r="AM1334" s="2">
        <v>3.0879144576943383E-2</v>
      </c>
      <c r="AN1334" s="2">
        <v>2.7101853628627312E-2</v>
      </c>
      <c r="AO1334" s="2">
        <v>2.3316187465328288E-2</v>
      </c>
      <c r="AP1334" s="2">
        <v>1.9523513381158528E-2</v>
      </c>
      <c r="AQ1334" s="2">
        <v>1.5725431616064399E-2</v>
      </c>
      <c r="AR1334" s="2">
        <v>1.2280507422860978</v>
      </c>
    </row>
    <row r="1335" spans="1:44" x14ac:dyDescent="0.25">
      <c r="A1335" t="s">
        <v>131</v>
      </c>
      <c r="B1335" t="s">
        <v>173</v>
      </c>
      <c r="C1335" t="s">
        <v>43</v>
      </c>
      <c r="D1335" t="s">
        <v>174</v>
      </c>
      <c r="E1335" t="s">
        <v>148</v>
      </c>
      <c r="F1335" t="s">
        <v>174</v>
      </c>
      <c r="G1335" t="s">
        <v>28</v>
      </c>
      <c r="H1335" t="s">
        <v>141</v>
      </c>
      <c r="I1335" t="s">
        <v>135</v>
      </c>
      <c r="J1335" t="s">
        <v>39</v>
      </c>
      <c r="K1335" t="s">
        <v>28</v>
      </c>
      <c r="L1335">
        <v>5.5</v>
      </c>
      <c r="M1335">
        <v>0</v>
      </c>
      <c r="N1335">
        <v>-0.36087965082923606</v>
      </c>
      <c r="O1335">
        <v>2.2991652021706162</v>
      </c>
      <c r="P1335">
        <v>-5.8259972515793415</v>
      </c>
      <c r="Q1335">
        <v>-4.638321728440391</v>
      </c>
      <c r="R1335">
        <v>-0.45963913662225314</v>
      </c>
      <c r="S1335" s="2">
        <v>4.9846028929910746E-2</v>
      </c>
      <c r="T1335" s="2">
        <v>2.7348903600497926E-2</v>
      </c>
      <c r="U1335" s="2">
        <v>4.0993268889760875E-2</v>
      </c>
      <c r="V1335" s="2">
        <v>4.909251047923488E-2</v>
      </c>
      <c r="W1335" s="2">
        <v>5.4041988307027708E-2</v>
      </c>
      <c r="X1335" s="2">
        <v>5.6932167968305421E-2</v>
      </c>
      <c r="Y1335" s="2">
        <v>5.7922629503048453E-2</v>
      </c>
      <c r="Z1335" s="2">
        <v>5.8130308036233626E-2</v>
      </c>
      <c r="AA1335" s="2">
        <v>5.7580292435850215E-2</v>
      </c>
      <c r="AB1335" s="2">
        <v>5.6379363905185824E-2</v>
      </c>
      <c r="AC1335" s="2">
        <v>5.4710519321292492E-2</v>
      </c>
      <c r="AD1335" s="2">
        <v>5.2676571293940974E-2</v>
      </c>
      <c r="AE1335" s="2">
        <v>5.035762455240711E-2</v>
      </c>
      <c r="AF1335" s="2">
        <v>4.7816056157236886E-2</v>
      </c>
      <c r="AG1335" s="2">
        <v>4.4724283740601778E-2</v>
      </c>
      <c r="AH1335" s="2">
        <v>4.1617169940407164E-2</v>
      </c>
      <c r="AI1335" s="2">
        <v>3.8497054500508006E-2</v>
      </c>
      <c r="AJ1335" s="2">
        <v>3.5365263562761415E-2</v>
      </c>
      <c r="AK1335" s="2">
        <v>3.2323273727213719E-2</v>
      </c>
      <c r="AL1335" s="2">
        <v>2.9161102593704517E-2</v>
      </c>
      <c r="AM1335" s="2">
        <v>2.5989946685593804E-2</v>
      </c>
      <c r="AN1335" s="2">
        <v>2.2810726804094763E-2</v>
      </c>
      <c r="AO1335" s="2">
        <v>1.9624457783318099E-2</v>
      </c>
      <c r="AP1335" s="2">
        <v>1.6432290429141592E-2</v>
      </c>
      <c r="AQ1335" s="2">
        <v>1.3235571610187518E-2</v>
      </c>
      <c r="AR1335" s="2">
        <v>1.0336093747574655</v>
      </c>
    </row>
    <row r="1336" spans="1:44" x14ac:dyDescent="0.25">
      <c r="A1336" t="s">
        <v>131</v>
      </c>
      <c r="B1336" t="s">
        <v>173</v>
      </c>
      <c r="C1336" t="s">
        <v>43</v>
      </c>
      <c r="D1336" t="s">
        <v>174</v>
      </c>
      <c r="E1336" t="s">
        <v>148</v>
      </c>
      <c r="F1336" t="s">
        <v>174</v>
      </c>
      <c r="G1336" t="s">
        <v>28</v>
      </c>
      <c r="H1336" t="s">
        <v>52</v>
      </c>
      <c r="I1336" t="s">
        <v>135</v>
      </c>
      <c r="J1336" t="s">
        <v>39</v>
      </c>
      <c r="K1336" t="s">
        <v>28</v>
      </c>
      <c r="L1336">
        <v>5.5</v>
      </c>
      <c r="M1336">
        <v>0</v>
      </c>
      <c r="N1336">
        <v>-0.36087965082923606</v>
      </c>
      <c r="O1336">
        <v>2.2991652021706162</v>
      </c>
      <c r="P1336">
        <v>-5.8259972515793415</v>
      </c>
      <c r="Q1336">
        <v>-4.638321728440391</v>
      </c>
      <c r="R1336">
        <v>-0.45963913662225314</v>
      </c>
      <c r="S1336" s="2">
        <v>0.68947090779790132</v>
      </c>
      <c r="T1336" s="2">
        <v>0.37829038335685078</v>
      </c>
      <c r="U1336" s="2">
        <v>0.56701941803165268</v>
      </c>
      <c r="V1336" s="2">
        <v>0.67904823097924383</v>
      </c>
      <c r="W1336" s="2">
        <v>0.74750947140929436</v>
      </c>
      <c r="X1336" s="2">
        <v>0.78748647333982214</v>
      </c>
      <c r="Y1336" s="2">
        <v>0.80118654991880867</v>
      </c>
      <c r="Z1336" s="2">
        <v>0.8040591620381573</v>
      </c>
      <c r="AA1336" s="2">
        <v>0.79645133923982236</v>
      </c>
      <c r="AB1336" s="2">
        <v>0.77984008048936693</v>
      </c>
      <c r="AC1336" s="2">
        <v>0.75675660092375685</v>
      </c>
      <c r="AD1336" s="2">
        <v>0.7286230058723997</v>
      </c>
      <c r="AE1336" s="2">
        <v>0.69654730497216555</v>
      </c>
      <c r="AF1336" s="2">
        <v>0.66139229851993919</v>
      </c>
      <c r="AG1336" s="2">
        <v>0.61862686302659164</v>
      </c>
      <c r="AH1336" s="2">
        <v>0.57564922532022023</v>
      </c>
      <c r="AI1336" s="2">
        <v>0.53249174876764238</v>
      </c>
      <c r="AJ1336" s="2">
        <v>0.48917277657995384</v>
      </c>
      <c r="AK1336" s="2">
        <v>0.44709593438302797</v>
      </c>
      <c r="AL1336" s="2">
        <v>0.40335674294015816</v>
      </c>
      <c r="AM1336" s="2">
        <v>0.35949327398039232</v>
      </c>
      <c r="AN1336" s="2">
        <v>0.31551826403792343</v>
      </c>
      <c r="AO1336" s="2">
        <v>0.27144575031105855</v>
      </c>
      <c r="AP1336" s="2">
        <v>0.22729165076137894</v>
      </c>
      <c r="AQ1336" s="2">
        <v>0.18307459529286696</v>
      </c>
      <c r="AR1336" s="2">
        <v>14.296898052290398</v>
      </c>
    </row>
    <row r="1337" spans="1:44" x14ac:dyDescent="0.25">
      <c r="A1337" t="s">
        <v>131</v>
      </c>
      <c r="B1337" t="s">
        <v>173</v>
      </c>
      <c r="C1337" t="s">
        <v>43</v>
      </c>
      <c r="D1337" t="s">
        <v>174</v>
      </c>
      <c r="E1337" t="s">
        <v>148</v>
      </c>
      <c r="F1337" t="s">
        <v>174</v>
      </c>
      <c r="G1337" t="s">
        <v>28</v>
      </c>
      <c r="H1337" t="s">
        <v>138</v>
      </c>
      <c r="I1337" t="s">
        <v>135</v>
      </c>
      <c r="J1337" t="s">
        <v>39</v>
      </c>
      <c r="K1337" t="s">
        <v>28</v>
      </c>
      <c r="L1337">
        <v>5.5</v>
      </c>
      <c r="M1337">
        <v>0</v>
      </c>
      <c r="N1337">
        <v>-0.36087965082923606</v>
      </c>
      <c r="O1337">
        <v>2.2991652021706162</v>
      </c>
      <c r="P1337">
        <v>-5.8259972515793415</v>
      </c>
      <c r="Q1337">
        <v>-4.638321728440391</v>
      </c>
      <c r="R1337">
        <v>-0.45963913662225314</v>
      </c>
      <c r="S1337" s="2">
        <v>0.2391657812137786</v>
      </c>
      <c r="T1337" s="2">
        <v>0.13122252735821155</v>
      </c>
      <c r="U1337" s="2">
        <v>0.19668943322068785</v>
      </c>
      <c r="V1337" s="2">
        <v>0.23555033114115045</v>
      </c>
      <c r="W1337" s="2">
        <v>0.25929837600443978</v>
      </c>
      <c r="X1337" s="2">
        <v>0.27316572093395475</v>
      </c>
      <c r="Y1337" s="2">
        <v>0.27791804547824522</v>
      </c>
      <c r="Z1337" s="2">
        <v>0.27891450597262929</v>
      </c>
      <c r="AA1337" s="2">
        <v>0.27627548108801009</v>
      </c>
      <c r="AB1337" s="2">
        <v>0.27051331675146795</v>
      </c>
      <c r="AC1337" s="2">
        <v>0.2625060486260074</v>
      </c>
      <c r="AD1337" s="2">
        <v>0.25274698096599696</v>
      </c>
      <c r="AE1337" s="2">
        <v>0.24162046354949432</v>
      </c>
      <c r="AF1337" s="2">
        <v>0.2294257871873327</v>
      </c>
      <c r="AG1337" s="2">
        <v>0.21459118187906559</v>
      </c>
      <c r="AH1337" s="2">
        <v>0.19968296721690318</v>
      </c>
      <c r="AI1337" s="2">
        <v>0.18471236950469638</v>
      </c>
      <c r="AJ1337" s="2">
        <v>0.16968575169171818</v>
      </c>
      <c r="AK1337" s="2">
        <v>0.1550900077361414</v>
      </c>
      <c r="AL1337" s="2">
        <v>0.13991762298026358</v>
      </c>
      <c r="AM1337" s="2">
        <v>0.1247021284585117</v>
      </c>
      <c r="AN1337" s="2">
        <v>0.10944794225888391</v>
      </c>
      <c r="AO1337" s="2">
        <v>9.4159933647749994E-2</v>
      </c>
      <c r="AP1337" s="2">
        <v>7.8843624296400322E-2</v>
      </c>
      <c r="AQ1337" s="2">
        <v>6.3505476603007871E-2</v>
      </c>
      <c r="AR1337" s="2">
        <v>4.9593518057647499</v>
      </c>
    </row>
    <row r="1338" spans="1:44" x14ac:dyDescent="0.25">
      <c r="A1338" t="s">
        <v>131</v>
      </c>
      <c r="B1338" t="s">
        <v>175</v>
      </c>
      <c r="C1338" t="s">
        <v>45</v>
      </c>
      <c r="D1338" t="s">
        <v>176</v>
      </c>
      <c r="E1338" t="s">
        <v>134</v>
      </c>
      <c r="F1338" t="s">
        <v>176</v>
      </c>
      <c r="G1338" t="s">
        <v>28</v>
      </c>
      <c r="H1338" t="s">
        <v>54</v>
      </c>
      <c r="I1338" t="s">
        <v>135</v>
      </c>
      <c r="J1338" t="s">
        <v>39</v>
      </c>
      <c r="K1338" t="s">
        <v>28</v>
      </c>
      <c r="L1338">
        <v>69.128</v>
      </c>
      <c r="M1338">
        <v>1</v>
      </c>
      <c r="N1338">
        <v>2.5984710356372855</v>
      </c>
      <c r="O1338">
        <v>2.7834253468235053</v>
      </c>
      <c r="P1338">
        <v>-0.74748036655043748</v>
      </c>
      <c r="Q1338">
        <v>0.77985665564418205</v>
      </c>
      <c r="R1338">
        <v>-0.79930063567792309</v>
      </c>
      <c r="S1338" s="2">
        <v>2.642628737168085E-3</v>
      </c>
      <c r="T1338" s="2">
        <v>5.2789513438501398E-3</v>
      </c>
      <c r="U1338" s="2">
        <v>9.3657750958986517E-3</v>
      </c>
      <c r="V1338" s="2">
        <v>1.5220764917245375E-2</v>
      </c>
      <c r="W1338" s="2">
        <v>2.3078520527309649E-2</v>
      </c>
      <c r="X1338" s="2">
        <v>3.3013701839063027E-2</v>
      </c>
      <c r="Y1338" s="2">
        <v>4.484758514932221E-2</v>
      </c>
      <c r="Z1338" s="2">
        <v>5.8053039219085369E-2</v>
      </c>
      <c r="AA1338" s="2">
        <v>7.1686470334195937E-2</v>
      </c>
      <c r="AB1338" s="2">
        <v>8.438904611924071E-2</v>
      </c>
      <c r="AC1338" s="2">
        <v>9.4503350481824719E-2</v>
      </c>
      <c r="AD1338" s="2">
        <v>0.10033500406325759</v>
      </c>
      <c r="AE1338" s="2">
        <v>0.10054269312021129</v>
      </c>
      <c r="AF1338" s="2">
        <v>9.4568719816416166E-2</v>
      </c>
      <c r="AG1338" s="2">
        <v>8.2953554991901157E-2</v>
      </c>
      <c r="AH1338" s="2">
        <v>6.8434311199704265E-2</v>
      </c>
      <c r="AI1338" s="2">
        <v>5.2198661641265166E-2</v>
      </c>
      <c r="AJ1338" s="2">
        <v>3.6041437469319204E-2</v>
      </c>
      <c r="AK1338" s="2">
        <v>2.593214243492441E-3</v>
      </c>
      <c r="AL1338" s="2">
        <v>0</v>
      </c>
      <c r="AM1338" s="2">
        <v>0</v>
      </c>
      <c r="AN1338" s="2">
        <v>0</v>
      </c>
      <c r="AO1338" s="2">
        <v>0</v>
      </c>
      <c r="AP1338" s="2">
        <v>0</v>
      </c>
      <c r="AQ1338" s="2">
        <v>0</v>
      </c>
      <c r="AR1338" s="2">
        <v>0.97974743030977141</v>
      </c>
    </row>
    <row r="1339" spans="1:44" x14ac:dyDescent="0.25">
      <c r="A1339" t="s">
        <v>131</v>
      </c>
      <c r="B1339" t="s">
        <v>175</v>
      </c>
      <c r="C1339" t="s">
        <v>45</v>
      </c>
      <c r="D1339" t="s">
        <v>176</v>
      </c>
      <c r="E1339" t="s">
        <v>134</v>
      </c>
      <c r="F1339" t="s">
        <v>176</v>
      </c>
      <c r="G1339" t="s">
        <v>28</v>
      </c>
      <c r="H1339" t="s">
        <v>142</v>
      </c>
      <c r="I1339" t="s">
        <v>135</v>
      </c>
      <c r="J1339" t="s">
        <v>39</v>
      </c>
      <c r="K1339" t="s">
        <v>28</v>
      </c>
      <c r="L1339">
        <v>69.128</v>
      </c>
      <c r="M1339">
        <v>1</v>
      </c>
      <c r="N1339">
        <v>2.5984710356372855</v>
      </c>
      <c r="O1339">
        <v>2.7834253468235053</v>
      </c>
      <c r="P1339">
        <v>-0.74748036655043748</v>
      </c>
      <c r="Q1339">
        <v>0.77985665564418205</v>
      </c>
      <c r="R1339">
        <v>-0.79930063567792309</v>
      </c>
      <c r="S1339" s="2">
        <v>2.11808685215231E-3</v>
      </c>
      <c r="T1339" s="2">
        <v>4.2311192931864181E-3</v>
      </c>
      <c r="U1339" s="2">
        <v>7.5067393356574603E-3</v>
      </c>
      <c r="V1339" s="2">
        <v>1.2199557810555966E-2</v>
      </c>
      <c r="W1339" s="2">
        <v>1.8497608161336127E-2</v>
      </c>
      <c r="X1339" s="2">
        <v>2.6460730871007799E-2</v>
      </c>
      <c r="Y1339" s="2">
        <v>3.5945677544306012E-2</v>
      </c>
      <c r="Z1339" s="2">
        <v>4.6529948519819689E-2</v>
      </c>
      <c r="AA1339" s="2">
        <v>5.7457246323136923E-2</v>
      </c>
      <c r="AB1339" s="2">
        <v>6.7638456562909011E-2</v>
      </c>
      <c r="AC1339" s="2">
        <v>7.5745147747995178E-2</v>
      </c>
      <c r="AD1339" s="2">
        <v>8.0419262050701448E-2</v>
      </c>
      <c r="AE1339" s="2">
        <v>8.0585726395345211E-2</v>
      </c>
      <c r="AF1339" s="2">
        <v>7.57975417624039E-2</v>
      </c>
      <c r="AG1339" s="2">
        <v>6.6487899604061484E-2</v>
      </c>
      <c r="AH1339" s="2">
        <v>5.4850616263079556E-2</v>
      </c>
      <c r="AI1339" s="2">
        <v>4.1837620762722599E-2</v>
      </c>
      <c r="AJ1339" s="2">
        <v>2.8887483800785995E-2</v>
      </c>
      <c r="AK1339" s="2">
        <v>2.0784807629999655E-3</v>
      </c>
      <c r="AL1339" s="2">
        <v>0</v>
      </c>
      <c r="AM1339" s="2">
        <v>0</v>
      </c>
      <c r="AN1339" s="2">
        <v>0</v>
      </c>
      <c r="AO1339" s="2">
        <v>0</v>
      </c>
      <c r="AP1339" s="2">
        <v>0</v>
      </c>
      <c r="AQ1339" s="2">
        <v>0</v>
      </c>
      <c r="AR1339" s="2">
        <v>0.78527495042416307</v>
      </c>
    </row>
    <row r="1340" spans="1:44" x14ac:dyDescent="0.25">
      <c r="A1340" t="s">
        <v>131</v>
      </c>
      <c r="B1340" t="s">
        <v>175</v>
      </c>
      <c r="C1340" t="s">
        <v>45</v>
      </c>
      <c r="D1340" t="s">
        <v>176</v>
      </c>
      <c r="E1340" t="s">
        <v>134</v>
      </c>
      <c r="F1340" t="s">
        <v>176</v>
      </c>
      <c r="G1340" t="s">
        <v>28</v>
      </c>
      <c r="H1340" t="s">
        <v>53</v>
      </c>
      <c r="I1340" t="s">
        <v>135</v>
      </c>
      <c r="J1340" t="s">
        <v>39</v>
      </c>
      <c r="K1340" t="s">
        <v>28</v>
      </c>
      <c r="L1340">
        <v>69.128</v>
      </c>
      <c r="M1340">
        <v>1</v>
      </c>
      <c r="N1340">
        <v>2.5984710356372855</v>
      </c>
      <c r="O1340">
        <v>2.7834253468235053</v>
      </c>
      <c r="P1340">
        <v>-0.74748036655043748</v>
      </c>
      <c r="Q1340">
        <v>0.77985665564418205</v>
      </c>
      <c r="R1340">
        <v>-0.79930063567792309</v>
      </c>
      <c r="S1340" s="2">
        <v>1.9919312089206665E-3</v>
      </c>
      <c r="T1340" s="2">
        <v>3.9791090531533712E-3</v>
      </c>
      <c r="U1340" s="2">
        <v>7.0596294692703383E-3</v>
      </c>
      <c r="V1340" s="2">
        <v>1.1472938379833193E-2</v>
      </c>
      <c r="W1340" s="2">
        <v>1.7395869744203249E-2</v>
      </c>
      <c r="X1340" s="2">
        <v>2.4884699878690724E-2</v>
      </c>
      <c r="Y1340" s="2">
        <v>3.3804712424112211E-2</v>
      </c>
      <c r="Z1340" s="2">
        <v>4.3758572275692485E-2</v>
      </c>
      <c r="AA1340" s="2">
        <v>5.4035027890097426E-2</v>
      </c>
      <c r="AB1340" s="2">
        <v>6.3609833758221615E-2</v>
      </c>
      <c r="AC1340" s="2">
        <v>7.1233681267707072E-2</v>
      </c>
      <c r="AD1340" s="2">
        <v>7.5629400047681594E-2</v>
      </c>
      <c r="AE1340" s="2">
        <v>7.5785949588098922E-2</v>
      </c>
      <c r="AF1340" s="2">
        <v>7.1282954635489545E-2</v>
      </c>
      <c r="AG1340" s="2">
        <v>6.2527805270277251E-2</v>
      </c>
      <c r="AH1340" s="2">
        <v>5.1583651658068538E-2</v>
      </c>
      <c r="AI1340" s="2">
        <v>3.9345724855225001E-2</v>
      </c>
      <c r="AJ1340" s="2">
        <v>2.7166912665315981E-2</v>
      </c>
      <c r="AK1340" s="2">
        <v>1.9546841031349202E-3</v>
      </c>
      <c r="AL1340" s="2">
        <v>0</v>
      </c>
      <c r="AM1340" s="2">
        <v>0</v>
      </c>
      <c r="AN1340" s="2">
        <v>0</v>
      </c>
      <c r="AO1340" s="2">
        <v>0</v>
      </c>
      <c r="AP1340" s="2">
        <v>0</v>
      </c>
      <c r="AQ1340" s="2">
        <v>0</v>
      </c>
      <c r="AR1340" s="2">
        <v>0.7385030881731941</v>
      </c>
    </row>
    <row r="1341" spans="1:44" x14ac:dyDescent="0.25">
      <c r="A1341" t="s">
        <v>131</v>
      </c>
      <c r="B1341" t="s">
        <v>175</v>
      </c>
      <c r="C1341" t="s">
        <v>45</v>
      </c>
      <c r="D1341" t="s">
        <v>176</v>
      </c>
      <c r="E1341" t="s">
        <v>134</v>
      </c>
      <c r="F1341" t="s">
        <v>176</v>
      </c>
      <c r="G1341" t="s">
        <v>28</v>
      </c>
      <c r="H1341" t="s">
        <v>141</v>
      </c>
      <c r="I1341" t="s">
        <v>135</v>
      </c>
      <c r="J1341" t="s">
        <v>39</v>
      </c>
      <c r="K1341" t="s">
        <v>28</v>
      </c>
      <c r="L1341">
        <v>69.128</v>
      </c>
      <c r="M1341">
        <v>1</v>
      </c>
      <c r="N1341">
        <v>2.5984710356372855</v>
      </c>
      <c r="O1341">
        <v>2.7834253468235053</v>
      </c>
      <c r="P1341">
        <v>-0.74748036655043748</v>
      </c>
      <c r="Q1341">
        <v>0.77985665564418205</v>
      </c>
      <c r="R1341">
        <v>-0.79930063567792309</v>
      </c>
      <c r="S1341" s="2">
        <v>1.6765421008415613E-3</v>
      </c>
      <c r="T1341" s="2">
        <v>3.3490834530707529E-3</v>
      </c>
      <c r="U1341" s="2">
        <v>5.9418548033025338E-3</v>
      </c>
      <c r="V1341" s="2">
        <v>9.6563898030262701E-3</v>
      </c>
      <c r="W1341" s="2">
        <v>1.4641523701371065E-2</v>
      </c>
      <c r="X1341" s="2">
        <v>2.094462239789802E-2</v>
      </c>
      <c r="Y1341" s="2">
        <v>2.8452299623627785E-2</v>
      </c>
      <c r="Z1341" s="2">
        <v>3.6830131665374501E-2</v>
      </c>
      <c r="AA1341" s="2">
        <v>4.5479481807498653E-2</v>
      </c>
      <c r="AB1341" s="2">
        <v>5.3538276746503195E-2</v>
      </c>
      <c r="AC1341" s="2">
        <v>5.9955015066986785E-2</v>
      </c>
      <c r="AD1341" s="2">
        <v>6.365474504013198E-2</v>
      </c>
      <c r="AE1341" s="2">
        <v>6.3786507569983261E-2</v>
      </c>
      <c r="AF1341" s="2">
        <v>5.9996486818203701E-2</v>
      </c>
      <c r="AG1341" s="2">
        <v>5.2627569435816673E-2</v>
      </c>
      <c r="AH1341" s="2">
        <v>4.3416240145541012E-2</v>
      </c>
      <c r="AI1341" s="2">
        <v>3.3115985086481031E-2</v>
      </c>
      <c r="AJ1341" s="2">
        <v>2.2865484826640949E-2</v>
      </c>
      <c r="AK1341" s="2">
        <v>1.6451924534721038E-3</v>
      </c>
      <c r="AL1341" s="2">
        <v>0</v>
      </c>
      <c r="AM1341" s="2">
        <v>0</v>
      </c>
      <c r="AN1341" s="2">
        <v>0</v>
      </c>
      <c r="AO1341" s="2">
        <v>0</v>
      </c>
      <c r="AP1341" s="2">
        <v>0</v>
      </c>
      <c r="AQ1341" s="2">
        <v>0</v>
      </c>
      <c r="AR1341" s="2">
        <v>0.6215734325457718</v>
      </c>
    </row>
    <row r="1342" spans="1:44" x14ac:dyDescent="0.25">
      <c r="A1342" t="s">
        <v>131</v>
      </c>
      <c r="B1342" t="s">
        <v>201</v>
      </c>
      <c r="C1342" t="s">
        <v>44</v>
      </c>
      <c r="D1342" t="s">
        <v>202</v>
      </c>
      <c r="E1342" t="s">
        <v>134</v>
      </c>
      <c r="F1342" t="s">
        <v>202</v>
      </c>
      <c r="G1342" t="s">
        <v>28</v>
      </c>
      <c r="H1342" t="s">
        <v>54</v>
      </c>
      <c r="I1342" t="s">
        <v>135</v>
      </c>
      <c r="J1342" t="s">
        <v>39</v>
      </c>
      <c r="K1342" t="s">
        <v>28</v>
      </c>
      <c r="L1342">
        <v>0.25633127765571201</v>
      </c>
      <c r="M1342">
        <v>0</v>
      </c>
      <c r="N1342">
        <v>0.29256818482477859</v>
      </c>
      <c r="O1342">
        <v>3.7296622915880167</v>
      </c>
      <c r="P1342">
        <v>7.1065022091179086</v>
      </c>
      <c r="Q1342">
        <v>9.2810154983924846</v>
      </c>
      <c r="R1342">
        <v>-1.446476902757877</v>
      </c>
      <c r="S1342" s="2">
        <v>0</v>
      </c>
      <c r="T1342" s="2">
        <v>0</v>
      </c>
      <c r="U1342" s="2">
        <v>0</v>
      </c>
      <c r="V1342" s="2">
        <v>0</v>
      </c>
      <c r="W1342" s="2">
        <v>0</v>
      </c>
      <c r="X1342" s="2">
        <v>0</v>
      </c>
      <c r="Y1342" s="2">
        <v>0</v>
      </c>
      <c r="Z1342" s="2">
        <v>0</v>
      </c>
      <c r="AA1342" s="2">
        <v>0</v>
      </c>
      <c r="AB1342" s="2">
        <v>0</v>
      </c>
      <c r="AC1342" s="2">
        <v>0</v>
      </c>
      <c r="AD1342" s="2">
        <v>0</v>
      </c>
      <c r="AE1342" s="2">
        <v>0</v>
      </c>
      <c r="AF1342" s="2">
        <v>0</v>
      </c>
      <c r="AG1342" s="2">
        <v>0</v>
      </c>
      <c r="AH1342" s="2">
        <v>0</v>
      </c>
      <c r="AI1342" s="2">
        <v>0</v>
      </c>
      <c r="AJ1342" s="2">
        <v>0</v>
      </c>
      <c r="AK1342" s="2">
        <v>0</v>
      </c>
      <c r="AL1342" s="2">
        <v>0</v>
      </c>
      <c r="AM1342" s="2">
        <v>0</v>
      </c>
      <c r="AN1342" s="2">
        <v>0</v>
      </c>
      <c r="AO1342" s="2">
        <v>0</v>
      </c>
      <c r="AP1342" s="2">
        <v>0</v>
      </c>
      <c r="AQ1342" s="2">
        <v>0</v>
      </c>
      <c r="AR1342" s="2">
        <v>0</v>
      </c>
    </row>
    <row r="1343" spans="1:44" x14ac:dyDescent="0.25">
      <c r="A1343" t="s">
        <v>131</v>
      </c>
      <c r="B1343" t="s">
        <v>201</v>
      </c>
      <c r="C1343" t="s">
        <v>44</v>
      </c>
      <c r="D1343" t="s">
        <v>202</v>
      </c>
      <c r="E1343" t="s">
        <v>134</v>
      </c>
      <c r="F1343" t="s">
        <v>202</v>
      </c>
      <c r="G1343" t="s">
        <v>28</v>
      </c>
      <c r="H1343" t="s">
        <v>142</v>
      </c>
      <c r="I1343" t="s">
        <v>135</v>
      </c>
      <c r="J1343" t="s">
        <v>39</v>
      </c>
      <c r="K1343" t="s">
        <v>28</v>
      </c>
      <c r="L1343">
        <v>0.25633127765571201</v>
      </c>
      <c r="M1343">
        <v>0</v>
      </c>
      <c r="N1343">
        <v>0.29256818482477859</v>
      </c>
      <c r="O1343">
        <v>3.7296622915880167</v>
      </c>
      <c r="P1343">
        <v>7.1065022091179086</v>
      </c>
      <c r="Q1343">
        <v>9.2810154983924846</v>
      </c>
      <c r="R1343">
        <v>-1.446476902757877</v>
      </c>
      <c r="S1343" s="2">
        <v>0</v>
      </c>
      <c r="T1343" s="2">
        <v>0</v>
      </c>
      <c r="U1343" s="2">
        <v>0</v>
      </c>
      <c r="V1343" s="2">
        <v>0</v>
      </c>
      <c r="W1343" s="2">
        <v>0</v>
      </c>
      <c r="X1343" s="2">
        <v>0</v>
      </c>
      <c r="Y1343" s="2">
        <v>0</v>
      </c>
      <c r="Z1343" s="2">
        <v>0</v>
      </c>
      <c r="AA1343" s="2">
        <v>0</v>
      </c>
      <c r="AB1343" s="2">
        <v>0</v>
      </c>
      <c r="AC1343" s="2">
        <v>0</v>
      </c>
      <c r="AD1343" s="2">
        <v>0</v>
      </c>
      <c r="AE1343" s="2">
        <v>0</v>
      </c>
      <c r="AF1343" s="2">
        <v>0</v>
      </c>
      <c r="AG1343" s="2">
        <v>0</v>
      </c>
      <c r="AH1343" s="2">
        <v>0</v>
      </c>
      <c r="AI1343" s="2">
        <v>0</v>
      </c>
      <c r="AJ1343" s="2">
        <v>0</v>
      </c>
      <c r="AK1343" s="2">
        <v>0</v>
      </c>
      <c r="AL1343" s="2">
        <v>0</v>
      </c>
      <c r="AM1343" s="2">
        <v>0</v>
      </c>
      <c r="AN1343" s="2">
        <v>0</v>
      </c>
      <c r="AO1343" s="2">
        <v>0</v>
      </c>
      <c r="AP1343" s="2">
        <v>0</v>
      </c>
      <c r="AQ1343" s="2">
        <v>0</v>
      </c>
      <c r="AR1343" s="2">
        <v>0</v>
      </c>
    </row>
    <row r="1344" spans="1:44" x14ac:dyDescent="0.25">
      <c r="A1344" t="s">
        <v>131</v>
      </c>
      <c r="B1344" t="s">
        <v>201</v>
      </c>
      <c r="C1344" t="s">
        <v>44</v>
      </c>
      <c r="D1344" t="s">
        <v>202</v>
      </c>
      <c r="E1344" t="s">
        <v>134</v>
      </c>
      <c r="F1344" t="s">
        <v>202</v>
      </c>
      <c r="G1344" t="s">
        <v>28</v>
      </c>
      <c r="H1344" t="s">
        <v>53</v>
      </c>
      <c r="I1344" t="s">
        <v>135</v>
      </c>
      <c r="J1344" t="s">
        <v>39</v>
      </c>
      <c r="K1344" t="s">
        <v>28</v>
      </c>
      <c r="L1344">
        <v>0.25633127765571201</v>
      </c>
      <c r="M1344">
        <v>0</v>
      </c>
      <c r="N1344">
        <v>0.29256818482477859</v>
      </c>
      <c r="O1344">
        <v>3.7296622915880167</v>
      </c>
      <c r="P1344">
        <v>7.1065022091179086</v>
      </c>
      <c r="Q1344">
        <v>9.2810154983924846</v>
      </c>
      <c r="R1344">
        <v>-1.446476902757877</v>
      </c>
      <c r="S1344" s="2">
        <v>0.35006537493327022</v>
      </c>
      <c r="T1344" s="2">
        <v>0.69929538548034365</v>
      </c>
      <c r="U1344" s="2">
        <v>1.2406712771919379</v>
      </c>
      <c r="V1344" s="2">
        <v>2.0162736833160237</v>
      </c>
      <c r="W1344" s="2">
        <v>3.0571797043104505</v>
      </c>
      <c r="X1344" s="2">
        <v>4.373279435616654</v>
      </c>
      <c r="Y1344" s="2">
        <v>5.9408975953895657</v>
      </c>
      <c r="Z1344" s="2">
        <v>7.6902058372463511</v>
      </c>
      <c r="AA1344" s="2">
        <v>9.4962076065499481</v>
      </c>
      <c r="AB1344" s="2">
        <v>11.178900257344029</v>
      </c>
      <c r="AC1344" s="2">
        <v>12.518728171525973</v>
      </c>
      <c r="AD1344" s="2">
        <v>13.291239258214956</v>
      </c>
      <c r="AE1344" s="2">
        <v>13.318751540424502</v>
      </c>
      <c r="AF1344" s="2">
        <v>12.527387556895187</v>
      </c>
      <c r="AG1344" s="2">
        <v>10.988742732513655</v>
      </c>
      <c r="AH1344" s="2">
        <v>9.0653985826616754</v>
      </c>
      <c r="AI1344" s="2">
        <v>6.914684534175696</v>
      </c>
      <c r="AJ1344" s="2">
        <v>4.7743593882021509</v>
      </c>
      <c r="AK1344" s="2">
        <v>0.34351950527991454</v>
      </c>
      <c r="AL1344" s="2">
        <v>0</v>
      </c>
      <c r="AM1344" s="2">
        <v>0</v>
      </c>
      <c r="AN1344" s="2">
        <v>0</v>
      </c>
      <c r="AO1344" s="2">
        <v>0</v>
      </c>
      <c r="AP1344" s="2">
        <v>0</v>
      </c>
      <c r="AQ1344" s="2">
        <v>0</v>
      </c>
      <c r="AR1344" s="2">
        <v>129.78578742727225</v>
      </c>
    </row>
    <row r="1345" spans="1:44" x14ac:dyDescent="0.25">
      <c r="A1345" t="s">
        <v>131</v>
      </c>
      <c r="B1345" t="s">
        <v>201</v>
      </c>
      <c r="C1345" t="s">
        <v>44</v>
      </c>
      <c r="D1345" t="s">
        <v>202</v>
      </c>
      <c r="E1345" t="s">
        <v>134</v>
      </c>
      <c r="F1345" t="s">
        <v>202</v>
      </c>
      <c r="G1345" t="s">
        <v>28</v>
      </c>
      <c r="H1345" t="s">
        <v>141</v>
      </c>
      <c r="I1345" t="s">
        <v>135</v>
      </c>
      <c r="J1345" t="s">
        <v>39</v>
      </c>
      <c r="K1345" t="s">
        <v>28</v>
      </c>
      <c r="L1345">
        <v>0.25633127765571201</v>
      </c>
      <c r="M1345">
        <v>0</v>
      </c>
      <c r="N1345">
        <v>0.29256818482477859</v>
      </c>
      <c r="O1345">
        <v>3.7296622915880167</v>
      </c>
      <c r="P1345">
        <v>7.1065022091179086</v>
      </c>
      <c r="Q1345">
        <v>9.2810154983924846</v>
      </c>
      <c r="R1345">
        <v>-1.446476902757877</v>
      </c>
      <c r="S1345" s="2">
        <v>0.29463835723550258</v>
      </c>
      <c r="T1345" s="2">
        <v>0.58857361611262249</v>
      </c>
      <c r="U1345" s="2">
        <v>1.0442316583032143</v>
      </c>
      <c r="V1345" s="2">
        <v>1.6970303501243198</v>
      </c>
      <c r="W1345" s="2">
        <v>2.5731262511279622</v>
      </c>
      <c r="X1345" s="2">
        <v>3.6808435249773499</v>
      </c>
      <c r="Y1345" s="2">
        <v>5.000255476119551</v>
      </c>
      <c r="Z1345" s="2">
        <v>6.4725899130156783</v>
      </c>
      <c r="AA1345" s="2">
        <v>7.9926414021795384</v>
      </c>
      <c r="AB1345" s="2">
        <v>9.4089077165978914</v>
      </c>
      <c r="AC1345" s="2">
        <v>10.536596211034361</v>
      </c>
      <c r="AD1345" s="2">
        <v>11.186793042330917</v>
      </c>
      <c r="AE1345" s="2">
        <v>11.209949213190621</v>
      </c>
      <c r="AF1345" s="2">
        <v>10.543884527053446</v>
      </c>
      <c r="AG1345" s="2">
        <v>9.2488584665323241</v>
      </c>
      <c r="AH1345" s="2">
        <v>7.6300438070735765</v>
      </c>
      <c r="AI1345" s="2">
        <v>5.819859482931208</v>
      </c>
      <c r="AJ1345" s="2">
        <v>4.0184191517368104</v>
      </c>
      <c r="AK1345" s="2">
        <v>0.28912891694393161</v>
      </c>
      <c r="AL1345" s="2">
        <v>0</v>
      </c>
      <c r="AM1345" s="2">
        <v>0</v>
      </c>
      <c r="AN1345" s="2">
        <v>0</v>
      </c>
      <c r="AO1345" s="2">
        <v>0</v>
      </c>
      <c r="AP1345" s="2">
        <v>0</v>
      </c>
      <c r="AQ1345" s="2">
        <v>0</v>
      </c>
      <c r="AR1345" s="2">
        <v>109.23637108462083</v>
      </c>
    </row>
    <row r="1346" spans="1:44" x14ac:dyDescent="0.25">
      <c r="A1346" t="s">
        <v>131</v>
      </c>
      <c r="B1346" t="s">
        <v>235</v>
      </c>
      <c r="C1346" t="s">
        <v>44</v>
      </c>
      <c r="D1346" t="s">
        <v>236</v>
      </c>
      <c r="E1346" t="s">
        <v>134</v>
      </c>
      <c r="F1346" t="s">
        <v>236</v>
      </c>
      <c r="G1346" t="s">
        <v>28</v>
      </c>
      <c r="H1346" t="s">
        <v>52</v>
      </c>
      <c r="I1346" t="s">
        <v>135</v>
      </c>
      <c r="J1346" t="s">
        <v>39</v>
      </c>
      <c r="K1346" t="s">
        <v>28</v>
      </c>
      <c r="L1346">
        <v>0.17361189969618615</v>
      </c>
      <c r="M1346">
        <v>1</v>
      </c>
      <c r="N1346">
        <v>2.4453716403130521</v>
      </c>
      <c r="O1346">
        <v>3.8671118209563602</v>
      </c>
      <c r="P1346">
        <v>-1.1155084905636294</v>
      </c>
      <c r="Q1346">
        <v>1.1513170717988055</v>
      </c>
      <c r="R1346">
        <v>-1.5387891758457397</v>
      </c>
      <c r="S1346" s="2">
        <v>25.64211925053991</v>
      </c>
      <c r="T1346" s="2">
        <v>51.223048464182845</v>
      </c>
      <c r="U1346" s="2">
        <v>90.878570457131389</v>
      </c>
      <c r="V1346" s="2">
        <v>147.69107124396467</v>
      </c>
      <c r="W1346" s="2">
        <v>223.93693338909094</v>
      </c>
      <c r="X1346" s="2">
        <v>320.34060159589427</v>
      </c>
      <c r="Y1346" s="2">
        <v>435.16787293020246</v>
      </c>
      <c r="Z1346" s="2">
        <v>563.30385482271174</v>
      </c>
      <c r="AA1346" s="2">
        <v>695.59261015590175</v>
      </c>
      <c r="AB1346" s="2">
        <v>818.84903225104279</v>
      </c>
      <c r="AC1346" s="2">
        <v>916.9907783669064</v>
      </c>
      <c r="AD1346" s="2">
        <v>973.5768415015965</v>
      </c>
      <c r="AE1346" s="2">
        <v>975.59210285501138</v>
      </c>
      <c r="AF1346" s="2">
        <v>917.62507415327525</v>
      </c>
      <c r="AG1346" s="2">
        <v>804.92008561066893</v>
      </c>
      <c r="AH1346" s="2">
        <v>664.03605770664126</v>
      </c>
      <c r="AI1346" s="2">
        <v>506.49729479528082</v>
      </c>
      <c r="AJ1346" s="2">
        <v>349.71951396378745</v>
      </c>
      <c r="AK1346" s="2">
        <v>25.162637467223881</v>
      </c>
      <c r="AL1346" s="2">
        <v>0</v>
      </c>
      <c r="AM1346" s="2">
        <v>0</v>
      </c>
      <c r="AN1346" s="2">
        <v>0</v>
      </c>
      <c r="AO1346" s="2">
        <v>0</v>
      </c>
      <c r="AP1346" s="2">
        <v>0</v>
      </c>
      <c r="AQ1346" s="2">
        <v>0</v>
      </c>
      <c r="AR1346" s="2">
        <v>9506.746100981054</v>
      </c>
    </row>
    <row r="1347" spans="1:44" x14ac:dyDescent="0.25">
      <c r="A1347" t="s">
        <v>131</v>
      </c>
      <c r="B1347" t="s">
        <v>235</v>
      </c>
      <c r="C1347" t="s">
        <v>44</v>
      </c>
      <c r="D1347" t="s">
        <v>236</v>
      </c>
      <c r="E1347" t="s">
        <v>134</v>
      </c>
      <c r="F1347" t="s">
        <v>236</v>
      </c>
      <c r="G1347" t="s">
        <v>28</v>
      </c>
      <c r="H1347" t="s">
        <v>138</v>
      </c>
      <c r="I1347" t="s">
        <v>135</v>
      </c>
      <c r="J1347" t="s">
        <v>39</v>
      </c>
      <c r="K1347" t="s">
        <v>28</v>
      </c>
      <c r="L1347">
        <v>0.17361189969618615</v>
      </c>
      <c r="M1347">
        <v>1</v>
      </c>
      <c r="N1347">
        <v>2.4453716403130521</v>
      </c>
      <c r="O1347">
        <v>3.8671118209563602</v>
      </c>
      <c r="P1347">
        <v>-1.1155084905636294</v>
      </c>
      <c r="Q1347">
        <v>1.1513170717988055</v>
      </c>
      <c r="R1347">
        <v>-1.5387891758457397</v>
      </c>
      <c r="S1347" s="2">
        <v>8.8948168996999648</v>
      </c>
      <c r="T1347" s="2">
        <v>17.768408011899041</v>
      </c>
      <c r="U1347" s="2">
        <v>31.524236995569151</v>
      </c>
      <c r="V1347" s="2">
        <v>51.231531356673976</v>
      </c>
      <c r="W1347" s="2">
        <v>77.679929654579198</v>
      </c>
      <c r="X1347" s="2">
        <v>111.12072948788035</v>
      </c>
      <c r="Y1347" s="2">
        <v>150.95236522872619</v>
      </c>
      <c r="Z1347" s="2">
        <v>195.40056726932553</v>
      </c>
      <c r="AA1347" s="2">
        <v>241.28929608619819</v>
      </c>
      <c r="AB1347" s="2">
        <v>284.04486147205552</v>
      </c>
      <c r="AC1347" s="2">
        <v>318.08857109637086</v>
      </c>
      <c r="AD1347" s="2">
        <v>337.71731807083677</v>
      </c>
      <c r="AE1347" s="2">
        <v>338.41637810439045</v>
      </c>
      <c r="AF1347" s="2">
        <v>318.30859756239244</v>
      </c>
      <c r="AG1347" s="2">
        <v>279.21314577955457</v>
      </c>
      <c r="AH1347" s="2">
        <v>230.34286247517593</v>
      </c>
      <c r="AI1347" s="2">
        <v>175.69533365704635</v>
      </c>
      <c r="AJ1347" s="2">
        <v>121.31177663462653</v>
      </c>
      <c r="AK1347" s="2">
        <v>8.7284927894470989</v>
      </c>
      <c r="AL1347" s="2">
        <v>0</v>
      </c>
      <c r="AM1347" s="2">
        <v>0</v>
      </c>
      <c r="AN1347" s="2">
        <v>0</v>
      </c>
      <c r="AO1347" s="2">
        <v>0</v>
      </c>
      <c r="AP1347" s="2">
        <v>0</v>
      </c>
      <c r="AQ1347" s="2">
        <v>0</v>
      </c>
      <c r="AR1347" s="2">
        <v>3297.7292186324494</v>
      </c>
    </row>
    <row r="1348" spans="1:44" x14ac:dyDescent="0.25">
      <c r="A1348" t="s">
        <v>131</v>
      </c>
      <c r="B1348" t="s">
        <v>132</v>
      </c>
      <c r="C1348" t="s">
        <v>44</v>
      </c>
      <c r="D1348" t="s">
        <v>133</v>
      </c>
      <c r="E1348" t="s">
        <v>134</v>
      </c>
      <c r="F1348" t="s">
        <v>133</v>
      </c>
      <c r="G1348" t="s">
        <v>28</v>
      </c>
      <c r="H1348" t="s">
        <v>55</v>
      </c>
      <c r="I1348" t="s">
        <v>135</v>
      </c>
      <c r="J1348" t="s">
        <v>39</v>
      </c>
      <c r="K1348" t="s">
        <v>28</v>
      </c>
      <c r="L1348">
        <v>23.3</v>
      </c>
      <c r="M1348">
        <v>1</v>
      </c>
      <c r="N1348">
        <v>1.2837912296962055</v>
      </c>
      <c r="O1348">
        <v>3.7867973472078527</v>
      </c>
      <c r="P1348">
        <v>-6.086570555985079E-2</v>
      </c>
      <c r="Q1348">
        <v>2.1474879975497321</v>
      </c>
      <c r="R1348">
        <v>-1.4803173165928876</v>
      </c>
      <c r="S1348" s="2">
        <v>4.3443346259641399E-2</v>
      </c>
      <c r="T1348" s="2">
        <v>8.6783023242395757E-2</v>
      </c>
      <c r="U1348" s="2">
        <v>0.15396813209451277</v>
      </c>
      <c r="V1348" s="2">
        <v>0.2502209074382114</v>
      </c>
      <c r="W1348" s="2">
        <v>0.37939803814537265</v>
      </c>
      <c r="X1348" s="2">
        <v>0.54272689164953669</v>
      </c>
      <c r="Y1348" s="2">
        <v>0.73726934970011737</v>
      </c>
      <c r="Z1348" s="2">
        <v>0.95435966798799499</v>
      </c>
      <c r="AA1348" s="2">
        <v>1.1784856908039818</v>
      </c>
      <c r="AB1348" s="2">
        <v>1.3873089698584609</v>
      </c>
      <c r="AC1348" s="2">
        <v>1.5535825066663638</v>
      </c>
      <c r="AD1348" s="2">
        <v>1.6494516472085794</v>
      </c>
      <c r="AE1348" s="2">
        <v>1.6528659397607923</v>
      </c>
      <c r="AF1348" s="2">
        <v>1.5546571421599826</v>
      </c>
      <c r="AG1348" s="2">
        <v>1.3637102943349046</v>
      </c>
      <c r="AH1348" s="2">
        <v>1.1250220039137147</v>
      </c>
      <c r="AI1348" s="2">
        <v>0.8581169575872617</v>
      </c>
      <c r="AJ1348" s="2">
        <v>0.59250118098418958</v>
      </c>
      <c r="AK1348" s="2">
        <v>4.2630999474488819E-2</v>
      </c>
      <c r="AL1348" s="2">
        <v>0</v>
      </c>
      <c r="AM1348" s="2">
        <v>0</v>
      </c>
      <c r="AN1348" s="2">
        <v>0</v>
      </c>
      <c r="AO1348" s="2">
        <v>0</v>
      </c>
      <c r="AP1348" s="2">
        <v>0</v>
      </c>
      <c r="AQ1348" s="2">
        <v>0</v>
      </c>
      <c r="AR1348" s="2">
        <v>16.106502689270503</v>
      </c>
    </row>
    <row r="1349" spans="1:44" x14ac:dyDescent="0.25">
      <c r="A1349" t="s">
        <v>131</v>
      </c>
      <c r="B1349" t="s">
        <v>132</v>
      </c>
      <c r="C1349" t="s">
        <v>44</v>
      </c>
      <c r="D1349" t="s">
        <v>133</v>
      </c>
      <c r="E1349" t="s">
        <v>134</v>
      </c>
      <c r="F1349" t="s">
        <v>133</v>
      </c>
      <c r="G1349" t="s">
        <v>28</v>
      </c>
      <c r="H1349" t="s">
        <v>136</v>
      </c>
      <c r="I1349" t="s">
        <v>135</v>
      </c>
      <c r="J1349" t="s">
        <v>39</v>
      </c>
      <c r="K1349" t="s">
        <v>28</v>
      </c>
      <c r="L1349">
        <v>23.3</v>
      </c>
      <c r="M1349">
        <v>1</v>
      </c>
      <c r="N1349">
        <v>1.2837912296962055</v>
      </c>
      <c r="O1349">
        <v>3.7867973472078527</v>
      </c>
      <c r="P1349">
        <v>-6.086570555985079E-2</v>
      </c>
      <c r="Q1349">
        <v>2.1474879975497321</v>
      </c>
      <c r="R1349">
        <v>-1.4803173165928876</v>
      </c>
      <c r="S1349" s="2">
        <v>5.454553474821644E-2</v>
      </c>
      <c r="T1349" s="2">
        <v>0.10896090695989692</v>
      </c>
      <c r="U1349" s="2">
        <v>0.19331554362977713</v>
      </c>
      <c r="V1349" s="2">
        <v>0.3141662504501988</v>
      </c>
      <c r="W1349" s="2">
        <v>0.47635531456030106</v>
      </c>
      <c r="X1349" s="2">
        <v>0.68142376395997384</v>
      </c>
      <c r="Y1349" s="2">
        <v>0.92568262795681422</v>
      </c>
      <c r="Z1349" s="2">
        <v>1.1982515831404823</v>
      </c>
      <c r="AA1349" s="2">
        <v>1.4796542562316664</v>
      </c>
      <c r="AB1349" s="2">
        <v>1.7418434843778454</v>
      </c>
      <c r="AC1349" s="2">
        <v>1.950609147258878</v>
      </c>
      <c r="AD1349" s="2">
        <v>2.0709781792729944</v>
      </c>
      <c r="AE1349" s="2">
        <v>2.0752650132552168</v>
      </c>
      <c r="AF1349" s="2">
        <v>1.9519584118230886</v>
      </c>
      <c r="AG1349" s="2">
        <v>1.712214036220491</v>
      </c>
      <c r="AH1349" s="2">
        <v>1.4125276271361082</v>
      </c>
      <c r="AI1349" s="2">
        <v>1.0774135134151175</v>
      </c>
      <c r="AJ1349" s="2">
        <v>0.74391814945792689</v>
      </c>
      <c r="AK1349" s="2">
        <v>5.3525588229081315E-2</v>
      </c>
      <c r="AL1349" s="2">
        <v>0</v>
      </c>
      <c r="AM1349" s="2">
        <v>0</v>
      </c>
      <c r="AN1349" s="2">
        <v>0</v>
      </c>
      <c r="AO1349" s="2">
        <v>0</v>
      </c>
      <c r="AP1349" s="2">
        <v>0</v>
      </c>
      <c r="AQ1349" s="2">
        <v>0</v>
      </c>
      <c r="AR1349" s="2">
        <v>20.222608932084079</v>
      </c>
    </row>
    <row r="1350" spans="1:44" x14ac:dyDescent="0.25">
      <c r="A1350" t="s">
        <v>131</v>
      </c>
      <c r="B1350" t="s">
        <v>137</v>
      </c>
      <c r="C1350" t="s">
        <v>44</v>
      </c>
      <c r="D1350" t="s">
        <v>133</v>
      </c>
      <c r="E1350" t="s">
        <v>134</v>
      </c>
      <c r="F1350" t="s">
        <v>133</v>
      </c>
      <c r="G1350" t="s">
        <v>28</v>
      </c>
      <c r="H1350" t="s">
        <v>52</v>
      </c>
      <c r="I1350" t="s">
        <v>135</v>
      </c>
      <c r="J1350" t="s">
        <v>39</v>
      </c>
      <c r="K1350" t="s">
        <v>28</v>
      </c>
      <c r="L1350">
        <v>31</v>
      </c>
      <c r="M1350">
        <v>1</v>
      </c>
      <c r="N1350">
        <v>1.6225668455291766</v>
      </c>
      <c r="O1350">
        <v>3.7706168785438607</v>
      </c>
      <c r="P1350">
        <v>-0.50471968428702207</v>
      </c>
      <c r="Q1350">
        <v>1.691854048884281</v>
      </c>
      <c r="R1350">
        <v>-1.4685373466546079</v>
      </c>
      <c r="S1350" s="2">
        <v>25.094367726044393</v>
      </c>
      <c r="T1350" s="2">
        <v>50.128852519946562</v>
      </c>
      <c r="U1350" s="2">
        <v>88.937277109826695</v>
      </c>
      <c r="V1350" s="2">
        <v>144.53618343466027</v>
      </c>
      <c r="W1350" s="2">
        <v>219.15332734404285</v>
      </c>
      <c r="X1350" s="2">
        <v>313.49767838944882</v>
      </c>
      <c r="Y1350" s="2">
        <v>425.87207863644602</v>
      </c>
      <c r="Z1350" s="2">
        <v>551.27089677355025</v>
      </c>
      <c r="AA1350" s="2">
        <v>680.73377930350705</v>
      </c>
      <c r="AB1350" s="2">
        <v>801.35727186397003</v>
      </c>
      <c r="AC1350" s="2">
        <v>897.40257304381339</v>
      </c>
      <c r="AD1350" s="2">
        <v>952.77987874139865</v>
      </c>
      <c r="AE1350" s="2">
        <v>954.75209129421273</v>
      </c>
      <c r="AF1350" s="2">
        <v>898.02331938520194</v>
      </c>
      <c r="AG1350" s="2">
        <v>787.72586700172837</v>
      </c>
      <c r="AH1350" s="2">
        <v>649.85131894246354</v>
      </c>
      <c r="AI1350" s="2">
        <v>495.67780430519088</v>
      </c>
      <c r="AJ1350" s="2">
        <v>342.24901610642087</v>
      </c>
      <c r="AK1350" s="2">
        <v>24.625128344115122</v>
      </c>
      <c r="AL1350" s="2">
        <v>0</v>
      </c>
      <c r="AM1350" s="2">
        <v>0</v>
      </c>
      <c r="AN1350" s="2">
        <v>0</v>
      </c>
      <c r="AO1350" s="2">
        <v>0</v>
      </c>
      <c r="AP1350" s="2">
        <v>0</v>
      </c>
      <c r="AQ1350" s="2">
        <v>0</v>
      </c>
      <c r="AR1350" s="2">
        <v>9303.6687102659871</v>
      </c>
    </row>
    <row r="1351" spans="1:44" x14ac:dyDescent="0.25">
      <c r="A1351" t="s">
        <v>131</v>
      </c>
      <c r="B1351" t="s">
        <v>137</v>
      </c>
      <c r="C1351" t="s">
        <v>44</v>
      </c>
      <c r="D1351" t="s">
        <v>133</v>
      </c>
      <c r="E1351" t="s">
        <v>134</v>
      </c>
      <c r="F1351" t="s">
        <v>133</v>
      </c>
      <c r="G1351" t="s">
        <v>28</v>
      </c>
      <c r="H1351" t="s">
        <v>138</v>
      </c>
      <c r="I1351" t="s">
        <v>135</v>
      </c>
      <c r="J1351" t="s">
        <v>39</v>
      </c>
      <c r="K1351" t="s">
        <v>28</v>
      </c>
      <c r="L1351">
        <v>31</v>
      </c>
      <c r="M1351">
        <v>1</v>
      </c>
      <c r="N1351">
        <v>1.6225668455291766</v>
      </c>
      <c r="O1351">
        <v>3.7706168785438607</v>
      </c>
      <c r="P1351">
        <v>-0.50471968428702207</v>
      </c>
      <c r="Q1351">
        <v>1.691854048884281</v>
      </c>
      <c r="R1351">
        <v>-1.4685373466546079</v>
      </c>
      <c r="S1351" s="2">
        <v>8.7048111724308903</v>
      </c>
      <c r="T1351" s="2">
        <v>17.388849969863529</v>
      </c>
      <c r="U1351" s="2">
        <v>30.850835210632152</v>
      </c>
      <c r="V1351" s="2">
        <v>50.137154205991799</v>
      </c>
      <c r="W1351" s="2">
        <v>76.020577731469174</v>
      </c>
      <c r="X1351" s="2">
        <v>108.74703531754537</v>
      </c>
      <c r="Y1351" s="2">
        <v>147.72781161939463</v>
      </c>
      <c r="Z1351" s="2">
        <v>191.22653790914273</v>
      </c>
      <c r="AA1351" s="2">
        <v>236.13501930882597</v>
      </c>
      <c r="AB1351" s="2">
        <v>277.97726602971852</v>
      </c>
      <c r="AC1351" s="2">
        <v>311.29375441057886</v>
      </c>
      <c r="AD1351" s="2">
        <v>330.50320390131702</v>
      </c>
      <c r="AE1351" s="2">
        <v>331.18733103500563</v>
      </c>
      <c r="AF1351" s="2">
        <v>311.50908080360648</v>
      </c>
      <c r="AG1351" s="2">
        <v>273.24876254096085</v>
      </c>
      <c r="AH1351" s="2">
        <v>225.42241682695661</v>
      </c>
      <c r="AI1351" s="2">
        <v>171.94223564213209</v>
      </c>
      <c r="AJ1351" s="2">
        <v>118.72038744632934</v>
      </c>
      <c r="AK1351" s="2">
        <v>8.5420399777570655</v>
      </c>
      <c r="AL1351" s="2">
        <v>0</v>
      </c>
      <c r="AM1351" s="2">
        <v>0</v>
      </c>
      <c r="AN1351" s="2">
        <v>0</v>
      </c>
      <c r="AO1351" s="2">
        <v>0</v>
      </c>
      <c r="AP1351" s="2">
        <v>0</v>
      </c>
      <c r="AQ1351" s="2">
        <v>0</v>
      </c>
      <c r="AR1351" s="2">
        <v>3227.2851110596584</v>
      </c>
    </row>
    <row r="1352" spans="1:44" x14ac:dyDescent="0.25">
      <c r="A1352" t="s">
        <v>131</v>
      </c>
      <c r="B1352" t="s">
        <v>239</v>
      </c>
      <c r="C1352" t="s">
        <v>46</v>
      </c>
      <c r="D1352" t="s">
        <v>240</v>
      </c>
      <c r="E1352" t="s">
        <v>148</v>
      </c>
      <c r="F1352" t="s">
        <v>241</v>
      </c>
      <c r="G1352" t="s">
        <v>28</v>
      </c>
      <c r="H1352" t="s">
        <v>52</v>
      </c>
      <c r="I1352" t="s">
        <v>135</v>
      </c>
      <c r="J1352" t="s">
        <v>39</v>
      </c>
      <c r="K1352" t="s">
        <v>28</v>
      </c>
      <c r="L1352">
        <v>70.999999999999986</v>
      </c>
      <c r="M1352">
        <v>1</v>
      </c>
      <c r="N1352">
        <v>3.0518900926655417</v>
      </c>
      <c r="O1352">
        <v>3.688844026831072</v>
      </c>
      <c r="P1352">
        <v>-1.294529871073506</v>
      </c>
      <c r="Q1352">
        <v>0.87998341820106674</v>
      </c>
      <c r="R1352">
        <v>-1.4464769027578763</v>
      </c>
      <c r="S1352" s="2">
        <v>0</v>
      </c>
      <c r="T1352" s="2">
        <v>0</v>
      </c>
      <c r="U1352" s="2">
        <v>0</v>
      </c>
      <c r="V1352" s="2">
        <v>0</v>
      </c>
      <c r="W1352" s="2">
        <v>0</v>
      </c>
      <c r="X1352" s="2">
        <v>0</v>
      </c>
      <c r="Y1352" s="2">
        <v>0</v>
      </c>
      <c r="Z1352" s="2">
        <v>0</v>
      </c>
      <c r="AA1352" s="2">
        <v>0</v>
      </c>
      <c r="AB1352" s="2">
        <v>0</v>
      </c>
      <c r="AC1352" s="2">
        <v>0</v>
      </c>
      <c r="AD1352" s="2">
        <v>0</v>
      </c>
      <c r="AE1352" s="2">
        <v>0</v>
      </c>
      <c r="AF1352" s="2">
        <v>0</v>
      </c>
      <c r="AG1352" s="2">
        <v>0</v>
      </c>
      <c r="AH1352" s="2">
        <v>0</v>
      </c>
      <c r="AI1352" s="2">
        <v>0</v>
      </c>
      <c r="AJ1352" s="2">
        <v>0</v>
      </c>
      <c r="AK1352" s="2">
        <v>0</v>
      </c>
      <c r="AL1352" s="2">
        <v>0</v>
      </c>
      <c r="AM1352" s="2">
        <v>0</v>
      </c>
      <c r="AN1352" s="2">
        <v>0</v>
      </c>
      <c r="AO1352" s="2">
        <v>0</v>
      </c>
      <c r="AP1352" s="2">
        <v>0</v>
      </c>
      <c r="AQ1352" s="2">
        <v>0</v>
      </c>
      <c r="AR1352" s="2">
        <v>0</v>
      </c>
    </row>
    <row r="1353" spans="1:44" x14ac:dyDescent="0.25">
      <c r="A1353" t="s">
        <v>131</v>
      </c>
      <c r="B1353" t="s">
        <v>239</v>
      </c>
      <c r="C1353" t="s">
        <v>46</v>
      </c>
      <c r="D1353" t="s">
        <v>240</v>
      </c>
      <c r="E1353" t="s">
        <v>148</v>
      </c>
      <c r="F1353" t="s">
        <v>241</v>
      </c>
      <c r="G1353" t="s">
        <v>28</v>
      </c>
      <c r="H1353" t="s">
        <v>138</v>
      </c>
      <c r="I1353" t="s">
        <v>135</v>
      </c>
      <c r="J1353" t="s">
        <v>39</v>
      </c>
      <c r="K1353" t="s">
        <v>28</v>
      </c>
      <c r="L1353">
        <v>70.999999999999986</v>
      </c>
      <c r="M1353">
        <v>1</v>
      </c>
      <c r="N1353">
        <v>3.0518900926655417</v>
      </c>
      <c r="O1353">
        <v>3.688844026831072</v>
      </c>
      <c r="P1353">
        <v>-1.294529871073506</v>
      </c>
      <c r="Q1353">
        <v>0.87998341820106674</v>
      </c>
      <c r="R1353">
        <v>-1.4464769027578763</v>
      </c>
      <c r="S1353" s="2">
        <v>0</v>
      </c>
      <c r="T1353" s="2">
        <v>0</v>
      </c>
      <c r="U1353" s="2">
        <v>0</v>
      </c>
      <c r="V1353" s="2">
        <v>0</v>
      </c>
      <c r="W1353" s="2">
        <v>0</v>
      </c>
      <c r="X1353" s="2">
        <v>0</v>
      </c>
      <c r="Y1353" s="2">
        <v>0</v>
      </c>
      <c r="Z1353" s="2">
        <v>0</v>
      </c>
      <c r="AA1353" s="2">
        <v>0</v>
      </c>
      <c r="AB1353" s="2">
        <v>0</v>
      </c>
      <c r="AC1353" s="2">
        <v>0</v>
      </c>
      <c r="AD1353" s="2">
        <v>0</v>
      </c>
      <c r="AE1353" s="2">
        <v>0</v>
      </c>
      <c r="AF1353" s="2">
        <v>0</v>
      </c>
      <c r="AG1353" s="2">
        <v>0</v>
      </c>
      <c r="AH1353" s="2">
        <v>0</v>
      </c>
      <c r="AI1353" s="2">
        <v>0</v>
      </c>
      <c r="AJ1353" s="2">
        <v>0</v>
      </c>
      <c r="AK1353" s="2">
        <v>0</v>
      </c>
      <c r="AL1353" s="2">
        <v>0</v>
      </c>
      <c r="AM1353" s="2">
        <v>0</v>
      </c>
      <c r="AN1353" s="2">
        <v>0</v>
      </c>
      <c r="AO1353" s="2">
        <v>0</v>
      </c>
      <c r="AP1353" s="2">
        <v>0</v>
      </c>
      <c r="AQ1353" s="2">
        <v>0</v>
      </c>
      <c r="AR1353" s="2">
        <v>0</v>
      </c>
    </row>
    <row r="1354" spans="1:44" x14ac:dyDescent="0.25">
      <c r="A1354" t="s">
        <v>131</v>
      </c>
      <c r="B1354" t="s">
        <v>242</v>
      </c>
      <c r="C1354" t="s">
        <v>46</v>
      </c>
      <c r="D1354" t="s">
        <v>240</v>
      </c>
      <c r="E1354" t="s">
        <v>148</v>
      </c>
      <c r="F1354" t="s">
        <v>243</v>
      </c>
      <c r="G1354" t="s">
        <v>28</v>
      </c>
      <c r="H1354" t="s">
        <v>52</v>
      </c>
      <c r="I1354" t="s">
        <v>135</v>
      </c>
      <c r="J1354" t="s">
        <v>39</v>
      </c>
      <c r="K1354" t="s">
        <v>28</v>
      </c>
      <c r="L1354">
        <v>91.420000000000016</v>
      </c>
      <c r="M1354">
        <v>1</v>
      </c>
      <c r="N1354">
        <v>1.2286361503824936</v>
      </c>
      <c r="O1354">
        <v>3.6763765132632762</v>
      </c>
      <c r="P1354">
        <v>1.3024461667565736E-2</v>
      </c>
      <c r="Q1354">
        <v>2.1784609474153913</v>
      </c>
      <c r="R1354">
        <v>-1.4374000992311295</v>
      </c>
      <c r="S1354" s="2">
        <v>0</v>
      </c>
      <c r="T1354" s="2">
        <v>0</v>
      </c>
      <c r="U1354" s="2">
        <v>0</v>
      </c>
      <c r="V1354" s="2">
        <v>0</v>
      </c>
      <c r="W1354" s="2">
        <v>0</v>
      </c>
      <c r="X1354" s="2">
        <v>0</v>
      </c>
      <c r="Y1354" s="2">
        <v>0</v>
      </c>
      <c r="Z1354" s="2">
        <v>0</v>
      </c>
      <c r="AA1354" s="2">
        <v>0</v>
      </c>
      <c r="AB1354" s="2">
        <v>0</v>
      </c>
      <c r="AC1354" s="2">
        <v>0</v>
      </c>
      <c r="AD1354" s="2">
        <v>0</v>
      </c>
      <c r="AE1354" s="2">
        <v>0</v>
      </c>
      <c r="AF1354" s="2">
        <v>0</v>
      </c>
      <c r="AG1354" s="2">
        <v>0</v>
      </c>
      <c r="AH1354" s="2">
        <v>0</v>
      </c>
      <c r="AI1354" s="2">
        <v>0</v>
      </c>
      <c r="AJ1354" s="2">
        <v>0</v>
      </c>
      <c r="AK1354" s="2">
        <v>0</v>
      </c>
      <c r="AL1354" s="2">
        <v>0</v>
      </c>
      <c r="AM1354" s="2">
        <v>0</v>
      </c>
      <c r="AN1354" s="2">
        <v>0</v>
      </c>
      <c r="AO1354" s="2">
        <v>0</v>
      </c>
      <c r="AP1354" s="2">
        <v>0</v>
      </c>
      <c r="AQ1354" s="2">
        <v>0</v>
      </c>
      <c r="AR1354" s="2">
        <v>0</v>
      </c>
    </row>
    <row r="1355" spans="1:44" x14ac:dyDescent="0.25">
      <c r="A1355" t="s">
        <v>131</v>
      </c>
      <c r="B1355" t="s">
        <v>242</v>
      </c>
      <c r="C1355" t="s">
        <v>46</v>
      </c>
      <c r="D1355" t="s">
        <v>240</v>
      </c>
      <c r="E1355" t="s">
        <v>148</v>
      </c>
      <c r="F1355" t="s">
        <v>243</v>
      </c>
      <c r="G1355" t="s">
        <v>28</v>
      </c>
      <c r="H1355" t="s">
        <v>138</v>
      </c>
      <c r="I1355" t="s">
        <v>135</v>
      </c>
      <c r="J1355" t="s">
        <v>39</v>
      </c>
      <c r="K1355" t="s">
        <v>28</v>
      </c>
      <c r="L1355">
        <v>91.420000000000016</v>
      </c>
      <c r="M1355">
        <v>1</v>
      </c>
      <c r="N1355">
        <v>1.2286361503824936</v>
      </c>
      <c r="O1355">
        <v>3.6763765132632762</v>
      </c>
      <c r="P1355">
        <v>1.3024461667565736E-2</v>
      </c>
      <c r="Q1355">
        <v>2.1784609474153913</v>
      </c>
      <c r="R1355">
        <v>-1.4374000992311295</v>
      </c>
      <c r="S1355" s="2">
        <v>0</v>
      </c>
      <c r="T1355" s="2">
        <v>0</v>
      </c>
      <c r="U1355" s="2">
        <v>0</v>
      </c>
      <c r="V1355" s="2">
        <v>0</v>
      </c>
      <c r="W1355" s="2">
        <v>0</v>
      </c>
      <c r="X1355" s="2">
        <v>0</v>
      </c>
      <c r="Y1355" s="2">
        <v>0</v>
      </c>
      <c r="Z1355" s="2">
        <v>0</v>
      </c>
      <c r="AA1355" s="2">
        <v>0</v>
      </c>
      <c r="AB1355" s="2">
        <v>0</v>
      </c>
      <c r="AC1355" s="2">
        <v>0</v>
      </c>
      <c r="AD1355" s="2">
        <v>0</v>
      </c>
      <c r="AE1355" s="2">
        <v>0</v>
      </c>
      <c r="AF1355" s="2">
        <v>0</v>
      </c>
      <c r="AG1355" s="2">
        <v>0</v>
      </c>
      <c r="AH1355" s="2">
        <v>0</v>
      </c>
      <c r="AI1355" s="2">
        <v>0</v>
      </c>
      <c r="AJ1355" s="2">
        <v>0</v>
      </c>
      <c r="AK1355" s="2">
        <v>0</v>
      </c>
      <c r="AL1355" s="2">
        <v>0</v>
      </c>
      <c r="AM1355" s="2">
        <v>0</v>
      </c>
      <c r="AN1355" s="2">
        <v>0</v>
      </c>
      <c r="AO1355" s="2">
        <v>0</v>
      </c>
      <c r="AP1355" s="2">
        <v>0</v>
      </c>
      <c r="AQ1355" s="2">
        <v>0</v>
      </c>
      <c r="AR1355" s="2">
        <v>0</v>
      </c>
    </row>
    <row r="1356" spans="1:44" x14ac:dyDescent="0.25">
      <c r="A1356" t="s">
        <v>131</v>
      </c>
      <c r="B1356" t="s">
        <v>244</v>
      </c>
      <c r="C1356" t="s">
        <v>46</v>
      </c>
      <c r="D1356" t="s">
        <v>240</v>
      </c>
      <c r="E1356" t="s">
        <v>148</v>
      </c>
      <c r="F1356" t="s">
        <v>245</v>
      </c>
      <c r="G1356" t="s">
        <v>28</v>
      </c>
      <c r="H1356" t="s">
        <v>52</v>
      </c>
      <c r="I1356" t="s">
        <v>135</v>
      </c>
      <c r="J1356" t="s">
        <v>39</v>
      </c>
      <c r="K1356" t="s">
        <v>28</v>
      </c>
      <c r="L1356">
        <v>21.919999999999987</v>
      </c>
      <c r="M1356">
        <v>1</v>
      </c>
      <c r="N1356">
        <v>1.1400727737010417</v>
      </c>
      <c r="O1356">
        <v>3.9384309079335504</v>
      </c>
      <c r="P1356">
        <v>0.15881169413742999</v>
      </c>
      <c r="Q1356">
        <v>2.5150333144518231</v>
      </c>
      <c r="R1356">
        <v>-1.6281852337976968</v>
      </c>
      <c r="S1356" s="2">
        <v>0</v>
      </c>
      <c r="T1356" s="2">
        <v>0</v>
      </c>
      <c r="U1356" s="2">
        <v>0</v>
      </c>
      <c r="V1356" s="2">
        <v>0</v>
      </c>
      <c r="W1356" s="2">
        <v>0</v>
      </c>
      <c r="X1356" s="2">
        <v>0</v>
      </c>
      <c r="Y1356" s="2">
        <v>0</v>
      </c>
      <c r="Z1356" s="2">
        <v>0</v>
      </c>
      <c r="AA1356" s="2">
        <v>0</v>
      </c>
      <c r="AB1356" s="2">
        <v>0</v>
      </c>
      <c r="AC1356" s="2">
        <v>0</v>
      </c>
      <c r="AD1356" s="2">
        <v>0</v>
      </c>
      <c r="AE1356" s="2">
        <v>0</v>
      </c>
      <c r="AF1356" s="2">
        <v>0</v>
      </c>
      <c r="AG1356" s="2">
        <v>0</v>
      </c>
      <c r="AH1356" s="2">
        <v>0</v>
      </c>
      <c r="AI1356" s="2">
        <v>0</v>
      </c>
      <c r="AJ1356" s="2">
        <v>0</v>
      </c>
      <c r="AK1356" s="2">
        <v>0</v>
      </c>
      <c r="AL1356" s="2">
        <v>0</v>
      </c>
      <c r="AM1356" s="2">
        <v>0</v>
      </c>
      <c r="AN1356" s="2">
        <v>0</v>
      </c>
      <c r="AO1356" s="2">
        <v>0</v>
      </c>
      <c r="AP1356" s="2">
        <v>0</v>
      </c>
      <c r="AQ1356" s="2">
        <v>0</v>
      </c>
      <c r="AR1356" s="2">
        <v>0</v>
      </c>
    </row>
    <row r="1357" spans="1:44" x14ac:dyDescent="0.25">
      <c r="A1357" t="s">
        <v>131</v>
      </c>
      <c r="B1357" t="s">
        <v>244</v>
      </c>
      <c r="C1357" t="s">
        <v>46</v>
      </c>
      <c r="D1357" t="s">
        <v>240</v>
      </c>
      <c r="E1357" t="s">
        <v>148</v>
      </c>
      <c r="F1357" t="s">
        <v>245</v>
      </c>
      <c r="G1357" t="s">
        <v>28</v>
      </c>
      <c r="H1357" t="s">
        <v>138</v>
      </c>
      <c r="I1357" t="s">
        <v>135</v>
      </c>
      <c r="J1357" t="s">
        <v>39</v>
      </c>
      <c r="K1357" t="s">
        <v>28</v>
      </c>
      <c r="L1357">
        <v>21.919999999999987</v>
      </c>
      <c r="M1357">
        <v>1</v>
      </c>
      <c r="N1357">
        <v>1.1400727737010417</v>
      </c>
      <c r="O1357">
        <v>3.9384309079335504</v>
      </c>
      <c r="P1357">
        <v>0.15881169413742999</v>
      </c>
      <c r="Q1357">
        <v>2.5150333144518231</v>
      </c>
      <c r="R1357">
        <v>-1.6281852337976968</v>
      </c>
      <c r="S1357" s="2">
        <v>0</v>
      </c>
      <c r="T1357" s="2">
        <v>0</v>
      </c>
      <c r="U1357" s="2">
        <v>0</v>
      </c>
      <c r="V1357" s="2">
        <v>0</v>
      </c>
      <c r="W1357" s="2">
        <v>0</v>
      </c>
      <c r="X1357" s="2">
        <v>0</v>
      </c>
      <c r="Y1357" s="2">
        <v>0</v>
      </c>
      <c r="Z1357" s="2">
        <v>0</v>
      </c>
      <c r="AA1357" s="2">
        <v>0</v>
      </c>
      <c r="AB1357" s="2">
        <v>0</v>
      </c>
      <c r="AC1357" s="2">
        <v>0</v>
      </c>
      <c r="AD1357" s="2">
        <v>0</v>
      </c>
      <c r="AE1357" s="2">
        <v>0</v>
      </c>
      <c r="AF1357" s="2">
        <v>0</v>
      </c>
      <c r="AG1357" s="2">
        <v>0</v>
      </c>
      <c r="AH1357" s="2">
        <v>0</v>
      </c>
      <c r="AI1357" s="2">
        <v>0</v>
      </c>
      <c r="AJ1357" s="2">
        <v>0</v>
      </c>
      <c r="AK1357" s="2">
        <v>0</v>
      </c>
      <c r="AL1357" s="2">
        <v>0</v>
      </c>
      <c r="AM1357" s="2">
        <v>0</v>
      </c>
      <c r="AN1357" s="2">
        <v>0</v>
      </c>
      <c r="AO1357" s="2">
        <v>0</v>
      </c>
      <c r="AP1357" s="2">
        <v>0</v>
      </c>
      <c r="AQ1357" s="2">
        <v>0</v>
      </c>
      <c r="AR1357" s="2">
        <v>0</v>
      </c>
    </row>
    <row r="1358" spans="1:44" x14ac:dyDescent="0.25">
      <c r="A1358" t="s">
        <v>131</v>
      </c>
      <c r="B1358" t="s">
        <v>246</v>
      </c>
      <c r="C1358" t="s">
        <v>46</v>
      </c>
      <c r="D1358" t="s">
        <v>240</v>
      </c>
      <c r="E1358" t="s">
        <v>148</v>
      </c>
      <c r="F1358" t="s">
        <v>247</v>
      </c>
      <c r="G1358" t="s">
        <v>28</v>
      </c>
      <c r="H1358" t="s">
        <v>52</v>
      </c>
      <c r="I1358" t="s">
        <v>135</v>
      </c>
      <c r="J1358" t="s">
        <v>39</v>
      </c>
      <c r="K1358" t="s">
        <v>28</v>
      </c>
      <c r="L1358">
        <v>53.289965753424667</v>
      </c>
      <c r="M1358">
        <v>0</v>
      </c>
      <c r="N1358">
        <v>0.77259062316126836</v>
      </c>
      <c r="O1358">
        <v>3.757089514470124</v>
      </c>
      <c r="P1358">
        <v>1.3162248517699382</v>
      </c>
      <c r="Q1358">
        <v>3.5404233392613156</v>
      </c>
      <c r="R1358">
        <v>-1.4961621009746808</v>
      </c>
      <c r="S1358" s="2">
        <v>0</v>
      </c>
      <c r="T1358" s="2">
        <v>0</v>
      </c>
      <c r="U1358" s="2">
        <v>0</v>
      </c>
      <c r="V1358" s="2">
        <v>0</v>
      </c>
      <c r="W1358" s="2">
        <v>0</v>
      </c>
      <c r="X1358" s="2">
        <v>0</v>
      </c>
      <c r="Y1358" s="2">
        <v>0</v>
      </c>
      <c r="Z1358" s="2">
        <v>0</v>
      </c>
      <c r="AA1358" s="2">
        <v>0</v>
      </c>
      <c r="AB1358" s="2">
        <v>0</v>
      </c>
      <c r="AC1358" s="2">
        <v>0</v>
      </c>
      <c r="AD1358" s="2">
        <v>0</v>
      </c>
      <c r="AE1358" s="2">
        <v>0</v>
      </c>
      <c r="AF1358" s="2">
        <v>0</v>
      </c>
      <c r="AG1358" s="2">
        <v>0</v>
      </c>
      <c r="AH1358" s="2">
        <v>0</v>
      </c>
      <c r="AI1358" s="2">
        <v>0</v>
      </c>
      <c r="AJ1358" s="2">
        <v>0</v>
      </c>
      <c r="AK1358" s="2">
        <v>0</v>
      </c>
      <c r="AL1358" s="2">
        <v>0</v>
      </c>
      <c r="AM1358" s="2">
        <v>0</v>
      </c>
      <c r="AN1358" s="2">
        <v>0</v>
      </c>
      <c r="AO1358" s="2">
        <v>0</v>
      </c>
      <c r="AP1358" s="2">
        <v>0</v>
      </c>
      <c r="AQ1358" s="2">
        <v>0</v>
      </c>
      <c r="AR1358" s="2">
        <v>0</v>
      </c>
    </row>
    <row r="1359" spans="1:44" x14ac:dyDescent="0.25">
      <c r="A1359" t="s">
        <v>131</v>
      </c>
      <c r="B1359" t="s">
        <v>246</v>
      </c>
      <c r="C1359" t="s">
        <v>46</v>
      </c>
      <c r="D1359" t="s">
        <v>240</v>
      </c>
      <c r="E1359" t="s">
        <v>148</v>
      </c>
      <c r="F1359" t="s">
        <v>247</v>
      </c>
      <c r="G1359" t="s">
        <v>28</v>
      </c>
      <c r="H1359" t="s">
        <v>138</v>
      </c>
      <c r="I1359" t="s">
        <v>135</v>
      </c>
      <c r="J1359" t="s">
        <v>39</v>
      </c>
      <c r="K1359" t="s">
        <v>28</v>
      </c>
      <c r="L1359">
        <v>53.289965753424667</v>
      </c>
      <c r="M1359">
        <v>0</v>
      </c>
      <c r="N1359">
        <v>0.77259062316126836</v>
      </c>
      <c r="O1359">
        <v>3.757089514470124</v>
      </c>
      <c r="P1359">
        <v>1.3162248517699382</v>
      </c>
      <c r="Q1359">
        <v>3.5404233392613156</v>
      </c>
      <c r="R1359">
        <v>-1.4961621009746808</v>
      </c>
      <c r="S1359" s="2">
        <v>0</v>
      </c>
      <c r="T1359" s="2">
        <v>0</v>
      </c>
      <c r="U1359" s="2">
        <v>0</v>
      </c>
      <c r="V1359" s="2">
        <v>0</v>
      </c>
      <c r="W1359" s="2">
        <v>0</v>
      </c>
      <c r="X1359" s="2">
        <v>0</v>
      </c>
      <c r="Y1359" s="2">
        <v>0</v>
      </c>
      <c r="Z1359" s="2">
        <v>0</v>
      </c>
      <c r="AA1359" s="2">
        <v>0</v>
      </c>
      <c r="AB1359" s="2">
        <v>0</v>
      </c>
      <c r="AC1359" s="2">
        <v>0</v>
      </c>
      <c r="AD1359" s="2">
        <v>0</v>
      </c>
      <c r="AE1359" s="2">
        <v>0</v>
      </c>
      <c r="AF1359" s="2">
        <v>0</v>
      </c>
      <c r="AG1359" s="2">
        <v>0</v>
      </c>
      <c r="AH1359" s="2">
        <v>0</v>
      </c>
      <c r="AI1359" s="2">
        <v>0</v>
      </c>
      <c r="AJ1359" s="2">
        <v>0</v>
      </c>
      <c r="AK1359" s="2">
        <v>0</v>
      </c>
      <c r="AL1359" s="2">
        <v>0</v>
      </c>
      <c r="AM1359" s="2">
        <v>0</v>
      </c>
      <c r="AN1359" s="2">
        <v>0</v>
      </c>
      <c r="AO1359" s="2">
        <v>0</v>
      </c>
      <c r="AP1359" s="2">
        <v>0</v>
      </c>
      <c r="AQ1359" s="2">
        <v>0</v>
      </c>
      <c r="AR1359" s="2">
        <v>0</v>
      </c>
    </row>
    <row r="1360" spans="1:44" x14ac:dyDescent="0.25">
      <c r="A1360" t="s">
        <v>131</v>
      </c>
      <c r="B1360" t="s">
        <v>206</v>
      </c>
      <c r="C1360" t="s">
        <v>44</v>
      </c>
      <c r="D1360" t="s">
        <v>204</v>
      </c>
      <c r="E1360" t="s">
        <v>134</v>
      </c>
      <c r="F1360" t="s">
        <v>205</v>
      </c>
      <c r="G1360" t="s">
        <v>28</v>
      </c>
      <c r="H1360" t="s">
        <v>55</v>
      </c>
      <c r="I1360" t="s">
        <v>135</v>
      </c>
      <c r="J1360" t="s">
        <v>39</v>
      </c>
      <c r="K1360" t="s">
        <v>28</v>
      </c>
      <c r="L1360">
        <v>0.04</v>
      </c>
      <c r="M1360">
        <v>0</v>
      </c>
      <c r="N1360">
        <v>0.90182436584610259</v>
      </c>
      <c r="O1360">
        <v>3.8461052289768833</v>
      </c>
      <c r="P1360">
        <v>0.84230412208661365</v>
      </c>
      <c r="Q1360">
        <v>3.1049333541129269</v>
      </c>
      <c r="R1360">
        <v>-1.5345928455096165</v>
      </c>
      <c r="S1360" s="2">
        <v>0.10183171228613208</v>
      </c>
      <c r="T1360" s="2">
        <v>0.20342042257343612</v>
      </c>
      <c r="U1360" s="2">
        <v>0.36090310435518053</v>
      </c>
      <c r="V1360" s="2">
        <v>0.58652073673003358</v>
      </c>
      <c r="W1360" s="2">
        <v>0.88931344356946995</v>
      </c>
      <c r="X1360" s="2">
        <v>1.2721581885082578</v>
      </c>
      <c r="Y1360" s="2">
        <v>1.7281679879662601</v>
      </c>
      <c r="Z1360" s="2">
        <v>2.23703023582061</v>
      </c>
      <c r="AA1360" s="2">
        <v>2.7623842574659272</v>
      </c>
      <c r="AB1360" s="2">
        <v>3.2518684685631118</v>
      </c>
      <c r="AC1360" s="2">
        <v>3.6416155856434917</v>
      </c>
      <c r="AD1360" s="2">
        <v>3.8663339735519071</v>
      </c>
      <c r="AE1360" s="2">
        <v>3.8743371152703117</v>
      </c>
      <c r="AF1360" s="2">
        <v>3.6441345438228328</v>
      </c>
      <c r="AG1360" s="2">
        <v>3.1965528968323711</v>
      </c>
      <c r="AH1360" s="2">
        <v>2.6370647494191157</v>
      </c>
      <c r="AI1360" s="2">
        <v>2.0114361957899125</v>
      </c>
      <c r="AJ1360" s="2">
        <v>1.3888297054876428</v>
      </c>
      <c r="AK1360" s="2">
        <v>9.992756191042429E-2</v>
      </c>
      <c r="AL1360" s="2">
        <v>0</v>
      </c>
      <c r="AM1360" s="2">
        <v>0</v>
      </c>
      <c r="AN1360" s="2">
        <v>0</v>
      </c>
      <c r="AO1360" s="2">
        <v>0</v>
      </c>
      <c r="AP1360" s="2">
        <v>0</v>
      </c>
      <c r="AQ1360" s="2">
        <v>0</v>
      </c>
      <c r="AR1360" s="2">
        <v>37.753830885566423</v>
      </c>
    </row>
    <row r="1361" spans="1:44" x14ac:dyDescent="0.25">
      <c r="A1361" t="s">
        <v>131</v>
      </c>
      <c r="B1361" t="s">
        <v>206</v>
      </c>
      <c r="C1361" t="s">
        <v>44</v>
      </c>
      <c r="D1361" t="s">
        <v>204</v>
      </c>
      <c r="E1361" t="s">
        <v>134</v>
      </c>
      <c r="F1361" t="s">
        <v>205</v>
      </c>
      <c r="G1361" t="s">
        <v>28</v>
      </c>
      <c r="H1361" t="s">
        <v>136</v>
      </c>
      <c r="I1361" t="s">
        <v>135</v>
      </c>
      <c r="J1361" t="s">
        <v>39</v>
      </c>
      <c r="K1361" t="s">
        <v>28</v>
      </c>
      <c r="L1361">
        <v>0.04</v>
      </c>
      <c r="M1361">
        <v>0</v>
      </c>
      <c r="N1361">
        <v>0.90182436584610259</v>
      </c>
      <c r="O1361">
        <v>3.8461052289768833</v>
      </c>
      <c r="P1361">
        <v>0.84230412208661365</v>
      </c>
      <c r="Q1361">
        <v>3.1049333541129269</v>
      </c>
      <c r="R1361">
        <v>-1.5345928455096165</v>
      </c>
      <c r="S1361" s="2">
        <v>0.12785537209258807</v>
      </c>
      <c r="T1361" s="2">
        <v>0.25540564167553642</v>
      </c>
      <c r="U1361" s="2">
        <v>0.45313389769039319</v>
      </c>
      <c r="V1361" s="2">
        <v>0.73640936944993129</v>
      </c>
      <c r="W1361" s="2">
        <v>1.1165824347038897</v>
      </c>
      <c r="X1361" s="2">
        <v>1.5972652811270345</v>
      </c>
      <c r="Y1361" s="2">
        <v>2.1698109182243051</v>
      </c>
      <c r="Z1361" s="2">
        <v>2.8087157405303218</v>
      </c>
      <c r="AA1361" s="2">
        <v>3.4683269010405531</v>
      </c>
      <c r="AB1361" s="2">
        <v>4.082901521640351</v>
      </c>
      <c r="AC1361" s="2">
        <v>4.5722506797523819</v>
      </c>
      <c r="AD1361" s="2">
        <v>4.8543971001262838</v>
      </c>
      <c r="AE1361" s="2">
        <v>4.8644454891727227</v>
      </c>
      <c r="AF1361" s="2">
        <v>4.5754133716886667</v>
      </c>
      <c r="AG1361" s="2">
        <v>4.0134497482450886</v>
      </c>
      <c r="AH1361" s="2">
        <v>3.3109812964928897</v>
      </c>
      <c r="AI1361" s="2">
        <v>2.5254698902695569</v>
      </c>
      <c r="AJ1361" s="2">
        <v>1.7437528524455963</v>
      </c>
      <c r="AK1361" s="2">
        <v>0.12546460550973898</v>
      </c>
      <c r="AL1361" s="2">
        <v>0</v>
      </c>
      <c r="AM1361" s="2">
        <v>0</v>
      </c>
      <c r="AN1361" s="2">
        <v>0</v>
      </c>
      <c r="AO1361" s="2">
        <v>0</v>
      </c>
      <c r="AP1361" s="2">
        <v>0</v>
      </c>
      <c r="AQ1361" s="2">
        <v>0</v>
      </c>
      <c r="AR1361" s="2">
        <v>47.40203211187783</v>
      </c>
    </row>
    <row r="1362" spans="1:44" x14ac:dyDescent="0.25">
      <c r="A1362" t="s">
        <v>131</v>
      </c>
      <c r="B1362" t="s">
        <v>207</v>
      </c>
      <c r="C1362" t="s">
        <v>44</v>
      </c>
      <c r="D1362" t="s">
        <v>204</v>
      </c>
      <c r="E1362" t="s">
        <v>134</v>
      </c>
      <c r="F1362" t="s">
        <v>208</v>
      </c>
      <c r="G1362" t="s">
        <v>28</v>
      </c>
      <c r="H1362" t="s">
        <v>53</v>
      </c>
      <c r="I1362" t="s">
        <v>135</v>
      </c>
      <c r="J1362" t="s">
        <v>39</v>
      </c>
      <c r="K1362" t="s">
        <v>28</v>
      </c>
      <c r="L1362">
        <v>0.06</v>
      </c>
      <c r="M1362">
        <v>1</v>
      </c>
      <c r="N1362">
        <v>1.5151047046512438</v>
      </c>
      <c r="O1362">
        <v>3.7699868031679262</v>
      </c>
      <c r="P1362">
        <v>-0.39232123746975334</v>
      </c>
      <c r="Q1362">
        <v>1.8115497635035092</v>
      </c>
      <c r="R1362">
        <v>-1.4758346144565648</v>
      </c>
      <c r="S1362" s="2">
        <v>0.3235013496986221</v>
      </c>
      <c r="T1362" s="2">
        <v>0.64623072500110046</v>
      </c>
      <c r="U1362" s="2">
        <v>1.1465253676700029</v>
      </c>
      <c r="V1362" s="2">
        <v>1.8632727045309221</v>
      </c>
      <c r="W1362" s="2">
        <v>2.8251916111503146</v>
      </c>
      <c r="X1362" s="2">
        <v>4.0414216924507267</v>
      </c>
      <c r="Y1362" s="2">
        <v>5.4900842189724539</v>
      </c>
      <c r="Z1362" s="2">
        <v>7.1066496316113561</v>
      </c>
      <c r="AA1362" s="2">
        <v>8.7756064944235703</v>
      </c>
      <c r="AB1362" s="2">
        <v>10.330611309634447</v>
      </c>
      <c r="AC1362" s="2">
        <v>11.568769007134156</v>
      </c>
      <c r="AD1362" s="2">
        <v>12.282659603279726</v>
      </c>
      <c r="AE1362" s="2">
        <v>12.30808416984754</v>
      </c>
      <c r="AF1362" s="2">
        <v>11.576771292007473</v>
      </c>
      <c r="AG1362" s="2">
        <v>10.154883516076746</v>
      </c>
      <c r="AH1362" s="2">
        <v>8.3774885694023702</v>
      </c>
      <c r="AI1362" s="2">
        <v>6.3899772434575288</v>
      </c>
      <c r="AJ1362" s="2">
        <v>4.4120664785087618</v>
      </c>
      <c r="AK1362" s="2">
        <v>0.3174522005411749</v>
      </c>
      <c r="AL1362" s="2">
        <v>0</v>
      </c>
      <c r="AM1362" s="2">
        <v>0</v>
      </c>
      <c r="AN1362" s="2">
        <v>0</v>
      </c>
      <c r="AO1362" s="2">
        <v>0</v>
      </c>
      <c r="AP1362" s="2">
        <v>0</v>
      </c>
      <c r="AQ1362" s="2">
        <v>0</v>
      </c>
      <c r="AR1362" s="2">
        <v>119.937247185399</v>
      </c>
    </row>
    <row r="1363" spans="1:44" x14ac:dyDescent="0.25">
      <c r="A1363" t="s">
        <v>131</v>
      </c>
      <c r="B1363" t="s">
        <v>207</v>
      </c>
      <c r="C1363" t="s">
        <v>44</v>
      </c>
      <c r="D1363" t="s">
        <v>204</v>
      </c>
      <c r="E1363" t="s">
        <v>134</v>
      </c>
      <c r="F1363" t="s">
        <v>208</v>
      </c>
      <c r="G1363" t="s">
        <v>28</v>
      </c>
      <c r="H1363" t="s">
        <v>141</v>
      </c>
      <c r="I1363" t="s">
        <v>135</v>
      </c>
      <c r="J1363" t="s">
        <v>39</v>
      </c>
      <c r="K1363" t="s">
        <v>28</v>
      </c>
      <c r="L1363">
        <v>0.06</v>
      </c>
      <c r="M1363">
        <v>1</v>
      </c>
      <c r="N1363">
        <v>1.5151047046512438</v>
      </c>
      <c r="O1363">
        <v>3.7699868031679262</v>
      </c>
      <c r="P1363">
        <v>-0.39232123746975334</v>
      </c>
      <c r="Q1363">
        <v>1.8115497635035092</v>
      </c>
      <c r="R1363">
        <v>-1.4758346144565648</v>
      </c>
      <c r="S1363" s="2">
        <v>0.2722803026630069</v>
      </c>
      <c r="T1363" s="2">
        <v>0.54391086020925961</v>
      </c>
      <c r="U1363" s="2">
        <v>0.96499218445558543</v>
      </c>
      <c r="V1363" s="2">
        <v>1.5682545263135259</v>
      </c>
      <c r="W1363" s="2">
        <v>2.3778696060515148</v>
      </c>
      <c r="X1363" s="2">
        <v>3.4015299244793611</v>
      </c>
      <c r="Y1363" s="2">
        <v>4.620820884301815</v>
      </c>
      <c r="Z1363" s="2">
        <v>5.981430106606223</v>
      </c>
      <c r="AA1363" s="2">
        <v>7.3861354661398364</v>
      </c>
      <c r="AB1363" s="2">
        <v>8.694931185608997</v>
      </c>
      <c r="AC1363" s="2">
        <v>9.7370472476712457</v>
      </c>
      <c r="AD1363" s="2">
        <v>10.337905166093767</v>
      </c>
      <c r="AE1363" s="2">
        <v>10.35930417628834</v>
      </c>
      <c r="AF1363" s="2">
        <v>9.7437825041062869</v>
      </c>
      <c r="AG1363" s="2">
        <v>8.5470269593645902</v>
      </c>
      <c r="AH1363" s="2">
        <v>7.0510528792469964</v>
      </c>
      <c r="AI1363" s="2">
        <v>5.378230846576753</v>
      </c>
      <c r="AJ1363" s="2">
        <v>3.7134892860782078</v>
      </c>
      <c r="AK1363" s="2">
        <v>0.26718893545556349</v>
      </c>
      <c r="AL1363" s="2">
        <v>0</v>
      </c>
      <c r="AM1363" s="2">
        <v>0</v>
      </c>
      <c r="AN1363" s="2">
        <v>0</v>
      </c>
      <c r="AO1363" s="2">
        <v>0</v>
      </c>
      <c r="AP1363" s="2">
        <v>0</v>
      </c>
      <c r="AQ1363" s="2">
        <v>0</v>
      </c>
      <c r="AR1363" s="2">
        <v>100.94718304771088</v>
      </c>
    </row>
    <row r="1364" spans="1:44" x14ac:dyDescent="0.25">
      <c r="A1364" t="s">
        <v>131</v>
      </c>
      <c r="B1364" t="s">
        <v>203</v>
      </c>
      <c r="C1364" t="s">
        <v>44</v>
      </c>
      <c r="D1364" t="s">
        <v>204</v>
      </c>
      <c r="E1364" t="s">
        <v>134</v>
      </c>
      <c r="F1364" t="s">
        <v>205</v>
      </c>
      <c r="G1364" t="s">
        <v>28</v>
      </c>
      <c r="H1364" t="s">
        <v>52</v>
      </c>
      <c r="I1364" t="s">
        <v>135</v>
      </c>
      <c r="J1364" t="s">
        <v>39</v>
      </c>
      <c r="K1364" t="s">
        <v>28</v>
      </c>
      <c r="L1364">
        <v>0.09</v>
      </c>
      <c r="M1364">
        <v>1</v>
      </c>
      <c r="N1364">
        <v>1.8271701747264129</v>
      </c>
      <c r="O1364">
        <v>3.8999213404809634</v>
      </c>
      <c r="P1364">
        <v>-0.74454349524626096</v>
      </c>
      <c r="Q1364">
        <v>1.5539245767561041</v>
      </c>
      <c r="R1364">
        <v>-1.570431685485667</v>
      </c>
      <c r="S1364" s="2">
        <v>33.061600801931732</v>
      </c>
      <c r="T1364" s="2">
        <v>66.044306386460534</v>
      </c>
      <c r="U1364" s="2">
        <v>117.1740521345809</v>
      </c>
      <c r="V1364" s="2">
        <v>190.42510456208905</v>
      </c>
      <c r="W1364" s="2">
        <v>288.73251169998406</v>
      </c>
      <c r="X1364" s="2">
        <v>413.03033447171543</v>
      </c>
      <c r="Y1364" s="2">
        <v>561.08258276433889</v>
      </c>
      <c r="Z1364" s="2">
        <v>726.29438293972771</v>
      </c>
      <c r="AA1364" s="2">
        <v>896.86055091815092</v>
      </c>
      <c r="AB1364" s="2">
        <v>1055.7809031623649</v>
      </c>
      <c r="AC1364" s="2">
        <v>1182.3197122359907</v>
      </c>
      <c r="AD1364" s="2">
        <v>1255.2788078564765</v>
      </c>
      <c r="AE1364" s="2">
        <v>1257.8771799226524</v>
      </c>
      <c r="AF1364" s="2">
        <v>1183.1375398841024</v>
      </c>
      <c r="AG1364" s="2">
        <v>1037.8216514750948</v>
      </c>
      <c r="AH1364" s="2">
        <v>856.17319081468747</v>
      </c>
      <c r="AI1364" s="2">
        <v>653.05099021514445</v>
      </c>
      <c r="AJ1364" s="2">
        <v>450.90995991186958</v>
      </c>
      <c r="AK1364" s="2">
        <v>32.443382192272495</v>
      </c>
      <c r="AL1364" s="2">
        <v>0</v>
      </c>
      <c r="AM1364" s="2">
        <v>0</v>
      </c>
      <c r="AN1364" s="2">
        <v>0</v>
      </c>
      <c r="AO1364" s="2">
        <v>0</v>
      </c>
      <c r="AP1364" s="2">
        <v>0</v>
      </c>
      <c r="AQ1364" s="2">
        <v>0</v>
      </c>
      <c r="AR1364" s="2">
        <v>12257.498744349636</v>
      </c>
    </row>
    <row r="1365" spans="1:44" x14ac:dyDescent="0.25">
      <c r="A1365" t="s">
        <v>131</v>
      </c>
      <c r="B1365" t="s">
        <v>203</v>
      </c>
      <c r="C1365" t="s">
        <v>44</v>
      </c>
      <c r="D1365" t="s">
        <v>204</v>
      </c>
      <c r="E1365" t="s">
        <v>134</v>
      </c>
      <c r="F1365" t="s">
        <v>205</v>
      </c>
      <c r="G1365" t="s">
        <v>28</v>
      </c>
      <c r="H1365" t="s">
        <v>138</v>
      </c>
      <c r="I1365" t="s">
        <v>135</v>
      </c>
      <c r="J1365" t="s">
        <v>39</v>
      </c>
      <c r="K1365" t="s">
        <v>28</v>
      </c>
      <c r="L1365">
        <v>0.09</v>
      </c>
      <c r="M1365">
        <v>1</v>
      </c>
      <c r="N1365">
        <v>1.8271701747264129</v>
      </c>
      <c r="O1365">
        <v>3.8999213404809634</v>
      </c>
      <c r="P1365">
        <v>-0.74454349524626096</v>
      </c>
      <c r="Q1365">
        <v>1.5539245767561041</v>
      </c>
      <c r="R1365">
        <v>-1.570431685485667</v>
      </c>
      <c r="S1365" s="2">
        <v>11.468509395453509</v>
      </c>
      <c r="T1365" s="2">
        <v>22.909651376138982</v>
      </c>
      <c r="U1365" s="2">
        <v>40.645694255986655</v>
      </c>
      <c r="V1365" s="2">
        <v>66.055243782174429</v>
      </c>
      <c r="W1365" s="2">
        <v>100.15641840944019</v>
      </c>
      <c r="X1365" s="2">
        <v>143.27322805311377</v>
      </c>
      <c r="Y1365" s="2">
        <v>194.63004561116625</v>
      </c>
      <c r="Z1365" s="2">
        <v>251.93922110760883</v>
      </c>
      <c r="AA1365" s="2">
        <v>311.1057361147333</v>
      </c>
      <c r="AB1365" s="2">
        <v>366.23251487418946</v>
      </c>
      <c r="AC1365" s="2">
        <v>410.12668471322473</v>
      </c>
      <c r="AD1365" s="2">
        <v>435.43495936756153</v>
      </c>
      <c r="AE1365" s="2">
        <v>436.33629063195929</v>
      </c>
      <c r="AF1365" s="2">
        <v>410.41037527383673</v>
      </c>
      <c r="AG1365" s="2">
        <v>360.0027546171259</v>
      </c>
      <c r="AH1365" s="2">
        <v>296.99197996546928</v>
      </c>
      <c r="AI1365" s="2">
        <v>226.53232860264302</v>
      </c>
      <c r="AJ1365" s="2">
        <v>156.41302859874511</v>
      </c>
      <c r="AK1365" s="2">
        <v>11.254059829752558</v>
      </c>
      <c r="AL1365" s="2">
        <v>0</v>
      </c>
      <c r="AM1365" s="2">
        <v>0</v>
      </c>
      <c r="AN1365" s="2">
        <v>0</v>
      </c>
      <c r="AO1365" s="2">
        <v>0</v>
      </c>
      <c r="AP1365" s="2">
        <v>0</v>
      </c>
      <c r="AQ1365" s="2">
        <v>0</v>
      </c>
      <c r="AR1365" s="2">
        <v>4251.9187245803241</v>
      </c>
    </row>
    <row r="1366" spans="1:44" x14ac:dyDescent="0.25">
      <c r="A1366" t="s">
        <v>131</v>
      </c>
      <c r="B1366" t="s">
        <v>139</v>
      </c>
      <c r="C1366" t="s">
        <v>44</v>
      </c>
      <c r="D1366" t="s">
        <v>140</v>
      </c>
      <c r="E1366" t="s">
        <v>134</v>
      </c>
      <c r="F1366" t="s">
        <v>140</v>
      </c>
      <c r="G1366" t="s">
        <v>28</v>
      </c>
      <c r="H1366" t="s">
        <v>55</v>
      </c>
      <c r="I1366" t="s">
        <v>135</v>
      </c>
      <c r="J1366" t="s">
        <v>39</v>
      </c>
      <c r="K1366" t="s">
        <v>28</v>
      </c>
      <c r="L1366">
        <v>14</v>
      </c>
      <c r="M1366">
        <v>0</v>
      </c>
      <c r="N1366">
        <v>0.64465687783464154</v>
      </c>
      <c r="O1366">
        <v>3.7403155854968446</v>
      </c>
      <c r="P1366">
        <v>2.0495723242131194</v>
      </c>
      <c r="Q1366">
        <v>4.2240856134876896</v>
      </c>
      <c r="R1366">
        <v>-1.4464769027578741</v>
      </c>
      <c r="S1366" s="2">
        <v>0.98365146638054946</v>
      </c>
      <c r="T1366" s="2">
        <v>0.98300155712724335</v>
      </c>
      <c r="U1366" s="2">
        <v>0.98224204020732508</v>
      </c>
      <c r="V1366" s="2">
        <v>0.88320825226559707</v>
      </c>
      <c r="W1366" s="2">
        <v>0.70581808396336698</v>
      </c>
      <c r="X1366" s="2">
        <v>0.56397676439630073</v>
      </c>
      <c r="Y1366" s="2">
        <v>0.45057743813755469</v>
      </c>
      <c r="Z1366" s="2">
        <v>0.35993104783621893</v>
      </c>
      <c r="AA1366" s="2">
        <v>0.28748311879829119</v>
      </c>
      <c r="AB1366" s="2">
        <v>0.22958838599223891</v>
      </c>
      <c r="AC1366" s="2">
        <v>0.18332991151850264</v>
      </c>
      <c r="AD1366" s="2">
        <v>4.0629203086191369E-2</v>
      </c>
      <c r="AE1366" s="2">
        <v>0</v>
      </c>
      <c r="AF1366" s="2">
        <v>0</v>
      </c>
      <c r="AG1366" s="2">
        <v>0</v>
      </c>
      <c r="AH1366" s="2">
        <v>0</v>
      </c>
      <c r="AI1366" s="2">
        <v>0</v>
      </c>
      <c r="AJ1366" s="2">
        <v>0</v>
      </c>
      <c r="AK1366" s="2">
        <v>0</v>
      </c>
      <c r="AL1366" s="2">
        <v>0</v>
      </c>
      <c r="AM1366" s="2">
        <v>0</v>
      </c>
      <c r="AN1366" s="2">
        <v>0</v>
      </c>
      <c r="AO1366" s="2">
        <v>0</v>
      </c>
      <c r="AP1366" s="2">
        <v>0</v>
      </c>
      <c r="AQ1366" s="2">
        <v>0</v>
      </c>
      <c r="AR1366" s="2">
        <v>6.6534372697093804</v>
      </c>
    </row>
    <row r="1367" spans="1:44" x14ac:dyDescent="0.25">
      <c r="A1367" t="s">
        <v>131</v>
      </c>
      <c r="B1367" t="s">
        <v>139</v>
      </c>
      <c r="C1367" t="s">
        <v>44</v>
      </c>
      <c r="D1367" t="s">
        <v>140</v>
      </c>
      <c r="E1367" t="s">
        <v>134</v>
      </c>
      <c r="F1367" t="s">
        <v>140</v>
      </c>
      <c r="G1367" t="s">
        <v>28</v>
      </c>
      <c r="H1367" t="s">
        <v>136</v>
      </c>
      <c r="I1367" t="s">
        <v>135</v>
      </c>
      <c r="J1367" t="s">
        <v>39</v>
      </c>
      <c r="K1367" t="s">
        <v>28</v>
      </c>
      <c r="L1367">
        <v>14</v>
      </c>
      <c r="M1367">
        <v>0</v>
      </c>
      <c r="N1367">
        <v>0.64465687783464154</v>
      </c>
      <c r="O1367">
        <v>3.7403155854968446</v>
      </c>
      <c r="P1367">
        <v>2.0495723242131194</v>
      </c>
      <c r="Q1367">
        <v>4.2240856134876896</v>
      </c>
      <c r="R1367">
        <v>-1.4464769027578741</v>
      </c>
      <c r="S1367" s="2">
        <v>1.2350290633444678</v>
      </c>
      <c r="T1367" s="2">
        <v>1.2342130661708726</v>
      </c>
      <c r="U1367" s="2">
        <v>1.2332594504825305</v>
      </c>
      <c r="V1367" s="2">
        <v>1.108917027844583</v>
      </c>
      <c r="W1367" s="2">
        <v>0.88619381653178264</v>
      </c>
      <c r="X1367" s="2">
        <v>0.70810415974202212</v>
      </c>
      <c r="Y1367" s="2">
        <v>0.56572500566159656</v>
      </c>
      <c r="Z1367" s="2">
        <v>0.45191342672769719</v>
      </c>
      <c r="AA1367" s="2">
        <v>0.36095102693563241</v>
      </c>
      <c r="AB1367" s="2">
        <v>0.28826097352358881</v>
      </c>
      <c r="AC1367" s="2">
        <v>0.23018088890656427</v>
      </c>
      <c r="AD1367" s="2">
        <v>5.1012221652664357E-2</v>
      </c>
      <c r="AE1367" s="2">
        <v>0</v>
      </c>
      <c r="AF1367" s="2">
        <v>0</v>
      </c>
      <c r="AG1367" s="2">
        <v>0</v>
      </c>
      <c r="AH1367" s="2">
        <v>0</v>
      </c>
      <c r="AI1367" s="2">
        <v>0</v>
      </c>
      <c r="AJ1367" s="2">
        <v>0</v>
      </c>
      <c r="AK1367" s="2">
        <v>0</v>
      </c>
      <c r="AL1367" s="2">
        <v>0</v>
      </c>
      <c r="AM1367" s="2">
        <v>0</v>
      </c>
      <c r="AN1367" s="2">
        <v>0</v>
      </c>
      <c r="AO1367" s="2">
        <v>0</v>
      </c>
      <c r="AP1367" s="2">
        <v>0</v>
      </c>
      <c r="AQ1367" s="2">
        <v>0</v>
      </c>
      <c r="AR1367" s="2">
        <v>8.3537601275240014</v>
      </c>
    </row>
    <row r="1368" spans="1:44" x14ac:dyDescent="0.25">
      <c r="A1368" t="s">
        <v>131</v>
      </c>
      <c r="B1368" t="s">
        <v>139</v>
      </c>
      <c r="C1368" t="s">
        <v>44</v>
      </c>
      <c r="D1368" t="s">
        <v>140</v>
      </c>
      <c r="E1368" t="s">
        <v>134</v>
      </c>
      <c r="F1368" t="s">
        <v>140</v>
      </c>
      <c r="G1368" t="s">
        <v>28</v>
      </c>
      <c r="H1368" t="s">
        <v>54</v>
      </c>
      <c r="I1368" t="s">
        <v>135</v>
      </c>
      <c r="J1368" t="s">
        <v>39</v>
      </c>
      <c r="K1368" t="s">
        <v>28</v>
      </c>
      <c r="L1368">
        <v>14</v>
      </c>
      <c r="M1368">
        <v>0</v>
      </c>
      <c r="N1368">
        <v>0.64465687783464154</v>
      </c>
      <c r="O1368">
        <v>3.7403155854968446</v>
      </c>
      <c r="P1368">
        <v>2.0495723242131194</v>
      </c>
      <c r="Q1368">
        <v>4.2240856134876896</v>
      </c>
      <c r="R1368">
        <v>-1.4464769027578741</v>
      </c>
      <c r="S1368" s="2">
        <v>0</v>
      </c>
      <c r="T1368" s="2">
        <v>0</v>
      </c>
      <c r="U1368" s="2">
        <v>0</v>
      </c>
      <c r="V1368" s="2">
        <v>0</v>
      </c>
      <c r="W1368" s="2">
        <v>0</v>
      </c>
      <c r="X1368" s="2">
        <v>0</v>
      </c>
      <c r="Y1368" s="2">
        <v>0</v>
      </c>
      <c r="Z1368" s="2">
        <v>0</v>
      </c>
      <c r="AA1368" s="2">
        <v>0</v>
      </c>
      <c r="AB1368" s="2">
        <v>0</v>
      </c>
      <c r="AC1368" s="2">
        <v>0</v>
      </c>
      <c r="AD1368" s="2">
        <v>0</v>
      </c>
      <c r="AE1368" s="2">
        <v>0</v>
      </c>
      <c r="AF1368" s="2">
        <v>0</v>
      </c>
      <c r="AG1368" s="2">
        <v>0</v>
      </c>
      <c r="AH1368" s="2">
        <v>0</v>
      </c>
      <c r="AI1368" s="2">
        <v>0</v>
      </c>
      <c r="AJ1368" s="2">
        <v>0</v>
      </c>
      <c r="AK1368" s="2">
        <v>0</v>
      </c>
      <c r="AL1368" s="2">
        <v>0</v>
      </c>
      <c r="AM1368" s="2">
        <v>0</v>
      </c>
      <c r="AN1368" s="2">
        <v>0</v>
      </c>
      <c r="AO1368" s="2">
        <v>0</v>
      </c>
      <c r="AP1368" s="2">
        <v>0</v>
      </c>
      <c r="AQ1368" s="2">
        <v>0</v>
      </c>
      <c r="AR1368" s="2">
        <v>0</v>
      </c>
    </row>
    <row r="1369" spans="1:44" x14ac:dyDescent="0.25">
      <c r="A1369" t="s">
        <v>131</v>
      </c>
      <c r="B1369" t="s">
        <v>139</v>
      </c>
      <c r="C1369" t="s">
        <v>44</v>
      </c>
      <c r="D1369" t="s">
        <v>140</v>
      </c>
      <c r="E1369" t="s">
        <v>134</v>
      </c>
      <c r="F1369" t="s">
        <v>140</v>
      </c>
      <c r="G1369" t="s">
        <v>28</v>
      </c>
      <c r="H1369" t="s">
        <v>142</v>
      </c>
      <c r="I1369" t="s">
        <v>135</v>
      </c>
      <c r="J1369" t="s">
        <v>39</v>
      </c>
      <c r="K1369" t="s">
        <v>28</v>
      </c>
      <c r="L1369">
        <v>14</v>
      </c>
      <c r="M1369">
        <v>0</v>
      </c>
      <c r="N1369">
        <v>0.64465687783464154</v>
      </c>
      <c r="O1369">
        <v>3.7403155854968446</v>
      </c>
      <c r="P1369">
        <v>2.0495723242131194</v>
      </c>
      <c r="Q1369">
        <v>4.2240856134876896</v>
      </c>
      <c r="R1369">
        <v>-1.4464769027578741</v>
      </c>
      <c r="S1369" s="2">
        <v>0</v>
      </c>
      <c r="T1369" s="2">
        <v>0</v>
      </c>
      <c r="U1369" s="2">
        <v>0</v>
      </c>
      <c r="V1369" s="2">
        <v>0</v>
      </c>
      <c r="W1369" s="2">
        <v>0</v>
      </c>
      <c r="X1369" s="2">
        <v>0</v>
      </c>
      <c r="Y1369" s="2">
        <v>0</v>
      </c>
      <c r="Z1369" s="2">
        <v>0</v>
      </c>
      <c r="AA1369" s="2">
        <v>0</v>
      </c>
      <c r="AB1369" s="2">
        <v>0</v>
      </c>
      <c r="AC1369" s="2">
        <v>0</v>
      </c>
      <c r="AD1369" s="2">
        <v>0</v>
      </c>
      <c r="AE1369" s="2">
        <v>0</v>
      </c>
      <c r="AF1369" s="2">
        <v>0</v>
      </c>
      <c r="AG1369" s="2">
        <v>0</v>
      </c>
      <c r="AH1369" s="2">
        <v>0</v>
      </c>
      <c r="AI1369" s="2">
        <v>0</v>
      </c>
      <c r="AJ1369" s="2">
        <v>0</v>
      </c>
      <c r="AK1369" s="2">
        <v>0</v>
      </c>
      <c r="AL1369" s="2">
        <v>0</v>
      </c>
      <c r="AM1369" s="2">
        <v>0</v>
      </c>
      <c r="AN1369" s="2">
        <v>0</v>
      </c>
      <c r="AO1369" s="2">
        <v>0</v>
      </c>
      <c r="AP1369" s="2">
        <v>0</v>
      </c>
      <c r="AQ1369" s="2">
        <v>0</v>
      </c>
      <c r="AR1369" s="2">
        <v>0</v>
      </c>
    </row>
    <row r="1370" spans="1:44" x14ac:dyDescent="0.25">
      <c r="A1370" t="s">
        <v>131</v>
      </c>
      <c r="B1370" t="s">
        <v>139</v>
      </c>
      <c r="C1370" t="s">
        <v>44</v>
      </c>
      <c r="D1370" t="s">
        <v>140</v>
      </c>
      <c r="E1370" t="s">
        <v>134</v>
      </c>
      <c r="F1370" t="s">
        <v>140</v>
      </c>
      <c r="G1370" t="s">
        <v>28</v>
      </c>
      <c r="H1370" t="s">
        <v>53</v>
      </c>
      <c r="I1370" t="s">
        <v>135</v>
      </c>
      <c r="J1370" t="s">
        <v>39</v>
      </c>
      <c r="K1370" t="s">
        <v>28</v>
      </c>
      <c r="L1370">
        <v>14</v>
      </c>
      <c r="M1370">
        <v>0</v>
      </c>
      <c r="N1370">
        <v>0.64465687783464154</v>
      </c>
      <c r="O1370">
        <v>3.7403155854968446</v>
      </c>
      <c r="P1370">
        <v>2.0495723242131194</v>
      </c>
      <c r="Q1370">
        <v>4.2240856134876896</v>
      </c>
      <c r="R1370">
        <v>-1.4464769027578741</v>
      </c>
      <c r="S1370" s="2">
        <v>15.484695137930615</v>
      </c>
      <c r="T1370" s="2">
        <v>15.474464230949106</v>
      </c>
      <c r="U1370" s="2">
        <v>15.462507874089995</v>
      </c>
      <c r="V1370" s="2">
        <v>13.903512572354881</v>
      </c>
      <c r="W1370" s="2">
        <v>11.111026848998518</v>
      </c>
      <c r="X1370" s="2">
        <v>8.8781530450895119</v>
      </c>
      <c r="Y1370" s="2">
        <v>7.0930146541260601</v>
      </c>
      <c r="Z1370" s="2">
        <v>5.6660542243969561</v>
      </c>
      <c r="AA1370" s="2">
        <v>4.5255749663782083</v>
      </c>
      <c r="AB1370" s="2">
        <v>3.6141929187385351</v>
      </c>
      <c r="AC1370" s="2">
        <v>2.8859894856594912</v>
      </c>
      <c r="AD1370" s="2">
        <v>0.6395871352702851</v>
      </c>
      <c r="AE1370" s="2">
        <v>0</v>
      </c>
      <c r="AF1370" s="2">
        <v>0</v>
      </c>
      <c r="AG1370" s="2">
        <v>0</v>
      </c>
      <c r="AH1370" s="2">
        <v>0</v>
      </c>
      <c r="AI1370" s="2">
        <v>0</v>
      </c>
      <c r="AJ1370" s="2">
        <v>0</v>
      </c>
      <c r="AK1370" s="2">
        <v>0</v>
      </c>
      <c r="AL1370" s="2">
        <v>0</v>
      </c>
      <c r="AM1370" s="2">
        <v>0</v>
      </c>
      <c r="AN1370" s="2">
        <v>0</v>
      </c>
      <c r="AO1370" s="2">
        <v>0</v>
      </c>
      <c r="AP1370" s="2">
        <v>0</v>
      </c>
      <c r="AQ1370" s="2">
        <v>0</v>
      </c>
      <c r="AR1370" s="2">
        <v>104.73877309398216</v>
      </c>
    </row>
    <row r="1371" spans="1:44" x14ac:dyDescent="0.25">
      <c r="A1371" t="s">
        <v>131</v>
      </c>
      <c r="B1371" t="s">
        <v>139</v>
      </c>
      <c r="C1371" t="s">
        <v>44</v>
      </c>
      <c r="D1371" t="s">
        <v>140</v>
      </c>
      <c r="E1371" t="s">
        <v>134</v>
      </c>
      <c r="F1371" t="s">
        <v>140</v>
      </c>
      <c r="G1371" t="s">
        <v>28</v>
      </c>
      <c r="H1371" t="s">
        <v>141</v>
      </c>
      <c r="I1371" t="s">
        <v>135</v>
      </c>
      <c r="J1371" t="s">
        <v>39</v>
      </c>
      <c r="K1371" t="s">
        <v>28</v>
      </c>
      <c r="L1371">
        <v>14</v>
      </c>
      <c r="M1371">
        <v>0</v>
      </c>
      <c r="N1371">
        <v>0.64465687783464154</v>
      </c>
      <c r="O1371">
        <v>3.7403155854968446</v>
      </c>
      <c r="P1371">
        <v>2.0495723242131194</v>
      </c>
      <c r="Q1371">
        <v>4.2240856134876896</v>
      </c>
      <c r="R1371">
        <v>-1.4464769027578741</v>
      </c>
      <c r="S1371" s="2">
        <v>13.032951741091603</v>
      </c>
      <c r="T1371" s="2">
        <v>13.024340727715495</v>
      </c>
      <c r="U1371" s="2">
        <v>13.014277460692409</v>
      </c>
      <c r="V1371" s="2">
        <v>11.702123081732022</v>
      </c>
      <c r="W1371" s="2">
        <v>9.3517809312404196</v>
      </c>
      <c r="X1371" s="2">
        <v>7.4724454796170043</v>
      </c>
      <c r="Y1371" s="2">
        <v>5.9699540005561005</v>
      </c>
      <c r="Z1371" s="2">
        <v>4.7689289722007695</v>
      </c>
      <c r="AA1371" s="2">
        <v>3.8090255967016575</v>
      </c>
      <c r="AB1371" s="2">
        <v>3.0419457066049334</v>
      </c>
      <c r="AC1371" s="2">
        <v>2.4290411504300713</v>
      </c>
      <c r="AD1371" s="2">
        <v>0.53831917218582614</v>
      </c>
      <c r="AE1371" s="2">
        <v>0</v>
      </c>
      <c r="AF1371" s="2">
        <v>0</v>
      </c>
      <c r="AG1371" s="2">
        <v>0</v>
      </c>
      <c r="AH1371" s="2">
        <v>0</v>
      </c>
      <c r="AI1371" s="2">
        <v>0</v>
      </c>
      <c r="AJ1371" s="2">
        <v>0</v>
      </c>
      <c r="AK1371" s="2">
        <v>0</v>
      </c>
      <c r="AL1371" s="2">
        <v>0</v>
      </c>
      <c r="AM1371" s="2">
        <v>0</v>
      </c>
      <c r="AN1371" s="2">
        <v>0</v>
      </c>
      <c r="AO1371" s="2">
        <v>0</v>
      </c>
      <c r="AP1371" s="2">
        <v>0</v>
      </c>
      <c r="AQ1371" s="2">
        <v>0</v>
      </c>
      <c r="AR1371" s="2">
        <v>88.155134020768315</v>
      </c>
    </row>
    <row r="1372" spans="1:44" x14ac:dyDescent="0.25">
      <c r="A1372" t="s">
        <v>131</v>
      </c>
      <c r="B1372" t="s">
        <v>139</v>
      </c>
      <c r="C1372" t="s">
        <v>44</v>
      </c>
      <c r="D1372" t="s">
        <v>140</v>
      </c>
      <c r="E1372" t="s">
        <v>134</v>
      </c>
      <c r="F1372" t="s">
        <v>140</v>
      </c>
      <c r="G1372" t="s">
        <v>28</v>
      </c>
      <c r="H1372" t="s">
        <v>52</v>
      </c>
      <c r="I1372" t="s">
        <v>135</v>
      </c>
      <c r="J1372" t="s">
        <v>39</v>
      </c>
      <c r="K1372" t="s">
        <v>28</v>
      </c>
      <c r="L1372">
        <v>14</v>
      </c>
      <c r="M1372">
        <v>0</v>
      </c>
      <c r="N1372">
        <v>0.64465687783464154</v>
      </c>
      <c r="O1372">
        <v>3.7403155854968446</v>
      </c>
      <c r="P1372">
        <v>2.0495723242131194</v>
      </c>
      <c r="Q1372">
        <v>4.2240856134876896</v>
      </c>
      <c r="R1372">
        <v>-1.4464769027578741</v>
      </c>
      <c r="S1372" s="2">
        <v>512.47148452352872</v>
      </c>
      <c r="T1372" s="2">
        <v>512.13288902377008</v>
      </c>
      <c r="U1372" s="2">
        <v>511.73718914756972</v>
      </c>
      <c r="V1372" s="2">
        <v>460.14168600535072</v>
      </c>
      <c r="W1372" s="2">
        <v>367.72337932175896</v>
      </c>
      <c r="X1372" s="2">
        <v>293.82562784197938</v>
      </c>
      <c r="Y1372" s="2">
        <v>234.74583885368665</v>
      </c>
      <c r="Z1372" s="2">
        <v>187.52007668880523</v>
      </c>
      <c r="AA1372" s="2">
        <v>149.77551063703422</v>
      </c>
      <c r="AB1372" s="2">
        <v>119.61299811988987</v>
      </c>
      <c r="AC1372" s="2">
        <v>95.512846902122931</v>
      </c>
      <c r="AD1372" s="2">
        <v>21.167363372316505</v>
      </c>
      <c r="AE1372" s="2">
        <v>0</v>
      </c>
      <c r="AF1372" s="2">
        <v>0</v>
      </c>
      <c r="AG1372" s="2">
        <v>0</v>
      </c>
      <c r="AH1372" s="2">
        <v>0</v>
      </c>
      <c r="AI1372" s="2">
        <v>0</v>
      </c>
      <c r="AJ1372" s="2">
        <v>0</v>
      </c>
      <c r="AK1372" s="2">
        <v>0</v>
      </c>
      <c r="AL1372" s="2">
        <v>0</v>
      </c>
      <c r="AM1372" s="2">
        <v>0</v>
      </c>
      <c r="AN1372" s="2">
        <v>0</v>
      </c>
      <c r="AO1372" s="2">
        <v>0</v>
      </c>
      <c r="AP1372" s="2">
        <v>0</v>
      </c>
      <c r="AQ1372" s="2">
        <v>0</v>
      </c>
      <c r="AR1372" s="2">
        <v>3466.3668904378133</v>
      </c>
    </row>
    <row r="1373" spans="1:44" x14ac:dyDescent="0.25">
      <c r="A1373" t="s">
        <v>131</v>
      </c>
      <c r="B1373" t="s">
        <v>139</v>
      </c>
      <c r="C1373" t="s">
        <v>44</v>
      </c>
      <c r="D1373" t="s">
        <v>140</v>
      </c>
      <c r="E1373" t="s">
        <v>134</v>
      </c>
      <c r="F1373" t="s">
        <v>140</v>
      </c>
      <c r="G1373" t="s">
        <v>28</v>
      </c>
      <c r="H1373" t="s">
        <v>138</v>
      </c>
      <c r="I1373" t="s">
        <v>135</v>
      </c>
      <c r="J1373" t="s">
        <v>39</v>
      </c>
      <c r="K1373" t="s">
        <v>28</v>
      </c>
      <c r="L1373">
        <v>14</v>
      </c>
      <c r="M1373">
        <v>0</v>
      </c>
      <c r="N1373">
        <v>0.64465687783464154</v>
      </c>
      <c r="O1373">
        <v>3.7403155854968446</v>
      </c>
      <c r="P1373">
        <v>2.0495723242131194</v>
      </c>
      <c r="Q1373">
        <v>4.2240856134876896</v>
      </c>
      <c r="R1373">
        <v>-1.4464769027578741</v>
      </c>
      <c r="S1373" s="2">
        <v>177.7676788964404</v>
      </c>
      <c r="T1373" s="2">
        <v>177.65022585194015</v>
      </c>
      <c r="U1373" s="2">
        <v>177.51296426635713</v>
      </c>
      <c r="V1373" s="2">
        <v>159.61535803444369</v>
      </c>
      <c r="W1373" s="2">
        <v>127.55701261849066</v>
      </c>
      <c r="X1373" s="2">
        <v>101.92313414339813</v>
      </c>
      <c r="Y1373" s="2">
        <v>81.429355903414745</v>
      </c>
      <c r="Z1373" s="2">
        <v>65.047538811734483</v>
      </c>
      <c r="AA1373" s="2">
        <v>51.954588080602299</v>
      </c>
      <c r="AB1373" s="2">
        <v>41.491723312930731</v>
      </c>
      <c r="AC1373" s="2">
        <v>33.131789009427166</v>
      </c>
      <c r="AD1373" s="2">
        <v>7.3425998688544798</v>
      </c>
      <c r="AE1373" s="2">
        <v>0</v>
      </c>
      <c r="AF1373" s="2">
        <v>0</v>
      </c>
      <c r="AG1373" s="2">
        <v>0</v>
      </c>
      <c r="AH1373" s="2">
        <v>0</v>
      </c>
      <c r="AI1373" s="2">
        <v>0</v>
      </c>
      <c r="AJ1373" s="2">
        <v>0</v>
      </c>
      <c r="AK1373" s="2">
        <v>0</v>
      </c>
      <c r="AL1373" s="2">
        <v>0</v>
      </c>
      <c r="AM1373" s="2">
        <v>0</v>
      </c>
      <c r="AN1373" s="2">
        <v>0</v>
      </c>
      <c r="AO1373" s="2">
        <v>0</v>
      </c>
      <c r="AP1373" s="2">
        <v>0</v>
      </c>
      <c r="AQ1373" s="2">
        <v>0</v>
      </c>
      <c r="AR1373" s="2">
        <v>1202.4239687980337</v>
      </c>
    </row>
    <row r="1374" spans="1:44" x14ac:dyDescent="0.25">
      <c r="A1374" t="s">
        <v>131</v>
      </c>
      <c r="B1374" t="s">
        <v>143</v>
      </c>
      <c r="C1374" t="s">
        <v>44</v>
      </c>
      <c r="D1374" t="s">
        <v>144</v>
      </c>
      <c r="E1374" t="s">
        <v>145</v>
      </c>
      <c r="F1374" t="s">
        <v>144</v>
      </c>
      <c r="G1374" t="s">
        <v>28</v>
      </c>
      <c r="H1374" t="s">
        <v>54</v>
      </c>
      <c r="I1374" t="s">
        <v>135</v>
      </c>
      <c r="J1374" t="s">
        <v>39</v>
      </c>
      <c r="K1374" t="s">
        <v>28</v>
      </c>
      <c r="L1374">
        <v>1.1599999999999999</v>
      </c>
      <c r="M1374">
        <v>1</v>
      </c>
      <c r="N1374">
        <v>4.4281689322710642</v>
      </c>
      <c r="O1374">
        <v>3.7403155854968442</v>
      </c>
      <c r="P1374">
        <v>-1.5595670473974299</v>
      </c>
      <c r="Q1374">
        <v>0.61494624187714031</v>
      </c>
      <c r="R1374">
        <v>-1.446476902757875</v>
      </c>
      <c r="S1374" s="2">
        <v>0</v>
      </c>
      <c r="T1374" s="2">
        <v>0</v>
      </c>
      <c r="U1374" s="2">
        <v>0</v>
      </c>
      <c r="V1374" s="2">
        <v>0</v>
      </c>
      <c r="W1374" s="2">
        <v>0</v>
      </c>
      <c r="X1374" s="2">
        <v>0</v>
      </c>
      <c r="Y1374" s="2">
        <v>0</v>
      </c>
      <c r="Z1374" s="2">
        <v>0</v>
      </c>
      <c r="AA1374" s="2">
        <v>0</v>
      </c>
      <c r="AB1374" s="2">
        <v>0</v>
      </c>
      <c r="AC1374" s="2">
        <v>0</v>
      </c>
      <c r="AD1374" s="2">
        <v>0</v>
      </c>
      <c r="AE1374" s="2">
        <v>0</v>
      </c>
      <c r="AF1374" s="2">
        <v>0</v>
      </c>
      <c r="AG1374" s="2">
        <v>0</v>
      </c>
      <c r="AH1374" s="2">
        <v>0</v>
      </c>
      <c r="AI1374" s="2">
        <v>0</v>
      </c>
      <c r="AJ1374" s="2">
        <v>0</v>
      </c>
      <c r="AK1374" s="2">
        <v>0</v>
      </c>
      <c r="AL1374" s="2">
        <v>0</v>
      </c>
      <c r="AM1374" s="2">
        <v>0</v>
      </c>
      <c r="AN1374" s="2">
        <v>0</v>
      </c>
      <c r="AO1374" s="2">
        <v>0</v>
      </c>
      <c r="AP1374" s="2">
        <v>0</v>
      </c>
      <c r="AQ1374" s="2">
        <v>0</v>
      </c>
      <c r="AR1374" s="2">
        <v>0</v>
      </c>
    </row>
    <row r="1375" spans="1:44" x14ac:dyDescent="0.25">
      <c r="A1375" t="s">
        <v>131</v>
      </c>
      <c r="B1375" t="s">
        <v>143</v>
      </c>
      <c r="C1375" t="s">
        <v>44</v>
      </c>
      <c r="D1375" t="s">
        <v>144</v>
      </c>
      <c r="E1375" t="s">
        <v>145</v>
      </c>
      <c r="F1375" t="s">
        <v>144</v>
      </c>
      <c r="G1375" t="s">
        <v>28</v>
      </c>
      <c r="H1375" t="s">
        <v>142</v>
      </c>
      <c r="I1375" t="s">
        <v>135</v>
      </c>
      <c r="J1375" t="s">
        <v>39</v>
      </c>
      <c r="K1375" t="s">
        <v>28</v>
      </c>
      <c r="L1375">
        <v>1.1599999999999999</v>
      </c>
      <c r="M1375">
        <v>1</v>
      </c>
      <c r="N1375">
        <v>4.4281689322710642</v>
      </c>
      <c r="O1375">
        <v>3.7403155854968442</v>
      </c>
      <c r="P1375">
        <v>-1.5595670473974299</v>
      </c>
      <c r="Q1375">
        <v>0.61494624187714031</v>
      </c>
      <c r="R1375">
        <v>-1.446476902757875</v>
      </c>
      <c r="S1375" s="2">
        <v>0</v>
      </c>
      <c r="T1375" s="2">
        <v>0</v>
      </c>
      <c r="U1375" s="2">
        <v>0</v>
      </c>
      <c r="V1375" s="2">
        <v>0</v>
      </c>
      <c r="W1375" s="2">
        <v>0</v>
      </c>
      <c r="X1375" s="2">
        <v>0</v>
      </c>
      <c r="Y1375" s="2">
        <v>0</v>
      </c>
      <c r="Z1375" s="2">
        <v>0</v>
      </c>
      <c r="AA1375" s="2">
        <v>0</v>
      </c>
      <c r="AB1375" s="2">
        <v>0</v>
      </c>
      <c r="AC1375" s="2">
        <v>0</v>
      </c>
      <c r="AD1375" s="2">
        <v>0</v>
      </c>
      <c r="AE1375" s="2">
        <v>0</v>
      </c>
      <c r="AF1375" s="2">
        <v>0</v>
      </c>
      <c r="AG1375" s="2">
        <v>0</v>
      </c>
      <c r="AH1375" s="2">
        <v>0</v>
      </c>
      <c r="AI1375" s="2">
        <v>0</v>
      </c>
      <c r="AJ1375" s="2">
        <v>0</v>
      </c>
      <c r="AK1375" s="2">
        <v>0</v>
      </c>
      <c r="AL1375" s="2">
        <v>0</v>
      </c>
      <c r="AM1375" s="2">
        <v>0</v>
      </c>
      <c r="AN1375" s="2">
        <v>0</v>
      </c>
      <c r="AO1375" s="2">
        <v>0</v>
      </c>
      <c r="AP1375" s="2">
        <v>0</v>
      </c>
      <c r="AQ1375" s="2">
        <v>0</v>
      </c>
      <c r="AR1375" s="2">
        <v>0</v>
      </c>
    </row>
    <row r="1376" spans="1:44" x14ac:dyDescent="0.25">
      <c r="A1376" t="s">
        <v>131</v>
      </c>
      <c r="B1376" t="s">
        <v>143</v>
      </c>
      <c r="C1376" t="s">
        <v>44</v>
      </c>
      <c r="D1376" t="s">
        <v>144</v>
      </c>
      <c r="E1376" t="s">
        <v>145</v>
      </c>
      <c r="F1376" t="s">
        <v>144</v>
      </c>
      <c r="G1376" t="s">
        <v>28</v>
      </c>
      <c r="H1376" t="s">
        <v>53</v>
      </c>
      <c r="I1376" t="s">
        <v>135</v>
      </c>
      <c r="J1376" t="s">
        <v>39</v>
      </c>
      <c r="K1376" t="s">
        <v>28</v>
      </c>
      <c r="L1376">
        <v>1.1599999999999999</v>
      </c>
      <c r="M1376">
        <v>1</v>
      </c>
      <c r="N1376">
        <v>4.4281689322710642</v>
      </c>
      <c r="O1376">
        <v>3.7403155854968442</v>
      </c>
      <c r="P1376">
        <v>-1.5595670473974299</v>
      </c>
      <c r="Q1376">
        <v>0.61494624187714031</v>
      </c>
      <c r="R1376">
        <v>-1.446476902757875</v>
      </c>
      <c r="S1376" s="2">
        <v>0.41750895916031966</v>
      </c>
      <c r="T1376" s="2">
        <v>0.81884137047467609</v>
      </c>
      <c r="U1376" s="2">
        <v>1.4424499648721432</v>
      </c>
      <c r="V1376" s="2">
        <v>2.3142663979101132</v>
      </c>
      <c r="W1376" s="2">
        <v>3.4219032994356851</v>
      </c>
      <c r="X1376" s="2">
        <v>4.7113452466544841</v>
      </c>
      <c r="Y1376" s="2">
        <v>6.0962263102324981</v>
      </c>
      <c r="Z1376" s="2">
        <v>7.4763864487256644</v>
      </c>
      <c r="AA1376" s="2">
        <v>8.7588487226260039</v>
      </c>
      <c r="AB1376" s="2">
        <v>9.8743707692925664</v>
      </c>
      <c r="AC1376" s="2">
        <v>10.785472629632483</v>
      </c>
      <c r="AD1376" s="2">
        <v>11.485604143537335</v>
      </c>
      <c r="AE1376" s="2">
        <v>11.992013132064484</v>
      </c>
      <c r="AF1376" s="2">
        <v>12.33599491220065</v>
      </c>
      <c r="AG1376" s="2">
        <v>12.553723327713644</v>
      </c>
      <c r="AH1376" s="2">
        <v>12.679537845524731</v>
      </c>
      <c r="AI1376" s="2">
        <v>12.742184200841706</v>
      </c>
      <c r="AJ1376" s="2">
        <v>12.776641963335802</v>
      </c>
      <c r="AK1376" s="2">
        <v>12.792461393539014</v>
      </c>
      <c r="AL1376" s="2">
        <v>12.755706208962261</v>
      </c>
      <c r="AM1376" s="2">
        <v>12.717711862701215</v>
      </c>
      <c r="AN1376" s="2">
        <v>12.678499064031589</v>
      </c>
      <c r="AO1376" s="2">
        <v>12.638085254542402</v>
      </c>
      <c r="AP1376" s="2">
        <v>12.596484124815481</v>
      </c>
      <c r="AQ1376" s="2">
        <v>12.553704923828967</v>
      </c>
      <c r="AR1376" s="2">
        <v>231.41597247665595</v>
      </c>
    </row>
    <row r="1377" spans="1:44" x14ac:dyDescent="0.25">
      <c r="A1377" t="s">
        <v>131</v>
      </c>
      <c r="B1377" t="s">
        <v>143</v>
      </c>
      <c r="C1377" t="s">
        <v>44</v>
      </c>
      <c r="D1377" t="s">
        <v>144</v>
      </c>
      <c r="E1377" t="s">
        <v>145</v>
      </c>
      <c r="F1377" t="s">
        <v>144</v>
      </c>
      <c r="G1377" t="s">
        <v>28</v>
      </c>
      <c r="H1377" t="s">
        <v>141</v>
      </c>
      <c r="I1377" t="s">
        <v>135</v>
      </c>
      <c r="J1377" t="s">
        <v>39</v>
      </c>
      <c r="K1377" t="s">
        <v>28</v>
      </c>
      <c r="L1377">
        <v>1.1599999999999999</v>
      </c>
      <c r="M1377">
        <v>1</v>
      </c>
      <c r="N1377">
        <v>4.4281689322710642</v>
      </c>
      <c r="O1377">
        <v>3.7403155854968442</v>
      </c>
      <c r="P1377">
        <v>-1.5595670473974299</v>
      </c>
      <c r="Q1377">
        <v>0.61494624187714031</v>
      </c>
      <c r="R1377">
        <v>-1.446476902757875</v>
      </c>
      <c r="S1377" s="2">
        <v>0.35140337395993582</v>
      </c>
      <c r="T1377" s="2">
        <v>0.68919148681618558</v>
      </c>
      <c r="U1377" s="2">
        <v>1.214062053767387</v>
      </c>
      <c r="V1377" s="2">
        <v>1.9478408849076785</v>
      </c>
      <c r="W1377" s="2">
        <v>2.880101943691701</v>
      </c>
      <c r="X1377" s="2">
        <v>3.9653822492675239</v>
      </c>
      <c r="Y1377" s="2">
        <v>5.1309904777790187</v>
      </c>
      <c r="Z1377" s="2">
        <v>6.2926252610107669</v>
      </c>
      <c r="AA1377" s="2">
        <v>7.3720310082102172</v>
      </c>
      <c r="AB1377" s="2">
        <v>8.3109287308212441</v>
      </c>
      <c r="AC1377" s="2">
        <v>9.0777727966073378</v>
      </c>
      <c r="AD1377" s="2">
        <v>9.6670501541439222</v>
      </c>
      <c r="AE1377" s="2">
        <v>10.093277719487602</v>
      </c>
      <c r="AF1377" s="2">
        <v>10.382795717768881</v>
      </c>
      <c r="AG1377" s="2">
        <v>10.566050467492316</v>
      </c>
      <c r="AH1377" s="2">
        <v>10.671944353316645</v>
      </c>
      <c r="AI1377" s="2">
        <v>10.724671702375105</v>
      </c>
      <c r="AJ1377" s="2">
        <v>10.753673652474294</v>
      </c>
      <c r="AK1377" s="2">
        <v>10.766988339562003</v>
      </c>
      <c r="AL1377" s="2">
        <v>10.736052725876569</v>
      </c>
      <c r="AM1377" s="2">
        <v>10.704074151106854</v>
      </c>
      <c r="AN1377" s="2">
        <v>10.671070045559919</v>
      </c>
      <c r="AO1377" s="2">
        <v>10.637055089239853</v>
      </c>
      <c r="AP1377" s="2">
        <v>10.602040805053027</v>
      </c>
      <c r="AQ1377" s="2">
        <v>10.566034977556045</v>
      </c>
      <c r="AR1377" s="2">
        <v>194.77511016785206</v>
      </c>
    </row>
    <row r="1378" spans="1:44" x14ac:dyDescent="0.25">
      <c r="A1378" t="s">
        <v>131</v>
      </c>
      <c r="B1378" t="s">
        <v>150</v>
      </c>
      <c r="C1378" t="s">
        <v>44</v>
      </c>
      <c r="D1378" t="s">
        <v>147</v>
      </c>
      <c r="E1378" t="s">
        <v>145</v>
      </c>
      <c r="F1378" t="s">
        <v>147</v>
      </c>
      <c r="G1378" t="s">
        <v>28</v>
      </c>
      <c r="H1378" t="s">
        <v>55</v>
      </c>
      <c r="I1378" t="s">
        <v>135</v>
      </c>
      <c r="J1378" t="s">
        <v>39</v>
      </c>
      <c r="K1378" t="s">
        <v>28</v>
      </c>
      <c r="L1378">
        <v>20.64</v>
      </c>
      <c r="M1378">
        <v>1</v>
      </c>
      <c r="N1378">
        <v>6.8617306567581888</v>
      </c>
      <c r="O1378">
        <v>2.9515177831974366</v>
      </c>
      <c r="P1378">
        <v>-1.2870808413903396</v>
      </c>
      <c r="Q1378">
        <v>0.3131589462058586</v>
      </c>
      <c r="R1378">
        <v>-0.872203401079503</v>
      </c>
      <c r="S1378" s="2">
        <v>8.6359231088081554E-3</v>
      </c>
      <c r="T1378" s="2">
        <v>1.3274065761127541E-2</v>
      </c>
      <c r="U1378" s="2">
        <v>2.8961349854567296E-2</v>
      </c>
      <c r="V1378" s="2">
        <v>5.444564364410031E-2</v>
      </c>
      <c r="W1378" s="2">
        <v>9.3068800929224677E-2</v>
      </c>
      <c r="X1378" s="2">
        <v>0.14828983016882821</v>
      </c>
      <c r="Y1378" s="2">
        <v>0.2232582751133079</v>
      </c>
      <c r="Z1378" s="2">
        <v>0.32022945215141702</v>
      </c>
      <c r="AA1378" s="2">
        <v>0.43986632520280866</v>
      </c>
      <c r="AB1378" s="2">
        <v>0.58054546969958143</v>
      </c>
      <c r="AC1378" s="2">
        <v>0.73786095251737205</v>
      </c>
      <c r="AD1378" s="2">
        <v>0.90456894509686625</v>
      </c>
      <c r="AE1378" s="2">
        <v>1.0711877580115825</v>
      </c>
      <c r="AF1378" s="2">
        <v>1.227319681986103</v>
      </c>
      <c r="AG1378" s="2">
        <v>1.3634980494954101</v>
      </c>
      <c r="AH1378" s="2">
        <v>1.4730723802317436</v>
      </c>
      <c r="AI1378" s="2">
        <v>2.5499603126053692</v>
      </c>
      <c r="AJ1378" s="2">
        <v>2.0360376800679543</v>
      </c>
      <c r="AK1378" s="2">
        <v>2.1555560963308156</v>
      </c>
      <c r="AL1378" s="2">
        <v>2.1857568760754091</v>
      </c>
      <c r="AM1378" s="2">
        <v>2.1676447501164238</v>
      </c>
      <c r="AN1378" s="2">
        <v>2.130345111286589</v>
      </c>
      <c r="AO1378" s="2">
        <v>2.082754742691562</v>
      </c>
      <c r="AP1378" s="2">
        <v>2.0322140742117001</v>
      </c>
      <c r="AQ1378" s="2">
        <v>1.9777693964302705</v>
      </c>
      <c r="AR1378" s="2">
        <v>28.006121942788944</v>
      </c>
    </row>
    <row r="1379" spans="1:44" x14ac:dyDescent="0.25">
      <c r="A1379" t="s">
        <v>131</v>
      </c>
      <c r="B1379" t="s">
        <v>150</v>
      </c>
      <c r="C1379" t="s">
        <v>44</v>
      </c>
      <c r="D1379" t="s">
        <v>147</v>
      </c>
      <c r="E1379" t="s">
        <v>145</v>
      </c>
      <c r="F1379" t="s">
        <v>147</v>
      </c>
      <c r="G1379" t="s">
        <v>28</v>
      </c>
      <c r="H1379" t="s">
        <v>136</v>
      </c>
      <c r="I1379" t="s">
        <v>135</v>
      </c>
      <c r="J1379" t="s">
        <v>39</v>
      </c>
      <c r="K1379" t="s">
        <v>28</v>
      </c>
      <c r="L1379">
        <v>20.64</v>
      </c>
      <c r="M1379">
        <v>1</v>
      </c>
      <c r="N1379">
        <v>6.8617306567581888</v>
      </c>
      <c r="O1379">
        <v>2.9515177831974366</v>
      </c>
      <c r="P1379">
        <v>-1.2870808413903396</v>
      </c>
      <c r="Q1379">
        <v>0.3131589462058586</v>
      </c>
      <c r="R1379">
        <v>-0.872203401079503</v>
      </c>
      <c r="S1379" s="2">
        <v>1.0842881236614688E-2</v>
      </c>
      <c r="T1379" s="2">
        <v>1.6666327011193468E-2</v>
      </c>
      <c r="U1379" s="2">
        <v>3.6362583706290044E-2</v>
      </c>
      <c r="V1379" s="2">
        <v>6.8359530353148165E-2</v>
      </c>
      <c r="W1379" s="2">
        <v>0.11685305005558208</v>
      </c>
      <c r="X1379" s="2">
        <v>0.18618612010086213</v>
      </c>
      <c r="Y1379" s="2">
        <v>0.28031316764226438</v>
      </c>
      <c r="Z1379" s="2">
        <v>0.40206586770122349</v>
      </c>
      <c r="AA1379" s="2">
        <v>0.55227660831019321</v>
      </c>
      <c r="AB1379" s="2">
        <v>0.72890708973391893</v>
      </c>
      <c r="AC1379" s="2">
        <v>0.92642541816070023</v>
      </c>
      <c r="AD1379" s="2">
        <v>1.1357365643993986</v>
      </c>
      <c r="AE1379" s="2">
        <v>1.3449357406145426</v>
      </c>
      <c r="AF1379" s="2">
        <v>1.5409680451603287</v>
      </c>
      <c r="AG1379" s="2">
        <v>1.7119475510331259</v>
      </c>
      <c r="AH1379" s="2">
        <v>1.8495242107354115</v>
      </c>
      <c r="AI1379" s="2">
        <v>3.2016168369378515</v>
      </c>
      <c r="AJ1379" s="2">
        <v>2.5563584205297651</v>
      </c>
      <c r="AK1379" s="2">
        <v>2.7064204320598009</v>
      </c>
      <c r="AL1379" s="2">
        <v>2.744339188850236</v>
      </c>
      <c r="AM1379" s="2">
        <v>2.7215984084795104</v>
      </c>
      <c r="AN1379" s="2">
        <v>2.6747666397264953</v>
      </c>
      <c r="AO1379" s="2">
        <v>2.6150142880460723</v>
      </c>
      <c r="AP1379" s="2">
        <v>2.551557670954689</v>
      </c>
      <c r="AQ1379" s="2">
        <v>2.4831993532957832</v>
      </c>
      <c r="AR1379" s="2">
        <v>35.163241994835005</v>
      </c>
    </row>
    <row r="1380" spans="1:44" x14ac:dyDescent="0.25">
      <c r="A1380" t="s">
        <v>131</v>
      </c>
      <c r="B1380" t="s">
        <v>150</v>
      </c>
      <c r="C1380" t="s">
        <v>44</v>
      </c>
      <c r="D1380" t="s">
        <v>147</v>
      </c>
      <c r="E1380" t="s">
        <v>148</v>
      </c>
      <c r="F1380" t="s">
        <v>147</v>
      </c>
      <c r="G1380" t="s">
        <v>28</v>
      </c>
      <c r="H1380" t="s">
        <v>55</v>
      </c>
      <c r="I1380" t="s">
        <v>135</v>
      </c>
      <c r="J1380" t="s">
        <v>39</v>
      </c>
      <c r="K1380" t="s">
        <v>28</v>
      </c>
      <c r="L1380">
        <v>20.64</v>
      </c>
      <c r="M1380">
        <v>1</v>
      </c>
      <c r="N1380">
        <v>6.8617306567581888</v>
      </c>
      <c r="O1380">
        <v>2.9515177831974366</v>
      </c>
      <c r="P1380">
        <v>-1.2870808413903396</v>
      </c>
      <c r="Q1380">
        <v>0.3131589462058586</v>
      </c>
      <c r="R1380">
        <v>-0.872203401079503</v>
      </c>
      <c r="S1380" s="2">
        <v>5.4231042582530359E-3</v>
      </c>
      <c r="T1380" s="2">
        <v>3.4324230384067916E-3</v>
      </c>
      <c r="U1380" s="2">
        <v>8.9869835939840794E-3</v>
      </c>
      <c r="V1380" s="2">
        <v>1.7162354859409538E-2</v>
      </c>
      <c r="W1380" s="2">
        <v>2.8812987016859075E-2</v>
      </c>
      <c r="X1380" s="2">
        <v>4.4546165582314723E-2</v>
      </c>
      <c r="Y1380" s="2">
        <v>6.4212958566388964E-2</v>
      </c>
      <c r="Z1380" s="2">
        <v>8.8318017396608703E-2</v>
      </c>
      <c r="AA1380" s="2">
        <v>0.11609248249049431</v>
      </c>
      <c r="AB1380" s="2">
        <v>0.14614197734199905</v>
      </c>
      <c r="AC1380" s="2">
        <v>0.17668289461503692</v>
      </c>
      <c r="AD1380" s="2">
        <v>0.20541545975591521</v>
      </c>
      <c r="AE1380" s="2">
        <v>0.22991041279739069</v>
      </c>
      <c r="AF1380" s="2">
        <v>0.24802278726610211</v>
      </c>
      <c r="AG1380" s="2">
        <v>0.25830838837747205</v>
      </c>
      <c r="AH1380" s="2">
        <v>0.26030758162439571</v>
      </c>
      <c r="AI1380" s="2">
        <v>0.25458382833892984</v>
      </c>
      <c r="AJ1380" s="2">
        <v>0.24315663129096707</v>
      </c>
      <c r="AK1380" s="2">
        <v>0.22616558035238002</v>
      </c>
      <c r="AL1380" s="2">
        <v>0.2073711684793802</v>
      </c>
      <c r="AM1380" s="2">
        <v>0.18556261503964316</v>
      </c>
      <c r="AN1380" s="2">
        <v>0.16286367063111684</v>
      </c>
      <c r="AO1380" s="2">
        <v>0.14011439688817376</v>
      </c>
      <c r="AP1380" s="2">
        <v>0.11732301031662452</v>
      </c>
      <c r="AQ1380" s="2">
        <v>9.4499127268014987E-2</v>
      </c>
      <c r="AR1380" s="2">
        <v>3.5334170071862618</v>
      </c>
    </row>
    <row r="1381" spans="1:44" x14ac:dyDescent="0.25">
      <c r="A1381" t="s">
        <v>131</v>
      </c>
      <c r="B1381" t="s">
        <v>150</v>
      </c>
      <c r="C1381" t="s">
        <v>44</v>
      </c>
      <c r="D1381" t="s">
        <v>147</v>
      </c>
      <c r="E1381" t="s">
        <v>148</v>
      </c>
      <c r="F1381" t="s">
        <v>147</v>
      </c>
      <c r="G1381" t="s">
        <v>28</v>
      </c>
      <c r="H1381" t="s">
        <v>136</v>
      </c>
      <c r="I1381" t="s">
        <v>135</v>
      </c>
      <c r="J1381" t="s">
        <v>39</v>
      </c>
      <c r="K1381" t="s">
        <v>28</v>
      </c>
      <c r="L1381">
        <v>20.64</v>
      </c>
      <c r="M1381">
        <v>1</v>
      </c>
      <c r="N1381">
        <v>6.8617306567581888</v>
      </c>
      <c r="O1381">
        <v>2.9515177831974366</v>
      </c>
      <c r="P1381">
        <v>-1.2870808413903396</v>
      </c>
      <c r="Q1381">
        <v>0.3131589462058586</v>
      </c>
      <c r="R1381">
        <v>-0.872203401079503</v>
      </c>
      <c r="S1381" s="2">
        <v>6.8090086798065878E-3</v>
      </c>
      <c r="T1381" s="2">
        <v>4.3095978148885265E-3</v>
      </c>
      <c r="U1381" s="2">
        <v>1.1283657179113346E-2</v>
      </c>
      <c r="V1381" s="2">
        <v>2.1548289990147528E-2</v>
      </c>
      <c r="W1381" s="2">
        <v>3.6176305921167544E-2</v>
      </c>
      <c r="X1381" s="2">
        <v>5.5930185675572903E-2</v>
      </c>
      <c r="Y1381" s="2">
        <v>8.0622936866688283E-2</v>
      </c>
      <c r="Z1381" s="2">
        <v>0.11088817739796421</v>
      </c>
      <c r="AA1381" s="2">
        <v>0.14576056134917603</v>
      </c>
      <c r="AB1381" s="2">
        <v>0.18348937155162129</v>
      </c>
      <c r="AC1381" s="2">
        <v>0.22183518990554615</v>
      </c>
      <c r="AD1381" s="2">
        <v>0.2579105216935379</v>
      </c>
      <c r="AE1381" s="2">
        <v>0.28866529606783592</v>
      </c>
      <c r="AF1381" s="2">
        <v>0.31140638845632979</v>
      </c>
      <c r="AG1381" s="2">
        <v>0.32432053207393624</v>
      </c>
      <c r="AH1381" s="2">
        <v>0.32683063026173914</v>
      </c>
      <c r="AI1381" s="2">
        <v>0.31964414002554414</v>
      </c>
      <c r="AJ1381" s="2">
        <v>0.30529665928755112</v>
      </c>
      <c r="AK1381" s="2">
        <v>0.28396345088687586</v>
      </c>
      <c r="AL1381" s="2">
        <v>0.26036602264633407</v>
      </c>
      <c r="AM1381" s="2">
        <v>0.2329841722164368</v>
      </c>
      <c r="AN1381" s="2">
        <v>0.20448438645907294</v>
      </c>
      <c r="AO1381" s="2">
        <v>0.17592140942626269</v>
      </c>
      <c r="AP1381" s="2">
        <v>0.14730555739753837</v>
      </c>
      <c r="AQ1381" s="2">
        <v>0.11864890423650616</v>
      </c>
      <c r="AR1381" s="2">
        <v>4.4364013534671933</v>
      </c>
    </row>
    <row r="1382" spans="1:44" x14ac:dyDescent="0.25">
      <c r="A1382" t="s">
        <v>131</v>
      </c>
      <c r="B1382" t="s">
        <v>149</v>
      </c>
      <c r="C1382" t="s">
        <v>44</v>
      </c>
      <c r="D1382" t="s">
        <v>147</v>
      </c>
      <c r="E1382" t="s">
        <v>145</v>
      </c>
      <c r="F1382" t="s">
        <v>147</v>
      </c>
      <c r="G1382" t="s">
        <v>28</v>
      </c>
      <c r="H1382" t="s">
        <v>54</v>
      </c>
      <c r="I1382" t="s">
        <v>135</v>
      </c>
      <c r="J1382" t="s">
        <v>39</v>
      </c>
      <c r="K1382" t="s">
        <v>28</v>
      </c>
      <c r="L1382">
        <v>7.78</v>
      </c>
      <c r="M1382">
        <v>1</v>
      </c>
      <c r="N1382">
        <v>6.8602318529823343</v>
      </c>
      <c r="O1382">
        <v>2.9515177831974371</v>
      </c>
      <c r="P1382">
        <v>-1.2870124233221063</v>
      </c>
      <c r="Q1382">
        <v>0.31322736427409226</v>
      </c>
      <c r="R1382">
        <v>-0.87220340107950356</v>
      </c>
      <c r="S1382" s="2">
        <v>6.9699738107288106E-2</v>
      </c>
      <c r="T1382" s="2">
        <v>0.10713375924177217</v>
      </c>
      <c r="U1382" s="2">
        <v>0.23374438084540497</v>
      </c>
      <c r="V1382" s="2">
        <v>0.43942576320601973</v>
      </c>
      <c r="W1382" s="2">
        <v>0.75114969980569291</v>
      </c>
      <c r="X1382" s="2">
        <v>1.1968335285662355</v>
      </c>
      <c r="Y1382" s="2">
        <v>1.8018969263182818</v>
      </c>
      <c r="Z1382" s="2">
        <v>2.5845423434153854</v>
      </c>
      <c r="AA1382" s="2">
        <v>3.5501205004455132</v>
      </c>
      <c r="AB1382" s="2">
        <v>4.6855288876023593</v>
      </c>
      <c r="AC1382" s="2">
        <v>5.9552076254130348</v>
      </c>
      <c r="AD1382" s="2">
        <v>7.3006924423553272</v>
      </c>
      <c r="AE1382" s="2">
        <v>8.6454574984566381</v>
      </c>
      <c r="AF1382" s="2">
        <v>9.9055838421142948</v>
      </c>
      <c r="AG1382" s="2">
        <v>11.004666873735527</v>
      </c>
      <c r="AH1382" s="2">
        <v>11.889031180756064</v>
      </c>
      <c r="AI1382" s="2">
        <v>21.483758066990447</v>
      </c>
      <c r="AJ1382" s="2">
        <v>16.818076363086689</v>
      </c>
      <c r="AK1382" s="2">
        <v>17.864741009871032</v>
      </c>
      <c r="AL1382" s="2">
        <v>18.115936143997711</v>
      </c>
      <c r="AM1382" s="2">
        <v>17.951792093811996</v>
      </c>
      <c r="AN1382" s="2">
        <v>17.621588967935601</v>
      </c>
      <c r="AO1382" s="2">
        <v>17.199144564341168</v>
      </c>
      <c r="AP1382" s="2">
        <v>16.750355010766096</v>
      </c>
      <c r="AQ1382" s="2">
        <v>16.266657408753375</v>
      </c>
      <c r="AR1382" s="2">
        <v>230.19276461993894</v>
      </c>
    </row>
    <row r="1383" spans="1:44" x14ac:dyDescent="0.25">
      <c r="A1383" t="s">
        <v>131</v>
      </c>
      <c r="B1383" t="s">
        <v>149</v>
      </c>
      <c r="C1383" t="s">
        <v>44</v>
      </c>
      <c r="D1383" t="s">
        <v>147</v>
      </c>
      <c r="E1383" t="s">
        <v>145</v>
      </c>
      <c r="F1383" t="s">
        <v>147</v>
      </c>
      <c r="G1383" t="s">
        <v>28</v>
      </c>
      <c r="H1383" t="s">
        <v>142</v>
      </c>
      <c r="I1383" t="s">
        <v>135</v>
      </c>
      <c r="J1383" t="s">
        <v>39</v>
      </c>
      <c r="K1383" t="s">
        <v>28</v>
      </c>
      <c r="L1383">
        <v>7.78</v>
      </c>
      <c r="M1383">
        <v>1</v>
      </c>
      <c r="N1383">
        <v>6.8602318529823343</v>
      </c>
      <c r="O1383">
        <v>2.9515177831974371</v>
      </c>
      <c r="P1383">
        <v>-1.2870124233221063</v>
      </c>
      <c r="Q1383">
        <v>0.31322736427409226</v>
      </c>
      <c r="R1383">
        <v>-0.87220340107950356</v>
      </c>
      <c r="S1383" s="2">
        <v>5.5864865467901793E-2</v>
      </c>
      <c r="T1383" s="2">
        <v>8.5868515573179205E-2</v>
      </c>
      <c r="U1383" s="2">
        <v>0.18734788313990997</v>
      </c>
      <c r="V1383" s="2">
        <v>0.35220306146412139</v>
      </c>
      <c r="W1383" s="2">
        <v>0.60205214632667337</v>
      </c>
      <c r="X1383" s="2">
        <v>0.95927109450409298</v>
      </c>
      <c r="Y1383" s="2">
        <v>1.4442339685817385</v>
      </c>
      <c r="Z1383" s="2">
        <v>2.071530169722382</v>
      </c>
      <c r="AA1383" s="2">
        <v>2.8454483408093436</v>
      </c>
      <c r="AB1383" s="2">
        <v>3.7554867214702337</v>
      </c>
      <c r="AC1383" s="2">
        <v>4.7731438002682376</v>
      </c>
      <c r="AD1383" s="2">
        <v>5.8515600228928406</v>
      </c>
      <c r="AE1383" s="2">
        <v>6.9293993517780583</v>
      </c>
      <c r="AF1383" s="2">
        <v>7.9394001146594473</v>
      </c>
      <c r="AG1383" s="2">
        <v>8.8203234490493276</v>
      </c>
      <c r="AH1383" s="2">
        <v>9.5291481071889077</v>
      </c>
      <c r="AI1383" s="2">
        <v>17.219394028567724</v>
      </c>
      <c r="AJ1383" s="2">
        <v>13.479814974433804</v>
      </c>
      <c r="AK1383" s="2">
        <v>14.318724578263467</v>
      </c>
      <c r="AL1383" s="2">
        <v>14.520059371696661</v>
      </c>
      <c r="AM1383" s="2">
        <v>14.388496678206092</v>
      </c>
      <c r="AN1383" s="2">
        <v>14.123836383847889</v>
      </c>
      <c r="AO1383" s="2">
        <v>13.785244010112633</v>
      </c>
      <c r="AP1383" s="2">
        <v>13.425535800086395</v>
      </c>
      <c r="AQ1383" s="2">
        <v>13.037848526111375</v>
      </c>
      <c r="AR1383" s="2">
        <v>184.50123596422242</v>
      </c>
    </row>
    <row r="1384" spans="1:44" x14ac:dyDescent="0.25">
      <c r="A1384" t="s">
        <v>131</v>
      </c>
      <c r="B1384" t="s">
        <v>149</v>
      </c>
      <c r="C1384" t="s">
        <v>44</v>
      </c>
      <c r="D1384" t="s">
        <v>147</v>
      </c>
      <c r="E1384" t="s">
        <v>145</v>
      </c>
      <c r="F1384" t="s">
        <v>147</v>
      </c>
      <c r="G1384" t="s">
        <v>28</v>
      </c>
      <c r="H1384" t="s">
        <v>53</v>
      </c>
      <c r="I1384" t="s">
        <v>135</v>
      </c>
      <c r="J1384" t="s">
        <v>39</v>
      </c>
      <c r="K1384" t="s">
        <v>28</v>
      </c>
      <c r="L1384">
        <v>7.78</v>
      </c>
      <c r="M1384">
        <v>1</v>
      </c>
      <c r="N1384">
        <v>6.8602318529823343</v>
      </c>
      <c r="O1384">
        <v>2.9515177831974371</v>
      </c>
      <c r="P1384">
        <v>-1.2870124233221063</v>
      </c>
      <c r="Q1384">
        <v>0.31322736427409226</v>
      </c>
      <c r="R1384">
        <v>-0.87220340107950356</v>
      </c>
      <c r="S1384" s="2">
        <v>3.3178237041659578E-2</v>
      </c>
      <c r="T1384" s="2">
        <v>5.0997455023664276E-2</v>
      </c>
      <c r="U1384" s="2">
        <v>0.11126622115720514</v>
      </c>
      <c r="V1384" s="2">
        <v>0.2091739873027875</v>
      </c>
      <c r="W1384" s="2">
        <v>0.35755977670336148</v>
      </c>
      <c r="X1384" s="2">
        <v>0.56971270751481173</v>
      </c>
      <c r="Y1384" s="2">
        <v>0.85773296958449419</v>
      </c>
      <c r="Z1384" s="2">
        <v>1.2302852326653941</v>
      </c>
      <c r="AA1384" s="2">
        <v>1.689916528939154</v>
      </c>
      <c r="AB1384" s="2">
        <v>2.2303898453552335</v>
      </c>
      <c r="AC1384" s="2">
        <v>2.8347780865993268</v>
      </c>
      <c r="AD1384" s="2">
        <v>3.47525128498854</v>
      </c>
      <c r="AE1384" s="2">
        <v>4.1153818652210141</v>
      </c>
      <c r="AF1384" s="2">
        <v>4.7152230076361779</v>
      </c>
      <c r="AG1384" s="2">
        <v>5.2384048493737172</v>
      </c>
      <c r="AH1384" s="2">
        <v>5.6593769994318031</v>
      </c>
      <c r="AI1384" s="2">
        <v>10.226626914940194</v>
      </c>
      <c r="AJ1384" s="2">
        <v>8.0056846598233609</v>
      </c>
      <c r="AK1384" s="2">
        <v>8.5039144767084949</v>
      </c>
      <c r="AL1384" s="2">
        <v>8.6234875472835597</v>
      </c>
      <c r="AM1384" s="2">
        <v>8.5453522435661089</v>
      </c>
      <c r="AN1384" s="2">
        <v>8.3881700520726508</v>
      </c>
      <c r="AO1384" s="2">
        <v>8.1870794749774447</v>
      </c>
      <c r="AP1384" s="2">
        <v>7.9734481673904094</v>
      </c>
      <c r="AQ1384" s="2">
        <v>7.7432000469260611</v>
      </c>
      <c r="AR1384" s="2">
        <v>109.57559263822664</v>
      </c>
    </row>
    <row r="1385" spans="1:44" x14ac:dyDescent="0.25">
      <c r="A1385" t="s">
        <v>131</v>
      </c>
      <c r="B1385" t="s">
        <v>149</v>
      </c>
      <c r="C1385" t="s">
        <v>44</v>
      </c>
      <c r="D1385" t="s">
        <v>147</v>
      </c>
      <c r="E1385" t="s">
        <v>145</v>
      </c>
      <c r="F1385" t="s">
        <v>147</v>
      </c>
      <c r="G1385" t="s">
        <v>28</v>
      </c>
      <c r="H1385" t="s">
        <v>141</v>
      </c>
      <c r="I1385" t="s">
        <v>135</v>
      </c>
      <c r="J1385" t="s">
        <v>39</v>
      </c>
      <c r="K1385" t="s">
        <v>28</v>
      </c>
      <c r="L1385">
        <v>7.78</v>
      </c>
      <c r="M1385">
        <v>1</v>
      </c>
      <c r="N1385">
        <v>6.8602318529823343</v>
      </c>
      <c r="O1385">
        <v>2.9515177831974371</v>
      </c>
      <c r="P1385">
        <v>-1.2870124233221063</v>
      </c>
      <c r="Q1385">
        <v>0.31322736427409226</v>
      </c>
      <c r="R1385">
        <v>-0.87220340107950356</v>
      </c>
      <c r="S1385" s="2">
        <v>2.7925016176730145E-2</v>
      </c>
      <c r="T1385" s="2">
        <v>4.2922857978250753E-2</v>
      </c>
      <c r="U1385" s="2">
        <v>9.3649069473980981E-2</v>
      </c>
      <c r="V1385" s="2">
        <v>0.17605477264651279</v>
      </c>
      <c r="W1385" s="2">
        <v>0.30094614539199582</v>
      </c>
      <c r="X1385" s="2">
        <v>0.47950819549163309</v>
      </c>
      <c r="Y1385" s="2">
        <v>0.72192524940028258</v>
      </c>
      <c r="Z1385" s="2">
        <v>1.0354900708267067</v>
      </c>
      <c r="AA1385" s="2">
        <v>1.4223464118571207</v>
      </c>
      <c r="AB1385" s="2">
        <v>1.8772447865073214</v>
      </c>
      <c r="AC1385" s="2">
        <v>2.3859382228877655</v>
      </c>
      <c r="AD1385" s="2">
        <v>2.9250031648653541</v>
      </c>
      <c r="AE1385" s="2">
        <v>3.4637797365610195</v>
      </c>
      <c r="AF1385" s="2">
        <v>3.9686460314271157</v>
      </c>
      <c r="AG1385" s="2">
        <v>4.4089907482228776</v>
      </c>
      <c r="AH1385" s="2">
        <v>4.7633089745217667</v>
      </c>
      <c r="AI1385" s="2">
        <v>8.6074109867413284</v>
      </c>
      <c r="AJ1385" s="2">
        <v>6.7381179220179952</v>
      </c>
      <c r="AK1385" s="2">
        <v>7.1574613512296477</v>
      </c>
      <c r="AL1385" s="2">
        <v>7.2581020189636636</v>
      </c>
      <c r="AM1385" s="2">
        <v>7.1923381383348062</v>
      </c>
      <c r="AN1385" s="2">
        <v>7.0600431271611459</v>
      </c>
      <c r="AO1385" s="2">
        <v>6.8907918914393482</v>
      </c>
      <c r="AP1385" s="2">
        <v>6.7109855408869272</v>
      </c>
      <c r="AQ1385" s="2">
        <v>6.5171933728294347</v>
      </c>
      <c r="AR1385" s="2">
        <v>92.22612380384075</v>
      </c>
    </row>
    <row r="1386" spans="1:44" x14ac:dyDescent="0.25">
      <c r="A1386" t="s">
        <v>131</v>
      </c>
      <c r="B1386" t="s">
        <v>149</v>
      </c>
      <c r="C1386" t="s">
        <v>44</v>
      </c>
      <c r="D1386" t="s">
        <v>147</v>
      </c>
      <c r="E1386" t="s">
        <v>148</v>
      </c>
      <c r="F1386" t="s">
        <v>147</v>
      </c>
      <c r="G1386" t="s">
        <v>28</v>
      </c>
      <c r="H1386" t="s">
        <v>54</v>
      </c>
      <c r="I1386" t="s">
        <v>135</v>
      </c>
      <c r="J1386" t="s">
        <v>39</v>
      </c>
      <c r="K1386" t="s">
        <v>28</v>
      </c>
      <c r="L1386">
        <v>7.78</v>
      </c>
      <c r="M1386">
        <v>1</v>
      </c>
      <c r="N1386">
        <v>6.8602318529823343</v>
      </c>
      <c r="O1386">
        <v>2.9515177831974371</v>
      </c>
      <c r="P1386">
        <v>-1.2870124233221063</v>
      </c>
      <c r="Q1386">
        <v>0.31322736427409226</v>
      </c>
      <c r="R1386">
        <v>-0.87220340107950356</v>
      </c>
      <c r="S1386" s="2">
        <v>4.8685210558544391E-2</v>
      </c>
      <c r="T1386" s="2">
        <v>3.0814129766456744E-2</v>
      </c>
      <c r="U1386" s="2">
        <v>8.0679472074218009E-2</v>
      </c>
      <c r="V1386" s="2">
        <v>0.15407280041486218</v>
      </c>
      <c r="W1386" s="2">
        <v>0.25866482976085542</v>
      </c>
      <c r="X1386" s="2">
        <v>0.39990738655822833</v>
      </c>
      <c r="Y1386" s="2">
        <v>0.57646345331350701</v>
      </c>
      <c r="Z1386" s="2">
        <v>0.79286347234124077</v>
      </c>
      <c r="AA1386" s="2">
        <v>1.0422051071049316</v>
      </c>
      <c r="AB1386" s="2">
        <v>1.311970524540343</v>
      </c>
      <c r="AC1386" s="2">
        <v>1.5861476226158822</v>
      </c>
      <c r="AD1386" s="2">
        <v>1.8440904754832301</v>
      </c>
      <c r="AE1386" s="2">
        <v>2.0639907188965982</v>
      </c>
      <c r="AF1386" s="2">
        <v>2.2265921963405519</v>
      </c>
      <c r="AG1386" s="2">
        <v>2.3189298376584477</v>
      </c>
      <c r="AH1386" s="2">
        <v>2.3368773340624482</v>
      </c>
      <c r="AI1386" s="2">
        <v>2.2854930861081497</v>
      </c>
      <c r="AJ1386" s="2">
        <v>2.1829069162909076</v>
      </c>
      <c r="AK1386" s="2">
        <v>2.0303719744635869</v>
      </c>
      <c r="AL1386" s="2">
        <v>1.8616475952542522</v>
      </c>
      <c r="AM1386" s="2">
        <v>1.6658641535889291</v>
      </c>
      <c r="AN1386" s="2">
        <v>1.4620873432308554</v>
      </c>
      <c r="AO1386" s="2">
        <v>1.2578587078429933</v>
      </c>
      <c r="AP1386" s="2">
        <v>1.0532520100336853</v>
      </c>
      <c r="AQ1386" s="2">
        <v>0.84835357934351563</v>
      </c>
      <c r="AR1386" s="2">
        <v>31.720789937647218</v>
      </c>
    </row>
    <row r="1387" spans="1:44" x14ac:dyDescent="0.25">
      <c r="A1387" t="s">
        <v>131</v>
      </c>
      <c r="B1387" t="s">
        <v>149</v>
      </c>
      <c r="C1387" t="s">
        <v>44</v>
      </c>
      <c r="D1387" t="s">
        <v>147</v>
      </c>
      <c r="E1387" t="s">
        <v>148</v>
      </c>
      <c r="F1387" t="s">
        <v>147</v>
      </c>
      <c r="G1387" t="s">
        <v>28</v>
      </c>
      <c r="H1387" t="s">
        <v>142</v>
      </c>
      <c r="I1387" t="s">
        <v>135</v>
      </c>
      <c r="J1387" t="s">
        <v>39</v>
      </c>
      <c r="K1387" t="s">
        <v>28</v>
      </c>
      <c r="L1387">
        <v>7.78</v>
      </c>
      <c r="M1387">
        <v>1</v>
      </c>
      <c r="N1387">
        <v>6.8602318529823343</v>
      </c>
      <c r="O1387">
        <v>2.9515177831974371</v>
      </c>
      <c r="P1387">
        <v>-1.2870124233221063</v>
      </c>
      <c r="Q1387">
        <v>0.31322736427409226</v>
      </c>
      <c r="R1387">
        <v>-0.87220340107950356</v>
      </c>
      <c r="S1387" s="2">
        <v>3.9021563236622259E-2</v>
      </c>
      <c r="T1387" s="2">
        <v>2.4697757275124865E-2</v>
      </c>
      <c r="U1387" s="2">
        <v>6.46652050042099E-2</v>
      </c>
      <c r="V1387" s="2">
        <v>0.12349051088527911</v>
      </c>
      <c r="W1387" s="2">
        <v>0.20732181078822309</v>
      </c>
      <c r="X1387" s="2">
        <v>0.32052878470370616</v>
      </c>
      <c r="Y1387" s="2">
        <v>0.46203980303268377</v>
      </c>
      <c r="Z1387" s="2">
        <v>0.63548604943933695</v>
      </c>
      <c r="AA1387" s="2">
        <v>0.83533524916199464</v>
      </c>
      <c r="AB1387" s="2">
        <v>1.0515542646441449</v>
      </c>
      <c r="AC1387" s="2">
        <v>1.2713092754132278</v>
      </c>
      <c r="AD1387" s="2">
        <v>1.4780524162792714</v>
      </c>
      <c r="AE1387" s="2">
        <v>1.6543041189146208</v>
      </c>
      <c r="AF1387" s="2">
        <v>1.7846304287252115</v>
      </c>
      <c r="AG1387" s="2">
        <v>1.8586397442538833</v>
      </c>
      <c r="AH1387" s="2">
        <v>1.8730247979043162</v>
      </c>
      <c r="AI1387" s="2">
        <v>1.8318399358505122</v>
      </c>
      <c r="AJ1387" s="2">
        <v>1.7496163474793924</v>
      </c>
      <c r="AK1387" s="2">
        <v>1.6273584418439235</v>
      </c>
      <c r="AL1387" s="2">
        <v>1.4921245801158338</v>
      </c>
      <c r="AM1387" s="2">
        <v>1.3352026758665239</v>
      </c>
      <c r="AN1387" s="2">
        <v>1.17187402635841</v>
      </c>
      <c r="AO1387" s="2">
        <v>1.0081832356831846</v>
      </c>
      <c r="AP1387" s="2">
        <v>0.8441894251274944</v>
      </c>
      <c r="AQ1387" s="2">
        <v>0.67996178846879585</v>
      </c>
      <c r="AR1387" s="2">
        <v>25.424452236455924</v>
      </c>
    </row>
    <row r="1388" spans="1:44" x14ac:dyDescent="0.25">
      <c r="A1388" t="s">
        <v>131</v>
      </c>
      <c r="B1388" t="s">
        <v>149</v>
      </c>
      <c r="C1388" t="s">
        <v>44</v>
      </c>
      <c r="D1388" t="s">
        <v>147</v>
      </c>
      <c r="E1388" t="s">
        <v>148</v>
      </c>
      <c r="F1388" t="s">
        <v>147</v>
      </c>
      <c r="G1388" t="s">
        <v>28</v>
      </c>
      <c r="H1388" t="s">
        <v>53</v>
      </c>
      <c r="I1388" t="s">
        <v>135</v>
      </c>
      <c r="J1388" t="s">
        <v>39</v>
      </c>
      <c r="K1388" t="s">
        <v>28</v>
      </c>
      <c r="L1388">
        <v>7.78</v>
      </c>
      <c r="M1388">
        <v>1</v>
      </c>
      <c r="N1388">
        <v>6.8602318529823343</v>
      </c>
      <c r="O1388">
        <v>2.9515177831974371</v>
      </c>
      <c r="P1388">
        <v>-1.2870124233221063</v>
      </c>
      <c r="Q1388">
        <v>0.31322736427409226</v>
      </c>
      <c r="R1388">
        <v>-0.87220340107950356</v>
      </c>
      <c r="S1388" s="2">
        <v>2.3174971674184686E-2</v>
      </c>
      <c r="T1388" s="2">
        <v>1.466803935547439E-2</v>
      </c>
      <c r="U1388" s="2">
        <v>3.8404773411830975E-2</v>
      </c>
      <c r="V1388" s="2">
        <v>7.3341220966540221E-2</v>
      </c>
      <c r="W1388" s="2">
        <v>0.12312877019617956</v>
      </c>
      <c r="X1388" s="2">
        <v>0.19036258135598544</v>
      </c>
      <c r="Y1388" s="2">
        <v>0.27440621183466479</v>
      </c>
      <c r="Z1388" s="2">
        <v>0.37741622768393646</v>
      </c>
      <c r="AA1388" s="2">
        <v>0.49610700166949395</v>
      </c>
      <c r="AB1388" s="2">
        <v>0.62451983661497257</v>
      </c>
      <c r="AC1388" s="2">
        <v>0.75503270507571296</v>
      </c>
      <c r="AD1388" s="2">
        <v>0.87781780223721828</v>
      </c>
      <c r="AE1388" s="2">
        <v>0.98249398323315118</v>
      </c>
      <c r="AF1388" s="2">
        <v>1.0598949966150832</v>
      </c>
      <c r="AG1388" s="2">
        <v>1.1038492528964563</v>
      </c>
      <c r="AH1388" s="2">
        <v>1.1123925603200806</v>
      </c>
      <c r="AI1388" s="2">
        <v>1.0879328018600056</v>
      </c>
      <c r="AJ1388" s="2">
        <v>1.039100075198192</v>
      </c>
      <c r="AK1388" s="2">
        <v>0.9664909005511958</v>
      </c>
      <c r="AL1388" s="2">
        <v>0.88617528387703048</v>
      </c>
      <c r="AM1388" s="2">
        <v>0.79297910247382297</v>
      </c>
      <c r="AN1388" s="2">
        <v>0.69597794434541127</v>
      </c>
      <c r="AO1388" s="2">
        <v>0.59876170997213585</v>
      </c>
      <c r="AP1388" s="2">
        <v>0.50136551158501175</v>
      </c>
      <c r="AQ1388" s="2">
        <v>0.40383044348421454</v>
      </c>
      <c r="AR1388" s="2">
        <v>15.099624708487985</v>
      </c>
    </row>
    <row r="1389" spans="1:44" x14ac:dyDescent="0.25">
      <c r="A1389" t="s">
        <v>131</v>
      </c>
      <c r="B1389" t="s">
        <v>149</v>
      </c>
      <c r="C1389" t="s">
        <v>44</v>
      </c>
      <c r="D1389" t="s">
        <v>147</v>
      </c>
      <c r="E1389" t="s">
        <v>148</v>
      </c>
      <c r="F1389" t="s">
        <v>147</v>
      </c>
      <c r="G1389" t="s">
        <v>28</v>
      </c>
      <c r="H1389" t="s">
        <v>141</v>
      </c>
      <c r="I1389" t="s">
        <v>135</v>
      </c>
      <c r="J1389" t="s">
        <v>39</v>
      </c>
      <c r="K1389" t="s">
        <v>28</v>
      </c>
      <c r="L1389">
        <v>7.78</v>
      </c>
      <c r="M1389">
        <v>1</v>
      </c>
      <c r="N1389">
        <v>6.8602318529823343</v>
      </c>
      <c r="O1389">
        <v>2.9515177831974371</v>
      </c>
      <c r="P1389">
        <v>-1.2870124233221063</v>
      </c>
      <c r="Q1389">
        <v>0.31322736427409226</v>
      </c>
      <c r="R1389">
        <v>-0.87220340107950356</v>
      </c>
      <c r="S1389" s="2">
        <v>1.9505601159105445E-2</v>
      </c>
      <c r="T1389" s="2">
        <v>1.2345599790857613E-2</v>
      </c>
      <c r="U1389" s="2">
        <v>3.232401762162438E-2</v>
      </c>
      <c r="V1389" s="2">
        <v>6.1728860980171427E-2</v>
      </c>
      <c r="W1389" s="2">
        <v>0.10363338158178441</v>
      </c>
      <c r="X1389" s="2">
        <v>0.16022183930795431</v>
      </c>
      <c r="Y1389" s="2">
        <v>0.23095856162750947</v>
      </c>
      <c r="Z1389" s="2">
        <v>0.31765865830064643</v>
      </c>
      <c r="AA1389" s="2">
        <v>0.41755672640515779</v>
      </c>
      <c r="AB1389" s="2">
        <v>0.52563752915093553</v>
      </c>
      <c r="AC1389" s="2">
        <v>0.63548586010539054</v>
      </c>
      <c r="AD1389" s="2">
        <v>0.73882998354966112</v>
      </c>
      <c r="AE1389" s="2">
        <v>0.826932435887898</v>
      </c>
      <c r="AF1389" s="2">
        <v>0.89207828881769324</v>
      </c>
      <c r="AG1389" s="2">
        <v>0.92907312118785945</v>
      </c>
      <c r="AH1389" s="2">
        <v>0.93626373826939802</v>
      </c>
      <c r="AI1389" s="2">
        <v>0.91567677489883692</v>
      </c>
      <c r="AJ1389" s="2">
        <v>0.87457589662514656</v>
      </c>
      <c r="AK1389" s="2">
        <v>0.81346317463058593</v>
      </c>
      <c r="AL1389" s="2">
        <v>0.74586419726317077</v>
      </c>
      <c r="AM1389" s="2">
        <v>0.66742407791546232</v>
      </c>
      <c r="AN1389" s="2">
        <v>0.58578143649072401</v>
      </c>
      <c r="AO1389" s="2">
        <v>0.50395777255988428</v>
      </c>
      <c r="AP1389" s="2">
        <v>0.42198263891738069</v>
      </c>
      <c r="AQ1389" s="2">
        <v>0.33989062326588015</v>
      </c>
      <c r="AR1389" s="2">
        <v>12.708850796310719</v>
      </c>
    </row>
    <row r="1390" spans="1:44" x14ac:dyDescent="0.25">
      <c r="A1390" t="s">
        <v>131</v>
      </c>
      <c r="B1390" t="s">
        <v>146</v>
      </c>
      <c r="C1390" t="s">
        <v>44</v>
      </c>
      <c r="D1390" t="s">
        <v>147</v>
      </c>
      <c r="E1390" t="s">
        <v>145</v>
      </c>
      <c r="F1390" t="s">
        <v>147</v>
      </c>
      <c r="G1390" t="s">
        <v>28</v>
      </c>
      <c r="H1390" t="s">
        <v>52</v>
      </c>
      <c r="I1390" t="s">
        <v>135</v>
      </c>
      <c r="J1390" t="s">
        <v>39</v>
      </c>
      <c r="K1390" t="s">
        <v>28</v>
      </c>
      <c r="L1390">
        <v>23.19</v>
      </c>
      <c r="M1390">
        <v>1</v>
      </c>
      <c r="N1390">
        <v>6.861830386345944</v>
      </c>
      <c r="O1390">
        <v>2.9515177831974366</v>
      </c>
      <c r="P1390">
        <v>-1.2870853928308228</v>
      </c>
      <c r="Q1390">
        <v>0.31315439476537577</v>
      </c>
      <c r="R1390">
        <v>-0.87220340107950334</v>
      </c>
      <c r="S1390" s="2">
        <v>5.055082919179652</v>
      </c>
      <c r="T1390" s="2">
        <v>7.7700440649712945</v>
      </c>
      <c r="U1390" s="2">
        <v>16.95267814703994</v>
      </c>
      <c r="V1390" s="2">
        <v>31.870043276360036</v>
      </c>
      <c r="W1390" s="2">
        <v>54.478311114882601</v>
      </c>
      <c r="X1390" s="2">
        <v>86.802230419343047</v>
      </c>
      <c r="Y1390" s="2">
        <v>130.6854031550717</v>
      </c>
      <c r="Z1390" s="2">
        <v>187.44799060772257</v>
      </c>
      <c r="AA1390" s="2">
        <v>257.47806218736855</v>
      </c>
      <c r="AB1390" s="2">
        <v>339.8253378023071</v>
      </c>
      <c r="AC1390" s="2">
        <v>431.91078137273576</v>
      </c>
      <c r="AD1390" s="2">
        <v>529.49417983071862</v>
      </c>
      <c r="AE1390" s="2">
        <v>627.02537650384591</v>
      </c>
      <c r="AF1390" s="2">
        <v>718.41801769321148</v>
      </c>
      <c r="AG1390" s="2">
        <v>798.13073987527252</v>
      </c>
      <c r="AH1390" s="2">
        <v>862.27064949545286</v>
      </c>
      <c r="AI1390" s="2">
        <v>1492.6326529806711</v>
      </c>
      <c r="AJ1390" s="2">
        <v>1191.8053425950575</v>
      </c>
      <c r="AK1390" s="2">
        <v>1261.7660748717917</v>
      </c>
      <c r="AL1390" s="2">
        <v>1279.4442598103647</v>
      </c>
      <c r="AM1390" s="2">
        <v>1268.8422318150122</v>
      </c>
      <c r="AN1390" s="2">
        <v>1247.0086924510551</v>
      </c>
      <c r="AO1390" s="2">
        <v>1219.1514204060065</v>
      </c>
      <c r="AP1390" s="2">
        <v>1189.5671748381087</v>
      </c>
      <c r="AQ1390" s="2">
        <v>1157.6976969345321</v>
      </c>
      <c r="AR1390" s="2">
        <v>16393.530475168085</v>
      </c>
    </row>
    <row r="1391" spans="1:44" x14ac:dyDescent="0.25">
      <c r="A1391" t="s">
        <v>131</v>
      </c>
      <c r="B1391" t="s">
        <v>146</v>
      </c>
      <c r="C1391" t="s">
        <v>44</v>
      </c>
      <c r="D1391" t="s">
        <v>147</v>
      </c>
      <c r="E1391" t="s">
        <v>145</v>
      </c>
      <c r="F1391" t="s">
        <v>147</v>
      </c>
      <c r="G1391" t="s">
        <v>28</v>
      </c>
      <c r="H1391" t="s">
        <v>138</v>
      </c>
      <c r="I1391" t="s">
        <v>135</v>
      </c>
      <c r="J1391" t="s">
        <v>39</v>
      </c>
      <c r="K1391" t="s">
        <v>28</v>
      </c>
      <c r="L1391">
        <v>23.19</v>
      </c>
      <c r="M1391">
        <v>1</v>
      </c>
      <c r="N1391">
        <v>6.861830386345944</v>
      </c>
      <c r="O1391">
        <v>2.9515177831974366</v>
      </c>
      <c r="P1391">
        <v>-1.2870853928308228</v>
      </c>
      <c r="Q1391">
        <v>0.31315439476537577</v>
      </c>
      <c r="R1391">
        <v>-0.87220340107950334</v>
      </c>
      <c r="S1391" s="2">
        <v>1.7535226530840291</v>
      </c>
      <c r="T1391" s="2">
        <v>2.6952966946780297</v>
      </c>
      <c r="U1391" s="2">
        <v>5.8805969430272462</v>
      </c>
      <c r="V1391" s="2">
        <v>11.055178269743349</v>
      </c>
      <c r="W1391" s="2">
        <v>18.897603495138853</v>
      </c>
      <c r="X1391" s="2">
        <v>30.110223672302993</v>
      </c>
      <c r="Y1391" s="2">
        <v>45.332553100241874</v>
      </c>
      <c r="Z1391" s="2">
        <v>65.022533371038151</v>
      </c>
      <c r="AA1391" s="2">
        <v>89.314779190802767</v>
      </c>
      <c r="AB1391" s="2">
        <v>117.87965448942238</v>
      </c>
      <c r="AC1391" s="2">
        <v>149.82253532870286</v>
      </c>
      <c r="AD1391" s="2">
        <v>183.67256360653113</v>
      </c>
      <c r="AE1391" s="2">
        <v>217.50448396926902</v>
      </c>
      <c r="AF1391" s="2">
        <v>249.20704339568087</v>
      </c>
      <c r="AG1391" s="2">
        <v>276.85803672655231</v>
      </c>
      <c r="AH1391" s="2">
        <v>299.10708511684066</v>
      </c>
      <c r="AI1391" s="2">
        <v>517.76898847769451</v>
      </c>
      <c r="AJ1391" s="2">
        <v>413.4170892385979</v>
      </c>
      <c r="AK1391" s="2">
        <v>437.68528242849487</v>
      </c>
      <c r="AL1391" s="2">
        <v>443.81754539050922</v>
      </c>
      <c r="AM1391" s="2">
        <v>440.13988143213072</v>
      </c>
      <c r="AN1391" s="2">
        <v>432.56619639396052</v>
      </c>
      <c r="AO1391" s="2">
        <v>422.90298050510148</v>
      </c>
      <c r="AP1391" s="2">
        <v>412.64070674874353</v>
      </c>
      <c r="AQ1391" s="2">
        <v>401.58572459724382</v>
      </c>
      <c r="AR1391" s="2">
        <v>5686.6380852355342</v>
      </c>
    </row>
    <row r="1392" spans="1:44" x14ac:dyDescent="0.25">
      <c r="A1392" t="s">
        <v>131</v>
      </c>
      <c r="B1392" t="s">
        <v>146</v>
      </c>
      <c r="C1392" t="s">
        <v>44</v>
      </c>
      <c r="D1392" t="s">
        <v>147</v>
      </c>
      <c r="E1392" t="s">
        <v>148</v>
      </c>
      <c r="F1392" t="s">
        <v>147</v>
      </c>
      <c r="G1392" t="s">
        <v>28</v>
      </c>
      <c r="H1392" t="s">
        <v>52</v>
      </c>
      <c r="I1392" t="s">
        <v>135</v>
      </c>
      <c r="J1392" t="s">
        <v>39</v>
      </c>
      <c r="K1392" t="s">
        <v>28</v>
      </c>
      <c r="L1392">
        <v>23.19</v>
      </c>
      <c r="M1392">
        <v>1</v>
      </c>
      <c r="N1392">
        <v>6.861830386345944</v>
      </c>
      <c r="O1392">
        <v>2.9515177831974366</v>
      </c>
      <c r="P1392">
        <v>-1.2870853928308228</v>
      </c>
      <c r="Q1392">
        <v>0.31315439476537577</v>
      </c>
      <c r="R1392">
        <v>-0.87220340107950334</v>
      </c>
      <c r="S1392" s="2">
        <v>3.1744425418591748</v>
      </c>
      <c r="T1392" s="2">
        <v>2.0091868413177125</v>
      </c>
      <c r="U1392" s="2">
        <v>5.2605780167913574</v>
      </c>
      <c r="V1392" s="2">
        <v>10.046074497144803</v>
      </c>
      <c r="W1392" s="2">
        <v>16.865833181274223</v>
      </c>
      <c r="X1392" s="2">
        <v>26.075331833424034</v>
      </c>
      <c r="Y1392" s="2">
        <v>37.587392331905662</v>
      </c>
      <c r="Z1392" s="2">
        <v>51.697415038590343</v>
      </c>
      <c r="AA1392" s="2">
        <v>67.955343961353563</v>
      </c>
      <c r="AB1392" s="2">
        <v>85.544973493706237</v>
      </c>
      <c r="AC1392" s="2">
        <v>103.42225971983608</v>
      </c>
      <c r="AD1392" s="2">
        <v>120.24101753389429</v>
      </c>
      <c r="AE1392" s="2">
        <v>134.57926686357814</v>
      </c>
      <c r="AF1392" s="2">
        <v>145.18144032540306</v>
      </c>
      <c r="AG1392" s="2">
        <v>151.20217092206067</v>
      </c>
      <c r="AH1392" s="2">
        <v>152.3724091823286</v>
      </c>
      <c r="AI1392" s="2">
        <v>149.02198015437111</v>
      </c>
      <c r="AJ1392" s="2">
        <v>142.33301038432697</v>
      </c>
      <c r="AK1392" s="2">
        <v>132.3872095363584</v>
      </c>
      <c r="AL1392" s="2">
        <v>121.38580190011939</v>
      </c>
      <c r="AM1392" s="2">
        <v>108.62005067743783</v>
      </c>
      <c r="AN1392" s="2">
        <v>95.333104427777684</v>
      </c>
      <c r="AO1392" s="2">
        <v>82.01669763804945</v>
      </c>
      <c r="AP1392" s="2">
        <v>68.675639883059532</v>
      </c>
      <c r="AQ1392" s="2">
        <v>55.315560144658605</v>
      </c>
      <c r="AR1392" s="2">
        <v>2068.3041910306265</v>
      </c>
    </row>
    <row r="1393" spans="1:44" x14ac:dyDescent="0.25">
      <c r="A1393" t="s">
        <v>131</v>
      </c>
      <c r="B1393" t="s">
        <v>146</v>
      </c>
      <c r="C1393" t="s">
        <v>44</v>
      </c>
      <c r="D1393" t="s">
        <v>147</v>
      </c>
      <c r="E1393" t="s">
        <v>148</v>
      </c>
      <c r="F1393" t="s">
        <v>147</v>
      </c>
      <c r="G1393" t="s">
        <v>28</v>
      </c>
      <c r="H1393" t="s">
        <v>138</v>
      </c>
      <c r="I1393" t="s">
        <v>135</v>
      </c>
      <c r="J1393" t="s">
        <v>39</v>
      </c>
      <c r="K1393" t="s">
        <v>28</v>
      </c>
      <c r="L1393">
        <v>23.19</v>
      </c>
      <c r="M1393">
        <v>1</v>
      </c>
      <c r="N1393">
        <v>6.861830386345944</v>
      </c>
      <c r="O1393">
        <v>2.9515177831974366</v>
      </c>
      <c r="P1393">
        <v>-1.2870853928308228</v>
      </c>
      <c r="Q1393">
        <v>0.31315439476537577</v>
      </c>
      <c r="R1393">
        <v>-0.87220340107950334</v>
      </c>
      <c r="S1393" s="2">
        <v>1.1011603562315142</v>
      </c>
      <c r="T1393" s="2">
        <v>0.69695288818342482</v>
      </c>
      <c r="U1393" s="2">
        <v>1.8248054222336039</v>
      </c>
      <c r="V1393" s="2">
        <v>3.4848131053351596</v>
      </c>
      <c r="W1393" s="2">
        <v>5.850471895187046</v>
      </c>
      <c r="X1393" s="2">
        <v>9.0450910079259916</v>
      </c>
      <c r="Y1393" s="2">
        <v>13.038429829564421</v>
      </c>
      <c r="Z1393" s="2">
        <v>17.932957742811126</v>
      </c>
      <c r="AA1393" s="2">
        <v>23.572557946030312</v>
      </c>
      <c r="AB1393" s="2">
        <v>29.674102537378374</v>
      </c>
      <c r="AC1393" s="2">
        <v>35.875430364117982</v>
      </c>
      <c r="AD1393" s="2">
        <v>41.709572611674353</v>
      </c>
      <c r="AE1393" s="2">
        <v>46.683268475252042</v>
      </c>
      <c r="AF1393" s="2">
        <v>50.360982893486465</v>
      </c>
      <c r="AG1393" s="2">
        <v>52.449472371927641</v>
      </c>
      <c r="AH1393" s="2">
        <v>52.855408205561474</v>
      </c>
      <c r="AI1393" s="2">
        <v>51.693201117764239</v>
      </c>
      <c r="AJ1393" s="2">
        <v>49.372910787201391</v>
      </c>
      <c r="AK1393" s="2">
        <v>45.922880912556558</v>
      </c>
      <c r="AL1393" s="2">
        <v>42.106678920544546</v>
      </c>
      <c r="AM1393" s="2">
        <v>37.678456018864722</v>
      </c>
      <c r="AN1393" s="2">
        <v>33.069439389148826</v>
      </c>
      <c r="AO1393" s="2">
        <v>28.450203397019962</v>
      </c>
      <c r="AP1393" s="2">
        <v>23.82241640252488</v>
      </c>
      <c r="AQ1393" s="2">
        <v>19.188031004134412</v>
      </c>
      <c r="AR1393" s="2">
        <v>717.45969560266053</v>
      </c>
    </row>
    <row r="1394" spans="1:44" x14ac:dyDescent="0.25">
      <c r="A1394" t="s">
        <v>131</v>
      </c>
      <c r="B1394" t="s">
        <v>155</v>
      </c>
      <c r="C1394" t="s">
        <v>44</v>
      </c>
      <c r="D1394" t="s">
        <v>152</v>
      </c>
      <c r="E1394" t="s">
        <v>145</v>
      </c>
      <c r="F1394" t="s">
        <v>153</v>
      </c>
      <c r="G1394" t="s">
        <v>28</v>
      </c>
      <c r="H1394" t="s">
        <v>55</v>
      </c>
      <c r="I1394" t="s">
        <v>135</v>
      </c>
      <c r="J1394" t="s">
        <v>39</v>
      </c>
      <c r="K1394" t="s">
        <v>28</v>
      </c>
      <c r="L1394">
        <v>24.453678733641105</v>
      </c>
      <c r="M1394">
        <v>1</v>
      </c>
      <c r="N1394">
        <v>3.1718682800283089</v>
      </c>
      <c r="O1394">
        <v>3.740315585496846</v>
      </c>
      <c r="P1394">
        <v>-1.316001647904363</v>
      </c>
      <c r="Q1394">
        <v>0.85851164137020752</v>
      </c>
      <c r="R1394">
        <v>-1.4464769027578754</v>
      </c>
      <c r="S1394" s="2">
        <v>0.87519369550511161</v>
      </c>
      <c r="T1394" s="2">
        <v>1.0257999420340533</v>
      </c>
      <c r="U1394" s="2">
        <v>1.157365441093275</v>
      </c>
      <c r="V1394" s="2">
        <v>1.2707346123927474</v>
      </c>
      <c r="W1394" s="2">
        <v>1.3673137893206022</v>
      </c>
      <c r="X1394" s="2">
        <v>1.4487703431493018</v>
      </c>
      <c r="Y1394" s="2">
        <v>1.5168466246983152</v>
      </c>
      <c r="Z1394" s="2">
        <v>1.5732488086458858</v>
      </c>
      <c r="AA1394" s="2">
        <v>1.6195754652938257</v>
      </c>
      <c r="AB1394" s="2">
        <v>1.6547500290274457</v>
      </c>
      <c r="AC1394" s="2">
        <v>1.6812021412248861</v>
      </c>
      <c r="AD1394" s="2">
        <v>1.7008248550624199</v>
      </c>
      <c r="AE1394" s="2">
        <v>1.7150930714816053</v>
      </c>
      <c r="AF1394" s="2">
        <v>1.7251558811582517</v>
      </c>
      <c r="AG1394" s="2">
        <v>1.7319085454036043</v>
      </c>
      <c r="AH1394" s="2">
        <v>1.7392050633340221</v>
      </c>
      <c r="AI1394" s="2">
        <v>1.7435845855715675</v>
      </c>
      <c r="AJ1394" s="2">
        <v>1.7512560418445424</v>
      </c>
      <c r="AK1394" s="2">
        <v>1.7534243637558415</v>
      </c>
      <c r="AL1394" s="2">
        <v>1.7483864407050222</v>
      </c>
      <c r="AM1394" s="2">
        <v>1.7431786694740106</v>
      </c>
      <c r="AN1394" s="2">
        <v>1.7378038886211955</v>
      </c>
      <c r="AO1394" s="2">
        <v>1.7322644888129368</v>
      </c>
      <c r="AP1394" s="2">
        <v>1.7265623465762758</v>
      </c>
      <c r="AQ1394" s="2">
        <v>0.9762722827344531</v>
      </c>
      <c r="AR1394" s="2">
        <v>38.715721416921198</v>
      </c>
    </row>
    <row r="1395" spans="1:44" x14ac:dyDescent="0.25">
      <c r="A1395" t="s">
        <v>131</v>
      </c>
      <c r="B1395" t="s">
        <v>155</v>
      </c>
      <c r="C1395" t="s">
        <v>44</v>
      </c>
      <c r="D1395" t="s">
        <v>152</v>
      </c>
      <c r="E1395" t="s">
        <v>145</v>
      </c>
      <c r="F1395" t="s">
        <v>153</v>
      </c>
      <c r="G1395" t="s">
        <v>28</v>
      </c>
      <c r="H1395" t="s">
        <v>136</v>
      </c>
      <c r="I1395" t="s">
        <v>135</v>
      </c>
      <c r="J1395" t="s">
        <v>39</v>
      </c>
      <c r="K1395" t="s">
        <v>28</v>
      </c>
      <c r="L1395">
        <v>24.453678733641105</v>
      </c>
      <c r="M1395">
        <v>1</v>
      </c>
      <c r="N1395">
        <v>3.1718682800283089</v>
      </c>
      <c r="O1395">
        <v>3.740315585496846</v>
      </c>
      <c r="P1395">
        <v>-1.316001647904363</v>
      </c>
      <c r="Q1395">
        <v>0.85851164137020752</v>
      </c>
      <c r="R1395">
        <v>-1.4464769027578754</v>
      </c>
      <c r="S1395" s="2">
        <v>1.0988543065786402</v>
      </c>
      <c r="T1395" s="2">
        <v>1.2879488161094224</v>
      </c>
      <c r="U1395" s="2">
        <v>1.453136609372667</v>
      </c>
      <c r="V1395" s="2">
        <v>1.59547790222645</v>
      </c>
      <c r="W1395" s="2">
        <v>1.7167384243691999</v>
      </c>
      <c r="X1395" s="2">
        <v>1.8190116530652345</v>
      </c>
      <c r="Y1395" s="2">
        <v>1.9044852065656623</v>
      </c>
      <c r="Z1395" s="2">
        <v>1.9753012819665008</v>
      </c>
      <c r="AA1395" s="2">
        <v>2.0334669730911368</v>
      </c>
      <c r="AB1395" s="2">
        <v>2.077630592001126</v>
      </c>
      <c r="AC1395" s="2">
        <v>2.1108426884268003</v>
      </c>
      <c r="AD1395" s="2">
        <v>2.1354800958005939</v>
      </c>
      <c r="AE1395" s="2">
        <v>2.153394634193571</v>
      </c>
      <c r="AF1395" s="2">
        <v>2.1660290507875821</v>
      </c>
      <c r="AG1395" s="2">
        <v>2.1745073958956369</v>
      </c>
      <c r="AH1395" s="2">
        <v>2.1836685795193835</v>
      </c>
      <c r="AI1395" s="2">
        <v>2.1891673129954126</v>
      </c>
      <c r="AJ1395" s="2">
        <v>2.1987992525381479</v>
      </c>
      <c r="AK1395" s="2">
        <v>2.2015217011601114</v>
      </c>
      <c r="AL1395" s="2">
        <v>2.195196308885194</v>
      </c>
      <c r="AM1395" s="2">
        <v>2.1886576627840357</v>
      </c>
      <c r="AN1395" s="2">
        <v>2.1819093268243903</v>
      </c>
      <c r="AO1395" s="2">
        <v>2.1749543026206877</v>
      </c>
      <c r="AP1395" s="2">
        <v>2.1677949462568789</v>
      </c>
      <c r="AQ1395" s="2">
        <v>1.2257640883221381</v>
      </c>
      <c r="AR1395" s="2">
        <v>48.6097391123566</v>
      </c>
    </row>
    <row r="1396" spans="1:44" x14ac:dyDescent="0.25">
      <c r="A1396" t="s">
        <v>131</v>
      </c>
      <c r="B1396" t="s">
        <v>159</v>
      </c>
      <c r="C1396" t="s">
        <v>44</v>
      </c>
      <c r="D1396" t="s">
        <v>152</v>
      </c>
      <c r="E1396" t="s">
        <v>145</v>
      </c>
      <c r="F1396" t="s">
        <v>157</v>
      </c>
      <c r="G1396" t="s">
        <v>28</v>
      </c>
      <c r="H1396" t="s">
        <v>55</v>
      </c>
      <c r="I1396" t="s">
        <v>135</v>
      </c>
      <c r="J1396" t="s">
        <v>39</v>
      </c>
      <c r="K1396" t="s">
        <v>28</v>
      </c>
      <c r="L1396">
        <v>119.94727665486228</v>
      </c>
      <c r="M1396">
        <v>1</v>
      </c>
      <c r="N1396">
        <v>5.4884367997925141</v>
      </c>
      <c r="O1396">
        <v>3.7403155854968446</v>
      </c>
      <c r="P1396">
        <v>-1.6783636673275446</v>
      </c>
      <c r="Q1396">
        <v>0.49614962194702583</v>
      </c>
      <c r="R1396">
        <v>-1.446476902757875</v>
      </c>
      <c r="S1396" s="2">
        <v>0</v>
      </c>
      <c r="T1396" s="2">
        <v>0</v>
      </c>
      <c r="U1396" s="2">
        <v>9.6491532221149229E-2</v>
      </c>
      <c r="V1396" s="2">
        <v>0.15378716796951214</v>
      </c>
      <c r="W1396" s="2">
        <v>0.23159955998318321</v>
      </c>
      <c r="X1396" s="2">
        <v>0.33228443484927284</v>
      </c>
      <c r="Y1396" s="2">
        <v>0.45654609624533971</v>
      </c>
      <c r="Z1396" s="2">
        <v>0.60271563980546172</v>
      </c>
      <c r="AA1396" s="2">
        <v>0.76623215275841494</v>
      </c>
      <c r="AB1396" s="2">
        <v>0.93958181517824491</v>
      </c>
      <c r="AC1396" s="2">
        <v>1.1129182469052572</v>
      </c>
      <c r="AD1396" s="2">
        <v>1.2754338024088978</v>
      </c>
      <c r="AE1396" s="2">
        <v>1.4172788646967005</v>
      </c>
      <c r="AF1396" s="2">
        <v>1.5315233377077133</v>
      </c>
      <c r="AG1396" s="2">
        <v>1.6154912436631499</v>
      </c>
      <c r="AH1396" s="2">
        <v>1.6755251611324975</v>
      </c>
      <c r="AI1396" s="2">
        <v>1.7060699488328257</v>
      </c>
      <c r="AJ1396" s="2">
        <v>1.7293132731413876</v>
      </c>
      <c r="AK1396" s="2">
        <v>1.7314544265604519</v>
      </c>
      <c r="AL1396" s="2">
        <v>1.7264796273348231</v>
      </c>
      <c r="AM1396" s="2">
        <v>1.7213371080811637</v>
      </c>
      <c r="AN1396" s="2">
        <v>1.716029671791488</v>
      </c>
      <c r="AO1396" s="2">
        <v>1.7105596791777475</v>
      </c>
      <c r="AP1396" s="2">
        <v>1.7049289832546022</v>
      </c>
      <c r="AQ1396" s="2">
        <v>1.6991388358674677</v>
      </c>
      <c r="AR1396" s="2">
        <v>27.652720609566749</v>
      </c>
    </row>
    <row r="1397" spans="1:44" x14ac:dyDescent="0.25">
      <c r="A1397" t="s">
        <v>131</v>
      </c>
      <c r="B1397" t="s">
        <v>159</v>
      </c>
      <c r="C1397" t="s">
        <v>44</v>
      </c>
      <c r="D1397" t="s">
        <v>152</v>
      </c>
      <c r="E1397" t="s">
        <v>145</v>
      </c>
      <c r="F1397" t="s">
        <v>157</v>
      </c>
      <c r="G1397" t="s">
        <v>28</v>
      </c>
      <c r="H1397" t="s">
        <v>136</v>
      </c>
      <c r="I1397" t="s">
        <v>135</v>
      </c>
      <c r="J1397" t="s">
        <v>39</v>
      </c>
      <c r="K1397" t="s">
        <v>28</v>
      </c>
      <c r="L1397">
        <v>119.94727665486228</v>
      </c>
      <c r="M1397">
        <v>1</v>
      </c>
      <c r="N1397">
        <v>5.4884367997925141</v>
      </c>
      <c r="O1397">
        <v>3.7403155854968446</v>
      </c>
      <c r="P1397">
        <v>-1.6783636673275446</v>
      </c>
      <c r="Q1397">
        <v>0.49614962194702583</v>
      </c>
      <c r="R1397">
        <v>-1.446476902757875</v>
      </c>
      <c r="S1397" s="2">
        <v>0</v>
      </c>
      <c r="T1397" s="2">
        <v>0</v>
      </c>
      <c r="U1397" s="2">
        <v>0.12115047934433179</v>
      </c>
      <c r="V1397" s="2">
        <v>0.19308833311727638</v>
      </c>
      <c r="W1397" s="2">
        <v>0.29078611420110773</v>
      </c>
      <c r="X1397" s="2">
        <v>0.4172015681996426</v>
      </c>
      <c r="Y1397" s="2">
        <v>0.57321898750803779</v>
      </c>
      <c r="Z1397" s="2">
        <v>0.75674296997796853</v>
      </c>
      <c r="AA1397" s="2">
        <v>0.96204703624112131</v>
      </c>
      <c r="AB1397" s="2">
        <v>1.1796971679460186</v>
      </c>
      <c r="AC1397" s="2">
        <v>1.3973306877810445</v>
      </c>
      <c r="AD1397" s="2">
        <v>1.6013779963578383</v>
      </c>
      <c r="AE1397" s="2">
        <v>1.7794723523414127</v>
      </c>
      <c r="AF1397" s="2">
        <v>1.9229126351219059</v>
      </c>
      <c r="AG1397" s="2">
        <v>2.0283390059326218</v>
      </c>
      <c r="AH1397" s="2">
        <v>2.1037149245330244</v>
      </c>
      <c r="AI1397" s="2">
        <v>2.1420656024234375</v>
      </c>
      <c r="AJ1397" s="2">
        <v>2.1712488873886309</v>
      </c>
      <c r="AK1397" s="2">
        <v>2.1739372244592334</v>
      </c>
      <c r="AL1397" s="2">
        <v>2.1676910876537221</v>
      </c>
      <c r="AM1397" s="2">
        <v>2.1612343690352391</v>
      </c>
      <c r="AN1397" s="2">
        <v>2.15457058791598</v>
      </c>
      <c r="AO1397" s="2">
        <v>2.1477027083009501</v>
      </c>
      <c r="AP1397" s="2">
        <v>2.1406330567529994</v>
      </c>
      <c r="AQ1397" s="2">
        <v>2.1333632050335982</v>
      </c>
      <c r="AR1397" s="2">
        <v>34.71952698756715</v>
      </c>
    </row>
    <row r="1398" spans="1:44" x14ac:dyDescent="0.25">
      <c r="A1398" t="s">
        <v>131</v>
      </c>
      <c r="B1398" t="s">
        <v>154</v>
      </c>
      <c r="C1398" t="s">
        <v>44</v>
      </c>
      <c r="D1398" t="s">
        <v>152</v>
      </c>
      <c r="E1398" t="s">
        <v>145</v>
      </c>
      <c r="F1398" t="s">
        <v>153</v>
      </c>
      <c r="G1398" t="s">
        <v>28</v>
      </c>
      <c r="H1398" t="s">
        <v>54</v>
      </c>
      <c r="I1398" t="s">
        <v>135</v>
      </c>
      <c r="J1398" t="s">
        <v>39</v>
      </c>
      <c r="K1398" t="s">
        <v>28</v>
      </c>
      <c r="L1398">
        <v>24.453678733641105</v>
      </c>
      <c r="M1398">
        <v>1</v>
      </c>
      <c r="N1398">
        <v>3.1718682800283089</v>
      </c>
      <c r="O1398">
        <v>3.740315585496846</v>
      </c>
      <c r="P1398">
        <v>-1.316001647904363</v>
      </c>
      <c r="Q1398">
        <v>0.85851164137020752</v>
      </c>
      <c r="R1398">
        <v>-1.4464769027578754</v>
      </c>
      <c r="S1398" s="2">
        <v>0</v>
      </c>
      <c r="T1398" s="2">
        <v>0</v>
      </c>
      <c r="U1398" s="2">
        <v>0</v>
      </c>
      <c r="V1398" s="2">
        <v>0</v>
      </c>
      <c r="W1398" s="2">
        <v>0</v>
      </c>
      <c r="X1398" s="2">
        <v>0</v>
      </c>
      <c r="Y1398" s="2">
        <v>0</v>
      </c>
      <c r="Z1398" s="2">
        <v>0</v>
      </c>
      <c r="AA1398" s="2">
        <v>0</v>
      </c>
      <c r="AB1398" s="2">
        <v>0</v>
      </c>
      <c r="AC1398" s="2">
        <v>0</v>
      </c>
      <c r="AD1398" s="2">
        <v>0</v>
      </c>
      <c r="AE1398" s="2">
        <v>0</v>
      </c>
      <c r="AF1398" s="2">
        <v>0</v>
      </c>
      <c r="AG1398" s="2">
        <v>0</v>
      </c>
      <c r="AH1398" s="2">
        <v>0</v>
      </c>
      <c r="AI1398" s="2">
        <v>0</v>
      </c>
      <c r="AJ1398" s="2">
        <v>0</v>
      </c>
      <c r="AK1398" s="2">
        <v>0</v>
      </c>
      <c r="AL1398" s="2">
        <v>0</v>
      </c>
      <c r="AM1398" s="2">
        <v>0</v>
      </c>
      <c r="AN1398" s="2">
        <v>0</v>
      </c>
      <c r="AO1398" s="2">
        <v>0</v>
      </c>
      <c r="AP1398" s="2">
        <v>0</v>
      </c>
      <c r="AQ1398" s="2">
        <v>0</v>
      </c>
      <c r="AR1398" s="2">
        <v>0</v>
      </c>
    </row>
    <row r="1399" spans="1:44" x14ac:dyDescent="0.25">
      <c r="A1399" t="s">
        <v>131</v>
      </c>
      <c r="B1399" t="s">
        <v>154</v>
      </c>
      <c r="C1399" t="s">
        <v>44</v>
      </c>
      <c r="D1399" t="s">
        <v>152</v>
      </c>
      <c r="E1399" t="s">
        <v>145</v>
      </c>
      <c r="F1399" t="s">
        <v>153</v>
      </c>
      <c r="G1399" t="s">
        <v>28</v>
      </c>
      <c r="H1399" t="s">
        <v>142</v>
      </c>
      <c r="I1399" t="s">
        <v>135</v>
      </c>
      <c r="J1399" t="s">
        <v>39</v>
      </c>
      <c r="K1399" t="s">
        <v>28</v>
      </c>
      <c r="L1399">
        <v>24.453678733641105</v>
      </c>
      <c r="M1399">
        <v>1</v>
      </c>
      <c r="N1399">
        <v>3.1718682800283089</v>
      </c>
      <c r="O1399">
        <v>3.740315585496846</v>
      </c>
      <c r="P1399">
        <v>-1.316001647904363</v>
      </c>
      <c r="Q1399">
        <v>0.85851164137020752</v>
      </c>
      <c r="R1399">
        <v>-1.4464769027578754</v>
      </c>
      <c r="S1399" s="2">
        <v>0</v>
      </c>
      <c r="T1399" s="2">
        <v>0</v>
      </c>
      <c r="U1399" s="2">
        <v>0</v>
      </c>
      <c r="V1399" s="2">
        <v>0</v>
      </c>
      <c r="W1399" s="2">
        <v>0</v>
      </c>
      <c r="X1399" s="2">
        <v>0</v>
      </c>
      <c r="Y1399" s="2">
        <v>0</v>
      </c>
      <c r="Z1399" s="2">
        <v>0</v>
      </c>
      <c r="AA1399" s="2">
        <v>0</v>
      </c>
      <c r="AB1399" s="2">
        <v>0</v>
      </c>
      <c r="AC1399" s="2">
        <v>0</v>
      </c>
      <c r="AD1399" s="2">
        <v>0</v>
      </c>
      <c r="AE1399" s="2">
        <v>0</v>
      </c>
      <c r="AF1399" s="2">
        <v>0</v>
      </c>
      <c r="AG1399" s="2">
        <v>0</v>
      </c>
      <c r="AH1399" s="2">
        <v>0</v>
      </c>
      <c r="AI1399" s="2">
        <v>0</v>
      </c>
      <c r="AJ1399" s="2">
        <v>0</v>
      </c>
      <c r="AK1399" s="2">
        <v>0</v>
      </c>
      <c r="AL1399" s="2">
        <v>0</v>
      </c>
      <c r="AM1399" s="2">
        <v>0</v>
      </c>
      <c r="AN1399" s="2">
        <v>0</v>
      </c>
      <c r="AO1399" s="2">
        <v>0</v>
      </c>
      <c r="AP1399" s="2">
        <v>0</v>
      </c>
      <c r="AQ1399" s="2">
        <v>0</v>
      </c>
      <c r="AR1399" s="2">
        <v>0</v>
      </c>
    </row>
    <row r="1400" spans="1:44" x14ac:dyDescent="0.25">
      <c r="A1400" t="s">
        <v>131</v>
      </c>
      <c r="B1400" t="s">
        <v>154</v>
      </c>
      <c r="C1400" t="s">
        <v>44</v>
      </c>
      <c r="D1400" t="s">
        <v>152</v>
      </c>
      <c r="E1400" t="s">
        <v>145</v>
      </c>
      <c r="F1400" t="s">
        <v>153</v>
      </c>
      <c r="G1400" t="s">
        <v>28</v>
      </c>
      <c r="H1400" t="s">
        <v>53</v>
      </c>
      <c r="I1400" t="s">
        <v>135</v>
      </c>
      <c r="J1400" t="s">
        <v>39</v>
      </c>
      <c r="K1400" t="s">
        <v>28</v>
      </c>
      <c r="L1400">
        <v>24.453678733641105</v>
      </c>
      <c r="M1400">
        <v>1</v>
      </c>
      <c r="N1400">
        <v>3.1718682800283089</v>
      </c>
      <c r="O1400">
        <v>3.740315585496846</v>
      </c>
      <c r="P1400">
        <v>-1.316001647904363</v>
      </c>
      <c r="Q1400">
        <v>0.85851164137020752</v>
      </c>
      <c r="R1400">
        <v>-1.4464769027578754</v>
      </c>
      <c r="S1400" s="2">
        <v>13.629228190102152</v>
      </c>
      <c r="T1400" s="2">
        <v>15.974591178135395</v>
      </c>
      <c r="U1400" s="2">
        <v>18.023436157060782</v>
      </c>
      <c r="V1400" s="2">
        <v>19.788913117531269</v>
      </c>
      <c r="W1400" s="2">
        <v>21.29292262710878</v>
      </c>
      <c r="X1400" s="2">
        <v>22.561430347642521</v>
      </c>
      <c r="Y1400" s="2">
        <v>23.621569583482941</v>
      </c>
      <c r="Z1400" s="2">
        <v>24.499910274680335</v>
      </c>
      <c r="AA1400" s="2">
        <v>25.221346658399803</v>
      </c>
      <c r="AB1400" s="2">
        <v>25.769113579111121</v>
      </c>
      <c r="AC1400" s="2">
        <v>26.181047388850264</v>
      </c>
      <c r="AD1400" s="2">
        <v>26.48662825166312</v>
      </c>
      <c r="AE1400" s="2">
        <v>26.708824524832814</v>
      </c>
      <c r="AF1400" s="2">
        <v>26.865530783139913</v>
      </c>
      <c r="AG1400" s="2">
        <v>26.970688764011726</v>
      </c>
      <c r="AH1400" s="2">
        <v>27.084316076888392</v>
      </c>
      <c r="AI1400" s="2">
        <v>27.152517559880877</v>
      </c>
      <c r="AJ1400" s="2">
        <v>27.27198371763745</v>
      </c>
      <c r="AK1400" s="2">
        <v>27.305750590354279</v>
      </c>
      <c r="AL1400" s="2">
        <v>27.227295954293218</v>
      </c>
      <c r="AM1400" s="2">
        <v>27.14619630419994</v>
      </c>
      <c r="AN1400" s="2">
        <v>27.06249584441483</v>
      </c>
      <c r="AO1400" s="2">
        <v>26.976231804339225</v>
      </c>
      <c r="AP1400" s="2">
        <v>26.887433406778772</v>
      </c>
      <c r="AQ1400" s="2">
        <v>15.20330617713166</v>
      </c>
      <c r="AR1400" s="2">
        <v>602.91270886167138</v>
      </c>
    </row>
    <row r="1401" spans="1:44" x14ac:dyDescent="0.25">
      <c r="A1401" t="s">
        <v>131</v>
      </c>
      <c r="B1401" t="s">
        <v>154</v>
      </c>
      <c r="C1401" t="s">
        <v>44</v>
      </c>
      <c r="D1401" t="s">
        <v>152</v>
      </c>
      <c r="E1401" t="s">
        <v>145</v>
      </c>
      <c r="F1401" t="s">
        <v>153</v>
      </c>
      <c r="G1401" t="s">
        <v>28</v>
      </c>
      <c r="H1401" t="s">
        <v>141</v>
      </c>
      <c r="I1401" t="s">
        <v>135</v>
      </c>
      <c r="J1401" t="s">
        <v>39</v>
      </c>
      <c r="K1401" t="s">
        <v>28</v>
      </c>
      <c r="L1401">
        <v>24.453678733641105</v>
      </c>
      <c r="M1401">
        <v>1</v>
      </c>
      <c r="N1401">
        <v>3.1718682800283089</v>
      </c>
      <c r="O1401">
        <v>3.740315585496846</v>
      </c>
      <c r="P1401">
        <v>-1.316001647904363</v>
      </c>
      <c r="Q1401">
        <v>0.85851164137020752</v>
      </c>
      <c r="R1401">
        <v>-1.4464769027578754</v>
      </c>
      <c r="S1401" s="2">
        <v>11.471267060002646</v>
      </c>
      <c r="T1401" s="2">
        <v>13.445280908263957</v>
      </c>
      <c r="U1401" s="2">
        <v>15.169725432192823</v>
      </c>
      <c r="V1401" s="2">
        <v>16.655668540588813</v>
      </c>
      <c r="W1401" s="2">
        <v>17.921543211149892</v>
      </c>
      <c r="X1401" s="2">
        <v>18.98920387593245</v>
      </c>
      <c r="Y1401" s="2">
        <v>19.881487732764807</v>
      </c>
      <c r="Z1401" s="2">
        <v>20.620757814522612</v>
      </c>
      <c r="AA1401" s="2">
        <v>21.22796677081983</v>
      </c>
      <c r="AB1401" s="2">
        <v>21.689003929085196</v>
      </c>
      <c r="AC1401" s="2">
        <v>22.035714885615636</v>
      </c>
      <c r="AD1401" s="2">
        <v>22.292912111816456</v>
      </c>
      <c r="AE1401" s="2">
        <v>22.479927308400946</v>
      </c>
      <c r="AF1401" s="2">
        <v>22.611821742476092</v>
      </c>
      <c r="AG1401" s="2">
        <v>22.70032970970987</v>
      </c>
      <c r="AH1401" s="2">
        <v>22.795966031381059</v>
      </c>
      <c r="AI1401" s="2">
        <v>22.853368946233076</v>
      </c>
      <c r="AJ1401" s="2">
        <v>22.953919629011519</v>
      </c>
      <c r="AK1401" s="2">
        <v>22.982340080214847</v>
      </c>
      <c r="AL1401" s="2">
        <v>22.916307428196788</v>
      </c>
      <c r="AM1401" s="2">
        <v>22.848048556034943</v>
      </c>
      <c r="AN1401" s="2">
        <v>22.777600669049146</v>
      </c>
      <c r="AO1401" s="2">
        <v>22.70499510198551</v>
      </c>
      <c r="AP1401" s="2">
        <v>22.630256450705463</v>
      </c>
      <c r="AQ1401" s="2">
        <v>12.79611603241926</v>
      </c>
      <c r="AR1401" s="2">
        <v>507.45152995857364</v>
      </c>
    </row>
    <row r="1402" spans="1:44" x14ac:dyDescent="0.25">
      <c r="A1402" t="s">
        <v>131</v>
      </c>
      <c r="B1402" t="s">
        <v>158</v>
      </c>
      <c r="C1402" t="s">
        <v>44</v>
      </c>
      <c r="D1402" t="s">
        <v>152</v>
      </c>
      <c r="E1402" t="s">
        <v>145</v>
      </c>
      <c r="F1402" t="s">
        <v>157</v>
      </c>
      <c r="G1402" t="s">
        <v>28</v>
      </c>
      <c r="H1402" t="s">
        <v>54</v>
      </c>
      <c r="I1402" t="s">
        <v>135</v>
      </c>
      <c r="J1402" t="s">
        <v>39</v>
      </c>
      <c r="K1402" t="s">
        <v>28</v>
      </c>
      <c r="L1402">
        <v>119.94727665486228</v>
      </c>
      <c r="M1402">
        <v>1</v>
      </c>
      <c r="N1402">
        <v>5.4884367997925141</v>
      </c>
      <c r="O1402">
        <v>3.7403155854968446</v>
      </c>
      <c r="P1402">
        <v>-1.6783636673275446</v>
      </c>
      <c r="Q1402">
        <v>0.49614962194702583</v>
      </c>
      <c r="R1402">
        <v>-1.446476902757875</v>
      </c>
      <c r="S1402" s="2">
        <v>0</v>
      </c>
      <c r="T1402" s="2">
        <v>0</v>
      </c>
      <c r="U1402" s="2">
        <v>0</v>
      </c>
      <c r="V1402" s="2">
        <v>0</v>
      </c>
      <c r="W1402" s="2">
        <v>0</v>
      </c>
      <c r="X1402" s="2">
        <v>0</v>
      </c>
      <c r="Y1402" s="2">
        <v>0</v>
      </c>
      <c r="Z1402" s="2">
        <v>0</v>
      </c>
      <c r="AA1402" s="2">
        <v>0</v>
      </c>
      <c r="AB1402" s="2">
        <v>0</v>
      </c>
      <c r="AC1402" s="2">
        <v>0</v>
      </c>
      <c r="AD1402" s="2">
        <v>0</v>
      </c>
      <c r="AE1402" s="2">
        <v>0</v>
      </c>
      <c r="AF1402" s="2">
        <v>0</v>
      </c>
      <c r="AG1402" s="2">
        <v>0</v>
      </c>
      <c r="AH1402" s="2">
        <v>0</v>
      </c>
      <c r="AI1402" s="2">
        <v>0</v>
      </c>
      <c r="AJ1402" s="2">
        <v>0</v>
      </c>
      <c r="AK1402" s="2">
        <v>0</v>
      </c>
      <c r="AL1402" s="2">
        <v>0</v>
      </c>
      <c r="AM1402" s="2">
        <v>0</v>
      </c>
      <c r="AN1402" s="2">
        <v>0</v>
      </c>
      <c r="AO1402" s="2">
        <v>0</v>
      </c>
      <c r="AP1402" s="2">
        <v>0</v>
      </c>
      <c r="AQ1402" s="2">
        <v>0</v>
      </c>
      <c r="AR1402" s="2">
        <v>0</v>
      </c>
    </row>
    <row r="1403" spans="1:44" x14ac:dyDescent="0.25">
      <c r="A1403" t="s">
        <v>131</v>
      </c>
      <c r="B1403" t="s">
        <v>158</v>
      </c>
      <c r="C1403" t="s">
        <v>44</v>
      </c>
      <c r="D1403" t="s">
        <v>152</v>
      </c>
      <c r="E1403" t="s">
        <v>145</v>
      </c>
      <c r="F1403" t="s">
        <v>157</v>
      </c>
      <c r="G1403" t="s">
        <v>28</v>
      </c>
      <c r="H1403" t="s">
        <v>142</v>
      </c>
      <c r="I1403" t="s">
        <v>135</v>
      </c>
      <c r="J1403" t="s">
        <v>39</v>
      </c>
      <c r="K1403" t="s">
        <v>28</v>
      </c>
      <c r="L1403">
        <v>119.94727665486228</v>
      </c>
      <c r="M1403">
        <v>1</v>
      </c>
      <c r="N1403">
        <v>5.4884367997925141</v>
      </c>
      <c r="O1403">
        <v>3.7403155854968446</v>
      </c>
      <c r="P1403">
        <v>-1.6783636673275446</v>
      </c>
      <c r="Q1403">
        <v>0.49614962194702583</v>
      </c>
      <c r="R1403">
        <v>-1.446476902757875</v>
      </c>
      <c r="S1403" s="2">
        <v>0</v>
      </c>
      <c r="T1403" s="2">
        <v>0</v>
      </c>
      <c r="U1403" s="2">
        <v>0</v>
      </c>
      <c r="V1403" s="2">
        <v>0</v>
      </c>
      <c r="W1403" s="2">
        <v>0</v>
      </c>
      <c r="X1403" s="2">
        <v>0</v>
      </c>
      <c r="Y1403" s="2">
        <v>0</v>
      </c>
      <c r="Z1403" s="2">
        <v>0</v>
      </c>
      <c r="AA1403" s="2">
        <v>0</v>
      </c>
      <c r="AB1403" s="2">
        <v>0</v>
      </c>
      <c r="AC1403" s="2">
        <v>0</v>
      </c>
      <c r="AD1403" s="2">
        <v>0</v>
      </c>
      <c r="AE1403" s="2">
        <v>0</v>
      </c>
      <c r="AF1403" s="2">
        <v>0</v>
      </c>
      <c r="AG1403" s="2">
        <v>0</v>
      </c>
      <c r="AH1403" s="2">
        <v>0</v>
      </c>
      <c r="AI1403" s="2">
        <v>0</v>
      </c>
      <c r="AJ1403" s="2">
        <v>0</v>
      </c>
      <c r="AK1403" s="2">
        <v>0</v>
      </c>
      <c r="AL1403" s="2">
        <v>0</v>
      </c>
      <c r="AM1403" s="2">
        <v>0</v>
      </c>
      <c r="AN1403" s="2">
        <v>0</v>
      </c>
      <c r="AO1403" s="2">
        <v>0</v>
      </c>
      <c r="AP1403" s="2">
        <v>0</v>
      </c>
      <c r="AQ1403" s="2">
        <v>0</v>
      </c>
      <c r="AR1403" s="2">
        <v>0</v>
      </c>
    </row>
    <row r="1404" spans="1:44" x14ac:dyDescent="0.25">
      <c r="A1404" t="s">
        <v>131</v>
      </c>
      <c r="B1404" t="s">
        <v>158</v>
      </c>
      <c r="C1404" t="s">
        <v>44</v>
      </c>
      <c r="D1404" t="s">
        <v>152</v>
      </c>
      <c r="E1404" t="s">
        <v>145</v>
      </c>
      <c r="F1404" t="s">
        <v>157</v>
      </c>
      <c r="G1404" t="s">
        <v>28</v>
      </c>
      <c r="H1404" t="s">
        <v>53</v>
      </c>
      <c r="I1404" t="s">
        <v>135</v>
      </c>
      <c r="J1404" t="s">
        <v>39</v>
      </c>
      <c r="K1404" t="s">
        <v>28</v>
      </c>
      <c r="L1404">
        <v>119.94727665486228</v>
      </c>
      <c r="M1404">
        <v>1</v>
      </c>
      <c r="N1404">
        <v>5.4884367997925141</v>
      </c>
      <c r="O1404">
        <v>3.7403155854968446</v>
      </c>
      <c r="P1404">
        <v>-1.6783636673275446</v>
      </c>
      <c r="Q1404">
        <v>0.49614962194702583</v>
      </c>
      <c r="R1404">
        <v>-1.446476902757875</v>
      </c>
      <c r="S1404" s="2">
        <v>0</v>
      </c>
      <c r="T1404" s="2">
        <v>0</v>
      </c>
      <c r="U1404" s="2">
        <v>1.5026446349063722</v>
      </c>
      <c r="V1404" s="2">
        <v>2.3948988843622314</v>
      </c>
      <c r="W1404" s="2">
        <v>3.6066567526132496</v>
      </c>
      <c r="X1404" s="2">
        <v>5.1746035304403311</v>
      </c>
      <c r="Y1404" s="2">
        <v>7.109707207656335</v>
      </c>
      <c r="Z1404" s="2">
        <v>9.3859782478335703</v>
      </c>
      <c r="AA1404" s="2">
        <v>11.932390407029228</v>
      </c>
      <c r="AB1404" s="2">
        <v>14.631932368918546</v>
      </c>
      <c r="AC1404" s="2">
        <v>17.331268291696244</v>
      </c>
      <c r="AD1404" s="2">
        <v>19.862092727219611</v>
      </c>
      <c r="AE1404" s="2">
        <v>22.071019427090267</v>
      </c>
      <c r="AF1404" s="2">
        <v>23.850127297864411</v>
      </c>
      <c r="AG1404" s="2">
        <v>25.157743836682368</v>
      </c>
      <c r="AH1404" s="2">
        <v>26.092640836669631</v>
      </c>
      <c r="AI1404" s="2">
        <v>26.568309118701467</v>
      </c>
      <c r="AJ1404" s="2">
        <v>26.930273073109412</v>
      </c>
      <c r="AK1404" s="2">
        <v>26.963616855963785</v>
      </c>
      <c r="AL1404" s="2">
        <v>26.88614523545937</v>
      </c>
      <c r="AM1404" s="2">
        <v>26.806061742239429</v>
      </c>
      <c r="AN1404" s="2">
        <v>26.723410026775838</v>
      </c>
      <c r="AO1404" s="2">
        <v>26.638226851995508</v>
      </c>
      <c r="AP1404" s="2">
        <v>26.550541074550175</v>
      </c>
      <c r="AQ1404" s="2">
        <v>26.460372189194992</v>
      </c>
      <c r="AR1404" s="2">
        <v>430.63066061897234</v>
      </c>
    </row>
    <row r="1405" spans="1:44" x14ac:dyDescent="0.25">
      <c r="A1405" t="s">
        <v>131</v>
      </c>
      <c r="B1405" t="s">
        <v>158</v>
      </c>
      <c r="C1405" t="s">
        <v>44</v>
      </c>
      <c r="D1405" t="s">
        <v>152</v>
      </c>
      <c r="E1405" t="s">
        <v>145</v>
      </c>
      <c r="F1405" t="s">
        <v>157</v>
      </c>
      <c r="G1405" t="s">
        <v>28</v>
      </c>
      <c r="H1405" t="s">
        <v>141</v>
      </c>
      <c r="I1405" t="s">
        <v>135</v>
      </c>
      <c r="J1405" t="s">
        <v>39</v>
      </c>
      <c r="K1405" t="s">
        <v>28</v>
      </c>
      <c r="L1405">
        <v>119.94727665486228</v>
      </c>
      <c r="M1405">
        <v>1</v>
      </c>
      <c r="N1405">
        <v>5.4884367997925141</v>
      </c>
      <c r="O1405">
        <v>3.7403155854968446</v>
      </c>
      <c r="P1405">
        <v>-1.6783636673275446</v>
      </c>
      <c r="Q1405">
        <v>0.49614962194702583</v>
      </c>
      <c r="R1405">
        <v>-1.446476902757875</v>
      </c>
      <c r="S1405" s="2">
        <v>0</v>
      </c>
      <c r="T1405" s="2">
        <v>0</v>
      </c>
      <c r="U1405" s="2">
        <v>1.2647259010461964</v>
      </c>
      <c r="V1405" s="2">
        <v>2.0157065610048774</v>
      </c>
      <c r="W1405" s="2">
        <v>3.035602766782818</v>
      </c>
      <c r="X1405" s="2">
        <v>4.3552913047872783</v>
      </c>
      <c r="Y1405" s="2">
        <v>5.9840035664440805</v>
      </c>
      <c r="Z1405" s="2">
        <v>7.8998650252599205</v>
      </c>
      <c r="AA1405" s="2">
        <v>10.043095259249595</v>
      </c>
      <c r="AB1405" s="2">
        <v>12.315209743839775</v>
      </c>
      <c r="AC1405" s="2">
        <v>14.58715081217767</v>
      </c>
      <c r="AD1405" s="2">
        <v>16.717261378743167</v>
      </c>
      <c r="AE1405" s="2">
        <v>18.57644135113431</v>
      </c>
      <c r="AF1405" s="2">
        <v>20.07385714236921</v>
      </c>
      <c r="AG1405" s="2">
        <v>21.174434395874325</v>
      </c>
      <c r="AH1405" s="2">
        <v>21.961306037530271</v>
      </c>
      <c r="AI1405" s="2">
        <v>22.361660174907065</v>
      </c>
      <c r="AJ1405" s="2">
        <v>22.666313169867081</v>
      </c>
      <c r="AK1405" s="2">
        <v>22.694377520436191</v>
      </c>
      <c r="AL1405" s="2">
        <v>22.629172239844962</v>
      </c>
      <c r="AM1405" s="2">
        <v>22.561768633051518</v>
      </c>
      <c r="AN1405" s="2">
        <v>22.492203439202989</v>
      </c>
      <c r="AO1405" s="2">
        <v>22.420507600429548</v>
      </c>
      <c r="AP1405" s="2">
        <v>22.346705404413065</v>
      </c>
      <c r="AQ1405" s="2">
        <v>22.270813259239112</v>
      </c>
      <c r="AR1405" s="2">
        <v>362.44747268763507</v>
      </c>
    </row>
    <row r="1406" spans="1:44" x14ac:dyDescent="0.25">
      <c r="A1406" t="s">
        <v>131</v>
      </c>
      <c r="B1406" t="s">
        <v>151</v>
      </c>
      <c r="C1406" t="s">
        <v>44</v>
      </c>
      <c r="D1406" t="s">
        <v>152</v>
      </c>
      <c r="E1406" t="s">
        <v>145</v>
      </c>
      <c r="F1406" t="s">
        <v>153</v>
      </c>
      <c r="G1406" t="s">
        <v>28</v>
      </c>
      <c r="H1406" t="s">
        <v>52</v>
      </c>
      <c r="I1406" t="s">
        <v>135</v>
      </c>
      <c r="J1406" t="s">
        <v>39</v>
      </c>
      <c r="K1406" t="s">
        <v>28</v>
      </c>
      <c r="L1406">
        <v>36.343704539184806</v>
      </c>
      <c r="M1406">
        <v>1</v>
      </c>
      <c r="N1406">
        <v>3.3371984945689341</v>
      </c>
      <c r="O1406">
        <v>3.7403155854968446</v>
      </c>
      <c r="P1406">
        <v>-1.358533704083926</v>
      </c>
      <c r="Q1406">
        <v>0.81597958519064395</v>
      </c>
      <c r="R1406">
        <v>-1.4464769027578748</v>
      </c>
      <c r="S1406" s="2">
        <v>677.66902090580186</v>
      </c>
      <c r="T1406" s="2">
        <v>794.28456344425865</v>
      </c>
      <c r="U1406" s="2">
        <v>896.15671287854968</v>
      </c>
      <c r="V1406" s="2">
        <v>983.93930970253132</v>
      </c>
      <c r="W1406" s="2">
        <v>1058.7212883716234</v>
      </c>
      <c r="X1406" s="2">
        <v>1121.7937069264638</v>
      </c>
      <c r="Y1406" s="2">
        <v>1174.505680631441</v>
      </c>
      <c r="Z1406" s="2">
        <v>1218.1783132943624</v>
      </c>
      <c r="AA1406" s="2">
        <v>1254.0493898499697</v>
      </c>
      <c r="AB1406" s="2">
        <v>1281.2853174949853</v>
      </c>
      <c r="AC1406" s="2">
        <v>1301.7673857111915</v>
      </c>
      <c r="AD1406" s="2">
        <v>1316.9613997244232</v>
      </c>
      <c r="AE1406" s="2">
        <v>1328.0093863592915</v>
      </c>
      <c r="AF1406" s="2">
        <v>1335.8010951160581</v>
      </c>
      <c r="AG1406" s="2">
        <v>1341.0297335205116</v>
      </c>
      <c r="AH1406" s="2">
        <v>1346.6794818988687</v>
      </c>
      <c r="AI1406" s="2">
        <v>1350.0705787063466</v>
      </c>
      <c r="AJ1406" s="2">
        <v>1356.0106446461821</v>
      </c>
      <c r="AK1406" s="2">
        <v>1357.6895925113067</v>
      </c>
      <c r="AL1406" s="2">
        <v>1353.7886910322609</v>
      </c>
      <c r="AM1406" s="2">
        <v>1349.7562748375988</v>
      </c>
      <c r="AN1406" s="2">
        <v>1345.5945418443005</v>
      </c>
      <c r="AO1406" s="2">
        <v>1341.3053431631993</v>
      </c>
      <c r="AP1406" s="2">
        <v>1336.8901318032117</v>
      </c>
      <c r="AQ1406" s="2">
        <v>755.93492660649019</v>
      </c>
      <c r="AR1406" s="2">
        <v>29977.872510981226</v>
      </c>
    </row>
    <row r="1407" spans="1:44" x14ac:dyDescent="0.25">
      <c r="A1407" t="s">
        <v>131</v>
      </c>
      <c r="B1407" t="s">
        <v>151</v>
      </c>
      <c r="C1407" t="s">
        <v>44</v>
      </c>
      <c r="D1407" t="s">
        <v>152</v>
      </c>
      <c r="E1407" t="s">
        <v>145</v>
      </c>
      <c r="F1407" t="s">
        <v>153</v>
      </c>
      <c r="G1407" t="s">
        <v>28</v>
      </c>
      <c r="H1407" t="s">
        <v>138</v>
      </c>
      <c r="I1407" t="s">
        <v>135</v>
      </c>
      <c r="J1407" t="s">
        <v>39</v>
      </c>
      <c r="K1407" t="s">
        <v>28</v>
      </c>
      <c r="L1407">
        <v>36.343704539184806</v>
      </c>
      <c r="M1407">
        <v>1</v>
      </c>
      <c r="N1407">
        <v>3.3371984945689341</v>
      </c>
      <c r="O1407">
        <v>3.7403155854968446</v>
      </c>
      <c r="P1407">
        <v>-1.358533704083926</v>
      </c>
      <c r="Q1407">
        <v>0.81597958519064395</v>
      </c>
      <c r="R1407">
        <v>-1.4464769027578748</v>
      </c>
      <c r="S1407" s="2">
        <v>235.07190652461918</v>
      </c>
      <c r="T1407" s="2">
        <v>275.52386326048475</v>
      </c>
      <c r="U1407" s="2">
        <v>310.86158661881478</v>
      </c>
      <c r="V1407" s="2">
        <v>341.3118827936546</v>
      </c>
      <c r="W1407" s="2">
        <v>367.2524847056763</v>
      </c>
      <c r="X1407" s="2">
        <v>389.13123852415134</v>
      </c>
      <c r="Y1407" s="2">
        <v>407.41612948602847</v>
      </c>
      <c r="Z1407" s="2">
        <v>422.56542612836273</v>
      </c>
      <c r="AA1407" s="2">
        <v>435.0084950822104</v>
      </c>
      <c r="AB1407" s="2">
        <v>444.45617712162624</v>
      </c>
      <c r="AC1407" s="2">
        <v>451.56105970680829</v>
      </c>
      <c r="AD1407" s="2">
        <v>456.83160584609925</v>
      </c>
      <c r="AE1407" s="2">
        <v>460.66396530388545</v>
      </c>
      <c r="AF1407" s="2">
        <v>463.36677711323949</v>
      </c>
      <c r="AG1407" s="2">
        <v>465.18050322487426</v>
      </c>
      <c r="AH1407" s="2">
        <v>467.14030525464614</v>
      </c>
      <c r="AI1407" s="2">
        <v>468.31661930642008</v>
      </c>
      <c r="AJ1407" s="2">
        <v>470.37712758152566</v>
      </c>
      <c r="AK1407" s="2">
        <v>470.95952616170962</v>
      </c>
      <c r="AL1407" s="2">
        <v>469.60636950328922</v>
      </c>
      <c r="AM1407" s="2">
        <v>468.20759261732059</v>
      </c>
      <c r="AN1407" s="2">
        <v>466.76395792398102</v>
      </c>
      <c r="AO1407" s="2">
        <v>465.27610754226879</v>
      </c>
      <c r="AP1407" s="2">
        <v>463.74454549636891</v>
      </c>
      <c r="AQ1407" s="2">
        <v>262.22102372101494</v>
      </c>
      <c r="AR1407" s="2">
        <v>10398.81627654908</v>
      </c>
    </row>
    <row r="1408" spans="1:44" x14ac:dyDescent="0.25">
      <c r="A1408" t="s">
        <v>131</v>
      </c>
      <c r="B1408" t="s">
        <v>156</v>
      </c>
      <c r="C1408" t="s">
        <v>44</v>
      </c>
      <c r="D1408" t="s">
        <v>152</v>
      </c>
      <c r="E1408" t="s">
        <v>145</v>
      </c>
      <c r="F1408" t="s">
        <v>157</v>
      </c>
      <c r="G1408" t="s">
        <v>28</v>
      </c>
      <c r="H1408" t="s">
        <v>52</v>
      </c>
      <c r="I1408" t="s">
        <v>135</v>
      </c>
      <c r="J1408" t="s">
        <v>39</v>
      </c>
      <c r="K1408" t="s">
        <v>28</v>
      </c>
      <c r="L1408">
        <v>178.07043676029926</v>
      </c>
      <c r="M1408">
        <v>1</v>
      </c>
      <c r="N1408">
        <v>4.7325334090046072</v>
      </c>
      <c r="O1408">
        <v>3.7403155854968455</v>
      </c>
      <c r="P1408">
        <v>-1.5991162222161577</v>
      </c>
      <c r="Q1408">
        <v>0.57539706705841231</v>
      </c>
      <c r="R1408">
        <v>-1.4464769027578743</v>
      </c>
      <c r="S1408" s="2">
        <v>0</v>
      </c>
      <c r="T1408" s="2">
        <v>0</v>
      </c>
      <c r="U1408" s="2">
        <v>74.630971652569698</v>
      </c>
      <c r="V1408" s="2">
        <v>118.94604126460355</v>
      </c>
      <c r="W1408" s="2">
        <v>179.12971012045037</v>
      </c>
      <c r="X1408" s="2">
        <v>257.00400508709907</v>
      </c>
      <c r="Y1408" s="2">
        <v>353.11366689552096</v>
      </c>
      <c r="Z1408" s="2">
        <v>466.1678884504513</v>
      </c>
      <c r="AA1408" s="2">
        <v>592.63905086240163</v>
      </c>
      <c r="AB1408" s="2">
        <v>726.71562156485379</v>
      </c>
      <c r="AC1408" s="2">
        <v>860.78195904333404</v>
      </c>
      <c r="AD1408" s="2">
        <v>986.47893510643621</v>
      </c>
      <c r="AE1408" s="2">
        <v>1096.1884047249284</v>
      </c>
      <c r="AF1408" s="2">
        <v>1184.5503141120289</v>
      </c>
      <c r="AG1408" s="2">
        <v>1249.4949394572184</v>
      </c>
      <c r="AH1408" s="2">
        <v>1295.9279216030402</v>
      </c>
      <c r="AI1408" s="2">
        <v>1319.5526597797791</v>
      </c>
      <c r="AJ1408" s="2">
        <v>1337.5301116623755</v>
      </c>
      <c r="AK1408" s="2">
        <v>1339.1861778108096</v>
      </c>
      <c r="AL1408" s="2">
        <v>1335.3384401758199</v>
      </c>
      <c r="AM1408" s="2">
        <v>1331.360980187279</v>
      </c>
      <c r="AN1408" s="2">
        <v>1327.2559658076257</v>
      </c>
      <c r="AO1408" s="2">
        <v>1323.0252229196362</v>
      </c>
      <c r="AP1408" s="2">
        <v>1318.6701847297415</v>
      </c>
      <c r="AQ1408" s="2">
        <v>1314.1918194725392</v>
      </c>
      <c r="AR1408" s="2">
        <v>21387.880992490544</v>
      </c>
    </row>
    <row r="1409" spans="1:44" x14ac:dyDescent="0.25">
      <c r="A1409" t="s">
        <v>131</v>
      </c>
      <c r="B1409" t="s">
        <v>156</v>
      </c>
      <c r="C1409" t="s">
        <v>44</v>
      </c>
      <c r="D1409" t="s">
        <v>152</v>
      </c>
      <c r="E1409" t="s">
        <v>145</v>
      </c>
      <c r="F1409" t="s">
        <v>157</v>
      </c>
      <c r="G1409" t="s">
        <v>28</v>
      </c>
      <c r="H1409" t="s">
        <v>138</v>
      </c>
      <c r="I1409" t="s">
        <v>135</v>
      </c>
      <c r="J1409" t="s">
        <v>39</v>
      </c>
      <c r="K1409" t="s">
        <v>28</v>
      </c>
      <c r="L1409">
        <v>178.07043676029926</v>
      </c>
      <c r="M1409">
        <v>1</v>
      </c>
      <c r="N1409">
        <v>4.7325334090046072</v>
      </c>
      <c r="O1409">
        <v>3.7403155854968455</v>
      </c>
      <c r="P1409">
        <v>-1.5991162222161577</v>
      </c>
      <c r="Q1409">
        <v>0.57539706705841231</v>
      </c>
      <c r="R1409">
        <v>-1.4464769027578743</v>
      </c>
      <c r="S1409" s="2">
        <v>0</v>
      </c>
      <c r="T1409" s="2">
        <v>0</v>
      </c>
      <c r="U1409" s="2">
        <v>25.888220135405874</v>
      </c>
      <c r="V1409" s="2">
        <v>41.260367275241038</v>
      </c>
      <c r="W1409" s="2">
        <v>62.137062746254472</v>
      </c>
      <c r="X1409" s="2">
        <v>89.150336811227959</v>
      </c>
      <c r="Y1409" s="2">
        <v>122.48915080414699</v>
      </c>
      <c r="Z1409" s="2">
        <v>161.70574560444015</v>
      </c>
      <c r="AA1409" s="2">
        <v>205.57644996218659</v>
      </c>
      <c r="AB1409" s="2">
        <v>252.08534165267648</v>
      </c>
      <c r="AC1409" s="2">
        <v>298.59068361107791</v>
      </c>
      <c r="AD1409" s="2">
        <v>342.19283583582893</v>
      </c>
      <c r="AE1409" s="2">
        <v>380.24919283522718</v>
      </c>
      <c r="AF1409" s="2">
        <v>410.90044272712464</v>
      </c>
      <c r="AG1409" s="2">
        <v>433.42863337396113</v>
      </c>
      <c r="AH1409" s="2">
        <v>449.53544850334731</v>
      </c>
      <c r="AI1409" s="2">
        <v>457.73047007439067</v>
      </c>
      <c r="AJ1409" s="2">
        <v>463.96654367097904</v>
      </c>
      <c r="AK1409" s="2">
        <v>464.54100497116212</v>
      </c>
      <c r="AL1409" s="2">
        <v>463.20628994987555</v>
      </c>
      <c r="AM1409" s="2">
        <v>461.82657644108627</v>
      </c>
      <c r="AN1409" s="2">
        <v>460.40261647424842</v>
      </c>
      <c r="AO1409" s="2">
        <v>458.93504341717426</v>
      </c>
      <c r="AP1409" s="2">
        <v>457.4243544249025</v>
      </c>
      <c r="AQ1409" s="2">
        <v>455.8708853616169</v>
      </c>
      <c r="AR1409" s="2">
        <v>7419.0936966635818</v>
      </c>
    </row>
    <row r="1410" spans="1:44" x14ac:dyDescent="0.25">
      <c r="A1410" t="s">
        <v>131</v>
      </c>
      <c r="B1410" t="s">
        <v>180</v>
      </c>
      <c r="C1410" t="s">
        <v>45</v>
      </c>
      <c r="D1410" t="s">
        <v>178</v>
      </c>
      <c r="E1410" t="s">
        <v>145</v>
      </c>
      <c r="F1410" t="s">
        <v>181</v>
      </c>
      <c r="G1410" t="s">
        <v>28</v>
      </c>
      <c r="H1410" t="s">
        <v>55</v>
      </c>
      <c r="I1410" t="s">
        <v>135</v>
      </c>
      <c r="J1410" t="s">
        <v>39</v>
      </c>
      <c r="K1410" t="s">
        <v>28</v>
      </c>
      <c r="L1410">
        <v>55.245283018867937</v>
      </c>
      <c r="M1410">
        <v>1</v>
      </c>
      <c r="N1410">
        <v>1.5281220060315359</v>
      </c>
      <c r="O1410">
        <v>2.3676355275024612</v>
      </c>
      <c r="P1410">
        <v>-8.7370159319194146E-2</v>
      </c>
      <c r="Q1410">
        <v>1.1280020883331712</v>
      </c>
      <c r="R1410">
        <v>-0.48733586113566763</v>
      </c>
      <c r="S1410" s="2">
        <v>0</v>
      </c>
      <c r="T1410" s="2">
        <v>0</v>
      </c>
      <c r="U1410" s="2">
        <v>1.0827037526920937E-3</v>
      </c>
      <c r="V1410" s="2">
        <v>2.0354197227415317E-3</v>
      </c>
      <c r="W1410" s="2">
        <v>3.4793247044986727E-3</v>
      </c>
      <c r="X1410" s="2">
        <v>5.5437317810151637E-3</v>
      </c>
      <c r="Y1410" s="2">
        <v>8.346384871512541E-3</v>
      </c>
      <c r="Z1410" s="2">
        <v>1.1971597708944317E-2</v>
      </c>
      <c r="AA1410" s="2">
        <v>1.6444154826051958E-2</v>
      </c>
      <c r="AB1410" s="2">
        <v>2.1703365409710199E-2</v>
      </c>
      <c r="AC1410" s="2">
        <v>2.7584516131575802E-2</v>
      </c>
      <c r="AD1410" s="2">
        <v>3.381680054083027E-2</v>
      </c>
      <c r="AE1410" s="2">
        <v>4.0045751018544837E-2</v>
      </c>
      <c r="AF1410" s="2">
        <v>4.5882655059659154E-2</v>
      </c>
      <c r="AG1410" s="2">
        <v>5.0973606630570073E-2</v>
      </c>
      <c r="AH1410" s="2">
        <v>5.7768932590739369E-2</v>
      </c>
      <c r="AI1410" s="2">
        <v>6.0928743496327084E-2</v>
      </c>
      <c r="AJ1410" s="2">
        <v>6.3063325946614027E-2</v>
      </c>
      <c r="AK1410" s="2">
        <v>6.4021893124274601E-2</v>
      </c>
      <c r="AL1410" s="2">
        <v>6.4640668077514479E-2</v>
      </c>
      <c r="AM1410" s="2">
        <v>6.4449601014661836E-2</v>
      </c>
      <c r="AN1410" s="2">
        <v>6.3970950890122821E-2</v>
      </c>
      <c r="AO1410" s="2">
        <v>6.3469869010410393E-2</v>
      </c>
      <c r="AP1410" s="2">
        <v>4.7718329028475573E-2</v>
      </c>
      <c r="AQ1410" s="2">
        <v>1.0637409300519889E-3</v>
      </c>
      <c r="AR1410" s="2">
        <v>0.8200060662675388</v>
      </c>
    </row>
    <row r="1411" spans="1:44" x14ac:dyDescent="0.25">
      <c r="A1411" t="s">
        <v>131</v>
      </c>
      <c r="B1411" t="s">
        <v>180</v>
      </c>
      <c r="C1411" t="s">
        <v>45</v>
      </c>
      <c r="D1411" t="s">
        <v>178</v>
      </c>
      <c r="E1411" t="s">
        <v>145</v>
      </c>
      <c r="F1411" t="s">
        <v>181</v>
      </c>
      <c r="G1411" t="s">
        <v>28</v>
      </c>
      <c r="H1411" t="s">
        <v>136</v>
      </c>
      <c r="I1411" t="s">
        <v>135</v>
      </c>
      <c r="J1411" t="s">
        <v>39</v>
      </c>
      <c r="K1411" t="s">
        <v>28</v>
      </c>
      <c r="L1411">
        <v>55.245283018867937</v>
      </c>
      <c r="M1411">
        <v>1</v>
      </c>
      <c r="N1411">
        <v>1.5281220060315359</v>
      </c>
      <c r="O1411">
        <v>2.3676355275024612</v>
      </c>
      <c r="P1411">
        <v>-8.7370159319194146E-2</v>
      </c>
      <c r="Q1411">
        <v>1.1280020883331712</v>
      </c>
      <c r="R1411">
        <v>-0.48733586113566763</v>
      </c>
      <c r="S1411" s="2">
        <v>0</v>
      </c>
      <c r="T1411" s="2">
        <v>0</v>
      </c>
      <c r="U1411" s="2">
        <v>1.3593947117134071E-3</v>
      </c>
      <c r="V1411" s="2">
        <v>2.5555825407754789E-3</v>
      </c>
      <c r="W1411" s="2">
        <v>4.368485462314998E-3</v>
      </c>
      <c r="X1411" s="2">
        <v>6.9604632361634847E-3</v>
      </c>
      <c r="Y1411" s="2">
        <v>1.0479349894232413E-2</v>
      </c>
      <c r="Z1411" s="2">
        <v>1.5031006012341192E-2</v>
      </c>
      <c r="AA1411" s="2">
        <v>2.0646549948265244E-2</v>
      </c>
      <c r="AB1411" s="2">
        <v>2.7249781014413912E-2</v>
      </c>
      <c r="AC1411" s="2">
        <v>3.463389247631183E-2</v>
      </c>
      <c r="AD1411" s="2">
        <v>4.2458871790153549E-2</v>
      </c>
      <c r="AE1411" s="2">
        <v>5.0279665167728506E-2</v>
      </c>
      <c r="AF1411" s="2">
        <v>5.7608222463794267E-2</v>
      </c>
      <c r="AG1411" s="2">
        <v>6.4000194991715748E-2</v>
      </c>
      <c r="AH1411" s="2">
        <v>7.2532104252817239E-2</v>
      </c>
      <c r="AI1411" s="2">
        <v>7.64994223898329E-2</v>
      </c>
      <c r="AJ1411" s="2">
        <v>7.9179509244082055E-2</v>
      </c>
      <c r="AK1411" s="2">
        <v>8.0383043589366973E-2</v>
      </c>
      <c r="AL1411" s="2">
        <v>8.1159949919545935E-2</v>
      </c>
      <c r="AM1411" s="2">
        <v>8.0920054607297648E-2</v>
      </c>
      <c r="AN1411" s="2">
        <v>8.0319082784265319E-2</v>
      </c>
      <c r="AO1411" s="2">
        <v>7.9689946646404178E-2</v>
      </c>
      <c r="AP1411" s="2">
        <v>5.9913013113530277E-2</v>
      </c>
      <c r="AQ1411" s="2">
        <v>1.3355858343986082E-3</v>
      </c>
      <c r="AR1411" s="2">
        <v>1.0295631720914651</v>
      </c>
    </row>
    <row r="1412" spans="1:44" x14ac:dyDescent="0.25">
      <c r="A1412" t="s">
        <v>131</v>
      </c>
      <c r="B1412" t="s">
        <v>180</v>
      </c>
      <c r="C1412" t="s">
        <v>45</v>
      </c>
      <c r="D1412" t="s">
        <v>178</v>
      </c>
      <c r="E1412" t="s">
        <v>145</v>
      </c>
      <c r="F1412" t="s">
        <v>181</v>
      </c>
      <c r="G1412" t="s">
        <v>28</v>
      </c>
      <c r="H1412" t="s">
        <v>54</v>
      </c>
      <c r="I1412" t="s">
        <v>135</v>
      </c>
      <c r="J1412" t="s">
        <v>39</v>
      </c>
      <c r="K1412" t="s">
        <v>28</v>
      </c>
      <c r="L1412">
        <v>55.245283018867937</v>
      </c>
      <c r="M1412">
        <v>1</v>
      </c>
      <c r="N1412">
        <v>1.5281220060315359</v>
      </c>
      <c r="O1412">
        <v>2.3676355275024612</v>
      </c>
      <c r="P1412">
        <v>-8.7370159319194146E-2</v>
      </c>
      <c r="Q1412">
        <v>1.1280020883331712</v>
      </c>
      <c r="R1412">
        <v>-0.48733586113566763</v>
      </c>
      <c r="S1412" s="2">
        <v>0</v>
      </c>
      <c r="T1412" s="2">
        <v>0</v>
      </c>
      <c r="U1412" s="2">
        <v>0</v>
      </c>
      <c r="V1412" s="2">
        <v>0</v>
      </c>
      <c r="W1412" s="2">
        <v>0</v>
      </c>
      <c r="X1412" s="2">
        <v>0</v>
      </c>
      <c r="Y1412" s="2">
        <v>0</v>
      </c>
      <c r="Z1412" s="2">
        <v>0</v>
      </c>
      <c r="AA1412" s="2">
        <v>0</v>
      </c>
      <c r="AB1412" s="2">
        <v>0</v>
      </c>
      <c r="AC1412" s="2">
        <v>0</v>
      </c>
      <c r="AD1412" s="2">
        <v>0</v>
      </c>
      <c r="AE1412" s="2">
        <v>0</v>
      </c>
      <c r="AF1412" s="2">
        <v>0</v>
      </c>
      <c r="AG1412" s="2">
        <v>0</v>
      </c>
      <c r="AH1412" s="2">
        <v>0</v>
      </c>
      <c r="AI1412" s="2">
        <v>0</v>
      </c>
      <c r="AJ1412" s="2">
        <v>0</v>
      </c>
      <c r="AK1412" s="2">
        <v>0</v>
      </c>
      <c r="AL1412" s="2">
        <v>0</v>
      </c>
      <c r="AM1412" s="2">
        <v>0</v>
      </c>
      <c r="AN1412" s="2">
        <v>0</v>
      </c>
      <c r="AO1412" s="2">
        <v>0</v>
      </c>
      <c r="AP1412" s="2">
        <v>0</v>
      </c>
      <c r="AQ1412" s="2">
        <v>0</v>
      </c>
      <c r="AR1412" s="2">
        <v>0</v>
      </c>
    </row>
    <row r="1413" spans="1:44" x14ac:dyDescent="0.25">
      <c r="A1413" t="s">
        <v>131</v>
      </c>
      <c r="B1413" t="s">
        <v>180</v>
      </c>
      <c r="C1413" t="s">
        <v>45</v>
      </c>
      <c r="D1413" t="s">
        <v>178</v>
      </c>
      <c r="E1413" t="s">
        <v>145</v>
      </c>
      <c r="F1413" t="s">
        <v>181</v>
      </c>
      <c r="G1413" t="s">
        <v>28</v>
      </c>
      <c r="H1413" t="s">
        <v>142</v>
      </c>
      <c r="I1413" t="s">
        <v>135</v>
      </c>
      <c r="J1413" t="s">
        <v>39</v>
      </c>
      <c r="K1413" t="s">
        <v>28</v>
      </c>
      <c r="L1413">
        <v>55.245283018867937</v>
      </c>
      <c r="M1413">
        <v>1</v>
      </c>
      <c r="N1413">
        <v>1.5281220060315359</v>
      </c>
      <c r="O1413">
        <v>2.3676355275024612</v>
      </c>
      <c r="P1413">
        <v>-8.7370159319194146E-2</v>
      </c>
      <c r="Q1413">
        <v>1.1280020883331712</v>
      </c>
      <c r="R1413">
        <v>-0.48733586113566763</v>
      </c>
      <c r="S1413" s="2">
        <v>0</v>
      </c>
      <c r="T1413" s="2">
        <v>0</v>
      </c>
      <c r="U1413" s="2">
        <v>0</v>
      </c>
      <c r="V1413" s="2">
        <v>0</v>
      </c>
      <c r="W1413" s="2">
        <v>0</v>
      </c>
      <c r="X1413" s="2">
        <v>0</v>
      </c>
      <c r="Y1413" s="2">
        <v>0</v>
      </c>
      <c r="Z1413" s="2">
        <v>0</v>
      </c>
      <c r="AA1413" s="2">
        <v>0</v>
      </c>
      <c r="AB1413" s="2">
        <v>0</v>
      </c>
      <c r="AC1413" s="2">
        <v>0</v>
      </c>
      <c r="AD1413" s="2">
        <v>0</v>
      </c>
      <c r="AE1413" s="2">
        <v>0</v>
      </c>
      <c r="AF1413" s="2">
        <v>0</v>
      </c>
      <c r="AG1413" s="2">
        <v>0</v>
      </c>
      <c r="AH1413" s="2">
        <v>0</v>
      </c>
      <c r="AI1413" s="2">
        <v>0</v>
      </c>
      <c r="AJ1413" s="2">
        <v>0</v>
      </c>
      <c r="AK1413" s="2">
        <v>0</v>
      </c>
      <c r="AL1413" s="2">
        <v>0</v>
      </c>
      <c r="AM1413" s="2">
        <v>0</v>
      </c>
      <c r="AN1413" s="2">
        <v>0</v>
      </c>
      <c r="AO1413" s="2">
        <v>0</v>
      </c>
      <c r="AP1413" s="2">
        <v>0</v>
      </c>
      <c r="AQ1413" s="2">
        <v>0</v>
      </c>
      <c r="AR1413" s="2">
        <v>0</v>
      </c>
    </row>
    <row r="1414" spans="1:44" x14ac:dyDescent="0.25">
      <c r="A1414" t="s">
        <v>131</v>
      </c>
      <c r="B1414" t="s">
        <v>180</v>
      </c>
      <c r="C1414" t="s">
        <v>45</v>
      </c>
      <c r="D1414" t="s">
        <v>178</v>
      </c>
      <c r="E1414" t="s">
        <v>145</v>
      </c>
      <c r="F1414" t="s">
        <v>181</v>
      </c>
      <c r="G1414" t="s">
        <v>28</v>
      </c>
      <c r="H1414" t="s">
        <v>53</v>
      </c>
      <c r="I1414" t="s">
        <v>135</v>
      </c>
      <c r="J1414" t="s">
        <v>39</v>
      </c>
      <c r="K1414" t="s">
        <v>28</v>
      </c>
      <c r="L1414">
        <v>55.245283018867937</v>
      </c>
      <c r="M1414">
        <v>1</v>
      </c>
      <c r="N1414">
        <v>1.5281220060315359</v>
      </c>
      <c r="O1414">
        <v>2.3676355275024612</v>
      </c>
      <c r="P1414">
        <v>-8.7370159319194146E-2</v>
      </c>
      <c r="Q1414">
        <v>1.1280020883331712</v>
      </c>
      <c r="R1414">
        <v>-0.48733586113566763</v>
      </c>
      <c r="S1414" s="2">
        <v>0</v>
      </c>
      <c r="T1414" s="2">
        <v>0</v>
      </c>
      <c r="U1414" s="2">
        <v>9.4030106975563164E-3</v>
      </c>
      <c r="V1414" s="2">
        <v>1.7677110086085215E-2</v>
      </c>
      <c r="W1414" s="2">
        <v>3.0217062918019628E-2</v>
      </c>
      <c r="X1414" s="2">
        <v>4.8145920905561808E-2</v>
      </c>
      <c r="Y1414" s="2">
        <v>7.2486260473019315E-2</v>
      </c>
      <c r="Z1414" s="2">
        <v>0.10397032525669755</v>
      </c>
      <c r="AA1414" s="2">
        <v>0.14281336271087253</v>
      </c>
      <c r="AB1414" s="2">
        <v>0.1884882883365375</v>
      </c>
      <c r="AC1414" s="2">
        <v>0.23956460816469088</v>
      </c>
      <c r="AD1414" s="2">
        <v>0.29369043605133233</v>
      </c>
      <c r="AE1414" s="2">
        <v>0.34778730957824572</v>
      </c>
      <c r="AF1414" s="2">
        <v>0.39847935807511281</v>
      </c>
      <c r="AG1414" s="2">
        <v>0.44269299635150122</v>
      </c>
      <c r="AH1414" s="2">
        <v>0.61311124233014147</v>
      </c>
      <c r="AI1414" s="2">
        <v>0.64688961072837892</v>
      </c>
      <c r="AJ1414" s="2">
        <v>0.66500054132128095</v>
      </c>
      <c r="AK1414" s="2">
        <v>0.66812670447442846</v>
      </c>
      <c r="AL1414" s="2">
        <v>0.665116739506043</v>
      </c>
      <c r="AM1414" s="2">
        <v>0.65294108994328059</v>
      </c>
      <c r="AN1414" s="2">
        <v>0.63694222158168556</v>
      </c>
      <c r="AO1414" s="2">
        <v>0.62006506040111908</v>
      </c>
      <c r="AP1414" s="2">
        <v>0.4705927692484535</v>
      </c>
      <c r="AQ1414" s="2">
        <v>5.3145541743000652E-2</v>
      </c>
      <c r="AR1414" s="2">
        <v>8.0273475708830446</v>
      </c>
    </row>
    <row r="1415" spans="1:44" x14ac:dyDescent="0.25">
      <c r="A1415" t="s">
        <v>131</v>
      </c>
      <c r="B1415" t="s">
        <v>180</v>
      </c>
      <c r="C1415" t="s">
        <v>45</v>
      </c>
      <c r="D1415" t="s">
        <v>178</v>
      </c>
      <c r="E1415" t="s">
        <v>145</v>
      </c>
      <c r="F1415" t="s">
        <v>181</v>
      </c>
      <c r="G1415" t="s">
        <v>28</v>
      </c>
      <c r="H1415" t="s">
        <v>141</v>
      </c>
      <c r="I1415" t="s">
        <v>135</v>
      </c>
      <c r="J1415" t="s">
        <v>39</v>
      </c>
      <c r="K1415" t="s">
        <v>28</v>
      </c>
      <c r="L1415">
        <v>55.245283018867937</v>
      </c>
      <c r="M1415">
        <v>1</v>
      </c>
      <c r="N1415">
        <v>1.5281220060315359</v>
      </c>
      <c r="O1415">
        <v>2.3676355275024612</v>
      </c>
      <c r="P1415">
        <v>-8.7370159319194146E-2</v>
      </c>
      <c r="Q1415">
        <v>1.1280020883331712</v>
      </c>
      <c r="R1415">
        <v>-0.48733586113566763</v>
      </c>
      <c r="S1415" s="2">
        <v>0</v>
      </c>
      <c r="T1415" s="2">
        <v>0</v>
      </c>
      <c r="U1415" s="2">
        <v>7.9142006704432302E-3</v>
      </c>
      <c r="V1415" s="2">
        <v>1.4878234322455055E-2</v>
      </c>
      <c r="W1415" s="2">
        <v>2.5432694622666518E-2</v>
      </c>
      <c r="X1415" s="2">
        <v>4.0522816762181189E-2</v>
      </c>
      <c r="Y1415" s="2">
        <v>6.1009269231457906E-2</v>
      </c>
      <c r="Z1415" s="2">
        <v>8.7508357091053743E-2</v>
      </c>
      <c r="AA1415" s="2">
        <v>0.12020124694831771</v>
      </c>
      <c r="AB1415" s="2">
        <v>0.15864430934991905</v>
      </c>
      <c r="AC1415" s="2">
        <v>0.20163354520528143</v>
      </c>
      <c r="AD1415" s="2">
        <v>0.24718945034320469</v>
      </c>
      <c r="AE1415" s="2">
        <v>0.29272098556169007</v>
      </c>
      <c r="AF1415" s="2">
        <v>0.33538679304655322</v>
      </c>
      <c r="AG1415" s="2">
        <v>0.37259993859584672</v>
      </c>
      <c r="AH1415" s="2">
        <v>0.51603529562786876</v>
      </c>
      <c r="AI1415" s="2">
        <v>0.54446542236305218</v>
      </c>
      <c r="AJ1415" s="2">
        <v>0.55970878894541143</v>
      </c>
      <c r="AK1415" s="2">
        <v>0.56233997626597698</v>
      </c>
      <c r="AL1415" s="2">
        <v>0.55980658908425274</v>
      </c>
      <c r="AM1415" s="2">
        <v>0.54955875070226112</v>
      </c>
      <c r="AN1415" s="2">
        <v>0.53609303649791862</v>
      </c>
      <c r="AO1415" s="2">
        <v>0.52188809250427504</v>
      </c>
      <c r="AP1415" s="2">
        <v>0.39608224745078169</v>
      </c>
      <c r="AQ1415" s="2">
        <v>4.4730830967025709E-2</v>
      </c>
      <c r="AR1415" s="2">
        <v>6.7563508721598957</v>
      </c>
    </row>
    <row r="1416" spans="1:44" x14ac:dyDescent="0.25">
      <c r="A1416" t="s">
        <v>131</v>
      </c>
      <c r="B1416" t="s">
        <v>180</v>
      </c>
      <c r="C1416" t="s">
        <v>45</v>
      </c>
      <c r="D1416" t="s">
        <v>178</v>
      </c>
      <c r="E1416" t="s">
        <v>145</v>
      </c>
      <c r="F1416" t="s">
        <v>181</v>
      </c>
      <c r="G1416" t="s">
        <v>28</v>
      </c>
      <c r="H1416" t="s">
        <v>52</v>
      </c>
      <c r="I1416" t="s">
        <v>135</v>
      </c>
      <c r="J1416" t="s">
        <v>39</v>
      </c>
      <c r="K1416" t="s">
        <v>28</v>
      </c>
      <c r="L1416">
        <v>55.245283018867937</v>
      </c>
      <c r="M1416">
        <v>1</v>
      </c>
      <c r="N1416">
        <v>1.5281220060315359</v>
      </c>
      <c r="O1416">
        <v>2.3676355275024612</v>
      </c>
      <c r="P1416">
        <v>-8.7370159319194146E-2</v>
      </c>
      <c r="Q1416">
        <v>1.1280020883331712</v>
      </c>
      <c r="R1416">
        <v>-0.48733586113566763</v>
      </c>
      <c r="S1416" s="2">
        <v>0</v>
      </c>
      <c r="T1416" s="2">
        <v>0</v>
      </c>
      <c r="U1416" s="2">
        <v>0.49914991630774946</v>
      </c>
      <c r="V1416" s="2">
        <v>0.93837264508540841</v>
      </c>
      <c r="W1416" s="2">
        <v>1.6040441632715863</v>
      </c>
      <c r="X1416" s="2">
        <v>2.5557806072491465</v>
      </c>
      <c r="Y1416" s="2">
        <v>3.8478644779136841</v>
      </c>
      <c r="Z1416" s="2">
        <v>5.5191662351141604</v>
      </c>
      <c r="AA1416" s="2">
        <v>7.5811120860775105</v>
      </c>
      <c r="AB1416" s="2">
        <v>10.005722249430649</v>
      </c>
      <c r="AC1416" s="2">
        <v>12.717060307799155</v>
      </c>
      <c r="AD1416" s="2">
        <v>15.590278612945403</v>
      </c>
      <c r="AE1416" s="2">
        <v>18.461959903331167</v>
      </c>
      <c r="AF1416" s="2">
        <v>21.152899282061792</v>
      </c>
      <c r="AG1416" s="2">
        <v>23.499938390616222</v>
      </c>
      <c r="AH1416" s="2">
        <v>26.63273106439112</v>
      </c>
      <c r="AI1416" s="2">
        <v>28.08947243538087</v>
      </c>
      <c r="AJ1416" s="2">
        <v>29.073561248930698</v>
      </c>
      <c r="AK1416" s="2">
        <v>29.515481511343143</v>
      </c>
      <c r="AL1416" s="2">
        <v>29.800750187428392</v>
      </c>
      <c r="AM1416" s="2">
        <v>29.712664126772449</v>
      </c>
      <c r="AN1416" s="2">
        <v>29.491996036345796</v>
      </c>
      <c r="AO1416" s="2">
        <v>29.260986420188207</v>
      </c>
      <c r="AP1416" s="2">
        <v>21.99918480164613</v>
      </c>
      <c r="AQ1416" s="2">
        <v>0.49040764372373841</v>
      </c>
      <c r="AR1416" s="2">
        <v>378.04058435335412</v>
      </c>
    </row>
    <row r="1417" spans="1:44" x14ac:dyDescent="0.25">
      <c r="A1417" t="s">
        <v>131</v>
      </c>
      <c r="B1417" t="s">
        <v>180</v>
      </c>
      <c r="C1417" t="s">
        <v>45</v>
      </c>
      <c r="D1417" t="s">
        <v>178</v>
      </c>
      <c r="E1417" t="s">
        <v>145</v>
      </c>
      <c r="F1417" t="s">
        <v>181</v>
      </c>
      <c r="G1417" t="s">
        <v>28</v>
      </c>
      <c r="H1417" t="s">
        <v>138</v>
      </c>
      <c r="I1417" t="s">
        <v>135</v>
      </c>
      <c r="J1417" t="s">
        <v>39</v>
      </c>
      <c r="K1417" t="s">
        <v>28</v>
      </c>
      <c r="L1417">
        <v>55.245283018867937</v>
      </c>
      <c r="M1417">
        <v>1</v>
      </c>
      <c r="N1417">
        <v>1.5281220060315359</v>
      </c>
      <c r="O1417">
        <v>2.3676355275024612</v>
      </c>
      <c r="P1417">
        <v>-8.7370159319194146E-2</v>
      </c>
      <c r="Q1417">
        <v>1.1280020883331712</v>
      </c>
      <c r="R1417">
        <v>-0.48733586113566763</v>
      </c>
      <c r="S1417" s="2">
        <v>0</v>
      </c>
      <c r="T1417" s="2">
        <v>0</v>
      </c>
      <c r="U1417" s="2">
        <v>0.17314665249302705</v>
      </c>
      <c r="V1417" s="2">
        <v>0.32550557854324408</v>
      </c>
      <c r="W1417" s="2">
        <v>0.55641575456103487</v>
      </c>
      <c r="X1417" s="2">
        <v>0.88655700861411812</v>
      </c>
      <c r="Y1417" s="2">
        <v>1.334759020948753</v>
      </c>
      <c r="Z1417" s="2">
        <v>1.9145052957864712</v>
      </c>
      <c r="AA1417" s="2">
        <v>2.6297593909029993</v>
      </c>
      <c r="AB1417" s="2">
        <v>3.4708155939983696</v>
      </c>
      <c r="AC1417" s="2">
        <v>4.4113328479249585</v>
      </c>
      <c r="AD1417" s="2">
        <v>5.4080036178966697</v>
      </c>
      <c r="AE1417" s="2">
        <v>6.4041412234784589</v>
      </c>
      <c r="AF1417" s="2">
        <v>7.3375825209054382</v>
      </c>
      <c r="AG1417" s="2">
        <v>8.1517306388144952</v>
      </c>
      <c r="AH1417" s="2">
        <v>9.2384433611789873</v>
      </c>
      <c r="AI1417" s="2">
        <v>9.74376227177952</v>
      </c>
      <c r="AJ1417" s="2">
        <v>10.085126014925846</v>
      </c>
      <c r="AK1417" s="2">
        <v>10.23842066970923</v>
      </c>
      <c r="AL1417" s="2">
        <v>10.337375542206555</v>
      </c>
      <c r="AM1417" s="2">
        <v>10.306819979567788</v>
      </c>
      <c r="AN1417" s="2">
        <v>10.230273956176596</v>
      </c>
      <c r="AO1417" s="2">
        <v>10.150140632650752</v>
      </c>
      <c r="AP1417" s="2">
        <v>7.6311446351761107</v>
      </c>
      <c r="AQ1417" s="2">
        <v>0.17011410619050604</v>
      </c>
      <c r="AR1417" s="2">
        <v>131.13587631442991</v>
      </c>
    </row>
    <row r="1418" spans="1:44" x14ac:dyDescent="0.25">
      <c r="A1418" t="s">
        <v>131</v>
      </c>
      <c r="B1418" t="s">
        <v>180</v>
      </c>
      <c r="C1418" t="s">
        <v>45</v>
      </c>
      <c r="D1418" t="s">
        <v>178</v>
      </c>
      <c r="E1418" t="s">
        <v>148</v>
      </c>
      <c r="F1418" t="s">
        <v>181</v>
      </c>
      <c r="G1418" t="s">
        <v>28</v>
      </c>
      <c r="H1418" t="s">
        <v>55</v>
      </c>
      <c r="I1418" t="s">
        <v>135</v>
      </c>
      <c r="J1418" t="s">
        <v>39</v>
      </c>
      <c r="K1418" t="s">
        <v>28</v>
      </c>
      <c r="L1418">
        <v>55.245283018867937</v>
      </c>
      <c r="M1418">
        <v>1</v>
      </c>
      <c r="N1418">
        <v>1.5281220060315359</v>
      </c>
      <c r="O1418">
        <v>2.3676355275024612</v>
      </c>
      <c r="P1418">
        <v>-8.7370159319194146E-2</v>
      </c>
      <c r="Q1418">
        <v>1.1280020883331712</v>
      </c>
      <c r="R1418">
        <v>-0.48733586113566763</v>
      </c>
      <c r="S1418" s="2">
        <v>0</v>
      </c>
      <c r="T1418" s="2">
        <v>0</v>
      </c>
      <c r="U1418" s="2">
        <v>5.2781435786527498E-5</v>
      </c>
      <c r="V1418" s="2">
        <v>1.0079619279197359E-4</v>
      </c>
      <c r="W1418" s="2">
        <v>1.6922149775219585E-4</v>
      </c>
      <c r="X1418" s="2">
        <v>2.6162399804455802E-4</v>
      </c>
      <c r="Y1418" s="2">
        <v>3.7712900149318039E-4</v>
      </c>
      <c r="Z1418" s="2">
        <v>5.1870037541105357E-4</v>
      </c>
      <c r="AA1418" s="2">
        <v>6.818225320865595E-4</v>
      </c>
      <c r="AB1418" s="2">
        <v>8.5830616158645101E-4</v>
      </c>
      <c r="AC1418" s="2">
        <v>1.0376759631500778E-3</v>
      </c>
      <c r="AD1418" s="2">
        <v>1.2064251353395838E-3</v>
      </c>
      <c r="AE1418" s="2">
        <v>1.3502863961877844E-3</v>
      </c>
      <c r="AF1418" s="2">
        <v>1.4566621472909447E-3</v>
      </c>
      <c r="AG1418" s="2">
        <v>1.5170704910815154E-3</v>
      </c>
      <c r="AH1418" s="2">
        <v>1.5288119490338803E-3</v>
      </c>
      <c r="AI1418" s="2">
        <v>1.4951957847964186E-3</v>
      </c>
      <c r="AJ1418" s="2">
        <v>1.4280827361411626E-3</v>
      </c>
      <c r="AK1418" s="2">
        <v>1.3282926280718677E-3</v>
      </c>
      <c r="AL1418" s="2">
        <v>1.2179112044221868E-3</v>
      </c>
      <c r="AM1418" s="2">
        <v>1.0898274318261096E-3</v>
      </c>
      <c r="AN1418" s="2">
        <v>9.5651430577093429E-4</v>
      </c>
      <c r="AO1418" s="2">
        <v>8.2290559060013279E-4</v>
      </c>
      <c r="AP1418" s="2">
        <v>6.890495426579268E-4</v>
      </c>
      <c r="AQ1418" s="2">
        <v>5.5500263971979154E-4</v>
      </c>
      <c r="AR1418" s="2">
        <v>2.0700095141042815E-2</v>
      </c>
    </row>
    <row r="1419" spans="1:44" x14ac:dyDescent="0.25">
      <c r="A1419" t="s">
        <v>131</v>
      </c>
      <c r="B1419" t="s">
        <v>180</v>
      </c>
      <c r="C1419" t="s">
        <v>45</v>
      </c>
      <c r="D1419" t="s">
        <v>178</v>
      </c>
      <c r="E1419" t="s">
        <v>148</v>
      </c>
      <c r="F1419" t="s">
        <v>181</v>
      </c>
      <c r="G1419" t="s">
        <v>28</v>
      </c>
      <c r="H1419" t="s">
        <v>136</v>
      </c>
      <c r="I1419" t="s">
        <v>135</v>
      </c>
      <c r="J1419" t="s">
        <v>39</v>
      </c>
      <c r="K1419" t="s">
        <v>28</v>
      </c>
      <c r="L1419">
        <v>55.245283018867937</v>
      </c>
      <c r="M1419">
        <v>1</v>
      </c>
      <c r="N1419">
        <v>1.5281220060315359</v>
      </c>
      <c r="O1419">
        <v>2.3676355275024612</v>
      </c>
      <c r="P1419">
        <v>-8.7370159319194146E-2</v>
      </c>
      <c r="Q1419">
        <v>1.1280020883331712</v>
      </c>
      <c r="R1419">
        <v>-0.48733586113566763</v>
      </c>
      <c r="S1419" s="2">
        <v>0</v>
      </c>
      <c r="T1419" s="2">
        <v>0</v>
      </c>
      <c r="U1419" s="2">
        <v>6.6270024931973425E-5</v>
      </c>
      <c r="V1419" s="2">
        <v>1.2655521983881123E-4</v>
      </c>
      <c r="W1419" s="2">
        <v>2.1246699162220172E-4</v>
      </c>
      <c r="X1419" s="2">
        <v>3.2848346421150048E-4</v>
      </c>
      <c r="Y1419" s="2">
        <v>4.7350641298588172E-4</v>
      </c>
      <c r="Z1419" s="2">
        <v>6.512571380161001E-4</v>
      </c>
      <c r="AA1419" s="2">
        <v>8.5606606806423486E-4</v>
      </c>
      <c r="AB1419" s="2">
        <v>1.0776510695474338E-3</v>
      </c>
      <c r="AC1419" s="2">
        <v>1.302859820399541E-3</v>
      </c>
      <c r="AD1419" s="2">
        <v>1.5147337810374772E-3</v>
      </c>
      <c r="AE1419" s="2">
        <v>1.6953595863246685E-3</v>
      </c>
      <c r="AF1419" s="2">
        <v>1.8289202515986399E-3</v>
      </c>
      <c r="AG1419" s="2">
        <v>1.9047662832467861E-3</v>
      </c>
      <c r="AH1419" s="2">
        <v>1.9195083360091926E-3</v>
      </c>
      <c r="AI1419" s="2">
        <v>1.8773013742443858E-3</v>
      </c>
      <c r="AJ1419" s="2">
        <v>1.7930372131550361E-3</v>
      </c>
      <c r="AK1419" s="2">
        <v>1.6677451885791154E-3</v>
      </c>
      <c r="AL1419" s="2">
        <v>1.529155178885641E-3</v>
      </c>
      <c r="AM1419" s="2">
        <v>1.3683388866260915E-3</v>
      </c>
      <c r="AN1419" s="2">
        <v>1.2009568505790854E-3</v>
      </c>
      <c r="AO1419" s="2">
        <v>1.0332036859757227E-3</v>
      </c>
      <c r="AP1419" s="2">
        <v>8.6513998133716714E-4</v>
      </c>
      <c r="AQ1419" s="2">
        <v>6.9683664764817353E-4</v>
      </c>
      <c r="AR1419" s="2">
        <v>2.599011945486486E-2</v>
      </c>
    </row>
    <row r="1420" spans="1:44" x14ac:dyDescent="0.25">
      <c r="A1420" t="s">
        <v>131</v>
      </c>
      <c r="B1420" t="s">
        <v>180</v>
      </c>
      <c r="C1420" t="s">
        <v>45</v>
      </c>
      <c r="D1420" t="s">
        <v>178</v>
      </c>
      <c r="E1420" t="s">
        <v>148</v>
      </c>
      <c r="F1420" t="s">
        <v>181</v>
      </c>
      <c r="G1420" t="s">
        <v>28</v>
      </c>
      <c r="H1420" t="s">
        <v>54</v>
      </c>
      <c r="I1420" t="s">
        <v>135</v>
      </c>
      <c r="J1420" t="s">
        <v>39</v>
      </c>
      <c r="K1420" t="s">
        <v>28</v>
      </c>
      <c r="L1420">
        <v>55.245283018867937</v>
      </c>
      <c r="M1420">
        <v>1</v>
      </c>
      <c r="N1420">
        <v>1.5281220060315359</v>
      </c>
      <c r="O1420">
        <v>2.3676355275024612</v>
      </c>
      <c r="P1420">
        <v>-8.7370159319194146E-2</v>
      </c>
      <c r="Q1420">
        <v>1.1280020883331712</v>
      </c>
      <c r="R1420">
        <v>-0.48733586113566763</v>
      </c>
      <c r="S1420" s="2">
        <v>0</v>
      </c>
      <c r="T1420" s="2">
        <v>0</v>
      </c>
      <c r="U1420" s="2">
        <v>0</v>
      </c>
      <c r="V1420" s="2">
        <v>0</v>
      </c>
      <c r="W1420" s="2">
        <v>0</v>
      </c>
      <c r="X1420" s="2">
        <v>0</v>
      </c>
      <c r="Y1420" s="2">
        <v>0</v>
      </c>
      <c r="Z1420" s="2">
        <v>0</v>
      </c>
      <c r="AA1420" s="2">
        <v>0</v>
      </c>
      <c r="AB1420" s="2">
        <v>0</v>
      </c>
      <c r="AC1420" s="2">
        <v>0</v>
      </c>
      <c r="AD1420" s="2">
        <v>0</v>
      </c>
      <c r="AE1420" s="2">
        <v>0</v>
      </c>
      <c r="AF1420" s="2">
        <v>0</v>
      </c>
      <c r="AG1420" s="2">
        <v>0</v>
      </c>
      <c r="AH1420" s="2">
        <v>0</v>
      </c>
      <c r="AI1420" s="2">
        <v>0</v>
      </c>
      <c r="AJ1420" s="2">
        <v>0</v>
      </c>
      <c r="AK1420" s="2">
        <v>0</v>
      </c>
      <c r="AL1420" s="2">
        <v>0</v>
      </c>
      <c r="AM1420" s="2">
        <v>0</v>
      </c>
      <c r="AN1420" s="2">
        <v>0</v>
      </c>
      <c r="AO1420" s="2">
        <v>0</v>
      </c>
      <c r="AP1420" s="2">
        <v>0</v>
      </c>
      <c r="AQ1420" s="2">
        <v>0</v>
      </c>
      <c r="AR1420" s="2">
        <v>0</v>
      </c>
    </row>
    <row r="1421" spans="1:44" x14ac:dyDescent="0.25">
      <c r="A1421" t="s">
        <v>131</v>
      </c>
      <c r="B1421" t="s">
        <v>180</v>
      </c>
      <c r="C1421" t="s">
        <v>45</v>
      </c>
      <c r="D1421" t="s">
        <v>178</v>
      </c>
      <c r="E1421" t="s">
        <v>148</v>
      </c>
      <c r="F1421" t="s">
        <v>181</v>
      </c>
      <c r="G1421" t="s">
        <v>28</v>
      </c>
      <c r="H1421" t="s">
        <v>142</v>
      </c>
      <c r="I1421" t="s">
        <v>135</v>
      </c>
      <c r="J1421" t="s">
        <v>39</v>
      </c>
      <c r="K1421" t="s">
        <v>28</v>
      </c>
      <c r="L1421">
        <v>55.245283018867937</v>
      </c>
      <c r="M1421">
        <v>1</v>
      </c>
      <c r="N1421">
        <v>1.5281220060315359</v>
      </c>
      <c r="O1421">
        <v>2.3676355275024612</v>
      </c>
      <c r="P1421">
        <v>-8.7370159319194146E-2</v>
      </c>
      <c r="Q1421">
        <v>1.1280020883331712</v>
      </c>
      <c r="R1421">
        <v>-0.48733586113566763</v>
      </c>
      <c r="S1421" s="2">
        <v>0</v>
      </c>
      <c r="T1421" s="2">
        <v>0</v>
      </c>
      <c r="U1421" s="2">
        <v>0</v>
      </c>
      <c r="V1421" s="2">
        <v>0</v>
      </c>
      <c r="W1421" s="2">
        <v>0</v>
      </c>
      <c r="X1421" s="2">
        <v>0</v>
      </c>
      <c r="Y1421" s="2">
        <v>0</v>
      </c>
      <c r="Z1421" s="2">
        <v>0</v>
      </c>
      <c r="AA1421" s="2">
        <v>0</v>
      </c>
      <c r="AB1421" s="2">
        <v>0</v>
      </c>
      <c r="AC1421" s="2">
        <v>0</v>
      </c>
      <c r="AD1421" s="2">
        <v>0</v>
      </c>
      <c r="AE1421" s="2">
        <v>0</v>
      </c>
      <c r="AF1421" s="2">
        <v>0</v>
      </c>
      <c r="AG1421" s="2">
        <v>0</v>
      </c>
      <c r="AH1421" s="2">
        <v>0</v>
      </c>
      <c r="AI1421" s="2">
        <v>0</v>
      </c>
      <c r="AJ1421" s="2">
        <v>0</v>
      </c>
      <c r="AK1421" s="2">
        <v>0</v>
      </c>
      <c r="AL1421" s="2">
        <v>0</v>
      </c>
      <c r="AM1421" s="2">
        <v>0</v>
      </c>
      <c r="AN1421" s="2">
        <v>0</v>
      </c>
      <c r="AO1421" s="2">
        <v>0</v>
      </c>
      <c r="AP1421" s="2">
        <v>0</v>
      </c>
      <c r="AQ1421" s="2">
        <v>0</v>
      </c>
      <c r="AR1421" s="2">
        <v>0</v>
      </c>
    </row>
    <row r="1422" spans="1:44" x14ac:dyDescent="0.25">
      <c r="A1422" t="s">
        <v>131</v>
      </c>
      <c r="B1422" t="s">
        <v>180</v>
      </c>
      <c r="C1422" t="s">
        <v>45</v>
      </c>
      <c r="D1422" t="s">
        <v>178</v>
      </c>
      <c r="E1422" t="s">
        <v>148</v>
      </c>
      <c r="F1422" t="s">
        <v>181</v>
      </c>
      <c r="G1422" t="s">
        <v>28</v>
      </c>
      <c r="H1422" t="s">
        <v>53</v>
      </c>
      <c r="I1422" t="s">
        <v>135</v>
      </c>
      <c r="J1422" t="s">
        <v>39</v>
      </c>
      <c r="K1422" t="s">
        <v>28</v>
      </c>
      <c r="L1422">
        <v>55.245283018867937</v>
      </c>
      <c r="M1422">
        <v>1</v>
      </c>
      <c r="N1422">
        <v>1.5281220060315359</v>
      </c>
      <c r="O1422">
        <v>2.3676355275024612</v>
      </c>
      <c r="P1422">
        <v>-8.7370159319194146E-2</v>
      </c>
      <c r="Q1422">
        <v>1.1280020883331712</v>
      </c>
      <c r="R1422">
        <v>-0.48733586113566763</v>
      </c>
      <c r="S1422" s="2">
        <v>0</v>
      </c>
      <c r="T1422" s="2">
        <v>0</v>
      </c>
      <c r="U1422" s="2">
        <v>2.6370123773570495E-3</v>
      </c>
      <c r="V1422" s="2">
        <v>5.0358768006600347E-3</v>
      </c>
      <c r="W1422" s="2">
        <v>8.454472248391201E-3</v>
      </c>
      <c r="X1422" s="2">
        <v>1.3070991926923582E-2</v>
      </c>
      <c r="Y1422" s="2">
        <v>1.884173535596894E-2</v>
      </c>
      <c r="Z1422" s="2">
        <v>2.5914780257793413E-2</v>
      </c>
      <c r="AA1422" s="2">
        <v>3.4064523434811721E-2</v>
      </c>
      <c r="AB1422" s="2">
        <v>4.2881818918669906E-2</v>
      </c>
      <c r="AC1422" s="2">
        <v>5.1843310393823928E-2</v>
      </c>
      <c r="AD1422" s="2">
        <v>6.0274184793153975E-2</v>
      </c>
      <c r="AE1422" s="2">
        <v>6.7461634695298381E-2</v>
      </c>
      <c r="AF1422" s="2">
        <v>7.277627170980179E-2</v>
      </c>
      <c r="AG1422" s="2">
        <v>7.5794331902699533E-2</v>
      </c>
      <c r="AH1422" s="2">
        <v>7.6380946675245559E-2</v>
      </c>
      <c r="AI1422" s="2">
        <v>7.4701450089893734E-2</v>
      </c>
      <c r="AJ1422" s="2">
        <v>7.1348416256145672E-2</v>
      </c>
      <c r="AK1422" s="2">
        <v>6.636280443647477E-2</v>
      </c>
      <c r="AL1422" s="2">
        <v>6.0848040086905822E-2</v>
      </c>
      <c r="AM1422" s="2">
        <v>5.4448848995546278E-2</v>
      </c>
      <c r="AN1422" s="2">
        <v>4.7788394268744268E-2</v>
      </c>
      <c r="AO1422" s="2">
        <v>4.1113171619379621E-2</v>
      </c>
      <c r="AP1422" s="2">
        <v>3.4425591981811741E-2</v>
      </c>
      <c r="AQ1422" s="2">
        <v>2.7728477041174402E-2</v>
      </c>
      <c r="AR1422" s="2">
        <v>1.0341970862666752</v>
      </c>
    </row>
    <row r="1423" spans="1:44" x14ac:dyDescent="0.25">
      <c r="A1423" t="s">
        <v>131</v>
      </c>
      <c r="B1423" t="s">
        <v>180</v>
      </c>
      <c r="C1423" t="s">
        <v>45</v>
      </c>
      <c r="D1423" t="s">
        <v>178</v>
      </c>
      <c r="E1423" t="s">
        <v>148</v>
      </c>
      <c r="F1423" t="s">
        <v>181</v>
      </c>
      <c r="G1423" t="s">
        <v>28</v>
      </c>
      <c r="H1423" t="s">
        <v>141</v>
      </c>
      <c r="I1423" t="s">
        <v>135</v>
      </c>
      <c r="J1423" t="s">
        <v>39</v>
      </c>
      <c r="K1423" t="s">
        <v>28</v>
      </c>
      <c r="L1423">
        <v>55.245283018867937</v>
      </c>
      <c r="M1423">
        <v>1</v>
      </c>
      <c r="N1423">
        <v>1.5281220060315359</v>
      </c>
      <c r="O1423">
        <v>2.3676355275024612</v>
      </c>
      <c r="P1423">
        <v>-8.7370159319194146E-2</v>
      </c>
      <c r="Q1423">
        <v>1.1280020883331712</v>
      </c>
      <c r="R1423">
        <v>-0.48733586113566763</v>
      </c>
      <c r="S1423" s="2">
        <v>0</v>
      </c>
      <c r="T1423" s="2">
        <v>0</v>
      </c>
      <c r="U1423" s="2">
        <v>2.2194854176088479E-3</v>
      </c>
      <c r="V1423" s="2">
        <v>4.2385296405555327E-3</v>
      </c>
      <c r="W1423" s="2">
        <v>7.1158474757292587E-3</v>
      </c>
      <c r="X1423" s="2">
        <v>1.1001418205160667E-2</v>
      </c>
      <c r="Y1423" s="2">
        <v>1.5858460591273851E-2</v>
      </c>
      <c r="Z1423" s="2">
        <v>2.1811606716976118E-2</v>
      </c>
      <c r="AA1423" s="2">
        <v>2.8670973890966556E-2</v>
      </c>
      <c r="AB1423" s="2">
        <v>3.6092197589880519E-2</v>
      </c>
      <c r="AC1423" s="2">
        <v>4.363478624813507E-2</v>
      </c>
      <c r="AD1423" s="2">
        <v>5.0730772200904779E-2</v>
      </c>
      <c r="AE1423" s="2">
        <v>5.6780209201875841E-2</v>
      </c>
      <c r="AF1423" s="2">
        <v>6.1253362022416394E-2</v>
      </c>
      <c r="AG1423" s="2">
        <v>6.3793562684772695E-2</v>
      </c>
      <c r="AH1423" s="2">
        <v>6.4287296784998144E-2</v>
      </c>
      <c r="AI1423" s="2">
        <v>6.2873720492327145E-2</v>
      </c>
      <c r="AJ1423" s="2">
        <v>6.005158368225607E-2</v>
      </c>
      <c r="AK1423" s="2">
        <v>5.5855360400699328E-2</v>
      </c>
      <c r="AL1423" s="2">
        <v>5.1213767073145976E-2</v>
      </c>
      <c r="AM1423" s="2">
        <v>4.5827781237917739E-2</v>
      </c>
      <c r="AN1423" s="2">
        <v>4.0221898509526614E-2</v>
      </c>
      <c r="AO1423" s="2">
        <v>3.460358611297807E-2</v>
      </c>
      <c r="AP1423" s="2">
        <v>2.8974873251357919E-2</v>
      </c>
      <c r="AQ1423" s="2">
        <v>2.3338134842988419E-2</v>
      </c>
      <c r="AR1423" s="2">
        <v>0.87044921427445154</v>
      </c>
    </row>
    <row r="1424" spans="1:44" x14ac:dyDescent="0.25">
      <c r="A1424" t="s">
        <v>131</v>
      </c>
      <c r="B1424" t="s">
        <v>180</v>
      </c>
      <c r="C1424" t="s">
        <v>45</v>
      </c>
      <c r="D1424" t="s">
        <v>178</v>
      </c>
      <c r="E1424" t="s">
        <v>148</v>
      </c>
      <c r="F1424" t="s">
        <v>181</v>
      </c>
      <c r="G1424" t="s">
        <v>28</v>
      </c>
      <c r="H1424" t="s">
        <v>52</v>
      </c>
      <c r="I1424" t="s">
        <v>135</v>
      </c>
      <c r="J1424" t="s">
        <v>39</v>
      </c>
      <c r="K1424" t="s">
        <v>28</v>
      </c>
      <c r="L1424">
        <v>55.245283018867937</v>
      </c>
      <c r="M1424">
        <v>1</v>
      </c>
      <c r="N1424">
        <v>1.5281220060315359</v>
      </c>
      <c r="O1424">
        <v>2.3676355275024612</v>
      </c>
      <c r="P1424">
        <v>-8.7370159319194146E-2</v>
      </c>
      <c r="Q1424">
        <v>1.1280020883331712</v>
      </c>
      <c r="R1424">
        <v>-0.48733586113566763</v>
      </c>
      <c r="S1424" s="2">
        <v>0</v>
      </c>
      <c r="T1424" s="2">
        <v>0</v>
      </c>
      <c r="U1424" s="2">
        <v>2.4333386847455063E-2</v>
      </c>
      <c r="V1424" s="2">
        <v>4.6469231376684385E-2</v>
      </c>
      <c r="W1424" s="2">
        <v>7.8014781264457142E-2</v>
      </c>
      <c r="X1424" s="2">
        <v>0.12061433832046371</v>
      </c>
      <c r="Y1424" s="2">
        <v>0.1738646504775527</v>
      </c>
      <c r="Z1424" s="2">
        <v>0.23913212486006424</v>
      </c>
      <c r="AA1424" s="2">
        <v>0.31433497757953122</v>
      </c>
      <c r="AB1424" s="2">
        <v>0.39569775911189631</v>
      </c>
      <c r="AC1424" s="2">
        <v>0.47839112857330612</v>
      </c>
      <c r="AD1424" s="2">
        <v>0.55618815750754447</v>
      </c>
      <c r="AE1424" s="2">
        <v>0.62251131943781246</v>
      </c>
      <c r="AF1424" s="2">
        <v>0.67155284822931272</v>
      </c>
      <c r="AG1424" s="2">
        <v>0.69940240511168317</v>
      </c>
      <c r="AH1424" s="2">
        <v>0.70481547192675575</v>
      </c>
      <c r="AI1424" s="2">
        <v>0.68931769100192131</v>
      </c>
      <c r="AJ1424" s="2">
        <v>0.65837711973658086</v>
      </c>
      <c r="AK1424" s="2">
        <v>0.61237171524131939</v>
      </c>
      <c r="AL1424" s="2">
        <v>0.56148348451369445</v>
      </c>
      <c r="AM1424" s="2">
        <v>0.50243408691739155</v>
      </c>
      <c r="AN1424" s="2">
        <v>0.44097384393984773</v>
      </c>
      <c r="AO1424" s="2">
        <v>0.37937732796798213</v>
      </c>
      <c r="AP1424" s="2">
        <v>0.31766678622329048</v>
      </c>
      <c r="AQ1424" s="2">
        <v>0.25586825618539821</v>
      </c>
      <c r="AR1424" s="2">
        <v>9.5431928923519465</v>
      </c>
    </row>
    <row r="1425" spans="1:44" x14ac:dyDescent="0.25">
      <c r="A1425" t="s">
        <v>131</v>
      </c>
      <c r="B1425" t="s">
        <v>180</v>
      </c>
      <c r="C1425" t="s">
        <v>45</v>
      </c>
      <c r="D1425" t="s">
        <v>178</v>
      </c>
      <c r="E1425" t="s">
        <v>148</v>
      </c>
      <c r="F1425" t="s">
        <v>181</v>
      </c>
      <c r="G1425" t="s">
        <v>28</v>
      </c>
      <c r="H1425" t="s">
        <v>138</v>
      </c>
      <c r="I1425" t="s">
        <v>135</v>
      </c>
      <c r="J1425" t="s">
        <v>39</v>
      </c>
      <c r="K1425" t="s">
        <v>28</v>
      </c>
      <c r="L1425">
        <v>55.245283018867937</v>
      </c>
      <c r="M1425">
        <v>1</v>
      </c>
      <c r="N1425">
        <v>1.5281220060315359</v>
      </c>
      <c r="O1425">
        <v>2.3676355275024612</v>
      </c>
      <c r="P1425">
        <v>-8.7370159319194146E-2</v>
      </c>
      <c r="Q1425">
        <v>1.1280020883331712</v>
      </c>
      <c r="R1425">
        <v>-0.48733586113566763</v>
      </c>
      <c r="S1425" s="2">
        <v>0</v>
      </c>
      <c r="T1425" s="2">
        <v>0</v>
      </c>
      <c r="U1425" s="2">
        <v>8.4408397934239744E-3</v>
      </c>
      <c r="V1425" s="2">
        <v>1.6119389373664864E-2</v>
      </c>
      <c r="W1425" s="2">
        <v>2.7062006382443556E-2</v>
      </c>
      <c r="X1425" s="2">
        <v>4.1839071270070638E-2</v>
      </c>
      <c r="Y1425" s="2">
        <v>6.0310702723824314E-2</v>
      </c>
      <c r="Z1425" s="2">
        <v>8.2950884234019515E-2</v>
      </c>
      <c r="AA1425" s="2">
        <v>0.10903748022630194</v>
      </c>
      <c r="AB1425" s="2">
        <v>0.13726085120081477</v>
      </c>
      <c r="AC1425" s="2">
        <v>0.16594578059341838</v>
      </c>
      <c r="AD1425" s="2">
        <v>0.19293225238030767</v>
      </c>
      <c r="AE1425" s="2">
        <v>0.21593863402196659</v>
      </c>
      <c r="AF1425" s="2">
        <v>0.2329503098050674</v>
      </c>
      <c r="AG1425" s="2">
        <v>0.24261084943465458</v>
      </c>
      <c r="AH1425" s="2">
        <v>0.24448855063850083</v>
      </c>
      <c r="AI1425" s="2">
        <v>0.23911263290209334</v>
      </c>
      <c r="AJ1425" s="2">
        <v>0.22837987273167518</v>
      </c>
      <c r="AK1425" s="2">
        <v>0.21242137704792244</v>
      </c>
      <c r="AL1425" s="2">
        <v>0.19476911163844626</v>
      </c>
      <c r="AM1425" s="2">
        <v>0.17428587565764844</v>
      </c>
      <c r="AN1425" s="2">
        <v>0.15296635824354546</v>
      </c>
      <c r="AO1425" s="2">
        <v>0.13159957003559905</v>
      </c>
      <c r="AP1425" s="2">
        <v>0.11019322821817353</v>
      </c>
      <c r="AQ1425" s="2">
        <v>8.8756364751976777E-2</v>
      </c>
      <c r="AR1425" s="2">
        <v>3.3103719933055591</v>
      </c>
    </row>
    <row r="1426" spans="1:44" x14ac:dyDescent="0.25">
      <c r="A1426" t="s">
        <v>131</v>
      </c>
      <c r="B1426" t="s">
        <v>177</v>
      </c>
      <c r="C1426" t="s">
        <v>45</v>
      </c>
      <c r="D1426" t="s">
        <v>178</v>
      </c>
      <c r="E1426" t="s">
        <v>145</v>
      </c>
      <c r="F1426" t="s">
        <v>179</v>
      </c>
      <c r="G1426" t="s">
        <v>28</v>
      </c>
      <c r="H1426" t="s">
        <v>55</v>
      </c>
      <c r="I1426" t="s">
        <v>135</v>
      </c>
      <c r="J1426" t="s">
        <v>39</v>
      </c>
      <c r="K1426" t="s">
        <v>28</v>
      </c>
      <c r="L1426">
        <v>15.099999999999994</v>
      </c>
      <c r="M1426">
        <v>1</v>
      </c>
      <c r="N1426">
        <v>1.4244861623684499</v>
      </c>
      <c r="O1426">
        <v>2.3549237220148114</v>
      </c>
      <c r="P1426">
        <v>-1.1801302289501605E-2</v>
      </c>
      <c r="Q1426">
        <v>1.2035709453628638</v>
      </c>
      <c r="R1426">
        <v>-0.48733586113566879</v>
      </c>
      <c r="S1426" s="2">
        <v>2.0789876517664789E-3</v>
      </c>
      <c r="T1426" s="2">
        <v>4.0774241141941607E-3</v>
      </c>
      <c r="U1426" s="2">
        <v>7.1826857830580128E-3</v>
      </c>
      <c r="V1426" s="2">
        <v>1.1523899448360592E-2</v>
      </c>
      <c r="W1426" s="2">
        <v>1.7039382147327795E-2</v>
      </c>
      <c r="X1426" s="2">
        <v>2.3460163850621087E-2</v>
      </c>
      <c r="Y1426" s="2">
        <v>3.0356185042919263E-2</v>
      </c>
      <c r="Z1426" s="2">
        <v>3.7228698368521496E-2</v>
      </c>
      <c r="AA1426" s="2">
        <v>4.3614724758607525E-2</v>
      </c>
      <c r="AB1426" s="2">
        <v>4.9169471571603535E-2</v>
      </c>
      <c r="AC1426" s="2">
        <v>5.3706307190550834E-2</v>
      </c>
      <c r="AD1426" s="2">
        <v>5.7192615065112688E-2</v>
      </c>
      <c r="AE1426" s="2">
        <v>5.9714280794176067E-2</v>
      </c>
      <c r="AF1426" s="2">
        <v>6.1427139542821842E-2</v>
      </c>
      <c r="AG1426" s="2">
        <v>6.2511319121148878E-2</v>
      </c>
      <c r="AH1426" s="2">
        <v>6.3137813051885705E-2</v>
      </c>
      <c r="AI1426" s="2">
        <v>6.3449760846716552E-2</v>
      </c>
      <c r="AJ1426" s="2">
        <v>6.3621343422757048E-2</v>
      </c>
      <c r="AK1426" s="2">
        <v>6.3700116343263044E-2</v>
      </c>
      <c r="AL1426" s="2">
        <v>3.8453639110628594E-2</v>
      </c>
      <c r="AM1426" s="2">
        <v>0</v>
      </c>
      <c r="AN1426" s="2">
        <v>0</v>
      </c>
      <c r="AO1426" s="2">
        <v>0</v>
      </c>
      <c r="AP1426" s="2">
        <v>0</v>
      </c>
      <c r="AQ1426" s="2">
        <v>0</v>
      </c>
      <c r="AR1426" s="2">
        <v>0.81264595722604116</v>
      </c>
    </row>
    <row r="1427" spans="1:44" x14ac:dyDescent="0.25">
      <c r="A1427" t="s">
        <v>131</v>
      </c>
      <c r="B1427" t="s">
        <v>177</v>
      </c>
      <c r="C1427" t="s">
        <v>45</v>
      </c>
      <c r="D1427" t="s">
        <v>178</v>
      </c>
      <c r="E1427" t="s">
        <v>145</v>
      </c>
      <c r="F1427" t="s">
        <v>179</v>
      </c>
      <c r="G1427" t="s">
        <v>28</v>
      </c>
      <c r="H1427" t="s">
        <v>136</v>
      </c>
      <c r="I1427" t="s">
        <v>135</v>
      </c>
      <c r="J1427" t="s">
        <v>39</v>
      </c>
      <c r="K1427" t="s">
        <v>28</v>
      </c>
      <c r="L1427">
        <v>15.099999999999994</v>
      </c>
      <c r="M1427">
        <v>1</v>
      </c>
      <c r="N1427">
        <v>1.4244861623684499</v>
      </c>
      <c r="O1427">
        <v>2.3549237220148114</v>
      </c>
      <c r="P1427">
        <v>-1.1801302289501605E-2</v>
      </c>
      <c r="Q1427">
        <v>1.2035709453628638</v>
      </c>
      <c r="R1427">
        <v>-0.48733586113566879</v>
      </c>
      <c r="S1427" s="2">
        <v>2.6102844961068019E-3</v>
      </c>
      <c r="T1427" s="2">
        <v>5.1194324989326696E-3</v>
      </c>
      <c r="U1427" s="2">
        <v>9.0182610387283951E-3</v>
      </c>
      <c r="V1427" s="2">
        <v>1.4468895974052745E-2</v>
      </c>
      <c r="W1427" s="2">
        <v>2.1393890918311561E-2</v>
      </c>
      <c r="X1427" s="2">
        <v>2.9455539056890925E-2</v>
      </c>
      <c r="Y1427" s="2">
        <v>3.8113876776109751E-2</v>
      </c>
      <c r="Z1427" s="2">
        <v>4.6742699062699192E-2</v>
      </c>
      <c r="AA1427" s="2">
        <v>5.4760709974696134E-2</v>
      </c>
      <c r="AB1427" s="2">
        <v>6.1735003195457765E-2</v>
      </c>
      <c r="AC1427" s="2">
        <v>6.7431252361469365E-2</v>
      </c>
      <c r="AD1427" s="2">
        <v>7.1808505581752613E-2</v>
      </c>
      <c r="AE1427" s="2">
        <v>7.4974596997132187E-2</v>
      </c>
      <c r="AF1427" s="2">
        <v>7.7125186314876304E-2</v>
      </c>
      <c r="AG1427" s="2">
        <v>7.848643400766471E-2</v>
      </c>
      <c r="AH1427" s="2">
        <v>7.9273031942923192E-2</v>
      </c>
      <c r="AI1427" s="2">
        <v>7.966469972976635E-2</v>
      </c>
      <c r="AJ1427" s="2">
        <v>7.9880131186350511E-2</v>
      </c>
      <c r="AK1427" s="2">
        <v>7.9979034964319115E-2</v>
      </c>
      <c r="AL1427" s="2">
        <v>4.8280680216678071E-2</v>
      </c>
      <c r="AM1427" s="2">
        <v>0</v>
      </c>
      <c r="AN1427" s="2">
        <v>0</v>
      </c>
      <c r="AO1427" s="2">
        <v>0</v>
      </c>
      <c r="AP1427" s="2">
        <v>0</v>
      </c>
      <c r="AQ1427" s="2">
        <v>0</v>
      </c>
      <c r="AR1427" s="2">
        <v>1.0203221462949184</v>
      </c>
    </row>
    <row r="1428" spans="1:44" x14ac:dyDescent="0.25">
      <c r="A1428" t="s">
        <v>131</v>
      </c>
      <c r="B1428" t="s">
        <v>177</v>
      </c>
      <c r="C1428" t="s">
        <v>45</v>
      </c>
      <c r="D1428" t="s">
        <v>178</v>
      </c>
      <c r="E1428" t="s">
        <v>145</v>
      </c>
      <c r="F1428" t="s">
        <v>179</v>
      </c>
      <c r="G1428" t="s">
        <v>28</v>
      </c>
      <c r="H1428" t="s">
        <v>54</v>
      </c>
      <c r="I1428" t="s">
        <v>135</v>
      </c>
      <c r="J1428" t="s">
        <v>39</v>
      </c>
      <c r="K1428" t="s">
        <v>28</v>
      </c>
      <c r="L1428">
        <v>15.099999999999994</v>
      </c>
      <c r="M1428">
        <v>1</v>
      </c>
      <c r="N1428">
        <v>1.4244861623684499</v>
      </c>
      <c r="O1428">
        <v>2.3549237220148114</v>
      </c>
      <c r="P1428">
        <v>-1.1801302289501605E-2</v>
      </c>
      <c r="Q1428">
        <v>1.2035709453628638</v>
      </c>
      <c r="R1428">
        <v>-0.48733586113566879</v>
      </c>
      <c r="S1428" s="2">
        <v>0</v>
      </c>
      <c r="T1428" s="2">
        <v>0</v>
      </c>
      <c r="U1428" s="2">
        <v>0</v>
      </c>
      <c r="V1428" s="2">
        <v>0</v>
      </c>
      <c r="W1428" s="2">
        <v>0</v>
      </c>
      <c r="X1428" s="2">
        <v>0</v>
      </c>
      <c r="Y1428" s="2">
        <v>0</v>
      </c>
      <c r="Z1428" s="2">
        <v>0</v>
      </c>
      <c r="AA1428" s="2">
        <v>0</v>
      </c>
      <c r="AB1428" s="2">
        <v>0</v>
      </c>
      <c r="AC1428" s="2">
        <v>0</v>
      </c>
      <c r="AD1428" s="2">
        <v>0</v>
      </c>
      <c r="AE1428" s="2">
        <v>0</v>
      </c>
      <c r="AF1428" s="2">
        <v>0</v>
      </c>
      <c r="AG1428" s="2">
        <v>0</v>
      </c>
      <c r="AH1428" s="2">
        <v>0</v>
      </c>
      <c r="AI1428" s="2">
        <v>0</v>
      </c>
      <c r="AJ1428" s="2">
        <v>0</v>
      </c>
      <c r="AK1428" s="2">
        <v>0</v>
      </c>
      <c r="AL1428" s="2">
        <v>0</v>
      </c>
      <c r="AM1428" s="2">
        <v>0</v>
      </c>
      <c r="AN1428" s="2">
        <v>0</v>
      </c>
      <c r="AO1428" s="2">
        <v>0</v>
      </c>
      <c r="AP1428" s="2">
        <v>0</v>
      </c>
      <c r="AQ1428" s="2">
        <v>0</v>
      </c>
      <c r="AR1428" s="2">
        <v>0</v>
      </c>
    </row>
    <row r="1429" spans="1:44" x14ac:dyDescent="0.25">
      <c r="A1429" t="s">
        <v>131</v>
      </c>
      <c r="B1429" t="s">
        <v>177</v>
      </c>
      <c r="C1429" t="s">
        <v>45</v>
      </c>
      <c r="D1429" t="s">
        <v>178</v>
      </c>
      <c r="E1429" t="s">
        <v>145</v>
      </c>
      <c r="F1429" t="s">
        <v>179</v>
      </c>
      <c r="G1429" t="s">
        <v>28</v>
      </c>
      <c r="H1429" t="s">
        <v>142</v>
      </c>
      <c r="I1429" t="s">
        <v>135</v>
      </c>
      <c r="J1429" t="s">
        <v>39</v>
      </c>
      <c r="K1429" t="s">
        <v>28</v>
      </c>
      <c r="L1429">
        <v>15.099999999999994</v>
      </c>
      <c r="M1429">
        <v>1</v>
      </c>
      <c r="N1429">
        <v>1.4244861623684499</v>
      </c>
      <c r="O1429">
        <v>2.3549237220148114</v>
      </c>
      <c r="P1429">
        <v>-1.1801302289501605E-2</v>
      </c>
      <c r="Q1429">
        <v>1.2035709453628638</v>
      </c>
      <c r="R1429">
        <v>-0.48733586113566879</v>
      </c>
      <c r="S1429" s="2">
        <v>0</v>
      </c>
      <c r="T1429" s="2">
        <v>0</v>
      </c>
      <c r="U1429" s="2">
        <v>0</v>
      </c>
      <c r="V1429" s="2">
        <v>0</v>
      </c>
      <c r="W1429" s="2">
        <v>0</v>
      </c>
      <c r="X1429" s="2">
        <v>0</v>
      </c>
      <c r="Y1429" s="2">
        <v>0</v>
      </c>
      <c r="Z1429" s="2">
        <v>0</v>
      </c>
      <c r="AA1429" s="2">
        <v>0</v>
      </c>
      <c r="AB1429" s="2">
        <v>0</v>
      </c>
      <c r="AC1429" s="2">
        <v>0</v>
      </c>
      <c r="AD1429" s="2">
        <v>0</v>
      </c>
      <c r="AE1429" s="2">
        <v>0</v>
      </c>
      <c r="AF1429" s="2">
        <v>0</v>
      </c>
      <c r="AG1429" s="2">
        <v>0</v>
      </c>
      <c r="AH1429" s="2">
        <v>0</v>
      </c>
      <c r="AI1429" s="2">
        <v>0</v>
      </c>
      <c r="AJ1429" s="2">
        <v>0</v>
      </c>
      <c r="AK1429" s="2">
        <v>0</v>
      </c>
      <c r="AL1429" s="2">
        <v>0</v>
      </c>
      <c r="AM1429" s="2">
        <v>0</v>
      </c>
      <c r="AN1429" s="2">
        <v>0</v>
      </c>
      <c r="AO1429" s="2">
        <v>0</v>
      </c>
      <c r="AP1429" s="2">
        <v>0</v>
      </c>
      <c r="AQ1429" s="2">
        <v>0</v>
      </c>
      <c r="AR1429" s="2">
        <v>0</v>
      </c>
    </row>
    <row r="1430" spans="1:44" x14ac:dyDescent="0.25">
      <c r="A1430" t="s">
        <v>131</v>
      </c>
      <c r="B1430" t="s">
        <v>177</v>
      </c>
      <c r="C1430" t="s">
        <v>45</v>
      </c>
      <c r="D1430" t="s">
        <v>178</v>
      </c>
      <c r="E1430" t="s">
        <v>145</v>
      </c>
      <c r="F1430" t="s">
        <v>179</v>
      </c>
      <c r="G1430" t="s">
        <v>28</v>
      </c>
      <c r="H1430" t="s">
        <v>53</v>
      </c>
      <c r="I1430" t="s">
        <v>135</v>
      </c>
      <c r="J1430" t="s">
        <v>39</v>
      </c>
      <c r="K1430" t="s">
        <v>28</v>
      </c>
      <c r="L1430">
        <v>15.099999999999994</v>
      </c>
      <c r="M1430">
        <v>1</v>
      </c>
      <c r="N1430">
        <v>1.4244861623684499</v>
      </c>
      <c r="O1430">
        <v>2.3549237220148114</v>
      </c>
      <c r="P1430">
        <v>-1.1801302289501605E-2</v>
      </c>
      <c r="Q1430">
        <v>1.2035709453628638</v>
      </c>
      <c r="R1430">
        <v>-0.48733586113566879</v>
      </c>
      <c r="S1430" s="2">
        <v>1.805548662876675E-2</v>
      </c>
      <c r="T1430" s="2">
        <v>3.5411406369388609E-2</v>
      </c>
      <c r="U1430" s="2">
        <v>6.2379825586960237E-2</v>
      </c>
      <c r="V1430" s="2">
        <v>0.10008217808524938</v>
      </c>
      <c r="W1430" s="2">
        <v>0.14798276279424524</v>
      </c>
      <c r="X1430" s="2">
        <v>0.20374564243017682</v>
      </c>
      <c r="Y1430" s="2">
        <v>0.26363585790280702</v>
      </c>
      <c r="Z1430" s="2">
        <v>0.32332191344575256</v>
      </c>
      <c r="AA1430" s="2">
        <v>0.37878295189837619</v>
      </c>
      <c r="AB1430" s="2">
        <v>0.42702453559562237</v>
      </c>
      <c r="AC1430" s="2">
        <v>0.46642581572598474</v>
      </c>
      <c r="AD1430" s="2">
        <v>0.49670352572557597</v>
      </c>
      <c r="AE1430" s="2">
        <v>0.51860356049232259</v>
      </c>
      <c r="AF1430" s="2">
        <v>0.53347930937272714</v>
      </c>
      <c r="AG1430" s="2">
        <v>0.54289513724598681</v>
      </c>
      <c r="AH1430" s="2">
        <v>0.54833607999512302</v>
      </c>
      <c r="AI1430" s="2">
        <v>0.55104526839922718</v>
      </c>
      <c r="AJ1430" s="2">
        <v>0.55253542006260825</v>
      </c>
      <c r="AK1430" s="2">
        <v>0.55321954313168753</v>
      </c>
      <c r="AL1430" s="2">
        <v>0.33396021674271981</v>
      </c>
      <c r="AM1430" s="2">
        <v>0</v>
      </c>
      <c r="AN1430" s="2">
        <v>0</v>
      </c>
      <c r="AO1430" s="2">
        <v>0</v>
      </c>
      <c r="AP1430" s="2">
        <v>0</v>
      </c>
      <c r="AQ1430" s="2">
        <v>0</v>
      </c>
      <c r="AR1430" s="2">
        <v>7.057626437631308</v>
      </c>
    </row>
    <row r="1431" spans="1:44" x14ac:dyDescent="0.25">
      <c r="A1431" t="s">
        <v>131</v>
      </c>
      <c r="B1431" t="s">
        <v>177</v>
      </c>
      <c r="C1431" t="s">
        <v>45</v>
      </c>
      <c r="D1431" t="s">
        <v>178</v>
      </c>
      <c r="E1431" t="s">
        <v>145</v>
      </c>
      <c r="F1431" t="s">
        <v>179</v>
      </c>
      <c r="G1431" t="s">
        <v>28</v>
      </c>
      <c r="H1431" t="s">
        <v>141</v>
      </c>
      <c r="I1431" t="s">
        <v>135</v>
      </c>
      <c r="J1431" t="s">
        <v>39</v>
      </c>
      <c r="K1431" t="s">
        <v>28</v>
      </c>
      <c r="L1431">
        <v>15.099999999999994</v>
      </c>
      <c r="M1431">
        <v>1</v>
      </c>
      <c r="N1431">
        <v>1.4244861623684499</v>
      </c>
      <c r="O1431">
        <v>2.3549237220148114</v>
      </c>
      <c r="P1431">
        <v>-1.1801302289501605E-2</v>
      </c>
      <c r="Q1431">
        <v>1.2035709453628638</v>
      </c>
      <c r="R1431">
        <v>-0.48733586113566879</v>
      </c>
      <c r="S1431" s="2">
        <v>1.5196701245878677E-2</v>
      </c>
      <c r="T1431" s="2">
        <v>2.9804600360902069E-2</v>
      </c>
      <c r="U1431" s="2">
        <v>5.250301986902485E-2</v>
      </c>
      <c r="V1431" s="2">
        <v>8.4235833221751558E-2</v>
      </c>
      <c r="W1431" s="2">
        <v>0.12455215868515639</v>
      </c>
      <c r="X1431" s="2">
        <v>0.17148591571206551</v>
      </c>
      <c r="Y1431" s="2">
        <v>0.22189351373486257</v>
      </c>
      <c r="Z1431" s="2">
        <v>0.27212927715017504</v>
      </c>
      <c r="AA1431" s="2">
        <v>0.31880898451446654</v>
      </c>
      <c r="AB1431" s="2">
        <v>0.3594123174596488</v>
      </c>
      <c r="AC1431" s="2">
        <v>0.39257506156937044</v>
      </c>
      <c r="AD1431" s="2">
        <v>0.41805880081902619</v>
      </c>
      <c r="AE1431" s="2">
        <v>0.43649133008103808</v>
      </c>
      <c r="AF1431" s="2">
        <v>0.44901175205537835</v>
      </c>
      <c r="AG1431" s="2">
        <v>0.45693674051537209</v>
      </c>
      <c r="AH1431" s="2">
        <v>0.46151620066256172</v>
      </c>
      <c r="AI1431" s="2">
        <v>0.46379643423601619</v>
      </c>
      <c r="AJ1431" s="2">
        <v>0.4650506452193619</v>
      </c>
      <c r="AK1431" s="2">
        <v>0.46562644880250376</v>
      </c>
      <c r="AL1431" s="2">
        <v>0.28108318242512292</v>
      </c>
      <c r="AM1431" s="2">
        <v>0</v>
      </c>
      <c r="AN1431" s="2">
        <v>0</v>
      </c>
      <c r="AO1431" s="2">
        <v>0</v>
      </c>
      <c r="AP1431" s="2">
        <v>0</v>
      </c>
      <c r="AQ1431" s="2">
        <v>0</v>
      </c>
      <c r="AR1431" s="2">
        <v>5.9401689183396833</v>
      </c>
    </row>
    <row r="1432" spans="1:44" x14ac:dyDescent="0.25">
      <c r="A1432" t="s">
        <v>131</v>
      </c>
      <c r="B1432" t="s">
        <v>177</v>
      </c>
      <c r="C1432" t="s">
        <v>45</v>
      </c>
      <c r="D1432" t="s">
        <v>178</v>
      </c>
      <c r="E1432" t="s">
        <v>145</v>
      </c>
      <c r="F1432" t="s">
        <v>179</v>
      </c>
      <c r="G1432" t="s">
        <v>28</v>
      </c>
      <c r="H1432" t="s">
        <v>52</v>
      </c>
      <c r="I1432" t="s">
        <v>135</v>
      </c>
      <c r="J1432" t="s">
        <v>39</v>
      </c>
      <c r="K1432" t="s">
        <v>28</v>
      </c>
      <c r="L1432">
        <v>15.099999999999994</v>
      </c>
      <c r="M1432">
        <v>1</v>
      </c>
      <c r="N1432">
        <v>1.4244861623684499</v>
      </c>
      <c r="O1432">
        <v>2.3549237220148114</v>
      </c>
      <c r="P1432">
        <v>-1.1801302289501605E-2</v>
      </c>
      <c r="Q1432">
        <v>1.2035709453628638</v>
      </c>
      <c r="R1432">
        <v>-0.48733586113566879</v>
      </c>
      <c r="S1432" s="2">
        <v>0.9584584054537747</v>
      </c>
      <c r="T1432" s="2">
        <v>1.8797809652831321</v>
      </c>
      <c r="U1432" s="2">
        <v>3.3113739548456715</v>
      </c>
      <c r="V1432" s="2">
        <v>5.3127676253874991</v>
      </c>
      <c r="W1432" s="2">
        <v>7.8555247930254382</v>
      </c>
      <c r="X1432" s="2">
        <v>10.815644439660312</v>
      </c>
      <c r="Y1432" s="2">
        <v>13.994859799756149</v>
      </c>
      <c r="Z1432" s="2">
        <v>17.163237523365829</v>
      </c>
      <c r="AA1432" s="2">
        <v>20.107334216690059</v>
      </c>
      <c r="AB1432" s="2">
        <v>22.668192992623567</v>
      </c>
      <c r="AC1432" s="2">
        <v>24.759772627282469</v>
      </c>
      <c r="AD1432" s="2">
        <v>26.367036183434102</v>
      </c>
      <c r="AE1432" s="2">
        <v>27.529578785220071</v>
      </c>
      <c r="AF1432" s="2">
        <v>28.319243824163266</v>
      </c>
      <c r="AG1432" s="2">
        <v>28.819074128102734</v>
      </c>
      <c r="AH1432" s="2">
        <v>29.107901420256347</v>
      </c>
      <c r="AI1432" s="2">
        <v>29.251716120533342</v>
      </c>
      <c r="AJ1432" s="2">
        <v>29.330819410105889</v>
      </c>
      <c r="AK1432" s="2">
        <v>29.36713543522367</v>
      </c>
      <c r="AL1432" s="2">
        <v>17.72796177723886</v>
      </c>
      <c r="AM1432" s="2">
        <v>0</v>
      </c>
      <c r="AN1432" s="2">
        <v>0</v>
      </c>
      <c r="AO1432" s="2">
        <v>0</v>
      </c>
      <c r="AP1432" s="2">
        <v>0</v>
      </c>
      <c r="AQ1432" s="2">
        <v>0</v>
      </c>
      <c r="AR1432" s="2">
        <v>374.64741442765211</v>
      </c>
    </row>
    <row r="1433" spans="1:44" x14ac:dyDescent="0.25">
      <c r="A1433" t="s">
        <v>131</v>
      </c>
      <c r="B1433" t="s">
        <v>177</v>
      </c>
      <c r="C1433" t="s">
        <v>45</v>
      </c>
      <c r="D1433" t="s">
        <v>178</v>
      </c>
      <c r="E1433" t="s">
        <v>145</v>
      </c>
      <c r="F1433" t="s">
        <v>179</v>
      </c>
      <c r="G1433" t="s">
        <v>28</v>
      </c>
      <c r="H1433" t="s">
        <v>138</v>
      </c>
      <c r="I1433" t="s">
        <v>135</v>
      </c>
      <c r="J1433" t="s">
        <v>39</v>
      </c>
      <c r="K1433" t="s">
        <v>28</v>
      </c>
      <c r="L1433">
        <v>15.099999999999994</v>
      </c>
      <c r="M1433">
        <v>1</v>
      </c>
      <c r="N1433">
        <v>1.4244861623684499</v>
      </c>
      <c r="O1433">
        <v>2.3549237220148114</v>
      </c>
      <c r="P1433">
        <v>-1.1801302289501605E-2</v>
      </c>
      <c r="Q1433">
        <v>1.2035709453628638</v>
      </c>
      <c r="R1433">
        <v>-0.48733586113566879</v>
      </c>
      <c r="S1433" s="2">
        <v>0.33247298864777763</v>
      </c>
      <c r="T1433" s="2">
        <v>0.65206418137154032</v>
      </c>
      <c r="U1433" s="2">
        <v>1.1486595443614671</v>
      </c>
      <c r="V1433" s="2">
        <v>1.842909113585866</v>
      </c>
      <c r="W1433" s="2">
        <v>2.7249485115604681</v>
      </c>
      <c r="X1433" s="2">
        <v>3.7517638851559019</v>
      </c>
      <c r="Y1433" s="2">
        <v>4.8545798512024936</v>
      </c>
      <c r="Z1433" s="2">
        <v>5.953636424695457</v>
      </c>
      <c r="AA1433" s="2">
        <v>6.9748937071480288</v>
      </c>
      <c r="AB1433" s="2">
        <v>7.8632122464761967</v>
      </c>
      <c r="AC1433" s="2">
        <v>8.5887457992866025</v>
      </c>
      <c r="AD1433" s="2">
        <v>9.1462783067149189</v>
      </c>
      <c r="AE1433" s="2">
        <v>9.549544646753068</v>
      </c>
      <c r="AF1433" s="2">
        <v>9.8234660751992031</v>
      </c>
      <c r="AG1433" s="2">
        <v>9.9968487426388091</v>
      </c>
      <c r="AH1433" s="2">
        <v>10.097038038782436</v>
      </c>
      <c r="AI1433" s="2">
        <v>10.146924922699888</v>
      </c>
      <c r="AJ1433" s="2">
        <v>10.174364514179709</v>
      </c>
      <c r="AK1433" s="2">
        <v>10.186961928254238</v>
      </c>
      <c r="AL1433" s="2">
        <v>6.1495297043398658</v>
      </c>
      <c r="AM1433" s="2">
        <v>0</v>
      </c>
      <c r="AN1433" s="2">
        <v>0</v>
      </c>
      <c r="AO1433" s="2">
        <v>0</v>
      </c>
      <c r="AP1433" s="2">
        <v>0</v>
      </c>
      <c r="AQ1433" s="2">
        <v>0</v>
      </c>
      <c r="AR1433" s="2">
        <v>129.95884313305393</v>
      </c>
    </row>
    <row r="1434" spans="1:44" x14ac:dyDescent="0.25">
      <c r="A1434" t="s">
        <v>131</v>
      </c>
      <c r="B1434" t="s">
        <v>184</v>
      </c>
      <c r="C1434" t="s">
        <v>45</v>
      </c>
      <c r="D1434" t="s">
        <v>178</v>
      </c>
      <c r="E1434" t="s">
        <v>145</v>
      </c>
      <c r="F1434" t="s">
        <v>185</v>
      </c>
      <c r="G1434" t="s">
        <v>28</v>
      </c>
      <c r="H1434" t="s">
        <v>54</v>
      </c>
      <c r="I1434" t="s">
        <v>135</v>
      </c>
      <c r="J1434" t="s">
        <v>39</v>
      </c>
      <c r="K1434" t="s">
        <v>28</v>
      </c>
      <c r="L1434">
        <v>1.1100000000000001</v>
      </c>
      <c r="M1434">
        <v>1</v>
      </c>
      <c r="N1434">
        <v>2.7689683863787629</v>
      </c>
      <c r="O1434">
        <v>2.3549237220148114</v>
      </c>
      <c r="P1434">
        <v>-0.59619935801880586</v>
      </c>
      <c r="Q1434">
        <v>0.61917288963355954</v>
      </c>
      <c r="R1434">
        <v>-0.48733586113566862</v>
      </c>
      <c r="S1434" s="2">
        <v>1.8408427014529841E-2</v>
      </c>
      <c r="T1434" s="2">
        <v>3.6103612327687919E-2</v>
      </c>
      <c r="U1434" s="2">
        <v>6.3599197856407635E-2</v>
      </c>
      <c r="V1434" s="2">
        <v>0.10203853867899494</v>
      </c>
      <c r="W1434" s="2">
        <v>0.15087546208619768</v>
      </c>
      <c r="X1434" s="2">
        <v>0.20772836896175015</v>
      </c>
      <c r="Y1434" s="2">
        <v>0.26878929094520171</v>
      </c>
      <c r="Z1434" s="2">
        <v>0.32964206217413949</v>
      </c>
      <c r="AA1434" s="2">
        <v>0.38618722761313329</v>
      </c>
      <c r="AB1434" s="2">
        <v>0.43537181570067929</v>
      </c>
      <c r="AC1434" s="2">
        <v>0.47554329401482343</v>
      </c>
      <c r="AD1434" s="2">
        <v>0.50641285882658305</v>
      </c>
      <c r="AE1434" s="2">
        <v>0.52874098544583537</v>
      </c>
      <c r="AF1434" s="2">
        <v>0.54390751865436771</v>
      </c>
      <c r="AG1434" s="2">
        <v>0.55350740281977795</v>
      </c>
      <c r="AH1434" s="2">
        <v>0.55905470262659318</v>
      </c>
      <c r="AI1434" s="2">
        <v>0.56181684900519591</v>
      </c>
      <c r="AJ1434" s="2">
        <v>0.5633361294710143</v>
      </c>
      <c r="AK1434" s="2">
        <v>0.56403362546461655</v>
      </c>
      <c r="AL1434" s="2">
        <v>0.56241304914441637</v>
      </c>
      <c r="AM1434" s="2">
        <v>0.56073783682916922</v>
      </c>
      <c r="AN1434" s="2">
        <v>0.32435061492424955</v>
      </c>
      <c r="AO1434" s="2">
        <v>0</v>
      </c>
      <c r="AP1434" s="2">
        <v>0</v>
      </c>
      <c r="AQ1434" s="2">
        <v>0</v>
      </c>
      <c r="AR1434" s="2">
        <v>8.3025988705853635</v>
      </c>
    </row>
    <row r="1435" spans="1:44" x14ac:dyDescent="0.25">
      <c r="A1435" t="s">
        <v>131</v>
      </c>
      <c r="B1435" t="s">
        <v>184</v>
      </c>
      <c r="C1435" t="s">
        <v>45</v>
      </c>
      <c r="D1435" t="s">
        <v>178</v>
      </c>
      <c r="E1435" t="s">
        <v>145</v>
      </c>
      <c r="F1435" t="s">
        <v>185</v>
      </c>
      <c r="G1435" t="s">
        <v>28</v>
      </c>
      <c r="H1435" t="s">
        <v>142</v>
      </c>
      <c r="I1435" t="s">
        <v>135</v>
      </c>
      <c r="J1435" t="s">
        <v>39</v>
      </c>
      <c r="K1435" t="s">
        <v>28</v>
      </c>
      <c r="L1435">
        <v>1.1100000000000001</v>
      </c>
      <c r="M1435">
        <v>1</v>
      </c>
      <c r="N1435">
        <v>2.7689683863787629</v>
      </c>
      <c r="O1435">
        <v>2.3549237220148114</v>
      </c>
      <c r="P1435">
        <v>-0.59619935801880586</v>
      </c>
      <c r="Q1435">
        <v>0.61917288963355954</v>
      </c>
      <c r="R1435">
        <v>-0.48733586113566862</v>
      </c>
      <c r="S1435" s="2">
        <v>3.8705268464673738E-2</v>
      </c>
      <c r="T1435" s="2">
        <v>7.5910886171028702E-2</v>
      </c>
      <c r="U1435" s="2">
        <v>0.13372267088476328</v>
      </c>
      <c r="V1435" s="2">
        <v>0.21454462297056634</v>
      </c>
      <c r="W1435" s="2">
        <v>0.31722836829940465</v>
      </c>
      <c r="X1435" s="2">
        <v>0.43676639411108775</v>
      </c>
      <c r="Y1435" s="2">
        <v>0.56515212615677368</v>
      </c>
      <c r="Z1435" s="2">
        <v>0.69310020370714476</v>
      </c>
      <c r="AA1435" s="2">
        <v>0.81199117722531511</v>
      </c>
      <c r="AB1435" s="2">
        <v>0.91540591683072903</v>
      </c>
      <c r="AC1435" s="2">
        <v>0.99986983390221562</v>
      </c>
      <c r="AD1435" s="2">
        <v>1.0647756942716939</v>
      </c>
      <c r="AE1435" s="2">
        <v>1.1117224613381713</v>
      </c>
      <c r="AF1435" s="2">
        <v>1.1436113749890384</v>
      </c>
      <c r="AG1435" s="2">
        <v>1.1637959401101485</v>
      </c>
      <c r="AH1435" s="2">
        <v>1.175459605240653</v>
      </c>
      <c r="AI1435" s="2">
        <v>1.181267250675984</v>
      </c>
      <c r="AJ1435" s="2">
        <v>1.1844616658346621</v>
      </c>
      <c r="AK1435" s="2">
        <v>1.1859282099160275</v>
      </c>
      <c r="AL1435" s="2">
        <v>1.1825208116906745</v>
      </c>
      <c r="AM1435" s="2">
        <v>1.178998536683376</v>
      </c>
      <c r="AN1435" s="2">
        <v>0.68197449012977385</v>
      </c>
      <c r="AO1435" s="2">
        <v>0</v>
      </c>
      <c r="AP1435" s="2">
        <v>0</v>
      </c>
      <c r="AQ1435" s="2">
        <v>0</v>
      </c>
      <c r="AR1435" s="2">
        <v>17.456913509603901</v>
      </c>
    </row>
    <row r="1436" spans="1:44" x14ac:dyDescent="0.25">
      <c r="A1436" t="s">
        <v>131</v>
      </c>
      <c r="B1436" t="s">
        <v>184</v>
      </c>
      <c r="C1436" t="s">
        <v>45</v>
      </c>
      <c r="D1436" t="s">
        <v>178</v>
      </c>
      <c r="E1436" t="s">
        <v>145</v>
      </c>
      <c r="F1436" t="s">
        <v>185</v>
      </c>
      <c r="G1436" t="s">
        <v>28</v>
      </c>
      <c r="H1436" t="s">
        <v>53</v>
      </c>
      <c r="I1436" t="s">
        <v>135</v>
      </c>
      <c r="J1436" t="s">
        <v>39</v>
      </c>
      <c r="K1436" t="s">
        <v>28</v>
      </c>
      <c r="L1436">
        <v>1.1100000000000001</v>
      </c>
      <c r="M1436">
        <v>1</v>
      </c>
      <c r="N1436">
        <v>2.7689683863787629</v>
      </c>
      <c r="O1436">
        <v>2.3549237220148114</v>
      </c>
      <c r="P1436">
        <v>-0.59619935801880586</v>
      </c>
      <c r="Q1436">
        <v>0.61917288963355954</v>
      </c>
      <c r="R1436">
        <v>-0.48733586113566862</v>
      </c>
      <c r="S1436" s="2">
        <v>3.6399938994990971E-2</v>
      </c>
      <c r="T1436" s="2">
        <v>7.1389548123224483E-2</v>
      </c>
      <c r="U1436" s="2">
        <v>0.12575799769726953</v>
      </c>
      <c r="V1436" s="2">
        <v>0.20176610310711565</v>
      </c>
      <c r="W1436" s="2">
        <v>0.29833388868282562</v>
      </c>
      <c r="X1436" s="2">
        <v>0.41075209477531766</v>
      </c>
      <c r="Y1436" s="2">
        <v>0.53149102773364287</v>
      </c>
      <c r="Z1436" s="2">
        <v>0.65181837339229909</v>
      </c>
      <c r="AA1436" s="2">
        <v>0.7636280663560957</v>
      </c>
      <c r="AB1436" s="2">
        <v>0.86088330736432173</v>
      </c>
      <c r="AC1436" s="2">
        <v>0.94031645821524967</v>
      </c>
      <c r="AD1436" s="2">
        <v>1.0013564522931289</v>
      </c>
      <c r="AE1436" s="2">
        <v>1.0455070169324496</v>
      </c>
      <c r="AF1436" s="2">
        <v>1.0754965908987821</v>
      </c>
      <c r="AG1436" s="2">
        <v>1.0944789405424595</v>
      </c>
      <c r="AH1436" s="2">
        <v>1.1054479046150343</v>
      </c>
      <c r="AI1436" s="2">
        <v>1.1109096401341538</v>
      </c>
      <c r="AJ1436" s="2">
        <v>1.1139137923209985</v>
      </c>
      <c r="AK1436" s="2">
        <v>1.1152929873818442</v>
      </c>
      <c r="AL1436" s="2">
        <v>1.1120885376401328</v>
      </c>
      <c r="AM1436" s="2">
        <v>1.1087760533072499</v>
      </c>
      <c r="AN1436" s="2">
        <v>0.64135531987125738</v>
      </c>
      <c r="AO1436" s="2">
        <v>0</v>
      </c>
      <c r="AP1436" s="2">
        <v>0</v>
      </c>
      <c r="AQ1436" s="2">
        <v>0</v>
      </c>
      <c r="AR1436" s="2">
        <v>16.417160040379841</v>
      </c>
    </row>
    <row r="1437" spans="1:44" x14ac:dyDescent="0.25">
      <c r="A1437" t="s">
        <v>131</v>
      </c>
      <c r="B1437" t="s">
        <v>184</v>
      </c>
      <c r="C1437" t="s">
        <v>45</v>
      </c>
      <c r="D1437" t="s">
        <v>178</v>
      </c>
      <c r="E1437" t="s">
        <v>145</v>
      </c>
      <c r="F1437" t="s">
        <v>185</v>
      </c>
      <c r="G1437" t="s">
        <v>28</v>
      </c>
      <c r="H1437" t="s">
        <v>141</v>
      </c>
      <c r="I1437" t="s">
        <v>135</v>
      </c>
      <c r="J1437" t="s">
        <v>39</v>
      </c>
      <c r="K1437" t="s">
        <v>28</v>
      </c>
      <c r="L1437">
        <v>1.1100000000000001</v>
      </c>
      <c r="M1437">
        <v>1</v>
      </c>
      <c r="N1437">
        <v>2.7689683863787629</v>
      </c>
      <c r="O1437">
        <v>2.3549237220148114</v>
      </c>
      <c r="P1437">
        <v>-0.59619935801880586</v>
      </c>
      <c r="Q1437">
        <v>0.61917288963355954</v>
      </c>
      <c r="R1437">
        <v>-0.48733586113566862</v>
      </c>
      <c r="S1437" s="2">
        <v>3.0636615320784061E-2</v>
      </c>
      <c r="T1437" s="2">
        <v>6.0086203003713937E-2</v>
      </c>
      <c r="U1437" s="2">
        <v>0.10584631472853515</v>
      </c>
      <c r="V1437" s="2">
        <v>0.16981980344848902</v>
      </c>
      <c r="W1437" s="2">
        <v>0.25109768964137819</v>
      </c>
      <c r="X1437" s="2">
        <v>0.34571634643589239</v>
      </c>
      <c r="Y1437" s="2">
        <v>0.44733828167581596</v>
      </c>
      <c r="Z1437" s="2">
        <v>0.54861379760518492</v>
      </c>
      <c r="AA1437" s="2">
        <v>0.64272028918304702</v>
      </c>
      <c r="AB1437" s="2">
        <v>0.72457678369830403</v>
      </c>
      <c r="AC1437" s="2">
        <v>0.79143301899783502</v>
      </c>
      <c r="AD1437" s="2">
        <v>0.84280834734671628</v>
      </c>
      <c r="AE1437" s="2">
        <v>0.87996840591814496</v>
      </c>
      <c r="AF1437" s="2">
        <v>0.90520963067314153</v>
      </c>
      <c r="AG1437" s="2">
        <v>0.92118644162323648</v>
      </c>
      <c r="AH1437" s="2">
        <v>0.93041865305098725</v>
      </c>
      <c r="AI1437" s="2">
        <v>0.9350156137795792</v>
      </c>
      <c r="AJ1437" s="2">
        <v>0.93754410853684045</v>
      </c>
      <c r="AK1437" s="2">
        <v>0.93870493104638497</v>
      </c>
      <c r="AL1437" s="2">
        <v>0.93600785251377827</v>
      </c>
      <c r="AM1437" s="2">
        <v>0.93321984486693532</v>
      </c>
      <c r="AN1437" s="2">
        <v>0.53980739422497637</v>
      </c>
      <c r="AO1437" s="2">
        <v>0</v>
      </c>
      <c r="AP1437" s="2">
        <v>0</v>
      </c>
      <c r="AQ1437" s="2">
        <v>0</v>
      </c>
      <c r="AR1437" s="2">
        <v>13.817776367319704</v>
      </c>
    </row>
    <row r="1438" spans="1:44" x14ac:dyDescent="0.25">
      <c r="A1438" t="s">
        <v>131</v>
      </c>
      <c r="B1438" t="s">
        <v>182</v>
      </c>
      <c r="C1438" t="s">
        <v>45</v>
      </c>
      <c r="D1438" t="s">
        <v>183</v>
      </c>
      <c r="E1438" t="s">
        <v>145</v>
      </c>
      <c r="F1438" t="s">
        <v>183</v>
      </c>
      <c r="G1438" t="s">
        <v>28</v>
      </c>
      <c r="H1438" t="s">
        <v>55</v>
      </c>
      <c r="I1438" t="s">
        <v>135</v>
      </c>
      <c r="J1438" t="s">
        <v>39</v>
      </c>
      <c r="K1438" t="s">
        <v>28</v>
      </c>
      <c r="L1438">
        <v>60.69</v>
      </c>
      <c r="M1438">
        <v>1</v>
      </c>
      <c r="N1438">
        <v>1.1095777125005235</v>
      </c>
      <c r="O1438">
        <v>2.3549237220148118</v>
      </c>
      <c r="P1438">
        <v>0.32978329916770832</v>
      </c>
      <c r="Q1438">
        <v>1.5451555468200735</v>
      </c>
      <c r="R1438">
        <v>-0.48733586113566879</v>
      </c>
      <c r="S1438" s="2">
        <v>9.5351710726484535E-3</v>
      </c>
      <c r="T1438" s="2">
        <v>1.7930140675691857E-2</v>
      </c>
      <c r="U1438" s="2">
        <v>3.0658387951542167E-2</v>
      </c>
      <c r="V1438" s="2">
        <v>4.8863009520589501E-2</v>
      </c>
      <c r="W1438" s="2">
        <v>7.3586448426348011E-2</v>
      </c>
      <c r="X1438" s="2">
        <v>0.10557719293460519</v>
      </c>
      <c r="Y1438" s="2">
        <v>0.14505902242667312</v>
      </c>
      <c r="Z1438" s="2">
        <v>0.19150167361077189</v>
      </c>
      <c r="AA1438" s="2">
        <v>0.24345600136572304</v>
      </c>
      <c r="AB1438" s="2">
        <v>0.29853462929708824</v>
      </c>
      <c r="AC1438" s="2">
        <v>0.35360905342213045</v>
      </c>
      <c r="AD1438" s="2">
        <v>0.40524534558268671</v>
      </c>
      <c r="AE1438" s="2">
        <v>0.45031397335266798</v>
      </c>
      <c r="AF1438" s="2">
        <v>0.4866130277283785</v>
      </c>
      <c r="AG1438" s="2">
        <v>0.51329226659008798</v>
      </c>
      <c r="AH1438" s="2">
        <v>0.532366926196568</v>
      </c>
      <c r="AI1438" s="2">
        <v>0.54207196382689526</v>
      </c>
      <c r="AJ1438" s="2">
        <v>0.54945709739801685</v>
      </c>
      <c r="AK1438" s="2">
        <v>0.55013740903443076</v>
      </c>
      <c r="AL1438" s="2">
        <v>0.54855675919781288</v>
      </c>
      <c r="AM1438" s="2">
        <v>0.54692281944478249</v>
      </c>
      <c r="AN1438" s="2">
        <v>0.54523648037386752</v>
      </c>
      <c r="AO1438" s="2">
        <v>0.54349849205734058</v>
      </c>
      <c r="AP1438" s="2">
        <v>0.54170944325611203</v>
      </c>
      <c r="AQ1438" s="2">
        <v>0.53986973172075647</v>
      </c>
      <c r="AR1438" s="2">
        <v>8.8136024664642161</v>
      </c>
    </row>
    <row r="1439" spans="1:44" x14ac:dyDescent="0.25">
      <c r="A1439" t="s">
        <v>131</v>
      </c>
      <c r="B1439" t="s">
        <v>182</v>
      </c>
      <c r="C1439" t="s">
        <v>45</v>
      </c>
      <c r="D1439" t="s">
        <v>183</v>
      </c>
      <c r="E1439" t="s">
        <v>145</v>
      </c>
      <c r="F1439" t="s">
        <v>183</v>
      </c>
      <c r="G1439" t="s">
        <v>28</v>
      </c>
      <c r="H1439" t="s">
        <v>136</v>
      </c>
      <c r="I1439" t="s">
        <v>135</v>
      </c>
      <c r="J1439" t="s">
        <v>39</v>
      </c>
      <c r="K1439" t="s">
        <v>28</v>
      </c>
      <c r="L1439">
        <v>60.69</v>
      </c>
      <c r="M1439">
        <v>1</v>
      </c>
      <c r="N1439">
        <v>1.1095777125005235</v>
      </c>
      <c r="O1439">
        <v>2.3549237220148118</v>
      </c>
      <c r="P1439">
        <v>0.32978329916770832</v>
      </c>
      <c r="Q1439">
        <v>1.5451555468200735</v>
      </c>
      <c r="R1439">
        <v>-0.48733586113566879</v>
      </c>
      <c r="S1439" s="2">
        <v>1.1971937013436393E-2</v>
      </c>
      <c r="T1439" s="2">
        <v>2.2512287737257566E-2</v>
      </c>
      <c r="U1439" s="2">
        <v>3.8493309316936272E-2</v>
      </c>
      <c r="V1439" s="2">
        <v>6.135022306474016E-2</v>
      </c>
      <c r="W1439" s="2">
        <v>9.2391874135303559E-2</v>
      </c>
      <c r="X1439" s="2">
        <v>0.1325580311290043</v>
      </c>
      <c r="Y1439" s="2">
        <v>0.18212966149126736</v>
      </c>
      <c r="Z1439" s="2">
        <v>0.24044099020019138</v>
      </c>
      <c r="AA1439" s="2">
        <v>0.30567253504807446</v>
      </c>
      <c r="AB1439" s="2">
        <v>0.37482681233967741</v>
      </c>
      <c r="AC1439" s="2">
        <v>0.44397581151889698</v>
      </c>
      <c r="AD1439" s="2">
        <v>0.50880804500937349</v>
      </c>
      <c r="AE1439" s="2">
        <v>0.56539421098723863</v>
      </c>
      <c r="AF1439" s="2">
        <v>0.61096969037007509</v>
      </c>
      <c r="AG1439" s="2">
        <v>0.6444669569408884</v>
      </c>
      <c r="AH1439" s="2">
        <v>0.66841625178013542</v>
      </c>
      <c r="AI1439" s="2">
        <v>0.68060146569376812</v>
      </c>
      <c r="AJ1439" s="2">
        <v>0.68987391117751007</v>
      </c>
      <c r="AK1439" s="2">
        <v>0.6907280802321184</v>
      </c>
      <c r="AL1439" s="2">
        <v>0.68874348654836492</v>
      </c>
      <c r="AM1439" s="2">
        <v>0.68669198441400447</v>
      </c>
      <c r="AN1439" s="2">
        <v>0.6845746920249669</v>
      </c>
      <c r="AO1439" s="2">
        <v>0.68239255113866104</v>
      </c>
      <c r="AP1439" s="2">
        <v>0.68014630097711815</v>
      </c>
      <c r="AQ1439" s="2">
        <v>0.6778364409382831</v>
      </c>
      <c r="AR1439" s="2">
        <v>11.065967541227291</v>
      </c>
    </row>
    <row r="1440" spans="1:44" x14ac:dyDescent="0.25">
      <c r="A1440" t="s">
        <v>131</v>
      </c>
      <c r="B1440" t="s">
        <v>182</v>
      </c>
      <c r="C1440" t="s">
        <v>45</v>
      </c>
      <c r="D1440" t="s">
        <v>183</v>
      </c>
      <c r="E1440" t="s">
        <v>145</v>
      </c>
      <c r="F1440" t="s">
        <v>183</v>
      </c>
      <c r="G1440" t="s">
        <v>28</v>
      </c>
      <c r="H1440" t="s">
        <v>54</v>
      </c>
      <c r="I1440" t="s">
        <v>135</v>
      </c>
      <c r="J1440" t="s">
        <v>39</v>
      </c>
      <c r="K1440" t="s">
        <v>28</v>
      </c>
      <c r="L1440">
        <v>60.69</v>
      </c>
      <c r="M1440">
        <v>1</v>
      </c>
      <c r="N1440">
        <v>1.1095777125005235</v>
      </c>
      <c r="O1440">
        <v>2.3549237220148118</v>
      </c>
      <c r="P1440">
        <v>0.32978329916770832</v>
      </c>
      <c r="Q1440">
        <v>1.5451555468200735</v>
      </c>
      <c r="R1440">
        <v>-0.48733586113566879</v>
      </c>
      <c r="S1440" s="2">
        <v>0</v>
      </c>
      <c r="T1440" s="2">
        <v>0</v>
      </c>
      <c r="U1440" s="2">
        <v>0</v>
      </c>
      <c r="V1440" s="2">
        <v>0</v>
      </c>
      <c r="W1440" s="2">
        <v>0</v>
      </c>
      <c r="X1440" s="2">
        <v>0</v>
      </c>
      <c r="Y1440" s="2">
        <v>0</v>
      </c>
      <c r="Z1440" s="2">
        <v>0</v>
      </c>
      <c r="AA1440" s="2">
        <v>0</v>
      </c>
      <c r="AB1440" s="2">
        <v>0</v>
      </c>
      <c r="AC1440" s="2">
        <v>0</v>
      </c>
      <c r="AD1440" s="2">
        <v>0</v>
      </c>
      <c r="AE1440" s="2">
        <v>0</v>
      </c>
      <c r="AF1440" s="2">
        <v>0</v>
      </c>
      <c r="AG1440" s="2">
        <v>0</v>
      </c>
      <c r="AH1440" s="2">
        <v>0</v>
      </c>
      <c r="AI1440" s="2">
        <v>0</v>
      </c>
      <c r="AJ1440" s="2">
        <v>0</v>
      </c>
      <c r="AK1440" s="2">
        <v>0</v>
      </c>
      <c r="AL1440" s="2">
        <v>0</v>
      </c>
      <c r="AM1440" s="2">
        <v>0</v>
      </c>
      <c r="AN1440" s="2">
        <v>0</v>
      </c>
      <c r="AO1440" s="2">
        <v>0</v>
      </c>
      <c r="AP1440" s="2">
        <v>0</v>
      </c>
      <c r="AQ1440" s="2">
        <v>0</v>
      </c>
      <c r="AR1440" s="2">
        <v>0</v>
      </c>
    </row>
    <row r="1441" spans="1:44" x14ac:dyDescent="0.25">
      <c r="A1441" t="s">
        <v>131</v>
      </c>
      <c r="B1441" t="s">
        <v>182</v>
      </c>
      <c r="C1441" t="s">
        <v>45</v>
      </c>
      <c r="D1441" t="s">
        <v>183</v>
      </c>
      <c r="E1441" t="s">
        <v>145</v>
      </c>
      <c r="F1441" t="s">
        <v>183</v>
      </c>
      <c r="G1441" t="s">
        <v>28</v>
      </c>
      <c r="H1441" t="s">
        <v>142</v>
      </c>
      <c r="I1441" t="s">
        <v>135</v>
      </c>
      <c r="J1441" t="s">
        <v>39</v>
      </c>
      <c r="K1441" t="s">
        <v>28</v>
      </c>
      <c r="L1441">
        <v>60.69</v>
      </c>
      <c r="M1441">
        <v>1</v>
      </c>
      <c r="N1441">
        <v>1.1095777125005235</v>
      </c>
      <c r="O1441">
        <v>2.3549237220148118</v>
      </c>
      <c r="P1441">
        <v>0.32978329916770832</v>
      </c>
      <c r="Q1441">
        <v>1.5451555468200735</v>
      </c>
      <c r="R1441">
        <v>-0.48733586113566879</v>
      </c>
      <c r="S1441" s="2">
        <v>0</v>
      </c>
      <c r="T1441" s="2">
        <v>0</v>
      </c>
      <c r="U1441" s="2">
        <v>0</v>
      </c>
      <c r="V1441" s="2">
        <v>0</v>
      </c>
      <c r="W1441" s="2">
        <v>0</v>
      </c>
      <c r="X1441" s="2">
        <v>0</v>
      </c>
      <c r="Y1441" s="2">
        <v>0</v>
      </c>
      <c r="Z1441" s="2">
        <v>0</v>
      </c>
      <c r="AA1441" s="2">
        <v>0</v>
      </c>
      <c r="AB1441" s="2">
        <v>0</v>
      </c>
      <c r="AC1441" s="2">
        <v>0</v>
      </c>
      <c r="AD1441" s="2">
        <v>0</v>
      </c>
      <c r="AE1441" s="2">
        <v>0</v>
      </c>
      <c r="AF1441" s="2">
        <v>0</v>
      </c>
      <c r="AG1441" s="2">
        <v>0</v>
      </c>
      <c r="AH1441" s="2">
        <v>0</v>
      </c>
      <c r="AI1441" s="2">
        <v>0</v>
      </c>
      <c r="AJ1441" s="2">
        <v>0</v>
      </c>
      <c r="AK1441" s="2">
        <v>0</v>
      </c>
      <c r="AL1441" s="2">
        <v>0</v>
      </c>
      <c r="AM1441" s="2">
        <v>0</v>
      </c>
      <c r="AN1441" s="2">
        <v>0</v>
      </c>
      <c r="AO1441" s="2">
        <v>0</v>
      </c>
      <c r="AP1441" s="2">
        <v>0</v>
      </c>
      <c r="AQ1441" s="2">
        <v>0</v>
      </c>
      <c r="AR1441" s="2">
        <v>0</v>
      </c>
    </row>
    <row r="1442" spans="1:44" x14ac:dyDescent="0.25">
      <c r="A1442" t="s">
        <v>131</v>
      </c>
      <c r="B1442" t="s">
        <v>182</v>
      </c>
      <c r="C1442" t="s">
        <v>45</v>
      </c>
      <c r="D1442" t="s">
        <v>183</v>
      </c>
      <c r="E1442" t="s">
        <v>145</v>
      </c>
      <c r="F1442" t="s">
        <v>183</v>
      </c>
      <c r="G1442" t="s">
        <v>28</v>
      </c>
      <c r="H1442" t="s">
        <v>53</v>
      </c>
      <c r="I1442" t="s">
        <v>135</v>
      </c>
      <c r="J1442" t="s">
        <v>39</v>
      </c>
      <c r="K1442" t="s">
        <v>28</v>
      </c>
      <c r="L1442">
        <v>60.69</v>
      </c>
      <c r="M1442">
        <v>1</v>
      </c>
      <c r="N1442">
        <v>1.1095777125005235</v>
      </c>
      <c r="O1442">
        <v>2.3549237220148118</v>
      </c>
      <c r="P1442">
        <v>0.32978329916770832</v>
      </c>
      <c r="Q1442">
        <v>1.5451555468200735</v>
      </c>
      <c r="R1442">
        <v>-0.48733586113566879</v>
      </c>
      <c r="S1442" s="2">
        <v>8.2918048472408121E-2</v>
      </c>
      <c r="T1442" s="2">
        <v>0.15592088095081919</v>
      </c>
      <c r="U1442" s="2">
        <v>0.26660598733712843</v>
      </c>
      <c r="V1442" s="2">
        <v>0.42491375991753616</v>
      </c>
      <c r="W1442" s="2">
        <v>0.63990930535381718</v>
      </c>
      <c r="X1442" s="2">
        <v>0.91810149336951841</v>
      </c>
      <c r="Y1442" s="2">
        <v>1.2614363141776503</v>
      </c>
      <c r="Z1442" s="2">
        <v>1.6653025870247748</v>
      </c>
      <c r="AA1442" s="2">
        <v>2.1170985154160054</v>
      </c>
      <c r="AB1442" s="2">
        <v>2.5960634239436664</v>
      </c>
      <c r="AC1442" s="2">
        <v>3.0749917760830052</v>
      </c>
      <c r="AD1442" s="2">
        <v>3.5240220602470842</v>
      </c>
      <c r="AE1442" s="2">
        <v>3.9159397965460978</v>
      </c>
      <c r="AF1442" s="2">
        <v>4.2315971379084827</v>
      </c>
      <c r="AG1442" s="2">
        <v>4.463600360953726</v>
      </c>
      <c r="AH1442" s="2">
        <v>4.6294740026319205</v>
      </c>
      <c r="AI1442" s="2">
        <v>4.7138692142675414</v>
      </c>
      <c r="AJ1442" s="2">
        <v>4.7780904913437379</v>
      </c>
      <c r="AK1442" s="2">
        <v>4.7840064956623491</v>
      </c>
      <c r="AL1442" s="2">
        <v>4.7702611313923242</v>
      </c>
      <c r="AM1442" s="2">
        <v>4.7560523568868076</v>
      </c>
      <c r="AN1442" s="2">
        <v>4.7413879168093631</v>
      </c>
      <c r="AO1442" s="2">
        <v>4.7262743338042661</v>
      </c>
      <c r="AP1442" s="2">
        <v>4.7107167277487969</v>
      </c>
      <c r="AQ1442" s="2">
        <v>4.6947185574903285</v>
      </c>
      <c r="AR1442" s="2">
        <v>76.643272675739155</v>
      </c>
    </row>
    <row r="1443" spans="1:44" x14ac:dyDescent="0.25">
      <c r="A1443" t="s">
        <v>131</v>
      </c>
      <c r="B1443" t="s">
        <v>182</v>
      </c>
      <c r="C1443" t="s">
        <v>45</v>
      </c>
      <c r="D1443" t="s">
        <v>183</v>
      </c>
      <c r="E1443" t="s">
        <v>145</v>
      </c>
      <c r="F1443" t="s">
        <v>183</v>
      </c>
      <c r="G1443" t="s">
        <v>28</v>
      </c>
      <c r="H1443" t="s">
        <v>141</v>
      </c>
      <c r="I1443" t="s">
        <v>135</v>
      </c>
      <c r="J1443" t="s">
        <v>39</v>
      </c>
      <c r="K1443" t="s">
        <v>28</v>
      </c>
      <c r="L1443">
        <v>60.69</v>
      </c>
      <c r="M1443">
        <v>1</v>
      </c>
      <c r="N1443">
        <v>1.1095777125005235</v>
      </c>
      <c r="O1443">
        <v>2.3549237220148118</v>
      </c>
      <c r="P1443">
        <v>0.32978329916770832</v>
      </c>
      <c r="Q1443">
        <v>1.5451555468200735</v>
      </c>
      <c r="R1443">
        <v>-0.48733586113566879</v>
      </c>
      <c r="S1443" s="2">
        <v>6.9789357464276849E-2</v>
      </c>
      <c r="T1443" s="2">
        <v>0.13123340813360615</v>
      </c>
      <c r="U1443" s="2">
        <v>0.22439337267541634</v>
      </c>
      <c r="V1443" s="2">
        <v>0.35763574793059288</v>
      </c>
      <c r="W1443" s="2">
        <v>0.53859033200612927</v>
      </c>
      <c r="X1443" s="2">
        <v>0.77273542358601133</v>
      </c>
      <c r="Y1443" s="2">
        <v>1.0617088977661888</v>
      </c>
      <c r="Z1443" s="2">
        <v>1.4016296774125188</v>
      </c>
      <c r="AA1443" s="2">
        <v>1.7818912504751372</v>
      </c>
      <c r="AB1443" s="2">
        <v>2.185020048485919</v>
      </c>
      <c r="AC1443" s="2">
        <v>2.5881180782031952</v>
      </c>
      <c r="AD1443" s="2">
        <v>2.9660519007079622</v>
      </c>
      <c r="AE1443" s="2">
        <v>3.2959159954262987</v>
      </c>
      <c r="AF1443" s="2">
        <v>3.5615942577396398</v>
      </c>
      <c r="AG1443" s="2">
        <v>3.7568636371360515</v>
      </c>
      <c r="AH1443" s="2">
        <v>3.8964739522152003</v>
      </c>
      <c r="AI1443" s="2">
        <v>3.9675065886751799</v>
      </c>
      <c r="AJ1443" s="2">
        <v>4.021559496880978</v>
      </c>
      <c r="AK1443" s="2">
        <v>4.0265388005158114</v>
      </c>
      <c r="AL1443" s="2">
        <v>4.014969785588538</v>
      </c>
      <c r="AM1443" s="2">
        <v>4.0030107337130616</v>
      </c>
      <c r="AN1443" s="2">
        <v>3.9906681633145462</v>
      </c>
      <c r="AO1443" s="2">
        <v>3.977947564285258</v>
      </c>
      <c r="AP1443" s="2">
        <v>3.9648532458552381</v>
      </c>
      <c r="AQ1443" s="2">
        <v>3.9513881192210261</v>
      </c>
      <c r="AR1443" s="2">
        <v>64.508087835413789</v>
      </c>
    </row>
    <row r="1444" spans="1:44" x14ac:dyDescent="0.25">
      <c r="A1444" t="s">
        <v>131</v>
      </c>
      <c r="B1444" t="s">
        <v>182</v>
      </c>
      <c r="C1444" t="s">
        <v>45</v>
      </c>
      <c r="D1444" t="s">
        <v>183</v>
      </c>
      <c r="E1444" t="s">
        <v>145</v>
      </c>
      <c r="F1444" t="s">
        <v>183</v>
      </c>
      <c r="G1444" t="s">
        <v>28</v>
      </c>
      <c r="H1444" t="s">
        <v>52</v>
      </c>
      <c r="I1444" t="s">
        <v>135</v>
      </c>
      <c r="J1444" t="s">
        <v>39</v>
      </c>
      <c r="K1444" t="s">
        <v>28</v>
      </c>
      <c r="L1444">
        <v>60.69</v>
      </c>
      <c r="M1444">
        <v>1</v>
      </c>
      <c r="N1444">
        <v>1.1095777125005235</v>
      </c>
      <c r="O1444">
        <v>2.3549237220148118</v>
      </c>
      <c r="P1444">
        <v>0.32978329916770832</v>
      </c>
      <c r="Q1444">
        <v>1.5451555468200735</v>
      </c>
      <c r="R1444">
        <v>-0.48733586113566879</v>
      </c>
      <c r="S1444" s="2">
        <v>4.396294762764775</v>
      </c>
      <c r="T1444" s="2">
        <v>8.26688718509644</v>
      </c>
      <c r="U1444" s="2">
        <v>14.13538460498104</v>
      </c>
      <c r="V1444" s="2">
        <v>22.52882420374095</v>
      </c>
      <c r="W1444" s="2">
        <v>33.927835731777542</v>
      </c>
      <c r="X1444" s="2">
        <v>48.677517878752717</v>
      </c>
      <c r="Y1444" s="2">
        <v>66.881046572458558</v>
      </c>
      <c r="Z1444" s="2">
        <v>88.293938130874395</v>
      </c>
      <c r="AA1444" s="2">
        <v>112.24804836883732</v>
      </c>
      <c r="AB1444" s="2">
        <v>137.64265132562238</v>
      </c>
      <c r="AC1444" s="2">
        <v>163.03531607158988</v>
      </c>
      <c r="AD1444" s="2">
        <v>186.84279252528634</v>
      </c>
      <c r="AE1444" s="2">
        <v>207.62217558203204</v>
      </c>
      <c r="AF1444" s="2">
        <v>224.35825104721243</v>
      </c>
      <c r="AG1444" s="2">
        <v>236.65900550548636</v>
      </c>
      <c r="AH1444" s="2">
        <v>245.45358564364813</v>
      </c>
      <c r="AI1444" s="2">
        <v>249.92819923805217</v>
      </c>
      <c r="AJ1444" s="2">
        <v>253.3331957287993</v>
      </c>
      <c r="AK1444" s="2">
        <v>253.6468608388877</v>
      </c>
      <c r="AL1444" s="2">
        <v>252.91808496842418</v>
      </c>
      <c r="AM1444" s="2">
        <v>252.16473919998529</v>
      </c>
      <c r="AN1444" s="2">
        <v>251.38723415374923</v>
      </c>
      <c r="AO1444" s="2">
        <v>250.58591565872911</v>
      </c>
      <c r="AP1444" s="2">
        <v>249.76105516957298</v>
      </c>
      <c r="AQ1444" s="2">
        <v>248.91283607352742</v>
      </c>
      <c r="AR1444" s="2">
        <v>4063.6076761698882</v>
      </c>
    </row>
    <row r="1445" spans="1:44" x14ac:dyDescent="0.25">
      <c r="A1445" t="s">
        <v>131</v>
      </c>
      <c r="B1445" t="s">
        <v>182</v>
      </c>
      <c r="C1445" t="s">
        <v>45</v>
      </c>
      <c r="D1445" t="s">
        <v>183</v>
      </c>
      <c r="E1445" t="s">
        <v>145</v>
      </c>
      <c r="F1445" t="s">
        <v>183</v>
      </c>
      <c r="G1445" t="s">
        <v>28</v>
      </c>
      <c r="H1445" t="s">
        <v>138</v>
      </c>
      <c r="I1445" t="s">
        <v>135</v>
      </c>
      <c r="J1445" t="s">
        <v>39</v>
      </c>
      <c r="K1445" t="s">
        <v>28</v>
      </c>
      <c r="L1445">
        <v>60.69</v>
      </c>
      <c r="M1445">
        <v>1</v>
      </c>
      <c r="N1445">
        <v>1.1095777125005235</v>
      </c>
      <c r="O1445">
        <v>2.3549237220148118</v>
      </c>
      <c r="P1445">
        <v>0.32978329916770832</v>
      </c>
      <c r="Q1445">
        <v>1.5451555468200735</v>
      </c>
      <c r="R1445">
        <v>-0.48733586113566879</v>
      </c>
      <c r="S1445" s="2">
        <v>1.5250001986898647</v>
      </c>
      <c r="T1445" s="2">
        <v>2.8676431586426165</v>
      </c>
      <c r="U1445" s="2">
        <v>4.903325526243183</v>
      </c>
      <c r="V1445" s="2">
        <v>7.8148675739266471</v>
      </c>
      <c r="W1445" s="2">
        <v>11.76899162228586</v>
      </c>
      <c r="X1445" s="2">
        <v>16.885406562262215</v>
      </c>
      <c r="Y1445" s="2">
        <v>23.199902375845912</v>
      </c>
      <c r="Z1445" s="2">
        <v>30.627671814256477</v>
      </c>
      <c r="AA1445" s="2">
        <v>38.936946975178373</v>
      </c>
      <c r="AB1445" s="2">
        <v>47.745904664446861</v>
      </c>
      <c r="AC1445" s="2">
        <v>56.554190021207731</v>
      </c>
      <c r="AD1445" s="2">
        <v>64.812600405719522</v>
      </c>
      <c r="AE1445" s="2">
        <v>72.02061647383718</v>
      </c>
      <c r="AF1445" s="2">
        <v>77.826077614854455</v>
      </c>
      <c r="AG1445" s="2">
        <v>82.093001014027521</v>
      </c>
      <c r="AH1445" s="2">
        <v>85.143691921216842</v>
      </c>
      <c r="AI1445" s="2">
        <v>86.695859596214888</v>
      </c>
      <c r="AJ1445" s="2">
        <v>87.876995212713453</v>
      </c>
      <c r="AK1445" s="2">
        <v>87.985800327251795</v>
      </c>
      <c r="AL1445" s="2">
        <v>87.73300032014798</v>
      </c>
      <c r="AM1445" s="2">
        <v>87.471677431546013</v>
      </c>
      <c r="AN1445" s="2">
        <v>87.201974098631467</v>
      </c>
      <c r="AO1445" s="2">
        <v>86.924010283632185</v>
      </c>
      <c r="AP1445" s="2">
        <v>86.637880149568232</v>
      </c>
      <c r="AQ1445" s="2">
        <v>86.34364731036969</v>
      </c>
      <c r="AR1445" s="2">
        <v>1409.5966826527169</v>
      </c>
    </row>
    <row r="1446" spans="1:44" x14ac:dyDescent="0.25">
      <c r="A1446" t="s">
        <v>131</v>
      </c>
      <c r="B1446" t="s">
        <v>209</v>
      </c>
      <c r="C1446" t="s">
        <v>44</v>
      </c>
      <c r="D1446" t="s">
        <v>210</v>
      </c>
      <c r="E1446" t="s">
        <v>134</v>
      </c>
      <c r="F1446" t="s">
        <v>210</v>
      </c>
      <c r="G1446" t="s">
        <v>28</v>
      </c>
      <c r="H1446" t="s">
        <v>52</v>
      </c>
      <c r="I1446" t="s">
        <v>135</v>
      </c>
      <c r="J1446" t="s">
        <v>39</v>
      </c>
      <c r="K1446" t="s">
        <v>28</v>
      </c>
      <c r="L1446">
        <v>1.2426830176632301E-2</v>
      </c>
      <c r="M1446">
        <v>0</v>
      </c>
      <c r="N1446">
        <v>0.92533014665824875</v>
      </c>
      <c r="O1446">
        <v>3.8670716226463648</v>
      </c>
      <c r="P1446">
        <v>0.76800378363567889</v>
      </c>
      <c r="Q1446">
        <v>3.0425560657676498</v>
      </c>
      <c r="R1446">
        <v>-1.5465158956152727</v>
      </c>
      <c r="S1446" s="2">
        <v>46.930054960778321</v>
      </c>
      <c r="T1446" s="2">
        <v>93.748120278010845</v>
      </c>
      <c r="U1446" s="2">
        <v>166.3254220385993</v>
      </c>
      <c r="V1446" s="2">
        <v>270.30332489189834</v>
      </c>
      <c r="W1446" s="2">
        <v>409.84805074084943</v>
      </c>
      <c r="X1446" s="2">
        <v>586.28547399597528</v>
      </c>
      <c r="Y1446" s="2">
        <v>796.44166670621007</v>
      </c>
      <c r="Z1446" s="2">
        <v>1030.9553827494792</v>
      </c>
      <c r="AA1446" s="2">
        <v>1273.0694801772436</v>
      </c>
      <c r="AB1446" s="2">
        <v>1498.652654745471</v>
      </c>
      <c r="AC1446" s="2">
        <v>1678.2710979077794</v>
      </c>
      <c r="AD1446" s="2">
        <v>1781.8345759096671</v>
      </c>
      <c r="AE1446" s="2">
        <v>1785.5228953169681</v>
      </c>
      <c r="AF1446" s="2">
        <v>1679.4319823036758</v>
      </c>
      <c r="AG1446" s="2">
        <v>1473.1599790039868</v>
      </c>
      <c r="AH1446" s="2">
        <v>1215.3148645642884</v>
      </c>
      <c r="AI1446" s="2">
        <v>926.98835263889441</v>
      </c>
      <c r="AJ1446" s="2">
        <v>640.05458561431738</v>
      </c>
      <c r="AK1446" s="2">
        <v>46.052510237433218</v>
      </c>
      <c r="AL1446" s="2">
        <v>0</v>
      </c>
      <c r="AM1446" s="2">
        <v>0</v>
      </c>
      <c r="AN1446" s="2">
        <v>0</v>
      </c>
      <c r="AO1446" s="2">
        <v>0</v>
      </c>
      <c r="AP1446" s="2">
        <v>0</v>
      </c>
      <c r="AQ1446" s="2">
        <v>0</v>
      </c>
      <c r="AR1446" s="2">
        <v>17399.190474781524</v>
      </c>
    </row>
    <row r="1447" spans="1:44" x14ac:dyDescent="0.25">
      <c r="A1447" t="s">
        <v>131</v>
      </c>
      <c r="B1447" t="s">
        <v>209</v>
      </c>
      <c r="C1447" t="s">
        <v>44</v>
      </c>
      <c r="D1447" t="s">
        <v>210</v>
      </c>
      <c r="E1447" t="s">
        <v>134</v>
      </c>
      <c r="F1447" t="s">
        <v>210</v>
      </c>
      <c r="G1447" t="s">
        <v>28</v>
      </c>
      <c r="H1447" t="s">
        <v>138</v>
      </c>
      <c r="I1447" t="s">
        <v>135</v>
      </c>
      <c r="J1447" t="s">
        <v>39</v>
      </c>
      <c r="K1447" t="s">
        <v>28</v>
      </c>
      <c r="L1447">
        <v>1.2426830176632301E-2</v>
      </c>
      <c r="M1447">
        <v>0</v>
      </c>
      <c r="N1447">
        <v>0.92533014665824875</v>
      </c>
      <c r="O1447">
        <v>3.8670716226463648</v>
      </c>
      <c r="P1447">
        <v>0.76800378363567889</v>
      </c>
      <c r="Q1447">
        <v>3.0425560657676498</v>
      </c>
      <c r="R1447">
        <v>-1.5465158956152727</v>
      </c>
      <c r="S1447" s="2">
        <v>16.279241270597787</v>
      </c>
      <c r="T1447" s="2">
        <v>32.51963523047722</v>
      </c>
      <c r="U1447" s="2">
        <v>57.695472060777938</v>
      </c>
      <c r="V1447" s="2">
        <v>93.763645617665702</v>
      </c>
      <c r="W1447" s="2">
        <v>142.16934772121218</v>
      </c>
      <c r="X1447" s="2">
        <v>203.37250174976089</v>
      </c>
      <c r="Y1447" s="2">
        <v>276.27212584991156</v>
      </c>
      <c r="Z1447" s="2">
        <v>357.6209622815644</v>
      </c>
      <c r="AA1447" s="2">
        <v>441.60624229740171</v>
      </c>
      <c r="AB1447" s="2">
        <v>519.85722513670771</v>
      </c>
      <c r="AC1447" s="2">
        <v>582.16382109812605</v>
      </c>
      <c r="AD1447" s="2">
        <v>618.08823769265166</v>
      </c>
      <c r="AE1447" s="2">
        <v>619.36765323061888</v>
      </c>
      <c r="AF1447" s="2">
        <v>582.56651223462381</v>
      </c>
      <c r="AG1447" s="2">
        <v>511.01424765936235</v>
      </c>
      <c r="AH1447" s="2">
        <v>421.57214425852874</v>
      </c>
      <c r="AI1447" s="2">
        <v>321.55656029498658</v>
      </c>
      <c r="AJ1447" s="2">
        <v>222.0240959503694</v>
      </c>
      <c r="AK1447" s="2">
        <v>15.974835867940056</v>
      </c>
      <c r="AL1447" s="2">
        <v>0</v>
      </c>
      <c r="AM1447" s="2">
        <v>0</v>
      </c>
      <c r="AN1447" s="2">
        <v>0</v>
      </c>
      <c r="AO1447" s="2">
        <v>0</v>
      </c>
      <c r="AP1447" s="2">
        <v>0</v>
      </c>
      <c r="AQ1447" s="2">
        <v>0</v>
      </c>
      <c r="AR1447" s="2">
        <v>6035.4845075032854</v>
      </c>
    </row>
    <row r="1448" spans="1:44" x14ac:dyDescent="0.25">
      <c r="A1448" t="s">
        <v>131</v>
      </c>
      <c r="B1448" t="s">
        <v>248</v>
      </c>
      <c r="C1448" t="s">
        <v>46</v>
      </c>
      <c r="D1448" t="s">
        <v>249</v>
      </c>
      <c r="E1448" t="s">
        <v>148</v>
      </c>
      <c r="F1448" t="s">
        <v>249</v>
      </c>
      <c r="G1448" t="s">
        <v>28</v>
      </c>
      <c r="H1448" t="s">
        <v>55</v>
      </c>
      <c r="I1448" t="s">
        <v>135</v>
      </c>
      <c r="J1448" t="s">
        <v>39</v>
      </c>
      <c r="K1448" t="s">
        <v>28</v>
      </c>
      <c r="L1448">
        <v>118.23000000000002</v>
      </c>
      <c r="M1448">
        <v>1</v>
      </c>
      <c r="N1448">
        <v>1.4008648559322652</v>
      </c>
      <c r="O1448">
        <v>3.7072906216928287</v>
      </c>
      <c r="P1448">
        <v>-0.26124582980080768</v>
      </c>
      <c r="Q1448">
        <v>1.9266972517404557</v>
      </c>
      <c r="R1448">
        <v>-1.4599066950245667</v>
      </c>
      <c r="S1448" s="2">
        <v>0</v>
      </c>
      <c r="T1448" s="2">
        <v>0</v>
      </c>
      <c r="U1448" s="2">
        <v>0</v>
      </c>
      <c r="V1448" s="2">
        <v>0</v>
      </c>
      <c r="W1448" s="2">
        <v>0</v>
      </c>
      <c r="X1448" s="2">
        <v>0</v>
      </c>
      <c r="Y1448" s="2">
        <v>0</v>
      </c>
      <c r="Z1448" s="2">
        <v>0</v>
      </c>
      <c r="AA1448" s="2">
        <v>0</v>
      </c>
      <c r="AB1448" s="2">
        <v>0</v>
      </c>
      <c r="AC1448" s="2">
        <v>0</v>
      </c>
      <c r="AD1448" s="2">
        <v>0</v>
      </c>
      <c r="AE1448" s="2">
        <v>0</v>
      </c>
      <c r="AF1448" s="2">
        <v>0</v>
      </c>
      <c r="AG1448" s="2">
        <v>0</v>
      </c>
      <c r="AH1448" s="2">
        <v>0</v>
      </c>
      <c r="AI1448" s="2">
        <v>0</v>
      </c>
      <c r="AJ1448" s="2">
        <v>0</v>
      </c>
      <c r="AK1448" s="2">
        <v>0</v>
      </c>
      <c r="AL1448" s="2">
        <v>0</v>
      </c>
      <c r="AM1448" s="2">
        <v>0</v>
      </c>
      <c r="AN1448" s="2">
        <v>0</v>
      </c>
      <c r="AO1448" s="2">
        <v>0</v>
      </c>
      <c r="AP1448" s="2">
        <v>0</v>
      </c>
      <c r="AQ1448" s="2">
        <v>0</v>
      </c>
      <c r="AR1448" s="2">
        <v>0</v>
      </c>
    </row>
    <row r="1449" spans="1:44" x14ac:dyDescent="0.25">
      <c r="A1449" t="s">
        <v>131</v>
      </c>
      <c r="B1449" t="s">
        <v>248</v>
      </c>
      <c r="C1449" t="s">
        <v>46</v>
      </c>
      <c r="D1449" t="s">
        <v>249</v>
      </c>
      <c r="E1449" t="s">
        <v>148</v>
      </c>
      <c r="F1449" t="s">
        <v>249</v>
      </c>
      <c r="G1449" t="s">
        <v>28</v>
      </c>
      <c r="H1449" t="s">
        <v>136</v>
      </c>
      <c r="I1449" t="s">
        <v>135</v>
      </c>
      <c r="J1449" t="s">
        <v>39</v>
      </c>
      <c r="K1449" t="s">
        <v>28</v>
      </c>
      <c r="L1449">
        <v>118.23000000000002</v>
      </c>
      <c r="M1449">
        <v>1</v>
      </c>
      <c r="N1449">
        <v>1.4008648559322652</v>
      </c>
      <c r="O1449">
        <v>3.7072906216928287</v>
      </c>
      <c r="P1449">
        <v>-0.26124582980080768</v>
      </c>
      <c r="Q1449">
        <v>1.9266972517404557</v>
      </c>
      <c r="R1449">
        <v>-1.4599066950245667</v>
      </c>
      <c r="S1449" s="2">
        <v>0</v>
      </c>
      <c r="T1449" s="2">
        <v>0</v>
      </c>
      <c r="U1449" s="2">
        <v>0</v>
      </c>
      <c r="V1449" s="2">
        <v>0</v>
      </c>
      <c r="W1449" s="2">
        <v>0</v>
      </c>
      <c r="X1449" s="2">
        <v>0</v>
      </c>
      <c r="Y1449" s="2">
        <v>0</v>
      </c>
      <c r="Z1449" s="2">
        <v>0</v>
      </c>
      <c r="AA1449" s="2">
        <v>0</v>
      </c>
      <c r="AB1449" s="2">
        <v>0</v>
      </c>
      <c r="AC1449" s="2">
        <v>0</v>
      </c>
      <c r="AD1449" s="2">
        <v>0</v>
      </c>
      <c r="AE1449" s="2">
        <v>0</v>
      </c>
      <c r="AF1449" s="2">
        <v>0</v>
      </c>
      <c r="AG1449" s="2">
        <v>0</v>
      </c>
      <c r="AH1449" s="2">
        <v>0</v>
      </c>
      <c r="AI1449" s="2">
        <v>0</v>
      </c>
      <c r="AJ1449" s="2">
        <v>0</v>
      </c>
      <c r="AK1449" s="2">
        <v>0</v>
      </c>
      <c r="AL1449" s="2">
        <v>0</v>
      </c>
      <c r="AM1449" s="2">
        <v>0</v>
      </c>
      <c r="AN1449" s="2">
        <v>0</v>
      </c>
      <c r="AO1449" s="2">
        <v>0</v>
      </c>
      <c r="AP1449" s="2">
        <v>0</v>
      </c>
      <c r="AQ1449" s="2">
        <v>0</v>
      </c>
      <c r="AR1449" s="2">
        <v>0</v>
      </c>
    </row>
    <row r="1450" spans="1:44" x14ac:dyDescent="0.25">
      <c r="A1450" t="s">
        <v>131</v>
      </c>
      <c r="B1450" t="s">
        <v>186</v>
      </c>
      <c r="C1450" t="s">
        <v>45</v>
      </c>
      <c r="D1450" t="s">
        <v>187</v>
      </c>
      <c r="E1450" t="s">
        <v>134</v>
      </c>
      <c r="F1450" t="s">
        <v>187</v>
      </c>
      <c r="G1450" t="s">
        <v>28</v>
      </c>
      <c r="H1450" t="s">
        <v>54</v>
      </c>
      <c r="I1450" t="s">
        <v>135</v>
      </c>
      <c r="J1450" t="s">
        <v>39</v>
      </c>
      <c r="K1450" t="s">
        <v>28</v>
      </c>
      <c r="L1450">
        <v>4.87</v>
      </c>
      <c r="M1450">
        <v>1</v>
      </c>
      <c r="N1450">
        <v>2.1916282489924761</v>
      </c>
      <c r="O1450">
        <v>2.3549237220148114</v>
      </c>
      <c r="P1450">
        <v>-0.43309078277059071</v>
      </c>
      <c r="Q1450">
        <v>0.78228146488177475</v>
      </c>
      <c r="R1450">
        <v>-0.48733586113566879</v>
      </c>
      <c r="S1450" s="2">
        <v>0</v>
      </c>
      <c r="T1450" s="2">
        <v>0</v>
      </c>
      <c r="U1450" s="2">
        <v>0</v>
      </c>
      <c r="V1450" s="2">
        <v>0</v>
      </c>
      <c r="W1450" s="2">
        <v>0</v>
      </c>
      <c r="X1450" s="2">
        <v>0</v>
      </c>
      <c r="Y1450" s="2">
        <v>0</v>
      </c>
      <c r="Z1450" s="2">
        <v>0</v>
      </c>
      <c r="AA1450" s="2">
        <v>0</v>
      </c>
      <c r="AB1450" s="2">
        <v>0</v>
      </c>
      <c r="AC1450" s="2">
        <v>0</v>
      </c>
      <c r="AD1450" s="2">
        <v>0</v>
      </c>
      <c r="AE1450" s="2">
        <v>0</v>
      </c>
      <c r="AF1450" s="2">
        <v>0</v>
      </c>
      <c r="AG1450" s="2">
        <v>0</v>
      </c>
      <c r="AH1450" s="2">
        <v>0</v>
      </c>
      <c r="AI1450" s="2">
        <v>0</v>
      </c>
      <c r="AJ1450" s="2">
        <v>0</v>
      </c>
      <c r="AK1450" s="2">
        <v>0</v>
      </c>
      <c r="AL1450" s="2">
        <v>0</v>
      </c>
      <c r="AM1450" s="2">
        <v>0</v>
      </c>
      <c r="AN1450" s="2">
        <v>0</v>
      </c>
      <c r="AO1450" s="2">
        <v>0</v>
      </c>
      <c r="AP1450" s="2">
        <v>0</v>
      </c>
      <c r="AQ1450" s="2">
        <v>0</v>
      </c>
      <c r="AR1450" s="2">
        <v>0</v>
      </c>
    </row>
    <row r="1451" spans="1:44" x14ac:dyDescent="0.25">
      <c r="A1451" t="s">
        <v>131</v>
      </c>
      <c r="B1451" t="s">
        <v>186</v>
      </c>
      <c r="C1451" t="s">
        <v>45</v>
      </c>
      <c r="D1451" t="s">
        <v>187</v>
      </c>
      <c r="E1451" t="s">
        <v>134</v>
      </c>
      <c r="F1451" t="s">
        <v>187</v>
      </c>
      <c r="G1451" t="s">
        <v>28</v>
      </c>
      <c r="H1451" t="s">
        <v>142</v>
      </c>
      <c r="I1451" t="s">
        <v>135</v>
      </c>
      <c r="J1451" t="s">
        <v>39</v>
      </c>
      <c r="K1451" t="s">
        <v>28</v>
      </c>
      <c r="L1451">
        <v>4.87</v>
      </c>
      <c r="M1451">
        <v>1</v>
      </c>
      <c r="N1451">
        <v>2.1916282489924761</v>
      </c>
      <c r="O1451">
        <v>2.3549237220148114</v>
      </c>
      <c r="P1451">
        <v>-0.43309078277059071</v>
      </c>
      <c r="Q1451">
        <v>0.78228146488177475</v>
      </c>
      <c r="R1451">
        <v>-0.48733586113566879</v>
      </c>
      <c r="S1451" s="2">
        <v>0</v>
      </c>
      <c r="T1451" s="2">
        <v>0</v>
      </c>
      <c r="U1451" s="2">
        <v>0</v>
      </c>
      <c r="V1451" s="2">
        <v>0</v>
      </c>
      <c r="W1451" s="2">
        <v>0</v>
      </c>
      <c r="X1451" s="2">
        <v>0</v>
      </c>
      <c r="Y1451" s="2">
        <v>0</v>
      </c>
      <c r="Z1451" s="2">
        <v>0</v>
      </c>
      <c r="AA1451" s="2">
        <v>0</v>
      </c>
      <c r="AB1451" s="2">
        <v>0</v>
      </c>
      <c r="AC1451" s="2">
        <v>0</v>
      </c>
      <c r="AD1451" s="2">
        <v>0</v>
      </c>
      <c r="AE1451" s="2">
        <v>0</v>
      </c>
      <c r="AF1451" s="2">
        <v>0</v>
      </c>
      <c r="AG1451" s="2">
        <v>0</v>
      </c>
      <c r="AH1451" s="2">
        <v>0</v>
      </c>
      <c r="AI1451" s="2">
        <v>0</v>
      </c>
      <c r="AJ1451" s="2">
        <v>0</v>
      </c>
      <c r="AK1451" s="2">
        <v>0</v>
      </c>
      <c r="AL1451" s="2">
        <v>0</v>
      </c>
      <c r="AM1451" s="2">
        <v>0</v>
      </c>
      <c r="AN1451" s="2">
        <v>0</v>
      </c>
      <c r="AO1451" s="2">
        <v>0</v>
      </c>
      <c r="AP1451" s="2">
        <v>0</v>
      </c>
      <c r="AQ1451" s="2">
        <v>0</v>
      </c>
      <c r="AR1451" s="2">
        <v>0</v>
      </c>
    </row>
    <row r="1452" spans="1:44" x14ac:dyDescent="0.25">
      <c r="A1452" t="s">
        <v>131</v>
      </c>
      <c r="B1452" t="s">
        <v>186</v>
      </c>
      <c r="C1452" t="s">
        <v>45</v>
      </c>
      <c r="D1452" t="s">
        <v>187</v>
      </c>
      <c r="E1452" t="s">
        <v>134</v>
      </c>
      <c r="F1452" t="s">
        <v>187</v>
      </c>
      <c r="G1452" t="s">
        <v>28</v>
      </c>
      <c r="H1452" t="s">
        <v>53</v>
      </c>
      <c r="I1452" t="s">
        <v>135</v>
      </c>
      <c r="J1452" t="s">
        <v>39</v>
      </c>
      <c r="K1452" t="s">
        <v>28</v>
      </c>
      <c r="L1452">
        <v>4.87</v>
      </c>
      <c r="M1452">
        <v>1</v>
      </c>
      <c r="N1452">
        <v>2.1916282489924761</v>
      </c>
      <c r="O1452">
        <v>2.3549237220148114</v>
      </c>
      <c r="P1452">
        <v>-0.43309078277059071</v>
      </c>
      <c r="Q1452">
        <v>0.78228146488177475</v>
      </c>
      <c r="R1452">
        <v>-0.48733586113566879</v>
      </c>
      <c r="S1452" s="2">
        <v>0.12523336269750041</v>
      </c>
      <c r="T1452" s="2">
        <v>0.25016787981171201</v>
      </c>
      <c r="U1452" s="2">
        <v>0.44384119987464182</v>
      </c>
      <c r="V1452" s="2">
        <v>0.72130736588351063</v>
      </c>
      <c r="W1452" s="2">
        <v>1.0936839863534888</v>
      </c>
      <c r="X1452" s="2">
        <v>1.5645091715868775</v>
      </c>
      <c r="Y1452" s="2">
        <v>2.1253132602844578</v>
      </c>
      <c r="Z1452" s="2">
        <v>2.7511156652322111</v>
      </c>
      <c r="AA1452" s="2">
        <v>3.3971997706671968</v>
      </c>
      <c r="AB1452" s="2">
        <v>3.9991709284416048</v>
      </c>
      <c r="AC1452" s="2">
        <v>4.4784846999363381</v>
      </c>
      <c r="AD1452" s="2">
        <v>4.7548449687164274</v>
      </c>
      <c r="AE1452" s="2">
        <v>4.7646872892179637</v>
      </c>
      <c r="AF1452" s="2">
        <v>4.4815825325879866</v>
      </c>
      <c r="AG1452" s="2">
        <v>3.9311434456284879</v>
      </c>
      <c r="AH1452" s="2">
        <v>3.2430809499976556</v>
      </c>
      <c r="AI1452" s="2">
        <v>2.4736785132556718</v>
      </c>
      <c r="AJ1452" s="2">
        <v>1.7079926314475118</v>
      </c>
      <c r="AK1452" s="2">
        <v>0.12289162504742571</v>
      </c>
      <c r="AL1452" s="2">
        <v>0</v>
      </c>
      <c r="AM1452" s="2">
        <v>0</v>
      </c>
      <c r="AN1452" s="2">
        <v>0</v>
      </c>
      <c r="AO1452" s="2">
        <v>0</v>
      </c>
      <c r="AP1452" s="2">
        <v>0</v>
      </c>
      <c r="AQ1452" s="2">
        <v>0</v>
      </c>
      <c r="AR1452" s="2">
        <v>46.429929246668664</v>
      </c>
    </row>
    <row r="1453" spans="1:44" x14ac:dyDescent="0.25">
      <c r="A1453" t="s">
        <v>131</v>
      </c>
      <c r="B1453" t="s">
        <v>186</v>
      </c>
      <c r="C1453" t="s">
        <v>45</v>
      </c>
      <c r="D1453" t="s">
        <v>187</v>
      </c>
      <c r="E1453" t="s">
        <v>134</v>
      </c>
      <c r="F1453" t="s">
        <v>187</v>
      </c>
      <c r="G1453" t="s">
        <v>28</v>
      </c>
      <c r="H1453" t="s">
        <v>141</v>
      </c>
      <c r="I1453" t="s">
        <v>135</v>
      </c>
      <c r="J1453" t="s">
        <v>39</v>
      </c>
      <c r="K1453" t="s">
        <v>28</v>
      </c>
      <c r="L1453">
        <v>4.87</v>
      </c>
      <c r="M1453">
        <v>1</v>
      </c>
      <c r="N1453">
        <v>2.1916282489924761</v>
      </c>
      <c r="O1453">
        <v>2.3549237220148114</v>
      </c>
      <c r="P1453">
        <v>-0.43309078277059071</v>
      </c>
      <c r="Q1453">
        <v>0.78228146488177475</v>
      </c>
      <c r="R1453">
        <v>-0.48733586113566879</v>
      </c>
      <c r="S1453" s="2">
        <v>0.10540474693706287</v>
      </c>
      <c r="T1453" s="2">
        <v>0.21055796550819086</v>
      </c>
      <c r="U1453" s="2">
        <v>0.37356634322782345</v>
      </c>
      <c r="V1453" s="2">
        <v>0.60710036628528796</v>
      </c>
      <c r="W1453" s="2">
        <v>0.92051735518085276</v>
      </c>
      <c r="X1453" s="2">
        <v>1.3167952194189552</v>
      </c>
      <c r="Y1453" s="2">
        <v>1.7888053274060842</v>
      </c>
      <c r="Z1453" s="2">
        <v>2.3155223515704439</v>
      </c>
      <c r="AA1453" s="2">
        <v>2.859309806978223</v>
      </c>
      <c r="AB1453" s="2">
        <v>3.3659688647716854</v>
      </c>
      <c r="AC1453" s="2">
        <v>3.7693912891130843</v>
      </c>
      <c r="AD1453" s="2">
        <v>4.0019945153363254</v>
      </c>
      <c r="AE1453" s="2">
        <v>4.0102784684251196</v>
      </c>
      <c r="AF1453" s="2">
        <v>3.7719986315948892</v>
      </c>
      <c r="AG1453" s="2">
        <v>3.3087124000706432</v>
      </c>
      <c r="AH1453" s="2">
        <v>2.7295931329146934</v>
      </c>
      <c r="AI1453" s="2">
        <v>2.0820127486568567</v>
      </c>
      <c r="AJ1453" s="2">
        <v>1.4375604648016558</v>
      </c>
      <c r="AK1453" s="2">
        <v>0.10343378441490336</v>
      </c>
      <c r="AL1453" s="2">
        <v>0</v>
      </c>
      <c r="AM1453" s="2">
        <v>0</v>
      </c>
      <c r="AN1453" s="2">
        <v>0</v>
      </c>
      <c r="AO1453" s="2">
        <v>0</v>
      </c>
      <c r="AP1453" s="2">
        <v>0</v>
      </c>
      <c r="AQ1453" s="2">
        <v>0</v>
      </c>
      <c r="AR1453" s="2">
        <v>39.078523782612777</v>
      </c>
    </row>
    <row r="1454" spans="1:44" x14ac:dyDescent="0.25">
      <c r="A1454" t="s">
        <v>131</v>
      </c>
      <c r="B1454" t="s">
        <v>160</v>
      </c>
      <c r="C1454" t="s">
        <v>44</v>
      </c>
      <c r="D1454" t="s">
        <v>161</v>
      </c>
      <c r="E1454" t="s">
        <v>134</v>
      </c>
      <c r="F1454" t="s">
        <v>161</v>
      </c>
      <c r="G1454" t="s">
        <v>28</v>
      </c>
      <c r="H1454" t="s">
        <v>54</v>
      </c>
      <c r="I1454" t="s">
        <v>135</v>
      </c>
      <c r="J1454" t="s">
        <v>39</v>
      </c>
      <c r="K1454" t="s">
        <v>28</v>
      </c>
      <c r="L1454">
        <v>116.68</v>
      </c>
      <c r="M1454">
        <v>1</v>
      </c>
      <c r="N1454">
        <v>2.4250104789603242</v>
      </c>
      <c r="O1454">
        <v>3.7403155854968455</v>
      </c>
      <c r="P1454">
        <v>-1.0515961444114803</v>
      </c>
      <c r="Q1454">
        <v>1.1229171448630897</v>
      </c>
      <c r="R1454">
        <v>-1.4464769027578748</v>
      </c>
      <c r="S1454" s="2">
        <v>0.1314746435468199</v>
      </c>
      <c r="T1454" s="2">
        <v>0.22992860942752774</v>
      </c>
      <c r="U1454" s="2">
        <v>0.35739037430148035</v>
      </c>
      <c r="V1454" s="2">
        <v>0.49988830645655147</v>
      </c>
      <c r="W1454" s="2">
        <v>0.63554748484404677</v>
      </c>
      <c r="X1454" s="2">
        <v>0.74058214499151187</v>
      </c>
      <c r="Y1454" s="2">
        <v>0.79648236307871312</v>
      </c>
      <c r="Z1454" s="2">
        <v>0.79530927222789105</v>
      </c>
      <c r="AA1454" s="2">
        <v>0.74109839442228509</v>
      </c>
      <c r="AB1454" s="2">
        <v>0.64733860213068939</v>
      </c>
      <c r="AC1454" s="2">
        <v>0.53211321757389796</v>
      </c>
      <c r="AD1454" s="2">
        <v>0.4130475709756159</v>
      </c>
      <c r="AE1454" s="2">
        <v>0.30371287354546173</v>
      </c>
      <c r="AF1454" s="2">
        <v>0.21212857488575584</v>
      </c>
      <c r="AG1454" s="2">
        <v>1.7837018071664604E-2</v>
      </c>
      <c r="AH1454" s="2">
        <v>0</v>
      </c>
      <c r="AI1454" s="2">
        <v>0</v>
      </c>
      <c r="AJ1454" s="2">
        <v>0</v>
      </c>
      <c r="AK1454" s="2">
        <v>0</v>
      </c>
      <c r="AL1454" s="2">
        <v>0</v>
      </c>
      <c r="AM1454" s="2">
        <v>0</v>
      </c>
      <c r="AN1454" s="2">
        <v>0</v>
      </c>
      <c r="AO1454" s="2">
        <v>0</v>
      </c>
      <c r="AP1454" s="2">
        <v>0</v>
      </c>
      <c r="AQ1454" s="2">
        <v>0</v>
      </c>
      <c r="AR1454" s="2">
        <v>7.0538794504799132</v>
      </c>
    </row>
    <row r="1455" spans="1:44" x14ac:dyDescent="0.25">
      <c r="A1455" t="s">
        <v>131</v>
      </c>
      <c r="B1455" t="s">
        <v>160</v>
      </c>
      <c r="C1455" t="s">
        <v>44</v>
      </c>
      <c r="D1455" t="s">
        <v>161</v>
      </c>
      <c r="E1455" t="s">
        <v>134</v>
      </c>
      <c r="F1455" t="s">
        <v>161</v>
      </c>
      <c r="G1455" t="s">
        <v>28</v>
      </c>
      <c r="H1455" t="s">
        <v>142</v>
      </c>
      <c r="I1455" t="s">
        <v>135</v>
      </c>
      <c r="J1455" t="s">
        <v>39</v>
      </c>
      <c r="K1455" t="s">
        <v>28</v>
      </c>
      <c r="L1455">
        <v>116.68</v>
      </c>
      <c r="M1455">
        <v>1</v>
      </c>
      <c r="N1455">
        <v>2.4250104789603242</v>
      </c>
      <c r="O1455">
        <v>3.7403155854968455</v>
      </c>
      <c r="P1455">
        <v>-1.0515961444114803</v>
      </c>
      <c r="Q1455">
        <v>1.1229171448630897</v>
      </c>
      <c r="R1455">
        <v>-1.4464769027578748</v>
      </c>
      <c r="S1455" s="2">
        <v>0.1053779178176773</v>
      </c>
      <c r="T1455" s="2">
        <v>0.18428951358638532</v>
      </c>
      <c r="U1455" s="2">
        <v>0.28645107889993016</v>
      </c>
      <c r="V1455" s="2">
        <v>0.40066424562723596</v>
      </c>
      <c r="W1455" s="2">
        <v>0.5093960996614344</v>
      </c>
      <c r="X1455" s="2">
        <v>0.59358217148817138</v>
      </c>
      <c r="Y1455" s="2">
        <v>0.63838661764349125</v>
      </c>
      <c r="Z1455" s="2">
        <v>0.63744637648416402</v>
      </c>
      <c r="AA1455" s="2">
        <v>0.59399594929826349</v>
      </c>
      <c r="AB1455" s="2">
        <v>0.51884676904444704</v>
      </c>
      <c r="AC1455" s="2">
        <v>0.42649275478912935</v>
      </c>
      <c r="AD1455" s="2">
        <v>0.33106074156085802</v>
      </c>
      <c r="AE1455" s="2">
        <v>0.24342815743970417</v>
      </c>
      <c r="AF1455" s="2">
        <v>0.1700226517300405</v>
      </c>
      <c r="AG1455" s="2">
        <v>1.4296504434325152E-2</v>
      </c>
      <c r="AH1455" s="2">
        <v>0</v>
      </c>
      <c r="AI1455" s="2">
        <v>0</v>
      </c>
      <c r="AJ1455" s="2">
        <v>0</v>
      </c>
      <c r="AK1455" s="2">
        <v>0</v>
      </c>
      <c r="AL1455" s="2">
        <v>0</v>
      </c>
      <c r="AM1455" s="2">
        <v>0</v>
      </c>
      <c r="AN1455" s="2">
        <v>0</v>
      </c>
      <c r="AO1455" s="2">
        <v>0</v>
      </c>
      <c r="AP1455" s="2">
        <v>0</v>
      </c>
      <c r="AQ1455" s="2">
        <v>0</v>
      </c>
      <c r="AR1455" s="2">
        <v>5.6537375495052569</v>
      </c>
    </row>
    <row r="1456" spans="1:44" x14ac:dyDescent="0.25">
      <c r="A1456" t="s">
        <v>131</v>
      </c>
      <c r="B1456" t="s">
        <v>160</v>
      </c>
      <c r="C1456" t="s">
        <v>44</v>
      </c>
      <c r="D1456" t="s">
        <v>161</v>
      </c>
      <c r="E1456" t="s">
        <v>134</v>
      </c>
      <c r="F1456" t="s">
        <v>161</v>
      </c>
      <c r="G1456" t="s">
        <v>28</v>
      </c>
      <c r="H1456" t="s">
        <v>53</v>
      </c>
      <c r="I1456" t="s">
        <v>135</v>
      </c>
      <c r="J1456" t="s">
        <v>39</v>
      </c>
      <c r="K1456" t="s">
        <v>28</v>
      </c>
      <c r="L1456">
        <v>116.68</v>
      </c>
      <c r="M1456">
        <v>1</v>
      </c>
      <c r="N1456">
        <v>2.4250104789603242</v>
      </c>
      <c r="O1456">
        <v>3.7403155854968455</v>
      </c>
      <c r="P1456">
        <v>-1.0515961444114803</v>
      </c>
      <c r="Q1456">
        <v>1.1229171448630897</v>
      </c>
      <c r="R1456">
        <v>-1.4464769027578748</v>
      </c>
      <c r="S1456" s="2">
        <v>9.9101490110668267E-2</v>
      </c>
      <c r="T1456" s="2">
        <v>0.17331302218155356</v>
      </c>
      <c r="U1456" s="2">
        <v>0.26938972937297506</v>
      </c>
      <c r="V1456" s="2">
        <v>0.37680023099740056</v>
      </c>
      <c r="W1456" s="2">
        <v>0.47905589309852764</v>
      </c>
      <c r="X1456" s="2">
        <v>0.55822774748103898</v>
      </c>
      <c r="Y1456" s="2">
        <v>0.60036359026033637</v>
      </c>
      <c r="Z1456" s="2">
        <v>0.59947935092554594</v>
      </c>
      <c r="AA1456" s="2">
        <v>0.55861688021780265</v>
      </c>
      <c r="AB1456" s="2">
        <v>0.48794366994775568</v>
      </c>
      <c r="AC1456" s="2">
        <v>0.4010903650054507</v>
      </c>
      <c r="AD1456" s="2">
        <v>0.311342390182625</v>
      </c>
      <c r="AE1456" s="2">
        <v>0.22892930166743344</v>
      </c>
      <c r="AF1456" s="2">
        <v>0.15989591071790643</v>
      </c>
      <c r="AG1456" s="2">
        <v>1.3444988496229812E-2</v>
      </c>
      <c r="AH1456" s="2">
        <v>0</v>
      </c>
      <c r="AI1456" s="2">
        <v>0</v>
      </c>
      <c r="AJ1456" s="2">
        <v>0</v>
      </c>
      <c r="AK1456" s="2">
        <v>0</v>
      </c>
      <c r="AL1456" s="2">
        <v>0</v>
      </c>
      <c r="AM1456" s="2">
        <v>0</v>
      </c>
      <c r="AN1456" s="2">
        <v>0</v>
      </c>
      <c r="AO1456" s="2">
        <v>0</v>
      </c>
      <c r="AP1456" s="2">
        <v>0</v>
      </c>
      <c r="AQ1456" s="2">
        <v>0</v>
      </c>
      <c r="AR1456" s="2">
        <v>5.3169945606632494</v>
      </c>
    </row>
    <row r="1457" spans="1:44" x14ac:dyDescent="0.25">
      <c r="A1457" t="s">
        <v>131</v>
      </c>
      <c r="B1457" t="s">
        <v>160</v>
      </c>
      <c r="C1457" t="s">
        <v>44</v>
      </c>
      <c r="D1457" t="s">
        <v>161</v>
      </c>
      <c r="E1457" t="s">
        <v>134</v>
      </c>
      <c r="F1457" t="s">
        <v>161</v>
      </c>
      <c r="G1457" t="s">
        <v>28</v>
      </c>
      <c r="H1457" t="s">
        <v>141</v>
      </c>
      <c r="I1457" t="s">
        <v>135</v>
      </c>
      <c r="J1457" t="s">
        <v>39</v>
      </c>
      <c r="K1457" t="s">
        <v>28</v>
      </c>
      <c r="L1457">
        <v>116.68</v>
      </c>
      <c r="M1457">
        <v>1</v>
      </c>
      <c r="N1457">
        <v>2.4250104789603242</v>
      </c>
      <c r="O1457">
        <v>3.7403155854968455</v>
      </c>
      <c r="P1457">
        <v>-1.0515961444114803</v>
      </c>
      <c r="Q1457">
        <v>1.1229171448630897</v>
      </c>
      <c r="R1457">
        <v>-1.4464769027578748</v>
      </c>
      <c r="S1457" s="2">
        <v>8.3410420843145788E-2</v>
      </c>
      <c r="T1457" s="2">
        <v>0.14587179366947423</v>
      </c>
      <c r="U1457" s="2">
        <v>0.22673635555558735</v>
      </c>
      <c r="V1457" s="2">
        <v>0.31714019442281216</v>
      </c>
      <c r="W1457" s="2">
        <v>0.40320537669126061</v>
      </c>
      <c r="X1457" s="2">
        <v>0.4698416874632077</v>
      </c>
      <c r="Y1457" s="2">
        <v>0.50530602180244977</v>
      </c>
      <c r="Z1457" s="2">
        <v>0.50456178702900112</v>
      </c>
      <c r="AA1457" s="2">
        <v>0.47016920751665042</v>
      </c>
      <c r="AB1457" s="2">
        <v>0.41068592220602762</v>
      </c>
      <c r="AC1457" s="2">
        <v>0.33758439054625428</v>
      </c>
      <c r="AD1457" s="2">
        <v>0.26204651173704269</v>
      </c>
      <c r="AE1457" s="2">
        <v>0.19268216223675641</v>
      </c>
      <c r="AF1457" s="2">
        <v>0.13457905818757118</v>
      </c>
      <c r="AG1457" s="2">
        <v>1.1316198650993006E-2</v>
      </c>
      <c r="AH1457" s="2">
        <v>0</v>
      </c>
      <c r="AI1457" s="2">
        <v>0</v>
      </c>
      <c r="AJ1457" s="2">
        <v>0</v>
      </c>
      <c r="AK1457" s="2">
        <v>0</v>
      </c>
      <c r="AL1457" s="2">
        <v>0</v>
      </c>
      <c r="AM1457" s="2">
        <v>0</v>
      </c>
      <c r="AN1457" s="2">
        <v>0</v>
      </c>
      <c r="AO1457" s="2">
        <v>0</v>
      </c>
      <c r="AP1457" s="2">
        <v>0</v>
      </c>
      <c r="AQ1457" s="2">
        <v>0</v>
      </c>
      <c r="AR1457" s="2">
        <v>4.4751370885582338</v>
      </c>
    </row>
    <row r="1458" spans="1:44" x14ac:dyDescent="0.25">
      <c r="A1458" t="s">
        <v>131</v>
      </c>
      <c r="B1458" t="s">
        <v>164</v>
      </c>
      <c r="C1458" t="s">
        <v>44</v>
      </c>
      <c r="D1458" t="s">
        <v>163</v>
      </c>
      <c r="E1458" t="s">
        <v>148</v>
      </c>
      <c r="F1458" t="s">
        <v>163</v>
      </c>
      <c r="G1458" t="s">
        <v>28</v>
      </c>
      <c r="H1458" t="s">
        <v>54</v>
      </c>
      <c r="I1458" t="s">
        <v>135</v>
      </c>
      <c r="J1458" t="s">
        <v>39</v>
      </c>
      <c r="K1458" t="s">
        <v>28</v>
      </c>
      <c r="L1458">
        <v>14.12</v>
      </c>
      <c r="M1458">
        <v>1</v>
      </c>
      <c r="N1458">
        <v>1.2200849202442123</v>
      </c>
      <c r="O1458">
        <v>3.9167290139736792</v>
      </c>
      <c r="P1458">
        <v>3.4201124712622752E-2</v>
      </c>
      <c r="Q1458">
        <v>2.3371498089884883</v>
      </c>
      <c r="R1458">
        <v>-1.5749122977591703</v>
      </c>
      <c r="S1458" s="2">
        <v>0</v>
      </c>
      <c r="T1458" s="2">
        <v>0</v>
      </c>
      <c r="U1458" s="2">
        <v>0</v>
      </c>
      <c r="V1458" s="2">
        <v>0</v>
      </c>
      <c r="W1458" s="2">
        <v>0</v>
      </c>
      <c r="X1458" s="2">
        <v>0</v>
      </c>
      <c r="Y1458" s="2">
        <v>0</v>
      </c>
      <c r="Z1458" s="2">
        <v>0</v>
      </c>
      <c r="AA1458" s="2">
        <v>0</v>
      </c>
      <c r="AB1458" s="2">
        <v>0</v>
      </c>
      <c r="AC1458" s="2">
        <v>0</v>
      </c>
      <c r="AD1458" s="2">
        <v>0</v>
      </c>
      <c r="AE1458" s="2">
        <v>0</v>
      </c>
      <c r="AF1458" s="2">
        <v>0</v>
      </c>
      <c r="AG1458" s="2">
        <v>0</v>
      </c>
      <c r="AH1458" s="2">
        <v>0</v>
      </c>
      <c r="AI1458" s="2">
        <v>0</v>
      </c>
      <c r="AJ1458" s="2">
        <v>0</v>
      </c>
      <c r="AK1458" s="2">
        <v>0</v>
      </c>
      <c r="AL1458" s="2">
        <v>0</v>
      </c>
      <c r="AM1458" s="2">
        <v>0</v>
      </c>
      <c r="AN1458" s="2">
        <v>0</v>
      </c>
      <c r="AO1458" s="2">
        <v>0</v>
      </c>
      <c r="AP1458" s="2">
        <v>0</v>
      </c>
      <c r="AQ1458" s="2">
        <v>0</v>
      </c>
      <c r="AR1458" s="2">
        <v>0</v>
      </c>
    </row>
    <row r="1459" spans="1:44" x14ac:dyDescent="0.25">
      <c r="A1459" t="s">
        <v>131</v>
      </c>
      <c r="B1459" t="s">
        <v>164</v>
      </c>
      <c r="C1459" t="s">
        <v>44</v>
      </c>
      <c r="D1459" t="s">
        <v>163</v>
      </c>
      <c r="E1459" t="s">
        <v>148</v>
      </c>
      <c r="F1459" t="s">
        <v>163</v>
      </c>
      <c r="G1459" t="s">
        <v>28</v>
      </c>
      <c r="H1459" t="s">
        <v>142</v>
      </c>
      <c r="I1459" t="s">
        <v>135</v>
      </c>
      <c r="J1459" t="s">
        <v>39</v>
      </c>
      <c r="K1459" t="s">
        <v>28</v>
      </c>
      <c r="L1459">
        <v>14.12</v>
      </c>
      <c r="M1459">
        <v>1</v>
      </c>
      <c r="N1459">
        <v>1.2200849202442123</v>
      </c>
      <c r="O1459">
        <v>3.9167290139736792</v>
      </c>
      <c r="P1459">
        <v>3.4201124712622752E-2</v>
      </c>
      <c r="Q1459">
        <v>2.3371498089884883</v>
      </c>
      <c r="R1459">
        <v>-1.5749122977591703</v>
      </c>
      <c r="S1459" s="2">
        <v>0</v>
      </c>
      <c r="T1459" s="2">
        <v>0</v>
      </c>
      <c r="U1459" s="2">
        <v>0</v>
      </c>
      <c r="V1459" s="2">
        <v>0</v>
      </c>
      <c r="W1459" s="2">
        <v>0</v>
      </c>
      <c r="X1459" s="2">
        <v>0</v>
      </c>
      <c r="Y1459" s="2">
        <v>0</v>
      </c>
      <c r="Z1459" s="2">
        <v>0</v>
      </c>
      <c r="AA1459" s="2">
        <v>0</v>
      </c>
      <c r="AB1459" s="2">
        <v>0</v>
      </c>
      <c r="AC1459" s="2">
        <v>0</v>
      </c>
      <c r="AD1459" s="2">
        <v>0</v>
      </c>
      <c r="AE1459" s="2">
        <v>0</v>
      </c>
      <c r="AF1459" s="2">
        <v>0</v>
      </c>
      <c r="AG1459" s="2">
        <v>0</v>
      </c>
      <c r="AH1459" s="2">
        <v>0</v>
      </c>
      <c r="AI1459" s="2">
        <v>0</v>
      </c>
      <c r="AJ1459" s="2">
        <v>0</v>
      </c>
      <c r="AK1459" s="2">
        <v>0</v>
      </c>
      <c r="AL1459" s="2">
        <v>0</v>
      </c>
      <c r="AM1459" s="2">
        <v>0</v>
      </c>
      <c r="AN1459" s="2">
        <v>0</v>
      </c>
      <c r="AO1459" s="2">
        <v>0</v>
      </c>
      <c r="AP1459" s="2">
        <v>0</v>
      </c>
      <c r="AQ1459" s="2">
        <v>0</v>
      </c>
      <c r="AR1459" s="2">
        <v>0</v>
      </c>
    </row>
    <row r="1460" spans="1:44" x14ac:dyDescent="0.25">
      <c r="A1460" t="s">
        <v>131</v>
      </c>
      <c r="B1460" t="s">
        <v>164</v>
      </c>
      <c r="C1460" t="s">
        <v>44</v>
      </c>
      <c r="D1460" t="s">
        <v>163</v>
      </c>
      <c r="E1460" t="s">
        <v>148</v>
      </c>
      <c r="F1460" t="s">
        <v>163</v>
      </c>
      <c r="G1460" t="s">
        <v>28</v>
      </c>
      <c r="H1460" t="s">
        <v>53</v>
      </c>
      <c r="I1460" t="s">
        <v>135</v>
      </c>
      <c r="J1460" t="s">
        <v>39</v>
      </c>
      <c r="K1460" t="s">
        <v>28</v>
      </c>
      <c r="L1460">
        <v>14.12</v>
      </c>
      <c r="M1460">
        <v>1</v>
      </c>
      <c r="N1460">
        <v>1.2200849202442123</v>
      </c>
      <c r="O1460">
        <v>3.9167290139736792</v>
      </c>
      <c r="P1460">
        <v>3.4201124712622752E-2</v>
      </c>
      <c r="Q1460">
        <v>2.3371498089884883</v>
      </c>
      <c r="R1460">
        <v>-1.5749122977591703</v>
      </c>
      <c r="S1460" s="2">
        <v>6.9923723130020654E-2</v>
      </c>
      <c r="T1460" s="2">
        <v>4.4256534039044115E-2</v>
      </c>
      <c r="U1460" s="2">
        <v>0.11587521144249775</v>
      </c>
      <c r="V1460" s="2">
        <v>0.22128576038755574</v>
      </c>
      <c r="W1460" s="2">
        <v>0.37150518057064641</v>
      </c>
      <c r="X1460" s="2">
        <v>0.5743636117527311</v>
      </c>
      <c r="Y1460" s="2">
        <v>0.82794077383311082</v>
      </c>
      <c r="Z1460" s="2">
        <v>1.1387434763834219</v>
      </c>
      <c r="AA1460" s="2">
        <v>1.4968582967565933</v>
      </c>
      <c r="AB1460" s="2">
        <v>1.8843066027698763</v>
      </c>
      <c r="AC1460" s="2">
        <v>2.2780911479013501</v>
      </c>
      <c r="AD1460" s="2">
        <v>2.6485593952467199</v>
      </c>
      <c r="AE1460" s="2">
        <v>2.9643892655555062</v>
      </c>
      <c r="AF1460" s="2">
        <v>3.1979242664086032</v>
      </c>
      <c r="AG1460" s="2">
        <v>3.3305434251205996</v>
      </c>
      <c r="AH1460" s="2">
        <v>3.3563203654898337</v>
      </c>
      <c r="AI1460" s="2">
        <v>3.2825201726596256</v>
      </c>
      <c r="AJ1460" s="2">
        <v>3.1351816513103961</v>
      </c>
      <c r="AK1460" s="2">
        <v>2.9161046273513369</v>
      </c>
      <c r="AL1460" s="2">
        <v>2.6737756604686287</v>
      </c>
      <c r="AM1460" s="2">
        <v>2.392583343307261</v>
      </c>
      <c r="AN1460" s="2">
        <v>2.099910617764392</v>
      </c>
      <c r="AO1460" s="2">
        <v>1.8065889623324554</v>
      </c>
      <c r="AP1460" s="2">
        <v>1.512724317935757</v>
      </c>
      <c r="AQ1460" s="2">
        <v>1.2184406746489402</v>
      </c>
      <c r="AR1460" s="2">
        <v>45.558717064566899</v>
      </c>
    </row>
    <row r="1461" spans="1:44" x14ac:dyDescent="0.25">
      <c r="A1461" t="s">
        <v>131</v>
      </c>
      <c r="B1461" t="s">
        <v>164</v>
      </c>
      <c r="C1461" t="s">
        <v>44</v>
      </c>
      <c r="D1461" t="s">
        <v>163</v>
      </c>
      <c r="E1461" t="s">
        <v>148</v>
      </c>
      <c r="F1461" t="s">
        <v>163</v>
      </c>
      <c r="G1461" t="s">
        <v>28</v>
      </c>
      <c r="H1461" t="s">
        <v>141</v>
      </c>
      <c r="I1461" t="s">
        <v>135</v>
      </c>
      <c r="J1461" t="s">
        <v>39</v>
      </c>
      <c r="K1461" t="s">
        <v>28</v>
      </c>
      <c r="L1461">
        <v>14.12</v>
      </c>
      <c r="M1461">
        <v>1</v>
      </c>
      <c r="N1461">
        <v>1.2200849202442123</v>
      </c>
      <c r="O1461">
        <v>3.9167290139736792</v>
      </c>
      <c r="P1461">
        <v>3.4201124712622752E-2</v>
      </c>
      <c r="Q1461">
        <v>2.3371498089884883</v>
      </c>
      <c r="R1461">
        <v>-1.5749122977591703</v>
      </c>
      <c r="S1461" s="2">
        <v>5.8852466967767372E-2</v>
      </c>
      <c r="T1461" s="2">
        <v>3.7249249482862117E-2</v>
      </c>
      <c r="U1461" s="2">
        <v>9.7528302964102212E-2</v>
      </c>
      <c r="V1461" s="2">
        <v>0.18624884832619285</v>
      </c>
      <c r="W1461" s="2">
        <v>0.31268352698029384</v>
      </c>
      <c r="X1461" s="2">
        <v>0.48342270655854824</v>
      </c>
      <c r="Y1461" s="2">
        <v>0.69685015130953476</v>
      </c>
      <c r="Z1461" s="2">
        <v>0.95844242595604656</v>
      </c>
      <c r="AA1461" s="2">
        <v>1.2598557331034668</v>
      </c>
      <c r="AB1461" s="2">
        <v>1.585958057331313</v>
      </c>
      <c r="AC1461" s="2">
        <v>1.9173933828169669</v>
      </c>
      <c r="AD1461" s="2">
        <v>2.2292041576659964</v>
      </c>
      <c r="AE1461" s="2">
        <v>2.4950276318425377</v>
      </c>
      <c r="AF1461" s="2">
        <v>2.6915862575605689</v>
      </c>
      <c r="AG1461" s="2">
        <v>2.8032073828098638</v>
      </c>
      <c r="AH1461" s="2">
        <v>2.8249029742872667</v>
      </c>
      <c r="AI1461" s="2">
        <v>2.7627878119885136</v>
      </c>
      <c r="AJ1461" s="2">
        <v>2.6387778898529208</v>
      </c>
      <c r="AK1461" s="2">
        <v>2.4543880613540296</v>
      </c>
      <c r="AL1461" s="2">
        <v>2.2504278475611059</v>
      </c>
      <c r="AM1461" s="2">
        <v>2.0137576472835947</v>
      </c>
      <c r="AN1461" s="2">
        <v>1.7674247699517045</v>
      </c>
      <c r="AO1461" s="2">
        <v>1.520545709963159</v>
      </c>
      <c r="AP1461" s="2">
        <v>1.273209634262582</v>
      </c>
      <c r="AQ1461" s="2">
        <v>1.0255209011628563</v>
      </c>
      <c r="AR1461" s="2">
        <v>38.345253529343786</v>
      </c>
    </row>
    <row r="1462" spans="1:44" x14ac:dyDescent="0.25">
      <c r="A1462" t="s">
        <v>131</v>
      </c>
      <c r="B1462" t="s">
        <v>164</v>
      </c>
      <c r="C1462" t="s">
        <v>44</v>
      </c>
      <c r="D1462" t="s">
        <v>163</v>
      </c>
      <c r="E1462" t="s">
        <v>134</v>
      </c>
      <c r="F1462" t="s">
        <v>163</v>
      </c>
      <c r="G1462" t="s">
        <v>28</v>
      </c>
      <c r="H1462" t="s">
        <v>54</v>
      </c>
      <c r="I1462" t="s">
        <v>135</v>
      </c>
      <c r="J1462" t="s">
        <v>39</v>
      </c>
      <c r="K1462" t="s">
        <v>28</v>
      </c>
      <c r="L1462">
        <v>14.12</v>
      </c>
      <c r="M1462">
        <v>1</v>
      </c>
      <c r="N1462">
        <v>1.2200849202442123</v>
      </c>
      <c r="O1462">
        <v>3.9167290139736792</v>
      </c>
      <c r="P1462">
        <v>3.4201124712622752E-2</v>
      </c>
      <c r="Q1462">
        <v>2.3371498089884883</v>
      </c>
      <c r="R1462">
        <v>-1.5749122977591703</v>
      </c>
      <c r="S1462" s="2">
        <v>0</v>
      </c>
      <c r="T1462" s="2">
        <v>0</v>
      </c>
      <c r="U1462" s="2">
        <v>0</v>
      </c>
      <c r="V1462" s="2">
        <v>0</v>
      </c>
      <c r="W1462" s="2">
        <v>0</v>
      </c>
      <c r="X1462" s="2">
        <v>0</v>
      </c>
      <c r="Y1462" s="2">
        <v>0</v>
      </c>
      <c r="Z1462" s="2">
        <v>0</v>
      </c>
      <c r="AA1462" s="2">
        <v>0</v>
      </c>
      <c r="AB1462" s="2">
        <v>0</v>
      </c>
      <c r="AC1462" s="2">
        <v>0</v>
      </c>
      <c r="AD1462" s="2">
        <v>0</v>
      </c>
      <c r="AE1462" s="2">
        <v>0</v>
      </c>
      <c r="AF1462" s="2">
        <v>0</v>
      </c>
      <c r="AG1462" s="2">
        <v>0</v>
      </c>
      <c r="AH1462" s="2">
        <v>0</v>
      </c>
      <c r="AI1462" s="2">
        <v>0</v>
      </c>
      <c r="AJ1462" s="2">
        <v>0</v>
      </c>
      <c r="AK1462" s="2">
        <v>0</v>
      </c>
      <c r="AL1462" s="2">
        <v>0</v>
      </c>
      <c r="AM1462" s="2">
        <v>0</v>
      </c>
      <c r="AN1462" s="2">
        <v>0</v>
      </c>
      <c r="AO1462" s="2">
        <v>0</v>
      </c>
      <c r="AP1462" s="2">
        <v>0</v>
      </c>
      <c r="AQ1462" s="2">
        <v>0</v>
      </c>
      <c r="AR1462" s="2">
        <v>0</v>
      </c>
    </row>
    <row r="1463" spans="1:44" x14ac:dyDescent="0.25">
      <c r="A1463" t="s">
        <v>131</v>
      </c>
      <c r="B1463" t="s">
        <v>164</v>
      </c>
      <c r="C1463" t="s">
        <v>44</v>
      </c>
      <c r="D1463" t="s">
        <v>163</v>
      </c>
      <c r="E1463" t="s">
        <v>134</v>
      </c>
      <c r="F1463" t="s">
        <v>163</v>
      </c>
      <c r="G1463" t="s">
        <v>28</v>
      </c>
      <c r="H1463" t="s">
        <v>142</v>
      </c>
      <c r="I1463" t="s">
        <v>135</v>
      </c>
      <c r="J1463" t="s">
        <v>39</v>
      </c>
      <c r="K1463" t="s">
        <v>28</v>
      </c>
      <c r="L1463">
        <v>14.12</v>
      </c>
      <c r="M1463">
        <v>1</v>
      </c>
      <c r="N1463">
        <v>1.2200849202442123</v>
      </c>
      <c r="O1463">
        <v>3.9167290139736792</v>
      </c>
      <c r="P1463">
        <v>3.4201124712622752E-2</v>
      </c>
      <c r="Q1463">
        <v>2.3371498089884883</v>
      </c>
      <c r="R1463">
        <v>-1.5749122977591703</v>
      </c>
      <c r="S1463" s="2">
        <v>0</v>
      </c>
      <c r="T1463" s="2">
        <v>0</v>
      </c>
      <c r="U1463" s="2">
        <v>0</v>
      </c>
      <c r="V1463" s="2">
        <v>0</v>
      </c>
      <c r="W1463" s="2">
        <v>0</v>
      </c>
      <c r="X1463" s="2">
        <v>0</v>
      </c>
      <c r="Y1463" s="2">
        <v>0</v>
      </c>
      <c r="Z1463" s="2">
        <v>0</v>
      </c>
      <c r="AA1463" s="2">
        <v>0</v>
      </c>
      <c r="AB1463" s="2">
        <v>0</v>
      </c>
      <c r="AC1463" s="2">
        <v>0</v>
      </c>
      <c r="AD1463" s="2">
        <v>0</v>
      </c>
      <c r="AE1463" s="2">
        <v>0</v>
      </c>
      <c r="AF1463" s="2">
        <v>0</v>
      </c>
      <c r="AG1463" s="2">
        <v>0</v>
      </c>
      <c r="AH1463" s="2">
        <v>0</v>
      </c>
      <c r="AI1463" s="2">
        <v>0</v>
      </c>
      <c r="AJ1463" s="2">
        <v>0</v>
      </c>
      <c r="AK1463" s="2">
        <v>0</v>
      </c>
      <c r="AL1463" s="2">
        <v>0</v>
      </c>
      <c r="AM1463" s="2">
        <v>0</v>
      </c>
      <c r="AN1463" s="2">
        <v>0</v>
      </c>
      <c r="AO1463" s="2">
        <v>0</v>
      </c>
      <c r="AP1463" s="2">
        <v>0</v>
      </c>
      <c r="AQ1463" s="2">
        <v>0</v>
      </c>
      <c r="AR1463" s="2">
        <v>0</v>
      </c>
    </row>
    <row r="1464" spans="1:44" x14ac:dyDescent="0.25">
      <c r="A1464" t="s">
        <v>131</v>
      </c>
      <c r="B1464" t="s">
        <v>164</v>
      </c>
      <c r="C1464" t="s">
        <v>44</v>
      </c>
      <c r="D1464" t="s">
        <v>163</v>
      </c>
      <c r="E1464" t="s">
        <v>134</v>
      </c>
      <c r="F1464" t="s">
        <v>163</v>
      </c>
      <c r="G1464" t="s">
        <v>28</v>
      </c>
      <c r="H1464" t="s">
        <v>53</v>
      </c>
      <c r="I1464" t="s">
        <v>135</v>
      </c>
      <c r="J1464" t="s">
        <v>39</v>
      </c>
      <c r="K1464" t="s">
        <v>28</v>
      </c>
      <c r="L1464">
        <v>14.12</v>
      </c>
      <c r="M1464">
        <v>1</v>
      </c>
      <c r="N1464">
        <v>1.2200849202442123</v>
      </c>
      <c r="O1464">
        <v>3.9167290139736792</v>
      </c>
      <c r="P1464">
        <v>3.4201124712622752E-2</v>
      </c>
      <c r="Q1464">
        <v>2.3371498089884883</v>
      </c>
      <c r="R1464">
        <v>-1.5749122977591703</v>
      </c>
      <c r="S1464" s="2">
        <v>2.9370399338546083</v>
      </c>
      <c r="T1464" s="2">
        <v>4.9818660297522719</v>
      </c>
      <c r="U1464" s="2">
        <v>7.6854470612599917</v>
      </c>
      <c r="V1464" s="2">
        <v>11.217675334524873</v>
      </c>
      <c r="W1464" s="2">
        <v>15.54329221035943</v>
      </c>
      <c r="X1464" s="2">
        <v>20.49940278699712</v>
      </c>
      <c r="Y1464" s="2">
        <v>25.754304988830029</v>
      </c>
      <c r="Z1464" s="2">
        <v>30.793230196375024</v>
      </c>
      <c r="AA1464" s="2">
        <v>34.964119265192856</v>
      </c>
      <c r="AB1464" s="2">
        <v>37.571277658323652</v>
      </c>
      <c r="AC1464" s="2">
        <v>38.035314380007463</v>
      </c>
      <c r="AD1464" s="2">
        <v>36.07723933720608</v>
      </c>
      <c r="AE1464" s="2">
        <v>31.858585940340411</v>
      </c>
      <c r="AF1464" s="2">
        <v>26.417880986765589</v>
      </c>
      <c r="AG1464" s="2">
        <v>20.227399451120956</v>
      </c>
      <c r="AH1464" s="2">
        <v>13.91519490633388</v>
      </c>
      <c r="AI1464" s="2">
        <v>1.7105156446596324</v>
      </c>
      <c r="AJ1464" s="2">
        <v>1.1196714297928889</v>
      </c>
      <c r="AK1464" s="2">
        <v>0</v>
      </c>
      <c r="AL1464" s="2">
        <v>0</v>
      </c>
      <c r="AM1464" s="2">
        <v>0</v>
      </c>
      <c r="AN1464" s="2">
        <v>0</v>
      </c>
      <c r="AO1464" s="2">
        <v>0</v>
      </c>
      <c r="AP1464" s="2">
        <v>0</v>
      </c>
      <c r="AQ1464" s="2">
        <v>0</v>
      </c>
      <c r="AR1464" s="2">
        <v>361.30945754169676</v>
      </c>
    </row>
    <row r="1465" spans="1:44" x14ac:dyDescent="0.25">
      <c r="A1465" t="s">
        <v>131</v>
      </c>
      <c r="B1465" t="s">
        <v>164</v>
      </c>
      <c r="C1465" t="s">
        <v>44</v>
      </c>
      <c r="D1465" t="s">
        <v>163</v>
      </c>
      <c r="E1465" t="s">
        <v>134</v>
      </c>
      <c r="F1465" t="s">
        <v>163</v>
      </c>
      <c r="G1465" t="s">
        <v>28</v>
      </c>
      <c r="H1465" t="s">
        <v>141</v>
      </c>
      <c r="I1465" t="s">
        <v>135</v>
      </c>
      <c r="J1465" t="s">
        <v>39</v>
      </c>
      <c r="K1465" t="s">
        <v>28</v>
      </c>
      <c r="L1465">
        <v>14.12</v>
      </c>
      <c r="M1465">
        <v>1</v>
      </c>
      <c r="N1465">
        <v>1.2200849202442123</v>
      </c>
      <c r="O1465">
        <v>3.9167290139736792</v>
      </c>
      <c r="P1465">
        <v>3.4201124712622752E-2</v>
      </c>
      <c r="Q1465">
        <v>2.3371498089884883</v>
      </c>
      <c r="R1465">
        <v>-1.5749122977591703</v>
      </c>
      <c r="S1465" s="2">
        <v>2.4720086109942958</v>
      </c>
      <c r="T1465" s="2">
        <v>4.1930705750414941</v>
      </c>
      <c r="U1465" s="2">
        <v>6.4685846098938251</v>
      </c>
      <c r="V1465" s="2">
        <v>9.4415434065584325</v>
      </c>
      <c r="W1465" s="2">
        <v>13.082270943719182</v>
      </c>
      <c r="X1465" s="2">
        <v>17.253664012389237</v>
      </c>
      <c r="Y1465" s="2">
        <v>21.676540032265265</v>
      </c>
      <c r="Z1465" s="2">
        <v>25.917635415282312</v>
      </c>
      <c r="AA1465" s="2">
        <v>29.428133714870654</v>
      </c>
      <c r="AB1465" s="2">
        <v>31.622492029089063</v>
      </c>
      <c r="AC1465" s="2">
        <v>32.013056269839609</v>
      </c>
      <c r="AD1465" s="2">
        <v>30.365009775481774</v>
      </c>
      <c r="AE1465" s="2">
        <v>26.81430983311984</v>
      </c>
      <c r="AF1465" s="2">
        <v>22.235049830527693</v>
      </c>
      <c r="AG1465" s="2">
        <v>17.024727871360131</v>
      </c>
      <c r="AH1465" s="2">
        <v>11.711955712830987</v>
      </c>
      <c r="AI1465" s="2">
        <v>1.4396840009218568</v>
      </c>
      <c r="AJ1465" s="2">
        <v>0.94239012007568135</v>
      </c>
      <c r="AK1465" s="2">
        <v>0</v>
      </c>
      <c r="AL1465" s="2">
        <v>0</v>
      </c>
      <c r="AM1465" s="2">
        <v>0</v>
      </c>
      <c r="AN1465" s="2">
        <v>0</v>
      </c>
      <c r="AO1465" s="2">
        <v>0</v>
      </c>
      <c r="AP1465" s="2">
        <v>0</v>
      </c>
      <c r="AQ1465" s="2">
        <v>0</v>
      </c>
      <c r="AR1465" s="2">
        <v>304.1021267642613</v>
      </c>
    </row>
    <row r="1466" spans="1:44" x14ac:dyDescent="0.25">
      <c r="A1466" t="s">
        <v>131</v>
      </c>
      <c r="B1466" t="s">
        <v>162</v>
      </c>
      <c r="C1466" t="s">
        <v>44</v>
      </c>
      <c r="D1466" t="s">
        <v>163</v>
      </c>
      <c r="E1466" t="s">
        <v>148</v>
      </c>
      <c r="F1466" t="s">
        <v>163</v>
      </c>
      <c r="G1466" t="s">
        <v>28</v>
      </c>
      <c r="H1466" t="s">
        <v>55</v>
      </c>
      <c r="I1466" t="s">
        <v>135</v>
      </c>
      <c r="J1466" t="s">
        <v>39</v>
      </c>
      <c r="K1466" t="s">
        <v>28</v>
      </c>
      <c r="L1466">
        <v>31.35</v>
      </c>
      <c r="M1466">
        <v>1</v>
      </c>
      <c r="N1466">
        <v>2.317075937792068</v>
      </c>
      <c r="O1466">
        <v>3.8979006412011894</v>
      </c>
      <c r="P1466">
        <v>-1.064501844170566</v>
      </c>
      <c r="Q1466">
        <v>1.2247390996280272</v>
      </c>
      <c r="R1466">
        <v>-1.561204557281898</v>
      </c>
      <c r="S1466" s="2">
        <v>2.7561191082759837E-3</v>
      </c>
      <c r="T1466" s="2">
        <v>1.7444191137286204E-3</v>
      </c>
      <c r="U1466" s="2">
        <v>4.5673466762966653E-3</v>
      </c>
      <c r="V1466" s="2">
        <v>8.7222173719133361E-3</v>
      </c>
      <c r="W1466" s="2">
        <v>1.4643278148824379E-2</v>
      </c>
      <c r="X1466" s="2">
        <v>2.2639162427128656E-2</v>
      </c>
      <c r="Y1466" s="2">
        <v>3.263418029156042E-2</v>
      </c>
      <c r="Z1466" s="2">
        <v>4.4884804672786452E-2</v>
      </c>
      <c r="AA1466" s="2">
        <v>5.9000287304511054E-2</v>
      </c>
      <c r="AB1466" s="2">
        <v>7.4271980971147691E-2</v>
      </c>
      <c r="AC1466" s="2">
        <v>8.9793424349706524E-2</v>
      </c>
      <c r="AD1466" s="2">
        <v>0.10439583065492274</v>
      </c>
      <c r="AE1466" s="2">
        <v>0.1168446062858159</v>
      </c>
      <c r="AF1466" s="2">
        <v>0.12604964070747507</v>
      </c>
      <c r="AG1466" s="2">
        <v>0.13127696815927728</v>
      </c>
      <c r="AH1466" s="2">
        <v>0.13229299411905796</v>
      </c>
      <c r="AI1466" s="2">
        <v>0.12938407976855062</v>
      </c>
      <c r="AJ1466" s="2">
        <v>0.1235765727323369</v>
      </c>
      <c r="AK1466" s="2">
        <v>0.11494141509356129</v>
      </c>
      <c r="AL1466" s="2">
        <v>0.1053897569978952</v>
      </c>
      <c r="AM1466" s="2">
        <v>9.4306257954400952E-2</v>
      </c>
      <c r="AN1466" s="2">
        <v>8.2770246208577189E-2</v>
      </c>
      <c r="AO1466" s="2">
        <v>7.1208656189925376E-2</v>
      </c>
      <c r="AP1466" s="2">
        <v>5.9625663674456646E-2</v>
      </c>
      <c r="AQ1466" s="2">
        <v>4.8026155864958439E-2</v>
      </c>
      <c r="AR1466" s="2">
        <v>1.7957460648470911</v>
      </c>
    </row>
    <row r="1467" spans="1:44" x14ac:dyDescent="0.25">
      <c r="A1467" t="s">
        <v>131</v>
      </c>
      <c r="B1467" t="s">
        <v>162</v>
      </c>
      <c r="C1467" t="s">
        <v>44</v>
      </c>
      <c r="D1467" t="s">
        <v>163</v>
      </c>
      <c r="E1467" t="s">
        <v>148</v>
      </c>
      <c r="F1467" t="s">
        <v>163</v>
      </c>
      <c r="G1467" t="s">
        <v>28</v>
      </c>
      <c r="H1467" t="s">
        <v>136</v>
      </c>
      <c r="I1467" t="s">
        <v>135</v>
      </c>
      <c r="J1467" t="s">
        <v>39</v>
      </c>
      <c r="K1467" t="s">
        <v>28</v>
      </c>
      <c r="L1467">
        <v>31.35</v>
      </c>
      <c r="M1467">
        <v>1</v>
      </c>
      <c r="N1467">
        <v>2.317075937792068</v>
      </c>
      <c r="O1467">
        <v>3.8979006412011894</v>
      </c>
      <c r="P1467">
        <v>-1.064501844170566</v>
      </c>
      <c r="Q1467">
        <v>1.2247390996280272</v>
      </c>
      <c r="R1467">
        <v>-1.561204557281898</v>
      </c>
      <c r="S1467" s="2">
        <v>3.4604606581687342E-3</v>
      </c>
      <c r="T1467" s="2">
        <v>2.1902151094592673E-3</v>
      </c>
      <c r="U1467" s="2">
        <v>5.734557493572481E-3</v>
      </c>
      <c r="V1467" s="2">
        <v>1.0951228478068963E-2</v>
      </c>
      <c r="W1467" s="2">
        <v>1.838544923130174E-2</v>
      </c>
      <c r="X1467" s="2">
        <v>2.8424726158505963E-2</v>
      </c>
      <c r="Y1467" s="2">
        <v>4.0974026366070275E-2</v>
      </c>
      <c r="Z1467" s="2">
        <v>5.6355365866942959E-2</v>
      </c>
      <c r="AA1467" s="2">
        <v>7.4078138504552679E-2</v>
      </c>
      <c r="AB1467" s="2">
        <v>9.3252598330441083E-2</v>
      </c>
      <c r="AC1467" s="2">
        <v>0.1127406327946314</v>
      </c>
      <c r="AD1467" s="2">
        <v>0.13107476515562516</v>
      </c>
      <c r="AE1467" s="2">
        <v>0.14670489455885821</v>
      </c>
      <c r="AF1467" s="2">
        <v>0.15826232666605283</v>
      </c>
      <c r="AG1467" s="2">
        <v>0.16482552668886988</v>
      </c>
      <c r="AH1467" s="2">
        <v>0.16610120372726062</v>
      </c>
      <c r="AI1467" s="2">
        <v>0.1624489001538463</v>
      </c>
      <c r="AJ1467" s="2">
        <v>0.15515725243060258</v>
      </c>
      <c r="AK1467" s="2">
        <v>0.1443153322841374</v>
      </c>
      <c r="AL1467" s="2">
        <v>0.1323226948973579</v>
      </c>
      <c r="AM1467" s="2">
        <v>0.11840674609830135</v>
      </c>
      <c r="AN1467" s="2">
        <v>0.10392264246188231</v>
      </c>
      <c r="AO1467" s="2">
        <v>8.940642388290633E-2</v>
      </c>
      <c r="AP1467" s="2">
        <v>7.4863333280150463E-2</v>
      </c>
      <c r="AQ1467" s="2">
        <v>6.0299506808224802E-2</v>
      </c>
      <c r="AR1467" s="2">
        <v>2.2546589480857917</v>
      </c>
    </row>
    <row r="1468" spans="1:44" x14ac:dyDescent="0.25">
      <c r="A1468" t="s">
        <v>131</v>
      </c>
      <c r="B1468" t="s">
        <v>162</v>
      </c>
      <c r="C1468" t="s">
        <v>44</v>
      </c>
      <c r="D1468" t="s">
        <v>163</v>
      </c>
      <c r="E1468" t="s">
        <v>148</v>
      </c>
      <c r="F1468" t="s">
        <v>163</v>
      </c>
      <c r="G1468" t="s">
        <v>28</v>
      </c>
      <c r="H1468" t="s">
        <v>52</v>
      </c>
      <c r="I1468" t="s">
        <v>135</v>
      </c>
      <c r="J1468" t="s">
        <v>39</v>
      </c>
      <c r="K1468" t="s">
        <v>28</v>
      </c>
      <c r="L1468">
        <v>31.35</v>
      </c>
      <c r="M1468">
        <v>1</v>
      </c>
      <c r="N1468">
        <v>2.317075937792068</v>
      </c>
      <c r="O1468">
        <v>3.8979006412011894</v>
      </c>
      <c r="P1468">
        <v>-1.064501844170566</v>
      </c>
      <c r="Q1468">
        <v>1.2247390996280272</v>
      </c>
      <c r="R1468">
        <v>-1.561204557281898</v>
      </c>
      <c r="S1468" s="2">
        <v>1.4536364120716123</v>
      </c>
      <c r="T1468" s="2">
        <v>0.9200441062272473</v>
      </c>
      <c r="U1468" s="2">
        <v>2.4089167319666749</v>
      </c>
      <c r="V1468" s="2">
        <v>4.6002847727969787</v>
      </c>
      <c r="W1468" s="2">
        <v>7.723179395733232</v>
      </c>
      <c r="X1468" s="2">
        <v>11.940380495189544</v>
      </c>
      <c r="Y1468" s="2">
        <v>17.211967584229551</v>
      </c>
      <c r="Z1468" s="2">
        <v>23.673209994867587</v>
      </c>
      <c r="AA1468" s="2">
        <v>31.118018699188823</v>
      </c>
      <c r="AB1468" s="2">
        <v>39.172637935769202</v>
      </c>
      <c r="AC1468" s="2">
        <v>47.358980534400324</v>
      </c>
      <c r="AD1468" s="2">
        <v>55.060603241992432</v>
      </c>
      <c r="AE1468" s="2">
        <v>61.626354877485227</v>
      </c>
      <c r="AF1468" s="2">
        <v>66.48128773198944</v>
      </c>
      <c r="AG1468" s="2">
        <v>69.238292499651564</v>
      </c>
      <c r="AH1468" s="2">
        <v>69.774166412470422</v>
      </c>
      <c r="AI1468" s="2">
        <v>68.239942507996091</v>
      </c>
      <c r="AJ1468" s="2">
        <v>65.17693856674731</v>
      </c>
      <c r="AK1468" s="2">
        <v>60.622570967026178</v>
      </c>
      <c r="AL1468" s="2">
        <v>55.584821342264128</v>
      </c>
      <c r="AM1468" s="2">
        <v>49.739145901602505</v>
      </c>
      <c r="AN1468" s="2">
        <v>43.654805542922567</v>
      </c>
      <c r="AO1468" s="2">
        <v>37.556974653795912</v>
      </c>
      <c r="AP1468" s="2">
        <v>31.447855628177702</v>
      </c>
      <c r="AQ1468" s="2">
        <v>25.330026081782556</v>
      </c>
      <c r="AR1468" s="2">
        <v>947.115042618345</v>
      </c>
    </row>
    <row r="1469" spans="1:44" x14ac:dyDescent="0.25">
      <c r="A1469" t="s">
        <v>131</v>
      </c>
      <c r="B1469" t="s">
        <v>162</v>
      </c>
      <c r="C1469" t="s">
        <v>44</v>
      </c>
      <c r="D1469" t="s">
        <v>163</v>
      </c>
      <c r="E1469" t="s">
        <v>148</v>
      </c>
      <c r="F1469" t="s">
        <v>163</v>
      </c>
      <c r="G1469" t="s">
        <v>28</v>
      </c>
      <c r="H1469" t="s">
        <v>138</v>
      </c>
      <c r="I1469" t="s">
        <v>135</v>
      </c>
      <c r="J1469" t="s">
        <v>39</v>
      </c>
      <c r="K1469" t="s">
        <v>28</v>
      </c>
      <c r="L1469">
        <v>31.35</v>
      </c>
      <c r="M1469">
        <v>1</v>
      </c>
      <c r="N1469">
        <v>2.317075937792068</v>
      </c>
      <c r="O1469">
        <v>3.8979006412011894</v>
      </c>
      <c r="P1469">
        <v>-1.064501844170566</v>
      </c>
      <c r="Q1469">
        <v>1.2247390996280272</v>
      </c>
      <c r="R1469">
        <v>-1.561204557281898</v>
      </c>
      <c r="S1469" s="2">
        <v>0.50424185293661139</v>
      </c>
      <c r="T1469" s="2">
        <v>0.31914771882075066</v>
      </c>
      <c r="U1469" s="2">
        <v>0.8356124175273083</v>
      </c>
      <c r="V1469" s="2">
        <v>1.5957608784478849</v>
      </c>
      <c r="W1469" s="2">
        <v>2.6790401346072863</v>
      </c>
      <c r="X1469" s="2">
        <v>4.1419157745794948</v>
      </c>
      <c r="Y1469" s="2">
        <v>5.970540057529357</v>
      </c>
      <c r="Z1469" s="2">
        <v>8.2118356238461239</v>
      </c>
      <c r="AA1469" s="2">
        <v>10.79431368001676</v>
      </c>
      <c r="AB1469" s="2">
        <v>13.588324682234365</v>
      </c>
      <c r="AC1469" s="2">
        <v>16.428028287914408</v>
      </c>
      <c r="AD1469" s="2">
        <v>19.09959077248417</v>
      </c>
      <c r="AE1469" s="2">
        <v>21.377138818961686</v>
      </c>
      <c r="AF1469" s="2">
        <v>23.061232804299763</v>
      </c>
      <c r="AG1469" s="2">
        <v>24.01759106628062</v>
      </c>
      <c r="AH1469" s="2">
        <v>24.203476651215219</v>
      </c>
      <c r="AI1469" s="2">
        <v>23.6712803619731</v>
      </c>
      <c r="AJ1469" s="2">
        <v>22.608776168998023</v>
      </c>
      <c r="AK1469" s="2">
        <v>21.028943180248636</v>
      </c>
      <c r="AL1469" s="2">
        <v>19.281433153445647</v>
      </c>
      <c r="AM1469" s="2">
        <v>17.253667343930875</v>
      </c>
      <c r="AN1469" s="2">
        <v>15.143112716322236</v>
      </c>
      <c r="AO1469" s="2">
        <v>13.027878452174027</v>
      </c>
      <c r="AP1469" s="2">
        <v>10.908728524650178</v>
      </c>
      <c r="AQ1469" s="2">
        <v>8.786557064987246</v>
      </c>
      <c r="AR1469" s="2">
        <v>328.53816818843171</v>
      </c>
    </row>
    <row r="1470" spans="1:44" x14ac:dyDescent="0.25">
      <c r="A1470" t="s">
        <v>131</v>
      </c>
      <c r="B1470" t="s">
        <v>162</v>
      </c>
      <c r="C1470" t="s">
        <v>44</v>
      </c>
      <c r="D1470" t="s">
        <v>163</v>
      </c>
      <c r="E1470" t="s">
        <v>134</v>
      </c>
      <c r="F1470" t="s">
        <v>163</v>
      </c>
      <c r="G1470" t="s">
        <v>28</v>
      </c>
      <c r="H1470" t="s">
        <v>55</v>
      </c>
      <c r="I1470" t="s">
        <v>135</v>
      </c>
      <c r="J1470" t="s">
        <v>39</v>
      </c>
      <c r="K1470" t="s">
        <v>28</v>
      </c>
      <c r="L1470">
        <v>31.35</v>
      </c>
      <c r="M1470">
        <v>1</v>
      </c>
      <c r="N1470">
        <v>2.317075937792068</v>
      </c>
      <c r="O1470">
        <v>3.8979006412011894</v>
      </c>
      <c r="P1470">
        <v>-1.064501844170566</v>
      </c>
      <c r="Q1470">
        <v>1.2247390996280272</v>
      </c>
      <c r="R1470">
        <v>-1.561204557281898</v>
      </c>
      <c r="S1470" s="2">
        <v>0.35656233363228534</v>
      </c>
      <c r="T1470" s="2">
        <v>0.58779410093913897</v>
      </c>
      <c r="U1470" s="2">
        <v>0.89660488559193663</v>
      </c>
      <c r="V1470" s="2">
        <v>1.2916471220321237</v>
      </c>
      <c r="W1470" s="2">
        <v>1.766971643206066</v>
      </c>
      <c r="X1470" s="2">
        <v>2.3026205344596034</v>
      </c>
      <c r="Y1470" s="2">
        <v>2.8612396076710795</v>
      </c>
      <c r="Z1470" s="2">
        <v>3.3875394133067314</v>
      </c>
      <c r="AA1470" s="2">
        <v>3.8130900427837009</v>
      </c>
      <c r="AB1470" s="2">
        <v>4.0667479479289419</v>
      </c>
      <c r="AC1470" s="2">
        <v>4.0910159819654952</v>
      </c>
      <c r="AD1470" s="2">
        <v>3.8604136376696774</v>
      </c>
      <c r="AE1470" s="2">
        <v>3.3951370567367625</v>
      </c>
      <c r="AF1470" s="2">
        <v>2.8066315729986369</v>
      </c>
      <c r="AG1470" s="2">
        <v>2.1441107498442156</v>
      </c>
      <c r="AH1470" s="2">
        <v>1.4712760846013491</v>
      </c>
      <c r="AI1470" s="2">
        <v>6.7421822554917452E-2</v>
      </c>
      <c r="AJ1470" s="2">
        <v>4.4133059346749409E-2</v>
      </c>
      <c r="AK1470" s="2">
        <v>0</v>
      </c>
      <c r="AL1470" s="2">
        <v>0</v>
      </c>
      <c r="AM1470" s="2">
        <v>0</v>
      </c>
      <c r="AN1470" s="2">
        <v>0</v>
      </c>
      <c r="AO1470" s="2">
        <v>0</v>
      </c>
      <c r="AP1470" s="2">
        <v>0</v>
      </c>
      <c r="AQ1470" s="2">
        <v>0</v>
      </c>
      <c r="AR1470" s="2">
        <v>39.210957597269406</v>
      </c>
    </row>
    <row r="1471" spans="1:44" x14ac:dyDescent="0.25">
      <c r="A1471" t="s">
        <v>131</v>
      </c>
      <c r="B1471" t="s">
        <v>162</v>
      </c>
      <c r="C1471" t="s">
        <v>44</v>
      </c>
      <c r="D1471" t="s">
        <v>163</v>
      </c>
      <c r="E1471" t="s">
        <v>134</v>
      </c>
      <c r="F1471" t="s">
        <v>163</v>
      </c>
      <c r="G1471" t="s">
        <v>28</v>
      </c>
      <c r="H1471" t="s">
        <v>136</v>
      </c>
      <c r="I1471" t="s">
        <v>135</v>
      </c>
      <c r="J1471" t="s">
        <v>39</v>
      </c>
      <c r="K1471" t="s">
        <v>28</v>
      </c>
      <c r="L1471">
        <v>31.35</v>
      </c>
      <c r="M1471">
        <v>1</v>
      </c>
      <c r="N1471">
        <v>2.317075937792068</v>
      </c>
      <c r="O1471">
        <v>3.8979006412011894</v>
      </c>
      <c r="P1471">
        <v>-1.064501844170566</v>
      </c>
      <c r="Q1471">
        <v>1.2247390996280272</v>
      </c>
      <c r="R1471">
        <v>-1.561204557281898</v>
      </c>
      <c r="S1471" s="2">
        <v>0.44768381889386955</v>
      </c>
      <c r="T1471" s="2">
        <v>0.73800814895691924</v>
      </c>
      <c r="U1471" s="2">
        <v>1.1257372452432093</v>
      </c>
      <c r="V1471" s="2">
        <v>1.6217347198847767</v>
      </c>
      <c r="W1471" s="2">
        <v>2.2185310631365045</v>
      </c>
      <c r="X1471" s="2">
        <v>2.8910680043770589</v>
      </c>
      <c r="Y1471" s="2">
        <v>3.5924452851870226</v>
      </c>
      <c r="Z1471" s="2">
        <v>4.2532439300406732</v>
      </c>
      <c r="AA1471" s="2">
        <v>4.7875463870506474</v>
      </c>
      <c r="AB1471" s="2">
        <v>5.1060279790663365</v>
      </c>
      <c r="AC1471" s="2">
        <v>5.1364978440233413</v>
      </c>
      <c r="AD1471" s="2">
        <v>4.8469637895185951</v>
      </c>
      <c r="AE1471" s="2">
        <v>4.262783193458378</v>
      </c>
      <c r="AF1471" s="2">
        <v>3.5238818638760665</v>
      </c>
      <c r="AG1471" s="2">
        <v>2.6920501636932923</v>
      </c>
      <c r="AH1471" s="2">
        <v>1.8472688617772388</v>
      </c>
      <c r="AI1471" s="2">
        <v>8.4651843874507457E-2</v>
      </c>
      <c r="AJ1471" s="2">
        <v>5.5411507846474244E-2</v>
      </c>
      <c r="AK1471" s="2">
        <v>0</v>
      </c>
      <c r="AL1471" s="2">
        <v>0</v>
      </c>
      <c r="AM1471" s="2">
        <v>0</v>
      </c>
      <c r="AN1471" s="2">
        <v>0</v>
      </c>
      <c r="AO1471" s="2">
        <v>0</v>
      </c>
      <c r="AP1471" s="2">
        <v>0</v>
      </c>
      <c r="AQ1471" s="2">
        <v>0</v>
      </c>
      <c r="AR1471" s="2">
        <v>49.231535649904913</v>
      </c>
    </row>
    <row r="1472" spans="1:44" x14ac:dyDescent="0.25">
      <c r="A1472" t="s">
        <v>131</v>
      </c>
      <c r="B1472" t="s">
        <v>162</v>
      </c>
      <c r="C1472" t="s">
        <v>44</v>
      </c>
      <c r="D1472" t="s">
        <v>163</v>
      </c>
      <c r="E1472" t="s">
        <v>134</v>
      </c>
      <c r="F1472" t="s">
        <v>163</v>
      </c>
      <c r="G1472" t="s">
        <v>28</v>
      </c>
      <c r="H1472" t="s">
        <v>52</v>
      </c>
      <c r="I1472" t="s">
        <v>135</v>
      </c>
      <c r="J1472" t="s">
        <v>39</v>
      </c>
      <c r="K1472" t="s">
        <v>28</v>
      </c>
      <c r="L1472">
        <v>31.35</v>
      </c>
      <c r="M1472">
        <v>1</v>
      </c>
      <c r="N1472">
        <v>2.317075937792068</v>
      </c>
      <c r="O1472">
        <v>3.8979006412011894</v>
      </c>
      <c r="P1472">
        <v>-1.064501844170566</v>
      </c>
      <c r="Q1472">
        <v>1.2247390996280272</v>
      </c>
      <c r="R1472">
        <v>-1.561204557281898</v>
      </c>
      <c r="S1472" s="2">
        <v>188.05863280173438</v>
      </c>
      <c r="T1472" s="2">
        <v>310.01523314444154</v>
      </c>
      <c r="U1472" s="2">
        <v>472.88867343364177</v>
      </c>
      <c r="V1472" s="2">
        <v>681.24243342584464</v>
      </c>
      <c r="W1472" s="2">
        <v>931.93879464411987</v>
      </c>
      <c r="X1472" s="2">
        <v>1214.4515242550647</v>
      </c>
      <c r="Y1472" s="2">
        <v>1509.0792211711976</v>
      </c>
      <c r="Z1472" s="2">
        <v>1786.661042232897</v>
      </c>
      <c r="AA1472" s="2">
        <v>2011.1055839547039</v>
      </c>
      <c r="AB1472" s="2">
        <v>2144.8902110492763</v>
      </c>
      <c r="AC1472" s="2">
        <v>2157.6896934152596</v>
      </c>
      <c r="AD1472" s="2">
        <v>2036.0650642869643</v>
      </c>
      <c r="AE1472" s="2">
        <v>1790.6682025557825</v>
      </c>
      <c r="AF1472" s="2">
        <v>1480.2777708444787</v>
      </c>
      <c r="AG1472" s="2">
        <v>1130.8500594654354</v>
      </c>
      <c r="AH1472" s="2">
        <v>775.98260625408659</v>
      </c>
      <c r="AI1472" s="2">
        <v>35.559717263222574</v>
      </c>
      <c r="AJ1472" s="2">
        <v>23.276723364354812</v>
      </c>
      <c r="AK1472" s="2">
        <v>0</v>
      </c>
      <c r="AL1472" s="2">
        <v>0</v>
      </c>
      <c r="AM1472" s="2">
        <v>0</v>
      </c>
      <c r="AN1472" s="2">
        <v>0</v>
      </c>
      <c r="AO1472" s="2">
        <v>0</v>
      </c>
      <c r="AP1472" s="2">
        <v>0</v>
      </c>
      <c r="AQ1472" s="2">
        <v>0</v>
      </c>
      <c r="AR1472" s="2">
        <v>20680.70118756251</v>
      </c>
    </row>
    <row r="1473" spans="1:44" x14ac:dyDescent="0.25">
      <c r="A1473" t="s">
        <v>131</v>
      </c>
      <c r="B1473" t="s">
        <v>162</v>
      </c>
      <c r="C1473" t="s">
        <v>44</v>
      </c>
      <c r="D1473" t="s">
        <v>163</v>
      </c>
      <c r="E1473" t="s">
        <v>134</v>
      </c>
      <c r="F1473" t="s">
        <v>163</v>
      </c>
      <c r="G1473" t="s">
        <v>28</v>
      </c>
      <c r="H1473" t="s">
        <v>138</v>
      </c>
      <c r="I1473" t="s">
        <v>135</v>
      </c>
      <c r="J1473" t="s">
        <v>39</v>
      </c>
      <c r="K1473" t="s">
        <v>28</v>
      </c>
      <c r="L1473">
        <v>31.35</v>
      </c>
      <c r="M1473">
        <v>1</v>
      </c>
      <c r="N1473">
        <v>2.317075937792068</v>
      </c>
      <c r="O1473">
        <v>3.8979006412011894</v>
      </c>
      <c r="P1473">
        <v>-1.064501844170566</v>
      </c>
      <c r="Q1473">
        <v>1.2247390996280272</v>
      </c>
      <c r="R1473">
        <v>-1.561204557281898</v>
      </c>
      <c r="S1473" s="2">
        <v>65.234354806462264</v>
      </c>
      <c r="T1473" s="2">
        <v>107.53903403984607</v>
      </c>
      <c r="U1473" s="2">
        <v>164.03707209362926</v>
      </c>
      <c r="V1473" s="2">
        <v>236.31146280942994</v>
      </c>
      <c r="W1473" s="2">
        <v>323.27378478719123</v>
      </c>
      <c r="X1473" s="2">
        <v>421.27266612656763</v>
      </c>
      <c r="Y1473" s="2">
        <v>523.47402444815475</v>
      </c>
      <c r="Z1473" s="2">
        <v>619.76245712039224</v>
      </c>
      <c r="AA1473" s="2">
        <v>697.61846750886718</v>
      </c>
      <c r="AB1473" s="2">
        <v>744.02608890606507</v>
      </c>
      <c r="AC1473" s="2">
        <v>748.46601257009547</v>
      </c>
      <c r="AD1473" s="2">
        <v>706.27648852881214</v>
      </c>
      <c r="AE1473" s="2">
        <v>621.15247317216847</v>
      </c>
      <c r="AF1473" s="2">
        <v>513.4832891037438</v>
      </c>
      <c r="AG1473" s="2">
        <v>392.272733843872</v>
      </c>
      <c r="AH1473" s="2">
        <v>269.17522426843556</v>
      </c>
      <c r="AI1473" s="2">
        <v>12.335063688419785</v>
      </c>
      <c r="AJ1473" s="2">
        <v>8.0743011265164757</v>
      </c>
      <c r="AK1473" s="2">
        <v>0</v>
      </c>
      <c r="AL1473" s="2">
        <v>0</v>
      </c>
      <c r="AM1473" s="2">
        <v>0</v>
      </c>
      <c r="AN1473" s="2">
        <v>0</v>
      </c>
      <c r="AO1473" s="2">
        <v>0</v>
      </c>
      <c r="AP1473" s="2">
        <v>0</v>
      </c>
      <c r="AQ1473" s="2">
        <v>0</v>
      </c>
      <c r="AR1473" s="2">
        <v>7173.7849989486676</v>
      </c>
    </row>
    <row r="1474" spans="1:44" x14ac:dyDescent="0.25">
      <c r="A1474" t="s">
        <v>131</v>
      </c>
      <c r="B1474" t="s">
        <v>165</v>
      </c>
      <c r="C1474" t="s">
        <v>44</v>
      </c>
      <c r="D1474" t="s">
        <v>166</v>
      </c>
      <c r="E1474" t="s">
        <v>148</v>
      </c>
      <c r="F1474" t="s">
        <v>166</v>
      </c>
      <c r="G1474" t="s">
        <v>28</v>
      </c>
      <c r="H1474" t="s">
        <v>55</v>
      </c>
      <c r="I1474" t="s">
        <v>135</v>
      </c>
      <c r="J1474" t="s">
        <v>39</v>
      </c>
      <c r="K1474" t="s">
        <v>28</v>
      </c>
      <c r="L1474">
        <v>14.72</v>
      </c>
      <c r="M1474">
        <v>1</v>
      </c>
      <c r="N1474">
        <v>2.2973134921399638</v>
      </c>
      <c r="O1474">
        <v>3.9878353025931945</v>
      </c>
      <c r="P1474">
        <v>-1.0909408465043908</v>
      </c>
      <c r="Q1474">
        <v>1.2637758031966404</v>
      </c>
      <c r="R1474">
        <v>-1.626680263184336</v>
      </c>
      <c r="S1474" s="2">
        <v>5.6920518382703154E-4</v>
      </c>
      <c r="T1474" s="2">
        <v>3.602646922332719E-4</v>
      </c>
      <c r="U1474" s="2">
        <v>9.432674359670304E-4</v>
      </c>
      <c r="V1474" s="2">
        <v>1.801348616484435E-3</v>
      </c>
      <c r="W1474" s="2">
        <v>3.0241907200250465E-3</v>
      </c>
      <c r="X1474" s="2">
        <v>4.6755340044373093E-3</v>
      </c>
      <c r="Y1474" s="2">
        <v>6.7397466735469105E-3</v>
      </c>
      <c r="Z1474" s="2">
        <v>9.2697965839346856E-3</v>
      </c>
      <c r="AA1474" s="2">
        <v>1.2184984778113965E-2</v>
      </c>
      <c r="AB1474" s="2">
        <v>1.533895848511588E-2</v>
      </c>
      <c r="AC1474" s="2">
        <v>1.8544511541594588E-2</v>
      </c>
      <c r="AD1474" s="2">
        <v>2.1560261238448872E-2</v>
      </c>
      <c r="AE1474" s="2">
        <v>2.4131234169236473E-2</v>
      </c>
      <c r="AF1474" s="2">
        <v>2.6032296171376194E-2</v>
      </c>
      <c r="AG1474" s="2">
        <v>2.7111865582651863E-2</v>
      </c>
      <c r="AH1474" s="2">
        <v>2.7321699490581837E-2</v>
      </c>
      <c r="AI1474" s="2">
        <v>2.6720938397693749E-2</v>
      </c>
      <c r="AJ1474" s="2">
        <v>2.552154788507088E-2</v>
      </c>
      <c r="AK1474" s="2">
        <v>2.3738179206846653E-2</v>
      </c>
      <c r="AL1474" s="2">
        <v>2.176553104158015E-2</v>
      </c>
      <c r="AM1474" s="2">
        <v>1.9476520711237361E-2</v>
      </c>
      <c r="AN1474" s="2">
        <v>1.7094055575135242E-2</v>
      </c>
      <c r="AO1474" s="2">
        <v>1.470630790772184E-2</v>
      </c>
      <c r="AP1474" s="2">
        <v>1.2314140107630409E-2</v>
      </c>
      <c r="AQ1474" s="2">
        <v>9.9185615003116127E-3</v>
      </c>
      <c r="AR1474" s="2">
        <v>0.37086494770080325</v>
      </c>
    </row>
    <row r="1475" spans="1:44" x14ac:dyDescent="0.25">
      <c r="A1475" t="s">
        <v>131</v>
      </c>
      <c r="B1475" t="s">
        <v>165</v>
      </c>
      <c r="C1475" t="s">
        <v>44</v>
      </c>
      <c r="D1475" t="s">
        <v>166</v>
      </c>
      <c r="E1475" t="s">
        <v>148</v>
      </c>
      <c r="F1475" t="s">
        <v>166</v>
      </c>
      <c r="G1475" t="s">
        <v>28</v>
      </c>
      <c r="H1475" t="s">
        <v>136</v>
      </c>
      <c r="I1475" t="s">
        <v>135</v>
      </c>
      <c r="J1475" t="s">
        <v>39</v>
      </c>
      <c r="K1475" t="s">
        <v>28</v>
      </c>
      <c r="L1475">
        <v>14.72</v>
      </c>
      <c r="M1475">
        <v>1</v>
      </c>
      <c r="N1475">
        <v>2.2973134921399638</v>
      </c>
      <c r="O1475">
        <v>3.9878353025931945</v>
      </c>
      <c r="P1475">
        <v>-1.0909408465043908</v>
      </c>
      <c r="Q1475">
        <v>1.2637758031966404</v>
      </c>
      <c r="R1475">
        <v>-1.626680263184336</v>
      </c>
      <c r="S1475" s="2">
        <v>7.1466873080505071E-4</v>
      </c>
      <c r="T1475" s="2">
        <v>4.5233233580399692E-4</v>
      </c>
      <c r="U1475" s="2">
        <v>1.1843246696030493E-3</v>
      </c>
      <c r="V1475" s="2">
        <v>2.2616932629193464E-3</v>
      </c>
      <c r="W1475" s="2">
        <v>3.7970394595870072E-3</v>
      </c>
      <c r="X1475" s="2">
        <v>5.8703926944601737E-3</v>
      </c>
      <c r="Y1475" s="2">
        <v>8.4621263790088923E-3</v>
      </c>
      <c r="Z1475" s="2">
        <v>1.1638744599829096E-2</v>
      </c>
      <c r="AA1475" s="2">
        <v>1.5298925332520849E-2</v>
      </c>
      <c r="AB1475" s="2">
        <v>1.9258914542423296E-2</v>
      </c>
      <c r="AC1475" s="2">
        <v>2.3283664491113173E-2</v>
      </c>
      <c r="AD1475" s="2">
        <v>2.7070105777163574E-2</v>
      </c>
      <c r="AE1475" s="2">
        <v>3.0298105123597006E-2</v>
      </c>
      <c r="AF1475" s="2">
        <v>3.2684994081839149E-2</v>
      </c>
      <c r="AG1475" s="2">
        <v>3.4040453453773906E-2</v>
      </c>
      <c r="AH1475" s="2">
        <v>3.4303911582619195E-2</v>
      </c>
      <c r="AI1475" s="2">
        <v>3.3549622654882039E-2</v>
      </c>
      <c r="AJ1475" s="2">
        <v>3.2043721233478262E-2</v>
      </c>
      <c r="AK1475" s="2">
        <v>2.9804602781929548E-2</v>
      </c>
      <c r="AL1475" s="2">
        <v>2.7327833418872977E-2</v>
      </c>
      <c r="AM1475" s="2">
        <v>2.445385378188648E-2</v>
      </c>
      <c r="AN1475" s="2">
        <v>2.1462536444336891E-2</v>
      </c>
      <c r="AO1475" s="2">
        <v>1.8464586595250767E-2</v>
      </c>
      <c r="AP1475" s="2">
        <v>1.5461087024024713E-2</v>
      </c>
      <c r="AQ1475" s="2">
        <v>1.245330499483553E-2</v>
      </c>
      <c r="AR1475" s="2">
        <v>0.46564154544656405</v>
      </c>
    </row>
    <row r="1476" spans="1:44" x14ac:dyDescent="0.25">
      <c r="A1476" t="s">
        <v>131</v>
      </c>
      <c r="B1476" t="s">
        <v>165</v>
      </c>
      <c r="C1476" t="s">
        <v>44</v>
      </c>
      <c r="D1476" t="s">
        <v>166</v>
      </c>
      <c r="E1476" t="s">
        <v>148</v>
      </c>
      <c r="F1476" t="s">
        <v>166</v>
      </c>
      <c r="G1476" t="s">
        <v>28</v>
      </c>
      <c r="H1476" t="s">
        <v>52</v>
      </c>
      <c r="I1476" t="s">
        <v>135</v>
      </c>
      <c r="J1476" t="s">
        <v>39</v>
      </c>
      <c r="K1476" t="s">
        <v>28</v>
      </c>
      <c r="L1476">
        <v>14.72</v>
      </c>
      <c r="M1476">
        <v>1</v>
      </c>
      <c r="N1476">
        <v>2.2973134921399638</v>
      </c>
      <c r="O1476">
        <v>3.9878353025931945</v>
      </c>
      <c r="P1476">
        <v>-1.0909408465043908</v>
      </c>
      <c r="Q1476">
        <v>1.2637758031966404</v>
      </c>
      <c r="R1476">
        <v>-1.626680263184336</v>
      </c>
      <c r="S1476" s="2">
        <v>0.29654957627184081</v>
      </c>
      <c r="T1476" s="2">
        <v>0.18769390171250988</v>
      </c>
      <c r="U1476" s="2">
        <v>0.49143185338953405</v>
      </c>
      <c r="V1476" s="2">
        <v>0.93848261420376344</v>
      </c>
      <c r="W1476" s="2">
        <v>1.5755697630139387</v>
      </c>
      <c r="X1476" s="2">
        <v>2.4359012659340098</v>
      </c>
      <c r="Y1476" s="2">
        <v>3.5113331308437807</v>
      </c>
      <c r="Z1476" s="2">
        <v>4.8294610224901549</v>
      </c>
      <c r="AA1476" s="2">
        <v>6.3482416806776119</v>
      </c>
      <c r="AB1476" s="2">
        <v>7.991426937873312</v>
      </c>
      <c r="AC1476" s="2">
        <v>9.6614844630425321</v>
      </c>
      <c r="AD1476" s="2">
        <v>11.232656546773679</v>
      </c>
      <c r="AE1476" s="2">
        <v>12.572104877348121</v>
      </c>
      <c r="AF1476" s="2">
        <v>13.562537057551745</v>
      </c>
      <c r="AG1476" s="2">
        <v>14.124980725610717</v>
      </c>
      <c r="AH1476" s="2">
        <v>14.23430186015433</v>
      </c>
      <c r="AI1476" s="2">
        <v>13.921312005882863</v>
      </c>
      <c r="AJ1476" s="2">
        <v>13.296442875367743</v>
      </c>
      <c r="AK1476" s="2">
        <v>12.367327609220315</v>
      </c>
      <c r="AL1476" s="2">
        <v>11.339599833429567</v>
      </c>
      <c r="AM1476" s="2">
        <v>10.147050884768865</v>
      </c>
      <c r="AN1476" s="2">
        <v>8.905813020694703</v>
      </c>
      <c r="AO1476" s="2">
        <v>7.6618230165018488</v>
      </c>
      <c r="AP1476" s="2">
        <v>6.4155301722964078</v>
      </c>
      <c r="AQ1476" s="2">
        <v>5.1674603354234367</v>
      </c>
      <c r="AR1476" s="2">
        <v>193.21651703047729</v>
      </c>
    </row>
    <row r="1477" spans="1:44" x14ac:dyDescent="0.25">
      <c r="A1477" t="s">
        <v>131</v>
      </c>
      <c r="B1477" t="s">
        <v>165</v>
      </c>
      <c r="C1477" t="s">
        <v>44</v>
      </c>
      <c r="D1477" t="s">
        <v>166</v>
      </c>
      <c r="E1477" t="s">
        <v>148</v>
      </c>
      <c r="F1477" t="s">
        <v>166</v>
      </c>
      <c r="G1477" t="s">
        <v>28</v>
      </c>
      <c r="H1477" t="s">
        <v>138</v>
      </c>
      <c r="I1477" t="s">
        <v>135</v>
      </c>
      <c r="J1477" t="s">
        <v>39</v>
      </c>
      <c r="K1477" t="s">
        <v>28</v>
      </c>
      <c r="L1477">
        <v>14.72</v>
      </c>
      <c r="M1477">
        <v>1</v>
      </c>
      <c r="N1477">
        <v>2.2973134921399638</v>
      </c>
      <c r="O1477">
        <v>3.9878353025931945</v>
      </c>
      <c r="P1477">
        <v>-1.0909408465043908</v>
      </c>
      <c r="Q1477">
        <v>1.2637758031966404</v>
      </c>
      <c r="R1477">
        <v>-1.626680263184336</v>
      </c>
      <c r="S1477" s="2">
        <v>0.10286802572162961</v>
      </c>
      <c r="T1477" s="2">
        <v>6.5107835768601866E-2</v>
      </c>
      <c r="U1477" s="2">
        <v>0.1704693871778194</v>
      </c>
      <c r="V1477" s="2">
        <v>0.32554372496799289</v>
      </c>
      <c r="W1477" s="2">
        <v>0.54653846734674905</v>
      </c>
      <c r="X1477" s="2">
        <v>0.84497289535747577</v>
      </c>
      <c r="Y1477" s="2">
        <v>1.2180219960582257</v>
      </c>
      <c r="Z1477" s="2">
        <v>1.675258238196641</v>
      </c>
      <c r="AA1477" s="2">
        <v>2.2020975268447041</v>
      </c>
      <c r="AB1477" s="2">
        <v>2.7720906640045571</v>
      </c>
      <c r="AC1477" s="2">
        <v>3.3514053358226072</v>
      </c>
      <c r="AD1477" s="2">
        <v>3.8964183227041453</v>
      </c>
      <c r="AE1477" s="2">
        <v>4.361050264029231</v>
      </c>
      <c r="AF1477" s="2">
        <v>4.7046144136381614</v>
      </c>
      <c r="AG1477" s="2">
        <v>4.899716596687032</v>
      </c>
      <c r="AH1477" s="2">
        <v>4.937638246825693</v>
      </c>
      <c r="AI1477" s="2">
        <v>4.8290673670943036</v>
      </c>
      <c r="AJ1477" s="2">
        <v>4.612310848340913</v>
      </c>
      <c r="AK1477" s="2">
        <v>4.2900164977706492</v>
      </c>
      <c r="AL1477" s="2">
        <v>3.9335151376811015</v>
      </c>
      <c r="AM1477" s="2">
        <v>3.5198401040919545</v>
      </c>
      <c r="AN1477" s="2">
        <v>3.089275710328625</v>
      </c>
      <c r="AO1477" s="2">
        <v>2.6577566457677078</v>
      </c>
      <c r="AP1477" s="2">
        <v>2.2254387650067922</v>
      </c>
      <c r="AQ1477" s="2">
        <v>1.7925044755840587</v>
      </c>
      <c r="AR1477" s="2">
        <v>67.023537492817383</v>
      </c>
    </row>
    <row r="1478" spans="1:44" x14ac:dyDescent="0.25">
      <c r="A1478" t="s">
        <v>131</v>
      </c>
      <c r="B1478" t="s">
        <v>165</v>
      </c>
      <c r="C1478" t="s">
        <v>44</v>
      </c>
      <c r="D1478" t="s">
        <v>166</v>
      </c>
      <c r="E1478" t="s">
        <v>134</v>
      </c>
      <c r="F1478" t="s">
        <v>166</v>
      </c>
      <c r="G1478" t="s">
        <v>28</v>
      </c>
      <c r="H1478" t="s">
        <v>55</v>
      </c>
      <c r="I1478" t="s">
        <v>135</v>
      </c>
      <c r="J1478" t="s">
        <v>39</v>
      </c>
      <c r="K1478" t="s">
        <v>28</v>
      </c>
      <c r="L1478">
        <v>14.72</v>
      </c>
      <c r="M1478">
        <v>1</v>
      </c>
      <c r="N1478">
        <v>2.2973134921399638</v>
      </c>
      <c r="O1478">
        <v>3.9878353025931945</v>
      </c>
      <c r="P1478">
        <v>-1.0909408465043908</v>
      </c>
      <c r="Q1478">
        <v>1.2637758031966404</v>
      </c>
      <c r="R1478">
        <v>-1.626680263184336</v>
      </c>
      <c r="S1478" s="2">
        <v>7.3638736457915535E-2</v>
      </c>
      <c r="T1478" s="2">
        <v>0.12139368297721796</v>
      </c>
      <c r="U1478" s="2">
        <v>0.18517057089118696</v>
      </c>
      <c r="V1478" s="2">
        <v>0.26675633695520634</v>
      </c>
      <c r="W1478" s="2">
        <v>0.36492233444054351</v>
      </c>
      <c r="X1478" s="2">
        <v>0.47554677178695193</v>
      </c>
      <c r="Y1478" s="2">
        <v>0.59091510666835723</v>
      </c>
      <c r="Z1478" s="2">
        <v>0.69960873196032169</v>
      </c>
      <c r="AA1478" s="2">
        <v>0.78749521827065549</v>
      </c>
      <c r="AB1478" s="2">
        <v>0.83988170407013596</v>
      </c>
      <c r="AC1478" s="2">
        <v>0.84489363941553453</v>
      </c>
      <c r="AD1478" s="2">
        <v>0.79726868395490091</v>
      </c>
      <c r="AE1478" s="2">
        <v>0.70117782888804769</v>
      </c>
      <c r="AF1478" s="2">
        <v>0.57963722817579677</v>
      </c>
      <c r="AG1478" s="2">
        <v>0.44281067165997917</v>
      </c>
      <c r="AH1478" s="2">
        <v>0.30385405756998601</v>
      </c>
      <c r="AI1478" s="2">
        <v>1.3924235272012937E-2</v>
      </c>
      <c r="AJ1478" s="2">
        <v>9.1145430119053943E-3</v>
      </c>
      <c r="AK1478" s="2">
        <v>0</v>
      </c>
      <c r="AL1478" s="2">
        <v>0</v>
      </c>
      <c r="AM1478" s="2">
        <v>0</v>
      </c>
      <c r="AN1478" s="2">
        <v>0</v>
      </c>
      <c r="AO1478" s="2">
        <v>0</v>
      </c>
      <c r="AP1478" s="2">
        <v>0</v>
      </c>
      <c r="AQ1478" s="2">
        <v>0</v>
      </c>
      <c r="AR1478" s="2">
        <v>8.0980100824266561</v>
      </c>
    </row>
    <row r="1479" spans="1:44" x14ac:dyDescent="0.25">
      <c r="A1479" t="s">
        <v>131</v>
      </c>
      <c r="B1479" t="s">
        <v>165</v>
      </c>
      <c r="C1479" t="s">
        <v>44</v>
      </c>
      <c r="D1479" t="s">
        <v>166</v>
      </c>
      <c r="E1479" t="s">
        <v>134</v>
      </c>
      <c r="F1479" t="s">
        <v>166</v>
      </c>
      <c r="G1479" t="s">
        <v>28</v>
      </c>
      <c r="H1479" t="s">
        <v>136</v>
      </c>
      <c r="I1479" t="s">
        <v>135</v>
      </c>
      <c r="J1479" t="s">
        <v>39</v>
      </c>
      <c r="K1479" t="s">
        <v>28</v>
      </c>
      <c r="L1479">
        <v>14.72</v>
      </c>
      <c r="M1479">
        <v>1</v>
      </c>
      <c r="N1479">
        <v>2.2973134921399638</v>
      </c>
      <c r="O1479">
        <v>3.9878353025931945</v>
      </c>
      <c r="P1479">
        <v>-1.0909408465043908</v>
      </c>
      <c r="Q1479">
        <v>1.2637758031966404</v>
      </c>
      <c r="R1479">
        <v>-1.626680263184336</v>
      </c>
      <c r="S1479" s="2">
        <v>9.2457524663827298E-2</v>
      </c>
      <c r="T1479" s="2">
        <v>0.15241651307139592</v>
      </c>
      <c r="U1479" s="2">
        <v>0.23249193900782364</v>
      </c>
      <c r="V1479" s="2">
        <v>0.33492740084375905</v>
      </c>
      <c r="W1479" s="2">
        <v>0.4581802643531267</v>
      </c>
      <c r="X1479" s="2">
        <v>0.59707539124361741</v>
      </c>
      <c r="Y1479" s="2">
        <v>0.7419267450391599</v>
      </c>
      <c r="Z1479" s="2">
        <v>0.87839763012795891</v>
      </c>
      <c r="AA1479" s="2">
        <v>0.98874399627315657</v>
      </c>
      <c r="AB1479" s="2">
        <v>1.0545181395547261</v>
      </c>
      <c r="AC1479" s="2">
        <v>1.0608109028217263</v>
      </c>
      <c r="AD1479" s="2">
        <v>1.0010151254100421</v>
      </c>
      <c r="AE1479" s="2">
        <v>0.88036771849277073</v>
      </c>
      <c r="AF1479" s="2">
        <v>0.72776674204294489</v>
      </c>
      <c r="AG1479" s="2">
        <v>0.55597339886197372</v>
      </c>
      <c r="AH1479" s="2">
        <v>0.38150565006009213</v>
      </c>
      <c r="AI1479" s="2">
        <v>1.748265095263846E-2</v>
      </c>
      <c r="AJ1479" s="2">
        <v>1.1443815114947881E-2</v>
      </c>
      <c r="AK1479" s="2">
        <v>0</v>
      </c>
      <c r="AL1479" s="2">
        <v>0</v>
      </c>
      <c r="AM1479" s="2">
        <v>0</v>
      </c>
      <c r="AN1479" s="2">
        <v>0</v>
      </c>
      <c r="AO1479" s="2">
        <v>0</v>
      </c>
      <c r="AP1479" s="2">
        <v>0</v>
      </c>
      <c r="AQ1479" s="2">
        <v>0</v>
      </c>
      <c r="AR1479" s="2">
        <v>10.167501547935688</v>
      </c>
    </row>
    <row r="1480" spans="1:44" x14ac:dyDescent="0.25">
      <c r="A1480" t="s">
        <v>131</v>
      </c>
      <c r="B1480" t="s">
        <v>165</v>
      </c>
      <c r="C1480" t="s">
        <v>44</v>
      </c>
      <c r="D1480" t="s">
        <v>166</v>
      </c>
      <c r="E1480" t="s">
        <v>134</v>
      </c>
      <c r="F1480" t="s">
        <v>166</v>
      </c>
      <c r="G1480" t="s">
        <v>28</v>
      </c>
      <c r="H1480" t="s">
        <v>52</v>
      </c>
      <c r="I1480" t="s">
        <v>135</v>
      </c>
      <c r="J1480" t="s">
        <v>39</v>
      </c>
      <c r="K1480" t="s">
        <v>28</v>
      </c>
      <c r="L1480">
        <v>14.72</v>
      </c>
      <c r="M1480">
        <v>1</v>
      </c>
      <c r="N1480">
        <v>2.2973134921399638</v>
      </c>
      <c r="O1480">
        <v>3.9878353025931945</v>
      </c>
      <c r="P1480">
        <v>-1.0909408465043908</v>
      </c>
      <c r="Q1480">
        <v>1.2637758031966404</v>
      </c>
      <c r="R1480">
        <v>-1.626680263184336</v>
      </c>
      <c r="S1480" s="2">
        <v>38.364963486391133</v>
      </c>
      <c r="T1480" s="2">
        <v>63.244760012430817</v>
      </c>
      <c r="U1480" s="2">
        <v>96.471809983520714</v>
      </c>
      <c r="V1480" s="2">
        <v>138.97708759436296</v>
      </c>
      <c r="W1480" s="2">
        <v>190.12048155091821</v>
      </c>
      <c r="X1480" s="2">
        <v>247.75458424798205</v>
      </c>
      <c r="Y1480" s="2">
        <v>307.86020485080678</v>
      </c>
      <c r="Z1480" s="2">
        <v>364.48837592097226</v>
      </c>
      <c r="AA1480" s="2">
        <v>410.27625877214177</v>
      </c>
      <c r="AB1480" s="2">
        <v>437.56903580160656</v>
      </c>
      <c r="AC1480" s="2">
        <v>440.18019842838874</v>
      </c>
      <c r="AD1480" s="2">
        <v>415.36812579957046</v>
      </c>
      <c r="AE1480" s="2">
        <v>365.30585798590738</v>
      </c>
      <c r="AF1480" s="2">
        <v>301.98455546594374</v>
      </c>
      <c r="AG1480" s="2">
        <v>230.69943981627506</v>
      </c>
      <c r="AH1480" s="2">
        <v>158.30458783776652</v>
      </c>
      <c r="AI1480" s="2">
        <v>7.2543718629934926</v>
      </c>
      <c r="AJ1480" s="2">
        <v>4.7485756365025757</v>
      </c>
      <c r="AK1480" s="2">
        <v>0</v>
      </c>
      <c r="AL1480" s="2">
        <v>0</v>
      </c>
      <c r="AM1480" s="2">
        <v>0</v>
      </c>
      <c r="AN1480" s="2">
        <v>0</v>
      </c>
      <c r="AO1480" s="2">
        <v>0</v>
      </c>
      <c r="AP1480" s="2">
        <v>0</v>
      </c>
      <c r="AQ1480" s="2">
        <v>0</v>
      </c>
      <c r="AR1480" s="2">
        <v>4218.9732750544808</v>
      </c>
    </row>
    <row r="1481" spans="1:44" x14ac:dyDescent="0.25">
      <c r="A1481" t="s">
        <v>131</v>
      </c>
      <c r="B1481" t="s">
        <v>165</v>
      </c>
      <c r="C1481" t="s">
        <v>44</v>
      </c>
      <c r="D1481" t="s">
        <v>166</v>
      </c>
      <c r="E1481" t="s">
        <v>134</v>
      </c>
      <c r="F1481" t="s">
        <v>166</v>
      </c>
      <c r="G1481" t="s">
        <v>28</v>
      </c>
      <c r="H1481" t="s">
        <v>138</v>
      </c>
      <c r="I1481" t="s">
        <v>135</v>
      </c>
      <c r="J1481" t="s">
        <v>39</v>
      </c>
      <c r="K1481" t="s">
        <v>28</v>
      </c>
      <c r="L1481">
        <v>14.72</v>
      </c>
      <c r="M1481">
        <v>1</v>
      </c>
      <c r="N1481">
        <v>2.2973134921399638</v>
      </c>
      <c r="O1481">
        <v>3.9878353025931945</v>
      </c>
      <c r="P1481">
        <v>-1.0909408465043908</v>
      </c>
      <c r="Q1481">
        <v>1.2637758031966404</v>
      </c>
      <c r="R1481">
        <v>-1.626680263184336</v>
      </c>
      <c r="S1481" s="2">
        <v>13.308156094311071</v>
      </c>
      <c r="T1481" s="2">
        <v>21.938536151382785</v>
      </c>
      <c r="U1481" s="2">
        <v>33.464437061612834</v>
      </c>
      <c r="V1481" s="2">
        <v>48.208798006404791</v>
      </c>
      <c r="W1481" s="2">
        <v>65.949575218615962</v>
      </c>
      <c r="X1481" s="2">
        <v>85.941869367941905</v>
      </c>
      <c r="Y1481" s="2">
        <v>106.79149122178703</v>
      </c>
      <c r="Z1481" s="2">
        <v>126.43484472594029</v>
      </c>
      <c r="AA1481" s="2">
        <v>142.31788583524681</v>
      </c>
      <c r="AB1481" s="2">
        <v>151.78528796334174</v>
      </c>
      <c r="AC1481" s="2">
        <v>152.69105605659632</v>
      </c>
      <c r="AD1481" s="2">
        <v>144.08416827251622</v>
      </c>
      <c r="AE1481" s="2">
        <v>126.71841540960102</v>
      </c>
      <c r="AF1481" s="2">
        <v>104.75332795865926</v>
      </c>
      <c r="AG1481" s="2">
        <v>80.025728606106242</v>
      </c>
      <c r="AH1481" s="2">
        <v>54.913180515286868</v>
      </c>
      <c r="AI1481" s="2">
        <v>2.5164187411032266</v>
      </c>
      <c r="AJ1481" s="2">
        <v>1.6472004676515692</v>
      </c>
      <c r="AK1481" s="2">
        <v>0</v>
      </c>
      <c r="AL1481" s="2">
        <v>0</v>
      </c>
      <c r="AM1481" s="2">
        <v>0</v>
      </c>
      <c r="AN1481" s="2">
        <v>0</v>
      </c>
      <c r="AO1481" s="2">
        <v>0</v>
      </c>
      <c r="AP1481" s="2">
        <v>0</v>
      </c>
      <c r="AQ1481" s="2">
        <v>0</v>
      </c>
      <c r="AR1481" s="2">
        <v>1463.490377674106</v>
      </c>
    </row>
    <row r="1482" spans="1:44" x14ac:dyDescent="0.25">
      <c r="A1482" t="s">
        <v>131</v>
      </c>
      <c r="B1482" t="s">
        <v>167</v>
      </c>
      <c r="C1482" t="s">
        <v>44</v>
      </c>
      <c r="D1482" t="s">
        <v>168</v>
      </c>
      <c r="E1482" t="s">
        <v>134</v>
      </c>
      <c r="F1482" t="s">
        <v>168</v>
      </c>
      <c r="G1482" t="s">
        <v>28</v>
      </c>
      <c r="H1482" t="s">
        <v>54</v>
      </c>
      <c r="I1482" t="s">
        <v>135</v>
      </c>
      <c r="J1482" t="s">
        <v>39</v>
      </c>
      <c r="K1482" t="s">
        <v>28</v>
      </c>
      <c r="L1482">
        <v>41.48</v>
      </c>
      <c r="M1482">
        <v>1</v>
      </c>
      <c r="N1482">
        <v>3.5013611094518171</v>
      </c>
      <c r="O1482">
        <v>3.7403155854968446</v>
      </c>
      <c r="P1482">
        <v>-1.3967912097249016</v>
      </c>
      <c r="Q1482">
        <v>0.77772207954966799</v>
      </c>
      <c r="R1482">
        <v>-1.4464769027578743</v>
      </c>
      <c r="S1482" s="2">
        <v>0</v>
      </c>
      <c r="T1482" s="2">
        <v>0</v>
      </c>
      <c r="U1482" s="2">
        <v>0</v>
      </c>
      <c r="V1482" s="2">
        <v>0</v>
      </c>
      <c r="W1482" s="2">
        <v>0</v>
      </c>
      <c r="X1482" s="2">
        <v>0</v>
      </c>
      <c r="Y1482" s="2">
        <v>0</v>
      </c>
      <c r="Z1482" s="2">
        <v>0</v>
      </c>
      <c r="AA1482" s="2">
        <v>0</v>
      </c>
      <c r="AB1482" s="2">
        <v>0</v>
      </c>
      <c r="AC1482" s="2">
        <v>0</v>
      </c>
      <c r="AD1482" s="2">
        <v>0</v>
      </c>
      <c r="AE1482" s="2">
        <v>0</v>
      </c>
      <c r="AF1482" s="2">
        <v>0</v>
      </c>
      <c r="AG1482" s="2">
        <v>0</v>
      </c>
      <c r="AH1482" s="2">
        <v>0</v>
      </c>
      <c r="AI1482" s="2">
        <v>0</v>
      </c>
      <c r="AJ1482" s="2">
        <v>0</v>
      </c>
      <c r="AK1482" s="2">
        <v>0</v>
      </c>
      <c r="AL1482" s="2">
        <v>0</v>
      </c>
      <c r="AM1482" s="2">
        <v>0</v>
      </c>
      <c r="AN1482" s="2">
        <v>0</v>
      </c>
      <c r="AO1482" s="2">
        <v>0</v>
      </c>
      <c r="AP1482" s="2">
        <v>0</v>
      </c>
      <c r="AQ1482" s="2">
        <v>0</v>
      </c>
      <c r="AR1482" s="2">
        <v>0</v>
      </c>
    </row>
    <row r="1483" spans="1:44" x14ac:dyDescent="0.25">
      <c r="A1483" t="s">
        <v>131</v>
      </c>
      <c r="B1483" t="s">
        <v>167</v>
      </c>
      <c r="C1483" t="s">
        <v>44</v>
      </c>
      <c r="D1483" t="s">
        <v>168</v>
      </c>
      <c r="E1483" t="s">
        <v>134</v>
      </c>
      <c r="F1483" t="s">
        <v>168</v>
      </c>
      <c r="G1483" t="s">
        <v>28</v>
      </c>
      <c r="H1483" t="s">
        <v>142</v>
      </c>
      <c r="I1483" t="s">
        <v>135</v>
      </c>
      <c r="J1483" t="s">
        <v>39</v>
      </c>
      <c r="K1483" t="s">
        <v>28</v>
      </c>
      <c r="L1483">
        <v>41.48</v>
      </c>
      <c r="M1483">
        <v>1</v>
      </c>
      <c r="N1483">
        <v>3.5013611094518171</v>
      </c>
      <c r="O1483">
        <v>3.7403155854968446</v>
      </c>
      <c r="P1483">
        <v>-1.3967912097249016</v>
      </c>
      <c r="Q1483">
        <v>0.77772207954966799</v>
      </c>
      <c r="R1483">
        <v>-1.4464769027578743</v>
      </c>
      <c r="S1483" s="2">
        <v>0</v>
      </c>
      <c r="T1483" s="2">
        <v>0</v>
      </c>
      <c r="U1483" s="2">
        <v>0</v>
      </c>
      <c r="V1483" s="2">
        <v>0</v>
      </c>
      <c r="W1483" s="2">
        <v>0</v>
      </c>
      <c r="X1483" s="2">
        <v>0</v>
      </c>
      <c r="Y1483" s="2">
        <v>0</v>
      </c>
      <c r="Z1483" s="2">
        <v>0</v>
      </c>
      <c r="AA1483" s="2">
        <v>0</v>
      </c>
      <c r="AB1483" s="2">
        <v>0</v>
      </c>
      <c r="AC1483" s="2">
        <v>0</v>
      </c>
      <c r="AD1483" s="2">
        <v>0</v>
      </c>
      <c r="AE1483" s="2">
        <v>0</v>
      </c>
      <c r="AF1483" s="2">
        <v>0</v>
      </c>
      <c r="AG1483" s="2">
        <v>0</v>
      </c>
      <c r="AH1483" s="2">
        <v>0</v>
      </c>
      <c r="AI1483" s="2">
        <v>0</v>
      </c>
      <c r="AJ1483" s="2">
        <v>0</v>
      </c>
      <c r="AK1483" s="2">
        <v>0</v>
      </c>
      <c r="AL1483" s="2">
        <v>0</v>
      </c>
      <c r="AM1483" s="2">
        <v>0</v>
      </c>
      <c r="AN1483" s="2">
        <v>0</v>
      </c>
      <c r="AO1483" s="2">
        <v>0</v>
      </c>
      <c r="AP1483" s="2">
        <v>0</v>
      </c>
      <c r="AQ1483" s="2">
        <v>0</v>
      </c>
      <c r="AR1483" s="2">
        <v>0</v>
      </c>
    </row>
    <row r="1484" spans="1:44" x14ac:dyDescent="0.25">
      <c r="A1484" t="s">
        <v>131</v>
      </c>
      <c r="B1484" t="s">
        <v>167</v>
      </c>
      <c r="C1484" t="s">
        <v>44</v>
      </c>
      <c r="D1484" t="s">
        <v>168</v>
      </c>
      <c r="E1484" t="s">
        <v>134</v>
      </c>
      <c r="F1484" t="s">
        <v>168</v>
      </c>
      <c r="G1484" t="s">
        <v>28</v>
      </c>
      <c r="H1484" t="s">
        <v>53</v>
      </c>
      <c r="I1484" t="s">
        <v>135</v>
      </c>
      <c r="J1484" t="s">
        <v>39</v>
      </c>
      <c r="K1484" t="s">
        <v>28</v>
      </c>
      <c r="L1484">
        <v>41.48</v>
      </c>
      <c r="M1484">
        <v>1</v>
      </c>
      <c r="N1484">
        <v>3.5013611094518171</v>
      </c>
      <c r="O1484">
        <v>3.7403155854968446</v>
      </c>
      <c r="P1484">
        <v>-1.3967912097249016</v>
      </c>
      <c r="Q1484">
        <v>0.77772207954966799</v>
      </c>
      <c r="R1484">
        <v>-1.4464769027578743</v>
      </c>
      <c r="S1484" s="2">
        <v>5.4862795225118504</v>
      </c>
      <c r="T1484" s="2">
        <v>10.959467083195998</v>
      </c>
      <c r="U1484" s="2">
        <v>19.443995063848416</v>
      </c>
      <c r="V1484" s="2">
        <v>31.599357756147295</v>
      </c>
      <c r="W1484" s="2">
        <v>47.912600358131556</v>
      </c>
      <c r="X1484" s="2">
        <v>68.538721998482131</v>
      </c>
      <c r="Y1484" s="2">
        <v>93.106679942678284</v>
      </c>
      <c r="Z1484" s="2">
        <v>120.52211338190234</v>
      </c>
      <c r="AA1484" s="2">
        <v>148.82605668517596</v>
      </c>
      <c r="AB1484" s="2">
        <v>175.1974801214198</v>
      </c>
      <c r="AC1484" s="2">
        <v>196.19547356955036</v>
      </c>
      <c r="AD1484" s="2">
        <v>208.30238861826959</v>
      </c>
      <c r="AE1484" s="2">
        <v>208.7335654249805</v>
      </c>
      <c r="AF1484" s="2">
        <v>196.33118481673586</v>
      </c>
      <c r="AG1484" s="2">
        <v>172.21730153412798</v>
      </c>
      <c r="AH1484" s="2">
        <v>142.07435001803671</v>
      </c>
      <c r="AI1484" s="2">
        <v>108.36802174939143</v>
      </c>
      <c r="AJ1484" s="2">
        <v>74.824509992165574</v>
      </c>
      <c r="AK1484" s="2">
        <v>5.3836916254853584</v>
      </c>
      <c r="AL1484" s="2">
        <v>0</v>
      </c>
      <c r="AM1484" s="2">
        <v>0</v>
      </c>
      <c r="AN1484" s="2">
        <v>0</v>
      </c>
      <c r="AO1484" s="2">
        <v>0</v>
      </c>
      <c r="AP1484" s="2">
        <v>0</v>
      </c>
      <c r="AQ1484" s="2">
        <v>0</v>
      </c>
      <c r="AR1484" s="2">
        <v>2034.023239262237</v>
      </c>
    </row>
    <row r="1485" spans="1:44" x14ac:dyDescent="0.25">
      <c r="A1485" t="s">
        <v>131</v>
      </c>
      <c r="B1485" t="s">
        <v>167</v>
      </c>
      <c r="C1485" t="s">
        <v>44</v>
      </c>
      <c r="D1485" t="s">
        <v>168</v>
      </c>
      <c r="E1485" t="s">
        <v>134</v>
      </c>
      <c r="F1485" t="s">
        <v>168</v>
      </c>
      <c r="G1485" t="s">
        <v>28</v>
      </c>
      <c r="H1485" t="s">
        <v>141</v>
      </c>
      <c r="I1485" t="s">
        <v>135</v>
      </c>
      <c r="J1485" t="s">
        <v>39</v>
      </c>
      <c r="K1485" t="s">
        <v>28</v>
      </c>
      <c r="L1485">
        <v>41.48</v>
      </c>
      <c r="M1485">
        <v>1</v>
      </c>
      <c r="N1485">
        <v>3.5013611094518171</v>
      </c>
      <c r="O1485">
        <v>3.7403155854968446</v>
      </c>
      <c r="P1485">
        <v>-1.3967912097249016</v>
      </c>
      <c r="Q1485">
        <v>0.77772207954966799</v>
      </c>
      <c r="R1485">
        <v>-1.4464769027578743</v>
      </c>
      <c r="S1485" s="2">
        <v>4.6176185981141415</v>
      </c>
      <c r="T1485" s="2">
        <v>9.2242181283566307</v>
      </c>
      <c r="U1485" s="2">
        <v>16.365362512072412</v>
      </c>
      <c r="V1485" s="2">
        <v>26.596126111423967</v>
      </c>
      <c r="W1485" s="2">
        <v>40.326438634760699</v>
      </c>
      <c r="X1485" s="2">
        <v>57.686757682055806</v>
      </c>
      <c r="Y1485" s="2">
        <v>78.364788951754221</v>
      </c>
      <c r="Z1485" s="2">
        <v>101.4394454297678</v>
      </c>
      <c r="AA1485" s="2">
        <v>125.26193104335636</v>
      </c>
      <c r="AB1485" s="2">
        <v>147.45787910219499</v>
      </c>
      <c r="AC1485" s="2">
        <v>165.13119025437155</v>
      </c>
      <c r="AD1485" s="2">
        <v>175.32117708704351</v>
      </c>
      <c r="AE1485" s="2">
        <v>175.68408423269187</v>
      </c>
      <c r="AF1485" s="2">
        <v>165.24541388741935</v>
      </c>
      <c r="AG1485" s="2">
        <v>144.94956212455773</v>
      </c>
      <c r="AH1485" s="2">
        <v>119.57924459851422</v>
      </c>
      <c r="AI1485" s="2">
        <v>91.209751639071115</v>
      </c>
      <c r="AJ1485" s="2">
        <v>62.977295910072691</v>
      </c>
      <c r="AK1485" s="2">
        <v>4.531273784783183</v>
      </c>
      <c r="AL1485" s="2">
        <v>0</v>
      </c>
      <c r="AM1485" s="2">
        <v>0</v>
      </c>
      <c r="AN1485" s="2">
        <v>0</v>
      </c>
      <c r="AO1485" s="2">
        <v>0</v>
      </c>
      <c r="AP1485" s="2">
        <v>0</v>
      </c>
      <c r="AQ1485" s="2">
        <v>0</v>
      </c>
      <c r="AR1485" s="2">
        <v>1711.9695597123821</v>
      </c>
    </row>
    <row r="1486" spans="1:44" x14ac:dyDescent="0.25">
      <c r="A1486" t="s">
        <v>131</v>
      </c>
      <c r="B1486" t="s">
        <v>188</v>
      </c>
      <c r="C1486" t="s">
        <v>45</v>
      </c>
      <c r="D1486" t="s">
        <v>189</v>
      </c>
      <c r="E1486" t="s">
        <v>148</v>
      </c>
      <c r="F1486" t="s">
        <v>189</v>
      </c>
      <c r="G1486" t="s">
        <v>28</v>
      </c>
      <c r="H1486" t="s">
        <v>55</v>
      </c>
      <c r="I1486" t="s">
        <v>135</v>
      </c>
      <c r="J1486" t="s">
        <v>39</v>
      </c>
      <c r="K1486" t="s">
        <v>28</v>
      </c>
      <c r="L1486">
        <v>1.942803643909091</v>
      </c>
      <c r="M1486">
        <v>1</v>
      </c>
      <c r="N1486">
        <v>1.4572741901862805</v>
      </c>
      <c r="O1486">
        <v>2.3542079250166035</v>
      </c>
      <c r="P1486">
        <v>-0.77752011669449606</v>
      </c>
      <c r="Q1486">
        <v>0.65174377694598584</v>
      </c>
      <c r="R1486">
        <v>-0.48733586113566857</v>
      </c>
      <c r="S1486" s="2">
        <v>1.8995446201966943E-5</v>
      </c>
      <c r="T1486" s="2">
        <v>1.2022709515352628E-5</v>
      </c>
      <c r="U1486" s="2">
        <v>3.1478606209292412E-5</v>
      </c>
      <c r="V1486" s="2">
        <v>6.0114387056980089E-5</v>
      </c>
      <c r="W1486" s="2">
        <v>1.0092292508737927E-4</v>
      </c>
      <c r="X1486" s="2">
        <v>1.5603135243712833E-4</v>
      </c>
      <c r="Y1486" s="2">
        <v>2.2491800670450276E-4</v>
      </c>
      <c r="Z1486" s="2">
        <v>3.093505247605337E-4</v>
      </c>
      <c r="AA1486" s="2">
        <v>4.0663583080575934E-4</v>
      </c>
      <c r="AB1486" s="2">
        <v>5.1188985795808193E-4</v>
      </c>
      <c r="AC1486" s="2">
        <v>6.1886518489114668E-4</v>
      </c>
      <c r="AD1486" s="2">
        <v>7.1950641717936383E-4</v>
      </c>
      <c r="AE1486" s="2">
        <v>8.0530461329756655E-4</v>
      </c>
      <c r="AF1486" s="2">
        <v>8.6874662333945329E-4</v>
      </c>
      <c r="AG1486" s="2">
        <v>9.0477388249984771E-4</v>
      </c>
      <c r="AH1486" s="2">
        <v>9.1177643416783004E-4</v>
      </c>
      <c r="AI1486" s="2">
        <v>8.9172790800462064E-4</v>
      </c>
      <c r="AJ1486" s="2">
        <v>8.5170199361554798E-4</v>
      </c>
      <c r="AK1486" s="2">
        <v>7.9218763087254211E-4</v>
      </c>
      <c r="AL1486" s="2">
        <v>7.263566560968182E-4</v>
      </c>
      <c r="AM1486" s="2">
        <v>6.4996808160522346E-4</v>
      </c>
      <c r="AN1486" s="2">
        <v>5.7046074469621556E-4</v>
      </c>
      <c r="AO1486" s="2">
        <v>4.9077711979443291E-4</v>
      </c>
      <c r="AP1486" s="2">
        <v>4.1094598676223167E-4</v>
      </c>
      <c r="AQ1486" s="2">
        <v>3.3100102868585695E-4</v>
      </c>
      <c r="AR1486" s="2">
        <v>1.2376459952245672E-2</v>
      </c>
    </row>
    <row r="1487" spans="1:44" x14ac:dyDescent="0.25">
      <c r="A1487" t="s">
        <v>131</v>
      </c>
      <c r="B1487" t="s">
        <v>188</v>
      </c>
      <c r="C1487" t="s">
        <v>45</v>
      </c>
      <c r="D1487" t="s">
        <v>189</v>
      </c>
      <c r="E1487" t="s">
        <v>148</v>
      </c>
      <c r="F1487" t="s">
        <v>189</v>
      </c>
      <c r="G1487" t="s">
        <v>28</v>
      </c>
      <c r="H1487" t="s">
        <v>136</v>
      </c>
      <c r="I1487" t="s">
        <v>135</v>
      </c>
      <c r="J1487" t="s">
        <v>39</v>
      </c>
      <c r="K1487" t="s">
        <v>28</v>
      </c>
      <c r="L1487">
        <v>1.942803643909091</v>
      </c>
      <c r="M1487">
        <v>1</v>
      </c>
      <c r="N1487">
        <v>1.4572741901862805</v>
      </c>
      <c r="O1487">
        <v>2.3542079250166035</v>
      </c>
      <c r="P1487">
        <v>-0.77752011669449606</v>
      </c>
      <c r="Q1487">
        <v>0.65174377694598584</v>
      </c>
      <c r="R1487">
        <v>-0.48733586113566857</v>
      </c>
      <c r="S1487" s="2">
        <v>2.3849838009136271E-5</v>
      </c>
      <c r="T1487" s="2">
        <v>1.5095179724831631E-5</v>
      </c>
      <c r="U1487" s="2">
        <v>3.9523138907222707E-5</v>
      </c>
      <c r="V1487" s="2">
        <v>7.5476952638208315E-5</v>
      </c>
      <c r="W1487" s="2">
        <v>1.2671433927637633E-4</v>
      </c>
      <c r="X1487" s="2">
        <v>1.9590603139328324E-4</v>
      </c>
      <c r="Y1487" s="2">
        <v>2.8239705286231992E-4</v>
      </c>
      <c r="Z1487" s="2">
        <v>3.8840676997711423E-4</v>
      </c>
      <c r="AA1487" s="2">
        <v>5.1055387645611945E-4</v>
      </c>
      <c r="AB1487" s="2">
        <v>6.4270615499181457E-4</v>
      </c>
      <c r="AC1487" s="2">
        <v>7.7701962102999446E-4</v>
      </c>
      <c r="AD1487" s="2">
        <v>9.033802793474233E-4</v>
      </c>
      <c r="AE1487" s="2">
        <v>1.011104681140281E-3</v>
      </c>
      <c r="AF1487" s="2">
        <v>1.0907596493039855E-3</v>
      </c>
      <c r="AG1487" s="2">
        <v>1.1359938746942498E-3</v>
      </c>
      <c r="AH1487" s="2">
        <v>1.1447859673440455E-3</v>
      </c>
      <c r="AI1487" s="2">
        <v>1.1196139289391309E-3</v>
      </c>
      <c r="AJ1487" s="2">
        <v>1.0693591697617561E-3</v>
      </c>
      <c r="AK1487" s="2">
        <v>9.9463558098440946E-4</v>
      </c>
      <c r="AL1487" s="2">
        <v>9.1198113487712018E-4</v>
      </c>
      <c r="AM1487" s="2">
        <v>8.1607103579321087E-4</v>
      </c>
      <c r="AN1487" s="2">
        <v>7.162451572297068E-4</v>
      </c>
      <c r="AO1487" s="2">
        <v>6.16197939297455E-4</v>
      </c>
      <c r="AP1487" s="2">
        <v>5.1596551671257514E-4</v>
      </c>
      <c r="AQ1487" s="2">
        <v>4.155901804611261E-4</v>
      </c>
      <c r="AR1487" s="2">
        <v>1.5539333051152897E-2</v>
      </c>
    </row>
    <row r="1488" spans="1:44" x14ac:dyDescent="0.25">
      <c r="A1488" t="s">
        <v>131</v>
      </c>
      <c r="B1488" t="s">
        <v>188</v>
      </c>
      <c r="C1488" t="s">
        <v>45</v>
      </c>
      <c r="D1488" t="s">
        <v>189</v>
      </c>
      <c r="E1488" t="s">
        <v>148</v>
      </c>
      <c r="F1488" t="s">
        <v>189</v>
      </c>
      <c r="G1488" t="s">
        <v>28</v>
      </c>
      <c r="H1488" t="s">
        <v>54</v>
      </c>
      <c r="I1488" t="s">
        <v>135</v>
      </c>
      <c r="J1488" t="s">
        <v>39</v>
      </c>
      <c r="K1488" t="s">
        <v>28</v>
      </c>
      <c r="L1488">
        <v>1.942803643909091</v>
      </c>
      <c r="M1488">
        <v>1</v>
      </c>
      <c r="N1488">
        <v>1.4572741901862805</v>
      </c>
      <c r="O1488">
        <v>2.3542079250166035</v>
      </c>
      <c r="P1488">
        <v>-0.77752011669449606</v>
      </c>
      <c r="Q1488">
        <v>0.65174377694598584</v>
      </c>
      <c r="R1488">
        <v>-0.48733586113566857</v>
      </c>
      <c r="S1488" s="2">
        <v>0</v>
      </c>
      <c r="T1488" s="2">
        <v>0</v>
      </c>
      <c r="U1488" s="2">
        <v>0</v>
      </c>
      <c r="V1488" s="2">
        <v>0</v>
      </c>
      <c r="W1488" s="2">
        <v>0</v>
      </c>
      <c r="X1488" s="2">
        <v>0</v>
      </c>
      <c r="Y1488" s="2">
        <v>0</v>
      </c>
      <c r="Z1488" s="2">
        <v>0</v>
      </c>
      <c r="AA1488" s="2">
        <v>0</v>
      </c>
      <c r="AB1488" s="2">
        <v>0</v>
      </c>
      <c r="AC1488" s="2">
        <v>0</v>
      </c>
      <c r="AD1488" s="2">
        <v>0</v>
      </c>
      <c r="AE1488" s="2">
        <v>0</v>
      </c>
      <c r="AF1488" s="2">
        <v>0</v>
      </c>
      <c r="AG1488" s="2">
        <v>0</v>
      </c>
      <c r="AH1488" s="2">
        <v>0</v>
      </c>
      <c r="AI1488" s="2">
        <v>0</v>
      </c>
      <c r="AJ1488" s="2">
        <v>0</v>
      </c>
      <c r="AK1488" s="2">
        <v>0</v>
      </c>
      <c r="AL1488" s="2">
        <v>0</v>
      </c>
      <c r="AM1488" s="2">
        <v>0</v>
      </c>
      <c r="AN1488" s="2">
        <v>0</v>
      </c>
      <c r="AO1488" s="2">
        <v>0</v>
      </c>
      <c r="AP1488" s="2">
        <v>0</v>
      </c>
      <c r="AQ1488" s="2">
        <v>0</v>
      </c>
      <c r="AR1488" s="2">
        <v>0</v>
      </c>
    </row>
    <row r="1489" spans="1:44" x14ac:dyDescent="0.25">
      <c r="A1489" t="s">
        <v>131</v>
      </c>
      <c r="B1489" t="s">
        <v>188</v>
      </c>
      <c r="C1489" t="s">
        <v>45</v>
      </c>
      <c r="D1489" t="s">
        <v>189</v>
      </c>
      <c r="E1489" t="s">
        <v>148</v>
      </c>
      <c r="F1489" t="s">
        <v>189</v>
      </c>
      <c r="G1489" t="s">
        <v>28</v>
      </c>
      <c r="H1489" t="s">
        <v>142</v>
      </c>
      <c r="I1489" t="s">
        <v>135</v>
      </c>
      <c r="J1489" t="s">
        <v>39</v>
      </c>
      <c r="K1489" t="s">
        <v>28</v>
      </c>
      <c r="L1489">
        <v>1.942803643909091</v>
      </c>
      <c r="M1489">
        <v>1</v>
      </c>
      <c r="N1489">
        <v>1.4572741901862805</v>
      </c>
      <c r="O1489">
        <v>2.3542079250166035</v>
      </c>
      <c r="P1489">
        <v>-0.77752011669449606</v>
      </c>
      <c r="Q1489">
        <v>0.65174377694598584</v>
      </c>
      <c r="R1489">
        <v>-0.48733586113566857</v>
      </c>
      <c r="S1489" s="2">
        <v>0</v>
      </c>
      <c r="T1489" s="2">
        <v>0</v>
      </c>
      <c r="U1489" s="2">
        <v>0</v>
      </c>
      <c r="V1489" s="2">
        <v>0</v>
      </c>
      <c r="W1489" s="2">
        <v>0</v>
      </c>
      <c r="X1489" s="2">
        <v>0</v>
      </c>
      <c r="Y1489" s="2">
        <v>0</v>
      </c>
      <c r="Z1489" s="2">
        <v>0</v>
      </c>
      <c r="AA1489" s="2">
        <v>0</v>
      </c>
      <c r="AB1489" s="2">
        <v>0</v>
      </c>
      <c r="AC1489" s="2">
        <v>0</v>
      </c>
      <c r="AD1489" s="2">
        <v>0</v>
      </c>
      <c r="AE1489" s="2">
        <v>0</v>
      </c>
      <c r="AF1489" s="2">
        <v>0</v>
      </c>
      <c r="AG1489" s="2">
        <v>0</v>
      </c>
      <c r="AH1489" s="2">
        <v>0</v>
      </c>
      <c r="AI1489" s="2">
        <v>0</v>
      </c>
      <c r="AJ1489" s="2">
        <v>0</v>
      </c>
      <c r="AK1489" s="2">
        <v>0</v>
      </c>
      <c r="AL1489" s="2">
        <v>0</v>
      </c>
      <c r="AM1489" s="2">
        <v>0</v>
      </c>
      <c r="AN1489" s="2">
        <v>0</v>
      </c>
      <c r="AO1489" s="2">
        <v>0</v>
      </c>
      <c r="AP1489" s="2">
        <v>0</v>
      </c>
      <c r="AQ1489" s="2">
        <v>0</v>
      </c>
      <c r="AR1489" s="2">
        <v>0</v>
      </c>
    </row>
    <row r="1490" spans="1:44" x14ac:dyDescent="0.25">
      <c r="A1490" t="s">
        <v>131</v>
      </c>
      <c r="B1490" t="s">
        <v>188</v>
      </c>
      <c r="C1490" t="s">
        <v>45</v>
      </c>
      <c r="D1490" t="s">
        <v>189</v>
      </c>
      <c r="E1490" t="s">
        <v>148</v>
      </c>
      <c r="F1490" t="s">
        <v>189</v>
      </c>
      <c r="G1490" t="s">
        <v>28</v>
      </c>
      <c r="H1490" t="s">
        <v>53</v>
      </c>
      <c r="I1490" t="s">
        <v>135</v>
      </c>
      <c r="J1490" t="s">
        <v>39</v>
      </c>
      <c r="K1490" t="s">
        <v>28</v>
      </c>
      <c r="L1490">
        <v>1.942803643909091</v>
      </c>
      <c r="M1490">
        <v>1</v>
      </c>
      <c r="N1490">
        <v>1.4572741901862805</v>
      </c>
      <c r="O1490">
        <v>2.3542079250166035</v>
      </c>
      <c r="P1490">
        <v>-0.77752011669449606</v>
      </c>
      <c r="Q1490">
        <v>0.65174377694598584</v>
      </c>
      <c r="R1490">
        <v>-0.48733586113566857</v>
      </c>
      <c r="S1490" s="2">
        <v>1.50175711138194E-3</v>
      </c>
      <c r="T1490" s="2">
        <v>9.505009422147993E-4</v>
      </c>
      <c r="U1490" s="2">
        <v>2.4886607152350801E-3</v>
      </c>
      <c r="V1490" s="2">
        <v>4.7525710793694361E-3</v>
      </c>
      <c r="W1490" s="2">
        <v>7.9788449736834712E-3</v>
      </c>
      <c r="X1490" s="2">
        <v>1.2335650904411802E-2</v>
      </c>
      <c r="Y1490" s="2">
        <v>1.7781746870013576E-2</v>
      </c>
      <c r="Z1490" s="2">
        <v>2.4456880113759058E-2</v>
      </c>
      <c r="AA1490" s="2">
        <v>3.2148139304672758E-2</v>
      </c>
      <c r="AB1490" s="2">
        <v>4.0469395994142766E-2</v>
      </c>
      <c r="AC1490" s="2">
        <v>4.8926736572301989E-2</v>
      </c>
      <c r="AD1490" s="2">
        <v>5.6883311252365759E-2</v>
      </c>
      <c r="AE1490" s="2">
        <v>6.3666413359802346E-2</v>
      </c>
      <c r="AF1490" s="2">
        <v>6.8682062306806915E-2</v>
      </c>
      <c r="AG1490" s="2">
        <v>7.1530334049015154E-2</v>
      </c>
      <c r="AH1490" s="2">
        <v>7.2083947354719471E-2</v>
      </c>
      <c r="AI1490" s="2">
        <v>7.049893500922351E-2</v>
      </c>
      <c r="AJ1490" s="2">
        <v>6.7334534397927873E-2</v>
      </c>
      <c r="AK1490" s="2">
        <v>6.2629400518555575E-2</v>
      </c>
      <c r="AL1490" s="2">
        <v>5.7424882895355647E-2</v>
      </c>
      <c r="AM1490" s="2">
        <v>5.1385694147098759E-2</v>
      </c>
      <c r="AN1490" s="2">
        <v>4.5099939796257635E-2</v>
      </c>
      <c r="AO1490" s="2">
        <v>3.8800248328911935E-2</v>
      </c>
      <c r="AP1490" s="2">
        <v>3.2488895046337715E-2</v>
      </c>
      <c r="AQ1490" s="2">
        <v>2.6168542892783371E-2</v>
      </c>
      <c r="AR1490" s="2">
        <v>0.9784680259363483</v>
      </c>
    </row>
    <row r="1491" spans="1:44" x14ac:dyDescent="0.25">
      <c r="A1491" t="s">
        <v>131</v>
      </c>
      <c r="B1491" t="s">
        <v>188</v>
      </c>
      <c r="C1491" t="s">
        <v>45</v>
      </c>
      <c r="D1491" t="s">
        <v>189</v>
      </c>
      <c r="E1491" t="s">
        <v>148</v>
      </c>
      <c r="F1491" t="s">
        <v>189</v>
      </c>
      <c r="G1491" t="s">
        <v>28</v>
      </c>
      <c r="H1491" t="s">
        <v>141</v>
      </c>
      <c r="I1491" t="s">
        <v>135</v>
      </c>
      <c r="J1491" t="s">
        <v>39</v>
      </c>
      <c r="K1491" t="s">
        <v>28</v>
      </c>
      <c r="L1491">
        <v>1.942803643909091</v>
      </c>
      <c r="M1491">
        <v>1</v>
      </c>
      <c r="N1491">
        <v>1.4572741901862805</v>
      </c>
      <c r="O1491">
        <v>2.3542079250166035</v>
      </c>
      <c r="P1491">
        <v>-0.77752011669449606</v>
      </c>
      <c r="Q1491">
        <v>0.65174377694598584</v>
      </c>
      <c r="R1491">
        <v>-0.48733586113566857</v>
      </c>
      <c r="S1491" s="2">
        <v>1.2639789020797993E-3</v>
      </c>
      <c r="T1491" s="2">
        <v>8.0000495969745605E-4</v>
      </c>
      <c r="U1491" s="2">
        <v>2.0946227686561912E-3</v>
      </c>
      <c r="V1491" s="2">
        <v>4.0000806584692778E-3</v>
      </c>
      <c r="W1491" s="2">
        <v>6.7155278528502485E-3</v>
      </c>
      <c r="X1491" s="2">
        <v>1.0382506177879924E-2</v>
      </c>
      <c r="Y1491" s="2">
        <v>1.4966303615594758E-2</v>
      </c>
      <c r="Z1491" s="2">
        <v>2.0584540762413867E-2</v>
      </c>
      <c r="AA1491" s="2">
        <v>2.7058017248099586E-2</v>
      </c>
      <c r="AB1491" s="2">
        <v>3.4061741628403516E-2</v>
      </c>
      <c r="AC1491" s="2">
        <v>4.118000328168743E-2</v>
      </c>
      <c r="AD1491" s="2">
        <v>4.7876786970741353E-2</v>
      </c>
      <c r="AE1491" s="2">
        <v>5.3585897911166698E-2</v>
      </c>
      <c r="AF1491" s="2">
        <v>5.7807402441562378E-2</v>
      </c>
      <c r="AG1491" s="2">
        <v>6.0204697824588316E-2</v>
      </c>
      <c r="AH1491" s="2">
        <v>6.0670655690222029E-2</v>
      </c>
      <c r="AI1491" s="2">
        <v>5.9336603632763052E-2</v>
      </c>
      <c r="AJ1491" s="2">
        <v>5.6673233118256061E-2</v>
      </c>
      <c r="AK1491" s="2">
        <v>5.2713078769784025E-2</v>
      </c>
      <c r="AL1491" s="2">
        <v>4.8332609770257891E-2</v>
      </c>
      <c r="AM1491" s="2">
        <v>4.3249625907141105E-2</v>
      </c>
      <c r="AN1491" s="2">
        <v>3.795911599518368E-2</v>
      </c>
      <c r="AO1491" s="2">
        <v>3.265687567683441E-2</v>
      </c>
      <c r="AP1491" s="2">
        <v>2.7344819997333961E-2</v>
      </c>
      <c r="AQ1491" s="2">
        <v>2.2025190268092642E-2</v>
      </c>
      <c r="AR1491" s="2">
        <v>0.82354392182975966</v>
      </c>
    </row>
    <row r="1492" spans="1:44" x14ac:dyDescent="0.25">
      <c r="A1492" t="s">
        <v>131</v>
      </c>
      <c r="B1492" t="s">
        <v>188</v>
      </c>
      <c r="C1492" t="s">
        <v>45</v>
      </c>
      <c r="D1492" t="s">
        <v>189</v>
      </c>
      <c r="E1492" t="s">
        <v>148</v>
      </c>
      <c r="F1492" t="s">
        <v>189</v>
      </c>
      <c r="G1492" t="s">
        <v>28</v>
      </c>
      <c r="H1492" t="s">
        <v>52</v>
      </c>
      <c r="I1492" t="s">
        <v>135</v>
      </c>
      <c r="J1492" t="s">
        <v>39</v>
      </c>
      <c r="K1492" t="s">
        <v>28</v>
      </c>
      <c r="L1492">
        <v>1.942803643909091</v>
      </c>
      <c r="M1492">
        <v>1</v>
      </c>
      <c r="N1492">
        <v>1.4572741901862805</v>
      </c>
      <c r="O1492">
        <v>2.3542079250166035</v>
      </c>
      <c r="P1492">
        <v>-0.77752011669449606</v>
      </c>
      <c r="Q1492">
        <v>0.65174377694598584</v>
      </c>
      <c r="R1492">
        <v>-0.48733586113566857</v>
      </c>
      <c r="S1492" s="2">
        <v>1.7046458889263691E-2</v>
      </c>
      <c r="T1492" s="2">
        <v>1.0789145004121906E-2</v>
      </c>
      <c r="U1492" s="2">
        <v>2.8248810843014574E-2</v>
      </c>
      <c r="V1492" s="2">
        <v>5.3946478367746215E-2</v>
      </c>
      <c r="W1492" s="2">
        <v>9.0567943242528745E-2</v>
      </c>
      <c r="X1492" s="2">
        <v>0.14002208774018193</v>
      </c>
      <c r="Y1492" s="2">
        <v>0.20184077351899329</v>
      </c>
      <c r="Z1492" s="2">
        <v>0.27761027283247242</v>
      </c>
      <c r="AA1492" s="2">
        <v>0.36491382718949716</v>
      </c>
      <c r="AB1492" s="2">
        <v>0.45936848899132032</v>
      </c>
      <c r="AC1492" s="2">
        <v>0.55536784027485098</v>
      </c>
      <c r="AD1492" s="2">
        <v>0.64568299320810085</v>
      </c>
      <c r="AE1492" s="2">
        <v>0.72267804809396485</v>
      </c>
      <c r="AF1492" s="2">
        <v>0.77961072577537971</v>
      </c>
      <c r="AG1492" s="2">
        <v>0.81194148471838079</v>
      </c>
      <c r="AH1492" s="2">
        <v>0.8182255544822068</v>
      </c>
      <c r="AI1492" s="2">
        <v>0.80023406465891866</v>
      </c>
      <c r="AJ1492" s="2">
        <v>0.76431492399310419</v>
      </c>
      <c r="AK1492" s="2">
        <v>0.71090690572215265</v>
      </c>
      <c r="AL1492" s="2">
        <v>0.65183037794687093</v>
      </c>
      <c r="AM1492" s="2">
        <v>0.58327949049544425</v>
      </c>
      <c r="AN1492" s="2">
        <v>0.51192983460403962</v>
      </c>
      <c r="AO1492" s="2">
        <v>0.44042197837399161</v>
      </c>
      <c r="AP1492" s="2">
        <v>0.3687817487711787</v>
      </c>
      <c r="AQ1492" s="2">
        <v>0.2970393729004992</v>
      </c>
      <c r="AR1492" s="2">
        <v>11.106599630638225</v>
      </c>
    </row>
    <row r="1493" spans="1:44" x14ac:dyDescent="0.25">
      <c r="A1493" t="s">
        <v>131</v>
      </c>
      <c r="B1493" t="s">
        <v>188</v>
      </c>
      <c r="C1493" t="s">
        <v>45</v>
      </c>
      <c r="D1493" t="s">
        <v>189</v>
      </c>
      <c r="E1493" t="s">
        <v>148</v>
      </c>
      <c r="F1493" t="s">
        <v>189</v>
      </c>
      <c r="G1493" t="s">
        <v>28</v>
      </c>
      <c r="H1493" t="s">
        <v>138</v>
      </c>
      <c r="I1493" t="s">
        <v>135</v>
      </c>
      <c r="J1493" t="s">
        <v>39</v>
      </c>
      <c r="K1493" t="s">
        <v>28</v>
      </c>
      <c r="L1493">
        <v>1.942803643909091</v>
      </c>
      <c r="M1493">
        <v>1</v>
      </c>
      <c r="N1493">
        <v>1.4572741901862805</v>
      </c>
      <c r="O1493">
        <v>2.3542079250166035</v>
      </c>
      <c r="P1493">
        <v>-0.77752011669449606</v>
      </c>
      <c r="Q1493">
        <v>0.65174377694598584</v>
      </c>
      <c r="R1493">
        <v>-0.48733586113566857</v>
      </c>
      <c r="S1493" s="2">
        <v>5.6174714995453137E-3</v>
      </c>
      <c r="T1493" s="2">
        <v>3.5554430957674644E-3</v>
      </c>
      <c r="U1493" s="2">
        <v>9.3090823635298327E-3</v>
      </c>
      <c r="V1493" s="2">
        <v>1.7777463736032392E-2</v>
      </c>
      <c r="W1493" s="2">
        <v>2.9845661391749538E-2</v>
      </c>
      <c r="X1493" s="2">
        <v>4.6142726316179841E-2</v>
      </c>
      <c r="Y1493" s="2">
        <v>6.6514388709976946E-2</v>
      </c>
      <c r="Z1493" s="2">
        <v>9.1483387004183292E-2</v>
      </c>
      <c r="AA1493" s="2">
        <v>0.12025330523737573</v>
      </c>
      <c r="AB1493" s="2">
        <v>0.15137979163069479</v>
      </c>
      <c r="AC1493" s="2">
        <v>0.18301531331371745</v>
      </c>
      <c r="AD1493" s="2">
        <v>0.21277767046222595</v>
      </c>
      <c r="AE1493" s="2">
        <v>0.23815053700518007</v>
      </c>
      <c r="AF1493" s="2">
        <v>0.25691206961120433</v>
      </c>
      <c r="AG1493" s="2">
        <v>0.26756631270654591</v>
      </c>
      <c r="AH1493" s="2">
        <v>0.2696371582134493</v>
      </c>
      <c r="AI1493" s="2">
        <v>0.26370826224900196</v>
      </c>
      <c r="AJ1493" s="2">
        <v>0.25187150774830946</v>
      </c>
      <c r="AK1493" s="2">
        <v>0.23427148756621483</v>
      </c>
      <c r="AL1493" s="2">
        <v>0.21480347293481236</v>
      </c>
      <c r="AM1493" s="2">
        <v>0.19221328813289032</v>
      </c>
      <c r="AN1493" s="2">
        <v>0.1687008002269817</v>
      </c>
      <c r="AO1493" s="2">
        <v>0.1451361791537524</v>
      </c>
      <c r="AP1493" s="2">
        <v>0.12152793590341428</v>
      </c>
      <c r="AQ1493" s="2">
        <v>9.7886031483188349E-2</v>
      </c>
      <c r="AR1493" s="2">
        <v>3.6600567476959238</v>
      </c>
    </row>
    <row r="1494" spans="1:44" x14ac:dyDescent="0.25">
      <c r="A1494" t="s">
        <v>131</v>
      </c>
      <c r="B1494" t="s">
        <v>188</v>
      </c>
      <c r="C1494" t="s">
        <v>45</v>
      </c>
      <c r="D1494" t="s">
        <v>189</v>
      </c>
      <c r="E1494" t="s">
        <v>134</v>
      </c>
      <c r="F1494" t="s">
        <v>189</v>
      </c>
      <c r="G1494" t="s">
        <v>28</v>
      </c>
      <c r="H1494" t="s">
        <v>55</v>
      </c>
      <c r="I1494" t="s">
        <v>135</v>
      </c>
      <c r="J1494" t="s">
        <v>39</v>
      </c>
      <c r="K1494" t="s">
        <v>28</v>
      </c>
      <c r="L1494">
        <v>1.942803643909091</v>
      </c>
      <c r="M1494">
        <v>1</v>
      </c>
      <c r="N1494">
        <v>1.4572741901862805</v>
      </c>
      <c r="O1494">
        <v>2.3542079250166035</v>
      </c>
      <c r="P1494">
        <v>-0.77752011669449606</v>
      </c>
      <c r="Q1494">
        <v>0.65174377694598584</v>
      </c>
      <c r="R1494">
        <v>-0.48733586113566857</v>
      </c>
      <c r="S1494" s="2">
        <v>1.2837856735819783E-3</v>
      </c>
      <c r="T1494" s="2">
        <v>2.5838848304732976E-3</v>
      </c>
      <c r="U1494" s="2">
        <v>4.5984056279275631E-3</v>
      </c>
      <c r="V1494" s="2">
        <v>7.5004467106974497E-3</v>
      </c>
      <c r="W1494" s="2">
        <v>1.1414143324839452E-2</v>
      </c>
      <c r="X1494" s="2">
        <v>1.6385046349626779E-2</v>
      </c>
      <c r="Y1494" s="2">
        <v>2.2331324714269841E-2</v>
      </c>
      <c r="Z1494" s="2">
        <v>2.8993266777679407E-2</v>
      </c>
      <c r="AA1494" s="2">
        <v>3.5898282251501386E-2</v>
      </c>
      <c r="AB1494" s="2">
        <v>4.2358836613160665E-2</v>
      </c>
      <c r="AC1494" s="2">
        <v>4.7530900527229226E-2</v>
      </c>
      <c r="AD1494" s="2">
        <v>5.0547552003544223E-2</v>
      </c>
      <c r="AE1494" s="2">
        <v>5.0718921607480531E-2</v>
      </c>
      <c r="AF1494" s="2">
        <v>4.7753364334076086E-2</v>
      </c>
      <c r="AG1494" s="2">
        <v>4.1919095560452112E-2</v>
      </c>
      <c r="AH1494" s="2">
        <v>3.4600097001308366E-2</v>
      </c>
      <c r="AI1494" s="2">
        <v>2.6400941352818896E-2</v>
      </c>
      <c r="AJ1494" s="2">
        <v>1.8233555813900432E-2</v>
      </c>
      <c r="AK1494" s="2">
        <v>1.723580902614296E-3</v>
      </c>
      <c r="AL1494" s="2">
        <v>3.0272124148395137E-4</v>
      </c>
      <c r="AM1494" s="2">
        <v>0</v>
      </c>
      <c r="AN1494" s="2">
        <v>0</v>
      </c>
      <c r="AO1494" s="2">
        <v>0</v>
      </c>
      <c r="AP1494" s="2">
        <v>0</v>
      </c>
      <c r="AQ1494" s="2">
        <v>0</v>
      </c>
      <c r="AR1494" s="2">
        <v>0.49307815321866594</v>
      </c>
    </row>
    <row r="1495" spans="1:44" x14ac:dyDescent="0.25">
      <c r="A1495" t="s">
        <v>131</v>
      </c>
      <c r="B1495" t="s">
        <v>188</v>
      </c>
      <c r="C1495" t="s">
        <v>45</v>
      </c>
      <c r="D1495" t="s">
        <v>189</v>
      </c>
      <c r="E1495" t="s">
        <v>134</v>
      </c>
      <c r="F1495" t="s">
        <v>189</v>
      </c>
      <c r="G1495" t="s">
        <v>28</v>
      </c>
      <c r="H1495" t="s">
        <v>136</v>
      </c>
      <c r="I1495" t="s">
        <v>135</v>
      </c>
      <c r="J1495" t="s">
        <v>39</v>
      </c>
      <c r="K1495" t="s">
        <v>28</v>
      </c>
      <c r="L1495">
        <v>1.942803643909091</v>
      </c>
      <c r="M1495">
        <v>1</v>
      </c>
      <c r="N1495">
        <v>1.4572741901862805</v>
      </c>
      <c r="O1495">
        <v>2.3542079250166035</v>
      </c>
      <c r="P1495">
        <v>-0.77752011669449606</v>
      </c>
      <c r="Q1495">
        <v>0.65174377694598584</v>
      </c>
      <c r="R1495">
        <v>-0.48733586113566857</v>
      </c>
      <c r="S1495" s="2">
        <v>1.6118642346084845E-3</v>
      </c>
      <c r="T1495" s="2">
        <v>3.2442109538164733E-3</v>
      </c>
      <c r="U1495" s="2">
        <v>5.7735537328423838E-3</v>
      </c>
      <c r="V1495" s="2">
        <v>9.4172275367645775E-3</v>
      </c>
      <c r="W1495" s="2">
        <v>1.4331091063409532E-2</v>
      </c>
      <c r="X1495" s="2">
        <v>2.0572335972309178E-2</v>
      </c>
      <c r="Y1495" s="2">
        <v>2.8038218807916584E-2</v>
      </c>
      <c r="Z1495" s="2">
        <v>3.6402657176419689E-2</v>
      </c>
      <c r="AA1495" s="2">
        <v>4.5072287715773977E-2</v>
      </c>
      <c r="AB1495" s="2">
        <v>5.3183872636523931E-2</v>
      </c>
      <c r="AC1495" s="2">
        <v>5.9677686217521127E-2</v>
      </c>
      <c r="AD1495" s="2">
        <v>6.3465259737783289E-2</v>
      </c>
      <c r="AE1495" s="2">
        <v>6.3680423796058885E-2</v>
      </c>
      <c r="AF1495" s="2">
        <v>5.9957001886117751E-2</v>
      </c>
      <c r="AG1495" s="2">
        <v>5.2631753314789864E-2</v>
      </c>
      <c r="AH1495" s="2">
        <v>4.3442344012753834E-2</v>
      </c>
      <c r="AI1495" s="2">
        <v>3.3147848587428169E-2</v>
      </c>
      <c r="AJ1495" s="2">
        <v>2.2893242299674994E-2</v>
      </c>
      <c r="AK1495" s="2">
        <v>2.1640515777268878E-3</v>
      </c>
      <c r="AL1495" s="2">
        <v>3.8008333652985002E-4</v>
      </c>
      <c r="AM1495" s="2">
        <v>0</v>
      </c>
      <c r="AN1495" s="2">
        <v>0</v>
      </c>
      <c r="AO1495" s="2">
        <v>0</v>
      </c>
      <c r="AP1495" s="2">
        <v>0</v>
      </c>
      <c r="AQ1495" s="2">
        <v>0</v>
      </c>
      <c r="AR1495" s="2">
        <v>0.61908701459676951</v>
      </c>
    </row>
    <row r="1496" spans="1:44" x14ac:dyDescent="0.25">
      <c r="A1496" t="s">
        <v>131</v>
      </c>
      <c r="B1496" t="s">
        <v>188</v>
      </c>
      <c r="C1496" t="s">
        <v>45</v>
      </c>
      <c r="D1496" t="s">
        <v>189</v>
      </c>
      <c r="E1496" t="s">
        <v>134</v>
      </c>
      <c r="F1496" t="s">
        <v>189</v>
      </c>
      <c r="G1496" t="s">
        <v>28</v>
      </c>
      <c r="H1496" t="s">
        <v>54</v>
      </c>
      <c r="I1496" t="s">
        <v>135</v>
      </c>
      <c r="J1496" t="s">
        <v>39</v>
      </c>
      <c r="K1496" t="s">
        <v>28</v>
      </c>
      <c r="L1496">
        <v>1.942803643909091</v>
      </c>
      <c r="M1496">
        <v>1</v>
      </c>
      <c r="N1496">
        <v>1.4572741901862805</v>
      </c>
      <c r="O1496">
        <v>2.3542079250166035</v>
      </c>
      <c r="P1496">
        <v>-0.77752011669449606</v>
      </c>
      <c r="Q1496">
        <v>0.65174377694598584</v>
      </c>
      <c r="R1496">
        <v>-0.48733586113566857</v>
      </c>
      <c r="S1496" s="2">
        <v>0</v>
      </c>
      <c r="T1496" s="2">
        <v>0</v>
      </c>
      <c r="U1496" s="2">
        <v>0</v>
      </c>
      <c r="V1496" s="2">
        <v>0</v>
      </c>
      <c r="W1496" s="2">
        <v>0</v>
      </c>
      <c r="X1496" s="2">
        <v>0</v>
      </c>
      <c r="Y1496" s="2">
        <v>0</v>
      </c>
      <c r="Z1496" s="2">
        <v>0</v>
      </c>
      <c r="AA1496" s="2">
        <v>0</v>
      </c>
      <c r="AB1496" s="2">
        <v>0</v>
      </c>
      <c r="AC1496" s="2">
        <v>0</v>
      </c>
      <c r="AD1496" s="2">
        <v>0</v>
      </c>
      <c r="AE1496" s="2">
        <v>0</v>
      </c>
      <c r="AF1496" s="2">
        <v>0</v>
      </c>
      <c r="AG1496" s="2">
        <v>0</v>
      </c>
      <c r="AH1496" s="2">
        <v>0</v>
      </c>
      <c r="AI1496" s="2">
        <v>0</v>
      </c>
      <c r="AJ1496" s="2">
        <v>0</v>
      </c>
      <c r="AK1496" s="2">
        <v>0</v>
      </c>
      <c r="AL1496" s="2">
        <v>0</v>
      </c>
      <c r="AM1496" s="2">
        <v>0</v>
      </c>
      <c r="AN1496" s="2">
        <v>0</v>
      </c>
      <c r="AO1496" s="2">
        <v>0</v>
      </c>
      <c r="AP1496" s="2">
        <v>0</v>
      </c>
      <c r="AQ1496" s="2">
        <v>0</v>
      </c>
      <c r="AR1496" s="2">
        <v>0</v>
      </c>
    </row>
    <row r="1497" spans="1:44" x14ac:dyDescent="0.25">
      <c r="A1497" t="s">
        <v>131</v>
      </c>
      <c r="B1497" t="s">
        <v>188</v>
      </c>
      <c r="C1497" t="s">
        <v>45</v>
      </c>
      <c r="D1497" t="s">
        <v>189</v>
      </c>
      <c r="E1497" t="s">
        <v>134</v>
      </c>
      <c r="F1497" t="s">
        <v>189</v>
      </c>
      <c r="G1497" t="s">
        <v>28</v>
      </c>
      <c r="H1497" t="s">
        <v>142</v>
      </c>
      <c r="I1497" t="s">
        <v>135</v>
      </c>
      <c r="J1497" t="s">
        <v>39</v>
      </c>
      <c r="K1497" t="s">
        <v>28</v>
      </c>
      <c r="L1497">
        <v>1.942803643909091</v>
      </c>
      <c r="M1497">
        <v>1</v>
      </c>
      <c r="N1497">
        <v>1.4572741901862805</v>
      </c>
      <c r="O1497">
        <v>2.3542079250166035</v>
      </c>
      <c r="P1497">
        <v>-0.77752011669449606</v>
      </c>
      <c r="Q1497">
        <v>0.65174377694598584</v>
      </c>
      <c r="R1497">
        <v>-0.48733586113566857</v>
      </c>
      <c r="S1497" s="2">
        <v>0</v>
      </c>
      <c r="T1497" s="2">
        <v>0</v>
      </c>
      <c r="U1497" s="2">
        <v>0</v>
      </c>
      <c r="V1497" s="2">
        <v>0</v>
      </c>
      <c r="W1497" s="2">
        <v>0</v>
      </c>
      <c r="X1497" s="2">
        <v>0</v>
      </c>
      <c r="Y1497" s="2">
        <v>0</v>
      </c>
      <c r="Z1497" s="2">
        <v>0</v>
      </c>
      <c r="AA1497" s="2">
        <v>0</v>
      </c>
      <c r="AB1497" s="2">
        <v>0</v>
      </c>
      <c r="AC1497" s="2">
        <v>0</v>
      </c>
      <c r="AD1497" s="2">
        <v>0</v>
      </c>
      <c r="AE1497" s="2">
        <v>0</v>
      </c>
      <c r="AF1497" s="2">
        <v>0</v>
      </c>
      <c r="AG1497" s="2">
        <v>0</v>
      </c>
      <c r="AH1497" s="2">
        <v>0</v>
      </c>
      <c r="AI1497" s="2">
        <v>0</v>
      </c>
      <c r="AJ1497" s="2">
        <v>0</v>
      </c>
      <c r="AK1497" s="2">
        <v>0</v>
      </c>
      <c r="AL1497" s="2">
        <v>0</v>
      </c>
      <c r="AM1497" s="2">
        <v>0</v>
      </c>
      <c r="AN1497" s="2">
        <v>0</v>
      </c>
      <c r="AO1497" s="2">
        <v>0</v>
      </c>
      <c r="AP1497" s="2">
        <v>0</v>
      </c>
      <c r="AQ1497" s="2">
        <v>0</v>
      </c>
      <c r="AR1497" s="2">
        <v>0</v>
      </c>
    </row>
    <row r="1498" spans="1:44" x14ac:dyDescent="0.25">
      <c r="A1498" t="s">
        <v>131</v>
      </c>
      <c r="B1498" t="s">
        <v>188</v>
      </c>
      <c r="C1498" t="s">
        <v>45</v>
      </c>
      <c r="D1498" t="s">
        <v>189</v>
      </c>
      <c r="E1498" t="s">
        <v>134</v>
      </c>
      <c r="F1498" t="s">
        <v>189</v>
      </c>
      <c r="G1498" t="s">
        <v>28</v>
      </c>
      <c r="H1498" t="s">
        <v>53</v>
      </c>
      <c r="I1498" t="s">
        <v>135</v>
      </c>
      <c r="J1498" t="s">
        <v>39</v>
      </c>
      <c r="K1498" t="s">
        <v>28</v>
      </c>
      <c r="L1498">
        <v>1.942803643909091</v>
      </c>
      <c r="M1498">
        <v>1</v>
      </c>
      <c r="N1498">
        <v>1.4572741901862805</v>
      </c>
      <c r="O1498">
        <v>2.3542079250166035</v>
      </c>
      <c r="P1498">
        <v>-0.77752011669449606</v>
      </c>
      <c r="Q1498">
        <v>0.65174377694598584</v>
      </c>
      <c r="R1498">
        <v>-0.48733586113566857</v>
      </c>
      <c r="S1498" s="2">
        <v>1.7642862209004493E-2</v>
      </c>
      <c r="T1498" s="2">
        <v>3.6775544864182247E-2</v>
      </c>
      <c r="U1498" s="2">
        <v>6.6364549419744123E-2</v>
      </c>
      <c r="V1498" s="2">
        <v>0.11001520874742446</v>
      </c>
      <c r="W1498" s="2">
        <v>0.17009756117991778</v>
      </c>
      <c r="X1498" s="2">
        <v>0.24784381490772092</v>
      </c>
      <c r="Y1498" s="2">
        <v>0.34245547998382209</v>
      </c>
      <c r="Z1498" s="2">
        <v>0.45012615592761446</v>
      </c>
      <c r="AA1498" s="2">
        <v>0.56343403687440785</v>
      </c>
      <c r="AB1498" s="2">
        <v>0.67113977664286584</v>
      </c>
      <c r="AC1498" s="2">
        <v>0.75910592066326432</v>
      </c>
      <c r="AD1498" s="2">
        <v>0.81255800815673618</v>
      </c>
      <c r="AE1498" s="2">
        <v>0.81951622426358051</v>
      </c>
      <c r="AF1498" s="2">
        <v>0.77461944579456421</v>
      </c>
      <c r="AG1498" s="2">
        <v>0.68192309738269996</v>
      </c>
      <c r="AH1498" s="2">
        <v>0.56399340961945776</v>
      </c>
      <c r="AI1498" s="2">
        <v>0.43094181696407607</v>
      </c>
      <c r="AJ1498" s="2">
        <v>0.29791346142397135</v>
      </c>
      <c r="AK1498" s="2">
        <v>5.3980485664157238E-2</v>
      </c>
      <c r="AL1498" s="2">
        <v>2.393277695776469E-2</v>
      </c>
      <c r="AM1498" s="2">
        <v>0</v>
      </c>
      <c r="AN1498" s="2">
        <v>0</v>
      </c>
      <c r="AO1498" s="2">
        <v>0</v>
      </c>
      <c r="AP1498" s="2">
        <v>0</v>
      </c>
      <c r="AQ1498" s="2">
        <v>0</v>
      </c>
      <c r="AR1498" s="2">
        <v>7.8943796376469741</v>
      </c>
    </row>
    <row r="1499" spans="1:44" x14ac:dyDescent="0.25">
      <c r="A1499" t="s">
        <v>131</v>
      </c>
      <c r="B1499" t="s">
        <v>188</v>
      </c>
      <c r="C1499" t="s">
        <v>45</v>
      </c>
      <c r="D1499" t="s">
        <v>189</v>
      </c>
      <c r="E1499" t="s">
        <v>134</v>
      </c>
      <c r="F1499" t="s">
        <v>189</v>
      </c>
      <c r="G1499" t="s">
        <v>28</v>
      </c>
      <c r="H1499" t="s">
        <v>141</v>
      </c>
      <c r="I1499" t="s">
        <v>135</v>
      </c>
      <c r="J1499" t="s">
        <v>39</v>
      </c>
      <c r="K1499" t="s">
        <v>28</v>
      </c>
      <c r="L1499">
        <v>1.942803643909091</v>
      </c>
      <c r="M1499">
        <v>1</v>
      </c>
      <c r="N1499">
        <v>1.4572741901862805</v>
      </c>
      <c r="O1499">
        <v>2.3542079250166035</v>
      </c>
      <c r="P1499">
        <v>-0.77752011669449606</v>
      </c>
      <c r="Q1499">
        <v>0.65174377694598584</v>
      </c>
      <c r="R1499">
        <v>-0.48733586113566857</v>
      </c>
      <c r="S1499" s="2">
        <v>1.4849409025912115E-2</v>
      </c>
      <c r="T1499" s="2">
        <v>3.095275026068672E-2</v>
      </c>
      <c r="U1499" s="2">
        <v>5.5856829094951287E-2</v>
      </c>
      <c r="V1499" s="2">
        <v>9.2596134029082219E-2</v>
      </c>
      <c r="W1499" s="2">
        <v>0.14316544732643077</v>
      </c>
      <c r="X1499" s="2">
        <v>0.20860187754733178</v>
      </c>
      <c r="Y1499" s="2">
        <v>0.28823336231971691</v>
      </c>
      <c r="Z1499" s="2">
        <v>0.37885618123907544</v>
      </c>
      <c r="AA1499" s="2">
        <v>0.47422364770262648</v>
      </c>
      <c r="AB1499" s="2">
        <v>0.56487597867441186</v>
      </c>
      <c r="AC1499" s="2">
        <v>0.63891414989158057</v>
      </c>
      <c r="AD1499" s="2">
        <v>0.68390299019858602</v>
      </c>
      <c r="AE1499" s="2">
        <v>0.68975948875518001</v>
      </c>
      <c r="AF1499" s="2">
        <v>0.65197136687709156</v>
      </c>
      <c r="AG1499" s="2">
        <v>0.57395194029710561</v>
      </c>
      <c r="AH1499" s="2">
        <v>0.47469445309637692</v>
      </c>
      <c r="AI1499" s="2">
        <v>0.36270936261143055</v>
      </c>
      <c r="AJ1499" s="2">
        <v>0.25074383003184247</v>
      </c>
      <c r="AK1499" s="2">
        <v>4.5433575433998445E-2</v>
      </c>
      <c r="AL1499" s="2">
        <v>2.0143420606118605E-2</v>
      </c>
      <c r="AM1499" s="2">
        <v>0</v>
      </c>
      <c r="AN1499" s="2">
        <v>0</v>
      </c>
      <c r="AO1499" s="2">
        <v>0</v>
      </c>
      <c r="AP1499" s="2">
        <v>0</v>
      </c>
      <c r="AQ1499" s="2">
        <v>0</v>
      </c>
      <c r="AR1499" s="2">
        <v>6.6444361950195372</v>
      </c>
    </row>
    <row r="1500" spans="1:44" x14ac:dyDescent="0.25">
      <c r="A1500" t="s">
        <v>131</v>
      </c>
      <c r="B1500" t="s">
        <v>188</v>
      </c>
      <c r="C1500" t="s">
        <v>45</v>
      </c>
      <c r="D1500" t="s">
        <v>189</v>
      </c>
      <c r="E1500" t="s">
        <v>134</v>
      </c>
      <c r="F1500" t="s">
        <v>189</v>
      </c>
      <c r="G1500" t="s">
        <v>28</v>
      </c>
      <c r="H1500" t="s">
        <v>52</v>
      </c>
      <c r="I1500" t="s">
        <v>135</v>
      </c>
      <c r="J1500" t="s">
        <v>39</v>
      </c>
      <c r="K1500" t="s">
        <v>28</v>
      </c>
      <c r="L1500">
        <v>1.942803643909091</v>
      </c>
      <c r="M1500">
        <v>1</v>
      </c>
      <c r="N1500">
        <v>1.4572741901862805</v>
      </c>
      <c r="O1500">
        <v>2.3542079250166035</v>
      </c>
      <c r="P1500">
        <v>-0.77752011669449606</v>
      </c>
      <c r="Q1500">
        <v>0.65174377694598584</v>
      </c>
      <c r="R1500">
        <v>-0.48733586113566857</v>
      </c>
      <c r="S1500" s="2">
        <v>1.1520655779633568</v>
      </c>
      <c r="T1500" s="2">
        <v>2.3187708290155489</v>
      </c>
      <c r="U1500" s="2">
        <v>4.126596009337713</v>
      </c>
      <c r="V1500" s="2">
        <v>6.7308793457969891</v>
      </c>
      <c r="W1500" s="2">
        <v>10.243019451835345</v>
      </c>
      <c r="X1500" s="2">
        <v>14.703893555744498</v>
      </c>
      <c r="Y1500" s="2">
        <v>20.040066689519584</v>
      </c>
      <c r="Z1500" s="2">
        <v>26.018474372030795</v>
      </c>
      <c r="AA1500" s="2">
        <v>32.21501543522772</v>
      </c>
      <c r="AB1500" s="2">
        <v>38.012698372334739</v>
      </c>
      <c r="AC1500" s="2">
        <v>42.654093680789494</v>
      </c>
      <c r="AD1500" s="2">
        <v>45.361228055391095</v>
      </c>
      <c r="AE1500" s="2">
        <v>45.515014645993375</v>
      </c>
      <c r="AF1500" s="2">
        <v>42.853732062401797</v>
      </c>
      <c r="AG1500" s="2">
        <v>37.618076014048583</v>
      </c>
      <c r="AH1500" s="2">
        <v>31.050027718552101</v>
      </c>
      <c r="AI1500" s="2">
        <v>23.692128977843534</v>
      </c>
      <c r="AJ1500" s="2">
        <v>16.362740642257936</v>
      </c>
      <c r="AK1500" s="2">
        <v>1.5467365539268614</v>
      </c>
      <c r="AL1500" s="2">
        <v>0.27166117305150234</v>
      </c>
      <c r="AM1500" s="2">
        <v>0</v>
      </c>
      <c r="AN1500" s="2">
        <v>0</v>
      </c>
      <c r="AO1500" s="2">
        <v>0</v>
      </c>
      <c r="AP1500" s="2">
        <v>0</v>
      </c>
      <c r="AQ1500" s="2">
        <v>0</v>
      </c>
      <c r="AR1500" s="2">
        <v>442.48691916306245</v>
      </c>
    </row>
    <row r="1501" spans="1:44" x14ac:dyDescent="0.25">
      <c r="A1501" t="s">
        <v>131</v>
      </c>
      <c r="B1501" t="s">
        <v>188</v>
      </c>
      <c r="C1501" t="s">
        <v>45</v>
      </c>
      <c r="D1501" t="s">
        <v>189</v>
      </c>
      <c r="E1501" t="s">
        <v>134</v>
      </c>
      <c r="F1501" t="s">
        <v>189</v>
      </c>
      <c r="G1501" t="s">
        <v>28</v>
      </c>
      <c r="H1501" t="s">
        <v>138</v>
      </c>
      <c r="I1501" t="s">
        <v>135</v>
      </c>
      <c r="J1501" t="s">
        <v>39</v>
      </c>
      <c r="K1501" t="s">
        <v>28</v>
      </c>
      <c r="L1501">
        <v>1.942803643909091</v>
      </c>
      <c r="M1501">
        <v>1</v>
      </c>
      <c r="N1501">
        <v>1.4572741901862805</v>
      </c>
      <c r="O1501">
        <v>2.3542079250166035</v>
      </c>
      <c r="P1501">
        <v>-0.77752011669449606</v>
      </c>
      <c r="Q1501">
        <v>0.65174377694598584</v>
      </c>
      <c r="R1501">
        <v>-0.48733586113566857</v>
      </c>
      <c r="S1501" s="2">
        <v>0.3796504360147433</v>
      </c>
      <c r="T1501" s="2">
        <v>0.76412521395723965</v>
      </c>
      <c r="U1501" s="2">
        <v>1.3598739552407602</v>
      </c>
      <c r="V1501" s="2">
        <v>2.2180866499907999</v>
      </c>
      <c r="W1501" s="2">
        <v>3.3754734759729743</v>
      </c>
      <c r="X1501" s="2">
        <v>4.8455050704850828</v>
      </c>
      <c r="Y1501" s="2">
        <v>6.6039817541381618</v>
      </c>
      <c r="Z1501" s="2">
        <v>8.5740997116173716</v>
      </c>
      <c r="AA1501" s="2">
        <v>10.616101105830365</v>
      </c>
      <c r="AB1501" s="2">
        <v>12.526663227510145</v>
      </c>
      <c r="AC1501" s="2">
        <v>14.056183583188783</v>
      </c>
      <c r="AD1501" s="2">
        <v>14.948289697048125</v>
      </c>
      <c r="AE1501" s="2">
        <v>14.998968362648558</v>
      </c>
      <c r="AF1501" s="2">
        <v>14.121972198068134</v>
      </c>
      <c r="AG1501" s="2">
        <v>12.396619805286427</v>
      </c>
      <c r="AH1501" s="2">
        <v>10.232192322296008</v>
      </c>
      <c r="AI1501" s="2">
        <v>7.8074783837018069</v>
      </c>
      <c r="AJ1501" s="2">
        <v>5.3921597329652826</v>
      </c>
      <c r="AK1501" s="2">
        <v>0.50970987965493131</v>
      </c>
      <c r="AL1501" s="2">
        <v>8.9522927140663067E-2</v>
      </c>
      <c r="AM1501" s="2">
        <v>0</v>
      </c>
      <c r="AN1501" s="2">
        <v>0</v>
      </c>
      <c r="AO1501" s="2">
        <v>0</v>
      </c>
      <c r="AP1501" s="2">
        <v>0</v>
      </c>
      <c r="AQ1501" s="2">
        <v>0</v>
      </c>
      <c r="AR1501" s="2">
        <v>145.81665749275641</v>
      </c>
    </row>
    <row r="1502" spans="1:44" x14ac:dyDescent="0.25">
      <c r="A1502" t="s">
        <v>131</v>
      </c>
      <c r="B1502" t="s">
        <v>216</v>
      </c>
      <c r="C1502" t="s">
        <v>44</v>
      </c>
      <c r="D1502" t="s">
        <v>212</v>
      </c>
      <c r="E1502" t="s">
        <v>134</v>
      </c>
      <c r="F1502" t="s">
        <v>217</v>
      </c>
      <c r="G1502" t="s">
        <v>28</v>
      </c>
      <c r="H1502" t="s">
        <v>54</v>
      </c>
      <c r="I1502" t="s">
        <v>135</v>
      </c>
      <c r="J1502" t="s">
        <v>39</v>
      </c>
      <c r="K1502" t="s">
        <v>28</v>
      </c>
      <c r="L1502">
        <v>0.1</v>
      </c>
      <c r="M1502">
        <v>1</v>
      </c>
      <c r="N1502">
        <v>1.9989550419763611</v>
      </c>
      <c r="O1502">
        <v>3.7699868031679249</v>
      </c>
      <c r="P1502">
        <v>-0.83080982062758046</v>
      </c>
      <c r="Q1502">
        <v>1.3730611803456818</v>
      </c>
      <c r="R1502">
        <v>-1.4758346144565639</v>
      </c>
      <c r="S1502" s="2">
        <v>0</v>
      </c>
      <c r="T1502" s="2">
        <v>0</v>
      </c>
      <c r="U1502" s="2">
        <v>0</v>
      </c>
      <c r="V1502" s="2">
        <v>0</v>
      </c>
      <c r="W1502" s="2">
        <v>0</v>
      </c>
      <c r="X1502" s="2">
        <v>0</v>
      </c>
      <c r="Y1502" s="2">
        <v>0</v>
      </c>
      <c r="Z1502" s="2">
        <v>0</v>
      </c>
      <c r="AA1502" s="2">
        <v>0</v>
      </c>
      <c r="AB1502" s="2">
        <v>0</v>
      </c>
      <c r="AC1502" s="2">
        <v>0</v>
      </c>
      <c r="AD1502" s="2">
        <v>0</v>
      </c>
      <c r="AE1502" s="2">
        <v>0</v>
      </c>
      <c r="AF1502" s="2">
        <v>0</v>
      </c>
      <c r="AG1502" s="2">
        <v>0</v>
      </c>
      <c r="AH1502" s="2">
        <v>0</v>
      </c>
      <c r="AI1502" s="2">
        <v>0</v>
      </c>
      <c r="AJ1502" s="2">
        <v>0</v>
      </c>
      <c r="AK1502" s="2">
        <v>0</v>
      </c>
      <c r="AL1502" s="2">
        <v>0</v>
      </c>
      <c r="AM1502" s="2">
        <v>0</v>
      </c>
      <c r="AN1502" s="2">
        <v>0</v>
      </c>
      <c r="AO1502" s="2">
        <v>0</v>
      </c>
      <c r="AP1502" s="2">
        <v>0</v>
      </c>
      <c r="AQ1502" s="2">
        <v>0</v>
      </c>
      <c r="AR1502" s="2">
        <v>0</v>
      </c>
    </row>
    <row r="1503" spans="1:44" x14ac:dyDescent="0.25">
      <c r="A1503" t="s">
        <v>131</v>
      </c>
      <c r="B1503" t="s">
        <v>216</v>
      </c>
      <c r="C1503" t="s">
        <v>44</v>
      </c>
      <c r="D1503" t="s">
        <v>212</v>
      </c>
      <c r="E1503" t="s">
        <v>134</v>
      </c>
      <c r="F1503" t="s">
        <v>217</v>
      </c>
      <c r="G1503" t="s">
        <v>28</v>
      </c>
      <c r="H1503" t="s">
        <v>142</v>
      </c>
      <c r="I1503" t="s">
        <v>135</v>
      </c>
      <c r="J1503" t="s">
        <v>39</v>
      </c>
      <c r="K1503" t="s">
        <v>28</v>
      </c>
      <c r="L1503">
        <v>0.1</v>
      </c>
      <c r="M1503">
        <v>1</v>
      </c>
      <c r="N1503">
        <v>1.9989550419763611</v>
      </c>
      <c r="O1503">
        <v>3.7699868031679249</v>
      </c>
      <c r="P1503">
        <v>-0.83080982062758046</v>
      </c>
      <c r="Q1503">
        <v>1.3730611803456818</v>
      </c>
      <c r="R1503">
        <v>-1.4758346144565639</v>
      </c>
      <c r="S1503" s="2">
        <v>0</v>
      </c>
      <c r="T1503" s="2">
        <v>0</v>
      </c>
      <c r="U1503" s="2">
        <v>0</v>
      </c>
      <c r="V1503" s="2">
        <v>0</v>
      </c>
      <c r="W1503" s="2">
        <v>0</v>
      </c>
      <c r="X1503" s="2">
        <v>0</v>
      </c>
      <c r="Y1503" s="2">
        <v>0</v>
      </c>
      <c r="Z1503" s="2">
        <v>0</v>
      </c>
      <c r="AA1503" s="2">
        <v>0</v>
      </c>
      <c r="AB1503" s="2">
        <v>0</v>
      </c>
      <c r="AC1503" s="2">
        <v>0</v>
      </c>
      <c r="AD1503" s="2">
        <v>0</v>
      </c>
      <c r="AE1503" s="2">
        <v>0</v>
      </c>
      <c r="AF1503" s="2">
        <v>0</v>
      </c>
      <c r="AG1503" s="2">
        <v>0</v>
      </c>
      <c r="AH1503" s="2">
        <v>0</v>
      </c>
      <c r="AI1503" s="2">
        <v>0</v>
      </c>
      <c r="AJ1503" s="2">
        <v>0</v>
      </c>
      <c r="AK1503" s="2">
        <v>0</v>
      </c>
      <c r="AL1503" s="2">
        <v>0</v>
      </c>
      <c r="AM1503" s="2">
        <v>0</v>
      </c>
      <c r="AN1503" s="2">
        <v>0</v>
      </c>
      <c r="AO1503" s="2">
        <v>0</v>
      </c>
      <c r="AP1503" s="2">
        <v>0</v>
      </c>
      <c r="AQ1503" s="2">
        <v>0</v>
      </c>
      <c r="AR1503" s="2">
        <v>0</v>
      </c>
    </row>
    <row r="1504" spans="1:44" x14ac:dyDescent="0.25">
      <c r="A1504" t="s">
        <v>131</v>
      </c>
      <c r="B1504" t="s">
        <v>216</v>
      </c>
      <c r="C1504" t="s">
        <v>44</v>
      </c>
      <c r="D1504" t="s">
        <v>212</v>
      </c>
      <c r="E1504" t="s">
        <v>134</v>
      </c>
      <c r="F1504" t="s">
        <v>217</v>
      </c>
      <c r="G1504" t="s">
        <v>28</v>
      </c>
      <c r="H1504" t="s">
        <v>53</v>
      </c>
      <c r="I1504" t="s">
        <v>135</v>
      </c>
      <c r="J1504" t="s">
        <v>39</v>
      </c>
      <c r="K1504" t="s">
        <v>28</v>
      </c>
      <c r="L1504">
        <v>0.1</v>
      </c>
      <c r="M1504">
        <v>1</v>
      </c>
      <c r="N1504">
        <v>1.9989550419763611</v>
      </c>
      <c r="O1504">
        <v>3.7699868031679249</v>
      </c>
      <c r="P1504">
        <v>-0.83080982062758046</v>
      </c>
      <c r="Q1504">
        <v>1.3730611803456818</v>
      </c>
      <c r="R1504">
        <v>-1.4758346144565639</v>
      </c>
      <c r="S1504" s="2">
        <v>0.60007802658400811</v>
      </c>
      <c r="T1504" s="2">
        <v>1.1987240811758046</v>
      </c>
      <c r="U1504" s="2">
        <v>2.1267443882409571</v>
      </c>
      <c r="V1504" s="2">
        <v>3.4562730837580986</v>
      </c>
      <c r="W1504" s="2">
        <v>5.2405821747580701</v>
      </c>
      <c r="X1504" s="2">
        <v>7.4966251487326163</v>
      </c>
      <c r="Y1504" s="2">
        <v>10.183818110713217</v>
      </c>
      <c r="Z1504" s="2">
        <v>13.182462115024293</v>
      </c>
      <c r="AA1504" s="2">
        <v>16.278289509943072</v>
      </c>
      <c r="AB1504" s="2">
        <v>19.162741836678904</v>
      </c>
      <c r="AC1504" s="2">
        <v>21.459459387958375</v>
      </c>
      <c r="AD1504" s="2">
        <v>22.783688979368147</v>
      </c>
      <c r="AE1504" s="2">
        <v>22.830850216089349</v>
      </c>
      <c r="AF1504" s="2">
        <v>21.4743032064445</v>
      </c>
      <c r="AG1504" s="2">
        <v>18.836776001691479</v>
      </c>
      <c r="AH1504" s="2">
        <v>15.539801651957294</v>
      </c>
      <c r="AI1504" s="2">
        <v>11.85307244542556</v>
      </c>
      <c r="AJ1504" s="2">
        <v>8.1841517757113387</v>
      </c>
      <c r="AK1504" s="2">
        <v>0.58885717235180368</v>
      </c>
      <c r="AL1504" s="2">
        <v>0</v>
      </c>
      <c r="AM1504" s="2">
        <v>0</v>
      </c>
      <c r="AN1504" s="2">
        <v>0</v>
      </c>
      <c r="AO1504" s="2">
        <v>0</v>
      </c>
      <c r="AP1504" s="2">
        <v>0</v>
      </c>
      <c r="AQ1504" s="2">
        <v>0</v>
      </c>
      <c r="AR1504" s="2">
        <v>222.47729931260687</v>
      </c>
    </row>
    <row r="1505" spans="1:44" x14ac:dyDescent="0.25">
      <c r="A1505" t="s">
        <v>131</v>
      </c>
      <c r="B1505" t="s">
        <v>216</v>
      </c>
      <c r="C1505" t="s">
        <v>44</v>
      </c>
      <c r="D1505" t="s">
        <v>212</v>
      </c>
      <c r="E1505" t="s">
        <v>134</v>
      </c>
      <c r="F1505" t="s">
        <v>217</v>
      </c>
      <c r="G1505" t="s">
        <v>28</v>
      </c>
      <c r="H1505" t="s">
        <v>141</v>
      </c>
      <c r="I1505" t="s">
        <v>135</v>
      </c>
      <c r="J1505" t="s">
        <v>39</v>
      </c>
      <c r="K1505" t="s">
        <v>28</v>
      </c>
      <c r="L1505">
        <v>0.1</v>
      </c>
      <c r="M1505">
        <v>1</v>
      </c>
      <c r="N1505">
        <v>1.9989550419763611</v>
      </c>
      <c r="O1505">
        <v>3.7699868031679249</v>
      </c>
      <c r="P1505">
        <v>-0.83080982062758046</v>
      </c>
      <c r="Q1505">
        <v>1.3730611803456818</v>
      </c>
      <c r="R1505">
        <v>-1.4758346144565639</v>
      </c>
      <c r="S1505" s="2">
        <v>0.50506567237487365</v>
      </c>
      <c r="T1505" s="2">
        <v>1.008926101656302</v>
      </c>
      <c r="U1505" s="2">
        <v>1.7900098601028049</v>
      </c>
      <c r="V1505" s="2">
        <v>2.9090298454963994</v>
      </c>
      <c r="W1505" s="2">
        <v>4.4108233304213735</v>
      </c>
      <c r="X1505" s="2">
        <v>6.3096595001832849</v>
      </c>
      <c r="Y1505" s="2">
        <v>8.5713802431836239</v>
      </c>
      <c r="Z1505" s="2">
        <v>11.095238946812113</v>
      </c>
      <c r="AA1505" s="2">
        <v>13.700893670868746</v>
      </c>
      <c r="AB1505" s="2">
        <v>16.128641045871412</v>
      </c>
      <c r="AC1505" s="2">
        <v>18.061711651531631</v>
      </c>
      <c r="AD1505" s="2">
        <v>19.176271557634845</v>
      </c>
      <c r="AE1505" s="2">
        <v>19.215965598541864</v>
      </c>
      <c r="AF1505" s="2">
        <v>18.074205198757454</v>
      </c>
      <c r="AG1505" s="2">
        <v>15.854286468090331</v>
      </c>
      <c r="AH1505" s="2">
        <v>13.079333057064053</v>
      </c>
      <c r="AI1505" s="2">
        <v>9.9763359748998433</v>
      </c>
      <c r="AJ1505" s="2">
        <v>6.888327744557043</v>
      </c>
      <c r="AK1505" s="2">
        <v>0.49562145339608121</v>
      </c>
      <c r="AL1505" s="2">
        <v>0</v>
      </c>
      <c r="AM1505" s="2">
        <v>0</v>
      </c>
      <c r="AN1505" s="2">
        <v>0</v>
      </c>
      <c r="AO1505" s="2">
        <v>0</v>
      </c>
      <c r="AP1505" s="2">
        <v>0</v>
      </c>
      <c r="AQ1505" s="2">
        <v>0</v>
      </c>
      <c r="AR1505" s="2">
        <v>187.25172692144409</v>
      </c>
    </row>
    <row r="1506" spans="1:44" x14ac:dyDescent="0.25">
      <c r="A1506" t="s">
        <v>131</v>
      </c>
      <c r="B1506" t="s">
        <v>211</v>
      </c>
      <c r="C1506" t="s">
        <v>44</v>
      </c>
      <c r="D1506" t="s">
        <v>212</v>
      </c>
      <c r="E1506" t="s">
        <v>134</v>
      </c>
      <c r="F1506" t="s">
        <v>213</v>
      </c>
      <c r="G1506" t="s">
        <v>28</v>
      </c>
      <c r="H1506" t="s">
        <v>55</v>
      </c>
      <c r="I1506" t="s">
        <v>135</v>
      </c>
      <c r="J1506" t="s">
        <v>39</v>
      </c>
      <c r="K1506" t="s">
        <v>28</v>
      </c>
      <c r="L1506">
        <v>0.08</v>
      </c>
      <c r="M1506">
        <v>1</v>
      </c>
      <c r="N1506">
        <v>1.4359206067058703</v>
      </c>
      <c r="O1506">
        <v>3.8607169542227191</v>
      </c>
      <c r="P1506">
        <v>-0.312476110582809</v>
      </c>
      <c r="Q1506">
        <v>1.9574497417124983</v>
      </c>
      <c r="R1506">
        <v>-1.5418894657786095</v>
      </c>
      <c r="S1506" s="2">
        <v>0</v>
      </c>
      <c r="T1506" s="2">
        <v>0</v>
      </c>
      <c r="U1506" s="2">
        <v>0</v>
      </c>
      <c r="V1506" s="2">
        <v>0</v>
      </c>
      <c r="W1506" s="2">
        <v>0</v>
      </c>
      <c r="X1506" s="2">
        <v>0</v>
      </c>
      <c r="Y1506" s="2">
        <v>0</v>
      </c>
      <c r="Z1506" s="2">
        <v>0</v>
      </c>
      <c r="AA1506" s="2">
        <v>0</v>
      </c>
      <c r="AB1506" s="2">
        <v>0</v>
      </c>
      <c r="AC1506" s="2">
        <v>0</v>
      </c>
      <c r="AD1506" s="2">
        <v>0</v>
      </c>
      <c r="AE1506" s="2">
        <v>0</v>
      </c>
      <c r="AF1506" s="2">
        <v>0</v>
      </c>
      <c r="AG1506" s="2">
        <v>0</v>
      </c>
      <c r="AH1506" s="2">
        <v>0</v>
      </c>
      <c r="AI1506" s="2">
        <v>0</v>
      </c>
      <c r="AJ1506" s="2">
        <v>0</v>
      </c>
      <c r="AK1506" s="2">
        <v>0</v>
      </c>
      <c r="AL1506" s="2">
        <v>0</v>
      </c>
      <c r="AM1506" s="2">
        <v>0</v>
      </c>
      <c r="AN1506" s="2">
        <v>0</v>
      </c>
      <c r="AO1506" s="2">
        <v>0</v>
      </c>
      <c r="AP1506" s="2">
        <v>0</v>
      </c>
      <c r="AQ1506" s="2">
        <v>0</v>
      </c>
      <c r="AR1506" s="2">
        <v>0</v>
      </c>
    </row>
    <row r="1507" spans="1:44" x14ac:dyDescent="0.25">
      <c r="A1507" t="s">
        <v>131</v>
      </c>
      <c r="B1507" t="s">
        <v>211</v>
      </c>
      <c r="C1507" t="s">
        <v>44</v>
      </c>
      <c r="D1507" t="s">
        <v>212</v>
      </c>
      <c r="E1507" t="s">
        <v>134</v>
      </c>
      <c r="F1507" t="s">
        <v>213</v>
      </c>
      <c r="G1507" t="s">
        <v>28</v>
      </c>
      <c r="H1507" t="s">
        <v>136</v>
      </c>
      <c r="I1507" t="s">
        <v>135</v>
      </c>
      <c r="J1507" t="s">
        <v>39</v>
      </c>
      <c r="K1507" t="s">
        <v>28</v>
      </c>
      <c r="L1507">
        <v>0.08</v>
      </c>
      <c r="M1507">
        <v>1</v>
      </c>
      <c r="N1507">
        <v>1.4359206067058703</v>
      </c>
      <c r="O1507">
        <v>3.8607169542227191</v>
      </c>
      <c r="P1507">
        <v>-0.312476110582809</v>
      </c>
      <c r="Q1507">
        <v>1.9574497417124983</v>
      </c>
      <c r="R1507">
        <v>-1.5418894657786095</v>
      </c>
      <c r="S1507" s="2">
        <v>0</v>
      </c>
      <c r="T1507" s="2">
        <v>0</v>
      </c>
      <c r="U1507" s="2">
        <v>0</v>
      </c>
      <c r="V1507" s="2">
        <v>0</v>
      </c>
      <c r="W1507" s="2">
        <v>0</v>
      </c>
      <c r="X1507" s="2">
        <v>0</v>
      </c>
      <c r="Y1507" s="2">
        <v>0</v>
      </c>
      <c r="Z1507" s="2">
        <v>0</v>
      </c>
      <c r="AA1507" s="2">
        <v>0</v>
      </c>
      <c r="AB1507" s="2">
        <v>0</v>
      </c>
      <c r="AC1507" s="2">
        <v>0</v>
      </c>
      <c r="AD1507" s="2">
        <v>0</v>
      </c>
      <c r="AE1507" s="2">
        <v>0</v>
      </c>
      <c r="AF1507" s="2">
        <v>0</v>
      </c>
      <c r="AG1507" s="2">
        <v>0</v>
      </c>
      <c r="AH1507" s="2">
        <v>0</v>
      </c>
      <c r="AI1507" s="2">
        <v>0</v>
      </c>
      <c r="AJ1507" s="2">
        <v>0</v>
      </c>
      <c r="AK1507" s="2">
        <v>0</v>
      </c>
      <c r="AL1507" s="2">
        <v>0</v>
      </c>
      <c r="AM1507" s="2">
        <v>0</v>
      </c>
      <c r="AN1507" s="2">
        <v>0</v>
      </c>
      <c r="AO1507" s="2">
        <v>0</v>
      </c>
      <c r="AP1507" s="2">
        <v>0</v>
      </c>
      <c r="AQ1507" s="2">
        <v>0</v>
      </c>
      <c r="AR1507" s="2">
        <v>0</v>
      </c>
    </row>
    <row r="1508" spans="1:44" x14ac:dyDescent="0.25">
      <c r="A1508" t="s">
        <v>131</v>
      </c>
      <c r="B1508" t="s">
        <v>211</v>
      </c>
      <c r="C1508" t="s">
        <v>44</v>
      </c>
      <c r="D1508" t="s">
        <v>212</v>
      </c>
      <c r="E1508" t="s">
        <v>134</v>
      </c>
      <c r="F1508" t="s">
        <v>213</v>
      </c>
      <c r="G1508" t="s">
        <v>28</v>
      </c>
      <c r="H1508" t="s">
        <v>52</v>
      </c>
      <c r="I1508" t="s">
        <v>135</v>
      </c>
      <c r="J1508" t="s">
        <v>39</v>
      </c>
      <c r="K1508" t="s">
        <v>28</v>
      </c>
      <c r="L1508">
        <v>0.08</v>
      </c>
      <c r="M1508">
        <v>1</v>
      </c>
      <c r="N1508">
        <v>1.4359206067058703</v>
      </c>
      <c r="O1508">
        <v>3.8607169542227191</v>
      </c>
      <c r="P1508">
        <v>-0.312476110582809</v>
      </c>
      <c r="Q1508">
        <v>1.9574497417124983</v>
      </c>
      <c r="R1508">
        <v>-1.5418894657786095</v>
      </c>
      <c r="S1508" s="2">
        <v>24.453958571711787</v>
      </c>
      <c r="T1508" s="2">
        <v>48.849562425833355</v>
      </c>
      <c r="U1508" s="2">
        <v>86.667594643851046</v>
      </c>
      <c r="V1508" s="2">
        <v>140.84761490747692</v>
      </c>
      <c r="W1508" s="2">
        <v>213.56052665801829</v>
      </c>
      <c r="X1508" s="2">
        <v>305.49720651885241</v>
      </c>
      <c r="Y1508" s="2">
        <v>415.00380808622322</v>
      </c>
      <c r="Z1508" s="2">
        <v>537.20244393723829</v>
      </c>
      <c r="AA1508" s="2">
        <v>663.36142911366971</v>
      </c>
      <c r="AB1508" s="2">
        <v>780.90660586611534</v>
      </c>
      <c r="AC1508" s="2">
        <v>874.50082755363235</v>
      </c>
      <c r="AD1508" s="2">
        <v>928.46490244587619</v>
      </c>
      <c r="AE1508" s="2">
        <v>930.3867840643984</v>
      </c>
      <c r="AF1508" s="2">
        <v>875.10573242637395</v>
      </c>
      <c r="AG1508" s="2">
        <v>767.62307493939147</v>
      </c>
      <c r="AH1508" s="2">
        <v>633.26709023627677</v>
      </c>
      <c r="AI1508" s="2">
        <v>483.02808916026322</v>
      </c>
      <c r="AJ1508" s="2">
        <v>333.5148090776301</v>
      </c>
      <c r="AK1508" s="2">
        <v>23.996694195448722</v>
      </c>
      <c r="AL1508" s="2">
        <v>0</v>
      </c>
      <c r="AM1508" s="2">
        <v>0</v>
      </c>
      <c r="AN1508" s="2">
        <v>0</v>
      </c>
      <c r="AO1508" s="2">
        <v>0</v>
      </c>
      <c r="AP1508" s="2">
        <v>0</v>
      </c>
      <c r="AQ1508" s="2">
        <v>0</v>
      </c>
      <c r="AR1508" s="2">
        <v>9066.2387548282804</v>
      </c>
    </row>
    <row r="1509" spans="1:44" x14ac:dyDescent="0.25">
      <c r="A1509" t="s">
        <v>131</v>
      </c>
      <c r="B1509" t="s">
        <v>211</v>
      </c>
      <c r="C1509" t="s">
        <v>44</v>
      </c>
      <c r="D1509" t="s">
        <v>212</v>
      </c>
      <c r="E1509" t="s">
        <v>134</v>
      </c>
      <c r="F1509" t="s">
        <v>213</v>
      </c>
      <c r="G1509" t="s">
        <v>28</v>
      </c>
      <c r="H1509" t="s">
        <v>138</v>
      </c>
      <c r="I1509" t="s">
        <v>135</v>
      </c>
      <c r="J1509" t="s">
        <v>39</v>
      </c>
      <c r="K1509" t="s">
        <v>28</v>
      </c>
      <c r="L1509">
        <v>0.08</v>
      </c>
      <c r="M1509">
        <v>1</v>
      </c>
      <c r="N1509">
        <v>1.4359206067058703</v>
      </c>
      <c r="O1509">
        <v>3.8607169542227191</v>
      </c>
      <c r="P1509">
        <v>-0.312476110582809</v>
      </c>
      <c r="Q1509">
        <v>1.9574497417124983</v>
      </c>
      <c r="R1509">
        <v>-1.5418894657786095</v>
      </c>
      <c r="S1509" s="2">
        <v>8.482664082597033</v>
      </c>
      <c r="T1509" s="2">
        <v>16.945085901942459</v>
      </c>
      <c r="U1509" s="2">
        <v>30.063520801941543</v>
      </c>
      <c r="V1509" s="2">
        <v>48.857652252556306</v>
      </c>
      <c r="W1509" s="2">
        <v>74.080529891715926</v>
      </c>
      <c r="X1509" s="2">
        <v>105.97180711956183</v>
      </c>
      <c r="Y1509" s="2">
        <v>143.95779262774676</v>
      </c>
      <c r="Z1509" s="2">
        <v>186.34642987991174</v>
      </c>
      <c r="AA1509" s="2">
        <v>230.10884524160977</v>
      </c>
      <c r="AB1509" s="2">
        <v>270.88327634226289</v>
      </c>
      <c r="AC1509" s="2">
        <v>303.34952675808466</v>
      </c>
      <c r="AD1509" s="2">
        <v>322.06875041656201</v>
      </c>
      <c r="AE1509" s="2">
        <v>322.73541860153648</v>
      </c>
      <c r="AF1509" s="2">
        <v>303.55935801392582</v>
      </c>
      <c r="AG1509" s="2">
        <v>266.27544443023316</v>
      </c>
      <c r="AH1509" s="2">
        <v>219.66962875499678</v>
      </c>
      <c r="AI1509" s="2">
        <v>167.55426369066691</v>
      </c>
      <c r="AJ1509" s="2">
        <v>115.69063894831741</v>
      </c>
      <c r="AK1509" s="2">
        <v>8.3240468145836655</v>
      </c>
      <c r="AL1509" s="2">
        <v>0</v>
      </c>
      <c r="AM1509" s="2">
        <v>0</v>
      </c>
      <c r="AN1509" s="2">
        <v>0</v>
      </c>
      <c r="AO1509" s="2">
        <v>0</v>
      </c>
      <c r="AP1509" s="2">
        <v>0</v>
      </c>
      <c r="AQ1509" s="2">
        <v>0</v>
      </c>
      <c r="AR1509" s="2">
        <v>3144.9246805707535</v>
      </c>
    </row>
    <row r="1510" spans="1:44" x14ac:dyDescent="0.25">
      <c r="A1510" t="s">
        <v>131</v>
      </c>
      <c r="B1510" t="s">
        <v>214</v>
      </c>
      <c r="C1510" t="s">
        <v>44</v>
      </c>
      <c r="D1510" t="s">
        <v>212</v>
      </c>
      <c r="E1510" t="s">
        <v>134</v>
      </c>
      <c r="F1510" t="s">
        <v>215</v>
      </c>
      <c r="G1510" t="s">
        <v>28</v>
      </c>
      <c r="H1510" t="s">
        <v>55</v>
      </c>
      <c r="I1510" t="s">
        <v>135</v>
      </c>
      <c r="J1510" t="s">
        <v>39</v>
      </c>
      <c r="K1510" t="s">
        <v>28</v>
      </c>
      <c r="L1510">
        <v>4.6443704447863325E-2</v>
      </c>
      <c r="M1510">
        <v>0</v>
      </c>
      <c r="N1510">
        <v>0.67136779164566907</v>
      </c>
      <c r="O1510">
        <v>3.8402067578633954</v>
      </c>
      <c r="P1510">
        <v>1.90935600167047</v>
      </c>
      <c r="Q1510">
        <v>4.1643496847215875</v>
      </c>
      <c r="R1510">
        <v>-1.5269572965344196</v>
      </c>
      <c r="S1510" s="2">
        <v>0</v>
      </c>
      <c r="T1510" s="2">
        <v>0</v>
      </c>
      <c r="U1510" s="2">
        <v>0</v>
      </c>
      <c r="V1510" s="2">
        <v>0</v>
      </c>
      <c r="W1510" s="2">
        <v>0</v>
      </c>
      <c r="X1510" s="2">
        <v>0</v>
      </c>
      <c r="Y1510" s="2">
        <v>0</v>
      </c>
      <c r="Z1510" s="2">
        <v>0</v>
      </c>
      <c r="AA1510" s="2">
        <v>0</v>
      </c>
      <c r="AB1510" s="2">
        <v>0</v>
      </c>
      <c r="AC1510" s="2">
        <v>0</v>
      </c>
      <c r="AD1510" s="2">
        <v>0</v>
      </c>
      <c r="AE1510" s="2">
        <v>0</v>
      </c>
      <c r="AF1510" s="2">
        <v>0</v>
      </c>
      <c r="AG1510" s="2">
        <v>0</v>
      </c>
      <c r="AH1510" s="2">
        <v>0</v>
      </c>
      <c r="AI1510" s="2">
        <v>0</v>
      </c>
      <c r="AJ1510" s="2">
        <v>0</v>
      </c>
      <c r="AK1510" s="2">
        <v>0</v>
      </c>
      <c r="AL1510" s="2">
        <v>0</v>
      </c>
      <c r="AM1510" s="2">
        <v>0</v>
      </c>
      <c r="AN1510" s="2">
        <v>0</v>
      </c>
      <c r="AO1510" s="2">
        <v>0</v>
      </c>
      <c r="AP1510" s="2">
        <v>0</v>
      </c>
      <c r="AQ1510" s="2">
        <v>0</v>
      </c>
      <c r="AR1510" s="2">
        <v>0</v>
      </c>
    </row>
    <row r="1511" spans="1:44" x14ac:dyDescent="0.25">
      <c r="A1511" t="s">
        <v>131</v>
      </c>
      <c r="B1511" t="s">
        <v>214</v>
      </c>
      <c r="C1511" t="s">
        <v>44</v>
      </c>
      <c r="D1511" t="s">
        <v>212</v>
      </c>
      <c r="E1511" t="s">
        <v>134</v>
      </c>
      <c r="F1511" t="s">
        <v>215</v>
      </c>
      <c r="G1511" t="s">
        <v>28</v>
      </c>
      <c r="H1511" t="s">
        <v>136</v>
      </c>
      <c r="I1511" t="s">
        <v>135</v>
      </c>
      <c r="J1511" t="s">
        <v>39</v>
      </c>
      <c r="K1511" t="s">
        <v>28</v>
      </c>
      <c r="L1511">
        <v>4.6443704447863325E-2</v>
      </c>
      <c r="M1511">
        <v>0</v>
      </c>
      <c r="N1511">
        <v>0.67136779164566907</v>
      </c>
      <c r="O1511">
        <v>3.8402067578633954</v>
      </c>
      <c r="P1511">
        <v>1.90935600167047</v>
      </c>
      <c r="Q1511">
        <v>4.1643496847215875</v>
      </c>
      <c r="R1511">
        <v>-1.5269572965344196</v>
      </c>
      <c r="S1511" s="2">
        <v>0</v>
      </c>
      <c r="T1511" s="2">
        <v>0</v>
      </c>
      <c r="U1511" s="2">
        <v>0</v>
      </c>
      <c r="V1511" s="2">
        <v>0</v>
      </c>
      <c r="W1511" s="2">
        <v>0</v>
      </c>
      <c r="X1511" s="2">
        <v>0</v>
      </c>
      <c r="Y1511" s="2">
        <v>0</v>
      </c>
      <c r="Z1511" s="2">
        <v>0</v>
      </c>
      <c r="AA1511" s="2">
        <v>0</v>
      </c>
      <c r="AB1511" s="2">
        <v>0</v>
      </c>
      <c r="AC1511" s="2">
        <v>0</v>
      </c>
      <c r="AD1511" s="2">
        <v>0</v>
      </c>
      <c r="AE1511" s="2">
        <v>0</v>
      </c>
      <c r="AF1511" s="2">
        <v>0</v>
      </c>
      <c r="AG1511" s="2">
        <v>0</v>
      </c>
      <c r="AH1511" s="2">
        <v>0</v>
      </c>
      <c r="AI1511" s="2">
        <v>0</v>
      </c>
      <c r="AJ1511" s="2">
        <v>0</v>
      </c>
      <c r="AK1511" s="2">
        <v>0</v>
      </c>
      <c r="AL1511" s="2">
        <v>0</v>
      </c>
      <c r="AM1511" s="2">
        <v>0</v>
      </c>
      <c r="AN1511" s="2">
        <v>0</v>
      </c>
      <c r="AO1511" s="2">
        <v>0</v>
      </c>
      <c r="AP1511" s="2">
        <v>0</v>
      </c>
      <c r="AQ1511" s="2">
        <v>0</v>
      </c>
      <c r="AR1511" s="2">
        <v>0</v>
      </c>
    </row>
    <row r="1512" spans="1:44" x14ac:dyDescent="0.25">
      <c r="A1512" t="s">
        <v>131</v>
      </c>
      <c r="B1512" t="s">
        <v>214</v>
      </c>
      <c r="C1512" t="s">
        <v>44</v>
      </c>
      <c r="D1512" t="s">
        <v>212</v>
      </c>
      <c r="E1512" t="s">
        <v>134</v>
      </c>
      <c r="F1512" t="s">
        <v>215</v>
      </c>
      <c r="G1512" t="s">
        <v>28</v>
      </c>
      <c r="H1512" t="s">
        <v>52</v>
      </c>
      <c r="I1512" t="s">
        <v>135</v>
      </c>
      <c r="J1512" t="s">
        <v>39</v>
      </c>
      <c r="K1512" t="s">
        <v>28</v>
      </c>
      <c r="L1512">
        <v>4.6443704447863325E-2</v>
      </c>
      <c r="M1512">
        <v>0</v>
      </c>
      <c r="N1512">
        <v>0.67136779164566907</v>
      </c>
      <c r="O1512">
        <v>3.8402067578633954</v>
      </c>
      <c r="P1512">
        <v>1.90935600167047</v>
      </c>
      <c r="Q1512">
        <v>4.1643496847215875</v>
      </c>
      <c r="R1512">
        <v>-1.5269572965344196</v>
      </c>
      <c r="S1512" s="2">
        <v>0</v>
      </c>
      <c r="T1512" s="2">
        <v>0</v>
      </c>
      <c r="U1512" s="2">
        <v>29.133654618278285</v>
      </c>
      <c r="V1512" s="2">
        <v>47.346482654619614</v>
      </c>
      <c r="W1512" s="2">
        <v>71.789215442288125</v>
      </c>
      <c r="X1512" s="2">
        <v>102.694093889919</v>
      </c>
      <c r="Y1512" s="2">
        <v>139.50517098967489</v>
      </c>
      <c r="Z1512" s="2">
        <v>180.58272559746067</v>
      </c>
      <c r="AA1512" s="2">
        <v>222.99156728998145</v>
      </c>
      <c r="AB1512" s="2">
        <v>262.50484322226998</v>
      </c>
      <c r="AC1512" s="2">
        <v>293.96691090876669</v>
      </c>
      <c r="AD1512" s="2">
        <v>312.10714805468217</v>
      </c>
      <c r="AE1512" s="2">
        <v>312.75319615975928</v>
      </c>
      <c r="AF1512" s="2">
        <v>294.1702520734982</v>
      </c>
      <c r="AG1512" s="2">
        <v>258.03953177892492</v>
      </c>
      <c r="AH1512" s="2">
        <v>212.87523628503885</v>
      </c>
      <c r="AI1512" s="2">
        <v>162.37180203685804</v>
      </c>
      <c r="AJ1512" s="2">
        <v>112.11232177006163</v>
      </c>
      <c r="AK1512" s="2">
        <v>32.707852056651241</v>
      </c>
      <c r="AL1512" s="2">
        <v>0</v>
      </c>
      <c r="AM1512" s="2">
        <v>0</v>
      </c>
      <c r="AN1512" s="2">
        <v>0</v>
      </c>
      <c r="AO1512" s="2">
        <v>0</v>
      </c>
      <c r="AP1512" s="2">
        <v>0</v>
      </c>
      <c r="AQ1512" s="2">
        <v>0</v>
      </c>
      <c r="AR1512" s="2">
        <v>3047.6520048287325</v>
      </c>
    </row>
    <row r="1513" spans="1:44" x14ac:dyDescent="0.25">
      <c r="A1513" t="s">
        <v>131</v>
      </c>
      <c r="B1513" t="s">
        <v>214</v>
      </c>
      <c r="C1513" t="s">
        <v>44</v>
      </c>
      <c r="D1513" t="s">
        <v>212</v>
      </c>
      <c r="E1513" t="s">
        <v>134</v>
      </c>
      <c r="F1513" t="s">
        <v>215</v>
      </c>
      <c r="G1513" t="s">
        <v>28</v>
      </c>
      <c r="H1513" t="s">
        <v>138</v>
      </c>
      <c r="I1513" t="s">
        <v>135</v>
      </c>
      <c r="J1513" t="s">
        <v>39</v>
      </c>
      <c r="K1513" t="s">
        <v>28</v>
      </c>
      <c r="L1513">
        <v>4.6443704447863325E-2</v>
      </c>
      <c r="M1513">
        <v>0</v>
      </c>
      <c r="N1513">
        <v>0.67136779164566907</v>
      </c>
      <c r="O1513">
        <v>3.8402067578633954</v>
      </c>
      <c r="P1513">
        <v>1.90935600167047</v>
      </c>
      <c r="Q1513">
        <v>4.1643496847215875</v>
      </c>
      <c r="R1513">
        <v>-1.5269572965344196</v>
      </c>
      <c r="S1513" s="2">
        <v>0</v>
      </c>
      <c r="T1513" s="2">
        <v>0</v>
      </c>
      <c r="U1513" s="2">
        <v>10.105971387026729</v>
      </c>
      <c r="V1513" s="2">
        <v>16.423692985079406</v>
      </c>
      <c r="W1513" s="2">
        <v>24.902463033308802</v>
      </c>
      <c r="X1513" s="2">
        <v>35.622841969748393</v>
      </c>
      <c r="Y1513" s="2">
        <v>48.391981192754407</v>
      </c>
      <c r="Z1513" s="2">
        <v>62.641089207334304</v>
      </c>
      <c r="AA1513" s="2">
        <v>77.351998165274338</v>
      </c>
      <c r="AB1513" s="2">
        <v>91.058484399544085</v>
      </c>
      <c r="AC1513" s="2">
        <v>101.97214284653313</v>
      </c>
      <c r="AD1513" s="2">
        <v>108.26468389407762</v>
      </c>
      <c r="AE1513" s="2">
        <v>108.48878704042497</v>
      </c>
      <c r="AF1513" s="2">
        <v>102.042678452845</v>
      </c>
      <c r="AG1513" s="2">
        <v>89.509543483209583</v>
      </c>
      <c r="AH1513" s="2">
        <v>73.842814267230196</v>
      </c>
      <c r="AI1513" s="2">
        <v>56.324028239661672</v>
      </c>
      <c r="AJ1513" s="2">
        <v>38.889865716693748</v>
      </c>
      <c r="AK1513" s="2">
        <v>11.34579994671326</v>
      </c>
      <c r="AL1513" s="2">
        <v>0</v>
      </c>
      <c r="AM1513" s="2">
        <v>0</v>
      </c>
      <c r="AN1513" s="2">
        <v>0</v>
      </c>
      <c r="AO1513" s="2">
        <v>0</v>
      </c>
      <c r="AP1513" s="2">
        <v>0</v>
      </c>
      <c r="AQ1513" s="2">
        <v>0</v>
      </c>
      <c r="AR1513" s="2">
        <v>1057.1788662274596</v>
      </c>
    </row>
    <row r="1514" spans="1:44" x14ac:dyDescent="0.25">
      <c r="A1514" t="s">
        <v>131</v>
      </c>
      <c r="B1514" t="s">
        <v>234</v>
      </c>
      <c r="C1514" t="s">
        <v>44</v>
      </c>
      <c r="D1514" t="s">
        <v>219</v>
      </c>
      <c r="E1514" t="s">
        <v>145</v>
      </c>
      <c r="F1514" t="s">
        <v>232</v>
      </c>
      <c r="G1514" t="s">
        <v>28</v>
      </c>
      <c r="H1514" t="s">
        <v>55</v>
      </c>
      <c r="I1514" t="s">
        <v>135</v>
      </c>
      <c r="J1514" t="s">
        <v>39</v>
      </c>
      <c r="K1514" t="s">
        <v>28</v>
      </c>
      <c r="L1514">
        <v>2.9999999999999985E-2</v>
      </c>
      <c r="M1514">
        <v>1</v>
      </c>
      <c r="N1514">
        <v>1.3409674942150906</v>
      </c>
      <c r="O1514">
        <v>3.8596258854354111</v>
      </c>
      <c r="P1514">
        <v>-0.177009527284818</v>
      </c>
      <c r="Q1514">
        <v>2.0954632346128959</v>
      </c>
      <c r="R1514">
        <v>-1.5444363753810169</v>
      </c>
      <c r="S1514" s="2">
        <v>0</v>
      </c>
      <c r="T1514" s="2">
        <v>0</v>
      </c>
      <c r="U1514" s="2">
        <v>8.7050018882711504E-4</v>
      </c>
      <c r="V1514" s="2">
        <v>1.6364894354373063E-3</v>
      </c>
      <c r="W1514" s="2">
        <v>2.7973975380856339E-3</v>
      </c>
      <c r="X1514" s="2">
        <v>4.4571929765472758E-3</v>
      </c>
      <c r="Y1514" s="2">
        <v>6.7105425547939902E-3</v>
      </c>
      <c r="Z1514" s="2">
        <v>9.6252350103029037E-3</v>
      </c>
      <c r="AA1514" s="2">
        <v>1.3221197253254031E-2</v>
      </c>
      <c r="AB1514" s="2">
        <v>1.7449633512731946E-2</v>
      </c>
      <c r="AC1514" s="2">
        <v>2.2178113303418196E-2</v>
      </c>
      <c r="AD1514" s="2">
        <v>2.7188906645170978E-2</v>
      </c>
      <c r="AE1514" s="2">
        <v>3.2197019486345652E-2</v>
      </c>
      <c r="AF1514" s="2">
        <v>3.6889924685318161E-2</v>
      </c>
      <c r="AG1514" s="2">
        <v>4.0983079708350544E-2</v>
      </c>
      <c r="AH1514" s="2">
        <v>4.4276589025960614E-2</v>
      </c>
      <c r="AI1514" s="2">
        <v>4.6693674823400429E-2</v>
      </c>
      <c r="AJ1514" s="2">
        <v>4.8418216523885456E-2</v>
      </c>
      <c r="AK1514" s="2">
        <v>4.9290174930723983E-2</v>
      </c>
      <c r="AL1514" s="2">
        <v>4.9950980230365469E-2</v>
      </c>
      <c r="AM1514" s="2">
        <v>5.0002204275549827E-2</v>
      </c>
      <c r="AN1514" s="2">
        <v>4.9848031387339883E-2</v>
      </c>
      <c r="AO1514" s="2">
        <v>4.9689136487105656E-2</v>
      </c>
      <c r="AP1514" s="2">
        <v>4.9525573402082482E-2</v>
      </c>
      <c r="AQ1514" s="2">
        <v>4.9357378496460685E-2</v>
      </c>
      <c r="AR1514" s="2">
        <v>0.7032571918814583</v>
      </c>
    </row>
    <row r="1515" spans="1:44" x14ac:dyDescent="0.25">
      <c r="A1515" t="s">
        <v>131</v>
      </c>
      <c r="B1515" t="s">
        <v>234</v>
      </c>
      <c r="C1515" t="s">
        <v>44</v>
      </c>
      <c r="D1515" t="s">
        <v>219</v>
      </c>
      <c r="E1515" t="s">
        <v>145</v>
      </c>
      <c r="F1515" t="s">
        <v>232</v>
      </c>
      <c r="G1515" t="s">
        <v>28</v>
      </c>
      <c r="H1515" t="s">
        <v>136</v>
      </c>
      <c r="I1515" t="s">
        <v>135</v>
      </c>
      <c r="J1515" t="s">
        <v>39</v>
      </c>
      <c r="K1515" t="s">
        <v>28</v>
      </c>
      <c r="L1515">
        <v>2.9999999999999985E-2</v>
      </c>
      <c r="M1515">
        <v>1</v>
      </c>
      <c r="N1515">
        <v>1.3409674942150906</v>
      </c>
      <c r="O1515">
        <v>3.8596258854354111</v>
      </c>
      <c r="P1515">
        <v>-0.177009527284818</v>
      </c>
      <c r="Q1515">
        <v>2.0954632346128959</v>
      </c>
      <c r="R1515">
        <v>-1.5444363753810169</v>
      </c>
      <c r="S1515" s="2">
        <v>0</v>
      </c>
      <c r="T1515" s="2">
        <v>0</v>
      </c>
      <c r="U1515" s="2">
        <v>1.0929613481940443E-3</v>
      </c>
      <c r="V1515" s="2">
        <v>2.0547034022712842E-3</v>
      </c>
      <c r="W1515" s="2">
        <v>3.5122880200408502E-3</v>
      </c>
      <c r="X1515" s="2">
        <v>5.5962534038871362E-3</v>
      </c>
      <c r="Y1515" s="2">
        <v>8.4254589854635634E-3</v>
      </c>
      <c r="Z1515" s="2">
        <v>1.2085017290713646E-2</v>
      </c>
      <c r="AA1515" s="2">
        <v>1.659994766241895E-2</v>
      </c>
      <c r="AB1515" s="2">
        <v>2.1908984299318996E-2</v>
      </c>
      <c r="AC1515" s="2">
        <v>2.7845853369847278E-2</v>
      </c>
      <c r="AD1515" s="2">
        <v>3.4137182787825786E-2</v>
      </c>
      <c r="AE1515" s="2">
        <v>4.0425146688411753E-2</v>
      </c>
      <c r="AF1515" s="2">
        <v>4.6317349882677238E-2</v>
      </c>
      <c r="AG1515" s="2">
        <v>5.1456533411595666E-2</v>
      </c>
      <c r="AH1515" s="2">
        <v>5.559171733259502E-2</v>
      </c>
      <c r="AI1515" s="2">
        <v>5.8626502833824985E-2</v>
      </c>
      <c r="AJ1515" s="2">
        <v>6.0791760746656189E-2</v>
      </c>
      <c r="AK1515" s="2">
        <v>6.1886552968575634E-2</v>
      </c>
      <c r="AL1515" s="2">
        <v>6.2716230733681058E-2</v>
      </c>
      <c r="AM1515" s="2">
        <v>6.2780545368190332E-2</v>
      </c>
      <c r="AN1515" s="2">
        <v>6.2586972741882282E-2</v>
      </c>
      <c r="AO1515" s="2">
        <v>6.2387471367143787E-2</v>
      </c>
      <c r="AP1515" s="2">
        <v>6.2182108827059102E-2</v>
      </c>
      <c r="AQ1515" s="2">
        <v>6.1970930778889509E-2</v>
      </c>
      <c r="AR1515" s="2">
        <v>0.88297847425116405</v>
      </c>
    </row>
    <row r="1516" spans="1:44" x14ac:dyDescent="0.25">
      <c r="A1516" t="s">
        <v>131</v>
      </c>
      <c r="B1516" t="s">
        <v>230</v>
      </c>
      <c r="C1516" t="s">
        <v>44</v>
      </c>
      <c r="D1516" t="s">
        <v>219</v>
      </c>
      <c r="E1516" t="s">
        <v>145</v>
      </c>
      <c r="F1516" t="s">
        <v>228</v>
      </c>
      <c r="G1516" t="s">
        <v>28</v>
      </c>
      <c r="H1516" t="s">
        <v>55</v>
      </c>
      <c r="I1516" t="s">
        <v>135</v>
      </c>
      <c r="J1516" t="s">
        <v>39</v>
      </c>
      <c r="K1516" t="s">
        <v>28</v>
      </c>
      <c r="L1516">
        <v>0.03</v>
      </c>
      <c r="M1516">
        <v>0</v>
      </c>
      <c r="N1516">
        <v>0.86122751919340645</v>
      </c>
      <c r="O1516">
        <v>3.8595532660352969</v>
      </c>
      <c r="P1516">
        <v>0.99024316795274525</v>
      </c>
      <c r="Q1516">
        <v>3.2626630602848077</v>
      </c>
      <c r="R1516">
        <v>-1.5443835058153661</v>
      </c>
      <c r="S1516" s="2">
        <v>1.7886148851875398E-2</v>
      </c>
      <c r="T1516" s="2">
        <v>2.6231748784872423E-2</v>
      </c>
      <c r="U1516" s="2">
        <v>3.573680835169224E-2</v>
      </c>
      <c r="V1516" s="2">
        <v>4.6830134857105458E-2</v>
      </c>
      <c r="W1516" s="2">
        <v>5.8973048463865259E-2</v>
      </c>
      <c r="X1516" s="2">
        <v>7.134284404135989E-2</v>
      </c>
      <c r="Y1516" s="2">
        <v>8.2955396462266712E-2</v>
      </c>
      <c r="Z1516" s="2">
        <v>9.288245904679765E-2</v>
      </c>
      <c r="AA1516" s="2">
        <v>0.10049758058286008</v>
      </c>
      <c r="AB1516" s="2">
        <v>0.10564269857208071</v>
      </c>
      <c r="AC1516" s="2">
        <v>0.10862375299045941</v>
      </c>
      <c r="AD1516" s="2">
        <v>0.10988996496133789</v>
      </c>
      <c r="AE1516" s="2">
        <v>0.10965961795260765</v>
      </c>
      <c r="AF1516" s="2">
        <v>0.10941696443773</v>
      </c>
      <c r="AG1516" s="2">
        <v>0.10916232821615549</v>
      </c>
      <c r="AH1516" s="2">
        <v>0.10889601330732632</v>
      </c>
      <c r="AI1516" s="2">
        <v>0.10861830395856799</v>
      </c>
      <c r="AJ1516" s="2">
        <v>0.10832946442116981</v>
      </c>
      <c r="AK1516" s="2">
        <v>0.10802973843877248</v>
      </c>
      <c r="AL1516" s="2">
        <v>0.10771934836965716</v>
      </c>
      <c r="AM1516" s="2">
        <v>0.10739849383178018</v>
      </c>
      <c r="AN1516" s="2">
        <v>0.10706734971076907</v>
      </c>
      <c r="AO1516" s="2">
        <v>0.10672606329730089</v>
      </c>
      <c r="AP1516" s="2">
        <v>0.1063747502055587</v>
      </c>
      <c r="AQ1516" s="2">
        <v>0.10601348854128459</v>
      </c>
      <c r="AR1516" s="2">
        <v>2.2609045106552537</v>
      </c>
    </row>
    <row r="1517" spans="1:44" x14ac:dyDescent="0.25">
      <c r="A1517" t="s">
        <v>131</v>
      </c>
      <c r="B1517" t="s">
        <v>230</v>
      </c>
      <c r="C1517" t="s">
        <v>44</v>
      </c>
      <c r="D1517" t="s">
        <v>219</v>
      </c>
      <c r="E1517" t="s">
        <v>145</v>
      </c>
      <c r="F1517" t="s">
        <v>228</v>
      </c>
      <c r="G1517" t="s">
        <v>28</v>
      </c>
      <c r="H1517" t="s">
        <v>136</v>
      </c>
      <c r="I1517" t="s">
        <v>135</v>
      </c>
      <c r="J1517" t="s">
        <v>39</v>
      </c>
      <c r="K1517" t="s">
        <v>28</v>
      </c>
      <c r="L1517">
        <v>0.03</v>
      </c>
      <c r="M1517">
        <v>0</v>
      </c>
      <c r="N1517">
        <v>0.86122751919340645</v>
      </c>
      <c r="O1517">
        <v>3.8595532660352969</v>
      </c>
      <c r="P1517">
        <v>0.99024316795274525</v>
      </c>
      <c r="Q1517">
        <v>3.2626630602848077</v>
      </c>
      <c r="R1517">
        <v>-1.5443835058153661</v>
      </c>
      <c r="S1517" s="2">
        <v>2.2457053558465771E-2</v>
      </c>
      <c r="T1517" s="2">
        <v>3.2935417918784272E-2</v>
      </c>
      <c r="U1517" s="2">
        <v>4.4869548263791366E-2</v>
      </c>
      <c r="V1517" s="2">
        <v>5.8797835987254639E-2</v>
      </c>
      <c r="W1517" s="2">
        <v>7.4043938626853018E-2</v>
      </c>
      <c r="X1517" s="2">
        <v>8.9574904185262982E-2</v>
      </c>
      <c r="Y1517" s="2">
        <v>0.10415510889151267</v>
      </c>
      <c r="Z1517" s="2">
        <v>0.11661908746986818</v>
      </c>
      <c r="AA1517" s="2">
        <v>0.12618029562070213</v>
      </c>
      <c r="AB1517" s="2">
        <v>0.13264027709605686</v>
      </c>
      <c r="AC1517" s="2">
        <v>0.13638315653246566</v>
      </c>
      <c r="AD1517" s="2">
        <v>0.13797295600701315</v>
      </c>
      <c r="AE1517" s="2">
        <v>0.13768374254049628</v>
      </c>
      <c r="AF1517" s="2">
        <v>0.13737907757181655</v>
      </c>
      <c r="AG1517" s="2">
        <v>0.13705936764917301</v>
      </c>
      <c r="AH1517" s="2">
        <v>0.13672499448586531</v>
      </c>
      <c r="AI1517" s="2">
        <v>0.136376314970202</v>
      </c>
      <c r="AJ1517" s="2">
        <v>0.13601366088435765</v>
      </c>
      <c r="AK1517" s="2">
        <v>0.13563733826201432</v>
      </c>
      <c r="AL1517" s="2">
        <v>0.13524762628634729</v>
      </c>
      <c r="AM1517" s="2">
        <v>0.13484477558879066</v>
      </c>
      <c r="AN1517" s="2">
        <v>0.13442900574796562</v>
      </c>
      <c r="AO1517" s="2">
        <v>0.13400050169550004</v>
      </c>
      <c r="AP1517" s="2">
        <v>0.13355940859142368</v>
      </c>
      <c r="AQ1517" s="2">
        <v>0.13310582450183503</v>
      </c>
      <c r="AR1517" s="2">
        <v>2.8386912189338185</v>
      </c>
    </row>
    <row r="1518" spans="1:44" x14ac:dyDescent="0.25">
      <c r="A1518" t="s">
        <v>131</v>
      </c>
      <c r="B1518" t="s">
        <v>226</v>
      </c>
      <c r="C1518" t="s">
        <v>44</v>
      </c>
      <c r="D1518" t="s">
        <v>219</v>
      </c>
      <c r="E1518" t="s">
        <v>145</v>
      </c>
      <c r="F1518" t="s">
        <v>224</v>
      </c>
      <c r="G1518" t="s">
        <v>28</v>
      </c>
      <c r="H1518" t="s">
        <v>55</v>
      </c>
      <c r="I1518" t="s">
        <v>135</v>
      </c>
      <c r="J1518" t="s">
        <v>39</v>
      </c>
      <c r="K1518" t="s">
        <v>28</v>
      </c>
      <c r="L1518">
        <v>0.05</v>
      </c>
      <c r="M1518">
        <v>0</v>
      </c>
      <c r="N1518">
        <v>0.81776863290635349</v>
      </c>
      <c r="O1518">
        <v>3.8703116956820249</v>
      </c>
      <c r="P1518">
        <v>1.1653770988675287</v>
      </c>
      <c r="Q1518">
        <v>3.4456295194441906</v>
      </c>
      <c r="R1518">
        <v>-1.5522160340599644</v>
      </c>
      <c r="S1518" s="2">
        <v>2.407106300158136E-2</v>
      </c>
      <c r="T1518" s="2">
        <v>3.530251720879049E-2</v>
      </c>
      <c r="U1518" s="2">
        <v>4.8094364663571885E-2</v>
      </c>
      <c r="V1518" s="2">
        <v>6.3023691452715511E-2</v>
      </c>
      <c r="W1518" s="2">
        <v>7.9365545748556698E-2</v>
      </c>
      <c r="X1518" s="2">
        <v>9.6012736327613951E-2</v>
      </c>
      <c r="Y1518" s="2">
        <v>0.11164083398282861</v>
      </c>
      <c r="Z1518" s="2">
        <v>0.12500061035905116</v>
      </c>
      <c r="AA1518" s="2">
        <v>0.13524899148219266</v>
      </c>
      <c r="AB1518" s="2">
        <v>0.14217325786814042</v>
      </c>
      <c r="AC1518" s="2">
        <v>0.14618514155032344</v>
      </c>
      <c r="AD1518" s="2">
        <v>0.14788920140003095</v>
      </c>
      <c r="AE1518" s="2">
        <v>0.14757920189117688</v>
      </c>
      <c r="AF1518" s="2">
        <v>0.14725264036624797</v>
      </c>
      <c r="AG1518" s="2">
        <v>0.14690995259244236</v>
      </c>
      <c r="AH1518" s="2">
        <v>0.14655154771715162</v>
      </c>
      <c r="AI1518" s="2">
        <v>0.14617780827858107</v>
      </c>
      <c r="AJ1518" s="2">
        <v>0.14578908990440009</v>
      </c>
      <c r="AK1518" s="2">
        <v>0.14538572062321803</v>
      </c>
      <c r="AL1518" s="2">
        <v>0.14496799968336593</v>
      </c>
      <c r="AM1518" s="2">
        <v>0.14453619572939341</v>
      </c>
      <c r="AN1518" s="2">
        <v>0.14409054412124273</v>
      </c>
      <c r="AO1518" s="2">
        <v>0.14363124308175063</v>
      </c>
      <c r="AP1518" s="2">
        <v>0.14315844820373419</v>
      </c>
      <c r="AQ1518" s="2">
        <v>0.1426722646013939</v>
      </c>
      <c r="AR1518" s="2">
        <v>3.042710611839496</v>
      </c>
    </row>
    <row r="1519" spans="1:44" x14ac:dyDescent="0.25">
      <c r="A1519" t="s">
        <v>131</v>
      </c>
      <c r="B1519" t="s">
        <v>226</v>
      </c>
      <c r="C1519" t="s">
        <v>44</v>
      </c>
      <c r="D1519" t="s">
        <v>219</v>
      </c>
      <c r="E1519" t="s">
        <v>145</v>
      </c>
      <c r="F1519" t="s">
        <v>224</v>
      </c>
      <c r="G1519" t="s">
        <v>28</v>
      </c>
      <c r="H1519" t="s">
        <v>136</v>
      </c>
      <c r="I1519" t="s">
        <v>135</v>
      </c>
      <c r="J1519" t="s">
        <v>39</v>
      </c>
      <c r="K1519" t="s">
        <v>28</v>
      </c>
      <c r="L1519">
        <v>0.05</v>
      </c>
      <c r="M1519">
        <v>0</v>
      </c>
      <c r="N1519">
        <v>0.81776863290635349</v>
      </c>
      <c r="O1519">
        <v>3.8703116956820249</v>
      </c>
      <c r="P1519">
        <v>1.1653770988675287</v>
      </c>
      <c r="Q1519">
        <v>3.4456295194441906</v>
      </c>
      <c r="R1519">
        <v>-1.5522160340599644</v>
      </c>
      <c r="S1519" s="2">
        <v>3.0222556879763263E-2</v>
      </c>
      <c r="T1519" s="2">
        <v>4.4324271606592518E-2</v>
      </c>
      <c r="U1519" s="2">
        <v>6.0385146744262465E-2</v>
      </c>
      <c r="V1519" s="2">
        <v>7.9129745935076157E-2</v>
      </c>
      <c r="W1519" s="2">
        <v>9.9647851884298935E-2</v>
      </c>
      <c r="X1519" s="2">
        <v>0.12054932450022639</v>
      </c>
      <c r="Y1519" s="2">
        <v>0.14017126933399596</v>
      </c>
      <c r="Z1519" s="2">
        <v>0.15694521078414203</v>
      </c>
      <c r="AA1519" s="2">
        <v>0.16981262263875299</v>
      </c>
      <c r="AB1519" s="2">
        <v>0.17850642376777623</v>
      </c>
      <c r="AC1519" s="2">
        <v>0.18354356661318386</v>
      </c>
      <c r="AD1519" s="2">
        <v>0.1856831084244833</v>
      </c>
      <c r="AE1519" s="2">
        <v>0.18529388681892212</v>
      </c>
      <c r="AF1519" s="2">
        <v>0.18488387068206683</v>
      </c>
      <c r="AG1519" s="2">
        <v>0.18445360714384423</v>
      </c>
      <c r="AH1519" s="2">
        <v>0.18400360991153489</v>
      </c>
      <c r="AI1519" s="2">
        <v>0.18353435928310727</v>
      </c>
      <c r="AJ1519" s="2">
        <v>0.18304630176885792</v>
      </c>
      <c r="AK1519" s="2">
        <v>0.18253984922692928</v>
      </c>
      <c r="AL1519" s="2">
        <v>0.18201537738022608</v>
      </c>
      <c r="AM1519" s="2">
        <v>0.18147322352690506</v>
      </c>
      <c r="AN1519" s="2">
        <v>0.18091368317444917</v>
      </c>
      <c r="AO1519" s="2">
        <v>0.18033700520264248</v>
      </c>
      <c r="AP1519" s="2">
        <v>0.17974338496691067</v>
      </c>
      <c r="AQ1519" s="2">
        <v>0.17913295444397231</v>
      </c>
      <c r="AR1519" s="2">
        <v>3.8202922126429217</v>
      </c>
    </row>
    <row r="1520" spans="1:44" x14ac:dyDescent="0.25">
      <c r="A1520" t="s">
        <v>131</v>
      </c>
      <c r="B1520" t="s">
        <v>233</v>
      </c>
      <c r="C1520" t="s">
        <v>44</v>
      </c>
      <c r="D1520" t="s">
        <v>219</v>
      </c>
      <c r="E1520" t="s">
        <v>145</v>
      </c>
      <c r="F1520" t="s">
        <v>232</v>
      </c>
      <c r="G1520" t="s">
        <v>28</v>
      </c>
      <c r="H1520" t="s">
        <v>54</v>
      </c>
      <c r="I1520" t="s">
        <v>135</v>
      </c>
      <c r="J1520" t="s">
        <v>39</v>
      </c>
      <c r="K1520" t="s">
        <v>28</v>
      </c>
      <c r="L1520">
        <v>2.9999999999999985E-2</v>
      </c>
      <c r="M1520">
        <v>1</v>
      </c>
      <c r="N1520">
        <v>1.3425392982815614</v>
      </c>
      <c r="O1520">
        <v>3.8641499143085554</v>
      </c>
      <c r="P1520">
        <v>-0.17696193753835973</v>
      </c>
      <c r="Q1520">
        <v>2.0954632346128963</v>
      </c>
      <c r="R1520">
        <v>-1.5443887856345579</v>
      </c>
      <c r="S1520" s="2">
        <v>0</v>
      </c>
      <c r="T1520" s="2">
        <v>0</v>
      </c>
      <c r="U1520" s="2">
        <v>0</v>
      </c>
      <c r="V1520" s="2">
        <v>0</v>
      </c>
      <c r="W1520" s="2">
        <v>0</v>
      </c>
      <c r="X1520" s="2">
        <v>0</v>
      </c>
      <c r="Y1520" s="2">
        <v>0</v>
      </c>
      <c r="Z1520" s="2">
        <v>0</v>
      </c>
      <c r="AA1520" s="2">
        <v>0</v>
      </c>
      <c r="AB1520" s="2">
        <v>0</v>
      </c>
      <c r="AC1520" s="2">
        <v>0</v>
      </c>
      <c r="AD1520" s="2">
        <v>0</v>
      </c>
      <c r="AE1520" s="2">
        <v>0</v>
      </c>
      <c r="AF1520" s="2">
        <v>0</v>
      </c>
      <c r="AG1520" s="2">
        <v>0</v>
      </c>
      <c r="AH1520" s="2">
        <v>0</v>
      </c>
      <c r="AI1520" s="2">
        <v>0</v>
      </c>
      <c r="AJ1520" s="2">
        <v>0</v>
      </c>
      <c r="AK1520" s="2">
        <v>0</v>
      </c>
      <c r="AL1520" s="2">
        <v>0</v>
      </c>
      <c r="AM1520" s="2">
        <v>0</v>
      </c>
      <c r="AN1520" s="2">
        <v>0</v>
      </c>
      <c r="AO1520" s="2">
        <v>0</v>
      </c>
      <c r="AP1520" s="2">
        <v>0</v>
      </c>
      <c r="AQ1520" s="2">
        <v>0</v>
      </c>
      <c r="AR1520" s="2">
        <v>0</v>
      </c>
    </row>
    <row r="1521" spans="1:44" x14ac:dyDescent="0.25">
      <c r="A1521" t="s">
        <v>131</v>
      </c>
      <c r="B1521" t="s">
        <v>233</v>
      </c>
      <c r="C1521" t="s">
        <v>44</v>
      </c>
      <c r="D1521" t="s">
        <v>219</v>
      </c>
      <c r="E1521" t="s">
        <v>145</v>
      </c>
      <c r="F1521" t="s">
        <v>232</v>
      </c>
      <c r="G1521" t="s">
        <v>28</v>
      </c>
      <c r="H1521" t="s">
        <v>142</v>
      </c>
      <c r="I1521" t="s">
        <v>135</v>
      </c>
      <c r="J1521" t="s">
        <v>39</v>
      </c>
      <c r="K1521" t="s">
        <v>28</v>
      </c>
      <c r="L1521">
        <v>2.9999999999999985E-2</v>
      </c>
      <c r="M1521">
        <v>1</v>
      </c>
      <c r="N1521">
        <v>1.3425392982815614</v>
      </c>
      <c r="O1521">
        <v>3.8641499143085554</v>
      </c>
      <c r="P1521">
        <v>-0.17696193753835973</v>
      </c>
      <c r="Q1521">
        <v>2.0954632346128963</v>
      </c>
      <c r="R1521">
        <v>-1.5443887856345579</v>
      </c>
      <c r="S1521" s="2">
        <v>0</v>
      </c>
      <c r="T1521" s="2">
        <v>0</v>
      </c>
      <c r="U1521" s="2">
        <v>0</v>
      </c>
      <c r="V1521" s="2">
        <v>0</v>
      </c>
      <c r="W1521" s="2">
        <v>0</v>
      </c>
      <c r="X1521" s="2">
        <v>0</v>
      </c>
      <c r="Y1521" s="2">
        <v>0</v>
      </c>
      <c r="Z1521" s="2">
        <v>0</v>
      </c>
      <c r="AA1521" s="2">
        <v>0</v>
      </c>
      <c r="AB1521" s="2">
        <v>0</v>
      </c>
      <c r="AC1521" s="2">
        <v>0</v>
      </c>
      <c r="AD1521" s="2">
        <v>0</v>
      </c>
      <c r="AE1521" s="2">
        <v>0</v>
      </c>
      <c r="AF1521" s="2">
        <v>0</v>
      </c>
      <c r="AG1521" s="2">
        <v>0</v>
      </c>
      <c r="AH1521" s="2">
        <v>0</v>
      </c>
      <c r="AI1521" s="2">
        <v>0</v>
      </c>
      <c r="AJ1521" s="2">
        <v>0</v>
      </c>
      <c r="AK1521" s="2">
        <v>0</v>
      </c>
      <c r="AL1521" s="2">
        <v>0</v>
      </c>
      <c r="AM1521" s="2">
        <v>0</v>
      </c>
      <c r="AN1521" s="2">
        <v>0</v>
      </c>
      <c r="AO1521" s="2">
        <v>0</v>
      </c>
      <c r="AP1521" s="2">
        <v>0</v>
      </c>
      <c r="AQ1521" s="2">
        <v>0</v>
      </c>
      <c r="AR1521" s="2">
        <v>0</v>
      </c>
    </row>
    <row r="1522" spans="1:44" x14ac:dyDescent="0.25">
      <c r="A1522" t="s">
        <v>131</v>
      </c>
      <c r="B1522" t="s">
        <v>233</v>
      </c>
      <c r="C1522" t="s">
        <v>44</v>
      </c>
      <c r="D1522" t="s">
        <v>219</v>
      </c>
      <c r="E1522" t="s">
        <v>145</v>
      </c>
      <c r="F1522" t="s">
        <v>232</v>
      </c>
      <c r="G1522" t="s">
        <v>28</v>
      </c>
      <c r="H1522" t="s">
        <v>53</v>
      </c>
      <c r="I1522" t="s">
        <v>135</v>
      </c>
      <c r="J1522" t="s">
        <v>39</v>
      </c>
      <c r="K1522" t="s">
        <v>28</v>
      </c>
      <c r="L1522">
        <v>2.9999999999999985E-2</v>
      </c>
      <c r="M1522">
        <v>1</v>
      </c>
      <c r="N1522">
        <v>1.3425392982815614</v>
      </c>
      <c r="O1522">
        <v>3.8641499143085554</v>
      </c>
      <c r="P1522">
        <v>-0.17696193753835973</v>
      </c>
      <c r="Q1522">
        <v>2.0954632346128963</v>
      </c>
      <c r="R1522">
        <v>-1.5443887856345579</v>
      </c>
      <c r="S1522" s="2">
        <v>0</v>
      </c>
      <c r="T1522" s="2">
        <v>0</v>
      </c>
      <c r="U1522" s="2">
        <v>2.2861532663506868E-2</v>
      </c>
      <c r="V1522" s="2">
        <v>4.2978344131254627E-2</v>
      </c>
      <c r="W1522" s="2">
        <v>7.3466721788913586E-2</v>
      </c>
      <c r="X1522" s="2">
        <v>0.11705714039899694</v>
      </c>
      <c r="Y1522" s="2">
        <v>0.17623578923398042</v>
      </c>
      <c r="Z1522" s="2">
        <v>0.25278297168258529</v>
      </c>
      <c r="AA1522" s="2">
        <v>0.34722201871453451</v>
      </c>
      <c r="AB1522" s="2">
        <v>0.45827143019353622</v>
      </c>
      <c r="AC1522" s="2">
        <v>0.5824532472350199</v>
      </c>
      <c r="AD1522" s="2">
        <v>0.71404933086931666</v>
      </c>
      <c r="AE1522" s="2">
        <v>0.84557501779111666</v>
      </c>
      <c r="AF1522" s="2">
        <v>0.96882255624094293</v>
      </c>
      <c r="AG1522" s="2">
        <v>1.076319140913639</v>
      </c>
      <c r="AH1522" s="2">
        <v>1.1628150105395343</v>
      </c>
      <c r="AI1522" s="2">
        <v>1.2262937858665357</v>
      </c>
      <c r="AJ1522" s="2">
        <v>1.2715846047787511</v>
      </c>
      <c r="AK1522" s="2">
        <v>1.2944844339287214</v>
      </c>
      <c r="AL1522" s="2">
        <v>1.3118388493968303</v>
      </c>
      <c r="AM1522" s="2">
        <v>1.3131841221459573</v>
      </c>
      <c r="AN1522" s="2">
        <v>1.3091351528695829</v>
      </c>
      <c r="AO1522" s="2">
        <v>1.304962171636042</v>
      </c>
      <c r="AP1522" s="2">
        <v>1.3006665920844289</v>
      </c>
      <c r="AQ1522" s="2">
        <v>1.2962493692301873</v>
      </c>
      <c r="AR1522" s="2">
        <v>18.469309334333914</v>
      </c>
    </row>
    <row r="1523" spans="1:44" x14ac:dyDescent="0.25">
      <c r="A1523" t="s">
        <v>131</v>
      </c>
      <c r="B1523" t="s">
        <v>233</v>
      </c>
      <c r="C1523" t="s">
        <v>44</v>
      </c>
      <c r="D1523" t="s">
        <v>219</v>
      </c>
      <c r="E1523" t="s">
        <v>145</v>
      </c>
      <c r="F1523" t="s">
        <v>232</v>
      </c>
      <c r="G1523" t="s">
        <v>28</v>
      </c>
      <c r="H1523" t="s">
        <v>141</v>
      </c>
      <c r="I1523" t="s">
        <v>135</v>
      </c>
      <c r="J1523" t="s">
        <v>39</v>
      </c>
      <c r="K1523" t="s">
        <v>28</v>
      </c>
      <c r="L1523">
        <v>2.9999999999999985E-2</v>
      </c>
      <c r="M1523">
        <v>1</v>
      </c>
      <c r="N1523">
        <v>1.3425392982815614</v>
      </c>
      <c r="O1523">
        <v>3.8641499143085554</v>
      </c>
      <c r="P1523">
        <v>-0.17696193753835973</v>
      </c>
      <c r="Q1523">
        <v>2.0954632346128963</v>
      </c>
      <c r="R1523">
        <v>-1.5443887856345579</v>
      </c>
      <c r="S1523" s="2">
        <v>0</v>
      </c>
      <c r="T1523" s="2">
        <v>0</v>
      </c>
      <c r="U1523" s="2">
        <v>1.9241789991784945E-2</v>
      </c>
      <c r="V1523" s="2">
        <v>3.6173439643805969E-2</v>
      </c>
      <c r="W1523" s="2">
        <v>6.1834490839002249E-2</v>
      </c>
      <c r="X1523" s="2">
        <v>9.8523093169155709E-2</v>
      </c>
      <c r="Y1523" s="2">
        <v>0.1483317892719335</v>
      </c>
      <c r="Z1523" s="2">
        <v>0.21275900116617588</v>
      </c>
      <c r="AA1523" s="2">
        <v>0.29224519908473306</v>
      </c>
      <c r="AB1523" s="2">
        <v>0.38571178707955966</v>
      </c>
      <c r="AC1523" s="2">
        <v>0.49023148308947495</v>
      </c>
      <c r="AD1523" s="2">
        <v>0.60099152014834123</v>
      </c>
      <c r="AE1523" s="2">
        <v>0.71169230664085625</v>
      </c>
      <c r="AF1523" s="2">
        <v>0.81542565150279356</v>
      </c>
      <c r="AG1523" s="2">
        <v>0.90590194360231291</v>
      </c>
      <c r="AH1523" s="2">
        <v>0.97870263387077461</v>
      </c>
      <c r="AI1523" s="2">
        <v>1.032130603104334</v>
      </c>
      <c r="AJ1523" s="2">
        <v>1.0702503756887818</v>
      </c>
      <c r="AK1523" s="2">
        <v>1.0895243985566736</v>
      </c>
      <c r="AL1523" s="2">
        <v>1.1041310315756647</v>
      </c>
      <c r="AM1523" s="2">
        <v>1.10526330280618</v>
      </c>
      <c r="AN1523" s="2">
        <v>1.1018554203318986</v>
      </c>
      <c r="AO1523" s="2">
        <v>1.0983431611270018</v>
      </c>
      <c r="AP1523" s="2">
        <v>1.0947277150043941</v>
      </c>
      <c r="AQ1523" s="2">
        <v>1.0910098857687409</v>
      </c>
      <c r="AR1523" s="2">
        <v>15.545002023064376</v>
      </c>
    </row>
    <row r="1524" spans="1:44" x14ac:dyDescent="0.25">
      <c r="A1524" t="s">
        <v>131</v>
      </c>
      <c r="B1524" t="s">
        <v>229</v>
      </c>
      <c r="C1524" t="s">
        <v>44</v>
      </c>
      <c r="D1524" t="s">
        <v>219</v>
      </c>
      <c r="E1524" t="s">
        <v>145</v>
      </c>
      <c r="F1524" t="s">
        <v>228</v>
      </c>
      <c r="G1524" t="s">
        <v>28</v>
      </c>
      <c r="H1524" t="s">
        <v>54</v>
      </c>
      <c r="I1524" t="s">
        <v>135</v>
      </c>
      <c r="J1524" t="s">
        <v>39</v>
      </c>
      <c r="K1524" t="s">
        <v>28</v>
      </c>
      <c r="L1524">
        <v>0.03</v>
      </c>
      <c r="M1524">
        <v>0</v>
      </c>
      <c r="N1524">
        <v>0.86223702684315151</v>
      </c>
      <c r="O1524">
        <v>3.8640773301877118</v>
      </c>
      <c r="P1524">
        <v>0.9902907320146096</v>
      </c>
      <c r="Q1524">
        <v>3.262663060284809</v>
      </c>
      <c r="R1524">
        <v>-1.544335941753501</v>
      </c>
      <c r="S1524" s="2">
        <v>0</v>
      </c>
      <c r="T1524" s="2">
        <v>0</v>
      </c>
      <c r="U1524" s="2">
        <v>0</v>
      </c>
      <c r="V1524" s="2">
        <v>0</v>
      </c>
      <c r="W1524" s="2">
        <v>0</v>
      </c>
      <c r="X1524" s="2">
        <v>0</v>
      </c>
      <c r="Y1524" s="2">
        <v>0</v>
      </c>
      <c r="Z1524" s="2">
        <v>0</v>
      </c>
      <c r="AA1524" s="2">
        <v>0</v>
      </c>
      <c r="AB1524" s="2">
        <v>0</v>
      </c>
      <c r="AC1524" s="2">
        <v>0</v>
      </c>
      <c r="AD1524" s="2">
        <v>0</v>
      </c>
      <c r="AE1524" s="2">
        <v>0</v>
      </c>
      <c r="AF1524" s="2">
        <v>0</v>
      </c>
      <c r="AG1524" s="2">
        <v>0</v>
      </c>
      <c r="AH1524" s="2">
        <v>0</v>
      </c>
      <c r="AI1524" s="2">
        <v>0</v>
      </c>
      <c r="AJ1524" s="2">
        <v>0</v>
      </c>
      <c r="AK1524" s="2">
        <v>0</v>
      </c>
      <c r="AL1524" s="2">
        <v>0</v>
      </c>
      <c r="AM1524" s="2">
        <v>0</v>
      </c>
      <c r="AN1524" s="2">
        <v>0</v>
      </c>
      <c r="AO1524" s="2">
        <v>0</v>
      </c>
      <c r="AP1524" s="2">
        <v>0</v>
      </c>
      <c r="AQ1524" s="2">
        <v>0</v>
      </c>
      <c r="AR1524" s="2">
        <v>0</v>
      </c>
    </row>
    <row r="1525" spans="1:44" x14ac:dyDescent="0.25">
      <c r="A1525" t="s">
        <v>131</v>
      </c>
      <c r="B1525" t="s">
        <v>229</v>
      </c>
      <c r="C1525" t="s">
        <v>44</v>
      </c>
      <c r="D1525" t="s">
        <v>219</v>
      </c>
      <c r="E1525" t="s">
        <v>145</v>
      </c>
      <c r="F1525" t="s">
        <v>228</v>
      </c>
      <c r="G1525" t="s">
        <v>28</v>
      </c>
      <c r="H1525" t="s">
        <v>142</v>
      </c>
      <c r="I1525" t="s">
        <v>135</v>
      </c>
      <c r="J1525" t="s">
        <v>39</v>
      </c>
      <c r="K1525" t="s">
        <v>28</v>
      </c>
      <c r="L1525">
        <v>0.03</v>
      </c>
      <c r="M1525">
        <v>0</v>
      </c>
      <c r="N1525">
        <v>0.86223702684315151</v>
      </c>
      <c r="O1525">
        <v>3.8640773301877118</v>
      </c>
      <c r="P1525">
        <v>0.9902907320146096</v>
      </c>
      <c r="Q1525">
        <v>3.262663060284809</v>
      </c>
      <c r="R1525">
        <v>-1.544335941753501</v>
      </c>
      <c r="S1525" s="2">
        <v>0</v>
      </c>
      <c r="T1525" s="2">
        <v>0</v>
      </c>
      <c r="U1525" s="2">
        <v>0</v>
      </c>
      <c r="V1525" s="2">
        <v>0</v>
      </c>
      <c r="W1525" s="2">
        <v>0</v>
      </c>
      <c r="X1525" s="2">
        <v>0</v>
      </c>
      <c r="Y1525" s="2">
        <v>0</v>
      </c>
      <c r="Z1525" s="2">
        <v>0</v>
      </c>
      <c r="AA1525" s="2">
        <v>0</v>
      </c>
      <c r="AB1525" s="2">
        <v>0</v>
      </c>
      <c r="AC1525" s="2">
        <v>0</v>
      </c>
      <c r="AD1525" s="2">
        <v>0</v>
      </c>
      <c r="AE1525" s="2">
        <v>0</v>
      </c>
      <c r="AF1525" s="2">
        <v>0</v>
      </c>
      <c r="AG1525" s="2">
        <v>0</v>
      </c>
      <c r="AH1525" s="2">
        <v>0</v>
      </c>
      <c r="AI1525" s="2">
        <v>0</v>
      </c>
      <c r="AJ1525" s="2">
        <v>0</v>
      </c>
      <c r="AK1525" s="2">
        <v>0</v>
      </c>
      <c r="AL1525" s="2">
        <v>0</v>
      </c>
      <c r="AM1525" s="2">
        <v>0</v>
      </c>
      <c r="AN1525" s="2">
        <v>0</v>
      </c>
      <c r="AO1525" s="2">
        <v>0</v>
      </c>
      <c r="AP1525" s="2">
        <v>0</v>
      </c>
      <c r="AQ1525" s="2">
        <v>0</v>
      </c>
      <c r="AR1525" s="2">
        <v>0</v>
      </c>
    </row>
    <row r="1526" spans="1:44" x14ac:dyDescent="0.25">
      <c r="A1526" t="s">
        <v>131</v>
      </c>
      <c r="B1526" t="s">
        <v>229</v>
      </c>
      <c r="C1526" t="s">
        <v>44</v>
      </c>
      <c r="D1526" t="s">
        <v>219</v>
      </c>
      <c r="E1526" t="s">
        <v>145</v>
      </c>
      <c r="F1526" t="s">
        <v>228</v>
      </c>
      <c r="G1526" t="s">
        <v>28</v>
      </c>
      <c r="H1526" t="s">
        <v>53</v>
      </c>
      <c r="I1526" t="s">
        <v>135</v>
      </c>
      <c r="J1526" t="s">
        <v>39</v>
      </c>
      <c r="K1526" t="s">
        <v>28</v>
      </c>
      <c r="L1526">
        <v>0.03</v>
      </c>
      <c r="M1526">
        <v>0</v>
      </c>
      <c r="N1526">
        <v>0.86223702684315151</v>
      </c>
      <c r="O1526">
        <v>3.8640773301877118</v>
      </c>
      <c r="P1526">
        <v>0.9902907320146096</v>
      </c>
      <c r="Q1526">
        <v>3.262663060284809</v>
      </c>
      <c r="R1526">
        <v>-1.544335941753501</v>
      </c>
      <c r="S1526" s="2">
        <v>0.46973743963842268</v>
      </c>
      <c r="T1526" s="2">
        <v>0.68891490356529672</v>
      </c>
      <c r="U1526" s="2">
        <v>0.93854283529641858</v>
      </c>
      <c r="V1526" s="2">
        <v>1.2298828455401265</v>
      </c>
      <c r="W1526" s="2">
        <v>1.5487877811205901</v>
      </c>
      <c r="X1526" s="2">
        <v>1.873651235603905</v>
      </c>
      <c r="Y1526" s="2">
        <v>2.1786274877327583</v>
      </c>
      <c r="Z1526" s="2">
        <v>2.439338331649223</v>
      </c>
      <c r="AA1526" s="2">
        <v>2.6393315063963025</v>
      </c>
      <c r="AB1526" s="2">
        <v>2.7744558739115965</v>
      </c>
      <c r="AC1526" s="2">
        <v>2.8527462248143389</v>
      </c>
      <c r="AD1526" s="2">
        <v>2.8860002905255073</v>
      </c>
      <c r="AE1526" s="2">
        <v>2.8799507705866207</v>
      </c>
      <c r="AF1526" s="2">
        <v>2.8735780493405962</v>
      </c>
      <c r="AG1526" s="2">
        <v>2.8668906306149564</v>
      </c>
      <c r="AH1526" s="2">
        <v>2.8598964987620379</v>
      </c>
      <c r="AI1526" s="2">
        <v>2.852603118866246</v>
      </c>
      <c r="AJ1526" s="2">
        <v>2.8450174308633454</v>
      </c>
      <c r="AK1526" s="2">
        <v>2.8371458361041597</v>
      </c>
      <c r="AL1526" s="2">
        <v>2.8289941743035754</v>
      </c>
      <c r="AM1526" s="2">
        <v>2.8205676879555699</v>
      </c>
      <c r="AN1526" s="2">
        <v>2.8118709700179494</v>
      </c>
      <c r="AO1526" s="2">
        <v>2.8029078887323364</v>
      </c>
      <c r="AP1526" s="2">
        <v>2.7936814804320869</v>
      </c>
      <c r="AQ1526" s="2">
        <v>2.7841937963799741</v>
      </c>
      <c r="AR1526" s="2">
        <v>59.377315088753946</v>
      </c>
    </row>
    <row r="1527" spans="1:44" x14ac:dyDescent="0.25">
      <c r="A1527" t="s">
        <v>131</v>
      </c>
      <c r="B1527" t="s">
        <v>229</v>
      </c>
      <c r="C1527" t="s">
        <v>44</v>
      </c>
      <c r="D1527" t="s">
        <v>219</v>
      </c>
      <c r="E1527" t="s">
        <v>145</v>
      </c>
      <c r="F1527" t="s">
        <v>228</v>
      </c>
      <c r="G1527" t="s">
        <v>28</v>
      </c>
      <c r="H1527" t="s">
        <v>141</v>
      </c>
      <c r="I1527" t="s">
        <v>135</v>
      </c>
      <c r="J1527" t="s">
        <v>39</v>
      </c>
      <c r="K1527" t="s">
        <v>28</v>
      </c>
      <c r="L1527">
        <v>0.03</v>
      </c>
      <c r="M1527">
        <v>0</v>
      </c>
      <c r="N1527">
        <v>0.86223702684315151</v>
      </c>
      <c r="O1527">
        <v>3.8640773301877118</v>
      </c>
      <c r="P1527">
        <v>0.9902907320146096</v>
      </c>
      <c r="Q1527">
        <v>3.262663060284809</v>
      </c>
      <c r="R1527">
        <v>-1.544335941753501</v>
      </c>
      <c r="S1527" s="2">
        <v>0.3953623450290058</v>
      </c>
      <c r="T1527" s="2">
        <v>0.57983671050079122</v>
      </c>
      <c r="U1527" s="2">
        <v>0.78994021970781902</v>
      </c>
      <c r="V1527" s="2">
        <v>1.0351513949962727</v>
      </c>
      <c r="W1527" s="2">
        <v>1.3035630491098298</v>
      </c>
      <c r="X1527" s="2">
        <v>1.5769897899666199</v>
      </c>
      <c r="Y1527" s="2">
        <v>1.8336781355084044</v>
      </c>
      <c r="Z1527" s="2">
        <v>2.0531097624714287</v>
      </c>
      <c r="AA1527" s="2">
        <v>2.2214373512168875</v>
      </c>
      <c r="AB1527" s="2">
        <v>2.3351670272089269</v>
      </c>
      <c r="AC1527" s="2">
        <v>2.4010614058854016</v>
      </c>
      <c r="AD1527" s="2">
        <v>2.4290502445256346</v>
      </c>
      <c r="AE1527" s="2">
        <v>2.4239585652437388</v>
      </c>
      <c r="AF1527" s="2">
        <v>2.4185948581950014</v>
      </c>
      <c r="AG1527" s="2">
        <v>2.4129662807675882</v>
      </c>
      <c r="AH1527" s="2">
        <v>2.4070795531247149</v>
      </c>
      <c r="AI1527" s="2">
        <v>2.4009409583790902</v>
      </c>
      <c r="AJ1527" s="2">
        <v>2.3945563376433152</v>
      </c>
      <c r="AK1527" s="2">
        <v>2.3879310787210013</v>
      </c>
      <c r="AL1527" s="2">
        <v>2.3810700967055083</v>
      </c>
      <c r="AM1527" s="2">
        <v>2.3739778040292712</v>
      </c>
      <c r="AN1527" s="2">
        <v>2.3666580664317731</v>
      </c>
      <c r="AO1527" s="2">
        <v>2.3591141396830491</v>
      </c>
      <c r="AP1527" s="2">
        <v>2.3513485793636733</v>
      </c>
      <c r="AQ1527" s="2">
        <v>2.3433631119531446</v>
      </c>
      <c r="AR1527" s="2">
        <v>49.975906866367893</v>
      </c>
    </row>
    <row r="1528" spans="1:44" x14ac:dyDescent="0.25">
      <c r="A1528" t="s">
        <v>131</v>
      </c>
      <c r="B1528" t="s">
        <v>225</v>
      </c>
      <c r="C1528" t="s">
        <v>44</v>
      </c>
      <c r="D1528" t="s">
        <v>219</v>
      </c>
      <c r="E1528" t="s">
        <v>145</v>
      </c>
      <c r="F1528" t="s">
        <v>224</v>
      </c>
      <c r="G1528" t="s">
        <v>28</v>
      </c>
      <c r="H1528" t="s">
        <v>54</v>
      </c>
      <c r="I1528" t="s">
        <v>135</v>
      </c>
      <c r="J1528" t="s">
        <v>39</v>
      </c>
      <c r="K1528" t="s">
        <v>28</v>
      </c>
      <c r="L1528">
        <v>0.05</v>
      </c>
      <c r="M1528">
        <v>0</v>
      </c>
      <c r="N1528">
        <v>0.8187234303314348</v>
      </c>
      <c r="O1528">
        <v>3.8748305332756865</v>
      </c>
      <c r="P1528">
        <v>1.1654284680543423</v>
      </c>
      <c r="Q1528">
        <v>3.4456295194441906</v>
      </c>
      <c r="R1528">
        <v>-1.5521646648731502</v>
      </c>
      <c r="S1528" s="2">
        <v>0</v>
      </c>
      <c r="T1528" s="2">
        <v>0</v>
      </c>
      <c r="U1528" s="2">
        <v>0</v>
      </c>
      <c r="V1528" s="2">
        <v>0</v>
      </c>
      <c r="W1528" s="2">
        <v>0</v>
      </c>
      <c r="X1528" s="2">
        <v>0</v>
      </c>
      <c r="Y1528" s="2">
        <v>0</v>
      </c>
      <c r="Z1528" s="2">
        <v>0</v>
      </c>
      <c r="AA1528" s="2">
        <v>0</v>
      </c>
      <c r="AB1528" s="2">
        <v>0</v>
      </c>
      <c r="AC1528" s="2">
        <v>0</v>
      </c>
      <c r="AD1528" s="2">
        <v>0</v>
      </c>
      <c r="AE1528" s="2">
        <v>0</v>
      </c>
      <c r="AF1528" s="2">
        <v>0</v>
      </c>
      <c r="AG1528" s="2">
        <v>0</v>
      </c>
      <c r="AH1528" s="2">
        <v>0</v>
      </c>
      <c r="AI1528" s="2">
        <v>0</v>
      </c>
      <c r="AJ1528" s="2">
        <v>0</v>
      </c>
      <c r="AK1528" s="2">
        <v>0</v>
      </c>
      <c r="AL1528" s="2">
        <v>0</v>
      </c>
      <c r="AM1528" s="2">
        <v>0</v>
      </c>
      <c r="AN1528" s="2">
        <v>0</v>
      </c>
      <c r="AO1528" s="2">
        <v>0</v>
      </c>
      <c r="AP1528" s="2">
        <v>0</v>
      </c>
      <c r="AQ1528" s="2">
        <v>0</v>
      </c>
      <c r="AR1528" s="2">
        <v>0</v>
      </c>
    </row>
    <row r="1529" spans="1:44" x14ac:dyDescent="0.25">
      <c r="A1529" t="s">
        <v>131</v>
      </c>
      <c r="B1529" t="s">
        <v>225</v>
      </c>
      <c r="C1529" t="s">
        <v>44</v>
      </c>
      <c r="D1529" t="s">
        <v>219</v>
      </c>
      <c r="E1529" t="s">
        <v>145</v>
      </c>
      <c r="F1529" t="s">
        <v>224</v>
      </c>
      <c r="G1529" t="s">
        <v>28</v>
      </c>
      <c r="H1529" t="s">
        <v>142</v>
      </c>
      <c r="I1529" t="s">
        <v>135</v>
      </c>
      <c r="J1529" t="s">
        <v>39</v>
      </c>
      <c r="K1529" t="s">
        <v>28</v>
      </c>
      <c r="L1529">
        <v>0.05</v>
      </c>
      <c r="M1529">
        <v>0</v>
      </c>
      <c r="N1529">
        <v>0.8187234303314348</v>
      </c>
      <c r="O1529">
        <v>3.8748305332756865</v>
      </c>
      <c r="P1529">
        <v>1.1654284680543423</v>
      </c>
      <c r="Q1529">
        <v>3.4456295194441906</v>
      </c>
      <c r="R1529">
        <v>-1.5521646648731502</v>
      </c>
      <c r="S1529" s="2">
        <v>0</v>
      </c>
      <c r="T1529" s="2">
        <v>0</v>
      </c>
      <c r="U1529" s="2">
        <v>0</v>
      </c>
      <c r="V1529" s="2">
        <v>0</v>
      </c>
      <c r="W1529" s="2">
        <v>0</v>
      </c>
      <c r="X1529" s="2">
        <v>0</v>
      </c>
      <c r="Y1529" s="2">
        <v>0</v>
      </c>
      <c r="Z1529" s="2">
        <v>0</v>
      </c>
      <c r="AA1529" s="2">
        <v>0</v>
      </c>
      <c r="AB1529" s="2">
        <v>0</v>
      </c>
      <c r="AC1529" s="2">
        <v>0</v>
      </c>
      <c r="AD1529" s="2">
        <v>0</v>
      </c>
      <c r="AE1529" s="2">
        <v>0</v>
      </c>
      <c r="AF1529" s="2">
        <v>0</v>
      </c>
      <c r="AG1529" s="2">
        <v>0</v>
      </c>
      <c r="AH1529" s="2">
        <v>0</v>
      </c>
      <c r="AI1529" s="2">
        <v>0</v>
      </c>
      <c r="AJ1529" s="2">
        <v>0</v>
      </c>
      <c r="AK1529" s="2">
        <v>0</v>
      </c>
      <c r="AL1529" s="2">
        <v>0</v>
      </c>
      <c r="AM1529" s="2">
        <v>0</v>
      </c>
      <c r="AN1529" s="2">
        <v>0</v>
      </c>
      <c r="AO1529" s="2">
        <v>0</v>
      </c>
      <c r="AP1529" s="2">
        <v>0</v>
      </c>
      <c r="AQ1529" s="2">
        <v>0</v>
      </c>
      <c r="AR1529" s="2">
        <v>0</v>
      </c>
    </row>
    <row r="1530" spans="1:44" x14ac:dyDescent="0.25">
      <c r="A1530" t="s">
        <v>131</v>
      </c>
      <c r="B1530" t="s">
        <v>225</v>
      </c>
      <c r="C1530" t="s">
        <v>44</v>
      </c>
      <c r="D1530" t="s">
        <v>219</v>
      </c>
      <c r="E1530" t="s">
        <v>145</v>
      </c>
      <c r="F1530" t="s">
        <v>224</v>
      </c>
      <c r="G1530" t="s">
        <v>28</v>
      </c>
      <c r="H1530" t="s">
        <v>53</v>
      </c>
      <c r="I1530" t="s">
        <v>135</v>
      </c>
      <c r="J1530" t="s">
        <v>39</v>
      </c>
      <c r="K1530" t="s">
        <v>28</v>
      </c>
      <c r="L1530">
        <v>0.05</v>
      </c>
      <c r="M1530">
        <v>0</v>
      </c>
      <c r="N1530">
        <v>0.8187234303314348</v>
      </c>
      <c r="O1530">
        <v>3.8748305332756865</v>
      </c>
      <c r="P1530">
        <v>1.1654284680543423</v>
      </c>
      <c r="Q1530">
        <v>3.4456295194441906</v>
      </c>
      <c r="R1530">
        <v>-1.5521646648731502</v>
      </c>
      <c r="S1530" s="2">
        <v>0.6321803159517303</v>
      </c>
      <c r="T1530" s="2">
        <v>0.92715292554709405</v>
      </c>
      <c r="U1530" s="2">
        <v>1.2631062718965587</v>
      </c>
      <c r="V1530" s="2">
        <v>1.6551964145665117</v>
      </c>
      <c r="W1530" s="2">
        <v>2.0843838838238229</v>
      </c>
      <c r="X1530" s="2">
        <v>2.5215904251089212</v>
      </c>
      <c r="Y1530" s="2">
        <v>2.9320324447550439</v>
      </c>
      <c r="Z1530" s="2">
        <v>3.2829013552809316</v>
      </c>
      <c r="AA1530" s="2">
        <v>3.5520554352646738</v>
      </c>
      <c r="AB1530" s="2">
        <v>3.7339080153237596</v>
      </c>
      <c r="AC1530" s="2">
        <v>3.8392724478624247</v>
      </c>
      <c r="AD1530" s="2">
        <v>3.8840263124556911</v>
      </c>
      <c r="AE1530" s="2">
        <v>3.8758847697477781</v>
      </c>
      <c r="AF1530" s="2">
        <v>3.8673082574436175</v>
      </c>
      <c r="AG1530" s="2">
        <v>3.8583082201331353</v>
      </c>
      <c r="AH1530" s="2">
        <v>3.8488954032880702</v>
      </c>
      <c r="AI1530" s="2">
        <v>3.8390798535409032</v>
      </c>
      <c r="AJ1530" s="2">
        <v>3.8288709107704988</v>
      </c>
      <c r="AK1530" s="2">
        <v>3.818277190019316</v>
      </c>
      <c r="AL1530" s="2">
        <v>3.807306550470992</v>
      </c>
      <c r="AM1530" s="2">
        <v>3.7959660475595243</v>
      </c>
      <c r="AN1530" s="2">
        <v>3.7842618625625173</v>
      </c>
      <c r="AO1530" s="2">
        <v>3.7721992014227079</v>
      </c>
      <c r="AP1530" s="2">
        <v>3.7597821504871036</v>
      </c>
      <c r="AQ1530" s="2">
        <v>3.747013470378632</v>
      </c>
      <c r="AR1530" s="2">
        <v>79.910960135661966</v>
      </c>
    </row>
    <row r="1531" spans="1:44" x14ac:dyDescent="0.25">
      <c r="A1531" t="s">
        <v>131</v>
      </c>
      <c r="B1531" t="s">
        <v>225</v>
      </c>
      <c r="C1531" t="s">
        <v>44</v>
      </c>
      <c r="D1531" t="s">
        <v>219</v>
      </c>
      <c r="E1531" t="s">
        <v>145</v>
      </c>
      <c r="F1531" t="s">
        <v>224</v>
      </c>
      <c r="G1531" t="s">
        <v>28</v>
      </c>
      <c r="H1531" t="s">
        <v>141</v>
      </c>
      <c r="I1531" t="s">
        <v>135</v>
      </c>
      <c r="J1531" t="s">
        <v>39</v>
      </c>
      <c r="K1531" t="s">
        <v>28</v>
      </c>
      <c r="L1531">
        <v>0.05</v>
      </c>
      <c r="M1531">
        <v>0</v>
      </c>
      <c r="N1531">
        <v>0.8187234303314348</v>
      </c>
      <c r="O1531">
        <v>3.8748305332756865</v>
      </c>
      <c r="P1531">
        <v>1.1654284680543423</v>
      </c>
      <c r="Q1531">
        <v>3.4456295194441906</v>
      </c>
      <c r="R1531">
        <v>-1.5521646648731502</v>
      </c>
      <c r="S1531" s="2">
        <v>0.53208509925937297</v>
      </c>
      <c r="T1531" s="2">
        <v>0.78035371233547079</v>
      </c>
      <c r="U1531" s="2">
        <v>1.0631144455129364</v>
      </c>
      <c r="V1531" s="2">
        <v>1.3931236489268133</v>
      </c>
      <c r="W1531" s="2">
        <v>1.7543564355517169</v>
      </c>
      <c r="X1531" s="2">
        <v>2.1223386078000086</v>
      </c>
      <c r="Y1531" s="2">
        <v>2.4677939743354953</v>
      </c>
      <c r="Z1531" s="2">
        <v>2.7631086406947833</v>
      </c>
      <c r="AA1531" s="2">
        <v>2.9896466580144323</v>
      </c>
      <c r="AB1531" s="2">
        <v>3.1427059128974979</v>
      </c>
      <c r="AC1531" s="2">
        <v>3.2313876436175399</v>
      </c>
      <c r="AD1531" s="2">
        <v>3.2690554796502065</v>
      </c>
      <c r="AE1531" s="2">
        <v>3.2622030145377132</v>
      </c>
      <c r="AF1531" s="2">
        <v>3.2549844500150451</v>
      </c>
      <c r="AG1531" s="2">
        <v>3.247409418612055</v>
      </c>
      <c r="AH1531" s="2">
        <v>3.2394869644341258</v>
      </c>
      <c r="AI1531" s="2">
        <v>3.2312255433969268</v>
      </c>
      <c r="AJ1531" s="2">
        <v>3.2226330165651698</v>
      </c>
      <c r="AK1531" s="2">
        <v>3.2137166349329229</v>
      </c>
      <c r="AL1531" s="2">
        <v>3.2044830133130833</v>
      </c>
      <c r="AM1531" s="2">
        <v>3.194938090029265</v>
      </c>
      <c r="AN1531" s="2">
        <v>3.1850870676567853</v>
      </c>
      <c r="AO1531" s="2">
        <v>3.1749343278641127</v>
      </c>
      <c r="AP1531" s="2">
        <v>3.1644833099933121</v>
      </c>
      <c r="AQ1531" s="2">
        <v>3.1537363375686822</v>
      </c>
      <c r="AR1531" s="2">
        <v>67.258391447515478</v>
      </c>
    </row>
    <row r="1532" spans="1:44" x14ac:dyDescent="0.25">
      <c r="A1532" t="s">
        <v>131</v>
      </c>
      <c r="B1532" t="s">
        <v>218</v>
      </c>
      <c r="C1532" t="s">
        <v>44</v>
      </c>
      <c r="D1532" t="s">
        <v>219</v>
      </c>
      <c r="E1532" t="s">
        <v>134</v>
      </c>
      <c r="F1532" t="s">
        <v>220</v>
      </c>
      <c r="G1532" t="s">
        <v>28</v>
      </c>
      <c r="H1532" t="s">
        <v>54</v>
      </c>
      <c r="I1532" t="s">
        <v>135</v>
      </c>
      <c r="J1532" t="s">
        <v>39</v>
      </c>
      <c r="K1532" t="s">
        <v>28</v>
      </c>
      <c r="L1532">
        <v>0.83199999999999996</v>
      </c>
      <c r="M1532">
        <v>1</v>
      </c>
      <c r="N1532">
        <v>6.8929062695560539</v>
      </c>
      <c r="O1532">
        <v>3.766303314129376</v>
      </c>
      <c r="P1532">
        <v>-1.8033881638395048</v>
      </c>
      <c r="Q1532">
        <v>0.39780112308435872</v>
      </c>
      <c r="R1532">
        <v>-1.4731529004071653</v>
      </c>
      <c r="S1532" s="2">
        <v>0</v>
      </c>
      <c r="T1532" s="2">
        <v>0</v>
      </c>
      <c r="U1532" s="2">
        <v>0</v>
      </c>
      <c r="V1532" s="2">
        <v>0</v>
      </c>
      <c r="W1532" s="2">
        <v>0</v>
      </c>
      <c r="X1532" s="2">
        <v>0</v>
      </c>
      <c r="Y1532" s="2">
        <v>0</v>
      </c>
      <c r="Z1532" s="2">
        <v>0</v>
      </c>
      <c r="AA1532" s="2">
        <v>0</v>
      </c>
      <c r="AB1532" s="2">
        <v>0</v>
      </c>
      <c r="AC1532" s="2">
        <v>0</v>
      </c>
      <c r="AD1532" s="2">
        <v>0</v>
      </c>
      <c r="AE1532" s="2">
        <v>0</v>
      </c>
      <c r="AF1532" s="2">
        <v>0</v>
      </c>
      <c r="AG1532" s="2">
        <v>0</v>
      </c>
      <c r="AH1532" s="2">
        <v>0</v>
      </c>
      <c r="AI1532" s="2">
        <v>0</v>
      </c>
      <c r="AJ1532" s="2">
        <v>0</v>
      </c>
      <c r="AK1532" s="2">
        <v>0</v>
      </c>
      <c r="AL1532" s="2">
        <v>0</v>
      </c>
      <c r="AM1532" s="2">
        <v>0</v>
      </c>
      <c r="AN1532" s="2">
        <v>0</v>
      </c>
      <c r="AO1532" s="2">
        <v>0</v>
      </c>
      <c r="AP1532" s="2">
        <v>0</v>
      </c>
      <c r="AQ1532" s="2">
        <v>0</v>
      </c>
      <c r="AR1532" s="2">
        <v>0</v>
      </c>
    </row>
    <row r="1533" spans="1:44" x14ac:dyDescent="0.25">
      <c r="A1533" t="s">
        <v>131</v>
      </c>
      <c r="B1533" t="s">
        <v>218</v>
      </c>
      <c r="C1533" t="s">
        <v>44</v>
      </c>
      <c r="D1533" t="s">
        <v>219</v>
      </c>
      <c r="E1533" t="s">
        <v>134</v>
      </c>
      <c r="F1533" t="s">
        <v>220</v>
      </c>
      <c r="G1533" t="s">
        <v>28</v>
      </c>
      <c r="H1533" t="s">
        <v>142</v>
      </c>
      <c r="I1533" t="s">
        <v>135</v>
      </c>
      <c r="J1533" t="s">
        <v>39</v>
      </c>
      <c r="K1533" t="s">
        <v>28</v>
      </c>
      <c r="L1533">
        <v>0.83199999999999996</v>
      </c>
      <c r="M1533">
        <v>1</v>
      </c>
      <c r="N1533">
        <v>6.8929062695560539</v>
      </c>
      <c r="O1533">
        <v>3.766303314129376</v>
      </c>
      <c r="P1533">
        <v>-1.8033881638395048</v>
      </c>
      <c r="Q1533">
        <v>0.39780112308435872</v>
      </c>
      <c r="R1533">
        <v>-1.4731529004071653</v>
      </c>
      <c r="S1533" s="2">
        <v>0</v>
      </c>
      <c r="T1533" s="2">
        <v>0</v>
      </c>
      <c r="U1533" s="2">
        <v>0</v>
      </c>
      <c r="V1533" s="2">
        <v>0</v>
      </c>
      <c r="W1533" s="2">
        <v>0</v>
      </c>
      <c r="X1533" s="2">
        <v>0</v>
      </c>
      <c r="Y1533" s="2">
        <v>0</v>
      </c>
      <c r="Z1533" s="2">
        <v>0</v>
      </c>
      <c r="AA1533" s="2">
        <v>0</v>
      </c>
      <c r="AB1533" s="2">
        <v>0</v>
      </c>
      <c r="AC1533" s="2">
        <v>0</v>
      </c>
      <c r="AD1533" s="2">
        <v>0</v>
      </c>
      <c r="AE1533" s="2">
        <v>0</v>
      </c>
      <c r="AF1533" s="2">
        <v>0</v>
      </c>
      <c r="AG1533" s="2">
        <v>0</v>
      </c>
      <c r="AH1533" s="2">
        <v>0</v>
      </c>
      <c r="AI1533" s="2">
        <v>0</v>
      </c>
      <c r="AJ1533" s="2">
        <v>0</v>
      </c>
      <c r="AK1533" s="2">
        <v>0</v>
      </c>
      <c r="AL1533" s="2">
        <v>0</v>
      </c>
      <c r="AM1533" s="2">
        <v>0</v>
      </c>
      <c r="AN1533" s="2">
        <v>0</v>
      </c>
      <c r="AO1533" s="2">
        <v>0</v>
      </c>
      <c r="AP1533" s="2">
        <v>0</v>
      </c>
      <c r="AQ1533" s="2">
        <v>0</v>
      </c>
      <c r="AR1533" s="2">
        <v>0</v>
      </c>
    </row>
    <row r="1534" spans="1:44" x14ac:dyDescent="0.25">
      <c r="A1534" t="s">
        <v>131</v>
      </c>
      <c r="B1534" t="s">
        <v>221</v>
      </c>
      <c r="C1534" t="s">
        <v>44</v>
      </c>
      <c r="D1534" t="s">
        <v>219</v>
      </c>
      <c r="E1534" t="s">
        <v>134</v>
      </c>
      <c r="F1534" t="s">
        <v>222</v>
      </c>
      <c r="G1534" t="s">
        <v>28</v>
      </c>
      <c r="H1534" t="s">
        <v>54</v>
      </c>
      <c r="I1534" t="s">
        <v>135</v>
      </c>
      <c r="J1534" t="s">
        <v>39</v>
      </c>
      <c r="K1534" t="s">
        <v>28</v>
      </c>
      <c r="L1534">
        <v>0.92</v>
      </c>
      <c r="M1534">
        <v>1</v>
      </c>
      <c r="N1534">
        <v>2.4003812396329649</v>
      </c>
      <c r="O1534">
        <v>3.7664803239001072</v>
      </c>
      <c r="P1534">
        <v>-1.0589434871448775</v>
      </c>
      <c r="Q1534">
        <v>1.1423746693328465</v>
      </c>
      <c r="R1534">
        <v>-1.4732817699610261</v>
      </c>
      <c r="S1534" s="2">
        <v>0</v>
      </c>
      <c r="T1534" s="2">
        <v>0</v>
      </c>
      <c r="U1534" s="2">
        <v>0</v>
      </c>
      <c r="V1534" s="2">
        <v>0</v>
      </c>
      <c r="W1534" s="2">
        <v>0</v>
      </c>
      <c r="X1534" s="2">
        <v>0</v>
      </c>
      <c r="Y1534" s="2">
        <v>0</v>
      </c>
      <c r="Z1534" s="2">
        <v>0</v>
      </c>
      <c r="AA1534" s="2">
        <v>0</v>
      </c>
      <c r="AB1534" s="2">
        <v>0</v>
      </c>
      <c r="AC1534" s="2">
        <v>0</v>
      </c>
      <c r="AD1534" s="2">
        <v>0</v>
      </c>
      <c r="AE1534" s="2">
        <v>0</v>
      </c>
      <c r="AF1534" s="2">
        <v>0</v>
      </c>
      <c r="AG1534" s="2">
        <v>0</v>
      </c>
      <c r="AH1534" s="2">
        <v>0</v>
      </c>
      <c r="AI1534" s="2">
        <v>0</v>
      </c>
      <c r="AJ1534" s="2">
        <v>0</v>
      </c>
      <c r="AK1534" s="2">
        <v>0</v>
      </c>
      <c r="AL1534" s="2">
        <v>0</v>
      </c>
      <c r="AM1534" s="2">
        <v>0</v>
      </c>
      <c r="AN1534" s="2">
        <v>0</v>
      </c>
      <c r="AO1534" s="2">
        <v>0</v>
      </c>
      <c r="AP1534" s="2">
        <v>0</v>
      </c>
      <c r="AQ1534" s="2">
        <v>0</v>
      </c>
      <c r="AR1534" s="2">
        <v>0</v>
      </c>
    </row>
    <row r="1535" spans="1:44" x14ac:dyDescent="0.25">
      <c r="A1535" t="s">
        <v>131</v>
      </c>
      <c r="B1535" t="s">
        <v>221</v>
      </c>
      <c r="C1535" t="s">
        <v>44</v>
      </c>
      <c r="D1535" t="s">
        <v>219</v>
      </c>
      <c r="E1535" t="s">
        <v>134</v>
      </c>
      <c r="F1535" t="s">
        <v>222</v>
      </c>
      <c r="G1535" t="s">
        <v>28</v>
      </c>
      <c r="H1535" t="s">
        <v>142</v>
      </c>
      <c r="I1535" t="s">
        <v>135</v>
      </c>
      <c r="J1535" t="s">
        <v>39</v>
      </c>
      <c r="K1535" t="s">
        <v>28</v>
      </c>
      <c r="L1535">
        <v>0.92</v>
      </c>
      <c r="M1535">
        <v>1</v>
      </c>
      <c r="N1535">
        <v>2.4003812396329649</v>
      </c>
      <c r="O1535">
        <v>3.7664803239001072</v>
      </c>
      <c r="P1535">
        <v>-1.0589434871448775</v>
      </c>
      <c r="Q1535">
        <v>1.1423746693328465</v>
      </c>
      <c r="R1535">
        <v>-1.4732817699610261</v>
      </c>
      <c r="S1535" s="2">
        <v>0</v>
      </c>
      <c r="T1535" s="2">
        <v>0</v>
      </c>
      <c r="U1535" s="2">
        <v>0</v>
      </c>
      <c r="V1535" s="2">
        <v>0</v>
      </c>
      <c r="W1535" s="2">
        <v>0</v>
      </c>
      <c r="X1535" s="2">
        <v>0</v>
      </c>
      <c r="Y1535" s="2">
        <v>0</v>
      </c>
      <c r="Z1535" s="2">
        <v>0</v>
      </c>
      <c r="AA1535" s="2">
        <v>0</v>
      </c>
      <c r="AB1535" s="2">
        <v>0</v>
      </c>
      <c r="AC1535" s="2">
        <v>0</v>
      </c>
      <c r="AD1535" s="2">
        <v>0</v>
      </c>
      <c r="AE1535" s="2">
        <v>0</v>
      </c>
      <c r="AF1535" s="2">
        <v>0</v>
      </c>
      <c r="AG1535" s="2">
        <v>0</v>
      </c>
      <c r="AH1535" s="2">
        <v>0</v>
      </c>
      <c r="AI1535" s="2">
        <v>0</v>
      </c>
      <c r="AJ1535" s="2">
        <v>0</v>
      </c>
      <c r="AK1535" s="2">
        <v>0</v>
      </c>
      <c r="AL1535" s="2">
        <v>0</v>
      </c>
      <c r="AM1535" s="2">
        <v>0</v>
      </c>
      <c r="AN1535" s="2">
        <v>0</v>
      </c>
      <c r="AO1535" s="2">
        <v>0</v>
      </c>
      <c r="AP1535" s="2">
        <v>0</v>
      </c>
      <c r="AQ1535" s="2">
        <v>0</v>
      </c>
      <c r="AR1535" s="2">
        <v>0</v>
      </c>
    </row>
    <row r="1536" spans="1:44" x14ac:dyDescent="0.25">
      <c r="A1536" t="s">
        <v>131</v>
      </c>
      <c r="B1536" t="s">
        <v>231</v>
      </c>
      <c r="C1536" t="s">
        <v>44</v>
      </c>
      <c r="D1536" t="s">
        <v>219</v>
      </c>
      <c r="E1536" t="s">
        <v>145</v>
      </c>
      <c r="F1536" t="s">
        <v>232</v>
      </c>
      <c r="G1536" t="s">
        <v>28</v>
      </c>
      <c r="H1536" t="s">
        <v>52</v>
      </c>
      <c r="I1536" t="s">
        <v>135</v>
      </c>
      <c r="J1536" t="s">
        <v>39</v>
      </c>
      <c r="K1536" t="s">
        <v>28</v>
      </c>
      <c r="L1536">
        <v>2.9999999999999985E-2</v>
      </c>
      <c r="M1536">
        <v>1</v>
      </c>
      <c r="N1536">
        <v>1.3425392982815614</v>
      </c>
      <c r="O1536">
        <v>3.8641499143085554</v>
      </c>
      <c r="P1536">
        <v>-0.17696193753835973</v>
      </c>
      <c r="Q1536">
        <v>2.0954632346128963</v>
      </c>
      <c r="R1536">
        <v>-1.5443887856345579</v>
      </c>
      <c r="S1536" s="2">
        <v>0</v>
      </c>
      <c r="T1536" s="2">
        <v>0</v>
      </c>
      <c r="U1536" s="2">
        <v>0.61622136938860583</v>
      </c>
      <c r="V1536" s="2">
        <v>1.1584601288299585</v>
      </c>
      <c r="W1536" s="2">
        <v>1.9802593540686748</v>
      </c>
      <c r="X1536" s="2">
        <v>3.1552176494504209</v>
      </c>
      <c r="Y1536" s="2">
        <v>4.7503490240792221</v>
      </c>
      <c r="Z1536" s="2">
        <v>6.8136406802250375</v>
      </c>
      <c r="AA1536" s="2">
        <v>9.3591987467967535</v>
      </c>
      <c r="AB1536" s="2">
        <v>12.352481017876658</v>
      </c>
      <c r="AC1536" s="2">
        <v>15.699740822230035</v>
      </c>
      <c r="AD1536" s="2">
        <v>19.246848536173854</v>
      </c>
      <c r="AE1536" s="2">
        <v>22.792058741354207</v>
      </c>
      <c r="AF1536" s="2">
        <v>26.11413552575808</v>
      </c>
      <c r="AG1536" s="2">
        <v>29.011653097593783</v>
      </c>
      <c r="AH1536" s="2">
        <v>31.343106723728365</v>
      </c>
      <c r="AI1536" s="2">
        <v>33.054145893099438</v>
      </c>
      <c r="AJ1536" s="2">
        <v>34.27493764234935</v>
      </c>
      <c r="AK1536" s="2">
        <v>34.892191274695953</v>
      </c>
      <c r="AL1536" s="2">
        <v>35.359971008544115</v>
      </c>
      <c r="AM1536" s="2">
        <v>35.396232173876733</v>
      </c>
      <c r="AN1536" s="2">
        <v>35.287094198360229</v>
      </c>
      <c r="AO1536" s="2">
        <v>35.17461354152875</v>
      </c>
      <c r="AP1536" s="2">
        <v>35.058828307328852</v>
      </c>
      <c r="AQ1536" s="2">
        <v>34.939764237732135</v>
      </c>
      <c r="AR1536" s="2">
        <v>497.83114969506926</v>
      </c>
    </row>
    <row r="1537" spans="1:44" x14ac:dyDescent="0.25">
      <c r="A1537" t="s">
        <v>131</v>
      </c>
      <c r="B1537" t="s">
        <v>231</v>
      </c>
      <c r="C1537" t="s">
        <v>44</v>
      </c>
      <c r="D1537" t="s">
        <v>219</v>
      </c>
      <c r="E1537" t="s">
        <v>145</v>
      </c>
      <c r="F1537" t="s">
        <v>232</v>
      </c>
      <c r="G1537" t="s">
        <v>28</v>
      </c>
      <c r="H1537" t="s">
        <v>138</v>
      </c>
      <c r="I1537" t="s">
        <v>135</v>
      </c>
      <c r="J1537" t="s">
        <v>39</v>
      </c>
      <c r="K1537" t="s">
        <v>28</v>
      </c>
      <c r="L1537">
        <v>2.9999999999999985E-2</v>
      </c>
      <c r="M1537">
        <v>1</v>
      </c>
      <c r="N1537">
        <v>1.3425392982815614</v>
      </c>
      <c r="O1537">
        <v>3.8641499143085554</v>
      </c>
      <c r="P1537">
        <v>-0.17696193753835973</v>
      </c>
      <c r="Q1537">
        <v>2.0954632346128963</v>
      </c>
      <c r="R1537">
        <v>-1.5443887856345579</v>
      </c>
      <c r="S1537" s="2">
        <v>0</v>
      </c>
      <c r="T1537" s="2">
        <v>0</v>
      </c>
      <c r="U1537" s="2">
        <v>0.21375675687486773</v>
      </c>
      <c r="V1537" s="2">
        <v>0.40185019930941751</v>
      </c>
      <c r="W1537" s="2">
        <v>0.68691843276519038</v>
      </c>
      <c r="X1537" s="2">
        <v>1.0944915666427328</v>
      </c>
      <c r="Y1537" s="2">
        <v>1.6478156257682728</v>
      </c>
      <c r="Z1537" s="2">
        <v>2.3635365579103889</v>
      </c>
      <c r="AA1537" s="2">
        <v>3.2465475402898161</v>
      </c>
      <c r="AB1537" s="2">
        <v>4.2848664666715832</v>
      </c>
      <c r="AC1537" s="2">
        <v>5.4459742044737904</v>
      </c>
      <c r="AD1537" s="2">
        <v>6.6764057975403119</v>
      </c>
      <c r="AE1537" s="2">
        <v>7.9061791769525103</v>
      </c>
      <c r="AF1537" s="2">
        <v>9.0585513516273561</v>
      </c>
      <c r="AG1537" s="2">
        <v>10.063651125687535</v>
      </c>
      <c r="AH1537" s="2">
        <v>10.872392903696856</v>
      </c>
      <c r="AI1537" s="2">
        <v>11.465923413834</v>
      </c>
      <c r="AJ1537" s="2">
        <v>11.889395396634868</v>
      </c>
      <c r="AK1537" s="2">
        <v>12.103510228047721</v>
      </c>
      <c r="AL1537" s="2">
        <v>12.265775095522834</v>
      </c>
      <c r="AM1537" s="2">
        <v>12.278353479666983</v>
      </c>
      <c r="AN1537" s="2">
        <v>12.240495364292885</v>
      </c>
      <c r="AO1537" s="2">
        <v>12.201477729381416</v>
      </c>
      <c r="AP1537" s="2">
        <v>12.161313792546309</v>
      </c>
      <c r="AQ1537" s="2">
        <v>12.120012483241558</v>
      </c>
      <c r="AR1537" s="2">
        <v>172.68919468937918</v>
      </c>
    </row>
    <row r="1538" spans="1:44" x14ac:dyDescent="0.25">
      <c r="A1538" t="s">
        <v>131</v>
      </c>
      <c r="B1538" t="s">
        <v>227</v>
      </c>
      <c r="C1538" t="s">
        <v>44</v>
      </c>
      <c r="D1538" t="s">
        <v>219</v>
      </c>
      <c r="E1538" t="s">
        <v>145</v>
      </c>
      <c r="F1538" t="s">
        <v>228</v>
      </c>
      <c r="G1538" t="s">
        <v>28</v>
      </c>
      <c r="H1538" t="s">
        <v>52</v>
      </c>
      <c r="I1538" t="s">
        <v>135</v>
      </c>
      <c r="J1538" t="s">
        <v>39</v>
      </c>
      <c r="K1538" t="s">
        <v>28</v>
      </c>
      <c r="L1538">
        <v>0.03</v>
      </c>
      <c r="M1538">
        <v>0</v>
      </c>
      <c r="N1538">
        <v>0.86223702684315151</v>
      </c>
      <c r="O1538">
        <v>3.8640773301877118</v>
      </c>
      <c r="P1538">
        <v>0.9902907320146096</v>
      </c>
      <c r="Q1538">
        <v>3.262663060284809</v>
      </c>
      <c r="R1538">
        <v>-1.544335941753501</v>
      </c>
      <c r="S1538" s="2">
        <v>12.662571008310563</v>
      </c>
      <c r="T1538" s="2">
        <v>18.57087204246227</v>
      </c>
      <c r="U1538" s="2">
        <v>25.300017187111887</v>
      </c>
      <c r="V1538" s="2">
        <v>33.153582298107821</v>
      </c>
      <c r="W1538" s="2">
        <v>41.750206818385934</v>
      </c>
      <c r="X1538" s="2">
        <v>50.507453342245022</v>
      </c>
      <c r="Y1538" s="2">
        <v>58.728606528166516</v>
      </c>
      <c r="Z1538" s="2">
        <v>65.756510406277528</v>
      </c>
      <c r="AA1538" s="2">
        <v>71.147666321721857</v>
      </c>
      <c r="AB1538" s="2">
        <v>74.790173293132355</v>
      </c>
      <c r="AC1538" s="2">
        <v>76.900622756846829</v>
      </c>
      <c r="AD1538" s="2">
        <v>77.797042613664772</v>
      </c>
      <c r="AE1538" s="2">
        <v>77.633967522500399</v>
      </c>
      <c r="AF1538" s="2">
        <v>77.46217999081874</v>
      </c>
      <c r="AG1538" s="2">
        <v>77.281909253742924</v>
      </c>
      <c r="AH1538" s="2">
        <v>77.093370543059706</v>
      </c>
      <c r="AI1538" s="2">
        <v>76.896765092806177</v>
      </c>
      <c r="AJ1538" s="2">
        <v>76.692279980745383</v>
      </c>
      <c r="AK1538" s="2">
        <v>76.480087766167912</v>
      </c>
      <c r="AL1538" s="2">
        <v>76.260345868513127</v>
      </c>
      <c r="AM1538" s="2">
        <v>76.03319560811596</v>
      </c>
      <c r="AN1538" s="2">
        <v>75.798760795959751</v>
      </c>
      <c r="AO1538" s="2">
        <v>75.557145707071598</v>
      </c>
      <c r="AP1538" s="2">
        <v>75.308432190977356</v>
      </c>
      <c r="AQ1538" s="2">
        <v>75.052675542951235</v>
      </c>
      <c r="AR1538" s="2">
        <v>1600.6164404798637</v>
      </c>
    </row>
    <row r="1539" spans="1:44" x14ac:dyDescent="0.25">
      <c r="A1539" t="s">
        <v>131</v>
      </c>
      <c r="B1539" t="s">
        <v>227</v>
      </c>
      <c r="C1539" t="s">
        <v>44</v>
      </c>
      <c r="D1539" t="s">
        <v>219</v>
      </c>
      <c r="E1539" t="s">
        <v>145</v>
      </c>
      <c r="F1539" t="s">
        <v>228</v>
      </c>
      <c r="G1539" t="s">
        <v>28</v>
      </c>
      <c r="H1539" t="s">
        <v>138</v>
      </c>
      <c r="I1539" t="s">
        <v>135</v>
      </c>
      <c r="J1539" t="s">
        <v>39</v>
      </c>
      <c r="K1539" t="s">
        <v>28</v>
      </c>
      <c r="L1539">
        <v>0.03</v>
      </c>
      <c r="M1539">
        <v>0</v>
      </c>
      <c r="N1539">
        <v>0.86223702684315151</v>
      </c>
      <c r="O1539">
        <v>3.8640773301877118</v>
      </c>
      <c r="P1539">
        <v>0.9902907320146096</v>
      </c>
      <c r="Q1539">
        <v>3.262663060284809</v>
      </c>
      <c r="R1539">
        <v>-1.544335941753501</v>
      </c>
      <c r="S1539" s="2">
        <v>4.3924314327490741</v>
      </c>
      <c r="T1539" s="2">
        <v>6.4419210000351645</v>
      </c>
      <c r="U1539" s="2">
        <v>8.7761474876490198</v>
      </c>
      <c r="V1539" s="2">
        <v>11.500416218702121</v>
      </c>
      <c r="W1539" s="2">
        <v>14.482439674572868</v>
      </c>
      <c r="X1539" s="2">
        <v>17.520180183233066</v>
      </c>
      <c r="Y1539" s="2">
        <v>20.371958992101096</v>
      </c>
      <c r="Z1539" s="2">
        <v>22.809819824651925</v>
      </c>
      <c r="AA1539" s="2">
        <v>24.679920508494664</v>
      </c>
      <c r="AB1539" s="2">
        <v>25.943444488319173</v>
      </c>
      <c r="AC1539" s="2">
        <v>26.675523665254417</v>
      </c>
      <c r="AD1539" s="2">
        <v>26.986476532049256</v>
      </c>
      <c r="AE1539" s="2">
        <v>26.929908544721989</v>
      </c>
      <c r="AF1539" s="2">
        <v>26.870318359330906</v>
      </c>
      <c r="AG1539" s="2">
        <v>26.807785493657978</v>
      </c>
      <c r="AH1539" s="2">
        <v>26.742384607964901</v>
      </c>
      <c r="AI1539" s="2">
        <v>26.67418550693111</v>
      </c>
      <c r="AJ1539" s="2">
        <v>26.603253084664289</v>
      </c>
      <c r="AK1539" s="2">
        <v>26.529647199059934</v>
      </c>
      <c r="AL1539" s="2">
        <v>26.453422456255545</v>
      </c>
      <c r="AM1539" s="2">
        <v>26.374627877881938</v>
      </c>
      <c r="AN1539" s="2">
        <v>26.293306411872411</v>
      </c>
      <c r="AO1539" s="2">
        <v>26.209494229467886</v>
      </c>
      <c r="AP1539" s="2">
        <v>26.123219722882705</v>
      </c>
      <c r="AQ1539" s="2">
        <v>26.03450207311101</v>
      </c>
      <c r="AR1539" s="2">
        <v>555.22673557561438</v>
      </c>
    </row>
    <row r="1540" spans="1:44" x14ac:dyDescent="0.25">
      <c r="A1540" t="s">
        <v>131</v>
      </c>
      <c r="B1540" t="s">
        <v>223</v>
      </c>
      <c r="C1540" t="s">
        <v>44</v>
      </c>
      <c r="D1540" t="s">
        <v>219</v>
      </c>
      <c r="E1540" t="s">
        <v>145</v>
      </c>
      <c r="F1540" t="s">
        <v>224</v>
      </c>
      <c r="G1540" t="s">
        <v>28</v>
      </c>
      <c r="H1540" t="s">
        <v>52</v>
      </c>
      <c r="I1540" t="s">
        <v>135</v>
      </c>
      <c r="J1540" t="s">
        <v>39</v>
      </c>
      <c r="K1540" t="s">
        <v>28</v>
      </c>
      <c r="L1540">
        <v>0.05</v>
      </c>
      <c r="M1540">
        <v>0</v>
      </c>
      <c r="N1540">
        <v>0.8187234303314348</v>
      </c>
      <c r="O1540">
        <v>3.8748305332756865</v>
      </c>
      <c r="P1540">
        <v>1.1654284680543423</v>
      </c>
      <c r="Q1540">
        <v>3.4456295194441906</v>
      </c>
      <c r="R1540">
        <v>-1.5521646648731502</v>
      </c>
      <c r="S1540" s="2">
        <v>17.04697180288348</v>
      </c>
      <c r="T1540" s="2">
        <v>25.001015343174693</v>
      </c>
      <c r="U1540" s="2">
        <v>34.060119332646181</v>
      </c>
      <c r="V1540" s="2">
        <v>44.632972421595561</v>
      </c>
      <c r="W1540" s="2">
        <v>56.206168394275814</v>
      </c>
      <c r="X1540" s="2">
        <v>67.99560155639972</v>
      </c>
      <c r="Y1540" s="2">
        <v>79.063319672697773</v>
      </c>
      <c r="Z1540" s="2">
        <v>88.524627266937912</v>
      </c>
      <c r="AA1540" s="2">
        <v>95.782464779968365</v>
      </c>
      <c r="AB1540" s="2">
        <v>100.68618564302916</v>
      </c>
      <c r="AC1540" s="2">
        <v>103.5273758306885</v>
      </c>
      <c r="AD1540" s="2">
        <v>104.7341800423048</v>
      </c>
      <c r="AE1540" s="2">
        <v>104.514640386495</v>
      </c>
      <c r="AF1540" s="2">
        <v>104.28337161755844</v>
      </c>
      <c r="AG1540" s="2">
        <v>104.04068234301855</v>
      </c>
      <c r="AH1540" s="2">
        <v>103.78686231842327</v>
      </c>
      <c r="AI1540" s="2">
        <v>103.52218245486591</v>
      </c>
      <c r="AJ1540" s="2">
        <v>103.24689460557192</v>
      </c>
      <c r="AK1540" s="2">
        <v>102.9612310782899</v>
      </c>
      <c r="AL1540" s="2">
        <v>102.66540379876074</v>
      </c>
      <c r="AM1540" s="2">
        <v>102.35960301932447</v>
      </c>
      <c r="AN1540" s="2">
        <v>102.04399542037652</v>
      </c>
      <c r="AO1540" s="2">
        <v>101.71872138205332</v>
      </c>
      <c r="AP1540" s="2">
        <v>101.38389109418588</v>
      </c>
      <c r="AQ1540" s="2">
        <v>101.03957899797413</v>
      </c>
      <c r="AR1540" s="2">
        <v>2154.8280606035</v>
      </c>
    </row>
    <row r="1541" spans="1:44" x14ac:dyDescent="0.25">
      <c r="A1541" t="s">
        <v>131</v>
      </c>
      <c r="B1541" t="s">
        <v>223</v>
      </c>
      <c r="C1541" t="s">
        <v>44</v>
      </c>
      <c r="D1541" t="s">
        <v>219</v>
      </c>
      <c r="E1541" t="s">
        <v>145</v>
      </c>
      <c r="F1541" t="s">
        <v>224</v>
      </c>
      <c r="G1541" t="s">
        <v>28</v>
      </c>
      <c r="H1541" t="s">
        <v>138</v>
      </c>
      <c r="I1541" t="s">
        <v>135</v>
      </c>
      <c r="J1541" t="s">
        <v>39</v>
      </c>
      <c r="K1541" t="s">
        <v>28</v>
      </c>
      <c r="L1541">
        <v>0.05</v>
      </c>
      <c r="M1541">
        <v>0</v>
      </c>
      <c r="N1541">
        <v>0.8187234303314348</v>
      </c>
      <c r="O1541">
        <v>3.8748305332756865</v>
      </c>
      <c r="P1541">
        <v>1.1654284680543423</v>
      </c>
      <c r="Q1541">
        <v>3.4456295194441906</v>
      </c>
      <c r="R1541">
        <v>-1.5521646648731502</v>
      </c>
      <c r="S1541" s="2">
        <v>5.9133058153063569</v>
      </c>
      <c r="T1541" s="2">
        <v>8.6724288118052524</v>
      </c>
      <c r="U1541" s="2">
        <v>11.814878563106278</v>
      </c>
      <c r="V1541" s="2">
        <v>15.482422240552193</v>
      </c>
      <c r="W1541" s="2">
        <v>19.496967922815511</v>
      </c>
      <c r="X1541" s="2">
        <v>23.586522623959599</v>
      </c>
      <c r="Y1541" s="2">
        <v>27.425726598486413</v>
      </c>
      <c r="Z1541" s="2">
        <v>30.707693968665264</v>
      </c>
      <c r="AA1541" s="2">
        <v>33.225314885072947</v>
      </c>
      <c r="AB1541" s="2">
        <v>34.926332604318048</v>
      </c>
      <c r="AC1541" s="2">
        <v>35.911893362753489</v>
      </c>
      <c r="AD1541" s="2">
        <v>36.330513305638583</v>
      </c>
      <c r="AE1541" s="2">
        <v>36.254358717105113</v>
      </c>
      <c r="AF1541" s="2">
        <v>36.17413549786918</v>
      </c>
      <c r="AG1541" s="2">
        <v>36.089950698654206</v>
      </c>
      <c r="AH1541" s="2">
        <v>36.001904830752508</v>
      </c>
      <c r="AI1541" s="2">
        <v>35.910091868634318</v>
      </c>
      <c r="AJ1541" s="2">
        <v>35.81459917591819</v>
      </c>
      <c r="AK1541" s="2">
        <v>35.715507336227795</v>
      </c>
      <c r="AL1541" s="2">
        <v>35.612889863013578</v>
      </c>
      <c r="AM1541" s="2">
        <v>35.506812751590196</v>
      </c>
      <c r="AN1541" s="2">
        <v>35.397333820563972</v>
      </c>
      <c r="AO1541" s="2">
        <v>35.284501765426803</v>
      </c>
      <c r="AP1541" s="2">
        <v>35.16835480916491</v>
      </c>
      <c r="AQ1541" s="2">
        <v>35.048918774169842</v>
      </c>
      <c r="AR1541" s="2">
        <v>747.47336061157046</v>
      </c>
    </row>
  </sheetData>
  <phoneticPr fontId="3" type="noConversion"/>
  <pageMargins left="0.7" right="0.7" top="0.75" bottom="0.75" header="0.3" footer="0.3"/>
  <pageSetup orientation="portrait" r:id="rId1"/>
  <headerFooter>
    <oddHeader>&amp;RNWN 2025 CPA 
CPA Summary/ &amp;A &amp;P of &amp;N</oddHeader>
  </headerFooter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5BC3C7-120E-43B8-9293-9A5CACEE0B13}">
  <sheetPr>
    <tabColor theme="5"/>
  </sheetPr>
  <dimension ref="A1:F13"/>
  <sheetViews>
    <sheetView showGridLines="0" zoomScaleNormal="100" workbookViewId="0">
      <selection activeCell="I13" sqref="I13"/>
    </sheetView>
  </sheetViews>
  <sheetFormatPr defaultRowHeight="15" x14ac:dyDescent="0.25"/>
  <cols>
    <col min="1" max="1" width="18.5703125" bestFit="1" customWidth="1"/>
    <col min="2" max="2" width="24.7109375" bestFit="1" customWidth="1"/>
    <col min="3" max="3" width="7.7109375" bestFit="1" customWidth="1"/>
    <col min="4" max="4" width="9.28515625" bestFit="1" customWidth="1"/>
    <col min="5" max="5" width="20.28515625" bestFit="1" customWidth="1"/>
    <col min="6" max="6" width="30.28515625" bestFit="1" customWidth="1"/>
  </cols>
  <sheetData>
    <row r="1" spans="1:6" x14ac:dyDescent="0.25">
      <c r="A1" t="s">
        <v>536</v>
      </c>
      <c r="B1" t="s">
        <v>537</v>
      </c>
      <c r="C1" t="s">
        <v>538</v>
      </c>
      <c r="D1" t="s">
        <v>539</v>
      </c>
      <c r="E1" t="s">
        <v>540</v>
      </c>
      <c r="F1" t="s">
        <v>541</v>
      </c>
    </row>
    <row r="2" spans="1:6" x14ac:dyDescent="0.25">
      <c r="A2" t="s">
        <v>55</v>
      </c>
      <c r="B2" t="s">
        <v>51</v>
      </c>
      <c r="C2" s="31">
        <v>143.15386691200345</v>
      </c>
      <c r="D2" s="51">
        <f>Income_Groups[[#This Row],[count]]/SUMIFS(Income_Groups[count],Income_Groups[segment],Income_Groups[[#This Row],[segment]])</f>
        <v>0.55665024630541859</v>
      </c>
      <c r="E2" t="str">
        <f>IF(Income_Groups[[#This Row],[income_eligibility]]="Income Qualifying",Income_Groups[[#This Row],[segment]]&amp;" LI",Income_Groups[[#This Row],[segment]])</f>
        <v>Manufactured LI</v>
      </c>
      <c r="F2" s="51">
        <f>Income_Groups[[#This Row],[count]]/SUMIFS(Income_Groups[count],Income_Groups[CPA Seg Name],Income_Groups[[#This Row],[CPA Seg Name]])</f>
        <v>1</v>
      </c>
    </row>
    <row r="3" spans="1:6" x14ac:dyDescent="0.25">
      <c r="A3" t="s">
        <v>55</v>
      </c>
      <c r="B3" t="s">
        <v>56</v>
      </c>
      <c r="C3" s="31">
        <v>48.140238430585228</v>
      </c>
      <c r="D3" s="51">
        <f>Income_Groups[[#This Row],[count]]/SUMIFS(Income_Groups[count],Income_Groups[segment],Income_Groups[[#This Row],[segment]])</f>
        <v>0.18719211822660092</v>
      </c>
      <c r="E3" t="str">
        <f>IF(Income_Groups[[#This Row],[income_eligibility]]="Income Qualifying",Income_Groups[[#This Row],[segment]]&amp;" LI",Income_Groups[[#This Row],[segment]])</f>
        <v>Manufactured</v>
      </c>
      <c r="F3" s="51">
        <f>Income_Groups[[#This Row],[count]]/SUMIFS(Income_Groups[count],Income_Groups[CPA Seg Name],Income_Groups[[#This Row],[CPA Seg Name]])</f>
        <v>0.42222222222222217</v>
      </c>
    </row>
    <row r="4" spans="1:6" x14ac:dyDescent="0.25">
      <c r="A4" t="s">
        <v>55</v>
      </c>
      <c r="B4" t="s">
        <v>542</v>
      </c>
      <c r="C4" s="31">
        <v>65.876115747116643</v>
      </c>
      <c r="D4" s="51">
        <f>Income_Groups[[#This Row],[count]]/SUMIFS(Income_Groups[count],Income_Groups[segment],Income_Groups[[#This Row],[segment]])</f>
        <v>0.25615763546798026</v>
      </c>
      <c r="E4" t="str">
        <f>IF(Income_Groups[[#This Row],[income_eligibility]]="Income Qualifying",Income_Groups[[#This Row],[segment]]&amp;" LI",Income_Groups[[#This Row],[segment]])</f>
        <v>Manufactured</v>
      </c>
      <c r="F4" s="51">
        <f>Income_Groups[[#This Row],[count]]/SUMIFS(Income_Groups[count],Income_Groups[CPA Seg Name],Income_Groups[[#This Row],[CPA Seg Name]])</f>
        <v>0.57777777777777783</v>
      </c>
    </row>
    <row r="5" spans="1:6" x14ac:dyDescent="0.25">
      <c r="A5" t="s">
        <v>54</v>
      </c>
      <c r="B5" t="s">
        <v>51</v>
      </c>
      <c r="C5" s="31">
        <v>3155.1999045195744</v>
      </c>
      <c r="D5" s="51">
        <f>Income_Groups[[#This Row],[count]]/SUMIFS(Income_Groups[count],Income_Groups[segment],Income_Groups[[#This Row],[segment]])</f>
        <v>0.44490934449093444</v>
      </c>
      <c r="E5" t="str">
        <f>IF(Income_Groups[[#This Row],[income_eligibility]]="Income Qualifying",Income_Groups[[#This Row],[segment]]&amp;" LI",Income_Groups[[#This Row],[segment]])</f>
        <v>Multifamily-High Rise LI</v>
      </c>
      <c r="F5" s="51">
        <f>Income_Groups[[#This Row],[count]]/SUMIFS(Income_Groups[count],Income_Groups[CPA Seg Name],Income_Groups[[#This Row],[CPA Seg Name]])</f>
        <v>1</v>
      </c>
    </row>
    <row r="6" spans="1:6" x14ac:dyDescent="0.25">
      <c r="A6" t="s">
        <v>54</v>
      </c>
      <c r="B6" t="s">
        <v>56</v>
      </c>
      <c r="C6" s="31">
        <v>895.12724563956567</v>
      </c>
      <c r="D6" s="51">
        <f>Income_Groups[[#This Row],[count]]/SUMIFS(Income_Groups[count],Income_Groups[segment],Income_Groups[[#This Row],[segment]])</f>
        <v>0.12622036262203626</v>
      </c>
      <c r="E6" t="str">
        <f>IF(Income_Groups[[#This Row],[income_eligibility]]="Income Qualifying",Income_Groups[[#This Row],[segment]]&amp;" LI",Income_Groups[[#This Row],[segment]])</f>
        <v>Multifamily-High Rise</v>
      </c>
      <c r="F6" s="51">
        <f>Income_Groups[[#This Row],[count]]/SUMIFS(Income_Groups[count],Income_Groups[CPA Seg Name],Income_Groups[[#This Row],[CPA Seg Name]])</f>
        <v>0.22738693467336682</v>
      </c>
    </row>
    <row r="7" spans="1:6" x14ac:dyDescent="0.25">
      <c r="A7" t="s">
        <v>54</v>
      </c>
      <c r="B7" t="s">
        <v>542</v>
      </c>
      <c r="C7" s="31">
        <v>3041.4544534162037</v>
      </c>
      <c r="D7" s="51">
        <f>Income_Groups[[#This Row],[count]]/SUMIFS(Income_Groups[count],Income_Groups[segment],Income_Groups[[#This Row],[segment]])</f>
        <v>0.42887029288702927</v>
      </c>
      <c r="E7" t="str">
        <f>IF(Income_Groups[[#This Row],[income_eligibility]]="Income Qualifying",Income_Groups[[#This Row],[segment]]&amp;" LI",Income_Groups[[#This Row],[segment]])</f>
        <v>Multifamily-High Rise</v>
      </c>
      <c r="F7" s="51">
        <f>Income_Groups[[#This Row],[count]]/SUMIFS(Income_Groups[count],Income_Groups[CPA Seg Name],Income_Groups[[#This Row],[CPA Seg Name]])</f>
        <v>0.7726130653266331</v>
      </c>
    </row>
    <row r="8" spans="1:6" x14ac:dyDescent="0.25">
      <c r="A8" t="s">
        <v>53</v>
      </c>
      <c r="B8" t="s">
        <v>51</v>
      </c>
      <c r="C8" s="31">
        <v>2497.4544698783461</v>
      </c>
      <c r="D8" s="51">
        <f>Income_Groups[[#This Row],[count]]/SUMIFS(Income_Groups[count],Income_Groups[segment],Income_Groups[[#This Row],[segment]])</f>
        <v>0.45701357466063347</v>
      </c>
      <c r="E8" t="str">
        <f>IF(Income_Groups[[#This Row],[income_eligibility]]="Income Qualifying",Income_Groups[[#This Row],[segment]]&amp;" LI",Income_Groups[[#This Row],[segment]])</f>
        <v>Multifamily-Low Rise LI</v>
      </c>
      <c r="F8" s="51">
        <f>Income_Groups[[#This Row],[count]]/SUMIFS(Income_Groups[count],Income_Groups[CPA Seg Name],Income_Groups[[#This Row],[CPA Seg Name]])</f>
        <v>1</v>
      </c>
    </row>
    <row r="9" spans="1:6" x14ac:dyDescent="0.25">
      <c r="A9" t="s">
        <v>53</v>
      </c>
      <c r="B9" t="s">
        <v>56</v>
      </c>
      <c r="C9" s="31">
        <v>726.98179618240965</v>
      </c>
      <c r="D9" s="51">
        <f>Income_Groups[[#This Row],[count]]/SUMIFS(Income_Groups[count],Income_Groups[segment],Income_Groups[[#This Row],[segment]])</f>
        <v>0.1330316742081448</v>
      </c>
      <c r="E9" t="str">
        <f>IF(Income_Groups[[#This Row],[income_eligibility]]="Income Qualifying",Income_Groups[[#This Row],[segment]]&amp;" LI",Income_Groups[[#This Row],[segment]])</f>
        <v>Multifamily-Low Rise</v>
      </c>
      <c r="F9" s="51">
        <f>Income_Groups[[#This Row],[count]]/SUMIFS(Income_Groups[count],Income_Groups[CPA Seg Name],Income_Groups[[#This Row],[CPA Seg Name]])</f>
        <v>0.245</v>
      </c>
    </row>
    <row r="10" spans="1:6" x14ac:dyDescent="0.25">
      <c r="A10" t="s">
        <v>53</v>
      </c>
      <c r="B10" t="s">
        <v>542</v>
      </c>
      <c r="C10" s="31">
        <v>2240.2908412968136</v>
      </c>
      <c r="D10" s="51">
        <f>Income_Groups[[#This Row],[count]]/SUMIFS(Income_Groups[count],Income_Groups[segment],Income_Groups[[#This Row],[segment]])</f>
        <v>0.40995475113122176</v>
      </c>
      <c r="E10" t="str">
        <f>IF(Income_Groups[[#This Row],[income_eligibility]]="Income Qualifying",Income_Groups[[#This Row],[segment]]&amp;" LI",Income_Groups[[#This Row],[segment]])</f>
        <v>Multifamily-Low Rise</v>
      </c>
      <c r="F10" s="51">
        <f>Income_Groups[[#This Row],[count]]/SUMIFS(Income_Groups[count],Income_Groups[CPA Seg Name],Income_Groups[[#This Row],[CPA Seg Name]])</f>
        <v>0.755</v>
      </c>
    </row>
    <row r="11" spans="1:6" x14ac:dyDescent="0.25">
      <c r="A11" t="s">
        <v>52</v>
      </c>
      <c r="B11" t="s">
        <v>51</v>
      </c>
      <c r="C11" s="31">
        <v>20605.28889667023</v>
      </c>
      <c r="D11" s="51">
        <f>Income_Groups[[#This Row],[count]]/SUMIFS(Income_Groups[count],Income_Groups[segment],Income_Groups[[#This Row],[segment]])</f>
        <v>0.25754504861133104</v>
      </c>
      <c r="E11" t="str">
        <f>IF(Income_Groups[[#This Row],[income_eligibility]]="Income Qualifying",Income_Groups[[#This Row],[segment]]&amp;" LI",Income_Groups[[#This Row],[segment]])</f>
        <v>Single Family LI</v>
      </c>
      <c r="F11" s="51">
        <f>Income_Groups[[#This Row],[count]]/SUMIFS(Income_Groups[count],Income_Groups[CPA Seg Name],Income_Groups[[#This Row],[CPA Seg Name]])</f>
        <v>1</v>
      </c>
    </row>
    <row r="12" spans="1:6" x14ac:dyDescent="0.25">
      <c r="A12" t="s">
        <v>52</v>
      </c>
      <c r="B12" t="s">
        <v>56</v>
      </c>
      <c r="C12" s="31">
        <v>8465.0808735044884</v>
      </c>
      <c r="D12" s="51">
        <f>Income_Groups[[#This Row],[count]]/SUMIFS(Income_Groups[count],Income_Groups[segment],Income_Groups[[#This Row],[segment]])</f>
        <v>0.10580485796624127</v>
      </c>
      <c r="E12" t="str">
        <f>IF(Income_Groups[[#This Row],[income_eligibility]]="Income Qualifying",Income_Groups[[#This Row],[segment]]&amp;" LI",Income_Groups[[#This Row],[segment]])</f>
        <v>Single Family</v>
      </c>
      <c r="F12" s="51">
        <f>Income_Groups[[#This Row],[count]]/SUMIFS(Income_Groups[count],Income_Groups[CPA Seg Name],Income_Groups[[#This Row],[CPA Seg Name]])</f>
        <v>0.14250677131096848</v>
      </c>
    </row>
    <row r="13" spans="1:6" x14ac:dyDescent="0.25">
      <c r="A13" t="s">
        <v>52</v>
      </c>
      <c r="B13" t="s">
        <v>542</v>
      </c>
      <c r="C13" s="31">
        <v>50936.172804698435</v>
      </c>
      <c r="D13" s="51">
        <f>Income_Groups[[#This Row],[count]]/SUMIFS(Income_Groups[count],Income_Groups[segment],Income_Groups[[#This Row],[segment]])</f>
        <v>0.63665009342242773</v>
      </c>
      <c r="E13" t="str">
        <f>IF(Income_Groups[[#This Row],[income_eligibility]]="Income Qualifying",Income_Groups[[#This Row],[segment]]&amp;" LI",Income_Groups[[#This Row],[segment]])</f>
        <v>Single Family</v>
      </c>
      <c r="F13" s="51">
        <f>Income_Groups[[#This Row],[count]]/SUMIFS(Income_Groups[count],Income_Groups[CPA Seg Name],Income_Groups[[#This Row],[CPA Seg Name]])</f>
        <v>0.85749322868903155</v>
      </c>
    </row>
  </sheetData>
  <pageMargins left="0.7" right="0.7" top="0.75" bottom="0.75" header="0.3" footer="0.3"/>
  <pageSetup orientation="portrait" r:id="rId1"/>
  <headerFooter>
    <oddHeader>&amp;RNWN 2025 CPA 
CPA Summary/ &amp;A &amp;P of &amp;N</oddHeader>
  </headerFooter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5688E1FB77BF3F4CB12BAE5FFAFD75ED" ma:contentTypeVersion="19" ma:contentTypeDescription="" ma:contentTypeScope="" ma:versionID="c4fbe4fbbb0a4ce1b703fc7db41fdbc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��< ? x m l   v e r s i o n = " 1 . 0 "   e n c o d i n g = " u t f - 1 6 " ? > < D a t a M a s h u p   s q m i d = " 7 9 d c 9 e c a - d 6 2 2 - 4 b 5 d - 9 e a e - 7 9 c a 7 0 7 a 0 c 6 4 "   x m l n s = " h t t p : / / s c h e m a s . m i c r o s o f t . c o m / D a t a M a s h u p " > A A A A A B M D A A B Q S w M E F A A C A A g A D V C 9 W i L k O f y j A A A A 9 g A A A B I A H A B D b 2 5 m a W c v U G F j a 2 F n Z S 5 4 b W w g o h g A K K A U A A A A A A A A A A A A A A A A A A A A A A A A A A A A h Y 9 B D o I w F E S v Q r q n h a q J I Z + y c C u J C d G 4 b W q F R v g Y W i x 3 c + G R v I I Y R d 2 5 n D d v M X O / 3 i A b m j q 4 6 M 6 a F l M S 0 4 g E G l V 7 M F i m p H f H c E k y A R u p T r L U w S i j T Q Z 7 S E n l 3 D l h z H t P / Y y 2 X c l 4 F M V s n 6 8 L V e l G k o 9 s / s u h Q e s k K k 0 E 7 F 5 j B K f x n F O + G D c B m y D k B r 8 C H 7 t n + w N h 1 d e u 7 7 T Q G G 4 L Y F M E 9 v 4 g H l B L A w Q U A A I A C A A N U L 1 a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D V C 9 W i i K R 7 g O A A A A E Q A A A B M A H A B G b 3 J t d W x h c y 9 T Z W N 0 a W 9 u M S 5 t I K I Y A C i g F A A A A A A A A A A A A A A A A A A A A A A A A A A A A C t O T S 7 J z M 9 T C I b Q h t Y A U E s B A i 0 A F A A C A A g A D V C 9 W i L k O f y j A A A A 9 g A A A B I A A A A A A A A A A A A A A A A A A A A A A E N v b m Z p Z y 9 Q Y W N r Y W d l L n h t b F B L A Q I t A B Q A A g A I A A 1 Q v V o P y u m r p A A A A O k A A A A T A A A A A A A A A A A A A A A A A O 8 A A A B b Q 2 9 u d G V u d F 9 U e X B l c 1 0 u e G 1 s U E s B A i 0 A F A A C A A g A D V C 9 W i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x Q E A A A A A A A C j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E V u d H J 5 I F R 5 c G U 9 I l F 1 Z X J 5 R 3 J v d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A N L F w w m 4 m l R Z 1 n s 8 U x 1 c d 0 A A A A A A I A A A A A A B B m A A A A A Q A A I A A A A G O 9 g a c i K K C h + r N + V r w f R b O h V z K n / 5 Q E Y 9 c F g f h U E / A E A A A A A A 6 A A A A A A g A A I A A A A D R g I s K N m L z 6 M 8 u C P m j t V J d c m y 2 I H n V 7 B L R 8 P P E q t 0 O a U A A A A J 9 + x 0 C U w 0 u X l 3 H C + L v R Z j b Q V H X L n 4 3 H q J w n B F w O g F 8 a P p T 9 5 w n i D N 3 G c Y i H w Y H F p 7 u W l 8 K 6 F x E k d G K u L C + h O n T w S Y b X k 3 j Z 0 X P g J 9 a 7 z 6 O r Q A A A A I g A X 2 c 7 N U b U 7 V Y k O / 1 i c 5 a r O R g 2 o h P 3 R M b s b G v Y c B o B c H N x T 0 h p A C H d S u F j K r q n C 0 t E e n q o 3 e 0 4 W 1 m C x J f 2 T c w = < / D a t a M a s h u p > 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150</IndustryCode>
    <CaseStatus xmlns="dc463f71-b30c-4ab2-9473-d307f9d35888">Closed</CaseStatus>
    <OpenedDate xmlns="dc463f71-b30c-4ab2-9473-d307f9d35888">2025-06-02T07:00:00+00:00</OpenedDate>
    <SignificantOrder xmlns="dc463f71-b30c-4ab2-9473-d307f9d35888">false</SignificantOrder>
    <Date1 xmlns="dc463f71-b30c-4ab2-9473-d307f9d35888">2025-06-02T07:00:00+00:00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Northwest Natural Gas Company</CaseCompanyNames>
    <Nickname xmlns="http://schemas.microsoft.com/sharepoint/v3" xsi:nil="true"/>
    <DocketNumber xmlns="dc463f71-b30c-4ab2-9473-d307f9d35888">250429</DocketNumber>
    <DelegatedOrder xmlns="dc463f71-b30c-4ab2-9473-d307f9d35888">false</DelegatedOrder>
  </documentManagement>
</p:properties>
</file>

<file path=customXml/item5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724CD8E7-42D3-49A4-BC91-174399698956}"/>
</file>

<file path=customXml/itemProps2.xml><?xml version="1.0" encoding="utf-8"?>
<ds:datastoreItem xmlns:ds="http://schemas.openxmlformats.org/officeDocument/2006/customXml" ds:itemID="{BAB5958D-9191-4D9E-8A85-3D7FA5C864C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02ADF10-22AD-4404-A4C3-7C11F64D2EB6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5A9D4BFA-9F6C-4232-AD69-76F3AEE4E1F8}">
  <ds:schemaRefs>
    <ds:schemaRef ds:uri="http://purl.org/dc/terms/"/>
    <ds:schemaRef ds:uri="http://purl.org/dc/elements/1.1/"/>
    <ds:schemaRef ds:uri="http://www.w3.org/XML/1998/namespace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purl.org/dc/dcmitype/"/>
    <ds:schemaRef ds:uri="http://schemas.openxmlformats.org/package/2006/metadata/core-properties"/>
  </ds:schemaRefs>
</ds:datastoreItem>
</file>

<file path=customXml/itemProps5.xml><?xml version="1.0" encoding="utf-8"?>
<ds:datastoreItem xmlns:ds="http://schemas.openxmlformats.org/officeDocument/2006/customXml" ds:itemID="{6200ED73-FB67-4CE0-9C67-39E4DE123E3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Contents</vt:lpstr>
      <vt:lpstr>Summary-Therms</vt:lpstr>
      <vt:lpstr>Summary-Peak Day</vt:lpstr>
      <vt:lpstr>Summary-Peak Hour</vt:lpstr>
      <vt:lpstr>Supply Curve</vt:lpstr>
      <vt:lpstr>Annual Therms</vt:lpstr>
      <vt:lpstr>Peak Hour</vt:lpstr>
      <vt:lpstr>Peak Day</vt:lpstr>
      <vt:lpstr>Income Groups</vt:lpstr>
      <vt:lpstr>Peak Factors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Ted Light</dc:creator>
  <cp:keywords/>
  <dc:description/>
  <cp:lastModifiedBy>Lee-Pella, Erica</cp:lastModifiedBy>
  <cp:revision/>
  <dcterms:created xsi:type="dcterms:W3CDTF">2015-06-05T18:17:20Z</dcterms:created>
  <dcterms:modified xsi:type="dcterms:W3CDTF">2025-06-02T19:40:25Z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0x0101006E56B4D1795A2E4DB2F0B01679ED314A005688E1FB77BF3F4CB12BAE5FFAFD75ED</vt:lpwstr>
  </property>
  <property fmtid="{D5CDD505-2E9C-101B-9397-08002B2CF9AE}" pid="3" name="MediaServiceImageTags">
    <vt:lpwstr/>
  </property>
  <property fmtid="{D5CDD505-2E9C-101B-9397-08002B2CF9AE}" pid="4" name="i76a50f827f74a6db952d52db0ed214f">
    <vt:lpwstr>NW Natural Gas Company|189a21d5-4508-41eb-a617-0aabe068765e</vt:lpwstr>
  </property>
  <property fmtid="{D5CDD505-2E9C-101B-9397-08002B2CF9AE}" pid="5" name="nwnOrganization">
    <vt:lpwstr/>
  </property>
  <property fmtid="{D5CDD505-2E9C-101B-9397-08002B2CF9AE}" pid="6" name="nwnEntity">
    <vt:lpwstr>1;#NW Natural Gas Company|189a21d5-4508-41eb-a617-0aabe068765e</vt:lpwstr>
  </property>
  <property fmtid="{D5CDD505-2E9C-101B-9397-08002B2CF9AE}" pid="7" name="a3b27d0477224b65bbdf8bcc2e6a81ef">
    <vt:lpwstr/>
  </property>
  <property fmtid="{D5CDD505-2E9C-101B-9397-08002B2CF9AE}" pid="8" name="j8d18b1e98bf4f4abb3c22af701d133c">
    <vt:lpwstr/>
  </property>
  <property fmtid="{D5CDD505-2E9C-101B-9397-08002B2CF9AE}" pid="9" name="nwnStateCity">
    <vt:lpwstr/>
  </property>
  <property fmtid="{D5CDD505-2E9C-101B-9397-08002B2CF9AE}" pid="10" name="l52e73ca941f4235a13f51be587fec23">
    <vt:lpwstr/>
  </property>
  <property fmtid="{D5CDD505-2E9C-101B-9397-08002B2CF9AE}" pid="11" name="nwnRecordsStatus">
    <vt:lpwstr/>
  </property>
  <property fmtid="{D5CDD505-2E9C-101B-9397-08002B2CF9AE}" pid="12" name="_docset_NoMedatataSyncRequired">
    <vt:lpwstr>False</vt:lpwstr>
  </property>
</Properties>
</file>